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kuryos.sharepoint.com/sites/ServidorKuryos/Shared Documents/04. Design de Produtos e PCP/1. PCP/"/>
    </mc:Choice>
  </mc:AlternateContent>
  <xr:revisionPtr revIDLastSave="53788" documentId="8_{FB8C7D41-F202-4B9D-B426-555649F04232}" xr6:coauthVersionLast="47" xr6:coauthVersionMax="47" xr10:uidLastSave="{7B4A4913-957B-4EEE-8DAE-890FDFF816DD}"/>
  <bookViews>
    <workbookView xWindow="20370" yWindow="-120" windowWidth="21840" windowHeight="13020" activeTab="9" xr2:uid="{92AE270F-7939-4748-8276-9F68B771D4E7}"/>
  </bookViews>
  <sheets>
    <sheet name="Controle de Produção" sheetId="1" r:id="rId1"/>
    <sheet name="Sheet1" sheetId="33" state="hidden" r:id="rId2"/>
    <sheet name="Graficos" sheetId="24" r:id="rId3"/>
    <sheet name="Máquinas" sheetId="16" state="hidden" r:id="rId4"/>
    <sheet name="Controle Semanal" sheetId="4" state="hidden" r:id="rId5"/>
    <sheet name="Official Forecasts" sheetId="15" state="hidden" r:id="rId6"/>
    <sheet name="Segundo Cenário" sheetId="20" state="hidden" r:id="rId7"/>
    <sheet name="Previsão (2)" sheetId="18" state="hidden" r:id="rId8"/>
    <sheet name="Chart2" sheetId="29" state="hidden" r:id="rId9"/>
    <sheet name="Previsão Envase" sheetId="23" r:id="rId10"/>
    <sheet name="possibilidade de programação" sheetId="30" r:id="rId11"/>
    <sheet name="Passado" sheetId="21" r:id="rId12"/>
    <sheet name="Sheet2" sheetId="34" r:id="rId13"/>
    <sheet name="Sheet4" sheetId="32" r:id="rId14"/>
    <sheet name="Sheet3" sheetId="3" state="hidden" r:id="rId15"/>
    <sheet name="Análises" sheetId="35" r:id="rId16"/>
  </sheets>
  <functionGroups builtInGroupCount="19"/>
  <externalReferences>
    <externalReference r:id="rId17"/>
    <externalReference r:id="rId18"/>
  </externalReferences>
  <definedNames>
    <definedName name="_xlnm._FilterDatabase" localSheetId="0" hidden="1">'Controle de Produção'!$I$1009:$T$1015</definedName>
    <definedName name="_xlnm._FilterDatabase" localSheetId="4" hidden="1">'Controle Semanal'!$B$3:$G$51</definedName>
    <definedName name="_xlnm._FilterDatabase" localSheetId="5" hidden="1">'Official Forecasts'!$B$5:$F$53</definedName>
    <definedName name="_xlnm._FilterDatabase" localSheetId="11" hidden="1">Passado!$B$4:$G$4</definedName>
    <definedName name="_xlnm._FilterDatabase" localSheetId="7" hidden="1">'Previsão (2)'!$B$4:$G$4</definedName>
    <definedName name="_xlnm._FilterDatabase" localSheetId="9" hidden="1">'Previsão Envase'!$A$1:$T$4</definedName>
    <definedName name="_xlnm._FilterDatabase" localSheetId="6" hidden="1">'Segundo Cenário'!$B$4:$G$4</definedName>
    <definedName name="_xleta.IFERROR" hidden="1" xlm="1">#NAME?</definedName>
    <definedName name="_xleta.LEFT" hidden="1" xlm="1">#NAME?</definedName>
    <definedName name="_xleta.MATCH" hidden="1" xlm="1">#NAME?</definedName>
    <definedName name="_xleta.TEXT" hidden="1" xlm="1">#NAME?</definedName>
    <definedName name="_xleta.UPPER" hidden="1" xlm="1">#NAME?</definedName>
    <definedName name="_xlpm.base" hidden="1" xlm="1">#NAME?</definedName>
    <definedName name="_xlpm.dataPedido" hidden="1" xlm="1">#NAME?</definedName>
    <definedName name="_xlpm.datas" hidden="1" xlm="1">#NAME?</definedName>
    <definedName name="_xlpm.dataSegunda" hidden="1" xlm="1">#NAME?</definedName>
    <definedName name="_xlpm.dt" hidden="1" xlm="1">#NAME?</definedName>
    <definedName name="_xlpm.h" hidden="1" xlm="1">#NAME?</definedName>
    <definedName name="_xlpm.hoje" hidden="1" xlm="1">#NAME?</definedName>
    <definedName name="_xlpm.horas" hidden="1" xlm="1">#NAME?</definedName>
    <definedName name="_xlpm.ini" hidden="1" xlm="1">#NAME?</definedName>
    <definedName name="_xlpm.m" hidden="1" xlm="1">#NAME?</definedName>
    <definedName name="_xlpm.mask" hidden="1" xlm="1">#NAME?</definedName>
    <definedName name="_xlpm.n" hidden="1" xlm="1">#NAME?</definedName>
    <definedName name="_xlpm.p" hidden="1" xlm="1">#NAME?</definedName>
    <definedName name="_xlpm.pedido" hidden="1" xlm="1">#NAME?</definedName>
    <definedName name="_xlpm.prodAntes" hidden="1" xlm="1">#NAME?</definedName>
    <definedName name="_xlpm.prods" hidden="1" xlm="1">#NAME?</definedName>
    <definedName name="_xlpm.produto" hidden="1" xlm="1">#NAME?</definedName>
    <definedName name="_xlpm.produzidoV" hidden="1" xlm="1">#NAME?</definedName>
    <definedName name="_xlpm.produzidoW" hidden="1" xlm="1">#NAME?</definedName>
    <definedName name="_xlpm.rF" hidden="1" xlm="1">#NAME?</definedName>
    <definedName name="_xlpm.rG" hidden="1" xlm="1">#NAME?</definedName>
    <definedName name="_xlpm.rH" hidden="1" xlm="1">#NAME?</definedName>
    <definedName name="_xlpm.rI" hidden="1" xlm="1">#NAME?</definedName>
    <definedName name="_xlpm.rJ" hidden="1" xlm="1">#NAME?</definedName>
    <definedName name="_xlpm.rK" hidden="1" xlm="1">#NAME?</definedName>
    <definedName name="_xlpm.saldo" hidden="1" xlm="1">#NAME?</definedName>
    <definedName name="_xlpm.semanaAtiva" hidden="1" xlm="1">#NAME?</definedName>
    <definedName name="_xlpm.u" hidden="1" xlm="1">#NAME?</definedName>
    <definedName name="_xlnm.Print_Area" localSheetId="4">'Controle Semanal'!$A$2:$S$150</definedName>
    <definedName name="_xlnm.Print_Area" localSheetId="5">'Official Forecasts'!$A$4:$R$152</definedName>
    <definedName name="_xlnm.Print_Area" localSheetId="11">Passado!$C$2855:$H$2919</definedName>
    <definedName name="_xlnm.Print_Area" localSheetId="7">'Previsão (2)'!$A$4:$G$199</definedName>
    <definedName name="_xlnm.Print_Area" localSheetId="9">'Previsão Envase'!$C$8:$G$95</definedName>
    <definedName name="_xlnm.Print_Area" localSheetId="6">'Segundo Cenário'!$A$4:$H$248</definedName>
  </definedNames>
  <calcPr calcId="191028"/>
  <pivotCaches>
    <pivotCache cacheId="0"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65" i="1" l="1"/>
  <c r="D1165" i="1" a="1"/>
  <c r="AO1152" i="1"/>
  <c r="AB44" i="35"/>
  <c r="AA44" i="35" a="1"/>
  <c r="Z44" i="35" a="1"/>
  <c r="AB43" i="35"/>
  <c r="AA43" i="35" a="1"/>
  <c r="Z43" i="35" a="1"/>
  <c r="AB42" i="35"/>
  <c r="AA42" i="35" a="1"/>
  <c r="Z42" i="35" a="1"/>
  <c r="AB41" i="35"/>
  <c r="AA41" i="35" a="1"/>
  <c r="Z41" i="35" a="1"/>
  <c r="AB40" i="35"/>
  <c r="AA40" i="35" a="1"/>
  <c r="Z40" i="35" a="1"/>
  <c r="AB39" i="35"/>
  <c r="AA39" i="35" a="1"/>
  <c r="Z39" i="35" a="1"/>
  <c r="AB38" i="35"/>
  <c r="AA38" i="35" a="1"/>
  <c r="Z38" i="35" a="1"/>
  <c r="AB37" i="35"/>
  <c r="AA37" i="35" a="1"/>
  <c r="Z37" i="35" a="1"/>
  <c r="AB36" i="35"/>
  <c r="AA36" i="35" a="1"/>
  <c r="Z36" i="35" a="1"/>
  <c r="AB35" i="35"/>
  <c r="AA35" i="35" a="1"/>
  <c r="Z35" i="35" a="1"/>
  <c r="X5" i="35" a="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3"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6" i="1"/>
  <c r="BB937" i="1"/>
  <c r="BB939" i="1"/>
  <c r="BB940" i="1"/>
  <c r="BB941" i="1"/>
  <c r="BB942" i="1"/>
  <c r="BB944" i="1"/>
  <c r="BB945" i="1"/>
  <c r="BB946" i="1"/>
  <c r="BB947" i="1"/>
  <c r="BB948" i="1"/>
  <c r="BB949"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5"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82" i="1"/>
  <c r="BB1078" i="1"/>
  <c r="BB1080" i="1"/>
  <c r="BB1081" i="1"/>
  <c r="BB1079" i="1"/>
  <c r="BB1083" i="1"/>
  <c r="BB1087" i="1"/>
  <c r="BB1084" i="1"/>
  <c r="BB1024" i="1"/>
  <c r="BB935" i="1"/>
  <c r="BB938" i="1"/>
  <c r="BB1026" i="1"/>
  <c r="BB1086" i="1"/>
  <c r="BB1089" i="1"/>
  <c r="BB1088" i="1"/>
  <c r="BB950" i="1"/>
  <c r="BB943" i="1"/>
  <c r="BB1094" i="1"/>
  <c r="BB1090" i="1"/>
  <c r="BB1091" i="1"/>
  <c r="BB1092" i="1"/>
  <c r="BB1093" i="1"/>
  <c r="BB1085" i="1"/>
  <c r="BB1095" i="1"/>
  <c r="BB1096" i="1"/>
  <c r="BB1097" i="1"/>
  <c r="BB1099" i="1"/>
  <c r="BB1101" i="1"/>
  <c r="BB1102" i="1"/>
  <c r="BB1100" i="1"/>
  <c r="BB1107" i="1"/>
  <c r="BB1104" i="1"/>
  <c r="BB1103" i="1"/>
  <c r="BB1105" i="1"/>
  <c r="BB1106" i="1"/>
  <c r="BB1109" i="1"/>
  <c r="BB1108" i="1"/>
  <c r="BB1098" i="1"/>
  <c r="BB1111" i="1"/>
  <c r="BB1112" i="1"/>
  <c r="BB1148" i="1"/>
  <c r="BB1149" i="1"/>
  <c r="BB1113" i="1"/>
  <c r="BB1116" i="1"/>
  <c r="BB1114" i="1"/>
  <c r="BB1119" i="1"/>
  <c r="BB1118" i="1"/>
  <c r="BB1120" i="1"/>
  <c r="BB1117" i="1"/>
  <c r="BB1110" i="1"/>
  <c r="BB1115" i="1"/>
  <c r="BB1124" i="1"/>
  <c r="BB1121" i="1"/>
  <c r="BB1122" i="1"/>
  <c r="BB1123" i="1"/>
  <c r="BB1125" i="1"/>
  <c r="BB1126" i="1"/>
  <c r="BB1129" i="1"/>
  <c r="BB1131" i="1"/>
  <c r="BB1132" i="1"/>
  <c r="BB1127" i="1"/>
  <c r="BB1130" i="1"/>
  <c r="BB1128" i="1"/>
  <c r="BB1135" i="1"/>
  <c r="BB1133" i="1"/>
  <c r="BB1134" i="1"/>
  <c r="BB1137" i="1"/>
  <c r="BB1136" i="1"/>
  <c r="BB1140" i="1"/>
  <c r="BB1141" i="1"/>
  <c r="BB1138" i="1"/>
  <c r="BB1139" i="1"/>
  <c r="BB1144" i="1"/>
  <c r="BB1145" i="1"/>
  <c r="BB1147" i="1"/>
  <c r="BB1146" i="1"/>
  <c r="BB1143" i="1"/>
  <c r="BB1142"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A1503" i="1"/>
  <c r="BA1504" i="1"/>
  <c r="BA1505" i="1"/>
  <c r="BA1506" i="1"/>
  <c r="BA1507" i="1"/>
  <c r="BA1508" i="1"/>
  <c r="BA1509" i="1"/>
  <c r="BA1510" i="1"/>
  <c r="BA1511" i="1"/>
  <c r="BA1512" i="1"/>
  <c r="BA1513" i="1"/>
  <c r="BA1514" i="1"/>
  <c r="BA1515" i="1"/>
  <c r="BA1516" i="1"/>
  <c r="BA1517" i="1"/>
  <c r="BA1518" i="1"/>
  <c r="BA1519" i="1"/>
  <c r="BA1520" i="1"/>
  <c r="BA1521" i="1"/>
  <c r="BA1522" i="1"/>
  <c r="BA1523" i="1"/>
  <c r="BA1524" i="1"/>
  <c r="BA1525" i="1"/>
  <c r="BA1526" i="1"/>
  <c r="BA1527" i="1"/>
  <c r="BA1528" i="1"/>
  <c r="BA1529" i="1"/>
  <c r="BA1530" i="1"/>
  <c r="BA1531" i="1"/>
  <c r="BA1532" i="1"/>
  <c r="BA1533" i="1"/>
  <c r="BA1534" i="1"/>
  <c r="BA1535" i="1"/>
  <c r="BA1536" i="1"/>
  <c r="BA1537" i="1"/>
  <c r="BA1538" i="1"/>
  <c r="BA1539" i="1"/>
  <c r="BA1540" i="1"/>
  <c r="BA1541" i="1"/>
  <c r="BA1542" i="1"/>
  <c r="BA1543" i="1"/>
  <c r="BA1544" i="1"/>
  <c r="BA1545" i="1"/>
  <c r="BA1546" i="1"/>
  <c r="BA1547" i="1"/>
  <c r="BA1548" i="1"/>
  <c r="BA1549" i="1"/>
  <c r="BA1550" i="1"/>
  <c r="BA1551" i="1"/>
  <c r="BA1552" i="1"/>
  <c r="BA1553" i="1"/>
  <c r="BA1554" i="1"/>
  <c r="BA1555" i="1"/>
  <c r="BA1556" i="1"/>
  <c r="BA1557" i="1"/>
  <c r="BA1558" i="1"/>
  <c r="BA1559" i="1"/>
  <c r="BA1560" i="1"/>
  <c r="BA1561" i="1"/>
  <c r="BA1562" i="1"/>
  <c r="BA1563" i="1"/>
  <c r="BA1564" i="1"/>
  <c r="BA1565" i="1"/>
  <c r="BA1566" i="1"/>
  <c r="BA1567" i="1"/>
  <c r="BA1568" i="1"/>
  <c r="BA1569" i="1"/>
  <c r="BA1570" i="1"/>
  <c r="BA1571" i="1"/>
  <c r="BA1572" i="1"/>
  <c r="BA1573" i="1"/>
  <c r="BA1574" i="1"/>
  <c r="BA1575" i="1"/>
  <c r="BA1576" i="1"/>
  <c r="BA1577" i="1"/>
  <c r="BA1578" i="1"/>
  <c r="BA1579" i="1"/>
  <c r="BA1580" i="1"/>
  <c r="BA1581" i="1"/>
  <c r="BA1582" i="1"/>
  <c r="BA1583" i="1"/>
  <c r="BA1584" i="1"/>
  <c r="BA1585" i="1"/>
  <c r="BA1586" i="1"/>
  <c r="BA1587" i="1"/>
  <c r="BA1588" i="1"/>
  <c r="BA1589" i="1"/>
  <c r="BA1590" i="1"/>
  <c r="BA1591" i="1"/>
  <c r="BA1592" i="1"/>
  <c r="BA1593" i="1"/>
  <c r="BA1594" i="1"/>
  <c r="BA1595" i="1"/>
  <c r="BA1596" i="1"/>
  <c r="BA1597" i="1"/>
  <c r="BA1598" i="1"/>
  <c r="BA1599" i="1"/>
  <c r="BA1600" i="1"/>
  <c r="BA1601" i="1"/>
  <c r="BA1602" i="1"/>
  <c r="BA1603" i="1"/>
  <c r="BA1604" i="1"/>
  <c r="BA1605" i="1"/>
  <c r="BA1606" i="1"/>
  <c r="BA1607" i="1"/>
  <c r="BA1608" i="1"/>
  <c r="BA1609" i="1"/>
  <c r="BA1610" i="1"/>
  <c r="BA1611" i="1"/>
  <c r="BA1612" i="1"/>
  <c r="BA1613" i="1"/>
  <c r="BA1614" i="1"/>
  <c r="BA1615" i="1"/>
  <c r="BA1616" i="1"/>
  <c r="BA1617" i="1"/>
  <c r="BA1618" i="1"/>
  <c r="BA1619" i="1"/>
  <c r="BA1620" i="1"/>
  <c r="BA1621" i="1"/>
  <c r="BA1622" i="1"/>
  <c r="BA1623" i="1"/>
  <c r="BA1624" i="1"/>
  <c r="BA1625" i="1"/>
  <c r="BA1626" i="1"/>
  <c r="BA1627" i="1"/>
  <c r="BA1628" i="1"/>
  <c r="BA1629" i="1"/>
  <c r="BA1630" i="1"/>
  <c r="BA1631" i="1"/>
  <c r="BA1632" i="1"/>
  <c r="BA1633" i="1"/>
  <c r="BA1634" i="1"/>
  <c r="BA1635" i="1"/>
  <c r="BA1636" i="1"/>
  <c r="BA1637" i="1"/>
  <c r="BA1638" i="1"/>
  <c r="BA1639" i="1"/>
  <c r="BA1640" i="1"/>
  <c r="BA1641" i="1"/>
  <c r="BA1642" i="1"/>
  <c r="BA1643" i="1"/>
  <c r="BA1644" i="1"/>
  <c r="BA1645" i="1"/>
  <c r="BA1646" i="1"/>
  <c r="BA1647" i="1"/>
  <c r="BA1648" i="1"/>
  <c r="BA1649" i="1"/>
  <c r="BA1650" i="1"/>
  <c r="BA1651" i="1"/>
  <c r="BA1652" i="1"/>
  <c r="BA1653" i="1"/>
  <c r="BA1654" i="1"/>
  <c r="BA1655" i="1"/>
  <c r="BA1656" i="1"/>
  <c r="BA1657" i="1"/>
  <c r="BA1658" i="1"/>
  <c r="BA1659" i="1"/>
  <c r="BA1660" i="1"/>
  <c r="BA1661" i="1"/>
  <c r="BA1662" i="1"/>
  <c r="BA1663" i="1"/>
  <c r="BA1664" i="1"/>
  <c r="BA1665" i="1"/>
  <c r="BA1666" i="1"/>
  <c r="BA1667" i="1"/>
  <c r="BA1668" i="1"/>
  <c r="BA1669" i="1"/>
  <c r="BA1670" i="1"/>
  <c r="BA1671" i="1"/>
  <c r="BA1672" i="1"/>
  <c r="BA1673" i="1"/>
  <c r="BA1674" i="1"/>
  <c r="BA1675" i="1"/>
  <c r="BA1676" i="1"/>
  <c r="BA1677" i="1"/>
  <c r="BA1678" i="1"/>
  <c r="BA1679" i="1"/>
  <c r="BA1680" i="1"/>
  <c r="BA1681" i="1"/>
  <c r="BA1682" i="1"/>
  <c r="BA1683" i="1"/>
  <c r="BA1684" i="1"/>
  <c r="BA1685" i="1"/>
  <c r="BA1686" i="1"/>
  <c r="BA1687" i="1"/>
  <c r="BA1688" i="1"/>
  <c r="BA1689" i="1"/>
  <c r="BA1690" i="1"/>
  <c r="BA1691" i="1"/>
  <c r="BA1692" i="1"/>
  <c r="BA1693" i="1"/>
  <c r="BA1694" i="1"/>
  <c r="BA1695" i="1"/>
  <c r="BA1696" i="1"/>
  <c r="BA1697" i="1"/>
  <c r="BA1698" i="1"/>
  <c r="BA1699" i="1"/>
  <c r="BA1700" i="1"/>
  <c r="BA1701" i="1"/>
  <c r="BA1702" i="1"/>
  <c r="BA1703" i="1"/>
  <c r="BA1704" i="1"/>
  <c r="BA1705" i="1"/>
  <c r="BA1706" i="1"/>
  <c r="BA1707" i="1"/>
  <c r="BA1708" i="1"/>
  <c r="BA1709" i="1"/>
  <c r="BA1710" i="1"/>
  <c r="BA1711" i="1"/>
  <c r="BA1712" i="1"/>
  <c r="BA1713" i="1"/>
  <c r="BA1714" i="1"/>
  <c r="BA1715" i="1"/>
  <c r="BA1716" i="1"/>
  <c r="BA1717" i="1"/>
  <c r="BA1718" i="1"/>
  <c r="BA1719" i="1"/>
  <c r="BA1720" i="1"/>
  <c r="BA1721" i="1"/>
  <c r="BA1722" i="1"/>
  <c r="BA1723" i="1"/>
  <c r="BA1724" i="1"/>
  <c r="BA1725" i="1"/>
  <c r="BA1726" i="1"/>
  <c r="BA1727" i="1"/>
  <c r="BA1728" i="1"/>
  <c r="BA1729" i="1"/>
  <c r="BA1730" i="1"/>
  <c r="BA1731" i="1"/>
  <c r="BA1732" i="1"/>
  <c r="BA1733" i="1"/>
  <c r="BA1734" i="1"/>
  <c r="BA1735" i="1"/>
  <c r="BA1736" i="1"/>
  <c r="BA1737" i="1"/>
  <c r="BA1738" i="1"/>
  <c r="BA1739" i="1"/>
  <c r="BA1740" i="1"/>
  <c r="BA1741" i="1"/>
  <c r="BA1742" i="1"/>
  <c r="BA1743" i="1"/>
  <c r="BA1744" i="1"/>
  <c r="BA1745" i="1"/>
  <c r="BA1746" i="1"/>
  <c r="BA1747" i="1"/>
  <c r="BA1748" i="1"/>
  <c r="BA1749" i="1"/>
  <c r="BA1750" i="1"/>
  <c r="BA1751" i="1"/>
  <c r="BA1752" i="1"/>
  <c r="BA1753" i="1"/>
  <c r="BA1754" i="1"/>
  <c r="BA1755" i="1"/>
  <c r="BA1756" i="1"/>
  <c r="BA1757" i="1"/>
  <c r="BA1758" i="1"/>
  <c r="BA1759" i="1"/>
  <c r="BA1760" i="1"/>
  <c r="BA1761" i="1"/>
  <c r="BA1762" i="1"/>
  <c r="BA1763" i="1"/>
  <c r="BA1764" i="1"/>
  <c r="BA1765" i="1"/>
  <c r="BA1766" i="1"/>
  <c r="BA1767" i="1"/>
  <c r="BA1768" i="1"/>
  <c r="BA1769" i="1"/>
  <c r="BA1770" i="1"/>
  <c r="BA1771" i="1"/>
  <c r="BA1772" i="1"/>
  <c r="BA1773" i="1"/>
  <c r="BA1774" i="1"/>
  <c r="BA1775" i="1"/>
  <c r="BA1776" i="1"/>
  <c r="BA1777" i="1"/>
  <c r="BA1778" i="1"/>
  <c r="BA1779" i="1"/>
  <c r="BA1780" i="1"/>
  <c r="BA1781" i="1"/>
  <c r="BA1782" i="1"/>
  <c r="BA1783" i="1"/>
  <c r="BA1784" i="1"/>
  <c r="BA1785" i="1"/>
  <c r="BA1786" i="1"/>
  <c r="BA1787" i="1"/>
  <c r="BA1788" i="1"/>
  <c r="BA1789" i="1"/>
  <c r="BA1790" i="1"/>
  <c r="BA1791" i="1"/>
  <c r="BA1792" i="1"/>
  <c r="BA1793" i="1"/>
  <c r="BA1794" i="1"/>
  <c r="BA1795" i="1"/>
  <c r="BA1796" i="1"/>
  <c r="BA1797" i="1"/>
  <c r="BA1798" i="1"/>
  <c r="BA1799" i="1"/>
  <c r="BA1800" i="1"/>
  <c r="BA1801" i="1"/>
  <c r="BA1802" i="1"/>
  <c r="BA1803" i="1"/>
  <c r="BA1804" i="1"/>
  <c r="BA1805" i="1"/>
  <c r="BA1806" i="1"/>
  <c r="BA1807" i="1"/>
  <c r="BA1808" i="1"/>
  <c r="BA1809" i="1"/>
  <c r="BA1810" i="1"/>
  <c r="BA1811" i="1"/>
  <c r="BA1812" i="1"/>
  <c r="BA1813" i="1"/>
  <c r="BA1814" i="1"/>
  <c r="BA1815" i="1"/>
  <c r="BA1816" i="1"/>
  <c r="BA1817" i="1"/>
  <c r="BA1818" i="1"/>
  <c r="BA1819" i="1"/>
  <c r="BA1820" i="1"/>
  <c r="BA1821" i="1"/>
  <c r="BA1822" i="1"/>
  <c r="BA1823" i="1"/>
  <c r="BA1824" i="1"/>
  <c r="BA1825" i="1"/>
  <c r="BA1826" i="1"/>
  <c r="BA1827" i="1"/>
  <c r="BA1828" i="1"/>
  <c r="BA1829" i="1"/>
  <c r="BA1830" i="1"/>
  <c r="BA1831" i="1"/>
  <c r="BA1832" i="1"/>
  <c r="BA1833" i="1"/>
  <c r="BA1834" i="1"/>
  <c r="BA1835" i="1"/>
  <c r="BA1836" i="1"/>
  <c r="BA1837" i="1"/>
  <c r="BA1838" i="1"/>
  <c r="BA1839" i="1"/>
  <c r="BA1840" i="1"/>
  <c r="BA1841" i="1"/>
  <c r="BA1842" i="1"/>
  <c r="BA1843" i="1"/>
  <c r="BA1844" i="1"/>
  <c r="BA1845" i="1"/>
  <c r="BA1846" i="1"/>
  <c r="BA1847" i="1"/>
  <c r="BA1848" i="1"/>
  <c r="BA1849" i="1"/>
  <c r="BA1850" i="1"/>
  <c r="BA1851" i="1"/>
  <c r="BA1852" i="1"/>
  <c r="BA1853" i="1"/>
  <c r="BA1854" i="1"/>
  <c r="BA1855" i="1"/>
  <c r="BA1856" i="1"/>
  <c r="BA1857" i="1"/>
  <c r="BA1858" i="1"/>
  <c r="BA1859" i="1"/>
  <c r="BA1860" i="1"/>
  <c r="BA1861" i="1"/>
  <c r="BA1862" i="1"/>
  <c r="BA1863" i="1"/>
  <c r="BA1864" i="1"/>
  <c r="BA1865" i="1"/>
  <c r="BA1866" i="1"/>
  <c r="BA1867" i="1"/>
  <c r="BA1868" i="1"/>
  <c r="BA1869" i="1"/>
  <c r="BA1870" i="1"/>
  <c r="BA1871" i="1"/>
  <c r="BA1872" i="1"/>
  <c r="BA1873" i="1"/>
  <c r="BA1874" i="1"/>
  <c r="BA1875" i="1"/>
  <c r="BA1876" i="1"/>
  <c r="BA1877" i="1"/>
  <c r="BA1878" i="1"/>
  <c r="BA1879" i="1"/>
  <c r="BA1880" i="1"/>
  <c r="BA1881" i="1"/>
  <c r="BA1882" i="1"/>
  <c r="BA1883" i="1"/>
  <c r="BA1884" i="1"/>
  <c r="BA1885" i="1"/>
  <c r="BA1886" i="1"/>
  <c r="BA1887" i="1"/>
  <c r="BA1888" i="1"/>
  <c r="BA1889" i="1"/>
  <c r="BA1890" i="1"/>
  <c r="BA1891" i="1"/>
  <c r="BA1892" i="1"/>
  <c r="BA1893" i="1"/>
  <c r="BA1894" i="1"/>
  <c r="BA1895" i="1"/>
  <c r="BA1896" i="1"/>
  <c r="BA1897" i="1"/>
  <c r="BA1898" i="1"/>
  <c r="BA1899" i="1"/>
  <c r="BA1900" i="1"/>
  <c r="BA1901" i="1"/>
  <c r="BA1902" i="1"/>
  <c r="BA1903" i="1"/>
  <c r="BA1904" i="1"/>
  <c r="BA1905" i="1"/>
  <c r="BA1906" i="1"/>
  <c r="BA1907" i="1"/>
  <c r="BA1908" i="1"/>
  <c r="BA1909" i="1"/>
  <c r="BA1910" i="1"/>
  <c r="BA1911" i="1"/>
  <c r="BA1912" i="1"/>
  <c r="BA1913" i="1"/>
  <c r="BA1914" i="1"/>
  <c r="BA1915" i="1"/>
  <c r="BA1916" i="1"/>
  <c r="BA1917" i="1"/>
  <c r="BA1918" i="1"/>
  <c r="BA1919" i="1"/>
  <c r="BA1920" i="1"/>
  <c r="BA1921" i="1"/>
  <c r="BA1922" i="1"/>
  <c r="BA1923" i="1"/>
  <c r="BA1924" i="1"/>
  <c r="BA1925" i="1"/>
  <c r="BA1926" i="1"/>
  <c r="BA1927" i="1"/>
  <c r="BA1928" i="1"/>
  <c r="BA1929" i="1"/>
  <c r="BA1930" i="1"/>
  <c r="BA1931" i="1"/>
  <c r="BA1932" i="1"/>
  <c r="BA1933" i="1"/>
  <c r="BA1934" i="1"/>
  <c r="BA1935" i="1"/>
  <c r="BA1936" i="1"/>
  <c r="BA1937" i="1"/>
  <c r="BA1938" i="1"/>
  <c r="BA1939" i="1"/>
  <c r="BA1940" i="1"/>
  <c r="BA1941" i="1"/>
  <c r="BA1942" i="1"/>
  <c r="BA1943" i="1"/>
  <c r="BA1944" i="1"/>
  <c r="BA1945" i="1"/>
  <c r="BA1946" i="1"/>
  <c r="BA1947" i="1"/>
  <c r="BA1948" i="1"/>
  <c r="BA1949" i="1"/>
  <c r="BA1950" i="1"/>
  <c r="BA1951" i="1"/>
  <c r="BA1952" i="1"/>
  <c r="BA1953" i="1"/>
  <c r="BA1954" i="1"/>
  <c r="BA1955" i="1"/>
  <c r="BA1956" i="1"/>
  <c r="BA1957" i="1"/>
  <c r="BA1958" i="1"/>
  <c r="BA1959" i="1"/>
  <c r="BA1960" i="1"/>
  <c r="BA1961" i="1"/>
  <c r="BA1962" i="1"/>
  <c r="BA1963" i="1"/>
  <c r="BA1964" i="1"/>
  <c r="BA1965" i="1"/>
  <c r="BA1966" i="1"/>
  <c r="BA1967" i="1"/>
  <c r="BA1968" i="1"/>
  <c r="BA1969" i="1"/>
  <c r="BA1970" i="1"/>
  <c r="BA1971" i="1"/>
  <c r="BA1972" i="1"/>
  <c r="BA1973" i="1"/>
  <c r="BA1974" i="1"/>
  <c r="BA1975" i="1"/>
  <c r="BA1976" i="1"/>
  <c r="BA1977" i="1"/>
  <c r="BA1978" i="1"/>
  <c r="BA1979" i="1"/>
  <c r="BA1980" i="1"/>
  <c r="BA1981" i="1"/>
  <c r="BA1982" i="1"/>
  <c r="BA1983" i="1"/>
  <c r="BA1984" i="1"/>
  <c r="BA1985" i="1"/>
  <c r="BA1986" i="1"/>
  <c r="BA1987" i="1"/>
  <c r="BA1988" i="1"/>
  <c r="BA1989" i="1"/>
  <c r="BA1990" i="1"/>
  <c r="BA1991" i="1"/>
  <c r="BA1992" i="1"/>
  <c r="BA1993" i="1"/>
  <c r="BA1994" i="1"/>
  <c r="BA1995" i="1"/>
  <c r="BA1996" i="1"/>
  <c r="BA1997" i="1"/>
  <c r="BA1998" i="1"/>
  <c r="BA1999" i="1"/>
  <c r="BA2000" i="1"/>
  <c r="BA2001" i="1"/>
  <c r="BA2002" i="1"/>
  <c r="BA2003" i="1"/>
  <c r="BA2004" i="1"/>
  <c r="BA2005" i="1"/>
  <c r="BA2006" i="1"/>
  <c r="BA2007" i="1"/>
  <c r="BA2008" i="1"/>
  <c r="BA2009" i="1"/>
  <c r="BA2010" i="1"/>
  <c r="BA2011" i="1"/>
  <c r="BA2012" i="1"/>
  <c r="BA2013" i="1"/>
  <c r="BA2014" i="1"/>
  <c r="BA2015" i="1"/>
  <c r="BA2016" i="1"/>
  <c r="BA2017" i="1"/>
  <c r="BA2018" i="1"/>
  <c r="BA2019" i="1"/>
  <c r="BA2020" i="1"/>
  <c r="BA2021" i="1"/>
  <c r="BA2022" i="1"/>
  <c r="BA2023" i="1"/>
  <c r="BA2024" i="1"/>
  <c r="BA2025" i="1"/>
  <c r="BA2026" i="1"/>
  <c r="BA2027" i="1"/>
  <c r="BA2028" i="1"/>
  <c r="BA2029" i="1"/>
  <c r="BA2030" i="1"/>
  <c r="BA2031" i="1"/>
  <c r="BA2032" i="1"/>
  <c r="BA2033" i="1"/>
  <c r="BA2034" i="1"/>
  <c r="BA2035" i="1"/>
  <c r="BA2036" i="1"/>
  <c r="BA2037" i="1"/>
  <c r="BA2038" i="1"/>
  <c r="BA2039" i="1"/>
  <c r="BA2040" i="1"/>
  <c r="BA2041" i="1"/>
  <c r="BA2042" i="1"/>
  <c r="BA2043" i="1"/>
  <c r="BA2044" i="1"/>
  <c r="BA2045" i="1"/>
  <c r="BA2046" i="1"/>
  <c r="BA2047" i="1"/>
  <c r="BA2048" i="1"/>
  <c r="BA2049" i="1"/>
  <c r="BA2050" i="1"/>
  <c r="BA2051" i="1"/>
  <c r="BA2052" i="1"/>
  <c r="BA2053" i="1"/>
  <c r="BA2054" i="1"/>
  <c r="BA2055" i="1"/>
  <c r="BA2056" i="1"/>
  <c r="BA2057" i="1"/>
  <c r="BA2058" i="1"/>
  <c r="BA2059" i="1"/>
  <c r="BA2060" i="1"/>
  <c r="BA2061" i="1"/>
  <c r="BA2062" i="1"/>
  <c r="BA2063" i="1"/>
  <c r="BA2064" i="1"/>
  <c r="BA2065" i="1"/>
  <c r="BA2066" i="1"/>
  <c r="BA2067" i="1"/>
  <c r="BA2068" i="1"/>
  <c r="BA2069" i="1"/>
  <c r="BA2070" i="1"/>
  <c r="BA2071" i="1"/>
  <c r="BA2072" i="1"/>
  <c r="BA2073" i="1"/>
  <c r="BA2074" i="1"/>
  <c r="BA2075" i="1"/>
  <c r="BA2076" i="1"/>
  <c r="BA2077" i="1"/>
  <c r="BA2078" i="1"/>
  <c r="BA2079" i="1"/>
  <c r="BA2080" i="1"/>
  <c r="BA2081" i="1"/>
  <c r="BA2082" i="1"/>
  <c r="BA2083" i="1"/>
  <c r="BA2084" i="1"/>
  <c r="BA2085" i="1"/>
  <c r="BA2086" i="1"/>
  <c r="BA2087" i="1"/>
  <c r="BA2088" i="1"/>
  <c r="BA2089" i="1"/>
  <c r="BA2090" i="1"/>
  <c r="BA2091" i="1"/>
  <c r="BA2092" i="1"/>
  <c r="BA2093" i="1"/>
  <c r="BA2094" i="1"/>
  <c r="BA2095" i="1"/>
  <c r="BA2096" i="1"/>
  <c r="BA2097" i="1"/>
  <c r="BA2098" i="1"/>
  <c r="BA2099" i="1"/>
  <c r="BA2100" i="1"/>
  <c r="BA2101" i="1"/>
  <c r="BA2102" i="1"/>
  <c r="BA2103" i="1"/>
  <c r="BA2104" i="1"/>
  <c r="BA2105" i="1"/>
  <c r="BA2106" i="1"/>
  <c r="BA2107" i="1"/>
  <c r="BA2108" i="1"/>
  <c r="BA2109" i="1"/>
  <c r="BA2110" i="1"/>
  <c r="BA2111" i="1"/>
  <c r="BA2112" i="1"/>
  <c r="BA2113" i="1"/>
  <c r="BA2114" i="1"/>
  <c r="BA2115" i="1"/>
  <c r="BA2116" i="1"/>
  <c r="BA2117" i="1"/>
  <c r="BA2118" i="1"/>
  <c r="BA2119" i="1"/>
  <c r="BA2120" i="1"/>
  <c r="BA2121" i="1"/>
  <c r="BA2122" i="1"/>
  <c r="BA2123" i="1"/>
  <c r="BA2124" i="1"/>
  <c r="BA2125" i="1"/>
  <c r="BA2126" i="1"/>
  <c r="BA2127" i="1"/>
  <c r="BA2128" i="1"/>
  <c r="BA2129" i="1"/>
  <c r="BA2130" i="1"/>
  <c r="BA2131" i="1"/>
  <c r="BA2132" i="1"/>
  <c r="BA2133" i="1"/>
  <c r="BA2134" i="1"/>
  <c r="BA2135" i="1"/>
  <c r="BA2136" i="1"/>
  <c r="BA2137" i="1"/>
  <c r="BA2138" i="1"/>
  <c r="BA2139" i="1"/>
  <c r="BA2140" i="1"/>
  <c r="BA2141" i="1"/>
  <c r="BA2142" i="1"/>
  <c r="BA2143" i="1"/>
  <c r="BA2144" i="1"/>
  <c r="BA2145" i="1"/>
  <c r="BA2146" i="1"/>
  <c r="BA2147" i="1"/>
  <c r="BA2148" i="1"/>
  <c r="BA2149" i="1"/>
  <c r="BA2150" i="1"/>
  <c r="BA2151" i="1"/>
  <c r="BA2152" i="1"/>
  <c r="BA2153" i="1"/>
  <c r="BA2154" i="1"/>
  <c r="BA2155" i="1"/>
  <c r="BA2156" i="1"/>
  <c r="BA2157" i="1"/>
  <c r="BA2158" i="1"/>
  <c r="BA2159" i="1"/>
  <c r="BA2160" i="1"/>
  <c r="BA2161" i="1"/>
  <c r="BA2162" i="1"/>
  <c r="BA2163" i="1"/>
  <c r="BA2164" i="1"/>
  <c r="BA2165" i="1"/>
  <c r="BA2166" i="1"/>
  <c r="BA2167" i="1"/>
  <c r="BA2168" i="1"/>
  <c r="BA2169" i="1"/>
  <c r="BA2170" i="1"/>
  <c r="BA2171" i="1"/>
  <c r="BA2172" i="1"/>
  <c r="BA2173" i="1"/>
  <c r="BA2174" i="1"/>
  <c r="BA2175" i="1"/>
  <c r="BA2176" i="1"/>
  <c r="BA2177" i="1"/>
  <c r="BA2178" i="1"/>
  <c r="BA2179" i="1"/>
  <c r="BA2180" i="1"/>
  <c r="BA2181" i="1"/>
  <c r="BA2182" i="1"/>
  <c r="BA2183" i="1"/>
  <c r="BA2184" i="1"/>
  <c r="BA2185" i="1"/>
  <c r="BA2186" i="1"/>
  <c r="BA2187" i="1"/>
  <c r="BA2188" i="1"/>
  <c r="BA2189" i="1"/>
  <c r="BA2190" i="1"/>
  <c r="BA2191" i="1"/>
  <c r="BA2192" i="1"/>
  <c r="BA2193" i="1"/>
  <c r="BA2194" i="1"/>
  <c r="BA2195" i="1"/>
  <c r="BA2196" i="1"/>
  <c r="BA2197" i="1"/>
  <c r="BA2198" i="1"/>
  <c r="BA2199" i="1"/>
  <c r="BA2200" i="1"/>
  <c r="BA2201" i="1"/>
  <c r="BA2202" i="1"/>
  <c r="BA2203" i="1"/>
  <c r="BA2204" i="1"/>
  <c r="BA2205" i="1"/>
  <c r="BA2206" i="1"/>
  <c r="BA2207" i="1"/>
  <c r="BA2208" i="1"/>
  <c r="BA2209" i="1"/>
  <c r="BA2210" i="1"/>
  <c r="BA2211" i="1"/>
  <c r="BA2212" i="1"/>
  <c r="BA2213" i="1"/>
  <c r="BA2214" i="1"/>
  <c r="BA2215" i="1"/>
  <c r="BA2216" i="1"/>
  <c r="BA2217" i="1"/>
  <c r="BA2218" i="1"/>
  <c r="BA2219" i="1"/>
  <c r="BA2220" i="1"/>
  <c r="BA2221" i="1"/>
  <c r="BA2222" i="1"/>
  <c r="BA2223" i="1"/>
  <c r="BA2224" i="1"/>
  <c r="BA2225" i="1"/>
  <c r="BA2226" i="1"/>
  <c r="BA2227" i="1"/>
  <c r="BA2228" i="1"/>
  <c r="BA2229" i="1"/>
  <c r="BA2230" i="1"/>
  <c r="BA2231" i="1"/>
  <c r="BA2232" i="1"/>
  <c r="BA2233" i="1"/>
  <c r="BA2234" i="1"/>
  <c r="BA2235" i="1"/>
  <c r="BA2236" i="1"/>
  <c r="BA2237" i="1"/>
  <c r="BA2238" i="1"/>
  <c r="BA2239" i="1"/>
  <c r="BA2240" i="1"/>
  <c r="BA2241" i="1"/>
  <c r="BA2242" i="1"/>
  <c r="BA2243" i="1"/>
  <c r="BA2244" i="1"/>
  <c r="BA2245" i="1"/>
  <c r="BA2246" i="1"/>
  <c r="BA2247" i="1"/>
  <c r="BA2248" i="1"/>
  <c r="BA2249" i="1"/>
  <c r="BA2250" i="1"/>
  <c r="BA2251" i="1"/>
  <c r="BA2252" i="1"/>
  <c r="BA2253" i="1"/>
  <c r="BA2254" i="1"/>
  <c r="BA2255" i="1"/>
  <c r="BA2256" i="1"/>
  <c r="BA2257" i="1"/>
  <c r="BA2258" i="1"/>
  <c r="BA2259" i="1"/>
  <c r="BA2260" i="1"/>
  <c r="BA2261" i="1"/>
  <c r="BA2262" i="1"/>
  <c r="BA2263" i="1"/>
  <c r="BA2264" i="1"/>
  <c r="BA2265" i="1"/>
  <c r="BA2266" i="1"/>
  <c r="BA2267" i="1"/>
  <c r="BA2268" i="1"/>
  <c r="BA2269" i="1"/>
  <c r="BA2270" i="1"/>
  <c r="BA2271" i="1"/>
  <c r="BA2272" i="1"/>
  <c r="BA2273" i="1"/>
  <c r="BA2274" i="1"/>
  <c r="BA2275" i="1"/>
  <c r="BA2276" i="1"/>
  <c r="BA2277" i="1"/>
  <c r="BA2278" i="1"/>
  <c r="BA2279" i="1"/>
  <c r="BA2280" i="1"/>
  <c r="BA2281" i="1"/>
  <c r="BA2282" i="1"/>
  <c r="BA2283" i="1"/>
  <c r="BA2284" i="1"/>
  <c r="BA2285" i="1"/>
  <c r="BA2286" i="1"/>
  <c r="BA2287" i="1"/>
  <c r="BA2288" i="1"/>
  <c r="BA2289" i="1"/>
  <c r="BA2290" i="1"/>
  <c r="BA2291" i="1"/>
  <c r="BA2292" i="1"/>
  <c r="BA2293" i="1"/>
  <c r="BA2294" i="1"/>
  <c r="BA2295" i="1"/>
  <c r="BA2296" i="1"/>
  <c r="BA2297" i="1"/>
  <c r="BA2298" i="1"/>
  <c r="BA2299" i="1"/>
  <c r="BA2300" i="1"/>
  <c r="BA2301" i="1"/>
  <c r="BA2302" i="1"/>
  <c r="BA2303" i="1"/>
  <c r="BA2304" i="1"/>
  <c r="BA2305" i="1"/>
  <c r="BA2306" i="1"/>
  <c r="BA2307" i="1"/>
  <c r="BA2308" i="1"/>
  <c r="BA2309" i="1"/>
  <c r="BA2310" i="1"/>
  <c r="BA2311" i="1"/>
  <c r="BA2312" i="1"/>
  <c r="BA2313" i="1"/>
  <c r="BA2314" i="1"/>
  <c r="BA2315" i="1"/>
  <c r="BA2316" i="1"/>
  <c r="BA2317" i="1"/>
  <c r="BA2318" i="1"/>
  <c r="BA2319" i="1"/>
  <c r="BA2320" i="1"/>
  <c r="BA2321" i="1"/>
  <c r="BA2322" i="1"/>
  <c r="BA2323" i="1"/>
  <c r="BA2324" i="1"/>
  <c r="BA2325" i="1"/>
  <c r="BA2326" i="1"/>
  <c r="BA2327" i="1"/>
  <c r="BA2328" i="1"/>
  <c r="BA2329" i="1"/>
  <c r="BA2330" i="1"/>
  <c r="BA2331" i="1"/>
  <c r="BA2332" i="1"/>
  <c r="BA2333" i="1"/>
  <c r="BA2334" i="1"/>
  <c r="BA2335" i="1"/>
  <c r="BA2336" i="1"/>
  <c r="BA2337" i="1"/>
  <c r="BA2338" i="1"/>
  <c r="BA2339" i="1"/>
  <c r="BA2340" i="1"/>
  <c r="BA2341" i="1"/>
  <c r="BA2342" i="1"/>
  <c r="BA2343" i="1"/>
  <c r="BA2344" i="1"/>
  <c r="BA2345" i="1"/>
  <c r="BA2346" i="1"/>
  <c r="BA2347" i="1"/>
  <c r="BA2348" i="1"/>
  <c r="BA2349" i="1"/>
  <c r="BA2350" i="1"/>
  <c r="BA2351" i="1"/>
  <c r="BA2352" i="1"/>
  <c r="BA2353" i="1"/>
  <c r="BA2354" i="1"/>
  <c r="BA2355" i="1"/>
  <c r="BA2356" i="1"/>
  <c r="BA2357" i="1"/>
  <c r="BA2358" i="1"/>
  <c r="BA2359" i="1"/>
  <c r="BA2360" i="1"/>
  <c r="BA2361" i="1"/>
  <c r="BA2362" i="1"/>
  <c r="BA2363" i="1"/>
  <c r="BA2364" i="1"/>
  <c r="BA2365" i="1"/>
  <c r="BA2366" i="1"/>
  <c r="BA2367" i="1"/>
  <c r="BA2368" i="1"/>
  <c r="BA2369" i="1"/>
  <c r="BA2370" i="1"/>
  <c r="BA2371" i="1"/>
  <c r="BA2372" i="1"/>
  <c r="BA2373" i="1"/>
  <c r="BA2374" i="1"/>
  <c r="BA2375" i="1"/>
  <c r="BA2376" i="1"/>
  <c r="BA2377" i="1"/>
  <c r="BA2378" i="1"/>
  <c r="BA2379" i="1"/>
  <c r="BA2380" i="1"/>
  <c r="BA2381" i="1"/>
  <c r="BA2382" i="1"/>
  <c r="BA2383" i="1"/>
  <c r="BA2384" i="1"/>
  <c r="BA2385" i="1"/>
  <c r="BA2386" i="1"/>
  <c r="BA2387" i="1"/>
  <c r="BA2388" i="1"/>
  <c r="BA2389" i="1"/>
  <c r="BA2390" i="1"/>
  <c r="BA2391" i="1"/>
  <c r="BA2392" i="1"/>
  <c r="BA2393" i="1"/>
  <c r="BA2394" i="1"/>
  <c r="BA2395" i="1"/>
  <c r="BA2396" i="1"/>
  <c r="BA2397" i="1"/>
  <c r="BA2398" i="1"/>
  <c r="BA2399" i="1"/>
  <c r="BA2400" i="1"/>
  <c r="BA2401" i="1"/>
  <c r="BA2402" i="1"/>
  <c r="BA2403" i="1"/>
  <c r="BA2404" i="1"/>
  <c r="BA2405" i="1"/>
  <c r="BA2406" i="1"/>
  <c r="BA2407" i="1"/>
  <c r="BA2408" i="1"/>
  <c r="BA2409" i="1"/>
  <c r="BA2410" i="1"/>
  <c r="BA2411" i="1"/>
  <c r="BA2412" i="1"/>
  <c r="BA2413" i="1"/>
  <c r="BA2414" i="1"/>
  <c r="BA2415" i="1"/>
  <c r="BA2416" i="1"/>
  <c r="BA2417" i="1"/>
  <c r="BA2418" i="1"/>
  <c r="BA2419" i="1"/>
  <c r="BA2420" i="1"/>
  <c r="BA2421" i="1"/>
  <c r="BA2422" i="1"/>
  <c r="BA2423" i="1"/>
  <c r="BA2424" i="1"/>
  <c r="BA2425" i="1"/>
  <c r="BA2426" i="1"/>
  <c r="BA2427" i="1"/>
  <c r="BA2428" i="1"/>
  <c r="BA2429" i="1"/>
  <c r="BA2430" i="1"/>
  <c r="BA2431" i="1"/>
  <c r="BA2432" i="1"/>
  <c r="BA2433" i="1"/>
  <c r="BA2434" i="1"/>
  <c r="BA2435" i="1"/>
  <c r="BA2436" i="1"/>
  <c r="BA2437" i="1"/>
  <c r="BA2438" i="1"/>
  <c r="BA2439" i="1"/>
  <c r="BA2440" i="1"/>
  <c r="BA2441" i="1"/>
  <c r="BA2442" i="1"/>
  <c r="BA2443" i="1"/>
  <c r="BA2444" i="1"/>
  <c r="BA2445" i="1"/>
  <c r="BA2446" i="1"/>
  <c r="BA2447" i="1"/>
  <c r="BA2448" i="1"/>
  <c r="BA2449" i="1"/>
  <c r="BA2450" i="1"/>
  <c r="BA2451" i="1"/>
  <c r="BA2452" i="1"/>
  <c r="BA2453" i="1"/>
  <c r="BA2454" i="1"/>
  <c r="BA2455" i="1"/>
  <c r="BA2456" i="1"/>
  <c r="BA2457" i="1"/>
  <c r="BA2458" i="1"/>
  <c r="BA2459" i="1"/>
  <c r="BA2460" i="1"/>
  <c r="BA2461" i="1"/>
  <c r="BA2462" i="1"/>
  <c r="BA2463" i="1"/>
  <c r="BA2464" i="1"/>
  <c r="BA2465" i="1"/>
  <c r="BA2466" i="1"/>
  <c r="BA2467" i="1"/>
  <c r="BA2468" i="1"/>
  <c r="BA2469" i="1"/>
  <c r="BA2470" i="1"/>
  <c r="BA2471" i="1"/>
  <c r="BA2472" i="1"/>
  <c r="BA2473" i="1"/>
  <c r="BA2474" i="1"/>
  <c r="BA2475" i="1"/>
  <c r="BA2476" i="1"/>
  <c r="BA2477" i="1"/>
  <c r="BA2478" i="1"/>
  <c r="BA2479" i="1"/>
  <c r="BA2480" i="1"/>
  <c r="BA2481" i="1"/>
  <c r="BA2482" i="1"/>
  <c r="BA2483" i="1"/>
  <c r="BA2484" i="1"/>
  <c r="BA2485" i="1"/>
  <c r="BA2486" i="1"/>
  <c r="BA2487" i="1"/>
  <c r="BA2488" i="1"/>
  <c r="BA2489" i="1"/>
  <c r="BA2490" i="1"/>
  <c r="BA2491" i="1"/>
  <c r="BA2492" i="1"/>
  <c r="BA2493" i="1"/>
  <c r="BA2494" i="1"/>
  <c r="BA2495" i="1"/>
  <c r="BA2496" i="1"/>
  <c r="BA2497" i="1"/>
  <c r="BA2498" i="1"/>
  <c r="BA2499" i="1"/>
  <c r="BA2500" i="1"/>
  <c r="BA2501" i="1"/>
  <c r="BA2502" i="1"/>
  <c r="BA2503" i="1"/>
  <c r="BA2504" i="1"/>
  <c r="BA2505" i="1"/>
  <c r="BA2506" i="1"/>
  <c r="BA2507" i="1"/>
  <c r="BA2508" i="1"/>
  <c r="BA2509" i="1"/>
  <c r="BA2510" i="1"/>
  <c r="BA2511" i="1"/>
  <c r="BA2512" i="1"/>
  <c r="BA2513" i="1"/>
  <c r="BA2514" i="1"/>
  <c r="BA2515" i="1"/>
  <c r="BA2516" i="1"/>
  <c r="BA2517" i="1"/>
  <c r="BA2518" i="1"/>
  <c r="BA2519" i="1"/>
  <c r="BA2520" i="1"/>
  <c r="BA2521" i="1"/>
  <c r="BA2522" i="1"/>
  <c r="BA2523" i="1"/>
  <c r="BA2524" i="1"/>
  <c r="BA2525" i="1"/>
  <c r="BA2526" i="1"/>
  <c r="BA2527" i="1"/>
  <c r="BA2528" i="1"/>
  <c r="BA2529" i="1"/>
  <c r="BA2530" i="1"/>
  <c r="BA2531" i="1"/>
  <c r="BA2532" i="1"/>
  <c r="BA2533" i="1"/>
  <c r="BA2534" i="1"/>
  <c r="BA2535" i="1"/>
  <c r="BA2536" i="1"/>
  <c r="BA2537" i="1"/>
  <c r="BA2538" i="1"/>
  <c r="BA2539" i="1"/>
  <c r="BA2540" i="1"/>
  <c r="BA2541" i="1"/>
  <c r="BA2542" i="1"/>
  <c r="BA2543" i="1"/>
  <c r="BA2544" i="1"/>
  <c r="BA2545" i="1"/>
  <c r="BA2546" i="1"/>
  <c r="BA2547" i="1"/>
  <c r="BA2548" i="1"/>
  <c r="BA2549" i="1"/>
  <c r="BA2550" i="1"/>
  <c r="BA2551" i="1"/>
  <c r="BA2552" i="1"/>
  <c r="BA2553" i="1"/>
  <c r="BA2554" i="1"/>
  <c r="BA2555" i="1"/>
  <c r="BA2556" i="1"/>
  <c r="BA2557" i="1"/>
  <c r="BA2558" i="1"/>
  <c r="BA2559" i="1"/>
  <c r="BA2560" i="1"/>
  <c r="BA2561" i="1"/>
  <c r="BA2562" i="1"/>
  <c r="BA2563" i="1"/>
  <c r="BA2564" i="1"/>
  <c r="BA2565" i="1"/>
  <c r="BA2566" i="1"/>
  <c r="BA2567" i="1"/>
  <c r="BA2568" i="1"/>
  <c r="BA2569" i="1"/>
  <c r="BA2570" i="1"/>
  <c r="BA2571" i="1"/>
  <c r="BA2572" i="1"/>
  <c r="BA2573" i="1"/>
  <c r="BA2574" i="1"/>
  <c r="BA2575" i="1"/>
  <c r="BA2576" i="1"/>
  <c r="BA2577" i="1"/>
  <c r="BA2578" i="1"/>
  <c r="BA2579" i="1"/>
  <c r="BA2580" i="1"/>
  <c r="BA2581" i="1"/>
  <c r="BA2582" i="1"/>
  <c r="BA2583" i="1"/>
  <c r="BA2584" i="1"/>
  <c r="BA2585" i="1"/>
  <c r="BA2586" i="1"/>
  <c r="BA2587" i="1"/>
  <c r="BA2588" i="1"/>
  <c r="BA2589" i="1"/>
  <c r="BA2590" i="1"/>
  <c r="BA2591" i="1"/>
  <c r="BA2592" i="1"/>
  <c r="BA2593" i="1"/>
  <c r="BA2594" i="1"/>
  <c r="BA2595" i="1"/>
  <c r="BA2596" i="1"/>
  <c r="BA2597" i="1"/>
  <c r="BA2598" i="1"/>
  <c r="BA2599" i="1"/>
  <c r="BA2600" i="1"/>
  <c r="BA2601" i="1"/>
  <c r="BA2602" i="1"/>
  <c r="BA2603" i="1"/>
  <c r="BA2604" i="1"/>
  <c r="BA2605" i="1"/>
  <c r="BA2606" i="1"/>
  <c r="BA2607" i="1"/>
  <c r="BA2608" i="1"/>
  <c r="BA2609" i="1"/>
  <c r="BA2610" i="1"/>
  <c r="BA2611" i="1"/>
  <c r="BA2612" i="1"/>
  <c r="BA2613" i="1"/>
  <c r="BA2614" i="1"/>
  <c r="BA2615" i="1"/>
  <c r="BA2616" i="1"/>
  <c r="BA2617" i="1"/>
  <c r="BA2618" i="1"/>
  <c r="BA2619" i="1"/>
  <c r="BA2620" i="1"/>
  <c r="BA2621" i="1"/>
  <c r="BA2622" i="1"/>
  <c r="BA2623" i="1"/>
  <c r="BA2624" i="1"/>
  <c r="BA2625" i="1"/>
  <c r="BA2626" i="1"/>
  <c r="BA2627" i="1"/>
  <c r="BA2628" i="1"/>
  <c r="BA2629" i="1"/>
  <c r="BA2630" i="1"/>
  <c r="BA2631" i="1"/>
  <c r="BA2632" i="1"/>
  <c r="BA2633" i="1"/>
  <c r="BA2634" i="1"/>
  <c r="BA2635" i="1"/>
  <c r="BA2636" i="1"/>
  <c r="BA2637" i="1"/>
  <c r="BA2638" i="1"/>
  <c r="BA2639" i="1"/>
  <c r="BA2640" i="1"/>
  <c r="BA2641" i="1"/>
  <c r="BA2642" i="1"/>
  <c r="BA2643" i="1"/>
  <c r="BA2644" i="1"/>
  <c r="BA2645" i="1"/>
  <c r="BA2646" i="1"/>
  <c r="BA2647" i="1"/>
  <c r="BA2648" i="1"/>
  <c r="BA2649" i="1"/>
  <c r="BA2650" i="1"/>
  <c r="BA2651" i="1"/>
  <c r="BA2652" i="1"/>
  <c r="BA2653" i="1"/>
  <c r="BA2654" i="1"/>
  <c r="BA2655" i="1"/>
  <c r="BA2656" i="1"/>
  <c r="BA2657" i="1"/>
  <c r="BA2658" i="1"/>
  <c r="BA2659" i="1"/>
  <c r="BA2660" i="1"/>
  <c r="BA2661" i="1"/>
  <c r="BA2662" i="1"/>
  <c r="BA2663" i="1"/>
  <c r="BA2664" i="1"/>
  <c r="BA2665" i="1"/>
  <c r="BA2666" i="1"/>
  <c r="BA2667" i="1"/>
  <c r="BA2668" i="1"/>
  <c r="BA2669" i="1"/>
  <c r="BA2670" i="1"/>
  <c r="BA2671" i="1"/>
  <c r="BA2672" i="1"/>
  <c r="BA2673" i="1"/>
  <c r="BA2674" i="1"/>
  <c r="BA2675" i="1"/>
  <c r="BA2676" i="1"/>
  <c r="BA2677" i="1"/>
  <c r="BA2678" i="1"/>
  <c r="BA2679" i="1"/>
  <c r="BA2680" i="1"/>
  <c r="BA2681" i="1"/>
  <c r="BA2682" i="1"/>
  <c r="BA2683" i="1"/>
  <c r="BA2684" i="1"/>
  <c r="BA2685" i="1"/>
  <c r="BA2686" i="1"/>
  <c r="BA2687" i="1"/>
  <c r="BA2688" i="1"/>
  <c r="BA2689" i="1"/>
  <c r="BA2690" i="1"/>
  <c r="BA2691" i="1"/>
  <c r="BA2692" i="1"/>
  <c r="BA2693" i="1"/>
  <c r="BA2694" i="1"/>
  <c r="BA2695" i="1"/>
  <c r="BA2696" i="1"/>
  <c r="BA2697" i="1"/>
  <c r="BA2698" i="1"/>
  <c r="BA2699" i="1"/>
  <c r="BA2700" i="1"/>
  <c r="BA2701" i="1"/>
  <c r="BA2702" i="1"/>
  <c r="BA2703" i="1"/>
  <c r="BA2704" i="1"/>
  <c r="BA2705" i="1"/>
  <c r="BA2706" i="1"/>
  <c r="BA2707" i="1"/>
  <c r="BA2708" i="1"/>
  <c r="BA2709" i="1"/>
  <c r="BA2710" i="1"/>
  <c r="BA2711" i="1"/>
  <c r="BA2712" i="1"/>
  <c r="BA2713" i="1"/>
  <c r="BA2714" i="1"/>
  <c r="BA2715" i="1"/>
  <c r="BA2716" i="1"/>
  <c r="BA2717" i="1"/>
  <c r="BA2718" i="1"/>
  <c r="BA2719" i="1"/>
  <c r="BA2720" i="1"/>
  <c r="BA2721" i="1"/>
  <c r="BA2722" i="1"/>
  <c r="BA2723" i="1"/>
  <c r="BA2724" i="1"/>
  <c r="BA2725" i="1"/>
  <c r="BA2726" i="1"/>
  <c r="BA2727" i="1"/>
  <c r="BA2728" i="1"/>
  <c r="BA2729" i="1"/>
  <c r="BA2730" i="1"/>
  <c r="BA2731" i="1"/>
  <c r="BA2732" i="1"/>
  <c r="BA2733" i="1"/>
  <c r="BA2734" i="1"/>
  <c r="BA2735" i="1"/>
  <c r="BA2736" i="1"/>
  <c r="BA2737" i="1"/>
  <c r="BA2738" i="1"/>
  <c r="BA2739" i="1"/>
  <c r="BA2740" i="1"/>
  <c r="BA2741" i="1"/>
  <c r="BA2742" i="1"/>
  <c r="BA2743" i="1"/>
  <c r="BA2744" i="1"/>
  <c r="BA2745" i="1"/>
  <c r="BA2746" i="1"/>
  <c r="BA2747" i="1"/>
  <c r="BA2748" i="1"/>
  <c r="BA2749" i="1"/>
  <c r="BA2750" i="1"/>
  <c r="BA2751" i="1"/>
  <c r="BA2752" i="1"/>
  <c r="BA2753" i="1"/>
  <c r="BA2754" i="1"/>
  <c r="BA2755" i="1"/>
  <c r="BA2756" i="1"/>
  <c r="BA2757" i="1"/>
  <c r="BA2758" i="1"/>
  <c r="BA2759" i="1"/>
  <c r="BA3" i="1"/>
  <c r="BA4" i="1"/>
  <c r="BA5" i="1"/>
  <c r="BA6" i="1"/>
  <c r="BA7" i="1"/>
  <c r="BA8" i="1"/>
  <c r="BA9" i="1"/>
  <c r="BA10" i="1"/>
  <c r="BA11" i="1"/>
  <c r="BA12" i="1"/>
  <c r="BA13" i="1"/>
  <c r="BA14" i="1"/>
  <c r="BA15" i="1"/>
  <c r="BA16" i="1"/>
  <c r="BA17" i="1"/>
  <c r="BA18" i="1"/>
  <c r="BA19" i="1"/>
  <c r="BA20" i="1"/>
  <c r="BA21" i="1"/>
  <c r="BA22" i="1"/>
  <c r="BA23" i="1"/>
  <c r="BA24" i="1"/>
  <c r="BA25" i="1"/>
  <c r="BA26" i="1"/>
  <c r="BA27" i="1"/>
  <c r="BA28" i="1"/>
  <c r="BA29" i="1"/>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73" i="1"/>
  <c r="BA74" i="1"/>
  <c r="BA75" i="1"/>
  <c r="BA76" i="1"/>
  <c r="BA77" i="1"/>
  <c r="BA78" i="1"/>
  <c r="BA79" i="1"/>
  <c r="BA80" i="1"/>
  <c r="BA81" i="1"/>
  <c r="BA82" i="1"/>
  <c r="BA83" i="1"/>
  <c r="BA84" i="1"/>
  <c r="BA85" i="1"/>
  <c r="BA86" i="1"/>
  <c r="BA87" i="1"/>
  <c r="BA88" i="1"/>
  <c r="BA89" i="1"/>
  <c r="BA90" i="1"/>
  <c r="BA91" i="1"/>
  <c r="BA92" i="1"/>
  <c r="BA93" i="1"/>
  <c r="BA94" i="1"/>
  <c r="BA95" i="1"/>
  <c r="BA96" i="1"/>
  <c r="BA97" i="1"/>
  <c r="BA98" i="1"/>
  <c r="BA99" i="1"/>
  <c r="BA100" i="1"/>
  <c r="BA101" i="1"/>
  <c r="BA102" i="1"/>
  <c r="BA103" i="1"/>
  <c r="BA104" i="1"/>
  <c r="BA105" i="1"/>
  <c r="BA106" i="1"/>
  <c r="BA107" i="1"/>
  <c r="BA108" i="1"/>
  <c r="BA109" i="1"/>
  <c r="BA110" i="1"/>
  <c r="BA111" i="1"/>
  <c r="BA112" i="1"/>
  <c r="BA113" i="1"/>
  <c r="BA114" i="1"/>
  <c r="BA115" i="1"/>
  <c r="BA116" i="1"/>
  <c r="BA117" i="1"/>
  <c r="BA118" i="1"/>
  <c r="BA119" i="1"/>
  <c r="BA120" i="1"/>
  <c r="BA121" i="1"/>
  <c r="BA122" i="1"/>
  <c r="BA123" i="1"/>
  <c r="BA124" i="1"/>
  <c r="BA125" i="1"/>
  <c r="BA126" i="1"/>
  <c r="BA127" i="1"/>
  <c r="BA128" i="1"/>
  <c r="BA129" i="1"/>
  <c r="BA130" i="1"/>
  <c r="BA131" i="1"/>
  <c r="BA132" i="1"/>
  <c r="BA133" i="1"/>
  <c r="BA134" i="1"/>
  <c r="BA135" i="1"/>
  <c r="BA136" i="1"/>
  <c r="BA137" i="1"/>
  <c r="BA138" i="1"/>
  <c r="BA139" i="1"/>
  <c r="BA140" i="1"/>
  <c r="BA141" i="1"/>
  <c r="BA142" i="1"/>
  <c r="BA143" i="1"/>
  <c r="BA144" i="1"/>
  <c r="BA145" i="1"/>
  <c r="BA146" i="1"/>
  <c r="BA147" i="1"/>
  <c r="BA148" i="1"/>
  <c r="BA149"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BA501" i="1"/>
  <c r="BA502" i="1"/>
  <c r="BA503" i="1"/>
  <c r="BA504" i="1"/>
  <c r="BA505" i="1"/>
  <c r="BA506" i="1"/>
  <c r="BA507" i="1"/>
  <c r="BA508" i="1"/>
  <c r="BA509" i="1"/>
  <c r="BA510" i="1"/>
  <c r="BA511" i="1"/>
  <c r="BA512" i="1"/>
  <c r="BA513" i="1"/>
  <c r="BA514" i="1"/>
  <c r="BA515" i="1"/>
  <c r="BA516" i="1"/>
  <c r="BA517" i="1"/>
  <c r="BA518" i="1"/>
  <c r="BA519" i="1"/>
  <c r="BA520" i="1"/>
  <c r="BA521" i="1"/>
  <c r="BA522" i="1"/>
  <c r="BA523" i="1"/>
  <c r="BA524" i="1"/>
  <c r="BA525" i="1"/>
  <c r="BA526" i="1"/>
  <c r="BA527" i="1"/>
  <c r="BA528" i="1"/>
  <c r="BA529" i="1"/>
  <c r="BA530" i="1"/>
  <c r="BA531" i="1"/>
  <c r="BA532" i="1"/>
  <c r="BA533" i="1"/>
  <c r="BA534" i="1"/>
  <c r="BA535" i="1"/>
  <c r="BA536" i="1"/>
  <c r="BA537" i="1"/>
  <c r="BA538" i="1"/>
  <c r="BA539" i="1"/>
  <c r="BA540" i="1"/>
  <c r="BA541" i="1"/>
  <c r="BA542" i="1"/>
  <c r="BA543" i="1"/>
  <c r="BA544" i="1"/>
  <c r="BA545" i="1"/>
  <c r="BA546" i="1"/>
  <c r="BA547" i="1"/>
  <c r="BA548" i="1"/>
  <c r="BA549" i="1"/>
  <c r="BA550" i="1"/>
  <c r="BA551" i="1"/>
  <c r="BA552" i="1"/>
  <c r="BA553" i="1"/>
  <c r="BA554" i="1"/>
  <c r="BA555" i="1"/>
  <c r="BA556" i="1"/>
  <c r="BA557" i="1"/>
  <c r="BA558" i="1"/>
  <c r="BA559" i="1"/>
  <c r="BA560" i="1"/>
  <c r="BA561" i="1"/>
  <c r="BA562" i="1"/>
  <c r="BA563" i="1"/>
  <c r="BA564" i="1"/>
  <c r="BA565" i="1"/>
  <c r="BA566" i="1"/>
  <c r="BA567" i="1"/>
  <c r="BA568" i="1"/>
  <c r="BA569" i="1"/>
  <c r="BA570" i="1"/>
  <c r="BA571" i="1"/>
  <c r="BA572" i="1"/>
  <c r="BA573" i="1"/>
  <c r="BA574" i="1"/>
  <c r="BA575" i="1"/>
  <c r="BA576" i="1"/>
  <c r="BA577" i="1"/>
  <c r="BA578" i="1"/>
  <c r="BA579" i="1"/>
  <c r="BA580" i="1"/>
  <c r="BA581" i="1"/>
  <c r="BA582" i="1"/>
  <c r="BA583" i="1"/>
  <c r="BA584" i="1"/>
  <c r="BA585" i="1"/>
  <c r="BA586" i="1"/>
  <c r="BA587" i="1"/>
  <c r="BA588" i="1"/>
  <c r="BA589" i="1"/>
  <c r="BA590" i="1"/>
  <c r="BA591" i="1"/>
  <c r="BA592" i="1"/>
  <c r="BA593" i="1"/>
  <c r="BA594" i="1"/>
  <c r="BA595" i="1"/>
  <c r="BA596" i="1"/>
  <c r="BA597" i="1"/>
  <c r="BA598" i="1"/>
  <c r="BA599" i="1"/>
  <c r="BA600" i="1"/>
  <c r="BA601" i="1"/>
  <c r="BA602" i="1"/>
  <c r="BA603" i="1"/>
  <c r="BA604" i="1"/>
  <c r="BA605" i="1"/>
  <c r="BA606" i="1"/>
  <c r="BA607" i="1"/>
  <c r="BA608" i="1"/>
  <c r="BA609" i="1"/>
  <c r="BA610" i="1"/>
  <c r="BA611" i="1"/>
  <c r="BA612" i="1"/>
  <c r="BA613" i="1"/>
  <c r="BA614" i="1"/>
  <c r="BA615" i="1"/>
  <c r="BA616" i="1"/>
  <c r="BA617" i="1"/>
  <c r="BA618" i="1"/>
  <c r="BA619" i="1"/>
  <c r="BA620" i="1"/>
  <c r="BA621" i="1"/>
  <c r="BA622" i="1"/>
  <c r="BA623" i="1"/>
  <c r="BA624" i="1"/>
  <c r="BA625" i="1"/>
  <c r="BA626" i="1"/>
  <c r="BA627" i="1"/>
  <c r="BA628" i="1"/>
  <c r="BA629" i="1"/>
  <c r="BA630" i="1"/>
  <c r="BA631" i="1"/>
  <c r="BA632" i="1"/>
  <c r="BA633" i="1"/>
  <c r="BA634" i="1"/>
  <c r="BA635" i="1"/>
  <c r="BA636" i="1"/>
  <c r="BA637" i="1"/>
  <c r="BA638" i="1"/>
  <c r="BA639" i="1"/>
  <c r="BA640" i="1"/>
  <c r="BA641" i="1"/>
  <c r="BA642" i="1"/>
  <c r="BA643" i="1"/>
  <c r="BA644" i="1"/>
  <c r="BA645" i="1"/>
  <c r="BA646" i="1"/>
  <c r="BA647" i="1"/>
  <c r="BA648" i="1"/>
  <c r="BA649" i="1"/>
  <c r="BA650" i="1"/>
  <c r="BA651" i="1"/>
  <c r="BA652" i="1"/>
  <c r="BA653" i="1"/>
  <c r="BA654" i="1"/>
  <c r="BA655" i="1"/>
  <c r="BA656" i="1"/>
  <c r="BA657" i="1"/>
  <c r="BA658" i="1"/>
  <c r="BA659" i="1"/>
  <c r="BA660" i="1"/>
  <c r="BA661" i="1"/>
  <c r="BA662" i="1"/>
  <c r="BA663" i="1"/>
  <c r="BA664" i="1"/>
  <c r="BA665" i="1"/>
  <c r="BA666" i="1"/>
  <c r="BA667" i="1"/>
  <c r="BA668" i="1"/>
  <c r="BA669" i="1"/>
  <c r="BA670" i="1"/>
  <c r="BA671" i="1"/>
  <c r="BA672" i="1"/>
  <c r="BA673" i="1"/>
  <c r="BA674" i="1"/>
  <c r="BA675" i="1"/>
  <c r="BA676" i="1"/>
  <c r="BA677" i="1"/>
  <c r="BA678" i="1"/>
  <c r="BA679" i="1"/>
  <c r="BA680" i="1"/>
  <c r="BA681" i="1"/>
  <c r="BA682" i="1"/>
  <c r="BA683" i="1"/>
  <c r="BA684" i="1"/>
  <c r="BA685" i="1"/>
  <c r="BA686" i="1"/>
  <c r="BA687" i="1"/>
  <c r="BA688" i="1"/>
  <c r="BA689" i="1"/>
  <c r="BA690" i="1"/>
  <c r="BA691" i="1"/>
  <c r="BA692" i="1"/>
  <c r="BA693" i="1"/>
  <c r="BA694" i="1"/>
  <c r="BA695" i="1"/>
  <c r="BA696" i="1"/>
  <c r="BA697" i="1"/>
  <c r="BA698" i="1"/>
  <c r="BA699" i="1"/>
  <c r="BA700" i="1"/>
  <c r="BA701" i="1"/>
  <c r="BA702" i="1"/>
  <c r="BA703" i="1"/>
  <c r="BA704" i="1"/>
  <c r="BA705" i="1"/>
  <c r="BA706" i="1"/>
  <c r="BA707" i="1"/>
  <c r="BA708" i="1"/>
  <c r="BA709" i="1"/>
  <c r="BA710" i="1"/>
  <c r="BA711" i="1"/>
  <c r="BA712" i="1"/>
  <c r="BA713" i="1"/>
  <c r="BA714" i="1"/>
  <c r="BA715" i="1"/>
  <c r="BA716" i="1"/>
  <c r="BA717" i="1"/>
  <c r="BA718" i="1"/>
  <c r="BA719" i="1"/>
  <c r="BA720" i="1"/>
  <c r="BA721" i="1"/>
  <c r="BA722" i="1"/>
  <c r="BA723" i="1"/>
  <c r="BA724" i="1"/>
  <c r="BA725" i="1"/>
  <c r="BA726" i="1"/>
  <c r="BA727" i="1"/>
  <c r="BA728" i="1"/>
  <c r="BA729" i="1"/>
  <c r="BA730" i="1"/>
  <c r="BA731" i="1"/>
  <c r="BA732" i="1"/>
  <c r="BA733" i="1"/>
  <c r="BA734" i="1"/>
  <c r="BA735" i="1"/>
  <c r="BA736" i="1"/>
  <c r="BA737" i="1"/>
  <c r="BA738" i="1"/>
  <c r="BA739" i="1"/>
  <c r="BA740" i="1"/>
  <c r="BA741" i="1"/>
  <c r="BA742" i="1"/>
  <c r="BA743" i="1"/>
  <c r="BA744" i="1"/>
  <c r="BA745" i="1"/>
  <c r="BA746" i="1"/>
  <c r="BA747" i="1"/>
  <c r="BA748" i="1"/>
  <c r="BA749" i="1"/>
  <c r="BA750" i="1"/>
  <c r="BA751" i="1"/>
  <c r="BA752" i="1"/>
  <c r="BA753" i="1"/>
  <c r="BA754" i="1"/>
  <c r="BA755" i="1"/>
  <c r="BA756" i="1"/>
  <c r="BA757" i="1"/>
  <c r="BA758" i="1"/>
  <c r="BA759" i="1"/>
  <c r="BA760" i="1"/>
  <c r="BA761" i="1"/>
  <c r="BA762" i="1"/>
  <c r="BA763" i="1"/>
  <c r="BA764" i="1"/>
  <c r="BA765" i="1"/>
  <c r="BA766" i="1"/>
  <c r="BA767" i="1"/>
  <c r="BA768" i="1"/>
  <c r="BA769" i="1"/>
  <c r="BA770" i="1"/>
  <c r="BA771" i="1"/>
  <c r="BA772" i="1"/>
  <c r="BA773" i="1"/>
  <c r="BA774" i="1"/>
  <c r="BA775" i="1"/>
  <c r="BA776" i="1"/>
  <c r="BA777" i="1"/>
  <c r="BA778" i="1"/>
  <c r="BA779" i="1"/>
  <c r="BA780" i="1"/>
  <c r="BA781" i="1"/>
  <c r="BA782" i="1"/>
  <c r="BA783" i="1"/>
  <c r="BA784" i="1"/>
  <c r="BA785" i="1"/>
  <c r="BA786" i="1"/>
  <c r="BA787" i="1"/>
  <c r="BA788" i="1"/>
  <c r="BA789" i="1"/>
  <c r="BA790" i="1"/>
  <c r="BA791" i="1"/>
  <c r="BA792" i="1"/>
  <c r="BA793" i="1"/>
  <c r="BA794" i="1"/>
  <c r="BA795" i="1"/>
  <c r="BA796" i="1"/>
  <c r="BA797" i="1"/>
  <c r="BA798" i="1"/>
  <c r="BA799" i="1"/>
  <c r="BA800" i="1"/>
  <c r="BA801" i="1"/>
  <c r="BA802" i="1"/>
  <c r="BA803" i="1"/>
  <c r="BA804" i="1"/>
  <c r="BA805" i="1"/>
  <c r="BA806" i="1"/>
  <c r="BA807" i="1"/>
  <c r="BA808" i="1"/>
  <c r="BA809" i="1"/>
  <c r="BA810" i="1"/>
  <c r="BA811" i="1"/>
  <c r="BA812" i="1"/>
  <c r="BA813" i="1"/>
  <c r="BA814" i="1"/>
  <c r="BA815" i="1"/>
  <c r="BA816" i="1"/>
  <c r="BA817" i="1"/>
  <c r="BA818" i="1"/>
  <c r="BA819" i="1"/>
  <c r="BA820" i="1"/>
  <c r="BA821" i="1"/>
  <c r="BA822" i="1"/>
  <c r="BA823" i="1"/>
  <c r="BA824" i="1"/>
  <c r="BA825" i="1"/>
  <c r="BA826" i="1"/>
  <c r="BA827" i="1"/>
  <c r="BA828" i="1"/>
  <c r="BA829" i="1"/>
  <c r="BA830" i="1"/>
  <c r="BA831" i="1"/>
  <c r="BA832" i="1"/>
  <c r="BA833" i="1"/>
  <c r="BA834" i="1"/>
  <c r="BA835" i="1"/>
  <c r="BA836" i="1"/>
  <c r="BA837" i="1"/>
  <c r="BA838" i="1"/>
  <c r="BA839" i="1"/>
  <c r="BA840" i="1"/>
  <c r="BA841" i="1"/>
  <c r="BA842" i="1"/>
  <c r="BA843" i="1"/>
  <c r="BA844" i="1"/>
  <c r="BA845" i="1"/>
  <c r="BA846" i="1"/>
  <c r="BA847" i="1"/>
  <c r="BA848" i="1"/>
  <c r="BA849" i="1"/>
  <c r="BA850" i="1"/>
  <c r="BA851" i="1"/>
  <c r="BA852" i="1"/>
  <c r="BA853" i="1"/>
  <c r="BA854" i="1"/>
  <c r="BA855" i="1"/>
  <c r="BA856" i="1"/>
  <c r="BA857" i="1"/>
  <c r="BA858" i="1"/>
  <c r="BA859" i="1"/>
  <c r="BA860" i="1"/>
  <c r="BA861" i="1"/>
  <c r="BA862" i="1"/>
  <c r="BA863" i="1"/>
  <c r="BA864" i="1"/>
  <c r="BA865" i="1"/>
  <c r="BA866" i="1"/>
  <c r="BA867" i="1"/>
  <c r="BA868" i="1"/>
  <c r="BA869" i="1"/>
  <c r="BA870" i="1"/>
  <c r="BA871" i="1"/>
  <c r="BA872" i="1"/>
  <c r="BA873" i="1"/>
  <c r="BA874" i="1"/>
  <c r="BA875" i="1"/>
  <c r="BA876" i="1"/>
  <c r="BA877" i="1"/>
  <c r="BA878" i="1"/>
  <c r="BA879" i="1"/>
  <c r="BA880" i="1"/>
  <c r="BA881" i="1"/>
  <c r="BA882" i="1"/>
  <c r="BA883" i="1"/>
  <c r="BA884" i="1"/>
  <c r="BA885" i="1"/>
  <c r="BA886" i="1"/>
  <c r="BA887" i="1"/>
  <c r="BA888" i="1"/>
  <c r="BA889" i="1"/>
  <c r="BA890" i="1"/>
  <c r="BA891" i="1"/>
  <c r="BA892" i="1"/>
  <c r="BA893" i="1"/>
  <c r="BA894" i="1"/>
  <c r="BA895" i="1"/>
  <c r="BA896" i="1"/>
  <c r="BA897" i="1"/>
  <c r="BA898" i="1"/>
  <c r="BA899" i="1"/>
  <c r="BA900" i="1"/>
  <c r="BA901" i="1"/>
  <c r="BA902" i="1"/>
  <c r="BA903" i="1"/>
  <c r="BA904" i="1"/>
  <c r="BA905" i="1"/>
  <c r="BA906" i="1"/>
  <c r="BA907" i="1"/>
  <c r="BA908" i="1"/>
  <c r="BA909" i="1"/>
  <c r="BA910" i="1"/>
  <c r="BA911" i="1"/>
  <c r="BA912" i="1"/>
  <c r="BA913" i="1"/>
  <c r="BA914" i="1"/>
  <c r="BA915" i="1"/>
  <c r="BA916" i="1"/>
  <c r="BA917" i="1"/>
  <c r="BA918" i="1"/>
  <c r="BA919" i="1"/>
  <c r="BA920" i="1"/>
  <c r="BA921" i="1"/>
  <c r="BA922" i="1"/>
  <c r="BA923" i="1"/>
  <c r="BA924" i="1"/>
  <c r="BA925" i="1"/>
  <c r="BA926" i="1"/>
  <c r="BA927" i="1"/>
  <c r="BA928" i="1"/>
  <c r="BA929" i="1"/>
  <c r="BA930" i="1"/>
  <c r="BA931" i="1"/>
  <c r="BA932" i="1"/>
  <c r="BA933" i="1"/>
  <c r="BA934" i="1"/>
  <c r="BA936" i="1"/>
  <c r="BA937" i="1"/>
  <c r="BA939" i="1"/>
  <c r="BA940" i="1"/>
  <c r="BA941" i="1"/>
  <c r="BA942" i="1"/>
  <c r="BA944" i="1"/>
  <c r="BA945" i="1"/>
  <c r="BA946" i="1"/>
  <c r="BA947" i="1"/>
  <c r="BA948" i="1"/>
  <c r="BA949" i="1"/>
  <c r="BA951" i="1"/>
  <c r="BA952" i="1"/>
  <c r="BA953" i="1"/>
  <c r="BA954" i="1"/>
  <c r="BA955" i="1"/>
  <c r="BA956" i="1"/>
  <c r="BA957" i="1"/>
  <c r="BA958" i="1"/>
  <c r="BA959" i="1"/>
  <c r="BA960" i="1"/>
  <c r="BA961" i="1"/>
  <c r="BA962" i="1"/>
  <c r="BA963" i="1"/>
  <c r="BA964" i="1"/>
  <c r="BA965" i="1"/>
  <c r="BA966" i="1"/>
  <c r="BA967" i="1"/>
  <c r="BA968" i="1"/>
  <c r="BA969" i="1"/>
  <c r="BA970" i="1"/>
  <c r="BA971" i="1"/>
  <c r="BA972" i="1"/>
  <c r="BA973" i="1"/>
  <c r="BA974" i="1"/>
  <c r="BA975" i="1"/>
  <c r="BA976" i="1"/>
  <c r="BA977" i="1"/>
  <c r="BA978" i="1"/>
  <c r="BA979" i="1"/>
  <c r="BA980" i="1"/>
  <c r="BA981" i="1"/>
  <c r="BA982" i="1"/>
  <c r="BA983" i="1"/>
  <c r="BA984" i="1"/>
  <c r="BA985" i="1"/>
  <c r="BA986" i="1"/>
  <c r="BA987" i="1"/>
  <c r="BA988" i="1"/>
  <c r="BA989" i="1"/>
  <c r="BA990" i="1"/>
  <c r="BA991" i="1"/>
  <c r="BA992" i="1"/>
  <c r="BA993" i="1"/>
  <c r="BA994" i="1"/>
  <c r="BA995" i="1"/>
  <c r="BA996" i="1"/>
  <c r="BA997" i="1"/>
  <c r="BA998" i="1"/>
  <c r="BA999" i="1"/>
  <c r="BA1000" i="1"/>
  <c r="BA1001" i="1"/>
  <c r="BA1002" i="1"/>
  <c r="BA1003" i="1"/>
  <c r="BA1004" i="1"/>
  <c r="BA1005" i="1"/>
  <c r="BA1006" i="1"/>
  <c r="BA1007" i="1"/>
  <c r="BA1008" i="1"/>
  <c r="BA1009" i="1"/>
  <c r="BA1010" i="1"/>
  <c r="BA1011" i="1"/>
  <c r="BA1012" i="1"/>
  <c r="BA1013" i="1"/>
  <c r="BA1014" i="1"/>
  <c r="BA1015" i="1"/>
  <c r="BA1016" i="1"/>
  <c r="BA1017" i="1"/>
  <c r="BA1018" i="1"/>
  <c r="BA1019" i="1"/>
  <c r="BA1020" i="1"/>
  <c r="BA1021" i="1"/>
  <c r="BA1022" i="1"/>
  <c r="BA1023" i="1"/>
  <c r="BA1025" i="1"/>
  <c r="BA1027" i="1"/>
  <c r="BA1028" i="1"/>
  <c r="BA1029" i="1"/>
  <c r="BA1030" i="1"/>
  <c r="BA1031" i="1"/>
  <c r="BA1032" i="1"/>
  <c r="BA1033" i="1"/>
  <c r="BA1034" i="1"/>
  <c r="BA1035" i="1"/>
  <c r="BA1036" i="1"/>
  <c r="BA1037" i="1"/>
  <c r="BA1038" i="1"/>
  <c r="BA1039" i="1"/>
  <c r="BA1040" i="1"/>
  <c r="BA1041" i="1"/>
  <c r="BA1042" i="1"/>
  <c r="BA1043" i="1"/>
  <c r="BA1044" i="1"/>
  <c r="BA1045" i="1"/>
  <c r="BA1046" i="1"/>
  <c r="BA1047" i="1"/>
  <c r="BA1048" i="1"/>
  <c r="BA1049" i="1"/>
  <c r="BA1050" i="1"/>
  <c r="BA1051" i="1"/>
  <c r="BA1052" i="1"/>
  <c r="BA1053" i="1"/>
  <c r="BA1054" i="1"/>
  <c r="BA1055" i="1"/>
  <c r="BA1056" i="1"/>
  <c r="BA1057" i="1"/>
  <c r="BA1058" i="1"/>
  <c r="BA1059" i="1"/>
  <c r="BA1060" i="1"/>
  <c r="BA1061" i="1"/>
  <c r="BA1062" i="1"/>
  <c r="BA1063" i="1"/>
  <c r="BA1064" i="1"/>
  <c r="BA1065" i="1"/>
  <c r="BA1066" i="1"/>
  <c r="BA1067" i="1"/>
  <c r="BA1068" i="1"/>
  <c r="BA1069" i="1"/>
  <c r="BA1070" i="1"/>
  <c r="BA1071" i="1"/>
  <c r="BA1072" i="1"/>
  <c r="BA1073" i="1"/>
  <c r="BA1074" i="1"/>
  <c r="BA1075" i="1"/>
  <c r="BA1076" i="1"/>
  <c r="BA1077" i="1"/>
  <c r="BA1082" i="1"/>
  <c r="BA1078" i="1"/>
  <c r="BA1080" i="1"/>
  <c r="BA1081" i="1"/>
  <c r="BA1079" i="1"/>
  <c r="BA1083" i="1"/>
  <c r="BA1087" i="1"/>
  <c r="BA1084" i="1"/>
  <c r="BA1024" i="1"/>
  <c r="BA935" i="1"/>
  <c r="BA938" i="1"/>
  <c r="BA1026" i="1"/>
  <c r="BA1086" i="1"/>
  <c r="BA1089" i="1"/>
  <c r="BA1088" i="1"/>
  <c r="BA950" i="1"/>
  <c r="BA943" i="1"/>
  <c r="BA1094" i="1"/>
  <c r="BA1090" i="1"/>
  <c r="BA1091" i="1"/>
  <c r="BA1092" i="1"/>
  <c r="BA1093" i="1"/>
  <c r="BA1085" i="1"/>
  <c r="BA1095" i="1"/>
  <c r="BA1096" i="1"/>
  <c r="BA1097" i="1"/>
  <c r="BA1099" i="1"/>
  <c r="BA1101" i="1"/>
  <c r="BA1102" i="1"/>
  <c r="BA1100" i="1"/>
  <c r="BA1107" i="1"/>
  <c r="BA1104" i="1"/>
  <c r="BA1103" i="1"/>
  <c r="BA1105" i="1"/>
  <c r="BA1106" i="1"/>
  <c r="BA1109" i="1"/>
  <c r="BA1108" i="1"/>
  <c r="BA1098" i="1"/>
  <c r="BA1111" i="1"/>
  <c r="BA1112" i="1"/>
  <c r="BA1148" i="1"/>
  <c r="BA1149" i="1"/>
  <c r="BA1113" i="1"/>
  <c r="BA1116" i="1"/>
  <c r="BA1114" i="1"/>
  <c r="BA1119" i="1"/>
  <c r="BA1118" i="1"/>
  <c r="BA1120" i="1"/>
  <c r="BA1117" i="1"/>
  <c r="BA1110" i="1"/>
  <c r="BA1115" i="1"/>
  <c r="BA1124" i="1"/>
  <c r="BA1121" i="1"/>
  <c r="BA1122" i="1"/>
  <c r="BA1123" i="1"/>
  <c r="BA1125" i="1"/>
  <c r="BA1126" i="1"/>
  <c r="BA1129" i="1"/>
  <c r="BA1131" i="1"/>
  <c r="BA1132" i="1"/>
  <c r="BA1127" i="1"/>
  <c r="BA1130" i="1"/>
  <c r="BA1128" i="1"/>
  <c r="BA1135" i="1"/>
  <c r="BA1133" i="1"/>
  <c r="BA1134" i="1"/>
  <c r="BA1137" i="1"/>
  <c r="BA1136" i="1"/>
  <c r="BA1140" i="1"/>
  <c r="BA1141" i="1"/>
  <c r="BA1138" i="1"/>
  <c r="BA1139" i="1"/>
  <c r="BA1144" i="1"/>
  <c r="BA1145" i="1"/>
  <c r="BA1147" i="1"/>
  <c r="BA1146" i="1"/>
  <c r="BA1143" i="1"/>
  <c r="BA1142" i="1"/>
  <c r="BA1150" i="1"/>
  <c r="BA1151" i="1"/>
  <c r="BA1152" i="1"/>
  <c r="BA1153" i="1"/>
  <c r="BA1154" i="1"/>
  <c r="BA1155" i="1"/>
  <c r="BA1156" i="1"/>
  <c r="BA1157" i="1"/>
  <c r="BA1158" i="1"/>
  <c r="BA1159" i="1"/>
  <c r="BA1160" i="1"/>
  <c r="BA1161" i="1"/>
  <c r="BA1162" i="1"/>
  <c r="BA1163" i="1"/>
  <c r="BA1164" i="1"/>
  <c r="BA1165" i="1"/>
  <c r="BA1166" i="1"/>
  <c r="BA1167" i="1"/>
  <c r="BA1168" i="1"/>
  <c r="BA1169" i="1"/>
  <c r="BA1170" i="1"/>
  <c r="BA1171" i="1"/>
  <c r="BA1172" i="1"/>
  <c r="BA1173" i="1"/>
  <c r="BA1174" i="1"/>
  <c r="BA1175" i="1"/>
  <c r="BA1176" i="1"/>
  <c r="BA1177" i="1"/>
  <c r="BA1178" i="1"/>
  <c r="BA1179" i="1"/>
  <c r="BA1180" i="1"/>
  <c r="BA1181" i="1"/>
  <c r="BA1182" i="1"/>
  <c r="BA1183" i="1"/>
  <c r="BA1184" i="1"/>
  <c r="BA1185" i="1"/>
  <c r="BA1186" i="1"/>
  <c r="BA1187" i="1"/>
  <c r="BA1188" i="1"/>
  <c r="BA1189" i="1"/>
  <c r="BA1190" i="1"/>
  <c r="BA1191" i="1"/>
  <c r="BA1192" i="1"/>
  <c r="BA1193" i="1"/>
  <c r="BA1194" i="1"/>
  <c r="BA1195" i="1"/>
  <c r="BA1196" i="1"/>
  <c r="BA1197" i="1"/>
  <c r="BA1198" i="1"/>
  <c r="BA1199" i="1"/>
  <c r="BA1200" i="1"/>
  <c r="BA1201" i="1"/>
  <c r="BA1202" i="1"/>
  <c r="BA1203" i="1"/>
  <c r="BA1204" i="1"/>
  <c r="BA1205" i="1"/>
  <c r="BA1206" i="1"/>
  <c r="BA1207" i="1"/>
  <c r="BA1208" i="1"/>
  <c r="BA1209" i="1"/>
  <c r="BA1210" i="1"/>
  <c r="BA1211" i="1"/>
  <c r="BA1212" i="1"/>
  <c r="BA1213" i="1"/>
  <c r="BA1214" i="1"/>
  <c r="BA1215" i="1"/>
  <c r="BA1216" i="1"/>
  <c r="BA1217" i="1"/>
  <c r="BA1218" i="1"/>
  <c r="BA1219" i="1"/>
  <c r="BA1220" i="1"/>
  <c r="BA1221" i="1"/>
  <c r="BA1222" i="1"/>
  <c r="BA1223" i="1"/>
  <c r="BA1224" i="1"/>
  <c r="BA1225" i="1"/>
  <c r="BA1226" i="1"/>
  <c r="BA1227" i="1"/>
  <c r="BA1228" i="1"/>
  <c r="BA1229" i="1"/>
  <c r="BA1230" i="1"/>
  <c r="BA1231" i="1"/>
  <c r="BA1232" i="1"/>
  <c r="BA1233" i="1"/>
  <c r="BA1234" i="1"/>
  <c r="BA1235" i="1"/>
  <c r="BA1236" i="1"/>
  <c r="BA1237" i="1"/>
  <c r="BA1238" i="1"/>
  <c r="BA1239" i="1"/>
  <c r="BA1240" i="1"/>
  <c r="BA1241" i="1"/>
  <c r="BA1242" i="1"/>
  <c r="BA1243" i="1"/>
  <c r="BA1244" i="1"/>
  <c r="BA1245" i="1"/>
  <c r="BA1246" i="1"/>
  <c r="BA1247" i="1"/>
  <c r="BA1248" i="1"/>
  <c r="BA1249" i="1"/>
  <c r="BA1250" i="1"/>
  <c r="BA1251" i="1"/>
  <c r="BA1252" i="1"/>
  <c r="BA1253" i="1"/>
  <c r="BA1254" i="1"/>
  <c r="BA1255" i="1"/>
  <c r="BA1256" i="1"/>
  <c r="BA1257" i="1"/>
  <c r="BA1258" i="1"/>
  <c r="BA1259" i="1"/>
  <c r="BA1260" i="1"/>
  <c r="BA1261" i="1"/>
  <c r="BA1262" i="1"/>
  <c r="BA1263" i="1"/>
  <c r="BA1264" i="1"/>
  <c r="BA1265" i="1"/>
  <c r="BA1266" i="1"/>
  <c r="BA1267" i="1"/>
  <c r="BA1268" i="1"/>
  <c r="BA1269" i="1"/>
  <c r="BA1270" i="1"/>
  <c r="BA1271" i="1"/>
  <c r="BA1272" i="1"/>
  <c r="BA1273" i="1"/>
  <c r="BA1274" i="1"/>
  <c r="BA1275" i="1"/>
  <c r="BA1276" i="1"/>
  <c r="BA1277" i="1"/>
  <c r="BA1278" i="1"/>
  <c r="BA1279" i="1"/>
  <c r="BA1280" i="1"/>
  <c r="BA1281" i="1"/>
  <c r="BA1282" i="1"/>
  <c r="BA1283" i="1"/>
  <c r="BA1284" i="1"/>
  <c r="BA1285" i="1"/>
  <c r="BA1286" i="1"/>
  <c r="BA1287" i="1"/>
  <c r="BA1288" i="1"/>
  <c r="BA1289" i="1"/>
  <c r="BA1290" i="1"/>
  <c r="BA1291" i="1"/>
  <c r="BA1292" i="1"/>
  <c r="BA1293" i="1"/>
  <c r="BA1294" i="1"/>
  <c r="BA1295" i="1"/>
  <c r="BA1296" i="1"/>
  <c r="BA1297" i="1"/>
  <c r="BA1298" i="1"/>
  <c r="BA1299" i="1"/>
  <c r="BA1300" i="1"/>
  <c r="BA1301" i="1"/>
  <c r="BA1302" i="1"/>
  <c r="BA1303" i="1"/>
  <c r="BA1304" i="1"/>
  <c r="BA1305" i="1"/>
  <c r="BA1306" i="1"/>
  <c r="BA1307" i="1"/>
  <c r="BA1308" i="1"/>
  <c r="BA1309" i="1"/>
  <c r="BA1310" i="1"/>
  <c r="BA1311" i="1"/>
  <c r="BA1312" i="1"/>
  <c r="BA1313" i="1"/>
  <c r="BA1314" i="1"/>
  <c r="BA1315" i="1"/>
  <c r="BA1316" i="1"/>
  <c r="BA1317" i="1"/>
  <c r="BA1318" i="1"/>
  <c r="BA1319" i="1"/>
  <c r="BA1320" i="1"/>
  <c r="BA1321" i="1"/>
  <c r="BA1322" i="1"/>
  <c r="BA1323" i="1"/>
  <c r="BA1324" i="1"/>
  <c r="BA1325" i="1"/>
  <c r="BA1326" i="1"/>
  <c r="BA1327" i="1"/>
  <c r="BA1328" i="1"/>
  <c r="BA1329" i="1"/>
  <c r="BA1330" i="1"/>
  <c r="BA1331" i="1"/>
  <c r="BA1332" i="1"/>
  <c r="BA1333" i="1"/>
  <c r="BA1334" i="1"/>
  <c r="BA1335" i="1"/>
  <c r="BA1336" i="1"/>
  <c r="BA1337" i="1"/>
  <c r="BA1338" i="1"/>
  <c r="BA1339" i="1"/>
  <c r="BA1340" i="1"/>
  <c r="BA1341" i="1"/>
  <c r="BA1342" i="1"/>
  <c r="BA1343" i="1"/>
  <c r="BA1344" i="1"/>
  <c r="BA1345" i="1"/>
  <c r="BA1346" i="1"/>
  <c r="BA1347" i="1"/>
  <c r="BA1348" i="1"/>
  <c r="BA1349" i="1"/>
  <c r="BA1350" i="1"/>
  <c r="BA1351" i="1"/>
  <c r="BA1352" i="1"/>
  <c r="BA1353" i="1"/>
  <c r="BA1354" i="1"/>
  <c r="BA1355" i="1"/>
  <c r="BA1356" i="1"/>
  <c r="BA1357" i="1"/>
  <c r="BA1358" i="1"/>
  <c r="BA1359" i="1"/>
  <c r="BA1360" i="1"/>
  <c r="BA1361" i="1"/>
  <c r="BA1362" i="1"/>
  <c r="BA1363" i="1"/>
  <c r="BA1364" i="1"/>
  <c r="BA1365" i="1"/>
  <c r="BA1366" i="1"/>
  <c r="BA1367" i="1"/>
  <c r="BA1368" i="1"/>
  <c r="BA1369" i="1"/>
  <c r="BA1370" i="1"/>
  <c r="BA1371" i="1"/>
  <c r="BA1372" i="1"/>
  <c r="BA1373" i="1"/>
  <c r="BA1374" i="1"/>
  <c r="BA1375" i="1"/>
  <c r="BA1376" i="1"/>
  <c r="BA1377" i="1"/>
  <c r="BA1378" i="1"/>
  <c r="BA1379" i="1"/>
  <c r="BA1380" i="1"/>
  <c r="BA1381" i="1"/>
  <c r="BA1382" i="1"/>
  <c r="BA1383" i="1"/>
  <c r="BA1384" i="1"/>
  <c r="BA1385" i="1"/>
  <c r="BA1386" i="1"/>
  <c r="BA1387" i="1"/>
  <c r="BA1388" i="1"/>
  <c r="BA1389" i="1"/>
  <c r="BA1390" i="1"/>
  <c r="BA1391" i="1"/>
  <c r="BA1392" i="1"/>
  <c r="BA1393" i="1"/>
  <c r="BA1394" i="1"/>
  <c r="BA1395" i="1"/>
  <c r="BA1396" i="1"/>
  <c r="BA1397" i="1"/>
  <c r="BA1398" i="1"/>
  <c r="BA1399" i="1"/>
  <c r="BA1400" i="1"/>
  <c r="BA1401" i="1"/>
  <c r="BA1402" i="1"/>
  <c r="BA1403" i="1"/>
  <c r="BA1404" i="1"/>
  <c r="BA1405" i="1"/>
  <c r="BA1406" i="1"/>
  <c r="BA1407" i="1"/>
  <c r="BA1408" i="1"/>
  <c r="BA1409" i="1"/>
  <c r="BA1410" i="1"/>
  <c r="BA1411" i="1"/>
  <c r="BA1412" i="1"/>
  <c r="BA1413" i="1"/>
  <c r="BA1414" i="1"/>
  <c r="BA1415" i="1"/>
  <c r="BA1416" i="1"/>
  <c r="BA1417" i="1"/>
  <c r="BA1418" i="1"/>
  <c r="BA1419" i="1"/>
  <c r="BA1420" i="1"/>
  <c r="BA1421" i="1"/>
  <c r="BA1422" i="1"/>
  <c r="BA1423" i="1"/>
  <c r="BA1424" i="1"/>
  <c r="BA1425" i="1"/>
  <c r="BA1426" i="1"/>
  <c r="BA1427" i="1"/>
  <c r="BA1428" i="1"/>
  <c r="BA1429" i="1"/>
  <c r="BA1430" i="1"/>
  <c r="BA1431" i="1"/>
  <c r="BA1432" i="1"/>
  <c r="BA1433" i="1"/>
  <c r="BA1434" i="1"/>
  <c r="BA1435" i="1"/>
  <c r="BA1436" i="1"/>
  <c r="BA1437" i="1"/>
  <c r="BA1438" i="1"/>
  <c r="BA1439" i="1"/>
  <c r="BA1440" i="1"/>
  <c r="BA1441" i="1"/>
  <c r="BA1442" i="1"/>
  <c r="BA1443" i="1"/>
  <c r="BA1444" i="1"/>
  <c r="BA1445" i="1"/>
  <c r="BA1446" i="1"/>
  <c r="BA1447" i="1"/>
  <c r="BA1448" i="1"/>
  <c r="BA1449" i="1"/>
  <c r="BA1450" i="1"/>
  <c r="BA1451" i="1"/>
  <c r="BA1452" i="1"/>
  <c r="BA1453" i="1"/>
  <c r="BA1454" i="1"/>
  <c r="BA1455" i="1"/>
  <c r="BA1456" i="1"/>
  <c r="BA1457" i="1"/>
  <c r="BA1458" i="1"/>
  <c r="BA1459" i="1"/>
  <c r="BA1460" i="1"/>
  <c r="BA1461" i="1"/>
  <c r="BA1462" i="1"/>
  <c r="BA1463" i="1"/>
  <c r="BA1464" i="1"/>
  <c r="BA1465" i="1"/>
  <c r="BA1466" i="1"/>
  <c r="BA1467" i="1"/>
  <c r="BA1468" i="1"/>
  <c r="BA1469" i="1"/>
  <c r="BA1470" i="1"/>
  <c r="BA1471" i="1"/>
  <c r="BA1472" i="1"/>
  <c r="BA1473" i="1"/>
  <c r="BA1474" i="1"/>
  <c r="BA1475" i="1"/>
  <c r="BA1476" i="1"/>
  <c r="BA1477" i="1"/>
  <c r="BA1478" i="1"/>
  <c r="BA1479" i="1"/>
  <c r="BA1480" i="1"/>
  <c r="BA1481" i="1"/>
  <c r="BA1482" i="1"/>
  <c r="BA1483" i="1"/>
  <c r="BA1484" i="1"/>
  <c r="BA1485" i="1"/>
  <c r="BA1486" i="1"/>
  <c r="BA1487" i="1"/>
  <c r="BA1488" i="1"/>
  <c r="BA1489" i="1"/>
  <c r="BA1490" i="1"/>
  <c r="BA1491" i="1"/>
  <c r="BA1492" i="1"/>
  <c r="BA1493" i="1"/>
  <c r="BA1494" i="1"/>
  <c r="BA1495" i="1"/>
  <c r="BA1496" i="1"/>
  <c r="BA1497" i="1"/>
  <c r="BA1498" i="1"/>
  <c r="BA1499" i="1"/>
  <c r="BA1500" i="1"/>
  <c r="BA1501" i="1"/>
  <c r="BA1502" i="1"/>
  <c r="O459" i="23"/>
  <c r="O441" i="23"/>
  <c r="AO3" i="1"/>
  <c r="AO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6" i="1"/>
  <c r="AO937" i="1"/>
  <c r="AO939" i="1"/>
  <c r="AO940" i="1"/>
  <c r="AO941" i="1"/>
  <c r="AO942" i="1"/>
  <c r="AO944" i="1"/>
  <c r="AO945" i="1"/>
  <c r="AO946" i="1"/>
  <c r="AO947" i="1"/>
  <c r="AO948" i="1"/>
  <c r="AO949"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5"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82" i="1"/>
  <c r="AO1078" i="1"/>
  <c r="AO1080" i="1"/>
  <c r="AO1081" i="1"/>
  <c r="AO1079" i="1"/>
  <c r="AO1083" i="1"/>
  <c r="AO1087" i="1"/>
  <c r="AO1084" i="1"/>
  <c r="AO1024" i="1"/>
  <c r="AO935" i="1"/>
  <c r="AO938" i="1"/>
  <c r="AO1026" i="1"/>
  <c r="AO1086" i="1"/>
  <c r="AO1089" i="1"/>
  <c r="AO1088" i="1"/>
  <c r="AO950" i="1"/>
  <c r="AO943" i="1"/>
  <c r="AO1094" i="1"/>
  <c r="AO1090" i="1"/>
  <c r="AO1091" i="1"/>
  <c r="AO1092" i="1"/>
  <c r="AO1093" i="1"/>
  <c r="AO1085" i="1"/>
  <c r="AO1095" i="1"/>
  <c r="AO1096" i="1"/>
  <c r="AO1097" i="1"/>
  <c r="AO1099" i="1"/>
  <c r="AO1101" i="1"/>
  <c r="AO1102" i="1"/>
  <c r="AO1100" i="1"/>
  <c r="AO1107" i="1"/>
  <c r="AO1103" i="1"/>
  <c r="AO1105" i="1"/>
  <c r="AO1106" i="1"/>
  <c r="AO1109" i="1"/>
  <c r="AO1108" i="1"/>
  <c r="AO1098" i="1"/>
  <c r="AO1111" i="1"/>
  <c r="AO1112" i="1"/>
  <c r="AO1148" i="1"/>
  <c r="AO1149" i="1"/>
  <c r="AO1113" i="1"/>
  <c r="AO1116" i="1"/>
  <c r="AO1114" i="1"/>
  <c r="AO1119" i="1"/>
  <c r="AO1118" i="1"/>
  <c r="AO1120" i="1"/>
  <c r="AO1117" i="1"/>
  <c r="AO1110" i="1"/>
  <c r="AO1115" i="1"/>
  <c r="AO1124" i="1"/>
  <c r="AO1121" i="1"/>
  <c r="AO1122" i="1"/>
  <c r="AO1123" i="1"/>
  <c r="AO1125" i="1"/>
  <c r="AO1126" i="1"/>
  <c r="AO1129" i="1"/>
  <c r="AO1131" i="1"/>
  <c r="AO1132" i="1"/>
  <c r="AO1127" i="1"/>
  <c r="AO1130" i="1"/>
  <c r="AO1128" i="1"/>
  <c r="AO1135" i="1"/>
  <c r="AO1133" i="1"/>
  <c r="AO1134" i="1"/>
  <c r="AO1137" i="1"/>
  <c r="AO1136" i="1"/>
  <c r="AO1140" i="1"/>
  <c r="AO1141" i="1"/>
  <c r="AO1138" i="1"/>
  <c r="AO1139" i="1"/>
  <c r="AO1144" i="1"/>
  <c r="AO1145" i="1"/>
  <c r="AO1147" i="1"/>
  <c r="AO1146" i="1"/>
  <c r="AO1143" i="1"/>
  <c r="AO1142" i="1"/>
  <c r="AO1150" i="1"/>
  <c r="AO1151"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K345" i="23"/>
  <c r="K346" i="23"/>
  <c r="K347" i="23"/>
  <c r="K338" i="23"/>
  <c r="K339" i="23"/>
  <c r="K340" i="23"/>
  <c r="K341" i="23"/>
  <c r="K342" i="23"/>
  <c r="K343" i="23"/>
  <c r="K332" i="23"/>
  <c r="K333" i="23"/>
  <c r="K334" i="23"/>
  <c r="K335" i="23"/>
  <c r="K336" i="23"/>
  <c r="D1135" i="1" a="1"/>
  <c r="D1130" i="1" a="1"/>
  <c r="D1133" i="1" a="1"/>
  <c r="D1134" i="1" a="1"/>
  <c r="Z34" i="35" l="1" a="1"/>
  <c r="AA34" i="35" a="1"/>
  <c r="AB34" i="35"/>
  <c r="Z10" i="35" a="1"/>
  <c r="Z13" i="35" a="1"/>
  <c r="AA16" i="35" a="1"/>
  <c r="Z22" i="35" a="1"/>
  <c r="AA28" i="35" a="1"/>
  <c r="Z23" i="35" a="1"/>
  <c r="Y5" i="35" a="1"/>
  <c r="Z11" i="35" a="1"/>
  <c r="AA23" i="35" a="1"/>
  <c r="Z30" i="35" a="1"/>
  <c r="Z17" i="35" a="1"/>
  <c r="AA29" i="35" a="1"/>
  <c r="Z24" i="35" a="1"/>
  <c r="AA5" i="35" a="1"/>
  <c r="AA11" i="35" a="1"/>
  <c r="AA18" i="35" a="1"/>
  <c r="AA24" i="35" a="1"/>
  <c r="AA30" i="35" a="1"/>
  <c r="AA10" i="35" a="1"/>
  <c r="Z5" i="35" a="1"/>
  <c r="Z18" i="35" a="1"/>
  <c r="Z12" i="35" a="1"/>
  <c r="Z19" i="35" a="1"/>
  <c r="Z31" i="35" a="1"/>
  <c r="AA17" i="35" a="1"/>
  <c r="Z6" i="35" a="1"/>
  <c r="AA12" i="35" a="1"/>
  <c r="Z25" i="35" a="1"/>
  <c r="AA31" i="35" a="1"/>
  <c r="Z29" i="35" a="1"/>
  <c r="AB29" i="35" s="1"/>
  <c r="AA25" i="35" a="1"/>
  <c r="Z7" i="35" a="1"/>
  <c r="Z33" i="35" a="1"/>
  <c r="AA7" i="35" a="1"/>
  <c r="Z20" i="35" a="1"/>
  <c r="Z8" i="35" a="1"/>
  <c r="AA14" i="35" a="1"/>
  <c r="Z27" i="35" a="1"/>
  <c r="AA22" i="35" a="1"/>
  <c r="AB22" i="35" s="1"/>
  <c r="Z32" i="35" a="1"/>
  <c r="AA32" i="35" a="1"/>
  <c r="AA13" i="35" a="1"/>
  <c r="AA26" i="35" a="1"/>
  <c r="AA8" i="35" a="1"/>
  <c r="AB8" i="35" s="1"/>
  <c r="Z15" i="35" a="1"/>
  <c r="AA20" i="35" a="1"/>
  <c r="AA27" i="35" a="1"/>
  <c r="AA19" i="35" a="1"/>
  <c r="AA33" i="35" a="1"/>
  <c r="Z9" i="35" a="1"/>
  <c r="AA15" i="35" a="1"/>
  <c r="Z21" i="35" a="1"/>
  <c r="Z28" i="35" a="1"/>
  <c r="AA6" i="35" a="1"/>
  <c r="Z26" i="35" a="1"/>
  <c r="Z14" i="35" a="1"/>
  <c r="AA9" i="35" a="1"/>
  <c r="Z16" i="35" a="1"/>
  <c r="AB16" i="35" s="1"/>
  <c r="AA21" i="35" a="1"/>
  <c r="K401" i="23"/>
  <c r="K400" i="23"/>
  <c r="K399" i="23"/>
  <c r="K397" i="23"/>
  <c r="K396" i="23"/>
  <c r="K395" i="23"/>
  <c r="K394" i="23"/>
  <c r="K393" i="23"/>
  <c r="K392" i="23"/>
  <c r="K390" i="23"/>
  <c r="K389" i="23"/>
  <c r="K388" i="23"/>
  <c r="K387" i="23"/>
  <c r="K386" i="23"/>
  <c r="J347" i="23"/>
  <c r="J346" i="23"/>
  <c r="J345" i="23"/>
  <c r="J343" i="23"/>
  <c r="J342" i="23"/>
  <c r="J341" i="23"/>
  <c r="J340" i="23"/>
  <c r="J339" i="23"/>
  <c r="J338" i="23"/>
  <c r="J336" i="23"/>
  <c r="J335" i="23"/>
  <c r="J334" i="23"/>
  <c r="J333" i="23"/>
  <c r="J332" i="23"/>
  <c r="J311" i="23"/>
  <c r="J310" i="23"/>
  <c r="J309" i="23"/>
  <c r="J307" i="23"/>
  <c r="J306" i="23"/>
  <c r="J305" i="23"/>
  <c r="J304" i="23"/>
  <c r="J303" i="23"/>
  <c r="J302" i="23"/>
  <c r="J300" i="23"/>
  <c r="J299" i="23"/>
  <c r="J298" i="23"/>
  <c r="J297" i="23"/>
  <c r="J296" i="23"/>
  <c r="K311" i="23"/>
  <c r="K310" i="23"/>
  <c r="K309" i="23"/>
  <c r="K307" i="23"/>
  <c r="K306" i="23"/>
  <c r="K305" i="23"/>
  <c r="K304" i="23"/>
  <c r="K303" i="23"/>
  <c r="K302" i="23"/>
  <c r="K300" i="23"/>
  <c r="K299" i="23"/>
  <c r="K298" i="23"/>
  <c r="K297" i="23"/>
  <c r="K296" i="23"/>
  <c r="K293" i="23"/>
  <c r="K292" i="23"/>
  <c r="K291" i="23"/>
  <c r="K289" i="23"/>
  <c r="K288" i="23"/>
  <c r="K287" i="23"/>
  <c r="K286" i="23"/>
  <c r="K285" i="23"/>
  <c r="K284" i="23"/>
  <c r="K282" i="23"/>
  <c r="K281" i="23"/>
  <c r="K280" i="23"/>
  <c r="K279" i="23"/>
  <c r="K278" i="23"/>
  <c r="K275" i="23"/>
  <c r="K274" i="23"/>
  <c r="K273" i="23"/>
  <c r="K271" i="23"/>
  <c r="K270" i="23"/>
  <c r="K269" i="23"/>
  <c r="K268" i="23"/>
  <c r="K260" i="23"/>
  <c r="J293" i="23"/>
  <c r="J292" i="23"/>
  <c r="J291" i="23"/>
  <c r="J289" i="23"/>
  <c r="J288" i="23"/>
  <c r="J287" i="23"/>
  <c r="J286" i="23"/>
  <c r="J285" i="23"/>
  <c r="J284" i="23"/>
  <c r="J282" i="23"/>
  <c r="J281" i="23"/>
  <c r="J280" i="23"/>
  <c r="J279" i="23"/>
  <c r="J278" i="23"/>
  <c r="J275" i="23"/>
  <c r="J274" i="23"/>
  <c r="J273" i="23"/>
  <c r="J271" i="23"/>
  <c r="J270" i="23"/>
  <c r="J269" i="23"/>
  <c r="J268" i="23"/>
  <c r="J267" i="23"/>
  <c r="J266" i="23"/>
  <c r="J264" i="23"/>
  <c r="J263" i="23"/>
  <c r="J262" i="23"/>
  <c r="J261" i="23"/>
  <c r="J260" i="23"/>
  <c r="AB28" i="35" l="1"/>
  <c r="AB5" i="35"/>
  <c r="AB18" i="35"/>
  <c r="AB6" i="35"/>
  <c r="AB26" i="35"/>
  <c r="AB14" i="35"/>
  <c r="AB19" i="35"/>
  <c r="AB33" i="35"/>
  <c r="AB27" i="35"/>
  <c r="AB15" i="35"/>
  <c r="AB25" i="35"/>
  <c r="AB12" i="35"/>
  <c r="AB31" i="35"/>
  <c r="AB9" i="35"/>
  <c r="AB24" i="35"/>
  <c r="AB17" i="35"/>
  <c r="AB30" i="35"/>
  <c r="AB32" i="35"/>
  <c r="AB11" i="35"/>
  <c r="AB23" i="35"/>
  <c r="AB20" i="35"/>
  <c r="AB21" i="35"/>
  <c r="AB13" i="35"/>
  <c r="AB10" i="35"/>
  <c r="AB7" i="35"/>
  <c r="J277" i="23"/>
  <c r="S1076" i="1"/>
  <c r="R1076" i="1"/>
  <c r="Q1076" i="1"/>
  <c r="P1076" i="1"/>
  <c r="O1076" i="1"/>
  <c r="N1076" i="1"/>
  <c r="M1076" i="1"/>
  <c r="S1077" i="1"/>
  <c r="R1077" i="1"/>
  <c r="Q1077" i="1"/>
  <c r="P1077" i="1"/>
  <c r="O1077" i="1"/>
  <c r="N1077" i="1"/>
  <c r="M1077" i="1"/>
  <c r="X652" i="23"/>
  <c r="V651" i="23" a="1"/>
  <c r="V650" i="23" a="1"/>
  <c r="V649" i="23" a="1"/>
  <c r="V648" i="23" a="1"/>
  <c r="V647" i="23" a="1"/>
  <c r="V646" i="23" a="1"/>
  <c r="V645" i="23" a="1"/>
  <c r="V644" i="23" a="1"/>
  <c r="V643" i="23" a="1"/>
  <c r="V642" i="23" a="1"/>
  <c r="V641" i="23" a="1"/>
  <c r="V640" i="23" a="1"/>
  <c r="V639" i="23" a="1"/>
  <c r="V638" i="23" a="1"/>
  <c r="A637" i="23"/>
  <c r="S1067" i="1" l="1"/>
  <c r="R1067" i="1"/>
  <c r="Q1067" i="1"/>
  <c r="P1067" i="1"/>
  <c r="O1067" i="1"/>
  <c r="N1067" i="1"/>
  <c r="M1067" i="1"/>
  <c r="S1072" i="1"/>
  <c r="R1072" i="1"/>
  <c r="Q1072" i="1"/>
  <c r="P1072" i="1"/>
  <c r="O1072" i="1"/>
  <c r="N1072" i="1"/>
  <c r="M1072" i="1"/>
  <c r="S1073" i="1"/>
  <c r="R1073" i="1"/>
  <c r="Q1073" i="1"/>
  <c r="P1073" i="1"/>
  <c r="O1073" i="1"/>
  <c r="N1073" i="1"/>
  <c r="M1073" i="1"/>
  <c r="S1071" i="1"/>
  <c r="R1071" i="1"/>
  <c r="Q1071" i="1"/>
  <c r="P1071" i="1"/>
  <c r="O1071" i="1"/>
  <c r="N1071" i="1"/>
  <c r="M1071" i="1"/>
  <c r="S1070" i="1"/>
  <c r="R1070" i="1"/>
  <c r="Q1070" i="1"/>
  <c r="P1070" i="1"/>
  <c r="O1070" i="1"/>
  <c r="N1070" i="1"/>
  <c r="M1070" i="1"/>
  <c r="S1068" i="1"/>
  <c r="R1068" i="1"/>
  <c r="Q1068" i="1"/>
  <c r="P1068" i="1"/>
  <c r="O1068" i="1"/>
  <c r="N1068" i="1"/>
  <c r="M1068" i="1"/>
  <c r="S1066" i="1"/>
  <c r="R1066" i="1"/>
  <c r="Q1066" i="1"/>
  <c r="P1066" i="1"/>
  <c r="O1066" i="1"/>
  <c r="N1066" i="1"/>
  <c r="M1066" i="1"/>
  <c r="S1074" i="1"/>
  <c r="R1074" i="1"/>
  <c r="Q1074" i="1"/>
  <c r="P1074" i="1"/>
  <c r="O1074" i="1"/>
  <c r="N1074" i="1"/>
  <c r="M1074" i="1"/>
  <c r="S1075" i="1"/>
  <c r="R1075" i="1"/>
  <c r="Q1075" i="1"/>
  <c r="P1075" i="1"/>
  <c r="O1075" i="1"/>
  <c r="N1075" i="1"/>
  <c r="M1075" i="1"/>
  <c r="S1069" i="1"/>
  <c r="R1069" i="1"/>
  <c r="Q1069" i="1"/>
  <c r="P1069" i="1"/>
  <c r="O1069" i="1"/>
  <c r="N1069" i="1"/>
  <c r="M1069" i="1"/>
  <c r="D1999" i="1" a="1"/>
  <c r="D2142" i="1" a="1"/>
  <c r="D2021" i="1" a="1"/>
  <c r="D2349" i="1" a="1"/>
  <c r="D1772" i="1" a="1"/>
  <c r="D1770" i="1" a="1"/>
  <c r="D2028" i="1" a="1"/>
  <c r="D1194" i="1" a="1"/>
  <c r="D2089" i="1" a="1"/>
  <c r="D2357" i="1" a="1"/>
  <c r="D1567" i="1" a="1"/>
  <c r="D2627" i="1" a="1"/>
  <c r="D1775" i="1" a="1"/>
  <c r="D2494" i="1" a="1"/>
  <c r="D2562" i="1" a="1"/>
  <c r="D2445" i="1" a="1"/>
  <c r="D1797" i="1" a="1"/>
  <c r="D1462" i="1" a="1"/>
  <c r="D1196" i="1" a="1"/>
  <c r="D2313" i="1" a="1"/>
  <c r="D1346" i="1" a="1"/>
  <c r="D2144" i="1" a="1"/>
  <c r="D2203" i="1" a="1"/>
  <c r="D1444" i="1" a="1"/>
  <c r="D2491" i="1" a="1"/>
  <c r="D1740" i="1" a="1"/>
  <c r="D1248" i="1" a="1"/>
  <c r="D1464" i="1" a="1"/>
  <c r="D1186" i="1" a="1"/>
  <c r="D1593" i="1" a="1"/>
  <c r="D2474" i="1" a="1"/>
  <c r="D1552" i="1" a="1"/>
  <c r="D1354" i="1" a="1"/>
  <c r="D2610" i="1" a="1"/>
  <c r="D2605" i="1" a="1"/>
  <c r="D2434" i="1" a="1"/>
  <c r="D1945" i="1" a="1"/>
  <c r="D2452" i="1" a="1"/>
  <c r="D2222" i="1" a="1"/>
  <c r="D1153" i="1" a="1"/>
  <c r="D1356" i="1" a="1"/>
  <c r="D1572" i="1" a="1"/>
  <c r="D1461" i="1" a="1"/>
  <c r="D1167" i="1" a="1"/>
  <c r="D1720" i="1" a="1"/>
  <c r="D1397" i="1" a="1"/>
  <c r="D1353" i="1" a="1"/>
  <c r="D1940" i="1" a="1"/>
  <c r="D1327" i="1" a="1"/>
  <c r="D2023" i="1" a="1"/>
  <c r="D1926" i="1" a="1"/>
  <c r="D2176" i="1" a="1"/>
  <c r="D2633" i="1" a="1"/>
  <c r="D1774" i="1" a="1"/>
  <c r="D1350" i="1" a="1"/>
  <c r="D1527" i="1" a="1"/>
  <c r="D1697" i="1" a="1"/>
  <c r="D1825" i="1" a="1"/>
  <c r="D1674" i="1" a="1"/>
  <c r="D2735" i="1" a="1"/>
  <c r="D1322" i="1" a="1"/>
  <c r="D1659" i="1" a="1"/>
  <c r="D2244" i="1" a="1"/>
  <c r="D1847" i="1" a="1"/>
  <c r="D1909" i="1" a="1"/>
  <c r="D1457" i="1" a="1"/>
  <c r="D1769" i="1" a="1"/>
  <c r="D2646" i="1" a="1"/>
  <c r="D2533" i="1" a="1"/>
  <c r="D2013" i="1" a="1"/>
  <c r="D1586" i="1" a="1"/>
  <c r="D1317" i="1" a="1"/>
  <c r="D2302" i="1" a="1"/>
  <c r="D2527" i="1" a="1"/>
  <c r="D2754" i="1" a="1"/>
  <c r="D1565" i="1" a="1"/>
  <c r="D2725" i="1" a="1"/>
  <c r="D2069" i="1" a="1"/>
  <c r="D1634" i="1" a="1"/>
  <c r="D2443" i="1" a="1"/>
  <c r="D1630" i="1" a="1"/>
  <c r="D2520" i="1" a="1"/>
  <c r="D2215" i="1" a="1"/>
  <c r="D1810" i="1" a="1"/>
  <c r="D1332" i="1" a="1"/>
  <c r="D2072" i="1" a="1"/>
  <c r="D2042" i="1" a="1"/>
  <c r="D1263" i="1" a="1"/>
  <c r="D1179" i="1" a="1"/>
  <c r="D2351" i="1" a="1"/>
  <c r="D1588" i="1" a="1"/>
  <c r="D1571" i="1" a="1"/>
  <c r="D2575" i="1" a="1"/>
  <c r="D2420" i="1" a="1"/>
  <c r="D1228" i="1" a="1"/>
  <c r="D2379" i="1" a="1"/>
  <c r="D2696" i="1" a="1"/>
  <c r="D1629" i="1" a="1"/>
  <c r="D2456" i="1" a="1"/>
  <c r="D1193" i="1" a="1"/>
  <c r="D1888" i="1" a="1"/>
  <c r="D1506" i="1" a="1"/>
  <c r="D1809" i="1" a="1"/>
  <c r="D2276" i="1" a="1"/>
  <c r="D1795" i="1" a="1"/>
  <c r="D1501" i="1" a="1"/>
  <c r="D2684" i="1" a="1"/>
  <c r="D1784" i="1" a="1"/>
  <c r="D1573" i="1" a="1"/>
  <c r="D1658" i="1" a="1"/>
  <c r="D1316" i="1" a="1"/>
  <c r="D1898" i="1" a="1"/>
  <c r="D2323" i="1" a="1"/>
  <c r="D2160" i="1" a="1"/>
  <c r="D1949" i="1" a="1"/>
  <c r="D2559" i="1" a="1"/>
  <c r="D1291" i="1" a="1"/>
  <c r="D2242" i="1" a="1"/>
  <c r="D2260" i="1" a="1"/>
  <c r="D1471" i="1" a="1"/>
  <c r="D1916" i="1" a="1"/>
  <c r="D2751" i="1" a="1"/>
  <c r="D1760" i="1" a="1"/>
  <c r="D1201" i="1" a="1"/>
  <c r="D2329" i="1" a="1"/>
  <c r="D2234" i="1" a="1"/>
  <c r="D1335" i="1" a="1"/>
  <c r="D1550" i="1" a="1"/>
  <c r="D1800" i="1" a="1"/>
  <c r="D1733" i="1" a="1"/>
  <c r="D2054" i="1" a="1"/>
  <c r="D2672" i="1" a="1"/>
  <c r="D2463" i="1" a="1"/>
  <c r="D2395" i="1" a="1"/>
  <c r="D1934" i="1" a="1"/>
  <c r="D1188" i="1" a="1"/>
  <c r="D1195" i="1" a="1"/>
  <c r="D1872" i="1" a="1"/>
  <c r="D1347" i="1" a="1"/>
  <c r="D1271" i="1" a="1"/>
  <c r="D2745" i="1" a="1"/>
  <c r="D1786" i="1" a="1"/>
  <c r="D1996" i="1" a="1"/>
  <c r="D2136" i="1" a="1"/>
  <c r="D1831" i="1" a="1"/>
  <c r="D2022" i="1" a="1"/>
  <c r="D2336" i="1" a="1"/>
  <c r="D2506" i="1" a="1"/>
  <c r="D2518" i="1" a="1"/>
  <c r="D1427" i="1" a="1"/>
  <c r="D1155" i="1" a="1"/>
  <c r="D1433" i="1" a="1"/>
  <c r="D1393" i="1" a="1"/>
  <c r="D1597" i="1" a="1"/>
  <c r="D1699" i="1" a="1"/>
  <c r="D1547" i="1" a="1"/>
  <c r="D1299" i="1" a="1"/>
  <c r="D1936" i="1" a="1"/>
  <c r="D2421" i="1" a="1"/>
  <c r="D1601" i="1" a="1"/>
  <c r="D1980" i="1" a="1"/>
  <c r="D2723" i="1" a="1"/>
  <c r="D1802" i="1" a="1"/>
  <c r="D2003" i="1" a="1"/>
  <c r="D2614" i="1" a="1"/>
  <c r="D2062" i="1" a="1"/>
  <c r="D1883" i="1" a="1"/>
  <c r="D2223" i="1" a="1"/>
  <c r="D1467" i="1" a="1"/>
  <c r="D1854" i="1" a="1"/>
  <c r="D2711" i="1" a="1"/>
  <c r="D2267" i="1" a="1"/>
  <c r="D2416" i="1" a="1"/>
  <c r="D1343" i="1" a="1"/>
  <c r="D2035" i="1" a="1"/>
  <c r="D2305" i="1" a="1"/>
  <c r="D1677" i="1" a="1"/>
  <c r="D2014" i="1" a="1"/>
  <c r="D2539" i="1" a="1"/>
  <c r="D1326" i="1" a="1"/>
  <c r="D2337" i="1" a="1"/>
  <c r="D2224" i="1" a="1"/>
  <c r="D2344" i="1" a="1"/>
  <c r="D1478" i="1" a="1"/>
  <c r="D1666" i="1" a="1"/>
  <c r="D1817" i="1" a="1"/>
  <c r="D1998" i="1" a="1"/>
  <c r="D1386" i="1" a="1"/>
  <c r="D1455" i="1" a="1"/>
  <c r="D2327" i="1" a="1"/>
  <c r="D1655" i="1" a="1"/>
  <c r="D1182" i="1" a="1"/>
  <c r="D1500" i="1" a="1"/>
  <c r="D1640" i="1" a="1"/>
  <c r="D2153" i="1" a="1"/>
  <c r="D2756" i="1" a="1"/>
  <c r="D1183" i="1" a="1"/>
  <c r="D1832" i="1" a="1"/>
  <c r="D1917" i="1" a="1"/>
  <c r="D2450" i="1" a="1"/>
  <c r="D1938" i="1" a="1"/>
  <c r="D1417" i="1" a="1"/>
  <c r="D2324" i="1" a="1"/>
  <c r="D2618" i="1" a="1"/>
  <c r="D2508" i="1" a="1"/>
  <c r="D2033" i="1" a="1"/>
  <c r="D2483" i="1" a="1"/>
  <c r="D2231" i="1" a="1"/>
  <c r="D1224" i="1" a="1"/>
  <c r="D1912" i="1" a="1"/>
  <c r="D2092" i="1" a="1"/>
  <c r="D2376" i="1" a="1"/>
  <c r="D1913" i="1" a="1"/>
  <c r="D2429" i="1" a="1"/>
  <c r="D2356" i="1" a="1"/>
  <c r="D2236" i="1" a="1"/>
  <c r="D2109" i="1" a="1"/>
  <c r="D1623" i="1" a="1"/>
  <c r="D1391" i="1" a="1"/>
  <c r="D2567" i="1" a="1"/>
  <c r="D1440" i="1" a="1"/>
  <c r="D2489" i="1" a="1"/>
  <c r="D1703" i="1" a="1"/>
  <c r="D2057" i="1" a="1"/>
  <c r="D1895" i="1" a="1"/>
  <c r="D1303" i="1" a="1"/>
  <c r="D2187" i="1" a="1"/>
  <c r="D1290" i="1" a="1"/>
  <c r="D2555" i="1" a="1"/>
  <c r="D1238" i="1" a="1"/>
  <c r="D1448" i="1" a="1"/>
  <c r="D2589" i="1" a="1"/>
  <c r="D2406" i="1" a="1"/>
  <c r="D2524" i="1" a="1"/>
  <c r="D2750" i="1" a="1"/>
  <c r="D1251" i="1" a="1"/>
  <c r="D2132" i="1" a="1"/>
  <c r="D2461" i="1" a="1"/>
  <c r="D1752" i="1" a="1"/>
  <c r="D2447" i="1" a="1"/>
  <c r="D2689" i="1" a="1"/>
  <c r="D1278" i="1" a="1"/>
  <c r="D1510" i="1" a="1"/>
  <c r="D1823" i="1" a="1"/>
  <c r="D2645" i="1" a="1"/>
  <c r="D2466" i="1" a="1"/>
  <c r="D1504" i="1" a="1"/>
  <c r="D1910" i="1" a="1"/>
  <c r="D2308" i="1" a="1"/>
  <c r="D2656" i="1" a="1"/>
  <c r="D2229" i="1" a="1"/>
  <c r="D1960" i="1" a="1"/>
  <c r="D2564" i="1" a="1"/>
  <c r="D1722" i="1" a="1"/>
  <c r="D1626" i="1" a="1"/>
  <c r="D2617" i="1" a="1"/>
  <c r="D2180" i="1" a="1"/>
  <c r="D2431" i="1" a="1"/>
  <c r="D1365" i="1" a="1"/>
  <c r="D1136" i="1" a="1"/>
  <c r="D1507" i="1" a="1"/>
  <c r="D1875" i="1" a="1"/>
  <c r="D1171" i="1" a="1"/>
  <c r="D2635" i="1" a="1"/>
  <c r="D2078" i="1" a="1"/>
  <c r="D2124" i="1" a="1"/>
  <c r="D1260" i="1" a="1"/>
  <c r="D2600" i="1" a="1"/>
  <c r="D2615" i="1" a="1"/>
  <c r="D1637" i="1" a="1"/>
  <c r="D2582" i="1" a="1"/>
  <c r="D1848" i="1" a="1"/>
  <c r="D1502" i="1" a="1"/>
  <c r="D2390" i="1" a="1"/>
  <c r="D1279" i="1" a="1"/>
  <c r="D1621" i="1" a="1"/>
  <c r="D2012" i="1" a="1"/>
  <c r="D1184" i="1" a="1"/>
  <c r="D1785" i="1" a="1"/>
  <c r="D2137" i="1" a="1"/>
  <c r="D2194" i="1" a="1"/>
  <c r="D2330" i="1" a="1"/>
  <c r="D1254" i="1" a="1"/>
  <c r="D2642" i="1" a="1"/>
  <c r="D1416" i="1" a="1"/>
  <c r="D1583" i="1" a="1"/>
  <c r="D1591" i="1" a="1"/>
  <c r="D1515" i="1" a="1"/>
  <c r="D1620" i="1" a="1"/>
  <c r="D1178" i="1" a="1"/>
  <c r="D1537" i="1" a="1"/>
  <c r="D1896" i="1" a="1"/>
  <c r="D1312" i="1" a="1"/>
  <c r="D1246" i="1" a="1"/>
  <c r="D1971" i="1" a="1"/>
  <c r="D1199" i="1" a="1"/>
  <c r="D1712" i="1" a="1"/>
  <c r="D1977" i="1" a="1"/>
  <c r="D2048" i="1" a="1"/>
  <c r="D2377" i="1" a="1"/>
  <c r="D2432" i="1" a="1"/>
  <c r="D2004" i="1" a="1"/>
  <c r="D1275" i="1" a="1"/>
  <c r="D2668" i="1" a="1"/>
  <c r="D2436" i="1" a="1"/>
  <c r="D2536" i="1" a="1"/>
  <c r="D1408" i="1" a="1"/>
  <c r="D2709" i="1" a="1"/>
  <c r="D1860" i="1" a="1"/>
  <c r="D2334" i="1" a="1"/>
  <c r="D2576" i="1" a="1"/>
  <c r="D1951" i="1" a="1"/>
  <c r="D1744" i="1" a="1"/>
  <c r="D1869" i="1" a="1"/>
  <c r="D1469" i="1" a="1"/>
  <c r="D1555" i="1" a="1"/>
  <c r="D1948" i="1" a="1"/>
  <c r="D2209" i="1" a="1"/>
  <c r="D1741" i="1" a="1"/>
  <c r="D2519" i="1" a="1"/>
  <c r="D1969" i="1" a="1"/>
  <c r="D2073" i="1" a="1"/>
  <c r="D2480" i="1" a="1"/>
  <c r="D2314" i="1" a="1"/>
  <c r="D1793" i="1" a="1"/>
  <c r="D2507" i="1" a="1"/>
  <c r="D2018" i="1" a="1"/>
  <c r="D1829" i="1" a="1"/>
  <c r="D1491" i="1" a="1"/>
  <c r="D1682" i="1" a="1"/>
  <c r="D1680" i="1" a="1"/>
  <c r="D2525" i="1" a="1"/>
  <c r="D1213" i="1" a="1"/>
  <c r="D1436" i="1" a="1"/>
  <c r="D2333" i="1" a="1"/>
  <c r="D1152" i="1" a="1"/>
  <c r="D2426" i="1" a="1"/>
  <c r="D2475" i="1" a="1"/>
  <c r="D2477" i="1" a="1"/>
  <c r="D2122" i="1" a="1"/>
  <c r="D1663" i="1" a="1"/>
  <c r="D1668" i="1" a="1"/>
  <c r="D2636" i="1" a="1"/>
  <c r="D1892" i="1" a="1"/>
  <c r="D1577" i="1" a="1"/>
  <c r="D2009" i="1" a="1"/>
  <c r="D1615" i="1" a="1"/>
  <c r="D1388" i="1" a="1"/>
  <c r="D2043" i="1" a="1"/>
  <c r="D2653" i="1" a="1"/>
  <c r="D1163" i="1" a="1"/>
  <c r="D2228" i="1" a="1"/>
  <c r="D1197" i="1" a="1"/>
  <c r="D1374" i="1" a="1"/>
  <c r="D2664" i="1" a="1"/>
  <c r="D1707" i="1" a="1"/>
  <c r="D2442" i="1" a="1"/>
  <c r="D2295" i="1" a="1"/>
  <c r="D1884" i="1" a="1"/>
  <c r="D1337" i="1" a="1"/>
  <c r="D1545" i="1" a="1"/>
  <c r="D2170" i="1" a="1"/>
  <c r="D2563" i="1" a="1"/>
  <c r="D2386" i="1" a="1"/>
  <c r="D1242" i="1" a="1"/>
  <c r="D1185" i="1" a="1"/>
  <c r="D2728" i="1" a="1"/>
  <c r="D2362" i="1" a="1"/>
  <c r="D1653" i="1" a="1"/>
  <c r="D2202" i="1" a="1"/>
  <c r="D1560" i="1" a="1"/>
  <c r="D2588" i="1" a="1"/>
  <c r="D1360" i="1" a="1"/>
  <c r="D1252" i="1" a="1"/>
  <c r="D1673" i="1" a="1"/>
  <c r="D2574" i="1" a="1"/>
  <c r="D2328" i="1" a="1"/>
  <c r="D2708" i="1" a="1"/>
  <c r="D1937" i="1" a="1"/>
  <c r="D1816" i="1" a="1"/>
  <c r="D2732" i="1" a="1"/>
  <c r="D1921" i="1" a="1"/>
  <c r="D1711" i="1" a="1"/>
  <c r="D2433" i="1" a="1"/>
  <c r="D2638" i="1" a="1"/>
  <c r="D2046" i="1" a="1"/>
  <c r="D1223" i="1" a="1"/>
  <c r="D1727" i="1" a="1"/>
  <c r="D1763" i="1" a="1"/>
  <c r="D2435" i="1" a="1"/>
  <c r="D2482" i="1" a="1"/>
  <c r="D1351" i="1" a="1"/>
  <c r="D1838" i="1" a="1"/>
  <c r="D2365" i="1" a="1"/>
  <c r="D1764" i="1" a="1"/>
  <c r="D2714" i="1" a="1"/>
  <c r="D1474" i="1" a="1"/>
  <c r="D1956" i="1" a="1"/>
  <c r="D1535" i="1" a="1"/>
  <c r="D1415" i="1" a="1"/>
  <c r="D1874" i="1" a="1"/>
  <c r="D1643" i="1" a="1"/>
  <c r="D1857" i="1" a="1"/>
  <c r="D2634" i="1" a="1"/>
  <c r="D2044" i="1" a="1"/>
  <c r="D2410" i="1" a="1"/>
  <c r="D2578" i="1" a="1"/>
  <c r="D1710" i="1" a="1"/>
  <c r="D2747" i="1" a="1"/>
  <c r="D1981" i="1" a="1"/>
  <c r="D1826" i="1" a="1"/>
  <c r="D2079" i="1" a="1"/>
  <c r="D1965" i="1" a="1"/>
  <c r="D2338" i="1" a="1"/>
  <c r="D1745" i="1" a="1"/>
  <c r="D1678" i="1" a="1"/>
  <c r="D2363" i="1" a="1"/>
  <c r="D1919" i="1" a="1"/>
  <c r="D1964" i="1" a="1"/>
  <c r="D2749" i="1" a="1"/>
  <c r="D1984" i="1" a="1"/>
  <c r="D2269" i="1" a="1"/>
  <c r="D1341" i="1" a="1"/>
  <c r="D2399" i="1" a="1"/>
  <c r="D2680" i="1" a="1"/>
  <c r="D1426" i="1" a="1"/>
  <c r="D2017" i="1" a="1"/>
  <c r="D2052" i="1" a="1"/>
  <c r="D2394" i="1" a="1"/>
  <c r="D1886" i="1" a="1"/>
  <c r="D2055" i="1" a="1"/>
  <c r="D2573" i="1" a="1"/>
  <c r="D1603" i="1" a="1"/>
  <c r="D2034" i="1" a="1"/>
  <c r="D2150" i="1" a="1"/>
  <c r="D1385" i="1" a="1"/>
  <c r="D2620" i="1" a="1"/>
  <c r="D1403" i="1" a="1"/>
  <c r="D2488" i="1" a="1"/>
  <c r="D1828" i="1" a="1"/>
  <c r="D2340" i="1" a="1"/>
  <c r="D2384" i="1" a="1"/>
  <c r="D1220" i="1" a="1"/>
  <c r="D2040" i="1" a="1"/>
  <c r="D1247" i="1" a="1"/>
  <c r="D1519" i="1" a="1"/>
  <c r="D1539" i="1" a="1"/>
  <c r="D1329" i="1" a="1"/>
  <c r="D2364" i="1" a="1"/>
  <c r="D1241" i="1" a="1"/>
  <c r="D2658" i="1" a="1"/>
  <c r="D2640" i="1" a="1"/>
  <c r="D1142" i="1" a="1"/>
  <c r="D1732" i="1" a="1"/>
  <c r="D1852" i="1" a="1"/>
  <c r="D2503" i="1" a="1"/>
  <c r="D2544" i="1" a="1"/>
  <c r="D2343" i="1" a="1"/>
  <c r="D2298" i="1" a="1"/>
  <c r="D1463" i="1" a="1"/>
  <c r="D2681" i="1" a="1"/>
  <c r="D1853" i="1" a="1"/>
  <c r="D2467" i="1" a="1"/>
  <c r="D2007" i="1" a="1"/>
  <c r="D2114" i="1" a="1"/>
  <c r="D2502" i="1" a="1"/>
  <c r="D2208" i="1" a="1"/>
  <c r="D2630" i="1" a="1"/>
  <c r="D1589" i="1" a="1"/>
  <c r="D1276" i="1" a="1"/>
  <c r="D2552" i="1" a="1"/>
  <c r="D1746" i="1" a="1"/>
  <c r="D1143" i="1" a="1"/>
  <c r="D2398" i="1" a="1"/>
  <c r="D2147" i="1" a="1"/>
  <c r="D2002" i="1" a="1"/>
  <c r="D1627" i="1" a="1"/>
  <c r="D2393" i="1" a="1"/>
  <c r="D1176" i="1" a="1"/>
  <c r="D2572" i="1" a="1"/>
  <c r="D1908" i="1" a="1"/>
  <c r="D1407" i="1" a="1"/>
  <c r="D2663" i="1" a="1"/>
  <c r="D2569" i="1" a="1"/>
  <c r="D2609" i="1" a="1"/>
  <c r="D1458" i="1" a="1"/>
  <c r="D2701" i="1" a="1"/>
  <c r="D1830" i="1" a="1"/>
  <c r="D2258" i="1" a="1"/>
  <c r="D1687" i="1" a="1"/>
  <c r="D1298" i="1" a="1"/>
  <c r="D1232" i="1" a="1"/>
  <c r="D1481" i="1" a="1"/>
  <c r="D2370" i="1" a="1"/>
  <c r="D1207" i="1" a="1"/>
  <c r="D1970" i="1" a="1"/>
  <c r="D1819" i="1" a="1"/>
  <c r="D2478" i="1" a="1"/>
  <c r="D1221" i="1" a="1"/>
  <c r="D2133" i="1" a="1"/>
  <c r="D1512" i="1" a="1"/>
  <c r="D1715" i="1" a="1"/>
  <c r="D2693" i="1" a="1"/>
  <c r="D2473" i="1" a="1"/>
  <c r="D2604" i="1" a="1"/>
  <c r="D1851" i="1" a="1"/>
  <c r="D1856" i="1" a="1"/>
  <c r="D1780" i="1" a="1"/>
  <c r="D2546" i="1" a="1"/>
  <c r="D2523" i="1" a="1"/>
  <c r="D1566" i="1" a="1"/>
  <c r="D1927" i="1" a="1"/>
  <c r="D2612" i="1" a="1"/>
  <c r="D2360" i="1" a="1"/>
  <c r="D2152" i="1" a="1"/>
  <c r="D2509" i="1" a="1"/>
  <c r="D1598" i="1" a="1"/>
  <c r="D1924" i="1" a="1"/>
  <c r="D1454" i="1" a="1"/>
  <c r="D1933" i="1" a="1"/>
  <c r="D2053" i="1" a="1"/>
  <c r="D2534" i="1" a="1"/>
  <c r="D1509" i="1" a="1"/>
  <c r="D1558" i="1" a="1"/>
  <c r="D1979" i="1" a="1"/>
  <c r="D2094" i="1" a="1"/>
  <c r="D2116" i="1" a="1"/>
  <c r="D2045" i="1" a="1"/>
  <c r="D2694" i="1" a="1"/>
  <c r="D2322" i="1" a="1"/>
  <c r="D1590" i="1" a="1"/>
  <c r="D1985" i="1" a="1"/>
  <c r="D2409" i="1" a="1"/>
  <c r="D1174" i="1" a="1"/>
  <c r="D1451" i="1" a="1"/>
  <c r="D2185" i="1" a="1"/>
  <c r="D1413" i="1" a="1"/>
  <c r="D1974" i="1" a="1"/>
  <c r="D1369" i="1" a="1"/>
  <c r="D2397" i="1" a="1"/>
  <c r="D1429" i="1" a="1"/>
  <c r="D2249" i="1" a="1"/>
  <c r="D1702" i="1" a="1"/>
  <c r="D2692" i="1" a="1"/>
  <c r="D1443" i="1" a="1"/>
  <c r="D2241" i="1" a="1"/>
  <c r="D1421" i="1" a="1"/>
  <c r="D1568" i="1" a="1"/>
  <c r="D1235" i="1" a="1"/>
  <c r="D2667" i="1" a="1"/>
  <c r="D1976" i="1" a="1"/>
  <c r="D2309" i="1" a="1"/>
  <c r="D1613" i="1" a="1"/>
  <c r="D2619" i="1" a="1"/>
  <c r="D1866" i="1" a="1"/>
  <c r="D1929" i="1" a="1"/>
  <c r="D2715" i="1" a="1"/>
  <c r="D1959" i="1" a="1"/>
  <c r="D1836" i="1" a="1"/>
  <c r="D2284" i="1" a="1"/>
  <c r="D2282" i="1" a="1"/>
  <c r="D1230" i="1" a="1"/>
  <c r="D1398" i="1" a="1"/>
  <c r="D1390" i="1" a="1"/>
  <c r="D1321" i="1" a="1"/>
  <c r="D1595" i="1" a="1"/>
  <c r="D1878" i="1" a="1"/>
  <c r="D2513" i="1" a="1"/>
  <c r="D2587" i="1" a="1"/>
  <c r="D1319" i="1" a="1"/>
  <c r="D1144" i="1" a="1"/>
  <c r="D2437" i="1" a="1"/>
  <c r="D1778" i="1" a="1"/>
  <c r="D1466" i="1" a="1"/>
  <c r="D1696" i="1" a="1"/>
  <c r="D1423" i="1" a="1"/>
  <c r="D2066" i="1" a="1"/>
  <c r="D2707" i="1" a="1"/>
  <c r="D2471" i="1" a="1"/>
  <c r="D2540" i="1" a="1"/>
  <c r="D1226" i="1" a="1"/>
  <c r="D2727" i="1" a="1"/>
  <c r="D1641" i="1" a="1"/>
  <c r="D1177" i="1" a="1"/>
  <c r="D1849" i="1" a="1"/>
  <c r="D2608" i="1" a="1"/>
  <c r="D2373" i="1" a="1"/>
  <c r="D1266" i="1" a="1"/>
  <c r="D1841" i="1" a="1"/>
  <c r="D2679" i="1" a="1"/>
  <c r="D2532" i="1" a="1"/>
  <c r="D2678" i="1" a="1"/>
  <c r="D2192" i="1" a="1"/>
  <c r="D1877" i="1" a="1"/>
  <c r="D2570" i="1" a="1"/>
  <c r="D1756" i="1" a="1"/>
  <c r="D2380" i="1" a="1"/>
  <c r="D1168" i="1" a="1"/>
  <c r="D2428" i="1" a="1"/>
  <c r="D1470" i="1" a="1"/>
  <c r="D1160" i="1" a="1"/>
  <c r="D1750" i="1" a="1"/>
  <c r="D2139" i="1" a="1"/>
  <c r="D1714" i="1" a="1"/>
  <c r="D1518" i="1" a="1"/>
  <c r="D1562" i="1" a="1"/>
  <c r="D2666" i="1" a="1"/>
  <c r="D2388" i="1" a="1"/>
  <c r="D1508" i="1" a="1"/>
  <c r="D2733" i="1" a="1"/>
  <c r="D1766" i="1" a="1"/>
  <c r="D2070" i="1" a="1"/>
  <c r="D2266" i="1" a="1"/>
  <c r="D2581" i="1" a="1"/>
  <c r="D1330" i="1" a="1"/>
  <c r="D2526" i="1" a="1"/>
  <c r="D2319" i="1" a="1"/>
  <c r="D1645" i="1" a="1"/>
  <c r="D1604" i="1" a="1"/>
  <c r="D2558" i="1" a="1"/>
  <c r="D1865" i="1" a="1"/>
  <c r="D1362" i="1" a="1"/>
  <c r="D2134" i="1" a="1"/>
  <c r="D1315" i="1" a="1"/>
  <c r="D2191" i="1" a="1"/>
  <c r="D1498" i="1" a="1"/>
  <c r="D2691" i="1" a="1"/>
  <c r="D1422" i="1" a="1"/>
  <c r="D2297" i="1" a="1"/>
  <c r="D2056" i="1" a="1"/>
  <c r="D1526" i="1" a="1"/>
  <c r="D1528" i="1" a="1"/>
  <c r="D2157" i="1" a="1"/>
  <c r="D1154" i="1" a="1"/>
  <c r="D2514" i="1" a="1"/>
  <c r="D1864" i="1" a="1"/>
  <c r="D2254" i="1" a="1"/>
  <c r="D2741" i="1" a="1"/>
  <c r="D1754" i="1" a="1"/>
  <c r="D2644" i="1" a="1"/>
  <c r="D1660" i="1" a="1"/>
  <c r="D2706" i="1" a="1"/>
  <c r="D2629" i="1" a="1"/>
  <c r="D1217" i="1" a="1"/>
  <c r="D2453" i="1" a="1"/>
  <c r="D2405" i="1" a="1"/>
  <c r="D1871" i="1" a="1"/>
  <c r="D1146" i="1" a="1"/>
  <c r="D1318" i="1" a="1"/>
  <c r="D1465" i="1" a="1"/>
  <c r="D2128" i="1" a="1"/>
  <c r="D2030" i="1" a="1"/>
  <c r="D2561" i="1" a="1"/>
  <c r="D2049" i="1" a="1"/>
  <c r="D2511" i="1" a="1"/>
  <c r="D1563" i="1" a="1"/>
  <c r="D1511" i="1" a="1"/>
  <c r="D2652" i="1" a="1"/>
  <c r="D2593" i="1" a="1"/>
  <c r="D1540" i="1" a="1"/>
  <c r="D2496" i="1" a="1"/>
  <c r="D2726" i="1" a="1"/>
  <c r="D2154" i="1" a="1"/>
  <c r="D1954" i="1" a="1"/>
  <c r="D2311" i="1" a="1"/>
  <c r="D1313" i="1" a="1"/>
  <c r="D2476" i="1" a="1"/>
  <c r="D2371" i="1" a="1"/>
  <c r="D1495" i="1" a="1"/>
  <c r="D2294" i="1" a="1"/>
  <c r="D2211" i="1" a="1"/>
  <c r="D1432" i="1" a="1"/>
  <c r="D1172" i="1" a="1"/>
  <c r="D2661" i="1" a="1"/>
  <c r="D2131" i="1" a="1"/>
  <c r="D1805" i="1" a="1"/>
  <c r="D1431" i="1" a="1"/>
  <c r="D1689" i="1" a="1"/>
  <c r="D2621" i="1" a="1"/>
  <c r="D2251" i="1" a="1"/>
  <c r="D2105" i="1" a="1"/>
  <c r="D2288" i="1" a="1"/>
  <c r="D2391" i="1" a="1"/>
  <c r="D2182" i="1" a="1"/>
  <c r="D2118" i="1" a="1"/>
  <c r="D1286" i="1" a="1"/>
  <c r="D1962" i="1" a="1"/>
  <c r="D1716" i="1" a="1"/>
  <c r="D2161" i="1" a="1"/>
  <c r="D1628" i="1" a="1"/>
  <c r="D1735" i="1" a="1"/>
  <c r="D1654" i="1" a="1"/>
  <c r="D2601" i="1" a="1"/>
  <c r="D1376" i="1" a="1"/>
  <c r="D1204" i="1" a="1"/>
  <c r="D2682" i="1" a="1"/>
  <c r="D2287" i="1" a="1"/>
  <c r="D2545" i="1" a="1"/>
  <c r="D1496" i="1" a="1"/>
  <c r="D1932" i="1" a="1"/>
  <c r="D2481" i="1" a="1"/>
  <c r="D2568" i="1" a="1"/>
  <c r="D2177" i="1" a="1"/>
  <c r="D2500" i="1" a="1"/>
  <c r="D1602" i="1" a="1"/>
  <c r="D1383" i="1" a="1"/>
  <c r="D1140" i="1" a="1"/>
  <c r="D2100" i="1" a="1"/>
  <c r="D1554" i="1" a="1"/>
  <c r="D1576" i="1" a="1"/>
  <c r="D1392" i="1" a="1"/>
  <c r="D1352" i="1" a="1"/>
  <c r="D2595" i="1" a="1"/>
  <c r="D2674" i="1" a="1"/>
  <c r="D1609" i="1" a="1"/>
  <c r="D1314" i="1" a="1"/>
  <c r="D1551" i="1" a="1"/>
  <c r="D1941" i="1" a="1"/>
  <c r="D2167" i="1" a="1"/>
  <c r="D2596" i="1" a="1"/>
  <c r="D2099" i="1" a="1"/>
  <c r="D2230" i="1" a="1"/>
  <c r="D1704" i="1" a="1"/>
  <c r="D2029" i="1" a="1"/>
  <c r="D2717" i="1" a="1"/>
  <c r="D1862" i="1" a="1"/>
  <c r="D2095" i="1" a="1"/>
  <c r="D1292" i="1" a="1"/>
  <c r="D1166" i="1" a="1"/>
  <c r="D1151" i="1" a="1"/>
  <c r="D1635" i="1" a="1"/>
  <c r="D1839" i="1" a="1"/>
  <c r="D1236" i="1" a="1"/>
  <c r="D1901" i="1" a="1"/>
  <c r="D2702" i="1" a="1"/>
  <c r="D1918" i="1" a="1"/>
  <c r="D2331" i="1" a="1"/>
  <c r="D1863" i="1" a="1"/>
  <c r="D2006" i="1" a="1"/>
  <c r="D1411" i="1" a="1"/>
  <c r="D1724" i="1" a="1"/>
  <c r="D1992" i="1" a="1"/>
  <c r="D1777" i="1" a="1"/>
  <c r="D1688" i="1" a="1"/>
  <c r="D2637" i="1" a="1"/>
  <c r="D2106" i="1" a="1"/>
  <c r="D2700" i="1" a="1"/>
  <c r="D2685" i="1" a="1"/>
  <c r="D2369" i="1" a="1"/>
  <c r="D2088" i="1" a="1"/>
  <c r="D2259" i="1" a="1"/>
  <c r="D2734" i="1" a="1"/>
  <c r="D2316" i="1" a="1"/>
  <c r="D2196" i="1" a="1"/>
  <c r="D1599" i="1" a="1"/>
  <c r="D2091" i="1" a="1"/>
  <c r="D1405" i="1" a="1"/>
  <c r="D1435" i="1" a="1"/>
  <c r="D2740" i="1" a="1"/>
  <c r="D1850" i="1" a="1"/>
  <c r="D1336" i="1" a="1"/>
  <c r="D2097" i="1" a="1"/>
  <c r="D1904" i="1" a="1"/>
  <c r="D2402" i="1" a="1"/>
  <c r="D2125" i="1" a="1"/>
  <c r="D1631" i="1" a="1"/>
  <c r="D1150" i="1" a="1"/>
  <c r="D1638" i="1" a="1"/>
  <c r="D1914" i="1" a="1"/>
  <c r="D1773" i="1" a="1"/>
  <c r="D1492" i="1" a="1"/>
  <c r="D1430" i="1" a="1"/>
  <c r="D1128" i="1" a="1"/>
  <c r="D2744" i="1" a="1"/>
  <c r="D1612" i="1" a="1"/>
  <c r="D1993" i="1" a="1"/>
  <c r="D2440" i="1" a="1"/>
  <c r="D1218" i="1" a="1"/>
  <c r="D2064" i="1" a="1"/>
  <c r="D2430" i="1" a="1"/>
  <c r="D2270" i="1" a="1"/>
  <c r="D2403" i="1" a="1"/>
  <c r="D1187" i="1" a="1"/>
  <c r="D2553" i="1" a="1"/>
  <c r="D1679" i="1" a="1"/>
  <c r="D2499" i="1" a="1"/>
  <c r="D1424" i="1" a="1"/>
  <c r="D2286" i="1" a="1"/>
  <c r="D2719" i="1" a="1"/>
  <c r="D1694" i="1" a="1"/>
  <c r="D1870" i="1" a="1"/>
  <c r="D1684" i="1" a="1"/>
  <c r="D2704" i="1" a="1"/>
  <c r="D2396" i="1" a="1"/>
  <c r="D1858" i="1" a="1"/>
  <c r="D2232" i="1" a="1"/>
  <c r="D2517" i="1" a="1"/>
  <c r="D1920" i="1" a="1"/>
  <c r="D2318" i="1" a="1"/>
  <c r="D1757" i="1" a="1"/>
  <c r="D2530" i="1" a="1"/>
  <c r="D1843" i="1" a="1"/>
  <c r="D1991" i="1" a="1"/>
  <c r="D2245" i="1" a="1"/>
  <c r="D2464" i="1" a="1"/>
  <c r="D1516" i="1" a="1"/>
  <c r="D2155" i="1" a="1"/>
  <c r="D1818" i="1" a="1"/>
  <c r="D1541" i="1" a="1"/>
  <c r="D1227" i="1" a="1"/>
  <c r="D2257" i="1" a="1"/>
  <c r="D2361" i="1" a="1"/>
  <c r="D2687" i="1" a="1"/>
  <c r="D2335" i="1" a="1"/>
  <c r="D2722" i="1" a="1"/>
  <c r="D1811" i="1" a="1"/>
  <c r="D2392" i="1" a="1"/>
  <c r="D2716" i="1" a="1"/>
  <c r="D2407" i="1" a="1"/>
  <c r="D2083" i="1" a="1"/>
  <c r="D1456" i="1" a="1"/>
  <c r="D2469" i="1" a="1"/>
  <c r="D2690" i="1" a="1"/>
  <c r="D1820" i="1" a="1"/>
  <c r="D2038" i="1" a="1"/>
  <c r="D1889" i="1" a="1"/>
  <c r="D1302" i="1" a="1"/>
  <c r="D2348" i="1" a="1"/>
  <c r="D2528" i="1" a="1"/>
  <c r="D2626" i="1" a="1"/>
  <c r="D1410" i="1" a="1"/>
  <c r="D1237" i="1" a="1"/>
  <c r="D1320" i="1" a="1"/>
  <c r="D2293" i="1" a="1"/>
  <c r="D2138" i="1" a="1"/>
  <c r="D2090" i="1" a="1"/>
  <c r="D1404" i="1" a="1"/>
  <c r="D1708" i="1" a="1"/>
  <c r="D1306" i="1" a="1"/>
  <c r="D2585" i="1" a="1"/>
  <c r="D2414" i="1" a="1"/>
  <c r="D1523" i="1" a="1"/>
  <c r="D1513" i="1" a="1"/>
  <c r="D1930" i="1" a="1"/>
  <c r="D2123" i="1" a="1"/>
  <c r="D2271" i="1" a="1"/>
  <c r="D1690" i="1" a="1"/>
  <c r="D1414" i="1" a="1"/>
  <c r="D1731" i="1" a="1"/>
  <c r="D1975" i="1" a="1"/>
  <c r="D1475" i="1" a="1"/>
  <c r="D1262" i="1" a="1"/>
  <c r="D2300" i="1" a="1"/>
  <c r="D1953" i="1" a="1"/>
  <c r="D2649" i="1" a="1"/>
  <c r="D1373" i="1" a="1"/>
  <c r="D2076" i="1" a="1"/>
  <c r="D1477" i="1" a="1"/>
  <c r="D2039" i="1" a="1"/>
  <c r="D1813" i="1" a="1"/>
  <c r="D2659" i="1" a="1"/>
  <c r="D2285" i="1" a="1"/>
  <c r="D2169" i="1" a="1"/>
  <c r="D2543" i="1" a="1"/>
  <c r="D2214" i="1" a="1"/>
  <c r="D2159" i="1" a="1"/>
  <c r="D2353" i="1" a="1"/>
  <c r="D1665" i="1" a="1"/>
  <c r="D2547" i="1" a="1"/>
  <c r="D2382" i="1" a="1"/>
  <c r="D1141" i="1" a="1"/>
  <c r="D1636" i="1" a="1"/>
  <c r="D1911" i="1" a="1"/>
  <c r="D2238" i="1" a="1"/>
  <c r="D1544" i="1" a="1"/>
  <c r="D2622" i="1" a="1"/>
  <c r="D1706" i="1" a="1"/>
  <c r="D2268" i="1" a="1"/>
  <c r="D1876" i="1" a="1"/>
  <c r="D2247" i="1" a="1"/>
  <c r="D2675" i="1" a="1"/>
  <c r="D1485" i="1" a="1"/>
  <c r="D1564" i="1" a="1"/>
  <c r="D1382" i="1" a="1"/>
  <c r="D1211" i="1" a="1"/>
  <c r="D1274" i="1" a="1"/>
  <c r="D2240" i="1" a="1"/>
  <c r="D1215" i="1" a="1"/>
  <c r="D2195" i="1" a="1"/>
  <c r="D2497" i="1" a="1"/>
  <c r="D1755" i="1" a="1"/>
  <c r="D1449" i="1" a="1"/>
  <c r="D2199" i="1" a="1"/>
  <c r="D1361" i="1" a="1"/>
  <c r="D2669" i="1" a="1"/>
  <c r="D1596" i="1" a="1"/>
  <c r="D1191" i="1" a="1"/>
  <c r="D2273" i="1" a="1"/>
  <c r="D1412" i="1" a="1"/>
  <c r="D2206" i="1" a="1"/>
  <c r="D1437" i="1" a="1"/>
  <c r="D1225" i="1" a="1"/>
  <c r="D1387" i="1" a="1"/>
  <c r="D2366" i="1" a="1"/>
  <c r="D1269" i="1" a="1"/>
  <c r="D1747" i="1" a="1"/>
  <c r="D2237" i="1" a="1"/>
  <c r="D2299" i="1" a="1"/>
  <c r="D2104" i="1" a="1"/>
  <c r="D1180" i="1" a="1"/>
  <c r="D1790" i="1" a="1"/>
  <c r="D1192" i="1" a="1"/>
  <c r="D2342" i="1" a="1"/>
  <c r="D2233" i="1" a="1"/>
  <c r="D1158" i="1" a="1"/>
  <c r="D2419" i="1" a="1"/>
  <c r="D1662" i="1" a="1"/>
  <c r="D1328" i="1" a="1"/>
  <c r="D2551" i="1" a="1"/>
  <c r="D1409" i="1" a="1"/>
  <c r="D1676" i="1" a="1"/>
  <c r="D2753" i="1" a="1"/>
  <c r="D2412" i="1" a="1"/>
  <c r="D2060" i="1" a="1"/>
  <c r="D1758" i="1" a="1"/>
  <c r="D1375" i="1" a="1"/>
  <c r="D2093" i="1" a="1"/>
  <c r="D1442" i="1" a="1"/>
  <c r="D2217" i="1" a="1"/>
  <c r="D1787" i="1" a="1"/>
  <c r="D2108" i="1" a="1"/>
  <c r="D2061" i="1" a="1"/>
  <c r="D2112" i="1" a="1"/>
  <c r="D2752" i="1" a="1"/>
  <c r="D1989" i="1" a="1"/>
  <c r="D1827" i="1" a="1"/>
  <c r="D1575" i="1" a="1"/>
  <c r="D2591" i="1" a="1"/>
  <c r="D1648" i="1" a="1"/>
  <c r="D2301" i="1" a="1"/>
  <c r="D1489" i="1" a="1"/>
  <c r="D1256" i="1" a="1"/>
  <c r="D1806" i="1" a="1"/>
  <c r="D1222" i="1" a="1"/>
  <c r="D1359" i="1" a="1"/>
  <c r="D1587" i="1" a="1"/>
  <c r="D2051" i="1" a="1"/>
  <c r="D2607" i="1" a="1"/>
  <c r="D1372" i="1" a="1"/>
  <c r="D2387" i="1" a="1"/>
  <c r="D1986" i="1" a="1"/>
  <c r="D1709" i="1" a="1"/>
  <c r="D2757" i="1" a="1"/>
  <c r="D2565" i="1" a="1"/>
  <c r="D2457" i="1" a="1"/>
  <c r="D1543" i="1" a="1"/>
  <c r="D1277" i="1" a="1"/>
  <c r="D2307" i="1" a="1"/>
  <c r="D2321" i="1" a="1"/>
  <c r="D1670" i="1" a="1"/>
  <c r="D1644" i="1" a="1"/>
  <c r="D2019" i="1" a="1"/>
  <c r="D2115" i="1" a="1"/>
  <c r="D1253" i="1" a="1"/>
  <c r="D2643" i="1" a="1"/>
  <c r="D2657" i="1" a="1"/>
  <c r="D2041" i="1" a="1"/>
  <c r="D1867" i="1" a="1"/>
  <c r="D1324" i="1" a="1"/>
  <c r="D2413" i="1" a="1"/>
  <c r="D2755" i="1" a="1"/>
  <c r="D1890" i="1" a="1"/>
  <c r="D1395" i="1" a="1"/>
  <c r="D1334" i="1" a="1"/>
  <c r="D2278" i="1" a="1"/>
  <c r="D2065" i="1" a="1"/>
  <c r="D1294" i="1" a="1"/>
  <c r="D2221" i="1" a="1"/>
  <c r="D1594" i="1" a="1"/>
  <c r="D2401" i="1" a="1"/>
  <c r="D1982" i="1" a="1"/>
  <c r="D1460" i="1" a="1"/>
  <c r="D2400" i="1" a="1"/>
  <c r="D1717" i="1" a="1"/>
  <c r="D1739" i="1" a="1"/>
  <c r="D1494" i="1" a="1"/>
  <c r="D2355" i="1" a="1"/>
  <c r="D2695" i="1" a="1"/>
  <c r="D2354" i="1" a="1"/>
  <c r="D2111" i="1" a="1"/>
  <c r="D1205" i="1" a="1"/>
  <c r="D2219" i="1" a="1"/>
  <c r="D2031" i="1" a="1"/>
  <c r="D1406" i="1" a="1"/>
  <c r="D1559" i="1" a="1"/>
  <c r="D2705" i="1" a="1"/>
  <c r="D1200" i="1" a="1"/>
  <c r="D2218" i="1" a="1"/>
  <c r="D1259" i="1" a="1"/>
  <c r="D2158" i="1" a="1"/>
  <c r="D1903" i="1" a="1"/>
  <c r="D1600" i="1" a="1"/>
  <c r="D1556" i="1" a="1"/>
  <c r="D2156" i="1" a="1"/>
  <c r="D2597" i="1" a="1"/>
  <c r="D1281" i="1" a="1"/>
  <c r="D2359" i="1" a="1"/>
  <c r="D1145" i="1" a="1"/>
  <c r="D2166" i="1" a="1"/>
  <c r="D2554" i="1" a="1"/>
  <c r="D1340" i="1" a="1"/>
  <c r="D2225" i="1" a="1"/>
  <c r="D1499" i="1" a="1"/>
  <c r="D1987" i="1" a="1"/>
  <c r="D2263" i="1" a="1"/>
  <c r="D1476" i="1" a="1"/>
  <c r="D1737" i="1" a="1"/>
  <c r="D1900" i="1" a="1"/>
  <c r="D2186" i="1" a="1"/>
  <c r="D1922" i="1" a="1"/>
  <c r="D1574" i="1" a="1"/>
  <c r="D1925" i="1" a="1"/>
  <c r="D2730" i="1" a="1"/>
  <c r="D1425" i="1" a="1"/>
  <c r="D1701" i="1" a="1"/>
  <c r="D2505" i="1" a="1"/>
  <c r="D1905" i="1" a="1"/>
  <c r="D1650" i="1" a="1"/>
  <c r="D1749" i="1" a="1"/>
  <c r="D2303" i="1" a="1"/>
  <c r="D1713" i="1" a="1"/>
  <c r="D1837" i="1" a="1"/>
  <c r="D2280" i="1" a="1"/>
  <c r="D1685" i="1" a="1"/>
  <c r="D2650" i="1" a="1"/>
  <c r="D1579" i="1" a="1"/>
  <c r="D1798" i="1" a="1"/>
  <c r="D1282" i="1" a="1"/>
  <c r="D2739" i="1" a="1"/>
  <c r="D2438" i="1" a="1"/>
  <c r="D2290" i="1" a="1"/>
  <c r="D1239" i="1" a="1"/>
  <c r="D2731" i="1" a="1"/>
  <c r="D2262" i="1" a="1"/>
  <c r="D2201" i="1" a="1"/>
  <c r="D1961" i="1" a="1"/>
  <c r="D2647" i="1" a="1"/>
  <c r="D2315" i="1" a="1"/>
  <c r="D2126" i="1" a="1"/>
  <c r="D1389" i="1" a="1"/>
  <c r="D2256" i="1" a="1"/>
  <c r="D2050" i="1" a="1"/>
  <c r="D1400" i="1" a="1"/>
  <c r="D2446" i="1" a="1"/>
  <c r="D2427" i="1" a="1"/>
  <c r="D1394" i="1" a="1"/>
  <c r="D2389" i="1" a="1"/>
  <c r="D2207" i="1" a="1"/>
  <c r="D2381" i="1" a="1"/>
  <c r="D2312" i="1" a="1"/>
  <c r="D2577" i="1" a="1"/>
  <c r="D2345" i="1" a="1"/>
  <c r="D1493" i="1" a="1"/>
  <c r="D1625" i="1" a="1"/>
  <c r="D1450" i="1" a="1"/>
  <c r="D1833" i="1" a="1"/>
  <c r="D2117" i="1" a="1"/>
  <c r="D2655" i="1" a="1"/>
  <c r="D2504" i="1" a="1"/>
  <c r="D1418" i="1" a="1"/>
  <c r="D2759" i="1" a="1"/>
  <c r="D1804" i="1" a="1"/>
  <c r="D1743" i="1" a="1"/>
  <c r="D1966" i="1" a="1"/>
  <c r="D2448" i="1" a="1"/>
  <c r="D1308" i="1" a="1"/>
  <c r="D1301" i="1" a="1"/>
  <c r="D2027" i="1" a="1"/>
  <c r="D2718" i="1" a="1"/>
  <c r="D2149" i="1" a="1"/>
  <c r="D1885" i="1" a="1"/>
  <c r="D2283" i="1" a="1"/>
  <c r="D2408" i="1" a="1"/>
  <c r="D2632" i="1" a="1"/>
  <c r="D1796" i="1" a="1"/>
  <c r="D2352" i="1" a="1"/>
  <c r="D1323" i="1" a="1"/>
  <c r="D1348" i="1" a="1"/>
  <c r="D2606" i="1" a="1"/>
  <c r="D1439" i="1" a="1"/>
  <c r="D2611" i="1" a="1"/>
  <c r="D1367" i="1" a="1"/>
  <c r="D1675" i="1" a="1"/>
  <c r="D1994" i="1" a="1"/>
  <c r="D1946" i="1" a="1"/>
  <c r="D2082" i="1" a="1"/>
  <c r="D1669" i="1" a="1"/>
  <c r="D2067" i="1" a="1"/>
  <c r="D1310" i="1" a="1"/>
  <c r="D2174" i="1" a="1"/>
  <c r="D2378" i="1" a="1"/>
  <c r="D2279" i="1" a="1"/>
  <c r="D2332" i="1" a="1"/>
  <c r="D1249" i="1" a="1"/>
  <c r="D1488" i="1" a="1"/>
  <c r="D1614" i="1" a="1"/>
  <c r="D1943" i="1" a="1"/>
  <c r="D1231" i="1" a="1"/>
  <c r="D1988" i="1" a="1"/>
  <c r="D1639" i="1" a="1"/>
  <c r="D2599" i="1" a="1"/>
  <c r="D2296" i="1" a="1"/>
  <c r="D2522" i="1" a="1"/>
  <c r="D2164" i="1" a="1"/>
  <c r="D2372" i="1" a="1"/>
  <c r="D2101" i="1" a="1"/>
  <c r="D1139" i="1" a="1"/>
  <c r="D2498" i="1" a="1"/>
  <c r="D1305" i="1" a="1"/>
  <c r="D1736" i="1" a="1"/>
  <c r="D1261" i="1" a="1"/>
  <c r="D2059" i="1" a="1"/>
  <c r="D2255" i="1" a="1"/>
  <c r="D2121" i="1" a="1"/>
  <c r="D1289" i="1" a="1"/>
  <c r="D1779" i="1" a="1"/>
  <c r="D1287" i="1" a="1"/>
  <c r="D1730" i="1" a="1"/>
  <c r="D1161" i="1" a="1"/>
  <c r="D2566" i="1" a="1"/>
  <c r="D2521" i="1" a="1"/>
  <c r="D1738" i="1" a="1"/>
  <c r="D2738" i="1" a="1"/>
  <c r="D2458" i="1" a="1"/>
  <c r="D1283" i="1" a="1"/>
  <c r="D1370" i="1" a="1"/>
  <c r="D1344" i="1" a="1"/>
  <c r="D2081" i="1" a="1"/>
  <c r="D1657" i="1" a="1"/>
  <c r="D2275" i="1" a="1"/>
  <c r="D2252" i="1" a="1"/>
  <c r="D2087" i="1" a="1"/>
  <c r="D2188" i="1" a="1"/>
  <c r="D2120" i="1" a="1"/>
  <c r="D2583" i="1" a="1"/>
  <c r="D1420" i="1" a="1"/>
  <c r="D1681" i="1" a="1"/>
  <c r="D1652" i="1" a="1"/>
  <c r="D1452" i="1" a="1"/>
  <c r="D2404" i="1" a="1"/>
  <c r="D1396" i="1" a="1"/>
  <c r="D2501" i="1" a="1"/>
  <c r="D1138" i="1" a="1"/>
  <c r="D1907" i="1" a="1"/>
  <c r="D1557" i="1" a="1"/>
  <c r="D1522" i="1" a="1"/>
  <c r="D1963" i="1" a="1"/>
  <c r="D1647" i="1" a="1"/>
  <c r="D1486" i="1" a="1"/>
  <c r="D2248" i="1" a="1"/>
  <c r="D2277" i="1" a="1"/>
  <c r="D2113" i="1" a="1"/>
  <c r="D2165" i="1" a="1"/>
  <c r="D2110" i="1" a="1"/>
  <c r="D2216" i="1" a="1"/>
  <c r="D1973" i="1" a="1"/>
  <c r="D1548" i="1" a="1"/>
  <c r="D1265" i="1" a="1"/>
  <c r="D2098" i="1" a="1"/>
  <c r="D2350" i="1" a="1"/>
  <c r="D1947" i="1" a="1"/>
  <c r="D2227" i="1" a="1"/>
  <c r="D2141" i="1" a="1"/>
  <c r="D2758" i="1" a="1"/>
  <c r="D1479" i="1" a="1"/>
  <c r="D2184" i="1" a="1"/>
  <c r="D1203" i="1" a="1"/>
  <c r="D2063" i="1" a="1"/>
  <c r="D1264" i="1" a="1"/>
  <c r="D2423" i="1" a="1"/>
  <c r="D2212" i="1" a="1"/>
  <c r="D2077" i="1" a="1"/>
  <c r="D2651" i="1" a="1"/>
  <c r="D2631" i="1" a="1"/>
  <c r="D2102" i="1" a="1"/>
  <c r="D1569" i="1" a="1"/>
  <c r="D1585" i="1" a="1"/>
  <c r="D1272" i="1" a="1"/>
  <c r="D2317" i="1" a="1"/>
  <c r="D1147" i="1" a="1"/>
  <c r="D1514" i="1" a="1"/>
  <c r="D1651" i="1" a="1"/>
  <c r="D1952" i="1" a="1"/>
  <c r="D2368" i="1" a="1"/>
  <c r="D2616" i="1" a="1"/>
  <c r="D1783" i="1" a="1"/>
  <c r="D1957" i="1" a="1"/>
  <c r="D1814" i="1" a="1"/>
  <c r="D1209" i="1" a="1"/>
  <c r="D1358" i="1" a="1"/>
  <c r="D1751" i="1" a="1"/>
  <c r="D1686" i="1" a="1"/>
  <c r="D2103" i="1" a="1"/>
  <c r="D2306" i="1" a="1"/>
  <c r="D1234" i="1" a="1"/>
  <c r="D2008" i="1" a="1"/>
  <c r="D1363" i="1" a="1"/>
  <c r="D2220" i="1" a="1"/>
  <c r="D2264" i="1" a="1"/>
  <c r="D1748" i="1" a="1"/>
  <c r="D1338" i="1" a="1"/>
  <c r="D1487" i="1" a="1"/>
  <c r="D1438" i="1" a="1"/>
  <c r="D2246" i="1" a="1"/>
  <c r="D1529" i="1" a="1"/>
  <c r="D1698" i="1" a="1"/>
  <c r="D1173" i="1" a="1"/>
  <c r="D1835" i="1" a="1"/>
  <c r="D2143" i="1" a="1"/>
  <c r="D2460" i="1" a="1"/>
  <c r="D2686" i="1" a="1"/>
  <c r="D1497" i="1" a="1"/>
  <c r="D1325" i="1" a="1"/>
  <c r="D2729" i="1" a="1"/>
  <c r="D2537" i="1" a="1"/>
  <c r="D2140" i="1" a="1"/>
  <c r="D1245" i="1" a="1"/>
  <c r="D2425" i="1" a="1"/>
  <c r="D2024" i="1" a="1"/>
  <c r="D1759" i="1" a="1"/>
  <c r="D1428" i="1" a="1"/>
  <c r="D1229" i="1" a="1"/>
  <c r="D1520" i="1" a="1"/>
  <c r="D1667" i="1" a="1"/>
  <c r="D2197" i="1" a="1"/>
  <c r="D1700" i="1" a="1"/>
  <c r="D2289" i="1" a="1"/>
  <c r="D2713" i="1" a="1"/>
  <c r="D1120" i="1" a="1"/>
  <c r="D1170" i="1" a="1"/>
  <c r="D1950" i="1" a="1"/>
  <c r="D2198" i="1" a="1"/>
  <c r="D2135" i="1" a="1"/>
  <c r="D2171" i="1" a="1"/>
  <c r="D1721" i="1" a="1"/>
  <c r="D1570" i="1" a="1"/>
  <c r="D2047" i="1" a="1"/>
  <c r="D1445" i="1" a="1"/>
  <c r="D1846" i="1" a="1"/>
  <c r="D1617" i="1" a="1"/>
  <c r="D2178" i="1" a="1"/>
  <c r="D2292" i="1" a="1"/>
  <c r="D1695" i="1" a="1"/>
  <c r="D1399" i="1" a="1"/>
  <c r="D2490" i="1" a="1"/>
  <c r="D1691" i="1" a="1"/>
  <c r="D1765" i="1" a="1"/>
  <c r="D2462" i="1" a="1"/>
  <c r="D2129" i="1" a="1"/>
  <c r="D2441" i="1" a="1"/>
  <c r="D1162" i="1" a="1"/>
  <c r="D1812" i="1" a="1"/>
  <c r="D2641" i="1" a="1"/>
  <c r="D1887" i="1" a="1"/>
  <c r="D1845" i="1" a="1"/>
  <c r="D2470" i="1" a="1"/>
  <c r="D2226" i="1" a="1"/>
  <c r="D2036" i="1" a="1"/>
  <c r="D1243" i="1" a="1"/>
  <c r="D2163" i="1" a="1"/>
  <c r="D1157" i="1" a="1"/>
  <c r="D2515" i="1" a="1"/>
  <c r="D2712" i="1" a="1"/>
  <c r="D2026" i="1" a="1"/>
  <c r="D2375" i="1" a="1"/>
  <c r="D1333" i="1" a="1"/>
  <c r="D1159" i="1" a="1"/>
  <c r="D2320" i="1" a="1"/>
  <c r="D1214" i="1" a="1"/>
  <c r="D2560" i="1" a="1"/>
  <c r="D2724" i="1" a="1"/>
  <c r="D2748" i="1" a="1"/>
  <c r="D1767" i="1" a="1"/>
  <c r="D2586" i="1" a="1"/>
  <c r="D1931" i="1" a="1"/>
  <c r="D1610" i="1" a="1"/>
  <c r="D1355" i="1" a="1"/>
  <c r="D1671" i="1" a="1"/>
  <c r="D2016" i="1" a="1"/>
  <c r="D1503" i="1" a="1"/>
  <c r="D1868" i="1" a="1"/>
  <c r="D1542" i="1" a="1"/>
  <c r="D1762" i="1" a="1"/>
  <c r="D1484" i="1" a="1"/>
  <c r="D2130" i="1" a="1"/>
  <c r="D1794" i="1" a="1"/>
  <c r="D2468" i="1" a="1"/>
  <c r="D1844" i="1" a="1"/>
  <c r="D1288" i="1" a="1"/>
  <c r="D1250" i="1" a="1"/>
  <c r="D1532" i="1" a="1"/>
  <c r="D1693" i="1" a="1"/>
  <c r="D2193" i="1" a="1"/>
  <c r="D1789" i="1" a="1"/>
  <c r="D2493" i="1" a="1"/>
  <c r="D2736" i="1" a="1"/>
  <c r="D1646" i="1" a="1"/>
  <c r="D2291" i="1" a="1"/>
  <c r="D2455" i="1" a="1"/>
  <c r="D1447" i="1" a="1"/>
  <c r="D2495" i="1" a="1"/>
  <c r="D1840" i="1" a="1"/>
  <c r="D2204" i="1" a="1"/>
  <c r="D1803" i="1" a="1"/>
  <c r="D2662" i="1" a="1"/>
  <c r="D2385" i="1" a="1"/>
  <c r="D1296" i="1" a="1"/>
  <c r="D1531" i="1" a="1"/>
  <c r="D2189" i="1" a="1"/>
  <c r="D1379" i="1" a="1"/>
  <c r="D2628" i="1" a="1"/>
  <c r="D1468" i="1" a="1"/>
  <c r="D1935" i="1" a="1"/>
  <c r="D1219" i="1" a="1"/>
  <c r="D1616" i="1" a="1"/>
  <c r="D1307" i="1" a="1"/>
  <c r="D2261" i="1" a="1"/>
  <c r="D2096" i="1" a="1"/>
  <c r="D2484" i="1" a="1"/>
  <c r="D2703" i="1" a="1"/>
  <c r="D2253" i="1" a="1"/>
  <c r="D1807" i="1" a="1"/>
  <c r="D2325" i="1" a="1"/>
  <c r="D1401" i="1" a="1"/>
  <c r="D2304" i="1" a="1"/>
  <c r="D1380" i="1" a="1"/>
  <c r="D1270" i="1" a="1"/>
  <c r="D1906" i="1" a="1"/>
  <c r="D1824" i="1" a="1"/>
  <c r="D1873" i="1" a="1"/>
  <c r="D1799" i="1" a="1"/>
  <c r="D1726" i="1" a="1"/>
  <c r="D1990" i="1" a="1"/>
  <c r="D1076" i="1" a="1"/>
  <c r="D1915" i="1" a="1"/>
  <c r="D2011" i="1" a="1"/>
  <c r="D2512" i="1" a="1"/>
  <c r="D1582" i="1" a="1"/>
  <c r="D2613" i="1" a="1"/>
  <c r="D1753" i="1" a="1"/>
  <c r="D1077" i="1" a="1"/>
  <c r="D1897" i="1" a="1"/>
  <c r="D2529" i="1" a="1"/>
  <c r="D1156" i="1" a="1"/>
  <c r="D1280" i="1" a="1"/>
  <c r="D1822" i="1" a="1"/>
  <c r="D2510" i="1" a="1"/>
  <c r="D2374" i="1" a="1"/>
  <c r="D2168" i="1" a="1"/>
  <c r="D1309" i="1" a="1"/>
  <c r="D2449" i="1" a="1"/>
  <c r="D2243" i="1" a="1"/>
  <c r="D1859" i="1" a="1"/>
  <c r="D2172" i="1" a="1"/>
  <c r="D1233" i="1" a="1"/>
  <c r="D1742" i="1" a="1"/>
  <c r="D2677" i="1" a="1"/>
  <c r="D1267" i="1" a="1"/>
  <c r="D1880" i="1" a="1"/>
  <c r="D1879" i="1" a="1"/>
  <c r="D1955" i="1" a="1"/>
  <c r="D2358" i="1" a="1"/>
  <c r="D1339" i="1" a="1"/>
  <c r="D1206" i="1" a="1"/>
  <c r="D1899" i="1" a="1"/>
  <c r="D2119" i="1" a="1"/>
  <c r="D1942" i="1" a="1"/>
  <c r="D2623" i="1" a="1"/>
  <c r="D1381" i="1" a="1"/>
  <c r="D2584" i="1" a="1"/>
  <c r="D1371" i="1" a="1"/>
  <c r="D2479" i="1" a="1"/>
  <c r="D1861" i="1" a="1"/>
  <c r="D2265" i="1" a="1"/>
  <c r="D1538" i="1" a="1"/>
  <c r="D1297" i="1" a="1"/>
  <c r="D1902" i="1" a="1"/>
  <c r="D1983" i="1" a="1"/>
  <c r="D1801" i="1" a="1"/>
  <c r="D2743" i="1" a="1"/>
  <c r="D2074" i="1" a="1"/>
  <c r="D1257" i="1" a="1"/>
  <c r="D2084" i="1" a="1"/>
  <c r="D1505" i="1" a="1"/>
  <c r="D2347" i="1" a="1"/>
  <c r="D2487" i="1" a="1"/>
  <c r="D2737" i="1" a="1"/>
  <c r="D1978" i="1" a="1"/>
  <c r="D2720" i="1" a="1"/>
  <c r="D1384" i="1" a="1"/>
  <c r="D2676" i="1" a="1"/>
  <c r="D2444" i="1" a="1"/>
  <c r="D2579" i="1" a="1"/>
  <c r="D2580" i="1" a="1"/>
  <c r="D2183" i="1" a="1"/>
  <c r="D2671" i="1" a="1"/>
  <c r="D2654" i="1" a="1"/>
  <c r="D2624" i="1" a="1"/>
  <c r="D1331" i="1" a="1"/>
  <c r="D1815" i="1" a="1"/>
  <c r="D2181" i="1" a="1"/>
  <c r="D1189" i="1" a="1"/>
  <c r="D2603" i="1" a="1"/>
  <c r="D2459" i="1" a="1"/>
  <c r="D2541" i="1" a="1"/>
  <c r="D1446" i="1" a="1"/>
  <c r="D1524" i="1" a="1"/>
  <c r="D1472" i="1" a="1"/>
  <c r="D1592" i="1" a="1"/>
  <c r="D2697" i="1" a="1"/>
  <c r="D1692" i="1" a="1"/>
  <c r="D1345" i="1" a="1"/>
  <c r="D1791" i="1" a="1"/>
  <c r="D1169" i="1" a="1"/>
  <c r="D1729" i="1" a="1"/>
  <c r="D2556" i="1" a="1"/>
  <c r="D2310" i="1" a="1"/>
  <c r="D2213" i="1" a="1"/>
  <c r="D1578" i="1" a="1"/>
  <c r="D1632" i="1" a="1"/>
  <c r="D2439" i="1" a="1"/>
  <c r="D2411" i="1" a="1"/>
  <c r="D1534" i="1" a="1"/>
  <c r="D2001" i="1" a="1"/>
  <c r="D2383" i="1" a="1"/>
  <c r="D2485" i="1" a="1"/>
  <c r="D2417" i="1" a="1"/>
  <c r="D2535" i="1" a="1"/>
  <c r="D1855" i="1" a="1"/>
  <c r="D1605" i="1" a="1"/>
  <c r="D1164" i="1" a="1"/>
  <c r="D1175" i="1" a="1"/>
  <c r="D1723" i="1" a="1"/>
  <c r="D1349" i="1" a="1"/>
  <c r="D1212" i="1" a="1"/>
  <c r="D1453" i="1" a="1"/>
  <c r="D1490" i="1" a="1"/>
  <c r="D2486" i="1" a="1"/>
  <c r="D2367" i="1" a="1"/>
  <c r="D2000" i="1" a="1"/>
  <c r="D1781" i="1" a="1"/>
  <c r="D1198" i="1" a="1"/>
  <c r="D2557" i="1" a="1"/>
  <c r="D1255" i="1" a="1"/>
  <c r="D2190" i="1" a="1"/>
  <c r="D2151" i="1" a="1"/>
  <c r="D1377" i="1" a="1"/>
  <c r="D2200" i="1" a="1"/>
  <c r="D1633" i="1" a="1"/>
  <c r="D2590" i="1" a="1"/>
  <c r="D1300" i="1" a="1"/>
  <c r="D1202" i="1" a="1"/>
  <c r="D2699" i="1" a="1"/>
  <c r="D1619" i="1" a="1"/>
  <c r="D1482" i="1" a="1"/>
  <c r="D1768" i="1" a="1"/>
  <c r="D2239" i="1" a="1"/>
  <c r="D2465" i="1" a="1"/>
  <c r="D2550" i="1" a="1"/>
  <c r="D1285" i="1" a="1"/>
  <c r="D1968" i="1" a="1"/>
  <c r="D1842" i="1" a="1"/>
  <c r="D1649" i="1" a="1"/>
  <c r="D1483" i="1" a="1"/>
  <c r="D1216" i="1" a="1"/>
  <c r="D2010" i="1" a="1"/>
  <c r="D2472" i="1" a="1"/>
  <c r="D2594" i="1" a="1"/>
  <c r="D1664" i="1" a="1"/>
  <c r="D2037" i="1" a="1"/>
  <c r="D1434" i="1" a="1"/>
  <c r="D2281" i="1" a="1"/>
  <c r="D2683" i="1" a="1"/>
  <c r="D1240" i="1" a="1"/>
  <c r="D2205" i="1" a="1"/>
  <c r="D2015" i="1" a="1"/>
  <c r="D2422" i="1" a="1"/>
  <c r="D1683" i="1" a="1"/>
  <c r="D1208" i="1" a="1"/>
  <c r="D1584" i="1" a="1"/>
  <c r="D1293" i="1" a="1"/>
  <c r="D1881" i="1" a="1"/>
  <c r="D1366" i="1" a="1"/>
  <c r="D1771" i="1" a="1"/>
  <c r="D1728" i="1" a="1"/>
  <c r="D1776" i="1" a="1"/>
  <c r="D1521" i="1" a="1"/>
  <c r="D2415" i="1" a="1"/>
  <c r="D1834" i="1" a="1"/>
  <c r="D1808" i="1" a="1"/>
  <c r="D2148" i="1" a="1"/>
  <c r="D2665" i="1" a="1"/>
  <c r="D1672" i="1" a="1"/>
  <c r="D1923" i="1" a="1"/>
  <c r="D2071" i="1" a="1"/>
  <c r="D1958" i="1" a="1"/>
  <c r="D2326" i="1" a="1"/>
  <c r="D1607" i="1" a="1"/>
  <c r="D1402" i="1" a="1"/>
  <c r="D2648" i="1" a="1"/>
  <c r="D1546" i="1" a="1"/>
  <c r="D2548" i="1" a="1"/>
  <c r="D2235" i="1" a="1"/>
  <c r="D1997" i="1" a="1"/>
  <c r="D1536" i="1" a="1"/>
  <c r="D1210" i="1" a="1"/>
  <c r="D1761" i="1" a="1"/>
  <c r="D1295" i="1" a="1"/>
  <c r="D1273" i="1" a="1"/>
  <c r="D1368" i="1" a="1"/>
  <c r="D2272" i="1" a="1"/>
  <c r="D2274" i="1" a="1"/>
  <c r="D1725" i="1" a="1"/>
  <c r="D1473" i="1" a="1"/>
  <c r="D1181" i="1" a="1"/>
  <c r="D2625" i="1" a="1"/>
  <c r="D1894" i="1" a="1"/>
  <c r="D2075" i="1" a="1"/>
  <c r="D1606" i="1" a="1"/>
  <c r="D1995" i="1" a="1"/>
  <c r="D1244" i="1" a="1"/>
  <c r="D2250" i="1" a="1"/>
  <c r="D2571" i="1" a="1"/>
  <c r="D2742" i="1" a="1"/>
  <c r="D1608" i="1" a="1"/>
  <c r="D2454" i="1" a="1"/>
  <c r="D1304" i="1" a="1"/>
  <c r="D2162" i="1" a="1"/>
  <c r="D2451" i="1" a="1"/>
  <c r="D1611" i="1" a="1"/>
  <c r="D1561" i="1" a="1"/>
  <c r="D1821" i="1" a="1"/>
  <c r="D1891" i="1" a="1"/>
  <c r="D1517" i="1" a="1"/>
  <c r="D1642" i="1" a="1"/>
  <c r="D1734" i="1" a="1"/>
  <c r="D1718" i="1" a="1"/>
  <c r="D1893" i="1" a="1"/>
  <c r="D2602" i="1" a="1"/>
  <c r="D1705" i="1" a="1"/>
  <c r="D2210" i="1" a="1"/>
  <c r="D2179" i="1" a="1"/>
  <c r="D2492" i="1" a="1"/>
  <c r="D1137" i="1" a="1"/>
  <c r="D1580" i="1" a="1"/>
  <c r="D2085" i="1" a="1"/>
  <c r="D1624" i="1" a="1"/>
  <c r="D2418" i="1" a="1"/>
  <c r="D1622" i="1" a="1"/>
  <c r="D2175" i="1" a="1"/>
  <c r="D1357" i="1" a="1"/>
  <c r="D2339" i="1" a="1"/>
  <c r="D2670" i="1" a="1"/>
  <c r="D2673" i="1" a="1"/>
  <c r="D2346" i="1" a="1"/>
  <c r="D2531" i="1" a="1"/>
  <c r="D1190" i="1" a="1"/>
  <c r="D1661" i="1" a="1"/>
  <c r="D2516" i="1" a="1"/>
  <c r="D1284" i="1" a="1"/>
  <c r="D2598" i="1" a="1"/>
  <c r="D2688" i="1" a="1"/>
  <c r="D1792" i="1" a="1"/>
  <c r="D1581" i="1" a="1"/>
  <c r="D2538" i="1" a="1"/>
  <c r="D2542" i="1" a="1"/>
  <c r="D1530" i="1" a="1"/>
  <c r="D1419" i="1" a="1"/>
  <c r="D2107" i="1" a="1"/>
  <c r="D1882" i="1" a="1"/>
  <c r="D2173" i="1" a="1"/>
  <c r="D1480" i="1" a="1"/>
  <c r="D2660" i="1" a="1"/>
  <c r="D2746" i="1" a="1"/>
  <c r="D1788" i="1" a="1"/>
  <c r="D2146" i="1" a="1"/>
  <c r="D1782" i="1" a="1"/>
  <c r="D2025" i="1" a="1"/>
  <c r="D1525" i="1" a="1"/>
  <c r="D1268" i="1" a="1"/>
  <c r="D2549" i="1" a="1"/>
  <c r="D1459" i="1" a="1"/>
  <c r="D2639" i="1" a="1"/>
  <c r="D2020" i="1" a="1"/>
  <c r="D2086" i="1" a="1"/>
  <c r="D1618" i="1" a="1"/>
  <c r="D1311" i="1" a="1"/>
  <c r="D2032" i="1" a="1"/>
  <c r="D2721" i="1" a="1"/>
  <c r="D1533" i="1" a="1"/>
  <c r="D2698" i="1" a="1"/>
  <c r="D1549" i="1" a="1"/>
  <c r="D1258" i="1" a="1"/>
  <c r="D1719" i="1" a="1"/>
  <c r="D1972" i="1" a="1"/>
  <c r="D2145" i="1" a="1"/>
  <c r="D1939" i="1" a="1"/>
  <c r="D2058" i="1" a="1"/>
  <c r="D2080" i="1" a="1"/>
  <c r="D1441" i="1" a="1"/>
  <c r="D2424" i="1" a="1"/>
  <c r="D2710" i="1" a="1"/>
  <c r="D2068" i="1" a="1"/>
  <c r="D1928" i="1" a="1"/>
  <c r="D1342" i="1" a="1"/>
  <c r="D2127" i="1" a="1"/>
  <c r="D2592" i="1" a="1"/>
  <c r="D1944" i="1" a="1"/>
  <c r="D1378" i="1" a="1"/>
  <c r="D2341" i="1" a="1"/>
  <c r="D1553" i="1" a="1"/>
  <c r="D1967" i="1" a="1"/>
  <c r="D2005" i="1" a="1"/>
  <c r="D1656" i="1" a="1"/>
  <c r="D1364" i="1" a="1"/>
  <c r="D1066" i="1" a="1"/>
  <c r="D1073" i="1" a="1"/>
  <c r="D1069" i="1" a="1"/>
  <c r="D1068" i="1" a="1"/>
  <c r="D1067" i="1" a="1"/>
  <c r="D1071" i="1" a="1"/>
  <c r="D1072" i="1" a="1"/>
  <c r="D1074" i="1" a="1"/>
  <c r="D1075" i="1" a="1"/>
  <c r="D1070" i="1" a="1"/>
  <c r="M419" i="23" l="1"/>
  <c r="K419" i="23"/>
  <c r="J419" i="23"/>
  <c r="M418" i="23"/>
  <c r="K418" i="23"/>
  <c r="J418" i="23"/>
  <c r="M417" i="23"/>
  <c r="K417" i="23"/>
  <c r="J417" i="23"/>
  <c r="M415" i="23"/>
  <c r="K415" i="23"/>
  <c r="J415" i="23"/>
  <c r="M414" i="23"/>
  <c r="K414" i="23"/>
  <c r="J414" i="23"/>
  <c r="M413" i="23"/>
  <c r="K413" i="23"/>
  <c r="J413" i="23"/>
  <c r="M412" i="23"/>
  <c r="K412" i="23"/>
  <c r="J412" i="23"/>
  <c r="M411" i="23"/>
  <c r="K411" i="23"/>
  <c r="J411" i="23"/>
  <c r="M410" i="23"/>
  <c r="K410" i="23"/>
  <c r="J410" i="23"/>
  <c r="M408" i="23"/>
  <c r="K408" i="23"/>
  <c r="J408" i="23"/>
  <c r="M407" i="23"/>
  <c r="K407" i="23"/>
  <c r="J407" i="23"/>
  <c r="M406" i="23"/>
  <c r="K406" i="23"/>
  <c r="J406" i="23"/>
  <c r="M405" i="23"/>
  <c r="K405" i="23"/>
  <c r="J405" i="23"/>
  <c r="M404" i="23"/>
  <c r="K404" i="23"/>
  <c r="J404" i="23"/>
  <c r="M401" i="23"/>
  <c r="J401" i="23"/>
  <c r="M400" i="23"/>
  <c r="J400" i="23"/>
  <c r="M399" i="23"/>
  <c r="J399" i="23"/>
  <c r="M397" i="23"/>
  <c r="J397" i="23"/>
  <c r="M396" i="23"/>
  <c r="J396" i="23"/>
  <c r="M395" i="23"/>
  <c r="J395" i="23"/>
  <c r="M394" i="23"/>
  <c r="J394" i="23"/>
  <c r="M393" i="23"/>
  <c r="J393" i="23"/>
  <c r="M392" i="23"/>
  <c r="J392" i="23"/>
  <c r="M390" i="23"/>
  <c r="J390" i="23"/>
  <c r="M389" i="23"/>
  <c r="J389" i="23"/>
  <c r="M388" i="23"/>
  <c r="J388" i="23"/>
  <c r="M387" i="23"/>
  <c r="K385" i="23"/>
  <c r="J387" i="23"/>
  <c r="M386" i="23"/>
  <c r="M385" i="23" s="1"/>
  <c r="J386" i="23"/>
  <c r="K331" i="23"/>
  <c r="J331" i="23"/>
  <c r="M313" i="23"/>
  <c r="K313" i="23"/>
  <c r="J313" i="23"/>
  <c r="J295" i="23"/>
  <c r="M295" i="23"/>
  <c r="K295" i="23"/>
  <c r="K277" i="23"/>
  <c r="K267" i="23"/>
  <c r="K266" i="23"/>
  <c r="K264" i="23"/>
  <c r="K263" i="23"/>
  <c r="K262" i="23"/>
  <c r="K261" i="23"/>
  <c r="M259" i="23"/>
  <c r="J259" i="23"/>
  <c r="K221" i="23"/>
  <c r="J221" i="23"/>
  <c r="K220" i="23"/>
  <c r="J220" i="23"/>
  <c r="K219" i="23"/>
  <c r="J219" i="23"/>
  <c r="K217" i="23"/>
  <c r="J217" i="23"/>
  <c r="K216" i="23"/>
  <c r="J216" i="23"/>
  <c r="K215" i="23"/>
  <c r="J215" i="23"/>
  <c r="K214" i="23"/>
  <c r="J214" i="23"/>
  <c r="K213" i="23"/>
  <c r="J213" i="23"/>
  <c r="K212" i="23"/>
  <c r="J212" i="23"/>
  <c r="K210" i="23"/>
  <c r="J210" i="23"/>
  <c r="K209" i="23"/>
  <c r="J209" i="23"/>
  <c r="K208" i="23"/>
  <c r="J208" i="23"/>
  <c r="K207" i="23"/>
  <c r="J207" i="23"/>
  <c r="K206" i="23"/>
  <c r="J206" i="23"/>
  <c r="K203" i="23"/>
  <c r="J203" i="23"/>
  <c r="K202" i="23"/>
  <c r="J202" i="23"/>
  <c r="K201" i="23"/>
  <c r="J201" i="23"/>
  <c r="K199" i="23"/>
  <c r="J199" i="23"/>
  <c r="K198" i="23"/>
  <c r="J198" i="23"/>
  <c r="K197" i="23"/>
  <c r="J197" i="23"/>
  <c r="K196" i="23"/>
  <c r="J196" i="23"/>
  <c r="K195" i="23"/>
  <c r="J195" i="23"/>
  <c r="K194" i="23"/>
  <c r="J194" i="23"/>
  <c r="K192" i="23"/>
  <c r="J192" i="23"/>
  <c r="M187" i="23"/>
  <c r="K191" i="23"/>
  <c r="J191" i="23"/>
  <c r="K190" i="23"/>
  <c r="J190" i="23"/>
  <c r="K189" i="23"/>
  <c r="J189" i="23"/>
  <c r="K188" i="23"/>
  <c r="J188" i="23"/>
  <c r="M169" i="23"/>
  <c r="I3357" i="21"/>
  <c r="I3358" i="21"/>
  <c r="J3358" i="21"/>
  <c r="J3357" i="21" s="1"/>
  <c r="K3358" i="21"/>
  <c r="I3359" i="21"/>
  <c r="J3359" i="21"/>
  <c r="K3359" i="21"/>
  <c r="I3360" i="21"/>
  <c r="J3360" i="21"/>
  <c r="K3360" i="21"/>
  <c r="I3361" i="21"/>
  <c r="J3361" i="21"/>
  <c r="K3361" i="21"/>
  <c r="I3362" i="21"/>
  <c r="J3362" i="21"/>
  <c r="K3362" i="21"/>
  <c r="I3364" i="21"/>
  <c r="J3364" i="21"/>
  <c r="K3364" i="21"/>
  <c r="I3365" i="21"/>
  <c r="J3365" i="21"/>
  <c r="K3365" i="21"/>
  <c r="I3366" i="21"/>
  <c r="J3366" i="21"/>
  <c r="K3366" i="21"/>
  <c r="I3367" i="21"/>
  <c r="J3367" i="21"/>
  <c r="K3367" i="21"/>
  <c r="I3368" i="21"/>
  <c r="J3368" i="21"/>
  <c r="K3368" i="21"/>
  <c r="I3369" i="21"/>
  <c r="J3369" i="21"/>
  <c r="K3369" i="21"/>
  <c r="I3371" i="21"/>
  <c r="J3371" i="21"/>
  <c r="K3371" i="21"/>
  <c r="I3372" i="21"/>
  <c r="J3372" i="21"/>
  <c r="K3372" i="21"/>
  <c r="I3373" i="21"/>
  <c r="J3373" i="21"/>
  <c r="K3373" i="21"/>
  <c r="I3339" i="21"/>
  <c r="I3340" i="21"/>
  <c r="J3340" i="21"/>
  <c r="J3339" i="21" s="1"/>
  <c r="K3340" i="21"/>
  <c r="I3341" i="21"/>
  <c r="J3341" i="21"/>
  <c r="K3341" i="21"/>
  <c r="I3342" i="21"/>
  <c r="J3342" i="21"/>
  <c r="K3342" i="21"/>
  <c r="I3343" i="21"/>
  <c r="J3343" i="21"/>
  <c r="K3343" i="21"/>
  <c r="I3344" i="21"/>
  <c r="J3344" i="21"/>
  <c r="K3344" i="21"/>
  <c r="I3346" i="21"/>
  <c r="J3346" i="21"/>
  <c r="K3346" i="21"/>
  <c r="I3347" i="21"/>
  <c r="J3347" i="21"/>
  <c r="K3347" i="21"/>
  <c r="I3348" i="21"/>
  <c r="J3348" i="21"/>
  <c r="K3348" i="21"/>
  <c r="I3349" i="21"/>
  <c r="J3349" i="21"/>
  <c r="K3349" i="21"/>
  <c r="I3350" i="21"/>
  <c r="J3350" i="21"/>
  <c r="K3350" i="21"/>
  <c r="I3351" i="21"/>
  <c r="J3351" i="21"/>
  <c r="K3351" i="21"/>
  <c r="I3353" i="21"/>
  <c r="J3353" i="21"/>
  <c r="K3353" i="21"/>
  <c r="I3354" i="21"/>
  <c r="J3354" i="21"/>
  <c r="K3354" i="21"/>
  <c r="I3355" i="21"/>
  <c r="J3355" i="21"/>
  <c r="K3355" i="21"/>
  <c r="K3321" i="21"/>
  <c r="D3287" i="21"/>
  <c r="D3288" i="21" s="1"/>
  <c r="D3289" i="21" s="1"/>
  <c r="D3290" i="21" s="1"/>
  <c r="D3291" i="21" s="1"/>
  <c r="D3292" i="21" s="1"/>
  <c r="D3293" i="21" s="1"/>
  <c r="D3294" i="21" s="1"/>
  <c r="D3295" i="21" s="1"/>
  <c r="D3296" i="21" s="1"/>
  <c r="D3297" i="21" s="1"/>
  <c r="D3298" i="21" s="1"/>
  <c r="D3299" i="21" s="1"/>
  <c r="D3300" i="21" s="1"/>
  <c r="D3301" i="21" s="1"/>
  <c r="D3304" i="21" s="1"/>
  <c r="D3305" i="21" s="1"/>
  <c r="D3306" i="21" s="1"/>
  <c r="D3307" i="21" s="1"/>
  <c r="D3308" i="21" s="1"/>
  <c r="D3309" i="21" s="1"/>
  <c r="D3310" i="21" s="1"/>
  <c r="D3311" i="21" s="1"/>
  <c r="D3312" i="21" s="1"/>
  <c r="D3313" i="21" s="1"/>
  <c r="D3314" i="21" s="1"/>
  <c r="D3315" i="21" s="1"/>
  <c r="D3316" i="21" s="1"/>
  <c r="D3317" i="21" s="1"/>
  <c r="D3318" i="21" s="1"/>
  <c r="D3319" i="21" s="1"/>
  <c r="D3322" i="21" s="1"/>
  <c r="D3323" i="21" s="1"/>
  <c r="D3324" i="21" s="1"/>
  <c r="D3325" i="21" s="1"/>
  <c r="D3326" i="21" s="1"/>
  <c r="D3327" i="21" s="1"/>
  <c r="D3328" i="21" s="1"/>
  <c r="D3329" i="21" s="1"/>
  <c r="D3330" i="21" s="1"/>
  <c r="D3331" i="21" s="1"/>
  <c r="D3332" i="21" s="1"/>
  <c r="D3333" i="21" s="1"/>
  <c r="D3334" i="21" s="1"/>
  <c r="D3335" i="21" s="1"/>
  <c r="D3336" i="21" s="1"/>
  <c r="D3337" i="21" s="1"/>
  <c r="D3340" i="21" s="1"/>
  <c r="D3341" i="21" s="1"/>
  <c r="D3342" i="21" s="1"/>
  <c r="D3343" i="21" s="1"/>
  <c r="D3344" i="21" s="1"/>
  <c r="D3345" i="21" s="1"/>
  <c r="D3346" i="21" s="1"/>
  <c r="D3347" i="21" s="1"/>
  <c r="D3348" i="21" s="1"/>
  <c r="D3349" i="21" s="1"/>
  <c r="D3350" i="21" s="1"/>
  <c r="D3351" i="21" s="1"/>
  <c r="D3352" i="21" s="1"/>
  <c r="D3353" i="21" s="1"/>
  <c r="D3354" i="21" s="1"/>
  <c r="D3355" i="21" s="1"/>
  <c r="D3358" i="21" s="1"/>
  <c r="D3359" i="21" s="1"/>
  <c r="D3360" i="21" s="1"/>
  <c r="D3361" i="21" s="1"/>
  <c r="D3362" i="21" s="1"/>
  <c r="D3363" i="21" s="1"/>
  <c r="D3364" i="21" s="1"/>
  <c r="D3365" i="21" s="1"/>
  <c r="D3366" i="21" s="1"/>
  <c r="D3367" i="21" s="1"/>
  <c r="D3368" i="21" s="1"/>
  <c r="D3369" i="21" s="1"/>
  <c r="D3370" i="21" s="1"/>
  <c r="D3371" i="21" s="1"/>
  <c r="D3372" i="21" s="1"/>
  <c r="D3373" i="21" s="1"/>
  <c r="J385" i="23" l="1"/>
  <c r="K259" i="23"/>
  <c r="K205" i="23"/>
  <c r="K403" i="23"/>
  <c r="K187" i="23"/>
  <c r="J187" i="23"/>
  <c r="M403" i="23"/>
  <c r="J205" i="23"/>
  <c r="J403" i="23"/>
  <c r="M331" i="23"/>
  <c r="O3339" i="21"/>
  <c r="K3339" i="21"/>
  <c r="K3357" i="21"/>
  <c r="O3357" i="21" s="1"/>
  <c r="I449" i="30"/>
  <c r="I448" i="30"/>
  <c r="I447" i="30"/>
  <c r="I446" i="30"/>
  <c r="I444" i="30"/>
  <c r="I443" i="30"/>
  <c r="I442" i="30"/>
  <c r="I441" i="30"/>
  <c r="I440" i="30"/>
  <c r="K346" i="30"/>
  <c r="K345" i="30"/>
  <c r="K344" i="30"/>
  <c r="K342" i="30"/>
  <c r="K341" i="30"/>
  <c r="K340" i="30"/>
  <c r="K339" i="30"/>
  <c r="K338" i="30"/>
  <c r="K337" i="30"/>
  <c r="K335" i="30"/>
  <c r="K334" i="30"/>
  <c r="K333" i="30"/>
  <c r="K332" i="30"/>
  <c r="K331" i="30"/>
  <c r="V525" i="30"/>
  <c r="T524" i="30" a="1"/>
  <c r="T523" i="30" a="1"/>
  <c r="T522" i="30" a="1"/>
  <c r="T521" i="30" a="1"/>
  <c r="T520" i="30" a="1"/>
  <c r="T519" i="30" a="1"/>
  <c r="T518" i="30" a="1"/>
  <c r="T517" i="30" a="1"/>
  <c r="T516" i="30" a="1"/>
  <c r="T515" i="30" a="1"/>
  <c r="T514" i="30" a="1"/>
  <c r="T513" i="30" a="1"/>
  <c r="T512" i="30" a="1"/>
  <c r="T511" i="30" a="1"/>
  <c r="V399" i="30"/>
  <c r="T398" i="30" a="1"/>
  <c r="T397" i="30" a="1"/>
  <c r="T396" i="30" a="1"/>
  <c r="T395" i="30" a="1"/>
  <c r="T394" i="30" a="1"/>
  <c r="T393" i="30" a="1"/>
  <c r="T392" i="30" a="1"/>
  <c r="T391" i="30" a="1"/>
  <c r="T390" i="30" a="1"/>
  <c r="T389" i="30" a="1"/>
  <c r="T388" i="30" a="1"/>
  <c r="T387" i="30" a="1"/>
  <c r="T386" i="30" a="1"/>
  <c r="T385" i="30" a="1"/>
  <c r="V273" i="30"/>
  <c r="T272" i="30" a="1"/>
  <c r="T271" i="30" a="1"/>
  <c r="T270" i="30" a="1"/>
  <c r="T269" i="30" a="1"/>
  <c r="T268" i="30" a="1"/>
  <c r="T267" i="30" a="1"/>
  <c r="T266" i="30" a="1"/>
  <c r="T265" i="30" a="1"/>
  <c r="T264" i="30" a="1"/>
  <c r="T263" i="30" a="1"/>
  <c r="T262" i="30" a="1"/>
  <c r="T261" i="30" a="1"/>
  <c r="T260" i="30" a="1"/>
  <c r="T259" i="30" a="1"/>
  <c r="V147" i="30"/>
  <c r="T146" i="30" a="1"/>
  <c r="T145" i="30" a="1"/>
  <c r="T144" i="30" a="1"/>
  <c r="T143" i="30" a="1"/>
  <c r="T142" i="30" a="1"/>
  <c r="T141" i="30" a="1"/>
  <c r="T140" i="30" a="1"/>
  <c r="T139" i="30" a="1"/>
  <c r="T138" i="30" a="1"/>
  <c r="T137" i="30" a="1"/>
  <c r="T136" i="30" a="1"/>
  <c r="T135" i="30" a="1"/>
  <c r="T134" i="30" a="1"/>
  <c r="T133" i="30" a="1"/>
  <c r="A132" i="30"/>
  <c r="A258" i="30" s="1"/>
  <c r="A384" i="30" s="1"/>
  <c r="A510" i="30" s="1"/>
  <c r="I431" i="30"/>
  <c r="I430" i="30"/>
  <c r="I429" i="30"/>
  <c r="I428" i="30"/>
  <c r="I426" i="30"/>
  <c r="I425" i="30"/>
  <c r="I424" i="30"/>
  <c r="I423" i="30"/>
  <c r="I422" i="30"/>
  <c r="I413" i="30"/>
  <c r="I412" i="30"/>
  <c r="I411" i="30"/>
  <c r="I410" i="30"/>
  <c r="I408" i="30"/>
  <c r="I407" i="30"/>
  <c r="I406" i="30"/>
  <c r="I405" i="30"/>
  <c r="I404" i="30"/>
  <c r="K557" i="30"/>
  <c r="K556" i="30"/>
  <c r="K555" i="30"/>
  <c r="K554" i="30"/>
  <c r="K552" i="30"/>
  <c r="K551" i="30"/>
  <c r="K550" i="30"/>
  <c r="K549" i="30"/>
  <c r="K548" i="30"/>
  <c r="K539" i="30"/>
  <c r="K538" i="30"/>
  <c r="K537" i="30"/>
  <c r="K536" i="30"/>
  <c r="K534" i="30"/>
  <c r="K533" i="30"/>
  <c r="K532" i="30"/>
  <c r="K531" i="30"/>
  <c r="K530" i="30"/>
  <c r="K521" i="30"/>
  <c r="K520" i="30"/>
  <c r="K519" i="30"/>
  <c r="K518" i="30"/>
  <c r="K516" i="30"/>
  <c r="K515" i="30"/>
  <c r="K514" i="30"/>
  <c r="K513" i="30"/>
  <c r="K512" i="30"/>
  <c r="K466" i="30"/>
  <c r="K465" i="30"/>
  <c r="K464" i="30"/>
  <c r="K462" i="30"/>
  <c r="K461" i="30"/>
  <c r="K460" i="30"/>
  <c r="K459" i="30"/>
  <c r="K458" i="30"/>
  <c r="K449" i="30"/>
  <c r="K448" i="30"/>
  <c r="K447" i="30"/>
  <c r="K446" i="30"/>
  <c r="K444" i="30"/>
  <c r="K443" i="30"/>
  <c r="K442" i="30"/>
  <c r="K441" i="30"/>
  <c r="K440" i="30"/>
  <c r="K431" i="30"/>
  <c r="K430" i="30"/>
  <c r="K429" i="30"/>
  <c r="K428" i="30"/>
  <c r="K426" i="30"/>
  <c r="K425" i="30"/>
  <c r="K424" i="30"/>
  <c r="K423" i="30"/>
  <c r="K422" i="30"/>
  <c r="K413" i="30"/>
  <c r="K412" i="30"/>
  <c r="K411" i="30"/>
  <c r="K410" i="30"/>
  <c r="K408" i="30"/>
  <c r="K407" i="30"/>
  <c r="K406" i="30"/>
  <c r="K405" i="30"/>
  <c r="K404" i="30"/>
  <c r="K395" i="30"/>
  <c r="K394" i="30"/>
  <c r="K393" i="30"/>
  <c r="K392" i="30"/>
  <c r="K390" i="30"/>
  <c r="K389" i="30"/>
  <c r="K388" i="30"/>
  <c r="K387" i="30"/>
  <c r="K386" i="30"/>
  <c r="J449" i="30"/>
  <c r="J448" i="30"/>
  <c r="J447" i="30"/>
  <c r="J446" i="30"/>
  <c r="J444" i="30"/>
  <c r="J443" i="30"/>
  <c r="J442" i="30"/>
  <c r="J441" i="30"/>
  <c r="J440" i="30"/>
  <c r="J431" i="30"/>
  <c r="J430" i="30"/>
  <c r="J429" i="30"/>
  <c r="J428" i="30"/>
  <c r="J426" i="30"/>
  <c r="J425" i="30"/>
  <c r="J424" i="30"/>
  <c r="J423" i="30"/>
  <c r="J422" i="30"/>
  <c r="I395" i="30"/>
  <c r="I394" i="30"/>
  <c r="I393" i="30"/>
  <c r="I392" i="30"/>
  <c r="I390" i="30"/>
  <c r="I389" i="30"/>
  <c r="I388" i="30"/>
  <c r="I387" i="30"/>
  <c r="I386" i="30"/>
  <c r="J413" i="30"/>
  <c r="J412" i="30"/>
  <c r="J411" i="30"/>
  <c r="J410" i="30"/>
  <c r="J408" i="30"/>
  <c r="J407" i="30"/>
  <c r="J406" i="30"/>
  <c r="J405" i="30"/>
  <c r="J404" i="30"/>
  <c r="J395" i="30"/>
  <c r="J394" i="30"/>
  <c r="J393" i="30"/>
  <c r="J392" i="30"/>
  <c r="J390" i="30"/>
  <c r="J389" i="30"/>
  <c r="J388" i="30"/>
  <c r="J387" i="30"/>
  <c r="J386" i="30"/>
  <c r="J346" i="30"/>
  <c r="J345" i="30"/>
  <c r="J344" i="30"/>
  <c r="J342" i="30"/>
  <c r="J341" i="30"/>
  <c r="J340" i="30"/>
  <c r="J339" i="30"/>
  <c r="J338" i="30"/>
  <c r="J337" i="30"/>
  <c r="J335" i="30"/>
  <c r="J334" i="30"/>
  <c r="J333" i="30"/>
  <c r="J332" i="30"/>
  <c r="J331" i="30"/>
  <c r="I346" i="30"/>
  <c r="I344" i="30"/>
  <c r="I342" i="30"/>
  <c r="I341" i="30"/>
  <c r="I340" i="30"/>
  <c r="I339" i="30"/>
  <c r="I338" i="30"/>
  <c r="I337" i="30"/>
  <c r="I335" i="30"/>
  <c r="I334" i="30"/>
  <c r="I333" i="30"/>
  <c r="I332" i="30"/>
  <c r="I331" i="30"/>
  <c r="I345" i="30"/>
  <c r="J328" i="30"/>
  <c r="J327" i="30"/>
  <c r="J326" i="30"/>
  <c r="J324" i="30"/>
  <c r="J323" i="30"/>
  <c r="J322" i="30"/>
  <c r="J321" i="30"/>
  <c r="J320" i="30"/>
  <c r="J319" i="30"/>
  <c r="J317" i="30"/>
  <c r="J316" i="30"/>
  <c r="J315" i="30"/>
  <c r="J314" i="30"/>
  <c r="J313" i="30"/>
  <c r="I328" i="30"/>
  <c r="I327" i="30"/>
  <c r="I326" i="30"/>
  <c r="I324" i="30"/>
  <c r="I323" i="30"/>
  <c r="I322" i="30"/>
  <c r="I321" i="30"/>
  <c r="I320" i="30"/>
  <c r="I319" i="30"/>
  <c r="I317" i="30"/>
  <c r="I316" i="30"/>
  <c r="I315" i="30"/>
  <c r="I314" i="30"/>
  <c r="I313" i="30"/>
  <c r="I310" i="30"/>
  <c r="I309" i="30"/>
  <c r="I308" i="30"/>
  <c r="I306" i="30"/>
  <c r="I305" i="30"/>
  <c r="I304" i="30"/>
  <c r="I303" i="30"/>
  <c r="I302" i="30"/>
  <c r="I301" i="30"/>
  <c r="I299" i="30"/>
  <c r="I298" i="30"/>
  <c r="I297" i="30"/>
  <c r="I296" i="30"/>
  <c r="I295" i="30"/>
  <c r="I292" i="30"/>
  <c r="I291" i="30"/>
  <c r="I290" i="30"/>
  <c r="I288" i="30"/>
  <c r="I287" i="30"/>
  <c r="I286" i="30"/>
  <c r="I285" i="30"/>
  <c r="I284" i="30"/>
  <c r="I283" i="30"/>
  <c r="I281" i="30"/>
  <c r="I280" i="30"/>
  <c r="I279" i="30"/>
  <c r="I278" i="30"/>
  <c r="I277" i="30"/>
  <c r="I274" i="30"/>
  <c r="I273" i="30"/>
  <c r="I272" i="30"/>
  <c r="I270" i="30"/>
  <c r="I269" i="30"/>
  <c r="I268" i="30"/>
  <c r="I267" i="30"/>
  <c r="I266" i="30"/>
  <c r="I265" i="30"/>
  <c r="I263" i="30"/>
  <c r="I262" i="30"/>
  <c r="I261" i="30"/>
  <c r="I260" i="30"/>
  <c r="I259" i="30"/>
  <c r="J310" i="30"/>
  <c r="J309" i="30"/>
  <c r="J308" i="30"/>
  <c r="J306" i="30"/>
  <c r="J305" i="30"/>
  <c r="J304" i="30"/>
  <c r="J303" i="30"/>
  <c r="J302" i="30"/>
  <c r="J301" i="30"/>
  <c r="J299" i="30"/>
  <c r="J298" i="30"/>
  <c r="J297" i="30"/>
  <c r="J296" i="30"/>
  <c r="J294" i="30" s="1"/>
  <c r="J295" i="30"/>
  <c r="J292" i="30"/>
  <c r="J291" i="30"/>
  <c r="J290" i="30"/>
  <c r="J288" i="30"/>
  <c r="J287" i="30"/>
  <c r="J286" i="30"/>
  <c r="J285" i="30"/>
  <c r="J284" i="30"/>
  <c r="J283" i="30"/>
  <c r="J281" i="30"/>
  <c r="J280" i="30"/>
  <c r="J279" i="30"/>
  <c r="J278" i="30"/>
  <c r="J277" i="30"/>
  <c r="K328" i="30"/>
  <c r="K327" i="30"/>
  <c r="K326" i="30"/>
  <c r="K324" i="30"/>
  <c r="K323" i="30"/>
  <c r="K322" i="30"/>
  <c r="K321" i="30"/>
  <c r="K320" i="30"/>
  <c r="K319" i="30"/>
  <c r="K317" i="30"/>
  <c r="K316" i="30"/>
  <c r="K315" i="30"/>
  <c r="K314" i="30"/>
  <c r="K313" i="30"/>
  <c r="K310" i="30"/>
  <c r="K309" i="30"/>
  <c r="K308" i="30"/>
  <c r="K306" i="30"/>
  <c r="K305" i="30"/>
  <c r="K304" i="30"/>
  <c r="K303" i="30"/>
  <c r="K302" i="30"/>
  <c r="K301" i="30"/>
  <c r="K299" i="30"/>
  <c r="K298" i="30"/>
  <c r="K297" i="30"/>
  <c r="K296" i="30"/>
  <c r="K295" i="30"/>
  <c r="K292" i="30"/>
  <c r="K291" i="30"/>
  <c r="K290" i="30"/>
  <c r="K288" i="30"/>
  <c r="K287" i="30"/>
  <c r="K286" i="30"/>
  <c r="K285" i="30"/>
  <c r="K284" i="30"/>
  <c r="K283" i="30"/>
  <c r="K281" i="30"/>
  <c r="K280" i="30"/>
  <c r="K279" i="30"/>
  <c r="K278" i="30"/>
  <c r="K277" i="30"/>
  <c r="I220" i="30"/>
  <c r="I219" i="30"/>
  <c r="I218" i="30"/>
  <c r="I216" i="30"/>
  <c r="I215" i="30"/>
  <c r="I214" i="30"/>
  <c r="I213" i="30"/>
  <c r="I212" i="30"/>
  <c r="I211" i="30"/>
  <c r="I209" i="30"/>
  <c r="I208" i="30"/>
  <c r="I207" i="30"/>
  <c r="I206" i="30"/>
  <c r="I205" i="30"/>
  <c r="I72" i="30"/>
  <c r="I71" i="30"/>
  <c r="I70" i="30"/>
  <c r="I69" i="30"/>
  <c r="I68" i="30"/>
  <c r="I67" i="30"/>
  <c r="I65" i="30"/>
  <c r="I64" i="30"/>
  <c r="I63" i="30"/>
  <c r="I62" i="30"/>
  <c r="I61" i="30"/>
  <c r="J76" i="30"/>
  <c r="J75" i="30"/>
  <c r="J74" i="30"/>
  <c r="J72" i="30"/>
  <c r="J71" i="30"/>
  <c r="J70" i="30"/>
  <c r="J69" i="30"/>
  <c r="J68" i="30"/>
  <c r="J67" i="30"/>
  <c r="J65" i="30"/>
  <c r="J64" i="30"/>
  <c r="J63" i="30"/>
  <c r="J62" i="30"/>
  <c r="J61" i="30"/>
  <c r="K76" i="30"/>
  <c r="I76" i="30"/>
  <c r="K75" i="30"/>
  <c r="I75" i="30"/>
  <c r="K74" i="30"/>
  <c r="I74" i="30"/>
  <c r="K72" i="30"/>
  <c r="K71" i="30"/>
  <c r="K70" i="30"/>
  <c r="K69" i="30"/>
  <c r="K68" i="30"/>
  <c r="K67" i="30"/>
  <c r="K65" i="30"/>
  <c r="K64" i="30"/>
  <c r="K63" i="30"/>
  <c r="K62" i="30"/>
  <c r="K61" i="30"/>
  <c r="K94" i="30"/>
  <c r="J94" i="30"/>
  <c r="I94" i="30"/>
  <c r="K93" i="30"/>
  <c r="J93" i="30"/>
  <c r="I93" i="30"/>
  <c r="K92" i="30"/>
  <c r="J92" i="30"/>
  <c r="I92" i="30"/>
  <c r="K90" i="30"/>
  <c r="J90" i="30"/>
  <c r="I90" i="30"/>
  <c r="K89" i="30"/>
  <c r="J89" i="30"/>
  <c r="I89" i="30"/>
  <c r="K88" i="30"/>
  <c r="J88" i="30"/>
  <c r="I88" i="30"/>
  <c r="K87" i="30"/>
  <c r="J87" i="30"/>
  <c r="I87" i="30"/>
  <c r="K86" i="30"/>
  <c r="J86" i="30"/>
  <c r="I86" i="30"/>
  <c r="K85" i="30"/>
  <c r="J85" i="30"/>
  <c r="I85" i="30"/>
  <c r="K83" i="30"/>
  <c r="J83" i="30"/>
  <c r="I83" i="30"/>
  <c r="K82" i="30"/>
  <c r="J82" i="30"/>
  <c r="I82" i="30"/>
  <c r="K81" i="30"/>
  <c r="J81" i="30"/>
  <c r="I81" i="30"/>
  <c r="K80" i="30"/>
  <c r="J80" i="30"/>
  <c r="I80" i="30"/>
  <c r="K79" i="30"/>
  <c r="J79" i="30"/>
  <c r="I79" i="30"/>
  <c r="K148" i="30"/>
  <c r="J148" i="30"/>
  <c r="I148" i="30"/>
  <c r="K147" i="30"/>
  <c r="J147" i="30"/>
  <c r="I147" i="30"/>
  <c r="K146" i="30"/>
  <c r="J146" i="30"/>
  <c r="I146" i="30"/>
  <c r="K144" i="30"/>
  <c r="J144" i="30"/>
  <c r="I144" i="30"/>
  <c r="K143" i="30"/>
  <c r="J143" i="30"/>
  <c r="I143" i="30"/>
  <c r="K142" i="30"/>
  <c r="J142" i="30"/>
  <c r="I142" i="30"/>
  <c r="K141" i="30"/>
  <c r="J141" i="30"/>
  <c r="I141" i="30"/>
  <c r="K140" i="30"/>
  <c r="J140" i="30"/>
  <c r="I140" i="30"/>
  <c r="K139" i="30"/>
  <c r="J139" i="30"/>
  <c r="I139" i="30"/>
  <c r="K137" i="30"/>
  <c r="J137" i="30"/>
  <c r="I137" i="30"/>
  <c r="K136" i="30"/>
  <c r="J136" i="30"/>
  <c r="I136" i="30"/>
  <c r="K135" i="30"/>
  <c r="J135" i="30"/>
  <c r="I135" i="30"/>
  <c r="K134" i="30"/>
  <c r="J134" i="30"/>
  <c r="I134" i="30"/>
  <c r="K133" i="30"/>
  <c r="J133" i="30"/>
  <c r="I133" i="30"/>
  <c r="K166" i="30"/>
  <c r="J166" i="30"/>
  <c r="I166" i="30"/>
  <c r="K165" i="30"/>
  <c r="J165" i="30"/>
  <c r="I165" i="30"/>
  <c r="K164" i="30"/>
  <c r="J164" i="30"/>
  <c r="I164" i="30"/>
  <c r="K162" i="30"/>
  <c r="J162" i="30"/>
  <c r="I162" i="30"/>
  <c r="K161" i="30"/>
  <c r="J161" i="30"/>
  <c r="I161" i="30"/>
  <c r="K160" i="30"/>
  <c r="J160" i="30"/>
  <c r="I160" i="30"/>
  <c r="K159" i="30"/>
  <c r="J159" i="30"/>
  <c r="I159" i="30"/>
  <c r="K158" i="30"/>
  <c r="J158" i="30"/>
  <c r="I158" i="30"/>
  <c r="K157" i="30"/>
  <c r="J157" i="30"/>
  <c r="I157" i="30"/>
  <c r="K155" i="30"/>
  <c r="J155" i="30"/>
  <c r="I155" i="30"/>
  <c r="K154" i="30"/>
  <c r="J154" i="30"/>
  <c r="I154" i="30"/>
  <c r="K153" i="30"/>
  <c r="J153" i="30"/>
  <c r="I153" i="30"/>
  <c r="K152" i="30"/>
  <c r="J152" i="30"/>
  <c r="I152" i="30"/>
  <c r="K151" i="30"/>
  <c r="J151" i="30"/>
  <c r="I151" i="30"/>
  <c r="K184" i="30"/>
  <c r="J184" i="30"/>
  <c r="I184" i="30"/>
  <c r="K183" i="30"/>
  <c r="J183" i="30"/>
  <c r="I183" i="30"/>
  <c r="K182" i="30"/>
  <c r="J182" i="30"/>
  <c r="I182" i="30"/>
  <c r="K180" i="30"/>
  <c r="J180" i="30"/>
  <c r="I180" i="30"/>
  <c r="K179" i="30"/>
  <c r="J179" i="30"/>
  <c r="I179" i="30"/>
  <c r="K178" i="30"/>
  <c r="J178" i="30"/>
  <c r="I178" i="30"/>
  <c r="K177" i="30"/>
  <c r="J177" i="30"/>
  <c r="I177" i="30"/>
  <c r="K176" i="30"/>
  <c r="J176" i="30"/>
  <c r="I176" i="30"/>
  <c r="K175" i="30"/>
  <c r="J175" i="30"/>
  <c r="I175" i="30"/>
  <c r="K173" i="30"/>
  <c r="J173" i="30"/>
  <c r="I173" i="30"/>
  <c r="K172" i="30"/>
  <c r="J172" i="30"/>
  <c r="I172" i="30"/>
  <c r="K171" i="30"/>
  <c r="J171" i="30"/>
  <c r="I171" i="30"/>
  <c r="K170" i="30"/>
  <c r="J170" i="30"/>
  <c r="I170" i="30"/>
  <c r="K169" i="30"/>
  <c r="J169" i="30"/>
  <c r="I169" i="30"/>
  <c r="K220" i="30"/>
  <c r="J220" i="30"/>
  <c r="K219" i="30"/>
  <c r="J219" i="30"/>
  <c r="K218" i="30"/>
  <c r="J218" i="30"/>
  <c r="K216" i="30"/>
  <c r="J216" i="30"/>
  <c r="K215" i="30"/>
  <c r="J215" i="30"/>
  <c r="K214" i="30"/>
  <c r="J214" i="30"/>
  <c r="K213" i="30"/>
  <c r="J213" i="30"/>
  <c r="K212" i="30"/>
  <c r="J212" i="30"/>
  <c r="K211" i="30"/>
  <c r="J211" i="30"/>
  <c r="K209" i="30"/>
  <c r="J209" i="30"/>
  <c r="K208" i="30"/>
  <c r="J208" i="30"/>
  <c r="K207" i="30"/>
  <c r="J207" i="30"/>
  <c r="K206" i="30"/>
  <c r="J206" i="30"/>
  <c r="K205" i="30"/>
  <c r="J205" i="30"/>
  <c r="K274" i="30"/>
  <c r="J274" i="30"/>
  <c r="K273" i="30"/>
  <c r="J273" i="30"/>
  <c r="K272" i="30"/>
  <c r="J272" i="30"/>
  <c r="K270" i="30"/>
  <c r="J270" i="30"/>
  <c r="K269" i="30"/>
  <c r="J269" i="30"/>
  <c r="K268" i="30"/>
  <c r="J268" i="30"/>
  <c r="K267" i="30"/>
  <c r="J267" i="30"/>
  <c r="K266" i="30"/>
  <c r="J266" i="30"/>
  <c r="K265" i="30"/>
  <c r="J265" i="30"/>
  <c r="K263" i="30"/>
  <c r="J263" i="30"/>
  <c r="K262" i="30"/>
  <c r="J262" i="30"/>
  <c r="K261" i="30"/>
  <c r="J261" i="30"/>
  <c r="K260" i="30"/>
  <c r="J260" i="30"/>
  <c r="K259" i="30"/>
  <c r="J259" i="30"/>
  <c r="V21" i="30"/>
  <c r="T20" i="30" a="1"/>
  <c r="T19" i="30" a="1"/>
  <c r="T18" i="30" a="1"/>
  <c r="T17" i="30" a="1"/>
  <c r="T16" i="30" a="1"/>
  <c r="T15" i="30" a="1"/>
  <c r="T14" i="30" a="1"/>
  <c r="T13" i="30" a="1"/>
  <c r="T12" i="30" a="1"/>
  <c r="T11" i="30" a="1"/>
  <c r="T10" i="30" a="1"/>
  <c r="T9" i="30" a="1"/>
  <c r="T8" i="30" a="1"/>
  <c r="D8" i="30"/>
  <c r="D9" i="30" s="1"/>
  <c r="D10" i="30" s="1"/>
  <c r="D11" i="30" s="1"/>
  <c r="D12" i="30" s="1"/>
  <c r="D13" i="30" s="1"/>
  <c r="D14" i="30" s="1"/>
  <c r="D15" i="30" s="1"/>
  <c r="D16" i="30" s="1"/>
  <c r="D17" i="30" s="1"/>
  <c r="D18" i="30" s="1"/>
  <c r="D19" i="30" s="1"/>
  <c r="D20" i="30" s="1"/>
  <c r="D21" i="30" s="1"/>
  <c r="D22" i="30" s="1"/>
  <c r="D25" i="30" s="1"/>
  <c r="D26" i="30" s="1"/>
  <c r="D27" i="30" s="1"/>
  <c r="D28" i="30" s="1"/>
  <c r="D29" i="30" s="1"/>
  <c r="D30" i="30" s="1"/>
  <c r="D31" i="30" s="1"/>
  <c r="D32" i="30" s="1"/>
  <c r="D33" i="30" s="1"/>
  <c r="D34" i="30" s="1"/>
  <c r="D35" i="30" s="1"/>
  <c r="D36" i="30" s="1"/>
  <c r="D37" i="30" s="1"/>
  <c r="D38" i="30" s="1"/>
  <c r="D39" i="30" s="1"/>
  <c r="D40" i="30" s="1"/>
  <c r="D43" i="30" s="1"/>
  <c r="D44" i="30" s="1"/>
  <c r="D45" i="30" s="1"/>
  <c r="D46" i="30" s="1"/>
  <c r="D47" i="30" s="1"/>
  <c r="D48" i="30" s="1"/>
  <c r="D49" i="30" s="1"/>
  <c r="D50" i="30" s="1"/>
  <c r="D51" i="30" s="1"/>
  <c r="D52" i="30" s="1"/>
  <c r="D53" i="30" s="1"/>
  <c r="D54" i="30" s="1"/>
  <c r="D55" i="30" s="1"/>
  <c r="D56" i="30" s="1"/>
  <c r="D57" i="30" s="1"/>
  <c r="D58" i="30" s="1"/>
  <c r="D61" i="30" s="1"/>
  <c r="D62" i="30" s="1"/>
  <c r="D63" i="30" s="1"/>
  <c r="D64" i="30" s="1"/>
  <c r="D65" i="30" s="1"/>
  <c r="D66" i="30" s="1"/>
  <c r="D67" i="30" s="1"/>
  <c r="D68" i="30" s="1"/>
  <c r="D69" i="30" s="1"/>
  <c r="D70" i="30" s="1"/>
  <c r="D71" i="30" s="1"/>
  <c r="D72" i="30" s="1"/>
  <c r="D73" i="30" s="1"/>
  <c r="D74" i="30" s="1"/>
  <c r="D75" i="30" s="1"/>
  <c r="D76" i="30" s="1"/>
  <c r="D79" i="30" s="1"/>
  <c r="D80" i="30" s="1"/>
  <c r="D81" i="30" s="1"/>
  <c r="D82" i="30" s="1"/>
  <c r="D83" i="30" s="1"/>
  <c r="D84" i="30" s="1"/>
  <c r="D85" i="30" s="1"/>
  <c r="D86" i="30" s="1"/>
  <c r="D87" i="30" s="1"/>
  <c r="D88" i="30" s="1"/>
  <c r="D89" i="30" s="1"/>
  <c r="D90" i="30" s="1"/>
  <c r="D91" i="30" s="1"/>
  <c r="D92" i="30" s="1"/>
  <c r="D93" i="30" s="1"/>
  <c r="T7" i="30" a="1"/>
  <c r="V134" i="23" a="1"/>
  <c r="V8" i="23" a="1"/>
  <c r="V20" i="23" a="1"/>
  <c r="V19" i="23" a="1"/>
  <c r="V18" i="23" a="1"/>
  <c r="V17" i="23" a="1"/>
  <c r="V16" i="23" a="1"/>
  <c r="V15" i="23" a="1"/>
  <c r="V13" i="23" a="1"/>
  <c r="V12" i="23" a="1"/>
  <c r="V11" i="23" a="1"/>
  <c r="V10" i="23" a="1"/>
  <c r="V9" i="23" a="1"/>
  <c r="D94" i="30" l="1"/>
  <c r="V6" i="30"/>
  <c r="U6" i="30"/>
  <c r="D97" i="30" l="1"/>
  <c r="D98" i="30" s="1"/>
  <c r="D99" i="30" s="1"/>
  <c r="D100" i="30" s="1"/>
  <c r="D101" i="30" s="1"/>
  <c r="D102" i="30" s="1"/>
  <c r="D103" i="30" s="1"/>
  <c r="D104" i="30" s="1"/>
  <c r="D105" i="30" s="1"/>
  <c r="D106" i="30" s="1"/>
  <c r="D107" i="30" s="1"/>
  <c r="D108" i="30" s="1"/>
  <c r="D109" i="30" s="1"/>
  <c r="D110" i="30" s="1"/>
  <c r="D111" i="30" s="1"/>
  <c r="D112" i="30" s="1"/>
  <c r="D115" i="30" s="1"/>
  <c r="D116" i="30" s="1"/>
  <c r="D117" i="30" s="1"/>
  <c r="D118" i="30" s="1"/>
  <c r="D119" i="30" s="1"/>
  <c r="D120" i="30" s="1"/>
  <c r="D121" i="30" s="1"/>
  <c r="D122" i="30" s="1"/>
  <c r="D123" i="30" s="1"/>
  <c r="D124" i="30" s="1"/>
  <c r="D125" i="30" s="1"/>
  <c r="D126" i="30" s="1"/>
  <c r="D127" i="30" s="1"/>
  <c r="D128" i="30" s="1"/>
  <c r="D129" i="30" s="1"/>
  <c r="D130" i="30" s="1"/>
  <c r="D133" i="30"/>
  <c r="K42" i="30"/>
  <c r="D134" i="30" l="1"/>
  <c r="D135" i="30" s="1"/>
  <c r="D136" i="30" s="1"/>
  <c r="D137" i="30" s="1"/>
  <c r="D138" i="30" s="1"/>
  <c r="D139" i="30" s="1"/>
  <c r="D140" i="30" s="1"/>
  <c r="D141" i="30" s="1"/>
  <c r="D142" i="30" s="1"/>
  <c r="D143" i="30" s="1"/>
  <c r="D144" i="30" s="1"/>
  <c r="D145" i="30" s="1"/>
  <c r="D146" i="30" s="1"/>
  <c r="D147" i="30" s="1"/>
  <c r="D148" i="30" s="1"/>
  <c r="D151" i="30" s="1"/>
  <c r="D152" i="30" s="1"/>
  <c r="D153" i="30" s="1"/>
  <c r="D154" i="30" s="1"/>
  <c r="D155" i="30" s="1"/>
  <c r="D156" i="30" s="1"/>
  <c r="D157" i="30" s="1"/>
  <c r="D158" i="30" s="1"/>
  <c r="D159" i="30" s="1"/>
  <c r="D160" i="30" s="1"/>
  <c r="D161" i="30" s="1"/>
  <c r="D162" i="30" s="1"/>
  <c r="D163" i="30" s="1"/>
  <c r="D164" i="30" s="1"/>
  <c r="D165" i="30" s="1"/>
  <c r="D166" i="30" s="1"/>
  <c r="D169" i="30" s="1"/>
  <c r="D170" i="30" s="1"/>
  <c r="D171" i="30" s="1"/>
  <c r="D172" i="30" s="1"/>
  <c r="D173" i="30" s="1"/>
  <c r="D174" i="30" s="1"/>
  <c r="D175" i="30" s="1"/>
  <c r="D176" i="30" s="1"/>
  <c r="D177" i="30" s="1"/>
  <c r="D178" i="30" s="1"/>
  <c r="D179" i="30" s="1"/>
  <c r="D180" i="30" s="1"/>
  <c r="D181" i="30" s="1"/>
  <c r="D182" i="30" s="1"/>
  <c r="D183" i="30" s="1"/>
  <c r="D184" i="30" s="1"/>
  <c r="D187" i="30" s="1"/>
  <c r="D188" i="30" s="1"/>
  <c r="D189" i="30" s="1"/>
  <c r="D190" i="30" s="1"/>
  <c r="D191" i="30" s="1"/>
  <c r="D192" i="30" s="1"/>
  <c r="D193" i="30" s="1"/>
  <c r="D194" i="30" s="1"/>
  <c r="D195" i="30" s="1"/>
  <c r="D196" i="30" s="1"/>
  <c r="D197" i="30" s="1"/>
  <c r="D198" i="30" s="1"/>
  <c r="D199" i="30" s="1"/>
  <c r="D200" i="30" s="1"/>
  <c r="D201" i="30" s="1"/>
  <c r="D202" i="30" s="1"/>
  <c r="D205" i="30" s="1"/>
  <c r="D206" i="30" s="1"/>
  <c r="D207" i="30" s="1"/>
  <c r="D208" i="30" s="1"/>
  <c r="D209" i="30" s="1"/>
  <c r="D210" i="30" s="1"/>
  <c r="D211" i="30" s="1"/>
  <c r="D212" i="30" s="1"/>
  <c r="D213" i="30" s="1"/>
  <c r="D214" i="30" s="1"/>
  <c r="D215" i="30" s="1"/>
  <c r="D216" i="30" s="1"/>
  <c r="D217" i="30" s="1"/>
  <c r="D218" i="30" s="1"/>
  <c r="D219" i="30" s="1"/>
  <c r="D220" i="30" s="1"/>
  <c r="D223" i="30" s="1"/>
  <c r="D224" i="30" s="1"/>
  <c r="D225" i="30" s="1"/>
  <c r="D226" i="30" s="1"/>
  <c r="D227" i="30" s="1"/>
  <c r="D228" i="30" s="1"/>
  <c r="D229" i="30" s="1"/>
  <c r="D230" i="30" s="1"/>
  <c r="D231" i="30" s="1"/>
  <c r="D232" i="30" s="1"/>
  <c r="D233" i="30" s="1"/>
  <c r="D234" i="30" s="1"/>
  <c r="D235" i="30" s="1"/>
  <c r="D236" i="30" s="1"/>
  <c r="D237" i="30" s="1"/>
  <c r="D238" i="30" s="1"/>
  <c r="D241" i="30" s="1"/>
  <c r="D242" i="30" s="1"/>
  <c r="D243" i="30" s="1"/>
  <c r="D244" i="30" s="1"/>
  <c r="D245" i="30" s="1"/>
  <c r="D246" i="30" s="1"/>
  <c r="D247" i="30" s="1"/>
  <c r="D248" i="30" s="1"/>
  <c r="D249" i="30" s="1"/>
  <c r="D250" i="30" s="1"/>
  <c r="D251" i="30" s="1"/>
  <c r="D252" i="30" s="1"/>
  <c r="D253" i="30" s="1"/>
  <c r="D254" i="30" s="1"/>
  <c r="D255" i="30" s="1"/>
  <c r="D256" i="30" s="1"/>
  <c r="V132" i="30" l="1"/>
  <c r="U132" i="30"/>
  <c r="D259" i="30"/>
  <c r="D260" i="30" l="1"/>
  <c r="D261" i="30" s="1"/>
  <c r="D262" i="30" s="1"/>
  <c r="D263" i="30" s="1"/>
  <c r="D264" i="30" s="1"/>
  <c r="D265" i="30" s="1"/>
  <c r="D266" i="30" s="1"/>
  <c r="D267" i="30" s="1"/>
  <c r="D268" i="30" s="1"/>
  <c r="D269" i="30" s="1"/>
  <c r="D270" i="30" s="1"/>
  <c r="D271" i="30" s="1"/>
  <c r="D272" i="30" s="1"/>
  <c r="D273" i="30" s="1"/>
  <c r="D274" i="30" s="1"/>
  <c r="D277" i="30" s="1"/>
  <c r="D278" i="30" s="1"/>
  <c r="D279" i="30" s="1"/>
  <c r="D280" i="30" s="1"/>
  <c r="D281" i="30" s="1"/>
  <c r="D282" i="30" s="1"/>
  <c r="D283" i="30" s="1"/>
  <c r="D284" i="30" s="1"/>
  <c r="D285" i="30" s="1"/>
  <c r="D286" i="30" s="1"/>
  <c r="D287" i="30" s="1"/>
  <c r="D288" i="30" s="1"/>
  <c r="D289" i="30" s="1"/>
  <c r="D290" i="30" s="1"/>
  <c r="D291" i="30" s="1"/>
  <c r="D292" i="30" s="1"/>
  <c r="D295" i="30" s="1"/>
  <c r="D296" i="30" s="1"/>
  <c r="D297" i="30" s="1"/>
  <c r="D298" i="30" s="1"/>
  <c r="D299" i="30" s="1"/>
  <c r="D300" i="30" s="1"/>
  <c r="D301" i="30" s="1"/>
  <c r="D302" i="30" s="1"/>
  <c r="D303" i="30" s="1"/>
  <c r="D304" i="30" s="1"/>
  <c r="D305" i="30" s="1"/>
  <c r="D306" i="30" s="1"/>
  <c r="D307" i="30" s="1"/>
  <c r="D308" i="30" s="1"/>
  <c r="D309" i="30" s="1"/>
  <c r="D310" i="30" s="1"/>
  <c r="D313" i="30" s="1"/>
  <c r="D314" i="30" s="1"/>
  <c r="D315" i="30" s="1"/>
  <c r="D316" i="30" s="1"/>
  <c r="D317" i="30" s="1"/>
  <c r="D318" i="30" s="1"/>
  <c r="D319" i="30" s="1"/>
  <c r="D320" i="30" s="1"/>
  <c r="D321" i="30" s="1"/>
  <c r="D322" i="30" s="1"/>
  <c r="D323" i="30" s="1"/>
  <c r="D324" i="30" s="1"/>
  <c r="D325" i="30" s="1"/>
  <c r="D326" i="30" s="1"/>
  <c r="D327" i="30" s="1"/>
  <c r="D328" i="30" s="1"/>
  <c r="D331" i="30" s="1"/>
  <c r="D332" i="30" s="1"/>
  <c r="D333" i="30" s="1"/>
  <c r="D334" i="30" s="1"/>
  <c r="D335" i="30" s="1"/>
  <c r="D336" i="30" s="1"/>
  <c r="D337" i="30" s="1"/>
  <c r="D338" i="30" s="1"/>
  <c r="D339" i="30" s="1"/>
  <c r="D340" i="30" s="1"/>
  <c r="D341" i="30" s="1"/>
  <c r="D342" i="30" s="1"/>
  <c r="D343" i="30" s="1"/>
  <c r="D344" i="30" s="1"/>
  <c r="D345" i="30" s="1"/>
  <c r="D346" i="30" s="1"/>
  <c r="D349" i="30" s="1"/>
  <c r="D350" i="30" s="1"/>
  <c r="D351" i="30" s="1"/>
  <c r="D352" i="30" s="1"/>
  <c r="D353" i="30" s="1"/>
  <c r="D354" i="30" s="1"/>
  <c r="D355" i="30" s="1"/>
  <c r="D356" i="30" s="1"/>
  <c r="D357" i="30" s="1"/>
  <c r="D358" i="30" s="1"/>
  <c r="D359" i="30" s="1"/>
  <c r="D360" i="30" s="1"/>
  <c r="D361" i="30" s="1"/>
  <c r="D362" i="30" s="1"/>
  <c r="D363" i="30" s="1"/>
  <c r="D364" i="30" s="1"/>
  <c r="D367" i="30" s="1"/>
  <c r="D368" i="30" s="1"/>
  <c r="D369" i="30" s="1"/>
  <c r="D370" i="30" s="1"/>
  <c r="D371" i="30" s="1"/>
  <c r="D372" i="30" s="1"/>
  <c r="D373" i="30" s="1"/>
  <c r="D374" i="30" s="1"/>
  <c r="D375" i="30" s="1"/>
  <c r="D376" i="30" s="1"/>
  <c r="D377" i="30" s="1"/>
  <c r="D378" i="30" s="1"/>
  <c r="D379" i="30" s="1"/>
  <c r="D380" i="30" s="1"/>
  <c r="D381" i="30" s="1"/>
  <c r="D382" i="30" s="1"/>
  <c r="D385" i="30" l="1"/>
  <c r="U258" i="30"/>
  <c r="V258" i="30"/>
  <c r="N551" i="23" l="1"/>
  <c r="D386" i="30"/>
  <c r="D387" i="30" s="1"/>
  <c r="D388" i="30" s="1"/>
  <c r="D389" i="30" s="1"/>
  <c r="D390" i="30" s="1"/>
  <c r="D391" i="30" s="1"/>
  <c r="D392" i="30" s="1"/>
  <c r="D393" i="30" s="1"/>
  <c r="D394" i="30" s="1"/>
  <c r="D395" i="30" s="1"/>
  <c r="D396" i="30" s="1"/>
  <c r="D397" i="30" s="1"/>
  <c r="D398" i="30" s="1"/>
  <c r="D399" i="30" s="1"/>
  <c r="D400" i="30" s="1"/>
  <c r="D403" i="30" s="1"/>
  <c r="D404" i="30" s="1"/>
  <c r="D405" i="30" s="1"/>
  <c r="D406" i="30" s="1"/>
  <c r="D407" i="30" s="1"/>
  <c r="D408" i="30" s="1"/>
  <c r="D409" i="30" s="1"/>
  <c r="D410" i="30" s="1"/>
  <c r="D411" i="30" s="1"/>
  <c r="D412" i="30" s="1"/>
  <c r="D413" i="30" s="1"/>
  <c r="D414" i="30" s="1"/>
  <c r="D415" i="30" s="1"/>
  <c r="D416" i="30" s="1"/>
  <c r="D417" i="30" s="1"/>
  <c r="D418" i="30" s="1"/>
  <c r="D421" i="30" s="1"/>
  <c r="D422" i="30" s="1"/>
  <c r="D423" i="30" s="1"/>
  <c r="D424" i="30" s="1"/>
  <c r="D425" i="30" s="1"/>
  <c r="D426" i="30" s="1"/>
  <c r="D427" i="30" s="1"/>
  <c r="D428" i="30" s="1"/>
  <c r="D429" i="30" s="1"/>
  <c r="D430" i="30" s="1"/>
  <c r="D431" i="30" s="1"/>
  <c r="D432" i="30" s="1"/>
  <c r="D433" i="30" s="1"/>
  <c r="D434" i="30" s="1"/>
  <c r="D435" i="30" s="1"/>
  <c r="D436" i="30" s="1"/>
  <c r="D439" i="30" s="1"/>
  <c r="D440" i="30" s="1"/>
  <c r="D441" i="30" s="1"/>
  <c r="D442" i="30" s="1"/>
  <c r="D443" i="30" s="1"/>
  <c r="D444" i="30" s="1"/>
  <c r="D445" i="30" s="1"/>
  <c r="D446" i="30" s="1"/>
  <c r="D447" i="30" s="1"/>
  <c r="D448" i="30" s="1"/>
  <c r="D449" i="30" s="1"/>
  <c r="D450" i="30" s="1"/>
  <c r="D451" i="30" s="1"/>
  <c r="D452" i="30" s="1"/>
  <c r="D453" i="30" s="1"/>
  <c r="D454" i="30" s="1"/>
  <c r="D457" i="30" s="1"/>
  <c r="D458" i="30" l="1"/>
  <c r="D459" i="30" s="1"/>
  <c r="D460" i="30" s="1"/>
  <c r="D461" i="30" s="1"/>
  <c r="D462" i="30" s="1"/>
  <c r="D463" i="30" s="1"/>
  <c r="D464" i="30" s="1"/>
  <c r="D465" i="30" s="1"/>
  <c r="D466" i="30" s="1"/>
  <c r="D467" i="30" s="1"/>
  <c r="D468" i="30" s="1"/>
  <c r="D469" i="30" s="1"/>
  <c r="D470" i="30" s="1"/>
  <c r="D471" i="30" s="1"/>
  <c r="D472" i="30" s="1"/>
  <c r="D511" i="30" s="1"/>
  <c r="U384" i="30"/>
  <c r="V384" i="30"/>
  <c r="D475" i="30"/>
  <c r="D476" i="30" s="1"/>
  <c r="D477" i="30" s="1"/>
  <c r="D478" i="30" s="1"/>
  <c r="D479" i="30" s="1"/>
  <c r="D480" i="30" s="1"/>
  <c r="D481" i="30" s="1"/>
  <c r="D482" i="30" s="1"/>
  <c r="D483" i="30" s="1"/>
  <c r="D484" i="30" s="1"/>
  <c r="D485" i="30" s="1"/>
  <c r="D486" i="30" s="1"/>
  <c r="D487" i="30" s="1"/>
  <c r="D488" i="30" s="1"/>
  <c r="D489" i="30" s="1"/>
  <c r="D490" i="30" s="1"/>
  <c r="D493" i="30" s="1"/>
  <c r="D494" i="30" s="1"/>
  <c r="D495" i="30" s="1"/>
  <c r="D496" i="30" s="1"/>
  <c r="D497" i="30" s="1"/>
  <c r="D498" i="30" s="1"/>
  <c r="D499" i="30" s="1"/>
  <c r="D500" i="30" s="1"/>
  <c r="D501" i="30" s="1"/>
  <c r="D502" i="30" s="1"/>
  <c r="D503" i="30" s="1"/>
  <c r="D504" i="30" s="1"/>
  <c r="D505" i="30" s="1"/>
  <c r="D506" i="30" s="1"/>
  <c r="D507" i="30" s="1"/>
  <c r="D508" i="30" s="1"/>
  <c r="I186" i="30"/>
  <c r="K294" i="30"/>
  <c r="K204" i="30"/>
  <c r="I582" i="30"/>
  <c r="I312" i="30"/>
  <c r="J204" i="30"/>
  <c r="I330" i="30"/>
  <c r="J60" i="30"/>
  <c r="K420" i="30"/>
  <c r="I204" i="30"/>
  <c r="I564" i="30"/>
  <c r="J438" i="30"/>
  <c r="I402" i="30"/>
  <c r="J546" i="30"/>
  <c r="J582" i="30"/>
  <c r="K258" i="30"/>
  <c r="I294" i="30"/>
  <c r="K150" i="30"/>
  <c r="I132" i="30"/>
  <c r="K384" i="30"/>
  <c r="K330" i="30"/>
  <c r="J420" i="30"/>
  <c r="J132" i="30"/>
  <c r="J258" i="30"/>
  <c r="K60" i="30"/>
  <c r="K402" i="30"/>
  <c r="K186" i="30"/>
  <c r="J186" i="30"/>
  <c r="K78" i="30"/>
  <c r="J330" i="30"/>
  <c r="J168" i="30"/>
  <c r="I168" i="30"/>
  <c r="I384" i="30"/>
  <c r="K168" i="30"/>
  <c r="I60" i="30"/>
  <c r="K132" i="30"/>
  <c r="I438" i="30"/>
  <c r="I258" i="30"/>
  <c r="J312" i="30"/>
  <c r="J150" i="30"/>
  <c r="I546" i="30"/>
  <c r="I276" i="30"/>
  <c r="K582" i="30"/>
  <c r="K564" i="30"/>
  <c r="J402" i="30"/>
  <c r="I78" i="30"/>
  <c r="K276" i="30"/>
  <c r="K546" i="30"/>
  <c r="K312" i="30"/>
  <c r="J78" i="30"/>
  <c r="J564" i="30"/>
  <c r="I420" i="30"/>
  <c r="K438" i="30"/>
  <c r="J384" i="30"/>
  <c r="J276" i="30"/>
  <c r="I150" i="30"/>
  <c r="D512" i="30" l="1"/>
  <c r="D513" i="30" s="1"/>
  <c r="D514" i="30" s="1"/>
  <c r="D515" i="30" s="1"/>
  <c r="D516" i="30" s="1"/>
  <c r="D517" i="30" s="1"/>
  <c r="D518" i="30" s="1"/>
  <c r="D519" i="30" s="1"/>
  <c r="D520" i="30" s="1"/>
  <c r="D521" i="30" s="1"/>
  <c r="D522" i="30" s="1"/>
  <c r="D523" i="30" s="1"/>
  <c r="D524" i="30" s="1"/>
  <c r="D525" i="30" s="1"/>
  <c r="D526" i="30" s="1"/>
  <c r="D529" i="30" s="1"/>
  <c r="D530" i="30" s="1"/>
  <c r="D531" i="30" s="1"/>
  <c r="D532" i="30" s="1"/>
  <c r="D533" i="30" s="1"/>
  <c r="D534" i="30" s="1"/>
  <c r="D535" i="30" s="1"/>
  <c r="D536" i="30" s="1"/>
  <c r="D537" i="30" s="1"/>
  <c r="D538" i="30" s="1"/>
  <c r="D539" i="30" s="1"/>
  <c r="D540" i="30" s="1"/>
  <c r="D541" i="30" s="1"/>
  <c r="D542" i="30" s="1"/>
  <c r="D543" i="30" s="1"/>
  <c r="D544" i="30" s="1"/>
  <c r="D547" i="30" s="1"/>
  <c r="D548" i="30" s="1"/>
  <c r="D549" i="30" s="1"/>
  <c r="D550" i="30" s="1"/>
  <c r="D551" i="30" s="1"/>
  <c r="D552" i="30" s="1"/>
  <c r="D553" i="30" s="1"/>
  <c r="D554" i="30" s="1"/>
  <c r="D555" i="30" s="1"/>
  <c r="D556" i="30" s="1"/>
  <c r="D557" i="30" s="1"/>
  <c r="D558" i="30" s="1"/>
  <c r="D559" i="30" s="1"/>
  <c r="D560" i="30" s="1"/>
  <c r="D561" i="30" s="1"/>
  <c r="D562" i="30" s="1"/>
  <c r="D565" i="30" s="1"/>
  <c r="D566" i="30" s="1"/>
  <c r="D567" i="30" s="1"/>
  <c r="D568" i="30" s="1"/>
  <c r="D569" i="30" s="1"/>
  <c r="D570" i="30" s="1"/>
  <c r="D571" i="30" s="1"/>
  <c r="D572" i="30" s="1"/>
  <c r="D573" i="30" s="1"/>
  <c r="D574" i="30" s="1"/>
  <c r="D575" i="30" s="1"/>
  <c r="D576" i="30" s="1"/>
  <c r="D577" i="30" s="1"/>
  <c r="D578" i="30" s="1"/>
  <c r="D579" i="30" s="1"/>
  <c r="D580" i="30" s="1"/>
  <c r="D583" i="30" s="1"/>
  <c r="D584" i="30" s="1"/>
  <c r="D585" i="30" s="1"/>
  <c r="D586" i="30" s="1"/>
  <c r="D587" i="30" s="1"/>
  <c r="D588" i="30" s="1"/>
  <c r="D589" i="30" s="1"/>
  <c r="D590" i="30" s="1"/>
  <c r="D591" i="30" s="1"/>
  <c r="D592" i="30" s="1"/>
  <c r="D593" i="30" s="1"/>
  <c r="D594" i="30" s="1"/>
  <c r="D595" i="30" s="1"/>
  <c r="D596" i="30" s="1"/>
  <c r="D597" i="30" s="1"/>
  <c r="D598" i="30" s="1"/>
  <c r="D601" i="30" s="1"/>
  <c r="D602" i="30" s="1"/>
  <c r="D603" i="30" s="1"/>
  <c r="D604" i="30" s="1"/>
  <c r="D605" i="30" s="1"/>
  <c r="D606" i="30" s="1"/>
  <c r="D607" i="30" s="1"/>
  <c r="D608" i="30" s="1"/>
  <c r="D609" i="30" s="1"/>
  <c r="D610" i="30" s="1"/>
  <c r="D611" i="30" s="1"/>
  <c r="D612" i="30" s="1"/>
  <c r="D613" i="30" s="1"/>
  <c r="D614" i="30" s="1"/>
  <c r="D615" i="30" s="1"/>
  <c r="D616" i="30" s="1"/>
  <c r="D619" i="30" s="1"/>
  <c r="D620" i="30" s="1"/>
  <c r="D621" i="30" s="1"/>
  <c r="D622" i="30" s="1"/>
  <c r="D623" i="30" s="1"/>
  <c r="D624" i="30" s="1"/>
  <c r="D625" i="30" s="1"/>
  <c r="D626" i="30" s="1"/>
  <c r="D627" i="30" s="1"/>
  <c r="D628" i="30" s="1"/>
  <c r="D629" i="30" s="1"/>
  <c r="D630" i="30" s="1"/>
  <c r="D631" i="30" s="1"/>
  <c r="D632" i="30" s="1"/>
  <c r="D633" i="30" s="1"/>
  <c r="D634" i="30" s="1"/>
  <c r="O204" i="30"/>
  <c r="O582" i="30"/>
  <c r="O420" i="30"/>
  <c r="O564" i="30"/>
  <c r="O312" i="30"/>
  <c r="O186" i="30"/>
  <c r="O150" i="30"/>
  <c r="O546" i="30"/>
  <c r="O330" i="30"/>
  <c r="O168" i="30"/>
  <c r="O60" i="30"/>
  <c r="O384" i="30"/>
  <c r="O402" i="30"/>
  <c r="O78" i="30"/>
  <c r="O258" i="30"/>
  <c r="C330" i="30"/>
  <c r="O132" i="30"/>
  <c r="O294" i="30"/>
  <c r="O438" i="30"/>
  <c r="O276" i="30"/>
  <c r="U510" i="30" l="1"/>
  <c r="V510" i="30"/>
  <c r="I528" i="30" l="1"/>
  <c r="J510" i="30"/>
  <c r="K456" i="30"/>
  <c r="I510" i="30"/>
  <c r="J456" i="30"/>
  <c r="I456" i="30"/>
  <c r="K528" i="30"/>
  <c r="J528" i="30"/>
  <c r="K510" i="30"/>
  <c r="C456" i="30" l="1"/>
  <c r="O456" i="30"/>
  <c r="O510" i="30"/>
  <c r="C582" i="30"/>
  <c r="O528" i="30"/>
  <c r="M1058" i="1" l="1"/>
  <c r="N1058" i="1"/>
  <c r="O1058" i="1"/>
  <c r="P1058" i="1"/>
  <c r="Q1058" i="1"/>
  <c r="R1058" i="1"/>
  <c r="S1058" i="1"/>
  <c r="M1022" i="1"/>
  <c r="N1022" i="1"/>
  <c r="O1022" i="1"/>
  <c r="P1022" i="1"/>
  <c r="Q1022" i="1"/>
  <c r="R1022" i="1"/>
  <c r="S1022" i="1"/>
  <c r="M1057" i="1"/>
  <c r="N1057" i="1"/>
  <c r="O1057" i="1"/>
  <c r="P1057" i="1"/>
  <c r="Q1057" i="1"/>
  <c r="R1057" i="1"/>
  <c r="S1057" i="1"/>
  <c r="M1031" i="1"/>
  <c r="N1031" i="1"/>
  <c r="O1031" i="1"/>
  <c r="P1031" i="1"/>
  <c r="Q1031" i="1"/>
  <c r="R1031" i="1"/>
  <c r="S1031" i="1"/>
  <c r="M1059" i="1"/>
  <c r="N1059" i="1"/>
  <c r="O1059" i="1"/>
  <c r="P1059" i="1"/>
  <c r="Q1059" i="1"/>
  <c r="R1059" i="1"/>
  <c r="S1059" i="1"/>
  <c r="D1031" i="1" a="1"/>
  <c r="D1058" i="1" a="1"/>
  <c r="D1057" i="1" a="1"/>
  <c r="D1022" i="1" a="1"/>
  <c r="D1059" i="1" a="1"/>
  <c r="S963" i="1" l="1"/>
  <c r="R963" i="1"/>
  <c r="Q963" i="1"/>
  <c r="P963" i="1"/>
  <c r="O963" i="1"/>
  <c r="N963" i="1"/>
  <c r="M963" i="1"/>
  <c r="S972" i="1"/>
  <c r="R972" i="1"/>
  <c r="Q972" i="1"/>
  <c r="P972" i="1"/>
  <c r="O972" i="1"/>
  <c r="N972" i="1"/>
  <c r="M972" i="1"/>
  <c r="D963" i="1" a="1"/>
  <c r="D972" i="1" a="1"/>
  <c r="T3209" i="21" l="1" a="1"/>
  <c r="T3208" i="21" a="1"/>
  <c r="T3207" i="21" a="1"/>
  <c r="T3206" i="21" a="1"/>
  <c r="T3205" i="21" a="1"/>
  <c r="T3204" i="21" a="1"/>
  <c r="T3203" i="21" a="1"/>
  <c r="T3202" i="21" a="1"/>
  <c r="T3201" i="21" a="1"/>
  <c r="T3200" i="21" a="1"/>
  <c r="T3199" i="21" a="1"/>
  <c r="T3198" i="21" a="1"/>
  <c r="T3197" i="21" a="1"/>
  <c r="T3196" i="21" a="1"/>
  <c r="D3197" i="21"/>
  <c r="D3198" i="21" s="1"/>
  <c r="D3199" i="21" s="1"/>
  <c r="D3200" i="21" s="1"/>
  <c r="D3201" i="21" s="1"/>
  <c r="D3202" i="21" s="1"/>
  <c r="D3203" i="21" s="1"/>
  <c r="D3204" i="21" s="1"/>
  <c r="D3205" i="21" s="1"/>
  <c r="D3206" i="21" s="1"/>
  <c r="D3207" i="21" s="1"/>
  <c r="D3208" i="21" s="1"/>
  <c r="D3209" i="21" s="1"/>
  <c r="D3210" i="21" s="1"/>
  <c r="D3211" i="21" s="1"/>
  <c r="D3214" i="21" s="1"/>
  <c r="D3215" i="21" s="1"/>
  <c r="D3216" i="21" s="1"/>
  <c r="D3217" i="21" s="1"/>
  <c r="D3218" i="21" s="1"/>
  <c r="D3219" i="21" s="1"/>
  <c r="D3220" i="21" s="1"/>
  <c r="D3221" i="21" s="1"/>
  <c r="D3222" i="21" s="1"/>
  <c r="D3223" i="21" s="1"/>
  <c r="D3224" i="21" s="1"/>
  <c r="D3225" i="21" s="1"/>
  <c r="D3226" i="21" s="1"/>
  <c r="D3227" i="21" s="1"/>
  <c r="D3228" i="21" s="1"/>
  <c r="D3229" i="21" s="1"/>
  <c r="D3232" i="21" s="1"/>
  <c r="D3233" i="21" s="1"/>
  <c r="D3234" i="21" s="1"/>
  <c r="D3235" i="21" s="1"/>
  <c r="D3236" i="21" s="1"/>
  <c r="D3237" i="21" s="1"/>
  <c r="D3238" i="21" s="1"/>
  <c r="D3239" i="21" s="1"/>
  <c r="D3240" i="21" s="1"/>
  <c r="D3241" i="21" s="1"/>
  <c r="D3242" i="21" s="1"/>
  <c r="D3243" i="21" s="1"/>
  <c r="D3244" i="21" s="1"/>
  <c r="D3245" i="21" s="1"/>
  <c r="D3246" i="21" s="1"/>
  <c r="D3247" i="21" s="1"/>
  <c r="D3250" i="21" s="1"/>
  <c r="D3251" i="21" s="1"/>
  <c r="D3252" i="21" s="1"/>
  <c r="D3253" i="21" s="1"/>
  <c r="D3254" i="21" s="1"/>
  <c r="D3255" i="21" s="1"/>
  <c r="D3256" i="21" s="1"/>
  <c r="D3257" i="21" s="1"/>
  <c r="D3258" i="21" s="1"/>
  <c r="D3259" i="21" s="1"/>
  <c r="D3260" i="21" s="1"/>
  <c r="D3261" i="21" s="1"/>
  <c r="D3262" i="21" s="1"/>
  <c r="D3263" i="21" s="1"/>
  <c r="D3264" i="21" s="1"/>
  <c r="D3265" i="21" s="1"/>
  <c r="D3268" i="21" s="1"/>
  <c r="V3210" i="21"/>
  <c r="D3269" i="21" l="1"/>
  <c r="D3270" i="21" s="1"/>
  <c r="D3271" i="21" s="1"/>
  <c r="D3272" i="21" s="1"/>
  <c r="D3273" i="21" s="1"/>
  <c r="D3274" i="21" s="1"/>
  <c r="D3275" i="21" s="1"/>
  <c r="D3276" i="21" s="1"/>
  <c r="D3277" i="21" s="1"/>
  <c r="D3278" i="21" s="1"/>
  <c r="D3279" i="21" s="1"/>
  <c r="D3280" i="21" s="1"/>
  <c r="D3281" i="21" s="1"/>
  <c r="D3282" i="21" s="1"/>
  <c r="D3283" i="21" s="1"/>
  <c r="V3195" i="21"/>
  <c r="U3195" i="21"/>
  <c r="M1912" i="1" l="1"/>
  <c r="N1912" i="1"/>
  <c r="O1912" i="1"/>
  <c r="P1912" i="1"/>
  <c r="Q1912" i="1"/>
  <c r="R1912" i="1"/>
  <c r="S1912" i="1"/>
  <c r="M1913" i="1"/>
  <c r="N1913" i="1"/>
  <c r="O1913" i="1"/>
  <c r="P1913" i="1"/>
  <c r="Q1913" i="1"/>
  <c r="R1913" i="1"/>
  <c r="S1913" i="1"/>
  <c r="M1914" i="1"/>
  <c r="N1914" i="1"/>
  <c r="O1914" i="1"/>
  <c r="P1914" i="1"/>
  <c r="Q1914" i="1"/>
  <c r="R1914" i="1"/>
  <c r="S1914" i="1"/>
  <c r="M1915" i="1"/>
  <c r="N1915" i="1"/>
  <c r="O1915" i="1"/>
  <c r="P1915" i="1"/>
  <c r="Q1915" i="1"/>
  <c r="R1915" i="1"/>
  <c r="S1915" i="1"/>
  <c r="M1916" i="1"/>
  <c r="N1916" i="1"/>
  <c r="O1916" i="1"/>
  <c r="P1916" i="1"/>
  <c r="Q1916" i="1"/>
  <c r="R1916" i="1"/>
  <c r="S1916" i="1"/>
  <c r="M1917" i="1"/>
  <c r="N1917" i="1"/>
  <c r="O1917" i="1"/>
  <c r="P1917" i="1"/>
  <c r="Q1917" i="1"/>
  <c r="R1917" i="1"/>
  <c r="S1917" i="1"/>
  <c r="M1918" i="1"/>
  <c r="N1918" i="1"/>
  <c r="O1918" i="1"/>
  <c r="P1918" i="1"/>
  <c r="Q1918" i="1"/>
  <c r="R1918" i="1"/>
  <c r="S1918" i="1"/>
  <c r="M1919" i="1"/>
  <c r="N1919" i="1"/>
  <c r="O1919" i="1"/>
  <c r="P1919" i="1"/>
  <c r="Q1919" i="1"/>
  <c r="R1919" i="1"/>
  <c r="S1919" i="1"/>
  <c r="M1920" i="1"/>
  <c r="N1920" i="1"/>
  <c r="O1920" i="1"/>
  <c r="P1920" i="1"/>
  <c r="Q1920" i="1"/>
  <c r="R1920" i="1"/>
  <c r="S1920" i="1"/>
  <c r="M1921" i="1"/>
  <c r="N1921" i="1"/>
  <c r="O1921" i="1"/>
  <c r="P1921" i="1"/>
  <c r="Q1921" i="1"/>
  <c r="R1921" i="1"/>
  <c r="S1921" i="1"/>
  <c r="M1922" i="1"/>
  <c r="N1922" i="1"/>
  <c r="O1922" i="1"/>
  <c r="P1922" i="1"/>
  <c r="Q1922" i="1"/>
  <c r="R1922" i="1"/>
  <c r="S1922" i="1"/>
  <c r="M1923" i="1"/>
  <c r="N1923" i="1"/>
  <c r="O1923" i="1"/>
  <c r="P1923" i="1"/>
  <c r="Q1923" i="1"/>
  <c r="R1923" i="1"/>
  <c r="S1923" i="1"/>
  <c r="M1924" i="1"/>
  <c r="N1924" i="1"/>
  <c r="O1924" i="1"/>
  <c r="P1924" i="1"/>
  <c r="Q1924" i="1"/>
  <c r="R1924" i="1"/>
  <c r="S1924" i="1"/>
  <c r="M1925" i="1"/>
  <c r="N1925" i="1"/>
  <c r="O1925" i="1"/>
  <c r="P1925" i="1"/>
  <c r="Q1925" i="1"/>
  <c r="R1925" i="1"/>
  <c r="S1925" i="1"/>
  <c r="M1926" i="1"/>
  <c r="N1926" i="1"/>
  <c r="O1926" i="1"/>
  <c r="P1926" i="1"/>
  <c r="Q1926" i="1"/>
  <c r="R1926" i="1"/>
  <c r="S1926" i="1"/>
  <c r="M1927" i="1"/>
  <c r="N1927" i="1"/>
  <c r="O1927" i="1"/>
  <c r="P1927" i="1"/>
  <c r="Q1927" i="1"/>
  <c r="R1927" i="1"/>
  <c r="S1927" i="1"/>
  <c r="M1928" i="1"/>
  <c r="N1928" i="1"/>
  <c r="O1928" i="1"/>
  <c r="P1928" i="1"/>
  <c r="Q1928" i="1"/>
  <c r="R1928" i="1"/>
  <c r="S1928" i="1"/>
  <c r="M1929" i="1"/>
  <c r="N1929" i="1"/>
  <c r="O1929" i="1"/>
  <c r="P1929" i="1"/>
  <c r="Q1929" i="1"/>
  <c r="R1929" i="1"/>
  <c r="S1929" i="1"/>
  <c r="M1930" i="1"/>
  <c r="N1930" i="1"/>
  <c r="O1930" i="1"/>
  <c r="P1930" i="1"/>
  <c r="Q1930" i="1"/>
  <c r="R1930" i="1"/>
  <c r="S1930" i="1"/>
  <c r="M1931" i="1"/>
  <c r="N1931" i="1"/>
  <c r="O1931" i="1"/>
  <c r="P1931" i="1"/>
  <c r="Q1931" i="1"/>
  <c r="R1931" i="1"/>
  <c r="S1931" i="1"/>
  <c r="M1932" i="1"/>
  <c r="N1932" i="1"/>
  <c r="O1932" i="1"/>
  <c r="P1932" i="1"/>
  <c r="Q1932" i="1"/>
  <c r="R1932" i="1"/>
  <c r="S1932" i="1"/>
  <c r="M1933" i="1"/>
  <c r="N1933" i="1"/>
  <c r="O1933" i="1"/>
  <c r="P1933" i="1"/>
  <c r="Q1933" i="1"/>
  <c r="R1933" i="1"/>
  <c r="S1933" i="1"/>
  <c r="M1934" i="1"/>
  <c r="N1934" i="1"/>
  <c r="O1934" i="1"/>
  <c r="P1934" i="1"/>
  <c r="Q1934" i="1"/>
  <c r="R1934" i="1"/>
  <c r="S1934" i="1"/>
  <c r="M1935" i="1"/>
  <c r="N1935" i="1"/>
  <c r="O1935" i="1"/>
  <c r="P1935" i="1"/>
  <c r="Q1935" i="1"/>
  <c r="R1935" i="1"/>
  <c r="S1935" i="1"/>
  <c r="M1936" i="1"/>
  <c r="N1936" i="1"/>
  <c r="O1936" i="1"/>
  <c r="P1936" i="1"/>
  <c r="Q1936" i="1"/>
  <c r="R1936" i="1"/>
  <c r="S1936" i="1"/>
  <c r="M1937" i="1"/>
  <c r="N1937" i="1"/>
  <c r="O1937" i="1"/>
  <c r="P1937" i="1"/>
  <c r="Q1937" i="1"/>
  <c r="R1937" i="1"/>
  <c r="S1937" i="1"/>
  <c r="M1938" i="1"/>
  <c r="N1938" i="1"/>
  <c r="O1938" i="1"/>
  <c r="P1938" i="1"/>
  <c r="Q1938" i="1"/>
  <c r="R1938" i="1"/>
  <c r="S1938" i="1"/>
  <c r="M1939" i="1"/>
  <c r="N1939" i="1"/>
  <c r="O1939" i="1"/>
  <c r="P1939" i="1"/>
  <c r="Q1939" i="1"/>
  <c r="R1939" i="1"/>
  <c r="S1939" i="1"/>
  <c r="M1940" i="1"/>
  <c r="N1940" i="1"/>
  <c r="O1940" i="1"/>
  <c r="P1940" i="1"/>
  <c r="Q1940" i="1"/>
  <c r="R1940" i="1"/>
  <c r="S1940" i="1"/>
  <c r="M1941" i="1"/>
  <c r="N1941" i="1"/>
  <c r="O1941" i="1"/>
  <c r="P1941" i="1"/>
  <c r="Q1941" i="1"/>
  <c r="R1941" i="1"/>
  <c r="S1941" i="1"/>
  <c r="M1942" i="1"/>
  <c r="N1942" i="1"/>
  <c r="O1942" i="1"/>
  <c r="P1942" i="1"/>
  <c r="Q1942" i="1"/>
  <c r="R1942" i="1"/>
  <c r="S1942" i="1"/>
  <c r="M1943" i="1"/>
  <c r="N1943" i="1"/>
  <c r="O1943" i="1"/>
  <c r="P1943" i="1"/>
  <c r="Q1943" i="1"/>
  <c r="R1943" i="1"/>
  <c r="S1943" i="1"/>
  <c r="M1944" i="1"/>
  <c r="N1944" i="1"/>
  <c r="O1944" i="1"/>
  <c r="P1944" i="1"/>
  <c r="Q1944" i="1"/>
  <c r="R1944" i="1"/>
  <c r="S1944" i="1"/>
  <c r="M1945" i="1"/>
  <c r="N1945" i="1"/>
  <c r="O1945" i="1"/>
  <c r="P1945" i="1"/>
  <c r="Q1945" i="1"/>
  <c r="R1945" i="1"/>
  <c r="S1945" i="1"/>
  <c r="M1946" i="1"/>
  <c r="N1946" i="1"/>
  <c r="O1946" i="1"/>
  <c r="P1946" i="1"/>
  <c r="Q1946" i="1"/>
  <c r="R1946" i="1"/>
  <c r="S1946" i="1"/>
  <c r="M1947" i="1"/>
  <c r="N1947" i="1"/>
  <c r="O1947" i="1"/>
  <c r="P1947" i="1"/>
  <c r="Q1947" i="1"/>
  <c r="R1947" i="1"/>
  <c r="S1947" i="1"/>
  <c r="M1948" i="1"/>
  <c r="N1948" i="1"/>
  <c r="O1948" i="1"/>
  <c r="P1948" i="1"/>
  <c r="Q1948" i="1"/>
  <c r="R1948" i="1"/>
  <c r="S1948" i="1"/>
  <c r="M1949" i="1"/>
  <c r="N1949" i="1"/>
  <c r="O1949" i="1"/>
  <c r="P1949" i="1"/>
  <c r="Q1949" i="1"/>
  <c r="R1949" i="1"/>
  <c r="S1949" i="1"/>
  <c r="M1950" i="1"/>
  <c r="N1950" i="1"/>
  <c r="O1950" i="1"/>
  <c r="P1950" i="1"/>
  <c r="Q1950" i="1"/>
  <c r="R1950" i="1"/>
  <c r="S1950" i="1"/>
  <c r="M1951" i="1"/>
  <c r="N1951" i="1"/>
  <c r="O1951" i="1"/>
  <c r="P1951" i="1"/>
  <c r="Q1951" i="1"/>
  <c r="R1951" i="1"/>
  <c r="S1951" i="1"/>
  <c r="M1952" i="1"/>
  <c r="N1952" i="1"/>
  <c r="O1952" i="1"/>
  <c r="P1952" i="1"/>
  <c r="Q1952" i="1"/>
  <c r="R1952" i="1"/>
  <c r="S1952" i="1"/>
  <c r="M1953" i="1"/>
  <c r="N1953" i="1"/>
  <c r="O1953" i="1"/>
  <c r="P1953" i="1"/>
  <c r="Q1953" i="1"/>
  <c r="R1953" i="1"/>
  <c r="S1953" i="1"/>
  <c r="M1954" i="1"/>
  <c r="N1954" i="1"/>
  <c r="O1954" i="1"/>
  <c r="P1954" i="1"/>
  <c r="Q1954" i="1"/>
  <c r="R1954" i="1"/>
  <c r="S1954" i="1"/>
  <c r="M1955" i="1"/>
  <c r="N1955" i="1"/>
  <c r="O1955" i="1"/>
  <c r="P1955" i="1"/>
  <c r="Q1955" i="1"/>
  <c r="R1955" i="1"/>
  <c r="S1955" i="1"/>
  <c r="M1956" i="1"/>
  <c r="N1956" i="1"/>
  <c r="O1956" i="1"/>
  <c r="P1956" i="1"/>
  <c r="Q1956" i="1"/>
  <c r="R1956" i="1"/>
  <c r="S1956" i="1"/>
  <c r="M1957" i="1"/>
  <c r="N1957" i="1"/>
  <c r="O1957" i="1"/>
  <c r="P1957" i="1"/>
  <c r="Q1957" i="1"/>
  <c r="R1957" i="1"/>
  <c r="S1957" i="1"/>
  <c r="M1958" i="1"/>
  <c r="N1958" i="1"/>
  <c r="O1958" i="1"/>
  <c r="P1958" i="1"/>
  <c r="Q1958" i="1"/>
  <c r="R1958" i="1"/>
  <c r="S1958" i="1"/>
  <c r="M1959" i="1"/>
  <c r="N1959" i="1"/>
  <c r="O1959" i="1"/>
  <c r="P1959" i="1"/>
  <c r="Q1959" i="1"/>
  <c r="R1959" i="1"/>
  <c r="S1959" i="1"/>
  <c r="M1960" i="1"/>
  <c r="N1960" i="1"/>
  <c r="O1960" i="1"/>
  <c r="P1960" i="1"/>
  <c r="Q1960" i="1"/>
  <c r="R1960" i="1"/>
  <c r="S1960" i="1"/>
  <c r="M1961" i="1"/>
  <c r="N1961" i="1"/>
  <c r="O1961" i="1"/>
  <c r="P1961" i="1"/>
  <c r="Q1961" i="1"/>
  <c r="R1961" i="1"/>
  <c r="S1961" i="1"/>
  <c r="M1962" i="1"/>
  <c r="N1962" i="1"/>
  <c r="O1962" i="1"/>
  <c r="P1962" i="1"/>
  <c r="Q1962" i="1"/>
  <c r="R1962" i="1"/>
  <c r="S1962" i="1"/>
  <c r="M1963" i="1"/>
  <c r="N1963" i="1"/>
  <c r="O1963" i="1"/>
  <c r="P1963" i="1"/>
  <c r="Q1963" i="1"/>
  <c r="R1963" i="1"/>
  <c r="S1963" i="1"/>
  <c r="M1964" i="1"/>
  <c r="N1964" i="1"/>
  <c r="O1964" i="1"/>
  <c r="P1964" i="1"/>
  <c r="Q1964" i="1"/>
  <c r="R1964" i="1"/>
  <c r="S1964" i="1"/>
  <c r="M1965" i="1"/>
  <c r="N1965" i="1"/>
  <c r="O1965" i="1"/>
  <c r="P1965" i="1"/>
  <c r="Q1965" i="1"/>
  <c r="R1965" i="1"/>
  <c r="S1965" i="1"/>
  <c r="M1966" i="1"/>
  <c r="N1966" i="1"/>
  <c r="O1966" i="1"/>
  <c r="P1966" i="1"/>
  <c r="Q1966" i="1"/>
  <c r="R1966" i="1"/>
  <c r="S1966" i="1"/>
  <c r="M1967" i="1"/>
  <c r="N1967" i="1"/>
  <c r="O1967" i="1"/>
  <c r="P1967" i="1"/>
  <c r="Q1967" i="1"/>
  <c r="R1967" i="1"/>
  <c r="S1967" i="1"/>
  <c r="M1968" i="1"/>
  <c r="N1968" i="1"/>
  <c r="O1968" i="1"/>
  <c r="P1968" i="1"/>
  <c r="Q1968" i="1"/>
  <c r="R1968" i="1"/>
  <c r="S1968" i="1"/>
  <c r="M1969" i="1"/>
  <c r="N1969" i="1"/>
  <c r="O1969" i="1"/>
  <c r="P1969" i="1"/>
  <c r="Q1969" i="1"/>
  <c r="R1969" i="1"/>
  <c r="S1969" i="1"/>
  <c r="M1970" i="1"/>
  <c r="N1970" i="1"/>
  <c r="O1970" i="1"/>
  <c r="P1970" i="1"/>
  <c r="Q1970" i="1"/>
  <c r="R1970" i="1"/>
  <c r="S1970" i="1"/>
  <c r="M1971" i="1"/>
  <c r="N1971" i="1"/>
  <c r="O1971" i="1"/>
  <c r="P1971" i="1"/>
  <c r="Q1971" i="1"/>
  <c r="R1971" i="1"/>
  <c r="S1971" i="1"/>
  <c r="M1972" i="1"/>
  <c r="N1972" i="1"/>
  <c r="O1972" i="1"/>
  <c r="P1972" i="1"/>
  <c r="Q1972" i="1"/>
  <c r="R1972" i="1"/>
  <c r="S1972" i="1"/>
  <c r="M1973" i="1"/>
  <c r="N1973" i="1"/>
  <c r="O1973" i="1"/>
  <c r="P1973" i="1"/>
  <c r="Q1973" i="1"/>
  <c r="R1973" i="1"/>
  <c r="S1973" i="1"/>
  <c r="M1974" i="1"/>
  <c r="N1974" i="1"/>
  <c r="O1974" i="1"/>
  <c r="P1974" i="1"/>
  <c r="Q1974" i="1"/>
  <c r="R1974" i="1"/>
  <c r="S1974" i="1"/>
  <c r="M1975" i="1"/>
  <c r="N1975" i="1"/>
  <c r="O1975" i="1"/>
  <c r="P1975" i="1"/>
  <c r="Q1975" i="1"/>
  <c r="R1975" i="1"/>
  <c r="S1975" i="1"/>
  <c r="M1976" i="1"/>
  <c r="N1976" i="1"/>
  <c r="O1976" i="1"/>
  <c r="P1976" i="1"/>
  <c r="Q1976" i="1"/>
  <c r="R1976" i="1"/>
  <c r="S1976" i="1"/>
  <c r="M1977" i="1"/>
  <c r="N1977" i="1"/>
  <c r="O1977" i="1"/>
  <c r="P1977" i="1"/>
  <c r="Q1977" i="1"/>
  <c r="R1977" i="1"/>
  <c r="S1977" i="1"/>
  <c r="M1978" i="1"/>
  <c r="N1978" i="1"/>
  <c r="O1978" i="1"/>
  <c r="P1978" i="1"/>
  <c r="Q1978" i="1"/>
  <c r="R1978" i="1"/>
  <c r="S1978" i="1"/>
  <c r="M1979" i="1"/>
  <c r="N1979" i="1"/>
  <c r="O1979" i="1"/>
  <c r="P1979" i="1"/>
  <c r="Q1979" i="1"/>
  <c r="R1979" i="1"/>
  <c r="S1979" i="1"/>
  <c r="M1980" i="1"/>
  <c r="N1980" i="1"/>
  <c r="O1980" i="1"/>
  <c r="P1980" i="1"/>
  <c r="Q1980" i="1"/>
  <c r="R1980" i="1"/>
  <c r="S1980" i="1"/>
  <c r="M1981" i="1"/>
  <c r="N1981" i="1"/>
  <c r="O1981" i="1"/>
  <c r="P1981" i="1"/>
  <c r="Q1981" i="1"/>
  <c r="R1981" i="1"/>
  <c r="S1981" i="1"/>
  <c r="M1982" i="1"/>
  <c r="N1982" i="1"/>
  <c r="O1982" i="1"/>
  <c r="P1982" i="1"/>
  <c r="Q1982" i="1"/>
  <c r="R1982" i="1"/>
  <c r="S1982" i="1"/>
  <c r="M1983" i="1"/>
  <c r="N1983" i="1"/>
  <c r="O1983" i="1"/>
  <c r="P1983" i="1"/>
  <c r="Q1983" i="1"/>
  <c r="R1983" i="1"/>
  <c r="S1983" i="1"/>
  <c r="M1984" i="1"/>
  <c r="N1984" i="1"/>
  <c r="O1984" i="1"/>
  <c r="P1984" i="1"/>
  <c r="Q1984" i="1"/>
  <c r="R1984" i="1"/>
  <c r="S1984" i="1"/>
  <c r="M1985" i="1"/>
  <c r="N1985" i="1"/>
  <c r="O1985" i="1"/>
  <c r="P1985" i="1"/>
  <c r="Q1985" i="1"/>
  <c r="R1985" i="1"/>
  <c r="S1985" i="1"/>
  <c r="M1986" i="1"/>
  <c r="N1986" i="1"/>
  <c r="O1986" i="1"/>
  <c r="P1986" i="1"/>
  <c r="Q1986" i="1"/>
  <c r="R1986" i="1"/>
  <c r="S1986" i="1"/>
  <c r="M1987" i="1"/>
  <c r="N1987" i="1"/>
  <c r="O1987" i="1"/>
  <c r="P1987" i="1"/>
  <c r="Q1987" i="1"/>
  <c r="R1987" i="1"/>
  <c r="S1987" i="1"/>
  <c r="M1988" i="1"/>
  <c r="N1988" i="1"/>
  <c r="O1988" i="1"/>
  <c r="P1988" i="1"/>
  <c r="Q1988" i="1"/>
  <c r="R1988" i="1"/>
  <c r="S1988" i="1"/>
  <c r="M1989" i="1"/>
  <c r="N1989" i="1"/>
  <c r="O1989" i="1"/>
  <c r="P1989" i="1"/>
  <c r="Q1989" i="1"/>
  <c r="R1989" i="1"/>
  <c r="S1989" i="1"/>
  <c r="M1990" i="1"/>
  <c r="N1990" i="1"/>
  <c r="O1990" i="1"/>
  <c r="P1990" i="1"/>
  <c r="Q1990" i="1"/>
  <c r="R1990" i="1"/>
  <c r="S1990" i="1"/>
  <c r="M1991" i="1"/>
  <c r="N1991" i="1"/>
  <c r="O1991" i="1"/>
  <c r="P1991" i="1"/>
  <c r="Q1991" i="1"/>
  <c r="R1991" i="1"/>
  <c r="S1991" i="1"/>
  <c r="M1992" i="1"/>
  <c r="N1992" i="1"/>
  <c r="O1992" i="1"/>
  <c r="P1992" i="1"/>
  <c r="Q1992" i="1"/>
  <c r="R1992" i="1"/>
  <c r="S1992" i="1"/>
  <c r="M1993" i="1"/>
  <c r="N1993" i="1"/>
  <c r="O1993" i="1"/>
  <c r="P1993" i="1"/>
  <c r="Q1993" i="1"/>
  <c r="R1993" i="1"/>
  <c r="S1993" i="1"/>
  <c r="M1994" i="1"/>
  <c r="N1994" i="1"/>
  <c r="O1994" i="1"/>
  <c r="P1994" i="1"/>
  <c r="Q1994" i="1"/>
  <c r="R1994" i="1"/>
  <c r="S1994" i="1"/>
  <c r="M1995" i="1"/>
  <c r="N1995" i="1"/>
  <c r="O1995" i="1"/>
  <c r="P1995" i="1"/>
  <c r="Q1995" i="1"/>
  <c r="R1995" i="1"/>
  <c r="S1995" i="1"/>
  <c r="M1996" i="1"/>
  <c r="N1996" i="1"/>
  <c r="O1996" i="1"/>
  <c r="P1996" i="1"/>
  <c r="Q1996" i="1"/>
  <c r="R1996" i="1"/>
  <c r="S1996" i="1"/>
  <c r="M1997" i="1"/>
  <c r="N1997" i="1"/>
  <c r="O1997" i="1"/>
  <c r="P1997" i="1"/>
  <c r="Q1997" i="1"/>
  <c r="R1997" i="1"/>
  <c r="S1997" i="1"/>
  <c r="M1998" i="1"/>
  <c r="N1998" i="1"/>
  <c r="O1998" i="1"/>
  <c r="P1998" i="1"/>
  <c r="Q1998" i="1"/>
  <c r="R1998" i="1"/>
  <c r="S1998" i="1"/>
  <c r="M1999" i="1"/>
  <c r="N1999" i="1"/>
  <c r="O1999" i="1"/>
  <c r="P1999" i="1"/>
  <c r="Q1999" i="1"/>
  <c r="R1999" i="1"/>
  <c r="S1999" i="1"/>
  <c r="M2000" i="1"/>
  <c r="N2000" i="1"/>
  <c r="O2000" i="1"/>
  <c r="P2000" i="1"/>
  <c r="Q2000" i="1"/>
  <c r="R2000" i="1"/>
  <c r="S2000" i="1"/>
  <c r="M2001" i="1"/>
  <c r="N2001" i="1"/>
  <c r="O2001" i="1"/>
  <c r="P2001" i="1"/>
  <c r="Q2001" i="1"/>
  <c r="R2001" i="1"/>
  <c r="S2001" i="1"/>
  <c r="M2002" i="1"/>
  <c r="N2002" i="1"/>
  <c r="O2002" i="1"/>
  <c r="P2002" i="1"/>
  <c r="Q2002" i="1"/>
  <c r="R2002" i="1"/>
  <c r="S2002" i="1"/>
  <c r="M2003" i="1"/>
  <c r="N2003" i="1"/>
  <c r="O2003" i="1"/>
  <c r="P2003" i="1"/>
  <c r="Q2003" i="1"/>
  <c r="R2003" i="1"/>
  <c r="S2003" i="1"/>
  <c r="M2004" i="1"/>
  <c r="N2004" i="1"/>
  <c r="O2004" i="1"/>
  <c r="P2004" i="1"/>
  <c r="Q2004" i="1"/>
  <c r="R2004" i="1"/>
  <c r="S2004" i="1"/>
  <c r="M2005" i="1"/>
  <c r="N2005" i="1"/>
  <c r="O2005" i="1"/>
  <c r="P2005" i="1"/>
  <c r="Q2005" i="1"/>
  <c r="R2005" i="1"/>
  <c r="S2005" i="1"/>
  <c r="M2006" i="1"/>
  <c r="N2006" i="1"/>
  <c r="O2006" i="1"/>
  <c r="P2006" i="1"/>
  <c r="Q2006" i="1"/>
  <c r="R2006" i="1"/>
  <c r="S2006" i="1"/>
  <c r="M2007" i="1"/>
  <c r="N2007" i="1"/>
  <c r="O2007" i="1"/>
  <c r="P2007" i="1"/>
  <c r="Q2007" i="1"/>
  <c r="R2007" i="1"/>
  <c r="S2007" i="1"/>
  <c r="M2008" i="1"/>
  <c r="N2008" i="1"/>
  <c r="O2008" i="1"/>
  <c r="P2008" i="1"/>
  <c r="Q2008" i="1"/>
  <c r="R2008" i="1"/>
  <c r="S2008" i="1"/>
  <c r="M2009" i="1"/>
  <c r="N2009" i="1"/>
  <c r="O2009" i="1"/>
  <c r="P2009" i="1"/>
  <c r="Q2009" i="1"/>
  <c r="R2009" i="1"/>
  <c r="S2009" i="1"/>
  <c r="M2010" i="1"/>
  <c r="N2010" i="1"/>
  <c r="O2010" i="1"/>
  <c r="P2010" i="1"/>
  <c r="Q2010" i="1"/>
  <c r="R2010" i="1"/>
  <c r="S2010" i="1"/>
  <c r="M2011" i="1"/>
  <c r="N2011" i="1"/>
  <c r="O2011" i="1"/>
  <c r="P2011" i="1"/>
  <c r="Q2011" i="1"/>
  <c r="R2011" i="1"/>
  <c r="S2011" i="1"/>
  <c r="M2012" i="1"/>
  <c r="N2012" i="1"/>
  <c r="O2012" i="1"/>
  <c r="P2012" i="1"/>
  <c r="Q2012" i="1"/>
  <c r="R2012" i="1"/>
  <c r="S2012" i="1"/>
  <c r="M2013" i="1"/>
  <c r="N2013" i="1"/>
  <c r="O2013" i="1"/>
  <c r="P2013" i="1"/>
  <c r="Q2013" i="1"/>
  <c r="R2013" i="1"/>
  <c r="S2013" i="1"/>
  <c r="M2014" i="1"/>
  <c r="N2014" i="1"/>
  <c r="O2014" i="1"/>
  <c r="P2014" i="1"/>
  <c r="Q2014" i="1"/>
  <c r="R2014" i="1"/>
  <c r="S2014" i="1"/>
  <c r="M2015" i="1"/>
  <c r="N2015" i="1"/>
  <c r="O2015" i="1"/>
  <c r="P2015" i="1"/>
  <c r="Q2015" i="1"/>
  <c r="R2015" i="1"/>
  <c r="S2015" i="1"/>
  <c r="M2016" i="1"/>
  <c r="N2016" i="1"/>
  <c r="O2016" i="1"/>
  <c r="P2016" i="1"/>
  <c r="Q2016" i="1"/>
  <c r="R2016" i="1"/>
  <c r="S2016" i="1"/>
  <c r="M2017" i="1"/>
  <c r="N2017" i="1"/>
  <c r="O2017" i="1"/>
  <c r="P2017" i="1"/>
  <c r="Q2017" i="1"/>
  <c r="R2017" i="1"/>
  <c r="S2017" i="1"/>
  <c r="M2018" i="1"/>
  <c r="N2018" i="1"/>
  <c r="O2018" i="1"/>
  <c r="P2018" i="1"/>
  <c r="Q2018" i="1"/>
  <c r="R2018" i="1"/>
  <c r="S2018" i="1"/>
  <c r="M2019" i="1"/>
  <c r="N2019" i="1"/>
  <c r="O2019" i="1"/>
  <c r="P2019" i="1"/>
  <c r="Q2019" i="1"/>
  <c r="R2019" i="1"/>
  <c r="S2019" i="1"/>
  <c r="M2020" i="1"/>
  <c r="N2020" i="1"/>
  <c r="O2020" i="1"/>
  <c r="P2020" i="1"/>
  <c r="Q2020" i="1"/>
  <c r="R2020" i="1"/>
  <c r="S2020" i="1"/>
  <c r="M2021" i="1"/>
  <c r="N2021" i="1"/>
  <c r="O2021" i="1"/>
  <c r="P2021" i="1"/>
  <c r="Q2021" i="1"/>
  <c r="R2021" i="1"/>
  <c r="S2021" i="1"/>
  <c r="M2022" i="1"/>
  <c r="N2022" i="1"/>
  <c r="O2022" i="1"/>
  <c r="P2022" i="1"/>
  <c r="Q2022" i="1"/>
  <c r="R2022" i="1"/>
  <c r="S2022" i="1"/>
  <c r="M2023" i="1"/>
  <c r="N2023" i="1"/>
  <c r="O2023" i="1"/>
  <c r="P2023" i="1"/>
  <c r="Q2023" i="1"/>
  <c r="R2023" i="1"/>
  <c r="S2023" i="1"/>
  <c r="M2024" i="1"/>
  <c r="N2024" i="1"/>
  <c r="O2024" i="1"/>
  <c r="P2024" i="1"/>
  <c r="Q2024" i="1"/>
  <c r="R2024" i="1"/>
  <c r="S2024" i="1"/>
  <c r="M2025" i="1"/>
  <c r="N2025" i="1"/>
  <c r="O2025" i="1"/>
  <c r="P2025" i="1"/>
  <c r="Q2025" i="1"/>
  <c r="R2025" i="1"/>
  <c r="S2025" i="1"/>
  <c r="M2026" i="1"/>
  <c r="N2026" i="1"/>
  <c r="O2026" i="1"/>
  <c r="P2026" i="1"/>
  <c r="Q2026" i="1"/>
  <c r="R2026" i="1"/>
  <c r="S2026" i="1"/>
  <c r="M2027" i="1"/>
  <c r="N2027" i="1"/>
  <c r="O2027" i="1"/>
  <c r="P2027" i="1"/>
  <c r="Q2027" i="1"/>
  <c r="R2027" i="1"/>
  <c r="S2027" i="1"/>
  <c r="M2028" i="1"/>
  <c r="N2028" i="1"/>
  <c r="O2028" i="1"/>
  <c r="P2028" i="1"/>
  <c r="Q2028" i="1"/>
  <c r="R2028" i="1"/>
  <c r="S2028" i="1"/>
  <c r="M2029" i="1"/>
  <c r="N2029" i="1"/>
  <c r="O2029" i="1"/>
  <c r="P2029" i="1"/>
  <c r="Q2029" i="1"/>
  <c r="R2029" i="1"/>
  <c r="S2029" i="1"/>
  <c r="M2030" i="1"/>
  <c r="N2030" i="1"/>
  <c r="O2030" i="1"/>
  <c r="P2030" i="1"/>
  <c r="Q2030" i="1"/>
  <c r="R2030" i="1"/>
  <c r="S2030" i="1"/>
  <c r="M2031" i="1"/>
  <c r="N2031" i="1"/>
  <c r="O2031" i="1"/>
  <c r="P2031" i="1"/>
  <c r="Q2031" i="1"/>
  <c r="R2031" i="1"/>
  <c r="S2031" i="1"/>
  <c r="M2032" i="1"/>
  <c r="N2032" i="1"/>
  <c r="O2032" i="1"/>
  <c r="P2032" i="1"/>
  <c r="Q2032" i="1"/>
  <c r="R2032" i="1"/>
  <c r="S2032" i="1"/>
  <c r="M2033" i="1"/>
  <c r="N2033" i="1"/>
  <c r="O2033" i="1"/>
  <c r="P2033" i="1"/>
  <c r="Q2033" i="1"/>
  <c r="R2033" i="1"/>
  <c r="S2033" i="1"/>
  <c r="M2034" i="1"/>
  <c r="N2034" i="1"/>
  <c r="O2034" i="1"/>
  <c r="P2034" i="1"/>
  <c r="Q2034" i="1"/>
  <c r="R2034" i="1"/>
  <c r="S2034" i="1"/>
  <c r="M2035" i="1"/>
  <c r="N2035" i="1"/>
  <c r="O2035" i="1"/>
  <c r="P2035" i="1"/>
  <c r="Q2035" i="1"/>
  <c r="R2035" i="1"/>
  <c r="S2035" i="1"/>
  <c r="M2036" i="1"/>
  <c r="N2036" i="1"/>
  <c r="O2036" i="1"/>
  <c r="P2036" i="1"/>
  <c r="Q2036" i="1"/>
  <c r="R2036" i="1"/>
  <c r="S2036" i="1"/>
  <c r="M2037" i="1"/>
  <c r="N2037" i="1"/>
  <c r="O2037" i="1"/>
  <c r="P2037" i="1"/>
  <c r="Q2037" i="1"/>
  <c r="R2037" i="1"/>
  <c r="S2037" i="1"/>
  <c r="M2038" i="1"/>
  <c r="N2038" i="1"/>
  <c r="O2038" i="1"/>
  <c r="P2038" i="1"/>
  <c r="Q2038" i="1"/>
  <c r="R2038" i="1"/>
  <c r="S2038" i="1"/>
  <c r="M2039" i="1"/>
  <c r="N2039" i="1"/>
  <c r="O2039" i="1"/>
  <c r="P2039" i="1"/>
  <c r="Q2039" i="1"/>
  <c r="R2039" i="1"/>
  <c r="S2039" i="1"/>
  <c r="M2040" i="1"/>
  <c r="N2040" i="1"/>
  <c r="O2040" i="1"/>
  <c r="P2040" i="1"/>
  <c r="Q2040" i="1"/>
  <c r="R2040" i="1"/>
  <c r="S2040" i="1"/>
  <c r="M2041" i="1"/>
  <c r="N2041" i="1"/>
  <c r="O2041" i="1"/>
  <c r="P2041" i="1"/>
  <c r="Q2041" i="1"/>
  <c r="R2041" i="1"/>
  <c r="S2041" i="1"/>
  <c r="M2042" i="1"/>
  <c r="N2042" i="1"/>
  <c r="O2042" i="1"/>
  <c r="P2042" i="1"/>
  <c r="Q2042" i="1"/>
  <c r="R2042" i="1"/>
  <c r="S2042" i="1"/>
  <c r="M2043" i="1"/>
  <c r="N2043" i="1"/>
  <c r="O2043" i="1"/>
  <c r="P2043" i="1"/>
  <c r="Q2043" i="1"/>
  <c r="R2043" i="1"/>
  <c r="S2043" i="1"/>
  <c r="M2044" i="1"/>
  <c r="N2044" i="1"/>
  <c r="O2044" i="1"/>
  <c r="P2044" i="1"/>
  <c r="Q2044" i="1"/>
  <c r="R2044" i="1"/>
  <c r="S2044" i="1"/>
  <c r="M2045" i="1"/>
  <c r="N2045" i="1"/>
  <c r="O2045" i="1"/>
  <c r="P2045" i="1"/>
  <c r="Q2045" i="1"/>
  <c r="R2045" i="1"/>
  <c r="S2045" i="1"/>
  <c r="M2046" i="1"/>
  <c r="N2046" i="1"/>
  <c r="O2046" i="1"/>
  <c r="P2046" i="1"/>
  <c r="Q2046" i="1"/>
  <c r="R2046" i="1"/>
  <c r="S2046" i="1"/>
  <c r="M2047" i="1"/>
  <c r="N2047" i="1"/>
  <c r="O2047" i="1"/>
  <c r="P2047" i="1"/>
  <c r="Q2047" i="1"/>
  <c r="R2047" i="1"/>
  <c r="S2047" i="1"/>
  <c r="M2048" i="1"/>
  <c r="N2048" i="1"/>
  <c r="O2048" i="1"/>
  <c r="P2048" i="1"/>
  <c r="Q2048" i="1"/>
  <c r="R2048" i="1"/>
  <c r="S2048" i="1"/>
  <c r="M2049" i="1"/>
  <c r="N2049" i="1"/>
  <c r="O2049" i="1"/>
  <c r="P2049" i="1"/>
  <c r="Q2049" i="1"/>
  <c r="R2049" i="1"/>
  <c r="S2049" i="1"/>
  <c r="M2050" i="1"/>
  <c r="N2050" i="1"/>
  <c r="O2050" i="1"/>
  <c r="P2050" i="1"/>
  <c r="Q2050" i="1"/>
  <c r="R2050" i="1"/>
  <c r="S2050" i="1"/>
  <c r="M2051" i="1"/>
  <c r="N2051" i="1"/>
  <c r="O2051" i="1"/>
  <c r="P2051" i="1"/>
  <c r="Q2051" i="1"/>
  <c r="R2051" i="1"/>
  <c r="S2051" i="1"/>
  <c r="M2052" i="1"/>
  <c r="N2052" i="1"/>
  <c r="O2052" i="1"/>
  <c r="P2052" i="1"/>
  <c r="Q2052" i="1"/>
  <c r="R2052" i="1"/>
  <c r="S2052" i="1"/>
  <c r="M2053" i="1"/>
  <c r="N2053" i="1"/>
  <c r="O2053" i="1"/>
  <c r="P2053" i="1"/>
  <c r="Q2053" i="1"/>
  <c r="R2053" i="1"/>
  <c r="S2053" i="1"/>
  <c r="M2054" i="1"/>
  <c r="N2054" i="1"/>
  <c r="O2054" i="1"/>
  <c r="P2054" i="1"/>
  <c r="Q2054" i="1"/>
  <c r="R2054" i="1"/>
  <c r="S2054" i="1"/>
  <c r="M2055" i="1"/>
  <c r="N2055" i="1"/>
  <c r="O2055" i="1"/>
  <c r="P2055" i="1"/>
  <c r="Q2055" i="1"/>
  <c r="R2055" i="1"/>
  <c r="S2055" i="1"/>
  <c r="M2056" i="1"/>
  <c r="N2056" i="1"/>
  <c r="O2056" i="1"/>
  <c r="P2056" i="1"/>
  <c r="Q2056" i="1"/>
  <c r="R2056" i="1"/>
  <c r="S2056" i="1"/>
  <c r="M2057" i="1"/>
  <c r="N2057" i="1"/>
  <c r="O2057" i="1"/>
  <c r="P2057" i="1"/>
  <c r="Q2057" i="1"/>
  <c r="R2057" i="1"/>
  <c r="S2057" i="1"/>
  <c r="M2058" i="1"/>
  <c r="N2058" i="1"/>
  <c r="O2058" i="1"/>
  <c r="P2058" i="1"/>
  <c r="Q2058" i="1"/>
  <c r="R2058" i="1"/>
  <c r="S2058" i="1"/>
  <c r="M2059" i="1"/>
  <c r="N2059" i="1"/>
  <c r="O2059" i="1"/>
  <c r="P2059" i="1"/>
  <c r="Q2059" i="1"/>
  <c r="R2059" i="1"/>
  <c r="S2059" i="1"/>
  <c r="M2060" i="1"/>
  <c r="N2060" i="1"/>
  <c r="O2060" i="1"/>
  <c r="P2060" i="1"/>
  <c r="Q2060" i="1"/>
  <c r="R2060" i="1"/>
  <c r="S2060" i="1"/>
  <c r="M2061" i="1"/>
  <c r="N2061" i="1"/>
  <c r="O2061" i="1"/>
  <c r="P2061" i="1"/>
  <c r="Q2061" i="1"/>
  <c r="R2061" i="1"/>
  <c r="S2061" i="1"/>
  <c r="M2062" i="1"/>
  <c r="N2062" i="1"/>
  <c r="O2062" i="1"/>
  <c r="P2062" i="1"/>
  <c r="Q2062" i="1"/>
  <c r="R2062" i="1"/>
  <c r="S2062" i="1"/>
  <c r="M2063" i="1"/>
  <c r="N2063" i="1"/>
  <c r="O2063" i="1"/>
  <c r="P2063" i="1"/>
  <c r="Q2063" i="1"/>
  <c r="R2063" i="1"/>
  <c r="S2063" i="1"/>
  <c r="M2064" i="1"/>
  <c r="N2064" i="1"/>
  <c r="O2064" i="1"/>
  <c r="P2064" i="1"/>
  <c r="Q2064" i="1"/>
  <c r="R2064" i="1"/>
  <c r="S2064" i="1"/>
  <c r="M2065" i="1"/>
  <c r="N2065" i="1"/>
  <c r="O2065" i="1"/>
  <c r="P2065" i="1"/>
  <c r="Q2065" i="1"/>
  <c r="R2065" i="1"/>
  <c r="S2065" i="1"/>
  <c r="M2066" i="1"/>
  <c r="N2066" i="1"/>
  <c r="O2066" i="1"/>
  <c r="P2066" i="1"/>
  <c r="Q2066" i="1"/>
  <c r="R2066" i="1"/>
  <c r="S2066" i="1"/>
  <c r="M2067" i="1"/>
  <c r="N2067" i="1"/>
  <c r="O2067" i="1"/>
  <c r="P2067" i="1"/>
  <c r="Q2067" i="1"/>
  <c r="R2067" i="1"/>
  <c r="S2067" i="1"/>
  <c r="M2068" i="1"/>
  <c r="N2068" i="1"/>
  <c r="O2068" i="1"/>
  <c r="P2068" i="1"/>
  <c r="Q2068" i="1"/>
  <c r="R2068" i="1"/>
  <c r="S2068" i="1"/>
  <c r="M2069" i="1"/>
  <c r="N2069" i="1"/>
  <c r="O2069" i="1"/>
  <c r="P2069" i="1"/>
  <c r="Q2069" i="1"/>
  <c r="R2069" i="1"/>
  <c r="S2069" i="1"/>
  <c r="M2070" i="1"/>
  <c r="N2070" i="1"/>
  <c r="O2070" i="1"/>
  <c r="P2070" i="1"/>
  <c r="Q2070" i="1"/>
  <c r="R2070" i="1"/>
  <c r="S2070" i="1"/>
  <c r="M2071" i="1"/>
  <c r="N2071" i="1"/>
  <c r="O2071" i="1"/>
  <c r="P2071" i="1"/>
  <c r="Q2071" i="1"/>
  <c r="R2071" i="1"/>
  <c r="S2071" i="1"/>
  <c r="M2072" i="1"/>
  <c r="N2072" i="1"/>
  <c r="O2072" i="1"/>
  <c r="P2072" i="1"/>
  <c r="Q2072" i="1"/>
  <c r="R2072" i="1"/>
  <c r="S2072" i="1"/>
  <c r="M2073" i="1"/>
  <c r="N2073" i="1"/>
  <c r="O2073" i="1"/>
  <c r="P2073" i="1"/>
  <c r="Q2073" i="1"/>
  <c r="R2073" i="1"/>
  <c r="S2073" i="1"/>
  <c r="M2074" i="1"/>
  <c r="N2074" i="1"/>
  <c r="O2074" i="1"/>
  <c r="P2074" i="1"/>
  <c r="Q2074" i="1"/>
  <c r="R2074" i="1"/>
  <c r="S2074" i="1"/>
  <c r="M2075" i="1"/>
  <c r="N2075" i="1"/>
  <c r="O2075" i="1"/>
  <c r="P2075" i="1"/>
  <c r="Q2075" i="1"/>
  <c r="R2075" i="1"/>
  <c r="S2075" i="1"/>
  <c r="M2076" i="1"/>
  <c r="N2076" i="1"/>
  <c r="O2076" i="1"/>
  <c r="P2076" i="1"/>
  <c r="Q2076" i="1"/>
  <c r="R2076" i="1"/>
  <c r="S2076" i="1"/>
  <c r="M2077" i="1"/>
  <c r="N2077" i="1"/>
  <c r="O2077" i="1"/>
  <c r="P2077" i="1"/>
  <c r="Q2077" i="1"/>
  <c r="R2077" i="1"/>
  <c r="S2077" i="1"/>
  <c r="M2078" i="1"/>
  <c r="N2078" i="1"/>
  <c r="O2078" i="1"/>
  <c r="P2078" i="1"/>
  <c r="Q2078" i="1"/>
  <c r="R2078" i="1"/>
  <c r="S2078" i="1"/>
  <c r="M2079" i="1"/>
  <c r="N2079" i="1"/>
  <c r="O2079" i="1"/>
  <c r="P2079" i="1"/>
  <c r="Q2079" i="1"/>
  <c r="R2079" i="1"/>
  <c r="S2079" i="1"/>
  <c r="M2080" i="1"/>
  <c r="N2080" i="1"/>
  <c r="O2080" i="1"/>
  <c r="P2080" i="1"/>
  <c r="Q2080" i="1"/>
  <c r="R2080" i="1"/>
  <c r="S2080" i="1"/>
  <c r="M2081" i="1"/>
  <c r="N2081" i="1"/>
  <c r="O2081" i="1"/>
  <c r="P2081" i="1"/>
  <c r="Q2081" i="1"/>
  <c r="R2081" i="1"/>
  <c r="S2081" i="1"/>
  <c r="M2082" i="1"/>
  <c r="N2082" i="1"/>
  <c r="O2082" i="1"/>
  <c r="P2082" i="1"/>
  <c r="Q2082" i="1"/>
  <c r="R2082" i="1"/>
  <c r="S2082" i="1"/>
  <c r="M2083" i="1"/>
  <c r="N2083" i="1"/>
  <c r="O2083" i="1"/>
  <c r="P2083" i="1"/>
  <c r="Q2083" i="1"/>
  <c r="R2083" i="1"/>
  <c r="S2083" i="1"/>
  <c r="M2084" i="1"/>
  <c r="N2084" i="1"/>
  <c r="O2084" i="1"/>
  <c r="P2084" i="1"/>
  <c r="Q2084" i="1"/>
  <c r="R2084" i="1"/>
  <c r="S2084" i="1"/>
  <c r="M2085" i="1"/>
  <c r="N2085" i="1"/>
  <c r="O2085" i="1"/>
  <c r="P2085" i="1"/>
  <c r="Q2085" i="1"/>
  <c r="R2085" i="1"/>
  <c r="S2085" i="1"/>
  <c r="M2086" i="1"/>
  <c r="N2086" i="1"/>
  <c r="O2086" i="1"/>
  <c r="P2086" i="1"/>
  <c r="Q2086" i="1"/>
  <c r="R2086" i="1"/>
  <c r="S2086" i="1"/>
  <c r="M2087" i="1"/>
  <c r="N2087" i="1"/>
  <c r="O2087" i="1"/>
  <c r="P2087" i="1"/>
  <c r="Q2087" i="1"/>
  <c r="R2087" i="1"/>
  <c r="S2087" i="1"/>
  <c r="M2088" i="1"/>
  <c r="N2088" i="1"/>
  <c r="O2088" i="1"/>
  <c r="P2088" i="1"/>
  <c r="Q2088" i="1"/>
  <c r="R2088" i="1"/>
  <c r="S2088" i="1"/>
  <c r="M2089" i="1"/>
  <c r="N2089" i="1"/>
  <c r="O2089" i="1"/>
  <c r="P2089" i="1"/>
  <c r="Q2089" i="1"/>
  <c r="R2089" i="1"/>
  <c r="S2089" i="1"/>
  <c r="M2090" i="1"/>
  <c r="N2090" i="1"/>
  <c r="O2090" i="1"/>
  <c r="P2090" i="1"/>
  <c r="Q2090" i="1"/>
  <c r="R2090" i="1"/>
  <c r="S2090" i="1"/>
  <c r="M2091" i="1"/>
  <c r="N2091" i="1"/>
  <c r="O2091" i="1"/>
  <c r="P2091" i="1"/>
  <c r="Q2091" i="1"/>
  <c r="R2091" i="1"/>
  <c r="S2091" i="1"/>
  <c r="M2092" i="1"/>
  <c r="N2092" i="1"/>
  <c r="O2092" i="1"/>
  <c r="P2092" i="1"/>
  <c r="Q2092" i="1"/>
  <c r="R2092" i="1"/>
  <c r="S2092" i="1"/>
  <c r="M2093" i="1"/>
  <c r="N2093" i="1"/>
  <c r="O2093" i="1"/>
  <c r="P2093" i="1"/>
  <c r="Q2093" i="1"/>
  <c r="R2093" i="1"/>
  <c r="S2093" i="1"/>
  <c r="M2094" i="1"/>
  <c r="N2094" i="1"/>
  <c r="O2094" i="1"/>
  <c r="P2094" i="1"/>
  <c r="Q2094" i="1"/>
  <c r="R2094" i="1"/>
  <c r="S2094" i="1"/>
  <c r="M2095" i="1"/>
  <c r="N2095" i="1"/>
  <c r="O2095" i="1"/>
  <c r="P2095" i="1"/>
  <c r="Q2095" i="1"/>
  <c r="R2095" i="1"/>
  <c r="S2095" i="1"/>
  <c r="M2096" i="1"/>
  <c r="N2096" i="1"/>
  <c r="O2096" i="1"/>
  <c r="P2096" i="1"/>
  <c r="Q2096" i="1"/>
  <c r="R2096" i="1"/>
  <c r="S2096" i="1"/>
  <c r="M2097" i="1"/>
  <c r="N2097" i="1"/>
  <c r="O2097" i="1"/>
  <c r="P2097" i="1"/>
  <c r="Q2097" i="1"/>
  <c r="R2097" i="1"/>
  <c r="S2097" i="1"/>
  <c r="M2098" i="1"/>
  <c r="N2098" i="1"/>
  <c r="O2098" i="1"/>
  <c r="P2098" i="1"/>
  <c r="Q2098" i="1"/>
  <c r="R2098" i="1"/>
  <c r="S2098" i="1"/>
  <c r="M2099" i="1"/>
  <c r="N2099" i="1"/>
  <c r="O2099" i="1"/>
  <c r="P2099" i="1"/>
  <c r="Q2099" i="1"/>
  <c r="R2099" i="1"/>
  <c r="S2099" i="1"/>
  <c r="M2100" i="1"/>
  <c r="N2100" i="1"/>
  <c r="O2100" i="1"/>
  <c r="P2100" i="1"/>
  <c r="Q2100" i="1"/>
  <c r="R2100" i="1"/>
  <c r="S2100" i="1"/>
  <c r="M2101" i="1"/>
  <c r="N2101" i="1"/>
  <c r="O2101" i="1"/>
  <c r="P2101" i="1"/>
  <c r="Q2101" i="1"/>
  <c r="R2101" i="1"/>
  <c r="S2101" i="1"/>
  <c r="M2102" i="1"/>
  <c r="N2102" i="1"/>
  <c r="O2102" i="1"/>
  <c r="P2102" i="1"/>
  <c r="Q2102" i="1"/>
  <c r="R2102" i="1"/>
  <c r="S2102" i="1"/>
  <c r="M2103" i="1"/>
  <c r="N2103" i="1"/>
  <c r="O2103" i="1"/>
  <c r="P2103" i="1"/>
  <c r="Q2103" i="1"/>
  <c r="R2103" i="1"/>
  <c r="S2103" i="1"/>
  <c r="M2104" i="1"/>
  <c r="N2104" i="1"/>
  <c r="O2104" i="1"/>
  <c r="P2104" i="1"/>
  <c r="Q2104" i="1"/>
  <c r="R2104" i="1"/>
  <c r="S2104" i="1"/>
  <c r="M2105" i="1"/>
  <c r="N2105" i="1"/>
  <c r="O2105" i="1"/>
  <c r="P2105" i="1"/>
  <c r="Q2105" i="1"/>
  <c r="R2105" i="1"/>
  <c r="S2105" i="1"/>
  <c r="M2106" i="1"/>
  <c r="N2106" i="1"/>
  <c r="O2106" i="1"/>
  <c r="P2106" i="1"/>
  <c r="Q2106" i="1"/>
  <c r="R2106" i="1"/>
  <c r="S2106" i="1"/>
  <c r="M2107" i="1"/>
  <c r="N2107" i="1"/>
  <c r="O2107" i="1"/>
  <c r="P2107" i="1"/>
  <c r="Q2107" i="1"/>
  <c r="R2107" i="1"/>
  <c r="S2107" i="1"/>
  <c r="M2108" i="1"/>
  <c r="N2108" i="1"/>
  <c r="O2108" i="1"/>
  <c r="P2108" i="1"/>
  <c r="Q2108" i="1"/>
  <c r="R2108" i="1"/>
  <c r="S2108" i="1"/>
  <c r="M2109" i="1"/>
  <c r="N2109" i="1"/>
  <c r="O2109" i="1"/>
  <c r="P2109" i="1"/>
  <c r="Q2109" i="1"/>
  <c r="R2109" i="1"/>
  <c r="S2109" i="1"/>
  <c r="M2110" i="1"/>
  <c r="N2110" i="1"/>
  <c r="O2110" i="1"/>
  <c r="P2110" i="1"/>
  <c r="Q2110" i="1"/>
  <c r="R2110" i="1"/>
  <c r="S2110" i="1"/>
  <c r="M2111" i="1"/>
  <c r="N2111" i="1"/>
  <c r="O2111" i="1"/>
  <c r="P2111" i="1"/>
  <c r="Q2111" i="1"/>
  <c r="R2111" i="1"/>
  <c r="S2111" i="1"/>
  <c r="M2112" i="1"/>
  <c r="N2112" i="1"/>
  <c r="O2112" i="1"/>
  <c r="P2112" i="1"/>
  <c r="Q2112" i="1"/>
  <c r="R2112" i="1"/>
  <c r="S2112" i="1"/>
  <c r="M2113" i="1"/>
  <c r="N2113" i="1"/>
  <c r="O2113" i="1"/>
  <c r="P2113" i="1"/>
  <c r="Q2113" i="1"/>
  <c r="R2113" i="1"/>
  <c r="S2113" i="1"/>
  <c r="M2114" i="1"/>
  <c r="N2114" i="1"/>
  <c r="O2114" i="1"/>
  <c r="P2114" i="1"/>
  <c r="Q2114" i="1"/>
  <c r="R2114" i="1"/>
  <c r="S2114" i="1"/>
  <c r="M2115" i="1"/>
  <c r="N2115" i="1"/>
  <c r="O2115" i="1"/>
  <c r="P2115" i="1"/>
  <c r="Q2115" i="1"/>
  <c r="R2115" i="1"/>
  <c r="S2115" i="1"/>
  <c r="M2116" i="1"/>
  <c r="N2116" i="1"/>
  <c r="O2116" i="1"/>
  <c r="P2116" i="1"/>
  <c r="Q2116" i="1"/>
  <c r="R2116" i="1"/>
  <c r="S2116" i="1"/>
  <c r="M2117" i="1"/>
  <c r="N2117" i="1"/>
  <c r="O2117" i="1"/>
  <c r="P2117" i="1"/>
  <c r="Q2117" i="1"/>
  <c r="R2117" i="1"/>
  <c r="S2117" i="1"/>
  <c r="M2118" i="1"/>
  <c r="N2118" i="1"/>
  <c r="O2118" i="1"/>
  <c r="P2118" i="1"/>
  <c r="Q2118" i="1"/>
  <c r="R2118" i="1"/>
  <c r="S2118" i="1"/>
  <c r="M2119" i="1"/>
  <c r="N2119" i="1"/>
  <c r="O2119" i="1"/>
  <c r="P2119" i="1"/>
  <c r="Q2119" i="1"/>
  <c r="R2119" i="1"/>
  <c r="S2119" i="1"/>
  <c r="M2120" i="1"/>
  <c r="N2120" i="1"/>
  <c r="O2120" i="1"/>
  <c r="P2120" i="1"/>
  <c r="Q2120" i="1"/>
  <c r="R2120" i="1"/>
  <c r="S2120" i="1"/>
  <c r="M2121" i="1"/>
  <c r="N2121" i="1"/>
  <c r="O2121" i="1"/>
  <c r="P2121" i="1"/>
  <c r="Q2121" i="1"/>
  <c r="R2121" i="1"/>
  <c r="S2121" i="1"/>
  <c r="M2122" i="1"/>
  <c r="N2122" i="1"/>
  <c r="O2122" i="1"/>
  <c r="P2122" i="1"/>
  <c r="Q2122" i="1"/>
  <c r="R2122" i="1"/>
  <c r="S2122" i="1"/>
  <c r="M2123" i="1"/>
  <c r="N2123" i="1"/>
  <c r="O2123" i="1"/>
  <c r="P2123" i="1"/>
  <c r="Q2123" i="1"/>
  <c r="R2123" i="1"/>
  <c r="S2123" i="1"/>
  <c r="M2124" i="1"/>
  <c r="N2124" i="1"/>
  <c r="O2124" i="1"/>
  <c r="P2124" i="1"/>
  <c r="Q2124" i="1"/>
  <c r="R2124" i="1"/>
  <c r="S2124" i="1"/>
  <c r="M2125" i="1"/>
  <c r="N2125" i="1"/>
  <c r="O2125" i="1"/>
  <c r="P2125" i="1"/>
  <c r="Q2125" i="1"/>
  <c r="R2125" i="1"/>
  <c r="S2125" i="1"/>
  <c r="M2126" i="1"/>
  <c r="N2126" i="1"/>
  <c r="O2126" i="1"/>
  <c r="P2126" i="1"/>
  <c r="Q2126" i="1"/>
  <c r="R2126" i="1"/>
  <c r="S2126" i="1"/>
  <c r="M2127" i="1"/>
  <c r="N2127" i="1"/>
  <c r="O2127" i="1"/>
  <c r="P2127" i="1"/>
  <c r="Q2127" i="1"/>
  <c r="R2127" i="1"/>
  <c r="S2127" i="1"/>
  <c r="M2128" i="1"/>
  <c r="N2128" i="1"/>
  <c r="O2128" i="1"/>
  <c r="P2128" i="1"/>
  <c r="Q2128" i="1"/>
  <c r="R2128" i="1"/>
  <c r="S2128" i="1"/>
  <c r="M2129" i="1"/>
  <c r="N2129" i="1"/>
  <c r="O2129" i="1"/>
  <c r="P2129" i="1"/>
  <c r="Q2129" i="1"/>
  <c r="R2129" i="1"/>
  <c r="S2129" i="1"/>
  <c r="M2130" i="1"/>
  <c r="N2130" i="1"/>
  <c r="O2130" i="1"/>
  <c r="P2130" i="1"/>
  <c r="Q2130" i="1"/>
  <c r="R2130" i="1"/>
  <c r="S2130" i="1"/>
  <c r="M2131" i="1"/>
  <c r="N2131" i="1"/>
  <c r="O2131" i="1"/>
  <c r="P2131" i="1"/>
  <c r="Q2131" i="1"/>
  <c r="R2131" i="1"/>
  <c r="S2131" i="1"/>
  <c r="M2132" i="1"/>
  <c r="N2132" i="1"/>
  <c r="O2132" i="1"/>
  <c r="P2132" i="1"/>
  <c r="Q2132" i="1"/>
  <c r="R2132" i="1"/>
  <c r="S2132" i="1"/>
  <c r="M2133" i="1"/>
  <c r="N2133" i="1"/>
  <c r="O2133" i="1"/>
  <c r="P2133" i="1"/>
  <c r="Q2133" i="1"/>
  <c r="R2133" i="1"/>
  <c r="S2133" i="1"/>
  <c r="M2134" i="1"/>
  <c r="N2134" i="1"/>
  <c r="O2134" i="1"/>
  <c r="P2134" i="1"/>
  <c r="Q2134" i="1"/>
  <c r="R2134" i="1"/>
  <c r="S2134" i="1"/>
  <c r="M2135" i="1"/>
  <c r="N2135" i="1"/>
  <c r="O2135" i="1"/>
  <c r="P2135" i="1"/>
  <c r="Q2135" i="1"/>
  <c r="R2135" i="1"/>
  <c r="S2135" i="1"/>
  <c r="M2136" i="1"/>
  <c r="N2136" i="1"/>
  <c r="O2136" i="1"/>
  <c r="P2136" i="1"/>
  <c r="Q2136" i="1"/>
  <c r="R2136" i="1"/>
  <c r="S2136" i="1"/>
  <c r="M2137" i="1"/>
  <c r="N2137" i="1"/>
  <c r="O2137" i="1"/>
  <c r="P2137" i="1"/>
  <c r="Q2137" i="1"/>
  <c r="R2137" i="1"/>
  <c r="S2137" i="1"/>
  <c r="M2138" i="1"/>
  <c r="N2138" i="1"/>
  <c r="O2138" i="1"/>
  <c r="P2138" i="1"/>
  <c r="Q2138" i="1"/>
  <c r="R2138" i="1"/>
  <c r="S2138" i="1"/>
  <c r="M2139" i="1"/>
  <c r="N2139" i="1"/>
  <c r="O2139" i="1"/>
  <c r="P2139" i="1"/>
  <c r="Q2139" i="1"/>
  <c r="R2139" i="1"/>
  <c r="S2139" i="1"/>
  <c r="M2140" i="1"/>
  <c r="N2140" i="1"/>
  <c r="O2140" i="1"/>
  <c r="P2140" i="1"/>
  <c r="Q2140" i="1"/>
  <c r="R2140" i="1"/>
  <c r="S2140" i="1"/>
  <c r="M2141" i="1"/>
  <c r="N2141" i="1"/>
  <c r="O2141" i="1"/>
  <c r="P2141" i="1"/>
  <c r="Q2141" i="1"/>
  <c r="R2141" i="1"/>
  <c r="S2141" i="1"/>
  <c r="M2142" i="1"/>
  <c r="N2142" i="1"/>
  <c r="O2142" i="1"/>
  <c r="P2142" i="1"/>
  <c r="Q2142" i="1"/>
  <c r="R2142" i="1"/>
  <c r="S2142" i="1"/>
  <c r="M2143" i="1"/>
  <c r="N2143" i="1"/>
  <c r="O2143" i="1"/>
  <c r="P2143" i="1"/>
  <c r="Q2143" i="1"/>
  <c r="R2143" i="1"/>
  <c r="S2143" i="1"/>
  <c r="M2144" i="1"/>
  <c r="N2144" i="1"/>
  <c r="O2144" i="1"/>
  <c r="P2144" i="1"/>
  <c r="Q2144" i="1"/>
  <c r="R2144" i="1"/>
  <c r="S2144" i="1"/>
  <c r="M2145" i="1"/>
  <c r="N2145" i="1"/>
  <c r="O2145" i="1"/>
  <c r="P2145" i="1"/>
  <c r="Q2145" i="1"/>
  <c r="R2145" i="1"/>
  <c r="S2145" i="1"/>
  <c r="M2146" i="1"/>
  <c r="N2146" i="1"/>
  <c r="O2146" i="1"/>
  <c r="P2146" i="1"/>
  <c r="Q2146" i="1"/>
  <c r="R2146" i="1"/>
  <c r="S2146" i="1"/>
  <c r="M2147" i="1"/>
  <c r="N2147" i="1"/>
  <c r="O2147" i="1"/>
  <c r="P2147" i="1"/>
  <c r="Q2147" i="1"/>
  <c r="R2147" i="1"/>
  <c r="S2147" i="1"/>
  <c r="M2148" i="1"/>
  <c r="N2148" i="1"/>
  <c r="O2148" i="1"/>
  <c r="P2148" i="1"/>
  <c r="Q2148" i="1"/>
  <c r="R2148" i="1"/>
  <c r="S2148" i="1"/>
  <c r="M2149" i="1"/>
  <c r="N2149" i="1"/>
  <c r="O2149" i="1"/>
  <c r="P2149" i="1"/>
  <c r="Q2149" i="1"/>
  <c r="R2149" i="1"/>
  <c r="S2149" i="1"/>
  <c r="M2150" i="1"/>
  <c r="N2150" i="1"/>
  <c r="O2150" i="1"/>
  <c r="P2150" i="1"/>
  <c r="Q2150" i="1"/>
  <c r="R2150" i="1"/>
  <c r="S2150" i="1"/>
  <c r="M2151" i="1"/>
  <c r="N2151" i="1"/>
  <c r="O2151" i="1"/>
  <c r="P2151" i="1"/>
  <c r="Q2151" i="1"/>
  <c r="R2151" i="1"/>
  <c r="S2151" i="1"/>
  <c r="M2152" i="1"/>
  <c r="N2152" i="1"/>
  <c r="O2152" i="1"/>
  <c r="P2152" i="1"/>
  <c r="Q2152" i="1"/>
  <c r="R2152" i="1"/>
  <c r="S2152" i="1"/>
  <c r="M2153" i="1"/>
  <c r="N2153" i="1"/>
  <c r="O2153" i="1"/>
  <c r="P2153" i="1"/>
  <c r="Q2153" i="1"/>
  <c r="R2153" i="1"/>
  <c r="S2153" i="1"/>
  <c r="M2154" i="1"/>
  <c r="N2154" i="1"/>
  <c r="O2154" i="1"/>
  <c r="P2154" i="1"/>
  <c r="Q2154" i="1"/>
  <c r="R2154" i="1"/>
  <c r="S2154" i="1"/>
  <c r="M2155" i="1"/>
  <c r="N2155" i="1"/>
  <c r="O2155" i="1"/>
  <c r="P2155" i="1"/>
  <c r="Q2155" i="1"/>
  <c r="R2155" i="1"/>
  <c r="S2155" i="1"/>
  <c r="M2156" i="1"/>
  <c r="N2156" i="1"/>
  <c r="O2156" i="1"/>
  <c r="P2156" i="1"/>
  <c r="Q2156" i="1"/>
  <c r="R2156" i="1"/>
  <c r="S2156" i="1"/>
  <c r="M2157" i="1"/>
  <c r="N2157" i="1"/>
  <c r="O2157" i="1"/>
  <c r="P2157" i="1"/>
  <c r="Q2157" i="1"/>
  <c r="R2157" i="1"/>
  <c r="S2157" i="1"/>
  <c r="M2158" i="1"/>
  <c r="N2158" i="1"/>
  <c r="O2158" i="1"/>
  <c r="P2158" i="1"/>
  <c r="Q2158" i="1"/>
  <c r="R2158" i="1"/>
  <c r="S2158" i="1"/>
  <c r="M2159" i="1"/>
  <c r="N2159" i="1"/>
  <c r="O2159" i="1"/>
  <c r="P2159" i="1"/>
  <c r="Q2159" i="1"/>
  <c r="R2159" i="1"/>
  <c r="S2159" i="1"/>
  <c r="M2160" i="1"/>
  <c r="N2160" i="1"/>
  <c r="O2160" i="1"/>
  <c r="P2160" i="1"/>
  <c r="Q2160" i="1"/>
  <c r="R2160" i="1"/>
  <c r="S2160" i="1"/>
  <c r="M2161" i="1"/>
  <c r="N2161" i="1"/>
  <c r="O2161" i="1"/>
  <c r="P2161" i="1"/>
  <c r="Q2161" i="1"/>
  <c r="R2161" i="1"/>
  <c r="S2161" i="1"/>
  <c r="M2162" i="1"/>
  <c r="N2162" i="1"/>
  <c r="O2162" i="1"/>
  <c r="P2162" i="1"/>
  <c r="Q2162" i="1"/>
  <c r="R2162" i="1"/>
  <c r="S2162" i="1"/>
  <c r="M2163" i="1"/>
  <c r="N2163" i="1"/>
  <c r="O2163" i="1"/>
  <c r="P2163" i="1"/>
  <c r="Q2163" i="1"/>
  <c r="R2163" i="1"/>
  <c r="S2163" i="1"/>
  <c r="M2164" i="1"/>
  <c r="N2164" i="1"/>
  <c r="O2164" i="1"/>
  <c r="P2164" i="1"/>
  <c r="Q2164" i="1"/>
  <c r="R2164" i="1"/>
  <c r="S2164" i="1"/>
  <c r="M2165" i="1"/>
  <c r="N2165" i="1"/>
  <c r="O2165" i="1"/>
  <c r="P2165" i="1"/>
  <c r="Q2165" i="1"/>
  <c r="R2165" i="1"/>
  <c r="S2165" i="1"/>
  <c r="M2166" i="1"/>
  <c r="N2166" i="1"/>
  <c r="O2166" i="1"/>
  <c r="P2166" i="1"/>
  <c r="Q2166" i="1"/>
  <c r="R2166" i="1"/>
  <c r="S2166" i="1"/>
  <c r="M2167" i="1"/>
  <c r="N2167" i="1"/>
  <c r="O2167" i="1"/>
  <c r="P2167" i="1"/>
  <c r="Q2167" i="1"/>
  <c r="R2167" i="1"/>
  <c r="S2167" i="1"/>
  <c r="M2168" i="1"/>
  <c r="N2168" i="1"/>
  <c r="O2168" i="1"/>
  <c r="P2168" i="1"/>
  <c r="Q2168" i="1"/>
  <c r="R2168" i="1"/>
  <c r="S2168" i="1"/>
  <c r="M2169" i="1"/>
  <c r="N2169" i="1"/>
  <c r="O2169" i="1"/>
  <c r="P2169" i="1"/>
  <c r="Q2169" i="1"/>
  <c r="R2169" i="1"/>
  <c r="S2169" i="1"/>
  <c r="M2170" i="1"/>
  <c r="N2170" i="1"/>
  <c r="O2170" i="1"/>
  <c r="P2170" i="1"/>
  <c r="Q2170" i="1"/>
  <c r="R2170" i="1"/>
  <c r="S2170" i="1"/>
  <c r="M2171" i="1"/>
  <c r="N2171" i="1"/>
  <c r="O2171" i="1"/>
  <c r="P2171" i="1"/>
  <c r="Q2171" i="1"/>
  <c r="R2171" i="1"/>
  <c r="S2171" i="1"/>
  <c r="M2172" i="1"/>
  <c r="N2172" i="1"/>
  <c r="O2172" i="1"/>
  <c r="P2172" i="1"/>
  <c r="Q2172" i="1"/>
  <c r="R2172" i="1"/>
  <c r="S2172" i="1"/>
  <c r="M2173" i="1"/>
  <c r="N2173" i="1"/>
  <c r="O2173" i="1"/>
  <c r="P2173" i="1"/>
  <c r="Q2173" i="1"/>
  <c r="R2173" i="1"/>
  <c r="S2173" i="1"/>
  <c r="M2174" i="1"/>
  <c r="N2174" i="1"/>
  <c r="O2174" i="1"/>
  <c r="P2174" i="1"/>
  <c r="Q2174" i="1"/>
  <c r="R2174" i="1"/>
  <c r="S2174" i="1"/>
  <c r="M2175" i="1"/>
  <c r="N2175" i="1"/>
  <c r="O2175" i="1"/>
  <c r="P2175" i="1"/>
  <c r="Q2175" i="1"/>
  <c r="R2175" i="1"/>
  <c r="S2175" i="1"/>
  <c r="M2176" i="1"/>
  <c r="N2176" i="1"/>
  <c r="O2176" i="1"/>
  <c r="P2176" i="1"/>
  <c r="Q2176" i="1"/>
  <c r="R2176" i="1"/>
  <c r="S2176" i="1"/>
  <c r="M2177" i="1"/>
  <c r="N2177" i="1"/>
  <c r="O2177" i="1"/>
  <c r="P2177" i="1"/>
  <c r="Q2177" i="1"/>
  <c r="R2177" i="1"/>
  <c r="S2177" i="1"/>
  <c r="M2178" i="1"/>
  <c r="N2178" i="1"/>
  <c r="O2178" i="1"/>
  <c r="P2178" i="1"/>
  <c r="Q2178" i="1"/>
  <c r="R2178" i="1"/>
  <c r="S2178" i="1"/>
  <c r="M2179" i="1"/>
  <c r="N2179" i="1"/>
  <c r="O2179" i="1"/>
  <c r="P2179" i="1"/>
  <c r="Q2179" i="1"/>
  <c r="R2179" i="1"/>
  <c r="S2179" i="1"/>
  <c r="M2180" i="1"/>
  <c r="N2180" i="1"/>
  <c r="O2180" i="1"/>
  <c r="P2180" i="1"/>
  <c r="Q2180" i="1"/>
  <c r="R2180" i="1"/>
  <c r="S2180" i="1"/>
  <c r="M2181" i="1"/>
  <c r="N2181" i="1"/>
  <c r="O2181" i="1"/>
  <c r="P2181" i="1"/>
  <c r="Q2181" i="1"/>
  <c r="R2181" i="1"/>
  <c r="S2181" i="1"/>
  <c r="M2182" i="1"/>
  <c r="N2182" i="1"/>
  <c r="O2182" i="1"/>
  <c r="P2182" i="1"/>
  <c r="Q2182" i="1"/>
  <c r="R2182" i="1"/>
  <c r="S2182" i="1"/>
  <c r="M2183" i="1"/>
  <c r="N2183" i="1"/>
  <c r="O2183" i="1"/>
  <c r="P2183" i="1"/>
  <c r="Q2183" i="1"/>
  <c r="R2183" i="1"/>
  <c r="S2183" i="1"/>
  <c r="M2184" i="1"/>
  <c r="N2184" i="1"/>
  <c r="O2184" i="1"/>
  <c r="P2184" i="1"/>
  <c r="Q2184" i="1"/>
  <c r="R2184" i="1"/>
  <c r="S2184" i="1"/>
  <c r="M2185" i="1"/>
  <c r="N2185" i="1"/>
  <c r="O2185" i="1"/>
  <c r="P2185" i="1"/>
  <c r="Q2185" i="1"/>
  <c r="R2185" i="1"/>
  <c r="S2185" i="1"/>
  <c r="M2186" i="1"/>
  <c r="N2186" i="1"/>
  <c r="O2186" i="1"/>
  <c r="P2186" i="1"/>
  <c r="Q2186" i="1"/>
  <c r="R2186" i="1"/>
  <c r="S2186" i="1"/>
  <c r="M2187" i="1"/>
  <c r="N2187" i="1"/>
  <c r="O2187" i="1"/>
  <c r="P2187" i="1"/>
  <c r="Q2187" i="1"/>
  <c r="R2187" i="1"/>
  <c r="S2187" i="1"/>
  <c r="M2188" i="1"/>
  <c r="N2188" i="1"/>
  <c r="O2188" i="1"/>
  <c r="P2188" i="1"/>
  <c r="Q2188" i="1"/>
  <c r="R2188" i="1"/>
  <c r="S2188" i="1"/>
  <c r="M2189" i="1"/>
  <c r="N2189" i="1"/>
  <c r="O2189" i="1"/>
  <c r="P2189" i="1"/>
  <c r="Q2189" i="1"/>
  <c r="R2189" i="1"/>
  <c r="S2189" i="1"/>
  <c r="M2190" i="1"/>
  <c r="N2190" i="1"/>
  <c r="O2190" i="1"/>
  <c r="P2190" i="1"/>
  <c r="Q2190" i="1"/>
  <c r="R2190" i="1"/>
  <c r="S2190" i="1"/>
  <c r="M2191" i="1"/>
  <c r="N2191" i="1"/>
  <c r="O2191" i="1"/>
  <c r="P2191" i="1"/>
  <c r="Q2191" i="1"/>
  <c r="R2191" i="1"/>
  <c r="S2191" i="1"/>
  <c r="M2192" i="1"/>
  <c r="N2192" i="1"/>
  <c r="O2192" i="1"/>
  <c r="P2192" i="1"/>
  <c r="Q2192" i="1"/>
  <c r="R2192" i="1"/>
  <c r="S2192" i="1"/>
  <c r="M2193" i="1"/>
  <c r="N2193" i="1"/>
  <c r="O2193" i="1"/>
  <c r="P2193" i="1"/>
  <c r="Q2193" i="1"/>
  <c r="R2193" i="1"/>
  <c r="S2193" i="1"/>
  <c r="M2194" i="1"/>
  <c r="N2194" i="1"/>
  <c r="O2194" i="1"/>
  <c r="P2194" i="1"/>
  <c r="Q2194" i="1"/>
  <c r="R2194" i="1"/>
  <c r="S2194" i="1"/>
  <c r="M2195" i="1"/>
  <c r="N2195" i="1"/>
  <c r="O2195" i="1"/>
  <c r="P2195" i="1"/>
  <c r="Q2195" i="1"/>
  <c r="R2195" i="1"/>
  <c r="S2195" i="1"/>
  <c r="M2196" i="1"/>
  <c r="N2196" i="1"/>
  <c r="O2196" i="1"/>
  <c r="P2196" i="1"/>
  <c r="Q2196" i="1"/>
  <c r="R2196" i="1"/>
  <c r="S2196" i="1"/>
  <c r="M2197" i="1"/>
  <c r="N2197" i="1"/>
  <c r="O2197" i="1"/>
  <c r="P2197" i="1"/>
  <c r="Q2197" i="1"/>
  <c r="R2197" i="1"/>
  <c r="S2197" i="1"/>
  <c r="M2198" i="1"/>
  <c r="N2198" i="1"/>
  <c r="O2198" i="1"/>
  <c r="P2198" i="1"/>
  <c r="Q2198" i="1"/>
  <c r="R2198" i="1"/>
  <c r="S2198" i="1"/>
  <c r="M2199" i="1"/>
  <c r="N2199" i="1"/>
  <c r="O2199" i="1"/>
  <c r="P2199" i="1"/>
  <c r="Q2199" i="1"/>
  <c r="R2199" i="1"/>
  <c r="S2199" i="1"/>
  <c r="M2200" i="1"/>
  <c r="N2200" i="1"/>
  <c r="O2200" i="1"/>
  <c r="P2200" i="1"/>
  <c r="Q2200" i="1"/>
  <c r="R2200" i="1"/>
  <c r="S2200" i="1"/>
  <c r="M2201" i="1"/>
  <c r="N2201" i="1"/>
  <c r="O2201" i="1"/>
  <c r="P2201" i="1"/>
  <c r="Q2201" i="1"/>
  <c r="R2201" i="1"/>
  <c r="S2201" i="1"/>
  <c r="M2202" i="1"/>
  <c r="N2202" i="1"/>
  <c r="O2202" i="1"/>
  <c r="P2202" i="1"/>
  <c r="Q2202" i="1"/>
  <c r="R2202" i="1"/>
  <c r="S2202" i="1"/>
  <c r="M2203" i="1"/>
  <c r="N2203" i="1"/>
  <c r="O2203" i="1"/>
  <c r="P2203" i="1"/>
  <c r="Q2203" i="1"/>
  <c r="R2203" i="1"/>
  <c r="S2203" i="1"/>
  <c r="M2204" i="1"/>
  <c r="N2204" i="1"/>
  <c r="O2204" i="1"/>
  <c r="P2204" i="1"/>
  <c r="Q2204" i="1"/>
  <c r="R2204" i="1"/>
  <c r="S2204" i="1"/>
  <c r="M2205" i="1"/>
  <c r="N2205" i="1"/>
  <c r="O2205" i="1"/>
  <c r="P2205" i="1"/>
  <c r="Q2205" i="1"/>
  <c r="R2205" i="1"/>
  <c r="S2205" i="1"/>
  <c r="M2206" i="1"/>
  <c r="N2206" i="1"/>
  <c r="O2206" i="1"/>
  <c r="P2206" i="1"/>
  <c r="Q2206" i="1"/>
  <c r="R2206" i="1"/>
  <c r="S2206" i="1"/>
  <c r="M2207" i="1"/>
  <c r="N2207" i="1"/>
  <c r="O2207" i="1"/>
  <c r="P2207" i="1"/>
  <c r="Q2207" i="1"/>
  <c r="R2207" i="1"/>
  <c r="S2207" i="1"/>
  <c r="M2208" i="1"/>
  <c r="N2208" i="1"/>
  <c r="O2208" i="1"/>
  <c r="P2208" i="1"/>
  <c r="Q2208" i="1"/>
  <c r="R2208" i="1"/>
  <c r="S2208" i="1"/>
  <c r="M2209" i="1"/>
  <c r="N2209" i="1"/>
  <c r="O2209" i="1"/>
  <c r="P2209" i="1"/>
  <c r="Q2209" i="1"/>
  <c r="R2209" i="1"/>
  <c r="S2209" i="1"/>
  <c r="M2210" i="1"/>
  <c r="N2210" i="1"/>
  <c r="O2210" i="1"/>
  <c r="P2210" i="1"/>
  <c r="Q2210" i="1"/>
  <c r="R2210" i="1"/>
  <c r="S2210" i="1"/>
  <c r="M2211" i="1"/>
  <c r="N2211" i="1"/>
  <c r="O2211" i="1"/>
  <c r="P2211" i="1"/>
  <c r="Q2211" i="1"/>
  <c r="R2211" i="1"/>
  <c r="S2211" i="1"/>
  <c r="M2212" i="1"/>
  <c r="N2212" i="1"/>
  <c r="O2212" i="1"/>
  <c r="P2212" i="1"/>
  <c r="Q2212" i="1"/>
  <c r="R2212" i="1"/>
  <c r="S2212" i="1"/>
  <c r="M2213" i="1"/>
  <c r="N2213" i="1"/>
  <c r="O2213" i="1"/>
  <c r="P2213" i="1"/>
  <c r="Q2213" i="1"/>
  <c r="R2213" i="1"/>
  <c r="S2213" i="1"/>
  <c r="M2214" i="1"/>
  <c r="N2214" i="1"/>
  <c r="O2214" i="1"/>
  <c r="P2214" i="1"/>
  <c r="Q2214" i="1"/>
  <c r="R2214" i="1"/>
  <c r="S2214" i="1"/>
  <c r="M2215" i="1"/>
  <c r="N2215" i="1"/>
  <c r="O2215" i="1"/>
  <c r="P2215" i="1"/>
  <c r="Q2215" i="1"/>
  <c r="R2215" i="1"/>
  <c r="S2215" i="1"/>
  <c r="M2216" i="1"/>
  <c r="N2216" i="1"/>
  <c r="O2216" i="1"/>
  <c r="P2216" i="1"/>
  <c r="Q2216" i="1"/>
  <c r="R2216" i="1"/>
  <c r="S2216" i="1"/>
  <c r="M2217" i="1"/>
  <c r="N2217" i="1"/>
  <c r="O2217" i="1"/>
  <c r="P2217" i="1"/>
  <c r="Q2217" i="1"/>
  <c r="R2217" i="1"/>
  <c r="S2217" i="1"/>
  <c r="M2218" i="1"/>
  <c r="N2218" i="1"/>
  <c r="O2218" i="1"/>
  <c r="P2218" i="1"/>
  <c r="Q2218" i="1"/>
  <c r="R2218" i="1"/>
  <c r="S2218" i="1"/>
  <c r="M2219" i="1"/>
  <c r="N2219" i="1"/>
  <c r="O2219" i="1"/>
  <c r="P2219" i="1"/>
  <c r="Q2219" i="1"/>
  <c r="R2219" i="1"/>
  <c r="S2219" i="1"/>
  <c r="M2220" i="1"/>
  <c r="N2220" i="1"/>
  <c r="O2220" i="1"/>
  <c r="P2220" i="1"/>
  <c r="Q2220" i="1"/>
  <c r="R2220" i="1"/>
  <c r="S2220" i="1"/>
  <c r="M2221" i="1"/>
  <c r="N2221" i="1"/>
  <c r="O2221" i="1"/>
  <c r="P2221" i="1"/>
  <c r="Q2221" i="1"/>
  <c r="R2221" i="1"/>
  <c r="S2221" i="1"/>
  <c r="M2222" i="1"/>
  <c r="N2222" i="1"/>
  <c r="O2222" i="1"/>
  <c r="P2222" i="1"/>
  <c r="Q2222" i="1"/>
  <c r="R2222" i="1"/>
  <c r="S2222" i="1"/>
  <c r="M2223" i="1"/>
  <c r="N2223" i="1"/>
  <c r="O2223" i="1"/>
  <c r="P2223" i="1"/>
  <c r="Q2223" i="1"/>
  <c r="R2223" i="1"/>
  <c r="S2223" i="1"/>
  <c r="M2224" i="1"/>
  <c r="N2224" i="1"/>
  <c r="O2224" i="1"/>
  <c r="P2224" i="1"/>
  <c r="Q2224" i="1"/>
  <c r="R2224" i="1"/>
  <c r="S2224" i="1"/>
  <c r="M2225" i="1"/>
  <c r="N2225" i="1"/>
  <c r="O2225" i="1"/>
  <c r="P2225" i="1"/>
  <c r="Q2225" i="1"/>
  <c r="R2225" i="1"/>
  <c r="S2225" i="1"/>
  <c r="M2226" i="1"/>
  <c r="N2226" i="1"/>
  <c r="O2226" i="1"/>
  <c r="P2226" i="1"/>
  <c r="Q2226" i="1"/>
  <c r="R2226" i="1"/>
  <c r="S2226" i="1"/>
  <c r="M2227" i="1"/>
  <c r="N2227" i="1"/>
  <c r="O2227" i="1"/>
  <c r="P2227" i="1"/>
  <c r="Q2227" i="1"/>
  <c r="R2227" i="1"/>
  <c r="S2227" i="1"/>
  <c r="M2228" i="1"/>
  <c r="N2228" i="1"/>
  <c r="O2228" i="1"/>
  <c r="P2228" i="1"/>
  <c r="Q2228" i="1"/>
  <c r="R2228" i="1"/>
  <c r="S2228" i="1"/>
  <c r="M2229" i="1"/>
  <c r="N2229" i="1"/>
  <c r="O2229" i="1"/>
  <c r="P2229" i="1"/>
  <c r="Q2229" i="1"/>
  <c r="R2229" i="1"/>
  <c r="S2229" i="1"/>
  <c r="M2230" i="1"/>
  <c r="N2230" i="1"/>
  <c r="O2230" i="1"/>
  <c r="P2230" i="1"/>
  <c r="Q2230" i="1"/>
  <c r="R2230" i="1"/>
  <c r="S2230" i="1"/>
  <c r="M2231" i="1"/>
  <c r="N2231" i="1"/>
  <c r="O2231" i="1"/>
  <c r="P2231" i="1"/>
  <c r="Q2231" i="1"/>
  <c r="R2231" i="1"/>
  <c r="S2231" i="1"/>
  <c r="M2232" i="1"/>
  <c r="N2232" i="1"/>
  <c r="O2232" i="1"/>
  <c r="P2232" i="1"/>
  <c r="Q2232" i="1"/>
  <c r="R2232" i="1"/>
  <c r="S2232" i="1"/>
  <c r="M2233" i="1"/>
  <c r="N2233" i="1"/>
  <c r="O2233" i="1"/>
  <c r="P2233" i="1"/>
  <c r="Q2233" i="1"/>
  <c r="R2233" i="1"/>
  <c r="S2233" i="1"/>
  <c r="M2234" i="1"/>
  <c r="N2234" i="1"/>
  <c r="O2234" i="1"/>
  <c r="P2234" i="1"/>
  <c r="Q2234" i="1"/>
  <c r="R2234" i="1"/>
  <c r="S2234" i="1"/>
  <c r="M2235" i="1"/>
  <c r="N2235" i="1"/>
  <c r="O2235" i="1"/>
  <c r="P2235" i="1"/>
  <c r="Q2235" i="1"/>
  <c r="R2235" i="1"/>
  <c r="S2235" i="1"/>
  <c r="M2236" i="1"/>
  <c r="N2236" i="1"/>
  <c r="O2236" i="1"/>
  <c r="P2236" i="1"/>
  <c r="Q2236" i="1"/>
  <c r="R2236" i="1"/>
  <c r="S2236" i="1"/>
  <c r="M2237" i="1"/>
  <c r="N2237" i="1"/>
  <c r="O2237" i="1"/>
  <c r="P2237" i="1"/>
  <c r="Q2237" i="1"/>
  <c r="R2237" i="1"/>
  <c r="S2237" i="1"/>
  <c r="M2238" i="1"/>
  <c r="N2238" i="1"/>
  <c r="O2238" i="1"/>
  <c r="P2238" i="1"/>
  <c r="Q2238" i="1"/>
  <c r="R2238" i="1"/>
  <c r="S2238" i="1"/>
  <c r="M2239" i="1"/>
  <c r="N2239" i="1"/>
  <c r="O2239" i="1"/>
  <c r="P2239" i="1"/>
  <c r="Q2239" i="1"/>
  <c r="R2239" i="1"/>
  <c r="S2239" i="1"/>
  <c r="M2240" i="1"/>
  <c r="N2240" i="1"/>
  <c r="O2240" i="1"/>
  <c r="P2240" i="1"/>
  <c r="Q2240" i="1"/>
  <c r="R2240" i="1"/>
  <c r="S2240" i="1"/>
  <c r="M2241" i="1"/>
  <c r="N2241" i="1"/>
  <c r="O2241" i="1"/>
  <c r="P2241" i="1"/>
  <c r="Q2241" i="1"/>
  <c r="R2241" i="1"/>
  <c r="S2241" i="1"/>
  <c r="M2242" i="1"/>
  <c r="N2242" i="1"/>
  <c r="O2242" i="1"/>
  <c r="P2242" i="1"/>
  <c r="Q2242" i="1"/>
  <c r="R2242" i="1"/>
  <c r="S2242" i="1"/>
  <c r="M2243" i="1"/>
  <c r="N2243" i="1"/>
  <c r="O2243" i="1"/>
  <c r="P2243" i="1"/>
  <c r="Q2243" i="1"/>
  <c r="R2243" i="1"/>
  <c r="S2243" i="1"/>
  <c r="M2244" i="1"/>
  <c r="N2244" i="1"/>
  <c r="O2244" i="1"/>
  <c r="P2244" i="1"/>
  <c r="Q2244" i="1"/>
  <c r="R2244" i="1"/>
  <c r="S2244" i="1"/>
  <c r="M2245" i="1"/>
  <c r="N2245" i="1"/>
  <c r="O2245" i="1"/>
  <c r="P2245" i="1"/>
  <c r="Q2245" i="1"/>
  <c r="R2245" i="1"/>
  <c r="S2245" i="1"/>
  <c r="M2246" i="1"/>
  <c r="N2246" i="1"/>
  <c r="O2246" i="1"/>
  <c r="P2246" i="1"/>
  <c r="Q2246" i="1"/>
  <c r="R2246" i="1"/>
  <c r="S2246" i="1"/>
  <c r="M2247" i="1"/>
  <c r="N2247" i="1"/>
  <c r="O2247" i="1"/>
  <c r="P2247" i="1"/>
  <c r="Q2247" i="1"/>
  <c r="R2247" i="1"/>
  <c r="S2247" i="1"/>
  <c r="M2248" i="1"/>
  <c r="N2248" i="1"/>
  <c r="O2248" i="1"/>
  <c r="P2248" i="1"/>
  <c r="Q2248" i="1"/>
  <c r="R2248" i="1"/>
  <c r="S2248" i="1"/>
  <c r="M2249" i="1"/>
  <c r="N2249" i="1"/>
  <c r="O2249" i="1"/>
  <c r="P2249" i="1"/>
  <c r="Q2249" i="1"/>
  <c r="R2249" i="1"/>
  <c r="S2249" i="1"/>
  <c r="M2250" i="1"/>
  <c r="N2250" i="1"/>
  <c r="O2250" i="1"/>
  <c r="P2250" i="1"/>
  <c r="Q2250" i="1"/>
  <c r="R2250" i="1"/>
  <c r="S2250" i="1"/>
  <c r="M2251" i="1"/>
  <c r="N2251" i="1"/>
  <c r="O2251" i="1"/>
  <c r="P2251" i="1"/>
  <c r="Q2251" i="1"/>
  <c r="R2251" i="1"/>
  <c r="S2251" i="1"/>
  <c r="M2252" i="1"/>
  <c r="N2252" i="1"/>
  <c r="O2252" i="1"/>
  <c r="P2252" i="1"/>
  <c r="Q2252" i="1"/>
  <c r="R2252" i="1"/>
  <c r="S2252" i="1"/>
  <c r="M2253" i="1"/>
  <c r="N2253" i="1"/>
  <c r="O2253" i="1"/>
  <c r="P2253" i="1"/>
  <c r="Q2253" i="1"/>
  <c r="R2253" i="1"/>
  <c r="S2253" i="1"/>
  <c r="M2254" i="1"/>
  <c r="N2254" i="1"/>
  <c r="O2254" i="1"/>
  <c r="P2254" i="1"/>
  <c r="Q2254" i="1"/>
  <c r="R2254" i="1"/>
  <c r="S2254" i="1"/>
  <c r="M2255" i="1"/>
  <c r="N2255" i="1"/>
  <c r="O2255" i="1"/>
  <c r="P2255" i="1"/>
  <c r="Q2255" i="1"/>
  <c r="R2255" i="1"/>
  <c r="S2255" i="1"/>
  <c r="M2256" i="1"/>
  <c r="N2256" i="1"/>
  <c r="O2256" i="1"/>
  <c r="P2256" i="1"/>
  <c r="Q2256" i="1"/>
  <c r="R2256" i="1"/>
  <c r="S2256" i="1"/>
  <c r="M2257" i="1"/>
  <c r="N2257" i="1"/>
  <c r="O2257" i="1"/>
  <c r="P2257" i="1"/>
  <c r="Q2257" i="1"/>
  <c r="R2257" i="1"/>
  <c r="S2257" i="1"/>
  <c r="M2258" i="1"/>
  <c r="N2258" i="1"/>
  <c r="O2258" i="1"/>
  <c r="P2258" i="1"/>
  <c r="Q2258" i="1"/>
  <c r="R2258" i="1"/>
  <c r="S2258" i="1"/>
  <c r="M2259" i="1"/>
  <c r="N2259" i="1"/>
  <c r="O2259" i="1"/>
  <c r="P2259" i="1"/>
  <c r="Q2259" i="1"/>
  <c r="R2259" i="1"/>
  <c r="S2259" i="1"/>
  <c r="M2260" i="1"/>
  <c r="N2260" i="1"/>
  <c r="O2260" i="1"/>
  <c r="P2260" i="1"/>
  <c r="Q2260" i="1"/>
  <c r="R2260" i="1"/>
  <c r="S2260" i="1"/>
  <c r="M2261" i="1"/>
  <c r="N2261" i="1"/>
  <c r="O2261" i="1"/>
  <c r="P2261" i="1"/>
  <c r="Q2261" i="1"/>
  <c r="R2261" i="1"/>
  <c r="S2261" i="1"/>
  <c r="M2262" i="1"/>
  <c r="N2262" i="1"/>
  <c r="O2262" i="1"/>
  <c r="P2262" i="1"/>
  <c r="Q2262" i="1"/>
  <c r="R2262" i="1"/>
  <c r="S2262" i="1"/>
  <c r="M2263" i="1"/>
  <c r="N2263" i="1"/>
  <c r="O2263" i="1"/>
  <c r="P2263" i="1"/>
  <c r="Q2263" i="1"/>
  <c r="R2263" i="1"/>
  <c r="S2263" i="1"/>
  <c r="M2264" i="1"/>
  <c r="N2264" i="1"/>
  <c r="O2264" i="1"/>
  <c r="P2264" i="1"/>
  <c r="Q2264" i="1"/>
  <c r="R2264" i="1"/>
  <c r="S2264" i="1"/>
  <c r="M2265" i="1"/>
  <c r="N2265" i="1"/>
  <c r="O2265" i="1"/>
  <c r="P2265" i="1"/>
  <c r="Q2265" i="1"/>
  <c r="R2265" i="1"/>
  <c r="S2265" i="1"/>
  <c r="M2266" i="1"/>
  <c r="N2266" i="1"/>
  <c r="O2266" i="1"/>
  <c r="P2266" i="1"/>
  <c r="Q2266" i="1"/>
  <c r="R2266" i="1"/>
  <c r="S2266" i="1"/>
  <c r="M2267" i="1"/>
  <c r="N2267" i="1"/>
  <c r="O2267" i="1"/>
  <c r="P2267" i="1"/>
  <c r="Q2267" i="1"/>
  <c r="R2267" i="1"/>
  <c r="S2267" i="1"/>
  <c r="M2268" i="1"/>
  <c r="N2268" i="1"/>
  <c r="O2268" i="1"/>
  <c r="P2268" i="1"/>
  <c r="Q2268" i="1"/>
  <c r="R2268" i="1"/>
  <c r="S2268" i="1"/>
  <c r="M2269" i="1"/>
  <c r="N2269" i="1"/>
  <c r="O2269" i="1"/>
  <c r="P2269" i="1"/>
  <c r="Q2269" i="1"/>
  <c r="R2269" i="1"/>
  <c r="S2269" i="1"/>
  <c r="M2270" i="1"/>
  <c r="N2270" i="1"/>
  <c r="O2270" i="1"/>
  <c r="P2270" i="1"/>
  <c r="Q2270" i="1"/>
  <c r="R2270" i="1"/>
  <c r="S2270" i="1"/>
  <c r="M2271" i="1"/>
  <c r="N2271" i="1"/>
  <c r="O2271" i="1"/>
  <c r="P2271" i="1"/>
  <c r="Q2271" i="1"/>
  <c r="R2271" i="1"/>
  <c r="S2271" i="1"/>
  <c r="M2272" i="1"/>
  <c r="N2272" i="1"/>
  <c r="O2272" i="1"/>
  <c r="P2272" i="1"/>
  <c r="Q2272" i="1"/>
  <c r="R2272" i="1"/>
  <c r="S2272" i="1"/>
  <c r="M2273" i="1"/>
  <c r="N2273" i="1"/>
  <c r="O2273" i="1"/>
  <c r="P2273" i="1"/>
  <c r="Q2273" i="1"/>
  <c r="R2273" i="1"/>
  <c r="S2273" i="1"/>
  <c r="M2274" i="1"/>
  <c r="N2274" i="1"/>
  <c r="O2274" i="1"/>
  <c r="P2274" i="1"/>
  <c r="Q2274" i="1"/>
  <c r="R2274" i="1"/>
  <c r="S2274" i="1"/>
  <c r="M2275" i="1"/>
  <c r="N2275" i="1"/>
  <c r="O2275" i="1"/>
  <c r="P2275" i="1"/>
  <c r="Q2275" i="1"/>
  <c r="R2275" i="1"/>
  <c r="S2275" i="1"/>
  <c r="M2276" i="1"/>
  <c r="N2276" i="1"/>
  <c r="O2276" i="1"/>
  <c r="P2276" i="1"/>
  <c r="Q2276" i="1"/>
  <c r="R2276" i="1"/>
  <c r="S2276" i="1"/>
  <c r="M2277" i="1"/>
  <c r="N2277" i="1"/>
  <c r="O2277" i="1"/>
  <c r="P2277" i="1"/>
  <c r="Q2277" i="1"/>
  <c r="R2277" i="1"/>
  <c r="S2277" i="1"/>
  <c r="M2278" i="1"/>
  <c r="N2278" i="1"/>
  <c r="O2278" i="1"/>
  <c r="P2278" i="1"/>
  <c r="Q2278" i="1"/>
  <c r="R2278" i="1"/>
  <c r="S2278" i="1"/>
  <c r="M2279" i="1"/>
  <c r="N2279" i="1"/>
  <c r="O2279" i="1"/>
  <c r="P2279" i="1"/>
  <c r="Q2279" i="1"/>
  <c r="R2279" i="1"/>
  <c r="S2279" i="1"/>
  <c r="M2280" i="1"/>
  <c r="N2280" i="1"/>
  <c r="O2280" i="1"/>
  <c r="P2280" i="1"/>
  <c r="Q2280" i="1"/>
  <c r="R2280" i="1"/>
  <c r="S2280" i="1"/>
  <c r="M2281" i="1"/>
  <c r="N2281" i="1"/>
  <c r="O2281" i="1"/>
  <c r="P2281" i="1"/>
  <c r="Q2281" i="1"/>
  <c r="R2281" i="1"/>
  <c r="S2281" i="1"/>
  <c r="M2282" i="1"/>
  <c r="N2282" i="1"/>
  <c r="O2282" i="1"/>
  <c r="P2282" i="1"/>
  <c r="Q2282" i="1"/>
  <c r="R2282" i="1"/>
  <c r="S2282" i="1"/>
  <c r="M2283" i="1"/>
  <c r="N2283" i="1"/>
  <c r="O2283" i="1"/>
  <c r="P2283" i="1"/>
  <c r="Q2283" i="1"/>
  <c r="R2283" i="1"/>
  <c r="S2283" i="1"/>
  <c r="M2284" i="1"/>
  <c r="N2284" i="1"/>
  <c r="O2284" i="1"/>
  <c r="P2284" i="1"/>
  <c r="Q2284" i="1"/>
  <c r="R2284" i="1"/>
  <c r="S2284" i="1"/>
  <c r="M2285" i="1"/>
  <c r="N2285" i="1"/>
  <c r="O2285" i="1"/>
  <c r="P2285" i="1"/>
  <c r="Q2285" i="1"/>
  <c r="R2285" i="1"/>
  <c r="S2285" i="1"/>
  <c r="M2286" i="1"/>
  <c r="N2286" i="1"/>
  <c r="O2286" i="1"/>
  <c r="P2286" i="1"/>
  <c r="Q2286" i="1"/>
  <c r="R2286" i="1"/>
  <c r="S2286" i="1"/>
  <c r="M2287" i="1"/>
  <c r="N2287" i="1"/>
  <c r="O2287" i="1"/>
  <c r="P2287" i="1"/>
  <c r="Q2287" i="1"/>
  <c r="R2287" i="1"/>
  <c r="S2287" i="1"/>
  <c r="M2288" i="1"/>
  <c r="N2288" i="1"/>
  <c r="O2288" i="1"/>
  <c r="P2288" i="1"/>
  <c r="Q2288" i="1"/>
  <c r="R2288" i="1"/>
  <c r="S2288" i="1"/>
  <c r="M2289" i="1"/>
  <c r="N2289" i="1"/>
  <c r="O2289" i="1"/>
  <c r="P2289" i="1"/>
  <c r="Q2289" i="1"/>
  <c r="R2289" i="1"/>
  <c r="S2289" i="1"/>
  <c r="M2290" i="1"/>
  <c r="N2290" i="1"/>
  <c r="O2290" i="1"/>
  <c r="P2290" i="1"/>
  <c r="Q2290" i="1"/>
  <c r="R2290" i="1"/>
  <c r="S2290" i="1"/>
  <c r="M2291" i="1"/>
  <c r="N2291" i="1"/>
  <c r="O2291" i="1"/>
  <c r="P2291" i="1"/>
  <c r="Q2291" i="1"/>
  <c r="R2291" i="1"/>
  <c r="S2291" i="1"/>
  <c r="M2292" i="1"/>
  <c r="N2292" i="1"/>
  <c r="O2292" i="1"/>
  <c r="P2292" i="1"/>
  <c r="Q2292" i="1"/>
  <c r="R2292" i="1"/>
  <c r="S2292" i="1"/>
  <c r="M2293" i="1"/>
  <c r="N2293" i="1"/>
  <c r="O2293" i="1"/>
  <c r="P2293" i="1"/>
  <c r="Q2293" i="1"/>
  <c r="R2293" i="1"/>
  <c r="S2293" i="1"/>
  <c r="M2294" i="1"/>
  <c r="N2294" i="1"/>
  <c r="O2294" i="1"/>
  <c r="P2294" i="1"/>
  <c r="Q2294" i="1"/>
  <c r="R2294" i="1"/>
  <c r="S2294" i="1"/>
  <c r="M2295" i="1"/>
  <c r="N2295" i="1"/>
  <c r="O2295" i="1"/>
  <c r="P2295" i="1"/>
  <c r="Q2295" i="1"/>
  <c r="R2295" i="1"/>
  <c r="S2295" i="1"/>
  <c r="M2296" i="1"/>
  <c r="N2296" i="1"/>
  <c r="O2296" i="1"/>
  <c r="P2296" i="1"/>
  <c r="Q2296" i="1"/>
  <c r="R2296" i="1"/>
  <c r="S2296" i="1"/>
  <c r="M2297" i="1"/>
  <c r="N2297" i="1"/>
  <c r="O2297" i="1"/>
  <c r="P2297" i="1"/>
  <c r="Q2297" i="1"/>
  <c r="R2297" i="1"/>
  <c r="S2297" i="1"/>
  <c r="M2298" i="1"/>
  <c r="N2298" i="1"/>
  <c r="O2298" i="1"/>
  <c r="P2298" i="1"/>
  <c r="Q2298" i="1"/>
  <c r="R2298" i="1"/>
  <c r="S2298" i="1"/>
  <c r="M2299" i="1"/>
  <c r="N2299" i="1"/>
  <c r="O2299" i="1"/>
  <c r="P2299" i="1"/>
  <c r="Q2299" i="1"/>
  <c r="R2299" i="1"/>
  <c r="S2299" i="1"/>
  <c r="M2300" i="1"/>
  <c r="N2300" i="1"/>
  <c r="O2300" i="1"/>
  <c r="P2300" i="1"/>
  <c r="Q2300" i="1"/>
  <c r="R2300" i="1"/>
  <c r="S2300" i="1"/>
  <c r="M2301" i="1"/>
  <c r="N2301" i="1"/>
  <c r="O2301" i="1"/>
  <c r="P2301" i="1"/>
  <c r="Q2301" i="1"/>
  <c r="R2301" i="1"/>
  <c r="S2301" i="1"/>
  <c r="M2302" i="1"/>
  <c r="N2302" i="1"/>
  <c r="O2302" i="1"/>
  <c r="P2302" i="1"/>
  <c r="Q2302" i="1"/>
  <c r="R2302" i="1"/>
  <c r="S2302" i="1"/>
  <c r="M2303" i="1"/>
  <c r="N2303" i="1"/>
  <c r="O2303" i="1"/>
  <c r="P2303" i="1"/>
  <c r="Q2303" i="1"/>
  <c r="R2303" i="1"/>
  <c r="S2303" i="1"/>
  <c r="M2304" i="1"/>
  <c r="N2304" i="1"/>
  <c r="O2304" i="1"/>
  <c r="P2304" i="1"/>
  <c r="Q2304" i="1"/>
  <c r="R2304" i="1"/>
  <c r="S2304" i="1"/>
  <c r="M2305" i="1"/>
  <c r="N2305" i="1"/>
  <c r="O2305" i="1"/>
  <c r="P2305" i="1"/>
  <c r="Q2305" i="1"/>
  <c r="R2305" i="1"/>
  <c r="S2305" i="1"/>
  <c r="M2306" i="1"/>
  <c r="N2306" i="1"/>
  <c r="O2306" i="1"/>
  <c r="P2306" i="1"/>
  <c r="Q2306" i="1"/>
  <c r="R2306" i="1"/>
  <c r="S2306" i="1"/>
  <c r="M2307" i="1"/>
  <c r="N2307" i="1"/>
  <c r="O2307" i="1"/>
  <c r="P2307" i="1"/>
  <c r="Q2307" i="1"/>
  <c r="R2307" i="1"/>
  <c r="S2307" i="1"/>
  <c r="M2308" i="1"/>
  <c r="N2308" i="1"/>
  <c r="O2308" i="1"/>
  <c r="P2308" i="1"/>
  <c r="Q2308" i="1"/>
  <c r="R2308" i="1"/>
  <c r="S2308" i="1"/>
  <c r="M2309" i="1"/>
  <c r="N2309" i="1"/>
  <c r="O2309" i="1"/>
  <c r="P2309" i="1"/>
  <c r="Q2309" i="1"/>
  <c r="R2309" i="1"/>
  <c r="S2309" i="1"/>
  <c r="M2310" i="1"/>
  <c r="N2310" i="1"/>
  <c r="O2310" i="1"/>
  <c r="P2310" i="1"/>
  <c r="Q2310" i="1"/>
  <c r="R2310" i="1"/>
  <c r="S2310" i="1"/>
  <c r="M2311" i="1"/>
  <c r="N2311" i="1"/>
  <c r="O2311" i="1"/>
  <c r="P2311" i="1"/>
  <c r="Q2311" i="1"/>
  <c r="R2311" i="1"/>
  <c r="S2311" i="1"/>
  <c r="M2312" i="1"/>
  <c r="N2312" i="1"/>
  <c r="O2312" i="1"/>
  <c r="P2312" i="1"/>
  <c r="Q2312" i="1"/>
  <c r="R2312" i="1"/>
  <c r="S2312" i="1"/>
  <c r="M2313" i="1"/>
  <c r="N2313" i="1"/>
  <c r="O2313" i="1"/>
  <c r="P2313" i="1"/>
  <c r="Q2313" i="1"/>
  <c r="R2313" i="1"/>
  <c r="S2313" i="1"/>
  <c r="M2314" i="1"/>
  <c r="N2314" i="1"/>
  <c r="O2314" i="1"/>
  <c r="P2314" i="1"/>
  <c r="Q2314" i="1"/>
  <c r="R2314" i="1"/>
  <c r="S2314" i="1"/>
  <c r="M2315" i="1"/>
  <c r="N2315" i="1"/>
  <c r="O2315" i="1"/>
  <c r="P2315" i="1"/>
  <c r="Q2315" i="1"/>
  <c r="R2315" i="1"/>
  <c r="S2315" i="1"/>
  <c r="M2316" i="1"/>
  <c r="N2316" i="1"/>
  <c r="O2316" i="1"/>
  <c r="P2316" i="1"/>
  <c r="Q2316" i="1"/>
  <c r="R2316" i="1"/>
  <c r="S2316" i="1"/>
  <c r="M2317" i="1"/>
  <c r="N2317" i="1"/>
  <c r="O2317" i="1"/>
  <c r="P2317" i="1"/>
  <c r="Q2317" i="1"/>
  <c r="R2317" i="1"/>
  <c r="S2317" i="1"/>
  <c r="M2318" i="1"/>
  <c r="N2318" i="1"/>
  <c r="O2318" i="1"/>
  <c r="P2318" i="1"/>
  <c r="Q2318" i="1"/>
  <c r="R2318" i="1"/>
  <c r="S2318" i="1"/>
  <c r="M2319" i="1"/>
  <c r="N2319" i="1"/>
  <c r="O2319" i="1"/>
  <c r="P2319" i="1"/>
  <c r="Q2319" i="1"/>
  <c r="R2319" i="1"/>
  <c r="S2319" i="1"/>
  <c r="M2320" i="1"/>
  <c r="N2320" i="1"/>
  <c r="O2320" i="1"/>
  <c r="P2320" i="1"/>
  <c r="Q2320" i="1"/>
  <c r="R2320" i="1"/>
  <c r="S2320" i="1"/>
  <c r="M2321" i="1"/>
  <c r="N2321" i="1"/>
  <c r="O2321" i="1"/>
  <c r="P2321" i="1"/>
  <c r="Q2321" i="1"/>
  <c r="R2321" i="1"/>
  <c r="S2321" i="1"/>
  <c r="M2322" i="1"/>
  <c r="N2322" i="1"/>
  <c r="O2322" i="1"/>
  <c r="P2322" i="1"/>
  <c r="Q2322" i="1"/>
  <c r="R2322" i="1"/>
  <c r="S2322" i="1"/>
  <c r="M2323" i="1"/>
  <c r="N2323" i="1"/>
  <c r="O2323" i="1"/>
  <c r="P2323" i="1"/>
  <c r="Q2323" i="1"/>
  <c r="R2323" i="1"/>
  <c r="S2323" i="1"/>
  <c r="M2324" i="1"/>
  <c r="N2324" i="1"/>
  <c r="O2324" i="1"/>
  <c r="P2324" i="1"/>
  <c r="Q2324" i="1"/>
  <c r="R2324" i="1"/>
  <c r="S2324" i="1"/>
  <c r="M2325" i="1"/>
  <c r="N2325" i="1"/>
  <c r="O2325" i="1"/>
  <c r="P2325" i="1"/>
  <c r="Q2325" i="1"/>
  <c r="R2325" i="1"/>
  <c r="S2325" i="1"/>
  <c r="M2326" i="1"/>
  <c r="N2326" i="1"/>
  <c r="O2326" i="1"/>
  <c r="P2326" i="1"/>
  <c r="Q2326" i="1"/>
  <c r="R2326" i="1"/>
  <c r="S2326" i="1"/>
  <c r="M2327" i="1"/>
  <c r="N2327" i="1"/>
  <c r="O2327" i="1"/>
  <c r="P2327" i="1"/>
  <c r="Q2327" i="1"/>
  <c r="R2327" i="1"/>
  <c r="S2327" i="1"/>
  <c r="M2328" i="1"/>
  <c r="N2328" i="1"/>
  <c r="O2328" i="1"/>
  <c r="P2328" i="1"/>
  <c r="Q2328" i="1"/>
  <c r="R2328" i="1"/>
  <c r="S2328" i="1"/>
  <c r="M2329" i="1"/>
  <c r="N2329" i="1"/>
  <c r="O2329" i="1"/>
  <c r="P2329" i="1"/>
  <c r="Q2329" i="1"/>
  <c r="R2329" i="1"/>
  <c r="S2329" i="1"/>
  <c r="M2330" i="1"/>
  <c r="N2330" i="1"/>
  <c r="O2330" i="1"/>
  <c r="P2330" i="1"/>
  <c r="Q2330" i="1"/>
  <c r="R2330" i="1"/>
  <c r="S2330" i="1"/>
  <c r="M2331" i="1"/>
  <c r="N2331" i="1"/>
  <c r="O2331" i="1"/>
  <c r="P2331" i="1"/>
  <c r="Q2331" i="1"/>
  <c r="R2331" i="1"/>
  <c r="S2331" i="1"/>
  <c r="M2332" i="1"/>
  <c r="N2332" i="1"/>
  <c r="O2332" i="1"/>
  <c r="P2332" i="1"/>
  <c r="Q2332" i="1"/>
  <c r="R2332" i="1"/>
  <c r="S2332" i="1"/>
  <c r="M2333" i="1"/>
  <c r="N2333" i="1"/>
  <c r="O2333" i="1"/>
  <c r="P2333" i="1"/>
  <c r="Q2333" i="1"/>
  <c r="R2333" i="1"/>
  <c r="S2333" i="1"/>
  <c r="M2334" i="1"/>
  <c r="N2334" i="1"/>
  <c r="O2334" i="1"/>
  <c r="P2334" i="1"/>
  <c r="Q2334" i="1"/>
  <c r="R2334" i="1"/>
  <c r="S2334" i="1"/>
  <c r="M2335" i="1"/>
  <c r="N2335" i="1"/>
  <c r="O2335" i="1"/>
  <c r="P2335" i="1"/>
  <c r="Q2335" i="1"/>
  <c r="R2335" i="1"/>
  <c r="S2335" i="1"/>
  <c r="M2336" i="1"/>
  <c r="N2336" i="1"/>
  <c r="O2336" i="1"/>
  <c r="P2336" i="1"/>
  <c r="Q2336" i="1"/>
  <c r="R2336" i="1"/>
  <c r="S2336" i="1"/>
  <c r="M2337" i="1"/>
  <c r="N2337" i="1"/>
  <c r="O2337" i="1"/>
  <c r="P2337" i="1"/>
  <c r="Q2337" i="1"/>
  <c r="R2337" i="1"/>
  <c r="S2337" i="1"/>
  <c r="M2338" i="1"/>
  <c r="N2338" i="1"/>
  <c r="O2338" i="1"/>
  <c r="P2338" i="1"/>
  <c r="Q2338" i="1"/>
  <c r="R2338" i="1"/>
  <c r="S2338" i="1"/>
  <c r="M2339" i="1"/>
  <c r="N2339" i="1"/>
  <c r="O2339" i="1"/>
  <c r="P2339" i="1"/>
  <c r="Q2339" i="1"/>
  <c r="R2339" i="1"/>
  <c r="S2339" i="1"/>
  <c r="M2340" i="1"/>
  <c r="N2340" i="1"/>
  <c r="O2340" i="1"/>
  <c r="P2340" i="1"/>
  <c r="Q2340" i="1"/>
  <c r="R2340" i="1"/>
  <c r="S2340" i="1"/>
  <c r="M2341" i="1"/>
  <c r="N2341" i="1"/>
  <c r="O2341" i="1"/>
  <c r="P2341" i="1"/>
  <c r="Q2341" i="1"/>
  <c r="R2341" i="1"/>
  <c r="S2341" i="1"/>
  <c r="M2342" i="1"/>
  <c r="N2342" i="1"/>
  <c r="O2342" i="1"/>
  <c r="P2342" i="1"/>
  <c r="Q2342" i="1"/>
  <c r="R2342" i="1"/>
  <c r="S2342" i="1"/>
  <c r="M2343" i="1"/>
  <c r="N2343" i="1"/>
  <c r="O2343" i="1"/>
  <c r="P2343" i="1"/>
  <c r="Q2343" i="1"/>
  <c r="R2343" i="1"/>
  <c r="S2343" i="1"/>
  <c r="M2344" i="1"/>
  <c r="N2344" i="1"/>
  <c r="O2344" i="1"/>
  <c r="P2344" i="1"/>
  <c r="Q2344" i="1"/>
  <c r="R2344" i="1"/>
  <c r="S2344" i="1"/>
  <c r="M2345" i="1"/>
  <c r="N2345" i="1"/>
  <c r="O2345" i="1"/>
  <c r="P2345" i="1"/>
  <c r="Q2345" i="1"/>
  <c r="R2345" i="1"/>
  <c r="S2345" i="1"/>
  <c r="M2346" i="1"/>
  <c r="N2346" i="1"/>
  <c r="O2346" i="1"/>
  <c r="P2346" i="1"/>
  <c r="Q2346" i="1"/>
  <c r="R2346" i="1"/>
  <c r="S2346" i="1"/>
  <c r="M2347" i="1"/>
  <c r="N2347" i="1"/>
  <c r="O2347" i="1"/>
  <c r="P2347" i="1"/>
  <c r="Q2347" i="1"/>
  <c r="R2347" i="1"/>
  <c r="S2347" i="1"/>
  <c r="M2348" i="1"/>
  <c r="N2348" i="1"/>
  <c r="O2348" i="1"/>
  <c r="P2348" i="1"/>
  <c r="Q2348" i="1"/>
  <c r="R2348" i="1"/>
  <c r="S2348" i="1"/>
  <c r="M2349" i="1"/>
  <c r="N2349" i="1"/>
  <c r="O2349" i="1"/>
  <c r="P2349" i="1"/>
  <c r="Q2349" i="1"/>
  <c r="R2349" i="1"/>
  <c r="S2349" i="1"/>
  <c r="M2350" i="1"/>
  <c r="N2350" i="1"/>
  <c r="O2350" i="1"/>
  <c r="P2350" i="1"/>
  <c r="Q2350" i="1"/>
  <c r="R2350" i="1"/>
  <c r="S2350" i="1"/>
  <c r="M2351" i="1"/>
  <c r="N2351" i="1"/>
  <c r="O2351" i="1"/>
  <c r="P2351" i="1"/>
  <c r="Q2351" i="1"/>
  <c r="R2351" i="1"/>
  <c r="S2351" i="1"/>
  <c r="M2352" i="1"/>
  <c r="N2352" i="1"/>
  <c r="O2352" i="1"/>
  <c r="P2352" i="1"/>
  <c r="Q2352" i="1"/>
  <c r="R2352" i="1"/>
  <c r="S2352" i="1"/>
  <c r="M2353" i="1"/>
  <c r="N2353" i="1"/>
  <c r="O2353" i="1"/>
  <c r="P2353" i="1"/>
  <c r="Q2353" i="1"/>
  <c r="R2353" i="1"/>
  <c r="S2353" i="1"/>
  <c r="M2354" i="1"/>
  <c r="N2354" i="1"/>
  <c r="O2354" i="1"/>
  <c r="P2354" i="1"/>
  <c r="Q2354" i="1"/>
  <c r="R2354" i="1"/>
  <c r="S2354" i="1"/>
  <c r="M2355" i="1"/>
  <c r="N2355" i="1"/>
  <c r="O2355" i="1"/>
  <c r="P2355" i="1"/>
  <c r="Q2355" i="1"/>
  <c r="R2355" i="1"/>
  <c r="S2355" i="1"/>
  <c r="M2356" i="1"/>
  <c r="N2356" i="1"/>
  <c r="O2356" i="1"/>
  <c r="P2356" i="1"/>
  <c r="Q2356" i="1"/>
  <c r="R2356" i="1"/>
  <c r="S2356" i="1"/>
  <c r="M2357" i="1"/>
  <c r="N2357" i="1"/>
  <c r="O2357" i="1"/>
  <c r="P2357" i="1"/>
  <c r="Q2357" i="1"/>
  <c r="R2357" i="1"/>
  <c r="S2357" i="1"/>
  <c r="M2358" i="1"/>
  <c r="N2358" i="1"/>
  <c r="O2358" i="1"/>
  <c r="P2358" i="1"/>
  <c r="Q2358" i="1"/>
  <c r="R2358" i="1"/>
  <c r="S2358" i="1"/>
  <c r="M2359" i="1"/>
  <c r="N2359" i="1"/>
  <c r="O2359" i="1"/>
  <c r="P2359" i="1"/>
  <c r="Q2359" i="1"/>
  <c r="R2359" i="1"/>
  <c r="S2359" i="1"/>
  <c r="M2360" i="1"/>
  <c r="N2360" i="1"/>
  <c r="O2360" i="1"/>
  <c r="P2360" i="1"/>
  <c r="Q2360" i="1"/>
  <c r="R2360" i="1"/>
  <c r="S2360" i="1"/>
  <c r="M2361" i="1"/>
  <c r="N2361" i="1"/>
  <c r="O2361" i="1"/>
  <c r="P2361" i="1"/>
  <c r="Q2361" i="1"/>
  <c r="R2361" i="1"/>
  <c r="S2361" i="1"/>
  <c r="M2362" i="1"/>
  <c r="N2362" i="1"/>
  <c r="O2362" i="1"/>
  <c r="P2362" i="1"/>
  <c r="Q2362" i="1"/>
  <c r="R2362" i="1"/>
  <c r="S2362" i="1"/>
  <c r="M2363" i="1"/>
  <c r="N2363" i="1"/>
  <c r="O2363" i="1"/>
  <c r="P2363" i="1"/>
  <c r="Q2363" i="1"/>
  <c r="R2363" i="1"/>
  <c r="S2363" i="1"/>
  <c r="M2364" i="1"/>
  <c r="N2364" i="1"/>
  <c r="O2364" i="1"/>
  <c r="P2364" i="1"/>
  <c r="Q2364" i="1"/>
  <c r="R2364" i="1"/>
  <c r="S2364" i="1"/>
  <c r="M2365" i="1"/>
  <c r="N2365" i="1"/>
  <c r="O2365" i="1"/>
  <c r="P2365" i="1"/>
  <c r="Q2365" i="1"/>
  <c r="R2365" i="1"/>
  <c r="S2365" i="1"/>
  <c r="M2366" i="1"/>
  <c r="N2366" i="1"/>
  <c r="O2366" i="1"/>
  <c r="P2366" i="1"/>
  <c r="Q2366" i="1"/>
  <c r="R2366" i="1"/>
  <c r="S2366" i="1"/>
  <c r="M2367" i="1"/>
  <c r="N2367" i="1"/>
  <c r="O2367" i="1"/>
  <c r="P2367" i="1"/>
  <c r="Q2367" i="1"/>
  <c r="R2367" i="1"/>
  <c r="S2367" i="1"/>
  <c r="M2368" i="1"/>
  <c r="N2368" i="1"/>
  <c r="O2368" i="1"/>
  <c r="P2368" i="1"/>
  <c r="Q2368" i="1"/>
  <c r="R2368" i="1"/>
  <c r="S2368" i="1"/>
  <c r="M2369" i="1"/>
  <c r="N2369" i="1"/>
  <c r="O2369" i="1"/>
  <c r="P2369" i="1"/>
  <c r="Q2369" i="1"/>
  <c r="R2369" i="1"/>
  <c r="S2369" i="1"/>
  <c r="M2370" i="1"/>
  <c r="N2370" i="1"/>
  <c r="O2370" i="1"/>
  <c r="P2370" i="1"/>
  <c r="Q2370" i="1"/>
  <c r="R2370" i="1"/>
  <c r="S2370" i="1"/>
  <c r="M2371" i="1"/>
  <c r="N2371" i="1"/>
  <c r="O2371" i="1"/>
  <c r="P2371" i="1"/>
  <c r="Q2371" i="1"/>
  <c r="R2371" i="1"/>
  <c r="S2371" i="1"/>
  <c r="M2372" i="1"/>
  <c r="N2372" i="1"/>
  <c r="O2372" i="1"/>
  <c r="P2372" i="1"/>
  <c r="Q2372" i="1"/>
  <c r="R2372" i="1"/>
  <c r="S2372" i="1"/>
  <c r="M2373" i="1"/>
  <c r="N2373" i="1"/>
  <c r="O2373" i="1"/>
  <c r="P2373" i="1"/>
  <c r="Q2373" i="1"/>
  <c r="R2373" i="1"/>
  <c r="S2373" i="1"/>
  <c r="M2374" i="1"/>
  <c r="N2374" i="1"/>
  <c r="O2374" i="1"/>
  <c r="P2374" i="1"/>
  <c r="Q2374" i="1"/>
  <c r="R2374" i="1"/>
  <c r="S2374" i="1"/>
  <c r="M2375" i="1"/>
  <c r="N2375" i="1"/>
  <c r="O2375" i="1"/>
  <c r="P2375" i="1"/>
  <c r="Q2375" i="1"/>
  <c r="R2375" i="1"/>
  <c r="S2375" i="1"/>
  <c r="M2376" i="1"/>
  <c r="N2376" i="1"/>
  <c r="O2376" i="1"/>
  <c r="P2376" i="1"/>
  <c r="Q2376" i="1"/>
  <c r="R2376" i="1"/>
  <c r="S2376" i="1"/>
  <c r="M2377" i="1"/>
  <c r="N2377" i="1"/>
  <c r="O2377" i="1"/>
  <c r="P2377" i="1"/>
  <c r="Q2377" i="1"/>
  <c r="R2377" i="1"/>
  <c r="S2377" i="1"/>
  <c r="M2378" i="1"/>
  <c r="N2378" i="1"/>
  <c r="O2378" i="1"/>
  <c r="P2378" i="1"/>
  <c r="Q2378" i="1"/>
  <c r="R2378" i="1"/>
  <c r="S2378" i="1"/>
  <c r="M2379" i="1"/>
  <c r="N2379" i="1"/>
  <c r="O2379" i="1"/>
  <c r="P2379" i="1"/>
  <c r="Q2379" i="1"/>
  <c r="R2379" i="1"/>
  <c r="S2379" i="1"/>
  <c r="M2380" i="1"/>
  <c r="N2380" i="1"/>
  <c r="O2380" i="1"/>
  <c r="P2380" i="1"/>
  <c r="Q2380" i="1"/>
  <c r="R2380" i="1"/>
  <c r="S2380" i="1"/>
  <c r="M2381" i="1"/>
  <c r="N2381" i="1"/>
  <c r="O2381" i="1"/>
  <c r="P2381" i="1"/>
  <c r="Q2381" i="1"/>
  <c r="R2381" i="1"/>
  <c r="S2381" i="1"/>
  <c r="M2382" i="1"/>
  <c r="N2382" i="1"/>
  <c r="O2382" i="1"/>
  <c r="P2382" i="1"/>
  <c r="Q2382" i="1"/>
  <c r="R2382" i="1"/>
  <c r="S2382" i="1"/>
  <c r="M2383" i="1"/>
  <c r="N2383" i="1"/>
  <c r="O2383" i="1"/>
  <c r="P2383" i="1"/>
  <c r="Q2383" i="1"/>
  <c r="R2383" i="1"/>
  <c r="S2383" i="1"/>
  <c r="M2384" i="1"/>
  <c r="N2384" i="1"/>
  <c r="O2384" i="1"/>
  <c r="P2384" i="1"/>
  <c r="Q2384" i="1"/>
  <c r="R2384" i="1"/>
  <c r="S2384" i="1"/>
  <c r="M2385" i="1"/>
  <c r="N2385" i="1"/>
  <c r="O2385" i="1"/>
  <c r="P2385" i="1"/>
  <c r="Q2385" i="1"/>
  <c r="R2385" i="1"/>
  <c r="S2385" i="1"/>
  <c r="M2386" i="1"/>
  <c r="N2386" i="1"/>
  <c r="O2386" i="1"/>
  <c r="P2386" i="1"/>
  <c r="Q2386" i="1"/>
  <c r="R2386" i="1"/>
  <c r="S2386" i="1"/>
  <c r="M2387" i="1"/>
  <c r="N2387" i="1"/>
  <c r="O2387" i="1"/>
  <c r="P2387" i="1"/>
  <c r="Q2387" i="1"/>
  <c r="R2387" i="1"/>
  <c r="S2387" i="1"/>
  <c r="M2388" i="1"/>
  <c r="N2388" i="1"/>
  <c r="O2388" i="1"/>
  <c r="P2388" i="1"/>
  <c r="Q2388" i="1"/>
  <c r="R2388" i="1"/>
  <c r="S2388" i="1"/>
  <c r="M2389" i="1"/>
  <c r="N2389" i="1"/>
  <c r="O2389" i="1"/>
  <c r="P2389" i="1"/>
  <c r="Q2389" i="1"/>
  <c r="R2389" i="1"/>
  <c r="S2389" i="1"/>
  <c r="M2390" i="1"/>
  <c r="N2390" i="1"/>
  <c r="O2390" i="1"/>
  <c r="P2390" i="1"/>
  <c r="Q2390" i="1"/>
  <c r="R2390" i="1"/>
  <c r="S2390" i="1"/>
  <c r="M2391" i="1"/>
  <c r="N2391" i="1"/>
  <c r="O2391" i="1"/>
  <c r="P2391" i="1"/>
  <c r="Q2391" i="1"/>
  <c r="R2391" i="1"/>
  <c r="S2391" i="1"/>
  <c r="M2392" i="1"/>
  <c r="N2392" i="1"/>
  <c r="O2392" i="1"/>
  <c r="P2392" i="1"/>
  <c r="Q2392" i="1"/>
  <c r="R2392" i="1"/>
  <c r="S2392" i="1"/>
  <c r="M2393" i="1"/>
  <c r="N2393" i="1"/>
  <c r="O2393" i="1"/>
  <c r="P2393" i="1"/>
  <c r="Q2393" i="1"/>
  <c r="R2393" i="1"/>
  <c r="S2393" i="1"/>
  <c r="M2394" i="1"/>
  <c r="N2394" i="1"/>
  <c r="O2394" i="1"/>
  <c r="P2394" i="1"/>
  <c r="Q2394" i="1"/>
  <c r="R2394" i="1"/>
  <c r="S2394" i="1"/>
  <c r="M2395" i="1"/>
  <c r="N2395" i="1"/>
  <c r="O2395" i="1"/>
  <c r="P2395" i="1"/>
  <c r="Q2395" i="1"/>
  <c r="R2395" i="1"/>
  <c r="S2395" i="1"/>
  <c r="M2396" i="1"/>
  <c r="N2396" i="1"/>
  <c r="O2396" i="1"/>
  <c r="P2396" i="1"/>
  <c r="Q2396" i="1"/>
  <c r="R2396" i="1"/>
  <c r="S2396" i="1"/>
  <c r="M2397" i="1"/>
  <c r="N2397" i="1"/>
  <c r="O2397" i="1"/>
  <c r="P2397" i="1"/>
  <c r="Q2397" i="1"/>
  <c r="R2397" i="1"/>
  <c r="S2397" i="1"/>
  <c r="M2398" i="1"/>
  <c r="N2398" i="1"/>
  <c r="O2398" i="1"/>
  <c r="P2398" i="1"/>
  <c r="Q2398" i="1"/>
  <c r="R2398" i="1"/>
  <c r="S2398" i="1"/>
  <c r="M2399" i="1"/>
  <c r="N2399" i="1"/>
  <c r="O2399" i="1"/>
  <c r="P2399" i="1"/>
  <c r="Q2399" i="1"/>
  <c r="R2399" i="1"/>
  <c r="S2399" i="1"/>
  <c r="M2400" i="1"/>
  <c r="N2400" i="1"/>
  <c r="O2400" i="1"/>
  <c r="P2400" i="1"/>
  <c r="Q2400" i="1"/>
  <c r="R2400" i="1"/>
  <c r="S2400" i="1"/>
  <c r="M2401" i="1"/>
  <c r="N2401" i="1"/>
  <c r="O2401" i="1"/>
  <c r="P2401" i="1"/>
  <c r="Q2401" i="1"/>
  <c r="R2401" i="1"/>
  <c r="S2401" i="1"/>
  <c r="M2402" i="1"/>
  <c r="N2402" i="1"/>
  <c r="O2402" i="1"/>
  <c r="P2402" i="1"/>
  <c r="Q2402" i="1"/>
  <c r="R2402" i="1"/>
  <c r="S2402" i="1"/>
  <c r="M2403" i="1"/>
  <c r="N2403" i="1"/>
  <c r="O2403" i="1"/>
  <c r="P2403" i="1"/>
  <c r="Q2403" i="1"/>
  <c r="R2403" i="1"/>
  <c r="S2403" i="1"/>
  <c r="M2404" i="1"/>
  <c r="N2404" i="1"/>
  <c r="O2404" i="1"/>
  <c r="P2404" i="1"/>
  <c r="Q2404" i="1"/>
  <c r="R2404" i="1"/>
  <c r="S2404" i="1"/>
  <c r="M2405" i="1"/>
  <c r="N2405" i="1"/>
  <c r="O2405" i="1"/>
  <c r="P2405" i="1"/>
  <c r="Q2405" i="1"/>
  <c r="R2405" i="1"/>
  <c r="S2405" i="1"/>
  <c r="M2406" i="1"/>
  <c r="N2406" i="1"/>
  <c r="O2406" i="1"/>
  <c r="P2406" i="1"/>
  <c r="Q2406" i="1"/>
  <c r="R2406" i="1"/>
  <c r="S2406" i="1"/>
  <c r="M2407" i="1"/>
  <c r="N2407" i="1"/>
  <c r="O2407" i="1"/>
  <c r="P2407" i="1"/>
  <c r="Q2407" i="1"/>
  <c r="R2407" i="1"/>
  <c r="S2407" i="1"/>
  <c r="M2408" i="1"/>
  <c r="N2408" i="1"/>
  <c r="O2408" i="1"/>
  <c r="P2408" i="1"/>
  <c r="Q2408" i="1"/>
  <c r="R2408" i="1"/>
  <c r="S2408" i="1"/>
  <c r="M2409" i="1"/>
  <c r="N2409" i="1"/>
  <c r="O2409" i="1"/>
  <c r="P2409" i="1"/>
  <c r="Q2409" i="1"/>
  <c r="R2409" i="1"/>
  <c r="S2409" i="1"/>
  <c r="M2410" i="1"/>
  <c r="N2410" i="1"/>
  <c r="O2410" i="1"/>
  <c r="P2410" i="1"/>
  <c r="Q2410" i="1"/>
  <c r="R2410" i="1"/>
  <c r="S2410" i="1"/>
  <c r="M2411" i="1"/>
  <c r="N2411" i="1"/>
  <c r="O2411" i="1"/>
  <c r="P2411" i="1"/>
  <c r="Q2411" i="1"/>
  <c r="R2411" i="1"/>
  <c r="S2411" i="1"/>
  <c r="M2412" i="1"/>
  <c r="N2412" i="1"/>
  <c r="O2412" i="1"/>
  <c r="P2412" i="1"/>
  <c r="Q2412" i="1"/>
  <c r="R2412" i="1"/>
  <c r="S2412" i="1"/>
  <c r="M2413" i="1"/>
  <c r="N2413" i="1"/>
  <c r="O2413" i="1"/>
  <c r="P2413" i="1"/>
  <c r="Q2413" i="1"/>
  <c r="R2413" i="1"/>
  <c r="S2413" i="1"/>
  <c r="M2414" i="1"/>
  <c r="N2414" i="1"/>
  <c r="O2414" i="1"/>
  <c r="P2414" i="1"/>
  <c r="Q2414" i="1"/>
  <c r="R2414" i="1"/>
  <c r="S2414" i="1"/>
  <c r="M2415" i="1"/>
  <c r="N2415" i="1"/>
  <c r="O2415" i="1"/>
  <c r="P2415" i="1"/>
  <c r="Q2415" i="1"/>
  <c r="R2415" i="1"/>
  <c r="S2415" i="1"/>
  <c r="M2416" i="1"/>
  <c r="N2416" i="1"/>
  <c r="O2416" i="1"/>
  <c r="P2416" i="1"/>
  <c r="Q2416" i="1"/>
  <c r="R2416" i="1"/>
  <c r="S2416" i="1"/>
  <c r="M2417" i="1"/>
  <c r="N2417" i="1"/>
  <c r="O2417" i="1"/>
  <c r="P2417" i="1"/>
  <c r="Q2417" i="1"/>
  <c r="R2417" i="1"/>
  <c r="S2417" i="1"/>
  <c r="M2418" i="1"/>
  <c r="N2418" i="1"/>
  <c r="O2418" i="1"/>
  <c r="P2418" i="1"/>
  <c r="Q2418" i="1"/>
  <c r="R2418" i="1"/>
  <c r="S2418" i="1"/>
  <c r="M2419" i="1"/>
  <c r="N2419" i="1"/>
  <c r="O2419" i="1"/>
  <c r="P2419" i="1"/>
  <c r="Q2419" i="1"/>
  <c r="R2419" i="1"/>
  <c r="S2419" i="1"/>
  <c r="M2420" i="1"/>
  <c r="N2420" i="1"/>
  <c r="O2420" i="1"/>
  <c r="P2420" i="1"/>
  <c r="Q2420" i="1"/>
  <c r="R2420" i="1"/>
  <c r="S2420" i="1"/>
  <c r="M2421" i="1"/>
  <c r="N2421" i="1"/>
  <c r="O2421" i="1"/>
  <c r="P2421" i="1"/>
  <c r="Q2421" i="1"/>
  <c r="R2421" i="1"/>
  <c r="S2421" i="1"/>
  <c r="M2422" i="1"/>
  <c r="N2422" i="1"/>
  <c r="O2422" i="1"/>
  <c r="P2422" i="1"/>
  <c r="Q2422" i="1"/>
  <c r="R2422" i="1"/>
  <c r="S2422" i="1"/>
  <c r="M2423" i="1"/>
  <c r="N2423" i="1"/>
  <c r="O2423" i="1"/>
  <c r="P2423" i="1"/>
  <c r="Q2423" i="1"/>
  <c r="R2423" i="1"/>
  <c r="S2423" i="1"/>
  <c r="M2424" i="1"/>
  <c r="N2424" i="1"/>
  <c r="O2424" i="1"/>
  <c r="P2424" i="1"/>
  <c r="Q2424" i="1"/>
  <c r="R2424" i="1"/>
  <c r="S2424" i="1"/>
  <c r="M2425" i="1"/>
  <c r="N2425" i="1"/>
  <c r="O2425" i="1"/>
  <c r="P2425" i="1"/>
  <c r="Q2425" i="1"/>
  <c r="R2425" i="1"/>
  <c r="S2425" i="1"/>
  <c r="M2426" i="1"/>
  <c r="N2426" i="1"/>
  <c r="O2426" i="1"/>
  <c r="P2426" i="1"/>
  <c r="Q2426" i="1"/>
  <c r="R2426" i="1"/>
  <c r="S2426" i="1"/>
  <c r="M2427" i="1"/>
  <c r="N2427" i="1"/>
  <c r="O2427" i="1"/>
  <c r="P2427" i="1"/>
  <c r="Q2427" i="1"/>
  <c r="R2427" i="1"/>
  <c r="S2427" i="1"/>
  <c r="M2428" i="1"/>
  <c r="N2428" i="1"/>
  <c r="O2428" i="1"/>
  <c r="P2428" i="1"/>
  <c r="Q2428" i="1"/>
  <c r="R2428" i="1"/>
  <c r="S2428" i="1"/>
  <c r="M2429" i="1"/>
  <c r="N2429" i="1"/>
  <c r="O2429" i="1"/>
  <c r="P2429" i="1"/>
  <c r="Q2429" i="1"/>
  <c r="R2429" i="1"/>
  <c r="S2429" i="1"/>
  <c r="M2430" i="1"/>
  <c r="N2430" i="1"/>
  <c r="O2430" i="1"/>
  <c r="P2430" i="1"/>
  <c r="Q2430" i="1"/>
  <c r="R2430" i="1"/>
  <c r="S2430" i="1"/>
  <c r="M2431" i="1"/>
  <c r="N2431" i="1"/>
  <c r="O2431" i="1"/>
  <c r="P2431" i="1"/>
  <c r="Q2431" i="1"/>
  <c r="R2431" i="1"/>
  <c r="S2431" i="1"/>
  <c r="M2432" i="1"/>
  <c r="N2432" i="1"/>
  <c r="O2432" i="1"/>
  <c r="P2432" i="1"/>
  <c r="Q2432" i="1"/>
  <c r="R2432" i="1"/>
  <c r="S2432" i="1"/>
  <c r="M2433" i="1"/>
  <c r="N2433" i="1"/>
  <c r="O2433" i="1"/>
  <c r="P2433" i="1"/>
  <c r="Q2433" i="1"/>
  <c r="R2433" i="1"/>
  <c r="S2433" i="1"/>
  <c r="M2434" i="1"/>
  <c r="N2434" i="1"/>
  <c r="O2434" i="1"/>
  <c r="P2434" i="1"/>
  <c r="Q2434" i="1"/>
  <c r="R2434" i="1"/>
  <c r="S2434" i="1"/>
  <c r="M2435" i="1"/>
  <c r="N2435" i="1"/>
  <c r="O2435" i="1"/>
  <c r="P2435" i="1"/>
  <c r="Q2435" i="1"/>
  <c r="R2435" i="1"/>
  <c r="S2435" i="1"/>
  <c r="M2436" i="1"/>
  <c r="N2436" i="1"/>
  <c r="O2436" i="1"/>
  <c r="P2436" i="1"/>
  <c r="Q2436" i="1"/>
  <c r="R2436" i="1"/>
  <c r="S2436" i="1"/>
  <c r="M2437" i="1"/>
  <c r="N2437" i="1"/>
  <c r="O2437" i="1"/>
  <c r="P2437" i="1"/>
  <c r="Q2437" i="1"/>
  <c r="R2437" i="1"/>
  <c r="S2437" i="1"/>
  <c r="M2438" i="1"/>
  <c r="N2438" i="1"/>
  <c r="O2438" i="1"/>
  <c r="P2438" i="1"/>
  <c r="Q2438" i="1"/>
  <c r="R2438" i="1"/>
  <c r="S2438" i="1"/>
  <c r="M2439" i="1"/>
  <c r="N2439" i="1"/>
  <c r="O2439" i="1"/>
  <c r="P2439" i="1"/>
  <c r="Q2439" i="1"/>
  <c r="R2439" i="1"/>
  <c r="S2439" i="1"/>
  <c r="M2440" i="1"/>
  <c r="N2440" i="1"/>
  <c r="O2440" i="1"/>
  <c r="P2440" i="1"/>
  <c r="Q2440" i="1"/>
  <c r="R2440" i="1"/>
  <c r="S2440" i="1"/>
  <c r="M2441" i="1"/>
  <c r="N2441" i="1"/>
  <c r="O2441" i="1"/>
  <c r="P2441" i="1"/>
  <c r="Q2441" i="1"/>
  <c r="R2441" i="1"/>
  <c r="S2441" i="1"/>
  <c r="M2442" i="1"/>
  <c r="N2442" i="1"/>
  <c r="O2442" i="1"/>
  <c r="P2442" i="1"/>
  <c r="Q2442" i="1"/>
  <c r="R2442" i="1"/>
  <c r="S2442" i="1"/>
  <c r="M2443" i="1"/>
  <c r="N2443" i="1"/>
  <c r="O2443" i="1"/>
  <c r="P2443" i="1"/>
  <c r="Q2443" i="1"/>
  <c r="R2443" i="1"/>
  <c r="S2443" i="1"/>
  <c r="M2444" i="1"/>
  <c r="N2444" i="1"/>
  <c r="O2444" i="1"/>
  <c r="P2444" i="1"/>
  <c r="Q2444" i="1"/>
  <c r="R2444" i="1"/>
  <c r="S2444" i="1"/>
  <c r="M2445" i="1"/>
  <c r="N2445" i="1"/>
  <c r="O2445" i="1"/>
  <c r="P2445" i="1"/>
  <c r="Q2445" i="1"/>
  <c r="R2445" i="1"/>
  <c r="S2445" i="1"/>
  <c r="M2446" i="1"/>
  <c r="N2446" i="1"/>
  <c r="O2446" i="1"/>
  <c r="P2446" i="1"/>
  <c r="Q2446" i="1"/>
  <c r="R2446" i="1"/>
  <c r="S2446" i="1"/>
  <c r="M2447" i="1"/>
  <c r="N2447" i="1"/>
  <c r="O2447" i="1"/>
  <c r="P2447" i="1"/>
  <c r="Q2447" i="1"/>
  <c r="R2447" i="1"/>
  <c r="S2447" i="1"/>
  <c r="M2448" i="1"/>
  <c r="N2448" i="1"/>
  <c r="O2448" i="1"/>
  <c r="P2448" i="1"/>
  <c r="Q2448" i="1"/>
  <c r="R2448" i="1"/>
  <c r="S2448" i="1"/>
  <c r="M2449" i="1"/>
  <c r="N2449" i="1"/>
  <c r="O2449" i="1"/>
  <c r="P2449" i="1"/>
  <c r="Q2449" i="1"/>
  <c r="R2449" i="1"/>
  <c r="S2449" i="1"/>
  <c r="M2450" i="1"/>
  <c r="N2450" i="1"/>
  <c r="O2450" i="1"/>
  <c r="P2450" i="1"/>
  <c r="Q2450" i="1"/>
  <c r="R2450" i="1"/>
  <c r="S2450" i="1"/>
  <c r="M2451" i="1"/>
  <c r="N2451" i="1"/>
  <c r="O2451" i="1"/>
  <c r="P2451" i="1"/>
  <c r="Q2451" i="1"/>
  <c r="R2451" i="1"/>
  <c r="S2451" i="1"/>
  <c r="M2452" i="1"/>
  <c r="N2452" i="1"/>
  <c r="O2452" i="1"/>
  <c r="P2452" i="1"/>
  <c r="Q2452" i="1"/>
  <c r="R2452" i="1"/>
  <c r="S2452" i="1"/>
  <c r="M2453" i="1"/>
  <c r="N2453" i="1"/>
  <c r="O2453" i="1"/>
  <c r="P2453" i="1"/>
  <c r="Q2453" i="1"/>
  <c r="R2453" i="1"/>
  <c r="S2453" i="1"/>
  <c r="M2454" i="1"/>
  <c r="N2454" i="1"/>
  <c r="O2454" i="1"/>
  <c r="P2454" i="1"/>
  <c r="Q2454" i="1"/>
  <c r="R2454" i="1"/>
  <c r="S2454" i="1"/>
  <c r="M2455" i="1"/>
  <c r="N2455" i="1"/>
  <c r="O2455" i="1"/>
  <c r="P2455" i="1"/>
  <c r="Q2455" i="1"/>
  <c r="R2455" i="1"/>
  <c r="S2455" i="1"/>
  <c r="M2456" i="1"/>
  <c r="N2456" i="1"/>
  <c r="O2456" i="1"/>
  <c r="P2456" i="1"/>
  <c r="Q2456" i="1"/>
  <c r="R2456" i="1"/>
  <c r="S2456" i="1"/>
  <c r="M2457" i="1"/>
  <c r="N2457" i="1"/>
  <c r="O2457" i="1"/>
  <c r="P2457" i="1"/>
  <c r="Q2457" i="1"/>
  <c r="R2457" i="1"/>
  <c r="S2457" i="1"/>
  <c r="M2458" i="1"/>
  <c r="N2458" i="1"/>
  <c r="O2458" i="1"/>
  <c r="P2458" i="1"/>
  <c r="Q2458" i="1"/>
  <c r="R2458" i="1"/>
  <c r="S2458" i="1"/>
  <c r="M2459" i="1"/>
  <c r="N2459" i="1"/>
  <c r="O2459" i="1"/>
  <c r="P2459" i="1"/>
  <c r="Q2459" i="1"/>
  <c r="R2459" i="1"/>
  <c r="S2459" i="1"/>
  <c r="M2460" i="1"/>
  <c r="N2460" i="1"/>
  <c r="O2460" i="1"/>
  <c r="P2460" i="1"/>
  <c r="Q2460" i="1"/>
  <c r="R2460" i="1"/>
  <c r="S2460" i="1"/>
  <c r="M2461" i="1"/>
  <c r="N2461" i="1"/>
  <c r="O2461" i="1"/>
  <c r="P2461" i="1"/>
  <c r="Q2461" i="1"/>
  <c r="R2461" i="1"/>
  <c r="S2461" i="1"/>
  <c r="M2462" i="1"/>
  <c r="N2462" i="1"/>
  <c r="O2462" i="1"/>
  <c r="P2462" i="1"/>
  <c r="Q2462" i="1"/>
  <c r="R2462" i="1"/>
  <c r="S2462" i="1"/>
  <c r="M2463" i="1"/>
  <c r="N2463" i="1"/>
  <c r="O2463" i="1"/>
  <c r="P2463" i="1"/>
  <c r="Q2463" i="1"/>
  <c r="R2463" i="1"/>
  <c r="S2463" i="1"/>
  <c r="M2464" i="1"/>
  <c r="N2464" i="1"/>
  <c r="O2464" i="1"/>
  <c r="P2464" i="1"/>
  <c r="Q2464" i="1"/>
  <c r="R2464" i="1"/>
  <c r="S2464" i="1"/>
  <c r="M2465" i="1"/>
  <c r="N2465" i="1"/>
  <c r="O2465" i="1"/>
  <c r="P2465" i="1"/>
  <c r="Q2465" i="1"/>
  <c r="R2465" i="1"/>
  <c r="S2465" i="1"/>
  <c r="M2466" i="1"/>
  <c r="N2466" i="1"/>
  <c r="O2466" i="1"/>
  <c r="P2466" i="1"/>
  <c r="Q2466" i="1"/>
  <c r="R2466" i="1"/>
  <c r="S2466" i="1"/>
  <c r="M2467" i="1"/>
  <c r="N2467" i="1"/>
  <c r="O2467" i="1"/>
  <c r="P2467" i="1"/>
  <c r="Q2467" i="1"/>
  <c r="R2467" i="1"/>
  <c r="S2467" i="1"/>
  <c r="M2468" i="1"/>
  <c r="N2468" i="1"/>
  <c r="O2468" i="1"/>
  <c r="P2468" i="1"/>
  <c r="Q2468" i="1"/>
  <c r="R2468" i="1"/>
  <c r="S2468" i="1"/>
  <c r="M2469" i="1"/>
  <c r="N2469" i="1"/>
  <c r="O2469" i="1"/>
  <c r="P2469" i="1"/>
  <c r="Q2469" i="1"/>
  <c r="R2469" i="1"/>
  <c r="S2469" i="1"/>
  <c r="M2470" i="1"/>
  <c r="N2470" i="1"/>
  <c r="O2470" i="1"/>
  <c r="P2470" i="1"/>
  <c r="Q2470" i="1"/>
  <c r="R2470" i="1"/>
  <c r="S2470" i="1"/>
  <c r="M2471" i="1"/>
  <c r="N2471" i="1"/>
  <c r="O2471" i="1"/>
  <c r="P2471" i="1"/>
  <c r="Q2471" i="1"/>
  <c r="R2471" i="1"/>
  <c r="S2471" i="1"/>
  <c r="M2472" i="1"/>
  <c r="N2472" i="1"/>
  <c r="O2472" i="1"/>
  <c r="P2472" i="1"/>
  <c r="Q2472" i="1"/>
  <c r="R2472" i="1"/>
  <c r="S2472" i="1"/>
  <c r="M2473" i="1"/>
  <c r="N2473" i="1"/>
  <c r="O2473" i="1"/>
  <c r="P2473" i="1"/>
  <c r="Q2473" i="1"/>
  <c r="R2473" i="1"/>
  <c r="S2473" i="1"/>
  <c r="M2474" i="1"/>
  <c r="N2474" i="1"/>
  <c r="O2474" i="1"/>
  <c r="P2474" i="1"/>
  <c r="Q2474" i="1"/>
  <c r="R2474" i="1"/>
  <c r="S2474" i="1"/>
  <c r="M2475" i="1"/>
  <c r="N2475" i="1"/>
  <c r="O2475" i="1"/>
  <c r="P2475" i="1"/>
  <c r="Q2475" i="1"/>
  <c r="R2475" i="1"/>
  <c r="S2475" i="1"/>
  <c r="M2476" i="1"/>
  <c r="N2476" i="1"/>
  <c r="O2476" i="1"/>
  <c r="P2476" i="1"/>
  <c r="Q2476" i="1"/>
  <c r="R2476" i="1"/>
  <c r="S2476" i="1"/>
  <c r="M2477" i="1"/>
  <c r="N2477" i="1"/>
  <c r="O2477" i="1"/>
  <c r="P2477" i="1"/>
  <c r="Q2477" i="1"/>
  <c r="R2477" i="1"/>
  <c r="S2477" i="1"/>
  <c r="M2478" i="1"/>
  <c r="N2478" i="1"/>
  <c r="O2478" i="1"/>
  <c r="P2478" i="1"/>
  <c r="Q2478" i="1"/>
  <c r="R2478" i="1"/>
  <c r="S2478" i="1"/>
  <c r="M2479" i="1"/>
  <c r="N2479" i="1"/>
  <c r="O2479" i="1"/>
  <c r="P2479" i="1"/>
  <c r="Q2479" i="1"/>
  <c r="R2479" i="1"/>
  <c r="S2479" i="1"/>
  <c r="M2480" i="1"/>
  <c r="N2480" i="1"/>
  <c r="O2480" i="1"/>
  <c r="P2480" i="1"/>
  <c r="Q2480" i="1"/>
  <c r="R2480" i="1"/>
  <c r="S2480" i="1"/>
  <c r="M2481" i="1"/>
  <c r="N2481" i="1"/>
  <c r="O2481" i="1"/>
  <c r="P2481" i="1"/>
  <c r="Q2481" i="1"/>
  <c r="R2481" i="1"/>
  <c r="S2481" i="1"/>
  <c r="M2482" i="1"/>
  <c r="N2482" i="1"/>
  <c r="O2482" i="1"/>
  <c r="P2482" i="1"/>
  <c r="Q2482" i="1"/>
  <c r="R2482" i="1"/>
  <c r="S2482" i="1"/>
  <c r="M2483" i="1"/>
  <c r="N2483" i="1"/>
  <c r="O2483" i="1"/>
  <c r="P2483" i="1"/>
  <c r="Q2483" i="1"/>
  <c r="R2483" i="1"/>
  <c r="S2483" i="1"/>
  <c r="M2484" i="1"/>
  <c r="N2484" i="1"/>
  <c r="O2484" i="1"/>
  <c r="P2484" i="1"/>
  <c r="Q2484" i="1"/>
  <c r="R2484" i="1"/>
  <c r="S2484" i="1"/>
  <c r="M2485" i="1"/>
  <c r="N2485" i="1"/>
  <c r="O2485" i="1"/>
  <c r="P2485" i="1"/>
  <c r="Q2485" i="1"/>
  <c r="R2485" i="1"/>
  <c r="S2485" i="1"/>
  <c r="M2486" i="1"/>
  <c r="N2486" i="1"/>
  <c r="O2486" i="1"/>
  <c r="P2486" i="1"/>
  <c r="Q2486" i="1"/>
  <c r="R2486" i="1"/>
  <c r="S2486" i="1"/>
  <c r="M2487" i="1"/>
  <c r="N2487" i="1"/>
  <c r="O2487" i="1"/>
  <c r="P2487" i="1"/>
  <c r="Q2487" i="1"/>
  <c r="R2487" i="1"/>
  <c r="S2487" i="1"/>
  <c r="M2488" i="1"/>
  <c r="N2488" i="1"/>
  <c r="O2488" i="1"/>
  <c r="P2488" i="1"/>
  <c r="Q2488" i="1"/>
  <c r="R2488" i="1"/>
  <c r="S2488" i="1"/>
  <c r="M2489" i="1"/>
  <c r="N2489" i="1"/>
  <c r="O2489" i="1"/>
  <c r="P2489" i="1"/>
  <c r="Q2489" i="1"/>
  <c r="R2489" i="1"/>
  <c r="S2489" i="1"/>
  <c r="M2490" i="1"/>
  <c r="N2490" i="1"/>
  <c r="O2490" i="1"/>
  <c r="P2490" i="1"/>
  <c r="Q2490" i="1"/>
  <c r="R2490" i="1"/>
  <c r="S2490" i="1"/>
  <c r="M2491" i="1"/>
  <c r="N2491" i="1"/>
  <c r="O2491" i="1"/>
  <c r="P2491" i="1"/>
  <c r="Q2491" i="1"/>
  <c r="R2491" i="1"/>
  <c r="S2491" i="1"/>
  <c r="M2492" i="1"/>
  <c r="N2492" i="1"/>
  <c r="O2492" i="1"/>
  <c r="P2492" i="1"/>
  <c r="Q2492" i="1"/>
  <c r="R2492" i="1"/>
  <c r="S2492" i="1"/>
  <c r="M2493" i="1"/>
  <c r="N2493" i="1"/>
  <c r="O2493" i="1"/>
  <c r="P2493" i="1"/>
  <c r="Q2493" i="1"/>
  <c r="R2493" i="1"/>
  <c r="S2493" i="1"/>
  <c r="M2494" i="1"/>
  <c r="N2494" i="1"/>
  <c r="O2494" i="1"/>
  <c r="P2494" i="1"/>
  <c r="Q2494" i="1"/>
  <c r="R2494" i="1"/>
  <c r="S2494" i="1"/>
  <c r="M2495" i="1"/>
  <c r="N2495" i="1"/>
  <c r="O2495" i="1"/>
  <c r="P2495" i="1"/>
  <c r="Q2495" i="1"/>
  <c r="R2495" i="1"/>
  <c r="S2495" i="1"/>
  <c r="M2496" i="1"/>
  <c r="N2496" i="1"/>
  <c r="O2496" i="1"/>
  <c r="P2496" i="1"/>
  <c r="Q2496" i="1"/>
  <c r="R2496" i="1"/>
  <c r="S2496" i="1"/>
  <c r="M2497" i="1"/>
  <c r="N2497" i="1"/>
  <c r="O2497" i="1"/>
  <c r="P2497" i="1"/>
  <c r="Q2497" i="1"/>
  <c r="R2497" i="1"/>
  <c r="S2497" i="1"/>
  <c r="M2498" i="1"/>
  <c r="N2498" i="1"/>
  <c r="O2498" i="1"/>
  <c r="P2498" i="1"/>
  <c r="Q2498" i="1"/>
  <c r="R2498" i="1"/>
  <c r="S2498" i="1"/>
  <c r="M2499" i="1"/>
  <c r="N2499" i="1"/>
  <c r="O2499" i="1"/>
  <c r="P2499" i="1"/>
  <c r="Q2499" i="1"/>
  <c r="R2499" i="1"/>
  <c r="S2499" i="1"/>
  <c r="M2500" i="1"/>
  <c r="N2500" i="1"/>
  <c r="O2500" i="1"/>
  <c r="P2500" i="1"/>
  <c r="Q2500" i="1"/>
  <c r="R2500" i="1"/>
  <c r="S2500" i="1"/>
  <c r="M2501" i="1"/>
  <c r="N2501" i="1"/>
  <c r="O2501" i="1"/>
  <c r="P2501" i="1"/>
  <c r="Q2501" i="1"/>
  <c r="R2501" i="1"/>
  <c r="S2501" i="1"/>
  <c r="M2502" i="1"/>
  <c r="N2502" i="1"/>
  <c r="O2502" i="1"/>
  <c r="P2502" i="1"/>
  <c r="Q2502" i="1"/>
  <c r="R2502" i="1"/>
  <c r="S2502" i="1"/>
  <c r="M2503" i="1"/>
  <c r="N2503" i="1"/>
  <c r="O2503" i="1"/>
  <c r="P2503" i="1"/>
  <c r="Q2503" i="1"/>
  <c r="R2503" i="1"/>
  <c r="S2503" i="1"/>
  <c r="M2504" i="1"/>
  <c r="N2504" i="1"/>
  <c r="O2504" i="1"/>
  <c r="P2504" i="1"/>
  <c r="Q2504" i="1"/>
  <c r="R2504" i="1"/>
  <c r="S2504" i="1"/>
  <c r="M2505" i="1"/>
  <c r="N2505" i="1"/>
  <c r="O2505" i="1"/>
  <c r="P2505" i="1"/>
  <c r="Q2505" i="1"/>
  <c r="R2505" i="1"/>
  <c r="S2505" i="1"/>
  <c r="M2506" i="1"/>
  <c r="N2506" i="1"/>
  <c r="O2506" i="1"/>
  <c r="P2506" i="1"/>
  <c r="Q2506" i="1"/>
  <c r="R2506" i="1"/>
  <c r="S2506" i="1"/>
  <c r="M2507" i="1"/>
  <c r="N2507" i="1"/>
  <c r="O2507" i="1"/>
  <c r="P2507" i="1"/>
  <c r="Q2507" i="1"/>
  <c r="R2507" i="1"/>
  <c r="S2507" i="1"/>
  <c r="M2508" i="1"/>
  <c r="N2508" i="1"/>
  <c r="O2508" i="1"/>
  <c r="P2508" i="1"/>
  <c r="Q2508" i="1"/>
  <c r="R2508" i="1"/>
  <c r="S2508" i="1"/>
  <c r="M2509" i="1"/>
  <c r="N2509" i="1"/>
  <c r="O2509" i="1"/>
  <c r="P2509" i="1"/>
  <c r="Q2509" i="1"/>
  <c r="R2509" i="1"/>
  <c r="S2509" i="1"/>
  <c r="M2510" i="1"/>
  <c r="N2510" i="1"/>
  <c r="O2510" i="1"/>
  <c r="P2510" i="1"/>
  <c r="Q2510" i="1"/>
  <c r="R2510" i="1"/>
  <c r="S2510" i="1"/>
  <c r="M2511" i="1"/>
  <c r="N2511" i="1"/>
  <c r="O2511" i="1"/>
  <c r="P2511" i="1"/>
  <c r="Q2511" i="1"/>
  <c r="R2511" i="1"/>
  <c r="S2511" i="1"/>
  <c r="M2512" i="1"/>
  <c r="N2512" i="1"/>
  <c r="O2512" i="1"/>
  <c r="P2512" i="1"/>
  <c r="Q2512" i="1"/>
  <c r="R2512" i="1"/>
  <c r="S2512" i="1"/>
  <c r="M2513" i="1"/>
  <c r="N2513" i="1"/>
  <c r="O2513" i="1"/>
  <c r="P2513" i="1"/>
  <c r="Q2513" i="1"/>
  <c r="R2513" i="1"/>
  <c r="S2513" i="1"/>
  <c r="M2514" i="1"/>
  <c r="N2514" i="1"/>
  <c r="O2514" i="1"/>
  <c r="P2514" i="1"/>
  <c r="Q2514" i="1"/>
  <c r="R2514" i="1"/>
  <c r="S2514" i="1"/>
  <c r="M2515" i="1"/>
  <c r="N2515" i="1"/>
  <c r="O2515" i="1"/>
  <c r="P2515" i="1"/>
  <c r="Q2515" i="1"/>
  <c r="R2515" i="1"/>
  <c r="S2515" i="1"/>
  <c r="M2516" i="1"/>
  <c r="N2516" i="1"/>
  <c r="O2516" i="1"/>
  <c r="P2516" i="1"/>
  <c r="Q2516" i="1"/>
  <c r="R2516" i="1"/>
  <c r="S2516" i="1"/>
  <c r="M2517" i="1"/>
  <c r="N2517" i="1"/>
  <c r="O2517" i="1"/>
  <c r="P2517" i="1"/>
  <c r="Q2517" i="1"/>
  <c r="R2517" i="1"/>
  <c r="S2517" i="1"/>
  <c r="M2518" i="1"/>
  <c r="N2518" i="1"/>
  <c r="O2518" i="1"/>
  <c r="P2518" i="1"/>
  <c r="Q2518" i="1"/>
  <c r="R2518" i="1"/>
  <c r="S2518" i="1"/>
  <c r="M2519" i="1"/>
  <c r="N2519" i="1"/>
  <c r="O2519" i="1"/>
  <c r="P2519" i="1"/>
  <c r="Q2519" i="1"/>
  <c r="R2519" i="1"/>
  <c r="S2519" i="1"/>
  <c r="M2520" i="1"/>
  <c r="N2520" i="1"/>
  <c r="O2520" i="1"/>
  <c r="P2520" i="1"/>
  <c r="Q2520" i="1"/>
  <c r="R2520" i="1"/>
  <c r="S2520" i="1"/>
  <c r="M2521" i="1"/>
  <c r="N2521" i="1"/>
  <c r="O2521" i="1"/>
  <c r="P2521" i="1"/>
  <c r="Q2521" i="1"/>
  <c r="R2521" i="1"/>
  <c r="S2521" i="1"/>
  <c r="M2522" i="1"/>
  <c r="N2522" i="1"/>
  <c r="O2522" i="1"/>
  <c r="P2522" i="1"/>
  <c r="Q2522" i="1"/>
  <c r="R2522" i="1"/>
  <c r="S2522" i="1"/>
  <c r="M2523" i="1"/>
  <c r="N2523" i="1"/>
  <c r="O2523" i="1"/>
  <c r="P2523" i="1"/>
  <c r="Q2523" i="1"/>
  <c r="R2523" i="1"/>
  <c r="S2523" i="1"/>
  <c r="M2524" i="1"/>
  <c r="N2524" i="1"/>
  <c r="O2524" i="1"/>
  <c r="P2524" i="1"/>
  <c r="Q2524" i="1"/>
  <c r="R2524" i="1"/>
  <c r="S2524" i="1"/>
  <c r="M2525" i="1"/>
  <c r="N2525" i="1"/>
  <c r="O2525" i="1"/>
  <c r="P2525" i="1"/>
  <c r="Q2525" i="1"/>
  <c r="R2525" i="1"/>
  <c r="S2525" i="1"/>
  <c r="M2526" i="1"/>
  <c r="N2526" i="1"/>
  <c r="O2526" i="1"/>
  <c r="P2526" i="1"/>
  <c r="Q2526" i="1"/>
  <c r="R2526" i="1"/>
  <c r="S2526" i="1"/>
  <c r="M2527" i="1"/>
  <c r="N2527" i="1"/>
  <c r="O2527" i="1"/>
  <c r="P2527" i="1"/>
  <c r="Q2527" i="1"/>
  <c r="R2527" i="1"/>
  <c r="S2527" i="1"/>
  <c r="M2528" i="1"/>
  <c r="N2528" i="1"/>
  <c r="O2528" i="1"/>
  <c r="P2528" i="1"/>
  <c r="Q2528" i="1"/>
  <c r="R2528" i="1"/>
  <c r="S2528" i="1"/>
  <c r="M2529" i="1"/>
  <c r="N2529" i="1"/>
  <c r="O2529" i="1"/>
  <c r="P2529" i="1"/>
  <c r="Q2529" i="1"/>
  <c r="R2529" i="1"/>
  <c r="S2529" i="1"/>
  <c r="M2530" i="1"/>
  <c r="N2530" i="1"/>
  <c r="O2530" i="1"/>
  <c r="P2530" i="1"/>
  <c r="Q2530" i="1"/>
  <c r="R2530" i="1"/>
  <c r="S2530" i="1"/>
  <c r="M2531" i="1"/>
  <c r="N2531" i="1"/>
  <c r="O2531" i="1"/>
  <c r="P2531" i="1"/>
  <c r="Q2531" i="1"/>
  <c r="R2531" i="1"/>
  <c r="S2531" i="1"/>
  <c r="M2532" i="1"/>
  <c r="N2532" i="1"/>
  <c r="O2532" i="1"/>
  <c r="P2532" i="1"/>
  <c r="Q2532" i="1"/>
  <c r="R2532" i="1"/>
  <c r="S2532" i="1"/>
  <c r="M2533" i="1"/>
  <c r="N2533" i="1"/>
  <c r="O2533" i="1"/>
  <c r="P2533" i="1"/>
  <c r="Q2533" i="1"/>
  <c r="R2533" i="1"/>
  <c r="S2533" i="1"/>
  <c r="M2534" i="1"/>
  <c r="N2534" i="1"/>
  <c r="O2534" i="1"/>
  <c r="P2534" i="1"/>
  <c r="Q2534" i="1"/>
  <c r="R2534" i="1"/>
  <c r="S2534" i="1"/>
  <c r="M2535" i="1"/>
  <c r="N2535" i="1"/>
  <c r="O2535" i="1"/>
  <c r="P2535" i="1"/>
  <c r="Q2535" i="1"/>
  <c r="R2535" i="1"/>
  <c r="S2535" i="1"/>
  <c r="M2536" i="1"/>
  <c r="N2536" i="1"/>
  <c r="O2536" i="1"/>
  <c r="P2536" i="1"/>
  <c r="Q2536" i="1"/>
  <c r="R2536" i="1"/>
  <c r="S2536" i="1"/>
  <c r="M2537" i="1"/>
  <c r="N2537" i="1"/>
  <c r="O2537" i="1"/>
  <c r="P2537" i="1"/>
  <c r="Q2537" i="1"/>
  <c r="R2537" i="1"/>
  <c r="S2537" i="1"/>
  <c r="M2538" i="1"/>
  <c r="N2538" i="1"/>
  <c r="O2538" i="1"/>
  <c r="P2538" i="1"/>
  <c r="Q2538" i="1"/>
  <c r="R2538" i="1"/>
  <c r="S2538" i="1"/>
  <c r="M2539" i="1"/>
  <c r="N2539" i="1"/>
  <c r="O2539" i="1"/>
  <c r="P2539" i="1"/>
  <c r="Q2539" i="1"/>
  <c r="R2539" i="1"/>
  <c r="S2539" i="1"/>
  <c r="M2540" i="1"/>
  <c r="N2540" i="1"/>
  <c r="O2540" i="1"/>
  <c r="P2540" i="1"/>
  <c r="Q2540" i="1"/>
  <c r="R2540" i="1"/>
  <c r="S2540" i="1"/>
  <c r="M2541" i="1"/>
  <c r="N2541" i="1"/>
  <c r="O2541" i="1"/>
  <c r="P2541" i="1"/>
  <c r="Q2541" i="1"/>
  <c r="R2541" i="1"/>
  <c r="S2541" i="1"/>
  <c r="M2542" i="1"/>
  <c r="N2542" i="1"/>
  <c r="O2542" i="1"/>
  <c r="P2542" i="1"/>
  <c r="Q2542" i="1"/>
  <c r="R2542" i="1"/>
  <c r="S2542" i="1"/>
  <c r="M2543" i="1"/>
  <c r="N2543" i="1"/>
  <c r="O2543" i="1"/>
  <c r="P2543" i="1"/>
  <c r="Q2543" i="1"/>
  <c r="R2543" i="1"/>
  <c r="S2543" i="1"/>
  <c r="M2544" i="1"/>
  <c r="N2544" i="1"/>
  <c r="O2544" i="1"/>
  <c r="P2544" i="1"/>
  <c r="Q2544" i="1"/>
  <c r="R2544" i="1"/>
  <c r="S2544" i="1"/>
  <c r="M2545" i="1"/>
  <c r="N2545" i="1"/>
  <c r="O2545" i="1"/>
  <c r="P2545" i="1"/>
  <c r="Q2545" i="1"/>
  <c r="R2545" i="1"/>
  <c r="S2545" i="1"/>
  <c r="M2546" i="1"/>
  <c r="N2546" i="1"/>
  <c r="O2546" i="1"/>
  <c r="P2546" i="1"/>
  <c r="Q2546" i="1"/>
  <c r="R2546" i="1"/>
  <c r="S2546" i="1"/>
  <c r="M2547" i="1"/>
  <c r="N2547" i="1"/>
  <c r="O2547" i="1"/>
  <c r="P2547" i="1"/>
  <c r="Q2547" i="1"/>
  <c r="R2547" i="1"/>
  <c r="S2547" i="1"/>
  <c r="M2548" i="1"/>
  <c r="N2548" i="1"/>
  <c r="O2548" i="1"/>
  <c r="P2548" i="1"/>
  <c r="Q2548" i="1"/>
  <c r="R2548" i="1"/>
  <c r="S2548" i="1"/>
  <c r="M2549" i="1"/>
  <c r="N2549" i="1"/>
  <c r="O2549" i="1"/>
  <c r="P2549" i="1"/>
  <c r="Q2549" i="1"/>
  <c r="R2549" i="1"/>
  <c r="S2549" i="1"/>
  <c r="M2550" i="1"/>
  <c r="N2550" i="1"/>
  <c r="O2550" i="1"/>
  <c r="P2550" i="1"/>
  <c r="Q2550" i="1"/>
  <c r="R2550" i="1"/>
  <c r="S2550" i="1"/>
  <c r="M2551" i="1"/>
  <c r="N2551" i="1"/>
  <c r="O2551" i="1"/>
  <c r="P2551" i="1"/>
  <c r="Q2551" i="1"/>
  <c r="R2551" i="1"/>
  <c r="S2551" i="1"/>
  <c r="M2552" i="1"/>
  <c r="N2552" i="1"/>
  <c r="O2552" i="1"/>
  <c r="P2552" i="1"/>
  <c r="Q2552" i="1"/>
  <c r="R2552" i="1"/>
  <c r="S2552" i="1"/>
  <c r="M2553" i="1"/>
  <c r="N2553" i="1"/>
  <c r="O2553" i="1"/>
  <c r="P2553" i="1"/>
  <c r="Q2553" i="1"/>
  <c r="R2553" i="1"/>
  <c r="S2553" i="1"/>
  <c r="M2554" i="1"/>
  <c r="N2554" i="1"/>
  <c r="O2554" i="1"/>
  <c r="P2554" i="1"/>
  <c r="Q2554" i="1"/>
  <c r="R2554" i="1"/>
  <c r="S2554" i="1"/>
  <c r="M2555" i="1"/>
  <c r="N2555" i="1"/>
  <c r="O2555" i="1"/>
  <c r="P2555" i="1"/>
  <c r="Q2555" i="1"/>
  <c r="R2555" i="1"/>
  <c r="S2555" i="1"/>
  <c r="M2556" i="1"/>
  <c r="N2556" i="1"/>
  <c r="O2556" i="1"/>
  <c r="P2556" i="1"/>
  <c r="Q2556" i="1"/>
  <c r="R2556" i="1"/>
  <c r="S2556" i="1"/>
  <c r="M2557" i="1"/>
  <c r="N2557" i="1"/>
  <c r="O2557" i="1"/>
  <c r="P2557" i="1"/>
  <c r="Q2557" i="1"/>
  <c r="R2557" i="1"/>
  <c r="S2557" i="1"/>
  <c r="M2558" i="1"/>
  <c r="N2558" i="1"/>
  <c r="O2558" i="1"/>
  <c r="P2558" i="1"/>
  <c r="Q2558" i="1"/>
  <c r="R2558" i="1"/>
  <c r="S2558" i="1"/>
  <c r="M2559" i="1"/>
  <c r="N2559" i="1"/>
  <c r="O2559" i="1"/>
  <c r="P2559" i="1"/>
  <c r="Q2559" i="1"/>
  <c r="R2559" i="1"/>
  <c r="S2559" i="1"/>
  <c r="M2560" i="1"/>
  <c r="N2560" i="1"/>
  <c r="O2560" i="1"/>
  <c r="P2560" i="1"/>
  <c r="Q2560" i="1"/>
  <c r="R2560" i="1"/>
  <c r="S2560" i="1"/>
  <c r="M2561" i="1"/>
  <c r="N2561" i="1"/>
  <c r="O2561" i="1"/>
  <c r="P2561" i="1"/>
  <c r="Q2561" i="1"/>
  <c r="R2561" i="1"/>
  <c r="S2561" i="1"/>
  <c r="M2562" i="1"/>
  <c r="N2562" i="1"/>
  <c r="O2562" i="1"/>
  <c r="P2562" i="1"/>
  <c r="Q2562" i="1"/>
  <c r="R2562" i="1"/>
  <c r="S2562" i="1"/>
  <c r="M2563" i="1"/>
  <c r="N2563" i="1"/>
  <c r="O2563" i="1"/>
  <c r="P2563" i="1"/>
  <c r="Q2563" i="1"/>
  <c r="R2563" i="1"/>
  <c r="S2563" i="1"/>
  <c r="M2564" i="1"/>
  <c r="N2564" i="1"/>
  <c r="O2564" i="1"/>
  <c r="P2564" i="1"/>
  <c r="Q2564" i="1"/>
  <c r="R2564" i="1"/>
  <c r="S2564" i="1"/>
  <c r="M2565" i="1"/>
  <c r="N2565" i="1"/>
  <c r="O2565" i="1"/>
  <c r="P2565" i="1"/>
  <c r="Q2565" i="1"/>
  <c r="R2565" i="1"/>
  <c r="S2565" i="1"/>
  <c r="M2566" i="1"/>
  <c r="N2566" i="1"/>
  <c r="O2566" i="1"/>
  <c r="P2566" i="1"/>
  <c r="Q2566" i="1"/>
  <c r="R2566" i="1"/>
  <c r="S2566" i="1"/>
  <c r="M2567" i="1"/>
  <c r="N2567" i="1"/>
  <c r="O2567" i="1"/>
  <c r="P2567" i="1"/>
  <c r="Q2567" i="1"/>
  <c r="R2567" i="1"/>
  <c r="S2567" i="1"/>
  <c r="M2568" i="1"/>
  <c r="N2568" i="1"/>
  <c r="O2568" i="1"/>
  <c r="P2568" i="1"/>
  <c r="Q2568" i="1"/>
  <c r="R2568" i="1"/>
  <c r="S2568" i="1"/>
  <c r="M2569" i="1"/>
  <c r="N2569" i="1"/>
  <c r="O2569" i="1"/>
  <c r="P2569" i="1"/>
  <c r="Q2569" i="1"/>
  <c r="R2569" i="1"/>
  <c r="S2569" i="1"/>
  <c r="M2570" i="1"/>
  <c r="N2570" i="1"/>
  <c r="O2570" i="1"/>
  <c r="P2570" i="1"/>
  <c r="Q2570" i="1"/>
  <c r="R2570" i="1"/>
  <c r="S2570" i="1"/>
  <c r="M2571" i="1"/>
  <c r="N2571" i="1"/>
  <c r="O2571" i="1"/>
  <c r="P2571" i="1"/>
  <c r="Q2571" i="1"/>
  <c r="R2571" i="1"/>
  <c r="S2571" i="1"/>
  <c r="M2572" i="1"/>
  <c r="N2572" i="1"/>
  <c r="O2572" i="1"/>
  <c r="P2572" i="1"/>
  <c r="Q2572" i="1"/>
  <c r="R2572" i="1"/>
  <c r="S2572" i="1"/>
  <c r="M2573" i="1"/>
  <c r="N2573" i="1"/>
  <c r="O2573" i="1"/>
  <c r="P2573" i="1"/>
  <c r="Q2573" i="1"/>
  <c r="R2573" i="1"/>
  <c r="S2573" i="1"/>
  <c r="M2574" i="1"/>
  <c r="N2574" i="1"/>
  <c r="O2574" i="1"/>
  <c r="P2574" i="1"/>
  <c r="Q2574" i="1"/>
  <c r="R2574" i="1"/>
  <c r="S2574" i="1"/>
  <c r="M2575" i="1"/>
  <c r="N2575" i="1"/>
  <c r="O2575" i="1"/>
  <c r="P2575" i="1"/>
  <c r="Q2575" i="1"/>
  <c r="R2575" i="1"/>
  <c r="S2575" i="1"/>
  <c r="M2576" i="1"/>
  <c r="N2576" i="1"/>
  <c r="O2576" i="1"/>
  <c r="P2576" i="1"/>
  <c r="Q2576" i="1"/>
  <c r="R2576" i="1"/>
  <c r="S2576" i="1"/>
  <c r="M2577" i="1"/>
  <c r="N2577" i="1"/>
  <c r="O2577" i="1"/>
  <c r="P2577" i="1"/>
  <c r="Q2577" i="1"/>
  <c r="R2577" i="1"/>
  <c r="S2577" i="1"/>
  <c r="M2578" i="1"/>
  <c r="N2578" i="1"/>
  <c r="O2578" i="1"/>
  <c r="P2578" i="1"/>
  <c r="Q2578" i="1"/>
  <c r="R2578" i="1"/>
  <c r="S2578" i="1"/>
  <c r="M2579" i="1"/>
  <c r="N2579" i="1"/>
  <c r="O2579" i="1"/>
  <c r="P2579" i="1"/>
  <c r="Q2579" i="1"/>
  <c r="R2579" i="1"/>
  <c r="S2579" i="1"/>
  <c r="M2580" i="1"/>
  <c r="N2580" i="1"/>
  <c r="O2580" i="1"/>
  <c r="P2580" i="1"/>
  <c r="Q2580" i="1"/>
  <c r="R2580" i="1"/>
  <c r="S2580" i="1"/>
  <c r="M2581" i="1"/>
  <c r="N2581" i="1"/>
  <c r="O2581" i="1"/>
  <c r="P2581" i="1"/>
  <c r="Q2581" i="1"/>
  <c r="R2581" i="1"/>
  <c r="S2581" i="1"/>
  <c r="M2582" i="1"/>
  <c r="N2582" i="1"/>
  <c r="O2582" i="1"/>
  <c r="P2582" i="1"/>
  <c r="Q2582" i="1"/>
  <c r="R2582" i="1"/>
  <c r="S2582" i="1"/>
  <c r="M2583" i="1"/>
  <c r="N2583" i="1"/>
  <c r="O2583" i="1"/>
  <c r="P2583" i="1"/>
  <c r="Q2583" i="1"/>
  <c r="R2583" i="1"/>
  <c r="S2583" i="1"/>
  <c r="M2584" i="1"/>
  <c r="N2584" i="1"/>
  <c r="O2584" i="1"/>
  <c r="P2584" i="1"/>
  <c r="Q2584" i="1"/>
  <c r="R2584" i="1"/>
  <c r="S2584" i="1"/>
  <c r="M2585" i="1"/>
  <c r="N2585" i="1"/>
  <c r="O2585" i="1"/>
  <c r="P2585" i="1"/>
  <c r="Q2585" i="1"/>
  <c r="R2585" i="1"/>
  <c r="S2585" i="1"/>
  <c r="M2586" i="1"/>
  <c r="N2586" i="1"/>
  <c r="O2586" i="1"/>
  <c r="P2586" i="1"/>
  <c r="Q2586" i="1"/>
  <c r="R2586" i="1"/>
  <c r="S2586" i="1"/>
  <c r="M2587" i="1"/>
  <c r="N2587" i="1"/>
  <c r="O2587" i="1"/>
  <c r="P2587" i="1"/>
  <c r="Q2587" i="1"/>
  <c r="R2587" i="1"/>
  <c r="S2587" i="1"/>
  <c r="M2588" i="1"/>
  <c r="N2588" i="1"/>
  <c r="O2588" i="1"/>
  <c r="P2588" i="1"/>
  <c r="Q2588" i="1"/>
  <c r="R2588" i="1"/>
  <c r="S2588" i="1"/>
  <c r="M2589" i="1"/>
  <c r="N2589" i="1"/>
  <c r="O2589" i="1"/>
  <c r="P2589" i="1"/>
  <c r="Q2589" i="1"/>
  <c r="R2589" i="1"/>
  <c r="S2589" i="1"/>
  <c r="M2590" i="1"/>
  <c r="N2590" i="1"/>
  <c r="O2590" i="1"/>
  <c r="P2590" i="1"/>
  <c r="Q2590" i="1"/>
  <c r="R2590" i="1"/>
  <c r="S2590" i="1"/>
  <c r="M2591" i="1"/>
  <c r="N2591" i="1"/>
  <c r="O2591" i="1"/>
  <c r="P2591" i="1"/>
  <c r="Q2591" i="1"/>
  <c r="R2591" i="1"/>
  <c r="S2591" i="1"/>
  <c r="M2592" i="1"/>
  <c r="N2592" i="1"/>
  <c r="O2592" i="1"/>
  <c r="P2592" i="1"/>
  <c r="Q2592" i="1"/>
  <c r="R2592" i="1"/>
  <c r="S2592" i="1"/>
  <c r="M2593" i="1"/>
  <c r="N2593" i="1"/>
  <c r="O2593" i="1"/>
  <c r="P2593" i="1"/>
  <c r="Q2593" i="1"/>
  <c r="R2593" i="1"/>
  <c r="S2593" i="1"/>
  <c r="M2594" i="1"/>
  <c r="N2594" i="1"/>
  <c r="O2594" i="1"/>
  <c r="P2594" i="1"/>
  <c r="Q2594" i="1"/>
  <c r="R2594" i="1"/>
  <c r="S2594" i="1"/>
  <c r="M2595" i="1"/>
  <c r="N2595" i="1"/>
  <c r="O2595" i="1"/>
  <c r="P2595" i="1"/>
  <c r="Q2595" i="1"/>
  <c r="R2595" i="1"/>
  <c r="S2595" i="1"/>
  <c r="M2596" i="1"/>
  <c r="N2596" i="1"/>
  <c r="O2596" i="1"/>
  <c r="P2596" i="1"/>
  <c r="Q2596" i="1"/>
  <c r="R2596" i="1"/>
  <c r="S2596" i="1"/>
  <c r="M2597" i="1"/>
  <c r="N2597" i="1"/>
  <c r="O2597" i="1"/>
  <c r="P2597" i="1"/>
  <c r="Q2597" i="1"/>
  <c r="R2597" i="1"/>
  <c r="S2597" i="1"/>
  <c r="M2598" i="1"/>
  <c r="N2598" i="1"/>
  <c r="O2598" i="1"/>
  <c r="P2598" i="1"/>
  <c r="Q2598" i="1"/>
  <c r="R2598" i="1"/>
  <c r="S2598" i="1"/>
  <c r="M2599" i="1"/>
  <c r="N2599" i="1"/>
  <c r="O2599" i="1"/>
  <c r="P2599" i="1"/>
  <c r="Q2599" i="1"/>
  <c r="R2599" i="1"/>
  <c r="S2599" i="1"/>
  <c r="M2600" i="1"/>
  <c r="N2600" i="1"/>
  <c r="O2600" i="1"/>
  <c r="P2600" i="1"/>
  <c r="Q2600" i="1"/>
  <c r="R2600" i="1"/>
  <c r="S2600" i="1"/>
  <c r="M2601" i="1"/>
  <c r="N2601" i="1"/>
  <c r="O2601" i="1"/>
  <c r="P2601" i="1"/>
  <c r="Q2601" i="1"/>
  <c r="R2601" i="1"/>
  <c r="S2601" i="1"/>
  <c r="M2602" i="1"/>
  <c r="N2602" i="1"/>
  <c r="O2602" i="1"/>
  <c r="P2602" i="1"/>
  <c r="Q2602" i="1"/>
  <c r="R2602" i="1"/>
  <c r="S2602" i="1"/>
  <c r="M2603" i="1"/>
  <c r="N2603" i="1"/>
  <c r="O2603" i="1"/>
  <c r="P2603" i="1"/>
  <c r="Q2603" i="1"/>
  <c r="R2603" i="1"/>
  <c r="S2603" i="1"/>
  <c r="M2604" i="1"/>
  <c r="N2604" i="1"/>
  <c r="O2604" i="1"/>
  <c r="P2604" i="1"/>
  <c r="Q2604" i="1"/>
  <c r="R2604" i="1"/>
  <c r="S2604" i="1"/>
  <c r="M2605" i="1"/>
  <c r="N2605" i="1"/>
  <c r="O2605" i="1"/>
  <c r="P2605" i="1"/>
  <c r="Q2605" i="1"/>
  <c r="R2605" i="1"/>
  <c r="S2605" i="1"/>
  <c r="M2606" i="1"/>
  <c r="N2606" i="1"/>
  <c r="O2606" i="1"/>
  <c r="P2606" i="1"/>
  <c r="Q2606" i="1"/>
  <c r="R2606" i="1"/>
  <c r="S2606" i="1"/>
  <c r="M2607" i="1"/>
  <c r="N2607" i="1"/>
  <c r="O2607" i="1"/>
  <c r="P2607" i="1"/>
  <c r="Q2607" i="1"/>
  <c r="R2607" i="1"/>
  <c r="S2607" i="1"/>
  <c r="M2608" i="1"/>
  <c r="N2608" i="1"/>
  <c r="O2608" i="1"/>
  <c r="P2608" i="1"/>
  <c r="Q2608" i="1"/>
  <c r="R2608" i="1"/>
  <c r="S2608" i="1"/>
  <c r="M2609" i="1"/>
  <c r="N2609" i="1"/>
  <c r="O2609" i="1"/>
  <c r="P2609" i="1"/>
  <c r="Q2609" i="1"/>
  <c r="R2609" i="1"/>
  <c r="S2609" i="1"/>
  <c r="M2610" i="1"/>
  <c r="N2610" i="1"/>
  <c r="O2610" i="1"/>
  <c r="P2610" i="1"/>
  <c r="Q2610" i="1"/>
  <c r="R2610" i="1"/>
  <c r="S2610" i="1"/>
  <c r="M2611" i="1"/>
  <c r="N2611" i="1"/>
  <c r="O2611" i="1"/>
  <c r="P2611" i="1"/>
  <c r="Q2611" i="1"/>
  <c r="R2611" i="1"/>
  <c r="S2611" i="1"/>
  <c r="M2612" i="1"/>
  <c r="N2612" i="1"/>
  <c r="O2612" i="1"/>
  <c r="P2612" i="1"/>
  <c r="Q2612" i="1"/>
  <c r="R2612" i="1"/>
  <c r="S2612" i="1"/>
  <c r="M2613" i="1"/>
  <c r="N2613" i="1"/>
  <c r="O2613" i="1"/>
  <c r="P2613" i="1"/>
  <c r="Q2613" i="1"/>
  <c r="R2613" i="1"/>
  <c r="S2613" i="1"/>
  <c r="M2614" i="1"/>
  <c r="N2614" i="1"/>
  <c r="O2614" i="1"/>
  <c r="P2614" i="1"/>
  <c r="Q2614" i="1"/>
  <c r="R2614" i="1"/>
  <c r="S2614" i="1"/>
  <c r="M2615" i="1"/>
  <c r="N2615" i="1"/>
  <c r="O2615" i="1"/>
  <c r="P2615" i="1"/>
  <c r="Q2615" i="1"/>
  <c r="R2615" i="1"/>
  <c r="S2615" i="1"/>
  <c r="M2616" i="1"/>
  <c r="N2616" i="1"/>
  <c r="O2616" i="1"/>
  <c r="P2616" i="1"/>
  <c r="Q2616" i="1"/>
  <c r="R2616" i="1"/>
  <c r="S2616" i="1"/>
  <c r="M2617" i="1"/>
  <c r="N2617" i="1"/>
  <c r="O2617" i="1"/>
  <c r="P2617" i="1"/>
  <c r="Q2617" i="1"/>
  <c r="R2617" i="1"/>
  <c r="S2617" i="1"/>
  <c r="M2618" i="1"/>
  <c r="N2618" i="1"/>
  <c r="O2618" i="1"/>
  <c r="P2618" i="1"/>
  <c r="Q2618" i="1"/>
  <c r="R2618" i="1"/>
  <c r="S2618" i="1"/>
  <c r="M2619" i="1"/>
  <c r="N2619" i="1"/>
  <c r="O2619" i="1"/>
  <c r="P2619" i="1"/>
  <c r="Q2619" i="1"/>
  <c r="R2619" i="1"/>
  <c r="S2619" i="1"/>
  <c r="M2620" i="1"/>
  <c r="N2620" i="1"/>
  <c r="O2620" i="1"/>
  <c r="P2620" i="1"/>
  <c r="Q2620" i="1"/>
  <c r="R2620" i="1"/>
  <c r="S2620" i="1"/>
  <c r="M2621" i="1"/>
  <c r="N2621" i="1"/>
  <c r="O2621" i="1"/>
  <c r="P2621" i="1"/>
  <c r="Q2621" i="1"/>
  <c r="R2621" i="1"/>
  <c r="S2621" i="1"/>
  <c r="M2622" i="1"/>
  <c r="N2622" i="1"/>
  <c r="O2622" i="1"/>
  <c r="P2622" i="1"/>
  <c r="Q2622" i="1"/>
  <c r="R2622" i="1"/>
  <c r="S2622" i="1"/>
  <c r="M2623" i="1"/>
  <c r="N2623" i="1"/>
  <c r="O2623" i="1"/>
  <c r="P2623" i="1"/>
  <c r="Q2623" i="1"/>
  <c r="R2623" i="1"/>
  <c r="S2623" i="1"/>
  <c r="M2624" i="1"/>
  <c r="N2624" i="1"/>
  <c r="O2624" i="1"/>
  <c r="P2624" i="1"/>
  <c r="Q2624" i="1"/>
  <c r="R2624" i="1"/>
  <c r="S2624" i="1"/>
  <c r="M2625" i="1"/>
  <c r="N2625" i="1"/>
  <c r="O2625" i="1"/>
  <c r="P2625" i="1"/>
  <c r="Q2625" i="1"/>
  <c r="R2625" i="1"/>
  <c r="S2625" i="1"/>
  <c r="M2626" i="1"/>
  <c r="N2626" i="1"/>
  <c r="O2626" i="1"/>
  <c r="P2626" i="1"/>
  <c r="Q2626" i="1"/>
  <c r="R2626" i="1"/>
  <c r="S2626" i="1"/>
  <c r="M2627" i="1"/>
  <c r="N2627" i="1"/>
  <c r="O2627" i="1"/>
  <c r="P2627" i="1"/>
  <c r="Q2627" i="1"/>
  <c r="R2627" i="1"/>
  <c r="S2627" i="1"/>
  <c r="M2628" i="1"/>
  <c r="N2628" i="1"/>
  <c r="O2628" i="1"/>
  <c r="P2628" i="1"/>
  <c r="Q2628" i="1"/>
  <c r="R2628" i="1"/>
  <c r="S2628" i="1"/>
  <c r="M2629" i="1"/>
  <c r="N2629" i="1"/>
  <c r="O2629" i="1"/>
  <c r="P2629" i="1"/>
  <c r="Q2629" i="1"/>
  <c r="R2629" i="1"/>
  <c r="S2629" i="1"/>
  <c r="M2630" i="1"/>
  <c r="N2630" i="1"/>
  <c r="O2630" i="1"/>
  <c r="P2630" i="1"/>
  <c r="Q2630" i="1"/>
  <c r="R2630" i="1"/>
  <c r="S2630" i="1"/>
  <c r="M2631" i="1"/>
  <c r="N2631" i="1"/>
  <c r="O2631" i="1"/>
  <c r="P2631" i="1"/>
  <c r="Q2631" i="1"/>
  <c r="R2631" i="1"/>
  <c r="S2631" i="1"/>
  <c r="M2632" i="1"/>
  <c r="N2632" i="1"/>
  <c r="O2632" i="1"/>
  <c r="P2632" i="1"/>
  <c r="Q2632" i="1"/>
  <c r="R2632" i="1"/>
  <c r="S2632" i="1"/>
  <c r="M2633" i="1"/>
  <c r="N2633" i="1"/>
  <c r="O2633" i="1"/>
  <c r="P2633" i="1"/>
  <c r="Q2633" i="1"/>
  <c r="R2633" i="1"/>
  <c r="S2633" i="1"/>
  <c r="M2634" i="1"/>
  <c r="N2634" i="1"/>
  <c r="O2634" i="1"/>
  <c r="P2634" i="1"/>
  <c r="Q2634" i="1"/>
  <c r="R2634" i="1"/>
  <c r="S2634" i="1"/>
  <c r="M2635" i="1"/>
  <c r="N2635" i="1"/>
  <c r="O2635" i="1"/>
  <c r="P2635" i="1"/>
  <c r="Q2635" i="1"/>
  <c r="R2635" i="1"/>
  <c r="S2635" i="1"/>
  <c r="M2636" i="1"/>
  <c r="N2636" i="1"/>
  <c r="O2636" i="1"/>
  <c r="P2636" i="1"/>
  <c r="Q2636" i="1"/>
  <c r="R2636" i="1"/>
  <c r="S2636" i="1"/>
  <c r="M2637" i="1"/>
  <c r="N2637" i="1"/>
  <c r="O2637" i="1"/>
  <c r="P2637" i="1"/>
  <c r="Q2637" i="1"/>
  <c r="R2637" i="1"/>
  <c r="S2637" i="1"/>
  <c r="M2638" i="1"/>
  <c r="N2638" i="1"/>
  <c r="O2638" i="1"/>
  <c r="P2638" i="1"/>
  <c r="Q2638" i="1"/>
  <c r="R2638" i="1"/>
  <c r="S2638" i="1"/>
  <c r="M2639" i="1"/>
  <c r="N2639" i="1"/>
  <c r="O2639" i="1"/>
  <c r="P2639" i="1"/>
  <c r="Q2639" i="1"/>
  <c r="R2639" i="1"/>
  <c r="S2639" i="1"/>
  <c r="M2640" i="1"/>
  <c r="N2640" i="1"/>
  <c r="O2640" i="1"/>
  <c r="P2640" i="1"/>
  <c r="Q2640" i="1"/>
  <c r="R2640" i="1"/>
  <c r="S2640" i="1"/>
  <c r="M2641" i="1"/>
  <c r="N2641" i="1"/>
  <c r="O2641" i="1"/>
  <c r="P2641" i="1"/>
  <c r="Q2641" i="1"/>
  <c r="R2641" i="1"/>
  <c r="S2641" i="1"/>
  <c r="M2642" i="1"/>
  <c r="N2642" i="1"/>
  <c r="O2642" i="1"/>
  <c r="P2642" i="1"/>
  <c r="Q2642" i="1"/>
  <c r="R2642" i="1"/>
  <c r="S2642" i="1"/>
  <c r="M2643" i="1"/>
  <c r="N2643" i="1"/>
  <c r="O2643" i="1"/>
  <c r="P2643" i="1"/>
  <c r="Q2643" i="1"/>
  <c r="R2643" i="1"/>
  <c r="S2643" i="1"/>
  <c r="M2644" i="1"/>
  <c r="N2644" i="1"/>
  <c r="O2644" i="1"/>
  <c r="P2644" i="1"/>
  <c r="Q2644" i="1"/>
  <c r="R2644" i="1"/>
  <c r="S2644" i="1"/>
  <c r="M2645" i="1"/>
  <c r="N2645" i="1"/>
  <c r="O2645" i="1"/>
  <c r="P2645" i="1"/>
  <c r="Q2645" i="1"/>
  <c r="R2645" i="1"/>
  <c r="S2645" i="1"/>
  <c r="M2646" i="1"/>
  <c r="N2646" i="1"/>
  <c r="O2646" i="1"/>
  <c r="P2646" i="1"/>
  <c r="Q2646" i="1"/>
  <c r="R2646" i="1"/>
  <c r="S2646" i="1"/>
  <c r="M2647" i="1"/>
  <c r="N2647" i="1"/>
  <c r="O2647" i="1"/>
  <c r="P2647" i="1"/>
  <c r="Q2647" i="1"/>
  <c r="R2647" i="1"/>
  <c r="S2647" i="1"/>
  <c r="M2648" i="1"/>
  <c r="N2648" i="1"/>
  <c r="O2648" i="1"/>
  <c r="P2648" i="1"/>
  <c r="Q2648" i="1"/>
  <c r="R2648" i="1"/>
  <c r="S2648" i="1"/>
  <c r="M2649" i="1"/>
  <c r="N2649" i="1"/>
  <c r="O2649" i="1"/>
  <c r="P2649" i="1"/>
  <c r="Q2649" i="1"/>
  <c r="R2649" i="1"/>
  <c r="S2649" i="1"/>
  <c r="M2650" i="1"/>
  <c r="N2650" i="1"/>
  <c r="O2650" i="1"/>
  <c r="P2650" i="1"/>
  <c r="Q2650" i="1"/>
  <c r="R2650" i="1"/>
  <c r="S2650" i="1"/>
  <c r="M2651" i="1"/>
  <c r="N2651" i="1"/>
  <c r="O2651" i="1"/>
  <c r="P2651" i="1"/>
  <c r="Q2651" i="1"/>
  <c r="R2651" i="1"/>
  <c r="S2651" i="1"/>
  <c r="M2652" i="1"/>
  <c r="N2652" i="1"/>
  <c r="O2652" i="1"/>
  <c r="P2652" i="1"/>
  <c r="Q2652" i="1"/>
  <c r="R2652" i="1"/>
  <c r="S2652" i="1"/>
  <c r="M2653" i="1"/>
  <c r="N2653" i="1"/>
  <c r="O2653" i="1"/>
  <c r="P2653" i="1"/>
  <c r="Q2653" i="1"/>
  <c r="R2653" i="1"/>
  <c r="S2653" i="1"/>
  <c r="M2654" i="1"/>
  <c r="N2654" i="1"/>
  <c r="O2654" i="1"/>
  <c r="P2654" i="1"/>
  <c r="Q2654" i="1"/>
  <c r="R2654" i="1"/>
  <c r="S2654" i="1"/>
  <c r="M2655" i="1"/>
  <c r="N2655" i="1"/>
  <c r="O2655" i="1"/>
  <c r="P2655" i="1"/>
  <c r="Q2655" i="1"/>
  <c r="R2655" i="1"/>
  <c r="S2655" i="1"/>
  <c r="M2656" i="1"/>
  <c r="N2656" i="1"/>
  <c r="O2656" i="1"/>
  <c r="P2656" i="1"/>
  <c r="Q2656" i="1"/>
  <c r="R2656" i="1"/>
  <c r="S2656" i="1"/>
  <c r="M2657" i="1"/>
  <c r="N2657" i="1"/>
  <c r="O2657" i="1"/>
  <c r="P2657" i="1"/>
  <c r="Q2657" i="1"/>
  <c r="R2657" i="1"/>
  <c r="S2657" i="1"/>
  <c r="M2658" i="1"/>
  <c r="N2658" i="1"/>
  <c r="O2658" i="1"/>
  <c r="P2658" i="1"/>
  <c r="Q2658" i="1"/>
  <c r="R2658" i="1"/>
  <c r="S2658" i="1"/>
  <c r="M2659" i="1"/>
  <c r="N2659" i="1"/>
  <c r="O2659" i="1"/>
  <c r="P2659" i="1"/>
  <c r="Q2659" i="1"/>
  <c r="R2659" i="1"/>
  <c r="S2659" i="1"/>
  <c r="M2660" i="1"/>
  <c r="N2660" i="1"/>
  <c r="O2660" i="1"/>
  <c r="P2660" i="1"/>
  <c r="Q2660" i="1"/>
  <c r="R2660" i="1"/>
  <c r="S2660" i="1"/>
  <c r="M2661" i="1"/>
  <c r="N2661" i="1"/>
  <c r="O2661" i="1"/>
  <c r="P2661" i="1"/>
  <c r="Q2661" i="1"/>
  <c r="R2661" i="1"/>
  <c r="S2661" i="1"/>
  <c r="M2662" i="1"/>
  <c r="N2662" i="1"/>
  <c r="O2662" i="1"/>
  <c r="P2662" i="1"/>
  <c r="Q2662" i="1"/>
  <c r="R2662" i="1"/>
  <c r="S2662" i="1"/>
  <c r="M2663" i="1"/>
  <c r="N2663" i="1"/>
  <c r="O2663" i="1"/>
  <c r="P2663" i="1"/>
  <c r="Q2663" i="1"/>
  <c r="R2663" i="1"/>
  <c r="S2663" i="1"/>
  <c r="M2664" i="1"/>
  <c r="N2664" i="1"/>
  <c r="O2664" i="1"/>
  <c r="P2664" i="1"/>
  <c r="Q2664" i="1"/>
  <c r="R2664" i="1"/>
  <c r="S2664" i="1"/>
  <c r="M2665" i="1"/>
  <c r="N2665" i="1"/>
  <c r="O2665" i="1"/>
  <c r="P2665" i="1"/>
  <c r="Q2665" i="1"/>
  <c r="R2665" i="1"/>
  <c r="S2665" i="1"/>
  <c r="M2666" i="1"/>
  <c r="N2666" i="1"/>
  <c r="O2666" i="1"/>
  <c r="P2666" i="1"/>
  <c r="Q2666" i="1"/>
  <c r="R2666" i="1"/>
  <c r="S2666" i="1"/>
  <c r="M2667" i="1"/>
  <c r="N2667" i="1"/>
  <c r="O2667" i="1"/>
  <c r="P2667" i="1"/>
  <c r="Q2667" i="1"/>
  <c r="R2667" i="1"/>
  <c r="S2667" i="1"/>
  <c r="M2668" i="1"/>
  <c r="N2668" i="1"/>
  <c r="O2668" i="1"/>
  <c r="P2668" i="1"/>
  <c r="Q2668" i="1"/>
  <c r="R2668" i="1"/>
  <c r="S2668" i="1"/>
  <c r="M2669" i="1"/>
  <c r="N2669" i="1"/>
  <c r="O2669" i="1"/>
  <c r="P2669" i="1"/>
  <c r="Q2669" i="1"/>
  <c r="R2669" i="1"/>
  <c r="S2669" i="1"/>
  <c r="M2670" i="1"/>
  <c r="N2670" i="1"/>
  <c r="O2670" i="1"/>
  <c r="P2670" i="1"/>
  <c r="Q2670" i="1"/>
  <c r="R2670" i="1"/>
  <c r="S2670" i="1"/>
  <c r="M2671" i="1"/>
  <c r="N2671" i="1"/>
  <c r="O2671" i="1"/>
  <c r="P2671" i="1"/>
  <c r="Q2671" i="1"/>
  <c r="R2671" i="1"/>
  <c r="S2671" i="1"/>
  <c r="M2672" i="1"/>
  <c r="N2672" i="1"/>
  <c r="O2672" i="1"/>
  <c r="P2672" i="1"/>
  <c r="Q2672" i="1"/>
  <c r="R2672" i="1"/>
  <c r="S2672" i="1"/>
  <c r="M2673" i="1"/>
  <c r="N2673" i="1"/>
  <c r="O2673" i="1"/>
  <c r="P2673" i="1"/>
  <c r="Q2673" i="1"/>
  <c r="R2673" i="1"/>
  <c r="S2673" i="1"/>
  <c r="M2674" i="1"/>
  <c r="N2674" i="1"/>
  <c r="O2674" i="1"/>
  <c r="P2674" i="1"/>
  <c r="Q2674" i="1"/>
  <c r="R2674" i="1"/>
  <c r="S2674" i="1"/>
  <c r="M2675" i="1"/>
  <c r="N2675" i="1"/>
  <c r="O2675" i="1"/>
  <c r="P2675" i="1"/>
  <c r="Q2675" i="1"/>
  <c r="R2675" i="1"/>
  <c r="S2675" i="1"/>
  <c r="M2676" i="1"/>
  <c r="N2676" i="1"/>
  <c r="O2676" i="1"/>
  <c r="P2676" i="1"/>
  <c r="Q2676" i="1"/>
  <c r="R2676" i="1"/>
  <c r="S2676" i="1"/>
  <c r="M2677" i="1"/>
  <c r="N2677" i="1"/>
  <c r="O2677" i="1"/>
  <c r="P2677" i="1"/>
  <c r="Q2677" i="1"/>
  <c r="R2677" i="1"/>
  <c r="S2677" i="1"/>
  <c r="M2678" i="1"/>
  <c r="N2678" i="1"/>
  <c r="O2678" i="1"/>
  <c r="P2678" i="1"/>
  <c r="Q2678" i="1"/>
  <c r="R2678" i="1"/>
  <c r="S2678" i="1"/>
  <c r="M2679" i="1"/>
  <c r="N2679" i="1"/>
  <c r="O2679" i="1"/>
  <c r="P2679" i="1"/>
  <c r="Q2679" i="1"/>
  <c r="R2679" i="1"/>
  <c r="S2679" i="1"/>
  <c r="M2680" i="1"/>
  <c r="N2680" i="1"/>
  <c r="O2680" i="1"/>
  <c r="P2680" i="1"/>
  <c r="Q2680" i="1"/>
  <c r="R2680" i="1"/>
  <c r="S2680" i="1"/>
  <c r="M2681" i="1"/>
  <c r="N2681" i="1"/>
  <c r="O2681" i="1"/>
  <c r="P2681" i="1"/>
  <c r="Q2681" i="1"/>
  <c r="R2681" i="1"/>
  <c r="S2681" i="1"/>
  <c r="M2682" i="1"/>
  <c r="N2682" i="1"/>
  <c r="O2682" i="1"/>
  <c r="P2682" i="1"/>
  <c r="Q2682" i="1"/>
  <c r="R2682" i="1"/>
  <c r="S2682" i="1"/>
  <c r="M2683" i="1"/>
  <c r="N2683" i="1"/>
  <c r="O2683" i="1"/>
  <c r="P2683" i="1"/>
  <c r="Q2683" i="1"/>
  <c r="R2683" i="1"/>
  <c r="S2683" i="1"/>
  <c r="M2684" i="1"/>
  <c r="N2684" i="1"/>
  <c r="O2684" i="1"/>
  <c r="P2684" i="1"/>
  <c r="Q2684" i="1"/>
  <c r="R2684" i="1"/>
  <c r="S2684" i="1"/>
  <c r="M2685" i="1"/>
  <c r="N2685" i="1"/>
  <c r="O2685" i="1"/>
  <c r="P2685" i="1"/>
  <c r="Q2685" i="1"/>
  <c r="R2685" i="1"/>
  <c r="S2685" i="1"/>
  <c r="M2686" i="1"/>
  <c r="N2686" i="1"/>
  <c r="O2686" i="1"/>
  <c r="P2686" i="1"/>
  <c r="Q2686" i="1"/>
  <c r="R2686" i="1"/>
  <c r="S2686" i="1"/>
  <c r="M2687" i="1"/>
  <c r="N2687" i="1"/>
  <c r="O2687" i="1"/>
  <c r="P2687" i="1"/>
  <c r="Q2687" i="1"/>
  <c r="R2687" i="1"/>
  <c r="S2687" i="1"/>
  <c r="M2688" i="1"/>
  <c r="N2688" i="1"/>
  <c r="O2688" i="1"/>
  <c r="P2688" i="1"/>
  <c r="Q2688" i="1"/>
  <c r="R2688" i="1"/>
  <c r="S2688" i="1"/>
  <c r="M2689" i="1"/>
  <c r="N2689" i="1"/>
  <c r="O2689" i="1"/>
  <c r="P2689" i="1"/>
  <c r="Q2689" i="1"/>
  <c r="R2689" i="1"/>
  <c r="S2689" i="1"/>
  <c r="M2690" i="1"/>
  <c r="N2690" i="1"/>
  <c r="O2690" i="1"/>
  <c r="P2690" i="1"/>
  <c r="Q2690" i="1"/>
  <c r="R2690" i="1"/>
  <c r="S2690" i="1"/>
  <c r="M2691" i="1"/>
  <c r="N2691" i="1"/>
  <c r="O2691" i="1"/>
  <c r="P2691" i="1"/>
  <c r="Q2691" i="1"/>
  <c r="R2691" i="1"/>
  <c r="S2691" i="1"/>
  <c r="M2692" i="1"/>
  <c r="N2692" i="1"/>
  <c r="O2692" i="1"/>
  <c r="P2692" i="1"/>
  <c r="Q2692" i="1"/>
  <c r="R2692" i="1"/>
  <c r="S2692" i="1"/>
  <c r="M2693" i="1"/>
  <c r="N2693" i="1"/>
  <c r="O2693" i="1"/>
  <c r="P2693" i="1"/>
  <c r="Q2693" i="1"/>
  <c r="R2693" i="1"/>
  <c r="S2693" i="1"/>
  <c r="M2694" i="1"/>
  <c r="N2694" i="1"/>
  <c r="O2694" i="1"/>
  <c r="P2694" i="1"/>
  <c r="Q2694" i="1"/>
  <c r="R2694" i="1"/>
  <c r="S2694" i="1"/>
  <c r="M2695" i="1"/>
  <c r="N2695" i="1"/>
  <c r="O2695" i="1"/>
  <c r="P2695" i="1"/>
  <c r="Q2695" i="1"/>
  <c r="R2695" i="1"/>
  <c r="S2695" i="1"/>
  <c r="M2696" i="1"/>
  <c r="N2696" i="1"/>
  <c r="O2696" i="1"/>
  <c r="P2696" i="1"/>
  <c r="Q2696" i="1"/>
  <c r="R2696" i="1"/>
  <c r="S2696" i="1"/>
  <c r="M2697" i="1"/>
  <c r="N2697" i="1"/>
  <c r="O2697" i="1"/>
  <c r="P2697" i="1"/>
  <c r="Q2697" i="1"/>
  <c r="R2697" i="1"/>
  <c r="S2697" i="1"/>
  <c r="M2698" i="1"/>
  <c r="N2698" i="1"/>
  <c r="O2698" i="1"/>
  <c r="P2698" i="1"/>
  <c r="Q2698" i="1"/>
  <c r="R2698" i="1"/>
  <c r="S2698" i="1"/>
  <c r="M2699" i="1"/>
  <c r="N2699" i="1"/>
  <c r="O2699" i="1"/>
  <c r="P2699" i="1"/>
  <c r="Q2699" i="1"/>
  <c r="R2699" i="1"/>
  <c r="S2699" i="1"/>
  <c r="M2700" i="1"/>
  <c r="N2700" i="1"/>
  <c r="O2700" i="1"/>
  <c r="P2700" i="1"/>
  <c r="Q2700" i="1"/>
  <c r="R2700" i="1"/>
  <c r="S2700" i="1"/>
  <c r="M2701" i="1"/>
  <c r="N2701" i="1"/>
  <c r="O2701" i="1"/>
  <c r="P2701" i="1"/>
  <c r="Q2701" i="1"/>
  <c r="R2701" i="1"/>
  <c r="S2701" i="1"/>
  <c r="M2702" i="1"/>
  <c r="N2702" i="1"/>
  <c r="O2702" i="1"/>
  <c r="P2702" i="1"/>
  <c r="Q2702" i="1"/>
  <c r="R2702" i="1"/>
  <c r="S2702" i="1"/>
  <c r="M2703" i="1"/>
  <c r="N2703" i="1"/>
  <c r="O2703" i="1"/>
  <c r="P2703" i="1"/>
  <c r="Q2703" i="1"/>
  <c r="R2703" i="1"/>
  <c r="S2703" i="1"/>
  <c r="M2704" i="1"/>
  <c r="N2704" i="1"/>
  <c r="O2704" i="1"/>
  <c r="P2704" i="1"/>
  <c r="Q2704" i="1"/>
  <c r="R2704" i="1"/>
  <c r="S2704" i="1"/>
  <c r="M2705" i="1"/>
  <c r="N2705" i="1"/>
  <c r="O2705" i="1"/>
  <c r="P2705" i="1"/>
  <c r="Q2705" i="1"/>
  <c r="R2705" i="1"/>
  <c r="S2705" i="1"/>
  <c r="M2706" i="1"/>
  <c r="N2706" i="1"/>
  <c r="O2706" i="1"/>
  <c r="P2706" i="1"/>
  <c r="Q2706" i="1"/>
  <c r="R2706" i="1"/>
  <c r="S2706" i="1"/>
  <c r="M2707" i="1"/>
  <c r="N2707" i="1"/>
  <c r="O2707" i="1"/>
  <c r="P2707" i="1"/>
  <c r="Q2707" i="1"/>
  <c r="R2707" i="1"/>
  <c r="S2707" i="1"/>
  <c r="M2708" i="1"/>
  <c r="N2708" i="1"/>
  <c r="O2708" i="1"/>
  <c r="P2708" i="1"/>
  <c r="Q2708" i="1"/>
  <c r="R2708" i="1"/>
  <c r="S2708" i="1"/>
  <c r="M2709" i="1"/>
  <c r="N2709" i="1"/>
  <c r="O2709" i="1"/>
  <c r="P2709" i="1"/>
  <c r="Q2709" i="1"/>
  <c r="R2709" i="1"/>
  <c r="S2709" i="1"/>
  <c r="M2710" i="1"/>
  <c r="N2710" i="1"/>
  <c r="O2710" i="1"/>
  <c r="P2710" i="1"/>
  <c r="Q2710" i="1"/>
  <c r="R2710" i="1"/>
  <c r="S2710" i="1"/>
  <c r="M2711" i="1"/>
  <c r="N2711" i="1"/>
  <c r="O2711" i="1"/>
  <c r="P2711" i="1"/>
  <c r="Q2711" i="1"/>
  <c r="R2711" i="1"/>
  <c r="S2711" i="1"/>
  <c r="M2712" i="1"/>
  <c r="N2712" i="1"/>
  <c r="O2712" i="1"/>
  <c r="P2712" i="1"/>
  <c r="Q2712" i="1"/>
  <c r="R2712" i="1"/>
  <c r="S2712" i="1"/>
  <c r="M2713" i="1"/>
  <c r="N2713" i="1"/>
  <c r="O2713" i="1"/>
  <c r="P2713" i="1"/>
  <c r="Q2713" i="1"/>
  <c r="R2713" i="1"/>
  <c r="S2713" i="1"/>
  <c r="M2714" i="1"/>
  <c r="N2714" i="1"/>
  <c r="O2714" i="1"/>
  <c r="P2714" i="1"/>
  <c r="Q2714" i="1"/>
  <c r="R2714" i="1"/>
  <c r="S2714" i="1"/>
  <c r="M2715" i="1"/>
  <c r="N2715" i="1"/>
  <c r="O2715" i="1"/>
  <c r="P2715" i="1"/>
  <c r="Q2715" i="1"/>
  <c r="R2715" i="1"/>
  <c r="S2715" i="1"/>
  <c r="M2716" i="1"/>
  <c r="N2716" i="1"/>
  <c r="O2716" i="1"/>
  <c r="P2716" i="1"/>
  <c r="Q2716" i="1"/>
  <c r="R2716" i="1"/>
  <c r="S2716" i="1"/>
  <c r="M2717" i="1"/>
  <c r="N2717" i="1"/>
  <c r="O2717" i="1"/>
  <c r="P2717" i="1"/>
  <c r="Q2717" i="1"/>
  <c r="R2717" i="1"/>
  <c r="S2717" i="1"/>
  <c r="M2718" i="1"/>
  <c r="N2718" i="1"/>
  <c r="O2718" i="1"/>
  <c r="P2718" i="1"/>
  <c r="Q2718" i="1"/>
  <c r="R2718" i="1"/>
  <c r="S2718" i="1"/>
  <c r="M2719" i="1"/>
  <c r="N2719" i="1"/>
  <c r="O2719" i="1"/>
  <c r="P2719" i="1"/>
  <c r="Q2719" i="1"/>
  <c r="R2719" i="1"/>
  <c r="S2719" i="1"/>
  <c r="M2720" i="1"/>
  <c r="N2720" i="1"/>
  <c r="O2720" i="1"/>
  <c r="P2720" i="1"/>
  <c r="Q2720" i="1"/>
  <c r="R2720" i="1"/>
  <c r="S2720" i="1"/>
  <c r="M2721" i="1"/>
  <c r="N2721" i="1"/>
  <c r="O2721" i="1"/>
  <c r="P2721" i="1"/>
  <c r="Q2721" i="1"/>
  <c r="R2721" i="1"/>
  <c r="S2721" i="1"/>
  <c r="M2722" i="1"/>
  <c r="N2722" i="1"/>
  <c r="O2722" i="1"/>
  <c r="P2722" i="1"/>
  <c r="Q2722" i="1"/>
  <c r="R2722" i="1"/>
  <c r="S2722" i="1"/>
  <c r="M2723" i="1"/>
  <c r="N2723" i="1"/>
  <c r="O2723" i="1"/>
  <c r="P2723" i="1"/>
  <c r="Q2723" i="1"/>
  <c r="R2723" i="1"/>
  <c r="S2723" i="1"/>
  <c r="M2724" i="1"/>
  <c r="N2724" i="1"/>
  <c r="O2724" i="1"/>
  <c r="P2724" i="1"/>
  <c r="Q2724" i="1"/>
  <c r="R2724" i="1"/>
  <c r="S2724" i="1"/>
  <c r="M2725" i="1"/>
  <c r="N2725" i="1"/>
  <c r="O2725" i="1"/>
  <c r="P2725" i="1"/>
  <c r="Q2725" i="1"/>
  <c r="R2725" i="1"/>
  <c r="S2725" i="1"/>
  <c r="M2726" i="1"/>
  <c r="N2726" i="1"/>
  <c r="O2726" i="1"/>
  <c r="P2726" i="1"/>
  <c r="Q2726" i="1"/>
  <c r="R2726" i="1"/>
  <c r="S2726" i="1"/>
  <c r="M2727" i="1"/>
  <c r="N2727" i="1"/>
  <c r="O2727" i="1"/>
  <c r="P2727" i="1"/>
  <c r="Q2727" i="1"/>
  <c r="R2727" i="1"/>
  <c r="S2727" i="1"/>
  <c r="M2728" i="1"/>
  <c r="N2728" i="1"/>
  <c r="O2728" i="1"/>
  <c r="P2728" i="1"/>
  <c r="Q2728" i="1"/>
  <c r="R2728" i="1"/>
  <c r="S2728" i="1"/>
  <c r="M2729" i="1"/>
  <c r="N2729" i="1"/>
  <c r="O2729" i="1"/>
  <c r="P2729" i="1"/>
  <c r="Q2729" i="1"/>
  <c r="R2729" i="1"/>
  <c r="S2729" i="1"/>
  <c r="M2730" i="1"/>
  <c r="N2730" i="1"/>
  <c r="O2730" i="1"/>
  <c r="P2730" i="1"/>
  <c r="Q2730" i="1"/>
  <c r="R2730" i="1"/>
  <c r="S2730" i="1"/>
  <c r="M2731" i="1"/>
  <c r="N2731" i="1"/>
  <c r="O2731" i="1"/>
  <c r="P2731" i="1"/>
  <c r="Q2731" i="1"/>
  <c r="R2731" i="1"/>
  <c r="S2731" i="1"/>
  <c r="M2732" i="1"/>
  <c r="N2732" i="1"/>
  <c r="O2732" i="1"/>
  <c r="P2732" i="1"/>
  <c r="Q2732" i="1"/>
  <c r="R2732" i="1"/>
  <c r="S2732" i="1"/>
  <c r="M2733" i="1"/>
  <c r="N2733" i="1"/>
  <c r="O2733" i="1"/>
  <c r="P2733" i="1"/>
  <c r="Q2733" i="1"/>
  <c r="R2733" i="1"/>
  <c r="S2733" i="1"/>
  <c r="M2734" i="1"/>
  <c r="N2734" i="1"/>
  <c r="O2734" i="1"/>
  <c r="P2734" i="1"/>
  <c r="Q2734" i="1"/>
  <c r="R2734" i="1"/>
  <c r="S2734" i="1"/>
  <c r="M2735" i="1"/>
  <c r="N2735" i="1"/>
  <c r="O2735" i="1"/>
  <c r="P2735" i="1"/>
  <c r="Q2735" i="1"/>
  <c r="R2735" i="1"/>
  <c r="S2735" i="1"/>
  <c r="M2736" i="1"/>
  <c r="N2736" i="1"/>
  <c r="O2736" i="1"/>
  <c r="P2736" i="1"/>
  <c r="Q2736" i="1"/>
  <c r="R2736" i="1"/>
  <c r="S2736" i="1"/>
  <c r="M2737" i="1"/>
  <c r="N2737" i="1"/>
  <c r="O2737" i="1"/>
  <c r="P2737" i="1"/>
  <c r="Q2737" i="1"/>
  <c r="R2737" i="1"/>
  <c r="S2737" i="1"/>
  <c r="M2738" i="1"/>
  <c r="N2738" i="1"/>
  <c r="O2738" i="1"/>
  <c r="P2738" i="1"/>
  <c r="Q2738" i="1"/>
  <c r="R2738" i="1"/>
  <c r="S2738" i="1"/>
  <c r="M2739" i="1"/>
  <c r="N2739" i="1"/>
  <c r="O2739" i="1"/>
  <c r="P2739" i="1"/>
  <c r="Q2739" i="1"/>
  <c r="R2739" i="1"/>
  <c r="S2739" i="1"/>
  <c r="M2740" i="1"/>
  <c r="N2740" i="1"/>
  <c r="O2740" i="1"/>
  <c r="P2740" i="1"/>
  <c r="Q2740" i="1"/>
  <c r="R2740" i="1"/>
  <c r="S2740" i="1"/>
  <c r="M2741" i="1"/>
  <c r="N2741" i="1"/>
  <c r="O2741" i="1"/>
  <c r="P2741" i="1"/>
  <c r="Q2741" i="1"/>
  <c r="R2741" i="1"/>
  <c r="S2741" i="1"/>
  <c r="M2742" i="1"/>
  <c r="N2742" i="1"/>
  <c r="O2742" i="1"/>
  <c r="P2742" i="1"/>
  <c r="Q2742" i="1"/>
  <c r="R2742" i="1"/>
  <c r="S2742" i="1"/>
  <c r="M2743" i="1"/>
  <c r="N2743" i="1"/>
  <c r="O2743" i="1"/>
  <c r="P2743" i="1"/>
  <c r="Q2743" i="1"/>
  <c r="R2743" i="1"/>
  <c r="S2743" i="1"/>
  <c r="M2744" i="1"/>
  <c r="N2744" i="1"/>
  <c r="O2744" i="1"/>
  <c r="P2744" i="1"/>
  <c r="Q2744" i="1"/>
  <c r="R2744" i="1"/>
  <c r="S2744" i="1"/>
  <c r="M2745" i="1"/>
  <c r="N2745" i="1"/>
  <c r="O2745" i="1"/>
  <c r="P2745" i="1"/>
  <c r="Q2745" i="1"/>
  <c r="R2745" i="1"/>
  <c r="S2745" i="1"/>
  <c r="M2746" i="1"/>
  <c r="N2746" i="1"/>
  <c r="O2746" i="1"/>
  <c r="P2746" i="1"/>
  <c r="Q2746" i="1"/>
  <c r="R2746" i="1"/>
  <c r="S2746" i="1"/>
  <c r="M2747" i="1"/>
  <c r="N2747" i="1"/>
  <c r="O2747" i="1"/>
  <c r="P2747" i="1"/>
  <c r="Q2747" i="1"/>
  <c r="R2747" i="1"/>
  <c r="S2747" i="1"/>
  <c r="M2748" i="1"/>
  <c r="N2748" i="1"/>
  <c r="O2748" i="1"/>
  <c r="P2748" i="1"/>
  <c r="Q2748" i="1"/>
  <c r="R2748" i="1"/>
  <c r="S2748" i="1"/>
  <c r="M2749" i="1"/>
  <c r="N2749" i="1"/>
  <c r="O2749" i="1"/>
  <c r="P2749" i="1"/>
  <c r="Q2749" i="1"/>
  <c r="R2749" i="1"/>
  <c r="S2749" i="1"/>
  <c r="M2750" i="1"/>
  <c r="N2750" i="1"/>
  <c r="O2750" i="1"/>
  <c r="P2750" i="1"/>
  <c r="Q2750" i="1"/>
  <c r="R2750" i="1"/>
  <c r="S2750" i="1"/>
  <c r="M2751" i="1"/>
  <c r="N2751" i="1"/>
  <c r="O2751" i="1"/>
  <c r="P2751" i="1"/>
  <c r="Q2751" i="1"/>
  <c r="R2751" i="1"/>
  <c r="S2751" i="1"/>
  <c r="M2752" i="1"/>
  <c r="N2752" i="1"/>
  <c r="O2752" i="1"/>
  <c r="P2752" i="1"/>
  <c r="Q2752" i="1"/>
  <c r="R2752" i="1"/>
  <c r="S2752" i="1"/>
  <c r="M2753" i="1"/>
  <c r="N2753" i="1"/>
  <c r="O2753" i="1"/>
  <c r="P2753" i="1"/>
  <c r="Q2753" i="1"/>
  <c r="R2753" i="1"/>
  <c r="S2753" i="1"/>
  <c r="M2754" i="1"/>
  <c r="N2754" i="1"/>
  <c r="O2754" i="1"/>
  <c r="P2754" i="1"/>
  <c r="Q2754" i="1"/>
  <c r="R2754" i="1"/>
  <c r="S2754" i="1"/>
  <c r="M2755" i="1"/>
  <c r="N2755" i="1"/>
  <c r="O2755" i="1"/>
  <c r="P2755" i="1"/>
  <c r="Q2755" i="1"/>
  <c r="R2755" i="1"/>
  <c r="S2755" i="1"/>
  <c r="M2756" i="1"/>
  <c r="N2756" i="1"/>
  <c r="O2756" i="1"/>
  <c r="P2756" i="1"/>
  <c r="Q2756" i="1"/>
  <c r="R2756" i="1"/>
  <c r="S2756" i="1"/>
  <c r="M2757" i="1"/>
  <c r="N2757" i="1"/>
  <c r="O2757" i="1"/>
  <c r="P2757" i="1"/>
  <c r="Q2757" i="1"/>
  <c r="R2757" i="1"/>
  <c r="S2757" i="1"/>
  <c r="M2758" i="1"/>
  <c r="N2758" i="1"/>
  <c r="O2758" i="1"/>
  <c r="P2758" i="1"/>
  <c r="Q2758" i="1"/>
  <c r="R2758" i="1"/>
  <c r="S2758" i="1"/>
  <c r="N2759" i="1"/>
  <c r="O2759" i="1"/>
  <c r="P2759" i="1"/>
  <c r="Q2759" i="1"/>
  <c r="R2759" i="1"/>
  <c r="S2759" i="1"/>
  <c r="M1063" i="1"/>
  <c r="M1064" i="1"/>
  <c r="M1062" i="1"/>
  <c r="M1065" i="1"/>
  <c r="M1061" i="1"/>
  <c r="M1029" i="1"/>
  <c r="M1060" i="1"/>
  <c r="M1082" i="1"/>
  <c r="M1078" i="1"/>
  <c r="M1080" i="1"/>
  <c r="M1081" i="1"/>
  <c r="M1079" i="1"/>
  <c r="M1083" i="1"/>
  <c r="M1087" i="1"/>
  <c r="M1084" i="1"/>
  <c r="M1024" i="1"/>
  <c r="M935" i="1"/>
  <c r="M938" i="1"/>
  <c r="M1026" i="1"/>
  <c r="M1086" i="1"/>
  <c r="M1089" i="1"/>
  <c r="M1088" i="1"/>
  <c r="M950" i="1"/>
  <c r="M943" i="1"/>
  <c r="M1094" i="1"/>
  <c r="M1090" i="1"/>
  <c r="M1091" i="1"/>
  <c r="M1092" i="1"/>
  <c r="M1093" i="1"/>
  <c r="M1085" i="1"/>
  <c r="M1095" i="1"/>
  <c r="M1096" i="1"/>
  <c r="M1097" i="1"/>
  <c r="M1099" i="1"/>
  <c r="M1101" i="1"/>
  <c r="M1102" i="1"/>
  <c r="M1100" i="1"/>
  <c r="M1107" i="1"/>
  <c r="M1104" i="1"/>
  <c r="M1103" i="1"/>
  <c r="M1105" i="1"/>
  <c r="M1106" i="1"/>
  <c r="M1109" i="1"/>
  <c r="M1108" i="1"/>
  <c r="M1098" i="1"/>
  <c r="M1111" i="1"/>
  <c r="M1112" i="1"/>
  <c r="M1148" i="1"/>
  <c r="M1149" i="1"/>
  <c r="M1113" i="1"/>
  <c r="M1116" i="1"/>
  <c r="M1114" i="1"/>
  <c r="M1119" i="1"/>
  <c r="M1118" i="1"/>
  <c r="M1120" i="1"/>
  <c r="M1117" i="1"/>
  <c r="M1110" i="1"/>
  <c r="M1115" i="1"/>
  <c r="M1124" i="1"/>
  <c r="M1121" i="1"/>
  <c r="M1122" i="1"/>
  <c r="M1123" i="1"/>
  <c r="M1125" i="1"/>
  <c r="M1126" i="1"/>
  <c r="M1129" i="1"/>
  <c r="M1131" i="1"/>
  <c r="M1132" i="1"/>
  <c r="M1127" i="1"/>
  <c r="M1130" i="1"/>
  <c r="M1128" i="1"/>
  <c r="M1135" i="1"/>
  <c r="M1133" i="1"/>
  <c r="M1134" i="1"/>
  <c r="M1137" i="1"/>
  <c r="M1136" i="1"/>
  <c r="M1140" i="1"/>
  <c r="M1141" i="1"/>
  <c r="M1138" i="1"/>
  <c r="M1139" i="1"/>
  <c r="M1144" i="1"/>
  <c r="M1145" i="1"/>
  <c r="M1147" i="1"/>
  <c r="M1146" i="1"/>
  <c r="M1143" i="1"/>
  <c r="M1142"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N1063" i="1"/>
  <c r="N1064" i="1"/>
  <c r="N1062" i="1"/>
  <c r="N1065" i="1"/>
  <c r="N1061" i="1"/>
  <c r="N1029" i="1"/>
  <c r="N1060" i="1"/>
  <c r="N1082" i="1"/>
  <c r="N1078" i="1"/>
  <c r="N1080" i="1"/>
  <c r="N1081" i="1"/>
  <c r="N1079" i="1"/>
  <c r="N1083" i="1"/>
  <c r="N1087" i="1"/>
  <c r="N1084" i="1"/>
  <c r="N1024" i="1"/>
  <c r="N935" i="1"/>
  <c r="N938" i="1"/>
  <c r="N1026" i="1"/>
  <c r="N1086" i="1"/>
  <c r="N1089" i="1"/>
  <c r="N1088" i="1"/>
  <c r="N950" i="1"/>
  <c r="N943" i="1"/>
  <c r="N1094" i="1"/>
  <c r="N1090" i="1"/>
  <c r="N1091" i="1"/>
  <c r="N1092" i="1"/>
  <c r="N1093" i="1"/>
  <c r="N1085" i="1"/>
  <c r="N1095" i="1"/>
  <c r="N1096" i="1"/>
  <c r="N1097" i="1"/>
  <c r="N1099" i="1"/>
  <c r="N1101" i="1"/>
  <c r="N1102" i="1"/>
  <c r="N1100" i="1"/>
  <c r="N1107" i="1"/>
  <c r="N1104" i="1"/>
  <c r="N1103" i="1"/>
  <c r="N1105" i="1"/>
  <c r="N1106" i="1"/>
  <c r="N1109" i="1"/>
  <c r="N1108" i="1"/>
  <c r="N1098" i="1"/>
  <c r="N1111" i="1"/>
  <c r="N1112" i="1"/>
  <c r="N1148" i="1"/>
  <c r="N1149" i="1"/>
  <c r="N1113" i="1"/>
  <c r="N1116" i="1"/>
  <c r="N1114" i="1"/>
  <c r="N1119" i="1"/>
  <c r="N1118" i="1"/>
  <c r="N1120" i="1"/>
  <c r="N1117" i="1"/>
  <c r="N1110" i="1"/>
  <c r="N1115" i="1"/>
  <c r="N1124" i="1"/>
  <c r="N1121" i="1"/>
  <c r="N1122" i="1"/>
  <c r="N1123" i="1"/>
  <c r="N1125" i="1"/>
  <c r="N1126" i="1"/>
  <c r="N1129" i="1"/>
  <c r="N1131" i="1"/>
  <c r="N1132" i="1"/>
  <c r="N1127" i="1"/>
  <c r="N1130" i="1"/>
  <c r="N1128" i="1"/>
  <c r="N1135" i="1"/>
  <c r="N1133" i="1"/>
  <c r="N1134" i="1"/>
  <c r="N1137" i="1"/>
  <c r="N1136" i="1"/>
  <c r="N1140" i="1"/>
  <c r="N1141" i="1"/>
  <c r="N1138" i="1"/>
  <c r="N1139" i="1"/>
  <c r="N1144" i="1"/>
  <c r="N1145" i="1"/>
  <c r="N1147" i="1"/>
  <c r="N1146" i="1"/>
  <c r="N1143" i="1"/>
  <c r="N1142"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O1063" i="1"/>
  <c r="O1064" i="1"/>
  <c r="O1062" i="1"/>
  <c r="O1065" i="1"/>
  <c r="O1061" i="1"/>
  <c r="O1029" i="1"/>
  <c r="O1060" i="1"/>
  <c r="O1082" i="1"/>
  <c r="O1078" i="1"/>
  <c r="O1080" i="1"/>
  <c r="O1081" i="1"/>
  <c r="O1079" i="1"/>
  <c r="O1083" i="1"/>
  <c r="O1087" i="1"/>
  <c r="O1084" i="1"/>
  <c r="O1024" i="1"/>
  <c r="O935" i="1"/>
  <c r="O938" i="1"/>
  <c r="O1026" i="1"/>
  <c r="O1086" i="1"/>
  <c r="O1089" i="1"/>
  <c r="O1088" i="1"/>
  <c r="O950" i="1"/>
  <c r="O943" i="1"/>
  <c r="O1094" i="1"/>
  <c r="O1090" i="1"/>
  <c r="O1091" i="1"/>
  <c r="O1092" i="1"/>
  <c r="O1093" i="1"/>
  <c r="O1085" i="1"/>
  <c r="O1095" i="1"/>
  <c r="O1096" i="1"/>
  <c r="O1097" i="1"/>
  <c r="O1099" i="1"/>
  <c r="O1101" i="1"/>
  <c r="O1102" i="1"/>
  <c r="O1100" i="1"/>
  <c r="O1107" i="1"/>
  <c r="O1104" i="1"/>
  <c r="O1103" i="1"/>
  <c r="O1105" i="1"/>
  <c r="O1106" i="1"/>
  <c r="O1109" i="1"/>
  <c r="O1108" i="1"/>
  <c r="O1098" i="1"/>
  <c r="O1111" i="1"/>
  <c r="O1112" i="1"/>
  <c r="O1148" i="1"/>
  <c r="O1149" i="1"/>
  <c r="O1113" i="1"/>
  <c r="O1116" i="1"/>
  <c r="O1114" i="1"/>
  <c r="O1119" i="1"/>
  <c r="O1118" i="1"/>
  <c r="O1120" i="1"/>
  <c r="O1117" i="1"/>
  <c r="O1110" i="1"/>
  <c r="O1115" i="1"/>
  <c r="O1124" i="1"/>
  <c r="O1121" i="1"/>
  <c r="O1122" i="1"/>
  <c r="O1123" i="1"/>
  <c r="O1125" i="1"/>
  <c r="O1126" i="1"/>
  <c r="O1129" i="1"/>
  <c r="O1131" i="1"/>
  <c r="O1132" i="1"/>
  <c r="O1127" i="1"/>
  <c r="O1130" i="1"/>
  <c r="O1128" i="1"/>
  <c r="O1135" i="1"/>
  <c r="O1133" i="1"/>
  <c r="O1134" i="1"/>
  <c r="O1137" i="1"/>
  <c r="O1136" i="1"/>
  <c r="O1140" i="1"/>
  <c r="O1141" i="1"/>
  <c r="O1138" i="1"/>
  <c r="O1139" i="1"/>
  <c r="O1144" i="1"/>
  <c r="O1145" i="1"/>
  <c r="O1147" i="1"/>
  <c r="O1146" i="1"/>
  <c r="O1143" i="1"/>
  <c r="O1142"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P1063" i="1"/>
  <c r="P1064" i="1"/>
  <c r="P1062" i="1"/>
  <c r="P1065" i="1"/>
  <c r="P1061" i="1"/>
  <c r="P1029" i="1"/>
  <c r="P1060" i="1"/>
  <c r="P1082" i="1"/>
  <c r="P1078" i="1"/>
  <c r="P1080" i="1"/>
  <c r="P1081" i="1"/>
  <c r="P1079" i="1"/>
  <c r="P1083" i="1"/>
  <c r="P1087" i="1"/>
  <c r="P1084" i="1"/>
  <c r="P1024" i="1"/>
  <c r="P935" i="1"/>
  <c r="P938" i="1"/>
  <c r="P1026" i="1"/>
  <c r="P1086" i="1"/>
  <c r="P1089" i="1"/>
  <c r="P1088" i="1"/>
  <c r="P950" i="1"/>
  <c r="P943" i="1"/>
  <c r="P1094" i="1"/>
  <c r="P1090" i="1"/>
  <c r="P1091" i="1"/>
  <c r="P1092" i="1"/>
  <c r="P1093" i="1"/>
  <c r="P1085" i="1"/>
  <c r="P1095" i="1"/>
  <c r="P1096" i="1"/>
  <c r="P1097" i="1"/>
  <c r="P1099" i="1"/>
  <c r="P1101" i="1"/>
  <c r="P1102" i="1"/>
  <c r="P1100" i="1"/>
  <c r="P1107" i="1"/>
  <c r="P1104" i="1"/>
  <c r="P1103" i="1"/>
  <c r="P1105" i="1"/>
  <c r="P1106" i="1"/>
  <c r="P1109" i="1"/>
  <c r="P1108" i="1"/>
  <c r="P1098" i="1"/>
  <c r="P1111" i="1"/>
  <c r="P1112" i="1"/>
  <c r="P1148" i="1"/>
  <c r="P1149" i="1"/>
  <c r="P1113" i="1"/>
  <c r="P1116" i="1"/>
  <c r="P1114" i="1"/>
  <c r="P1119" i="1"/>
  <c r="P1118" i="1"/>
  <c r="P1120" i="1"/>
  <c r="P1117" i="1"/>
  <c r="P1110" i="1"/>
  <c r="P1115" i="1"/>
  <c r="P1124" i="1"/>
  <c r="P1121" i="1"/>
  <c r="P1122" i="1"/>
  <c r="P1123" i="1"/>
  <c r="P1125" i="1"/>
  <c r="P1126" i="1"/>
  <c r="P1129" i="1"/>
  <c r="P1131" i="1"/>
  <c r="P1132" i="1"/>
  <c r="P1127" i="1"/>
  <c r="P1130" i="1"/>
  <c r="P1128" i="1"/>
  <c r="P1135" i="1"/>
  <c r="P1133" i="1"/>
  <c r="P1134" i="1"/>
  <c r="P1137" i="1"/>
  <c r="P1136" i="1"/>
  <c r="P1140" i="1"/>
  <c r="P1141" i="1"/>
  <c r="P1138" i="1"/>
  <c r="P1139" i="1"/>
  <c r="P1144" i="1"/>
  <c r="P1145" i="1"/>
  <c r="P1147" i="1"/>
  <c r="P1146" i="1"/>
  <c r="P1143" i="1"/>
  <c r="P1142"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Q1063" i="1"/>
  <c r="Q1064" i="1"/>
  <c r="Q1062" i="1"/>
  <c r="Q1065" i="1"/>
  <c r="Q1061" i="1"/>
  <c r="Q1029" i="1"/>
  <c r="Q1060" i="1"/>
  <c r="Q1082" i="1"/>
  <c r="Q1078" i="1"/>
  <c r="Q1080" i="1"/>
  <c r="Q1081" i="1"/>
  <c r="Q1079" i="1"/>
  <c r="Q1083" i="1"/>
  <c r="Q1087" i="1"/>
  <c r="Q1084" i="1"/>
  <c r="Q1024" i="1"/>
  <c r="Q935" i="1"/>
  <c r="Q938" i="1"/>
  <c r="Q1026" i="1"/>
  <c r="Q1086" i="1"/>
  <c r="Q1089" i="1"/>
  <c r="Q1088" i="1"/>
  <c r="Q950" i="1"/>
  <c r="Q943" i="1"/>
  <c r="Q1094" i="1"/>
  <c r="Q1090" i="1"/>
  <c r="Q1091" i="1"/>
  <c r="Q1092" i="1"/>
  <c r="Q1093" i="1"/>
  <c r="Q1085" i="1"/>
  <c r="Q1095" i="1"/>
  <c r="Q1096" i="1"/>
  <c r="Q1097" i="1"/>
  <c r="Q1099" i="1"/>
  <c r="Q1101" i="1"/>
  <c r="Q1102" i="1"/>
  <c r="Q1100" i="1"/>
  <c r="Q1107" i="1"/>
  <c r="Q1104" i="1"/>
  <c r="Q1103" i="1"/>
  <c r="Q1105" i="1"/>
  <c r="Q1106" i="1"/>
  <c r="Q1109" i="1"/>
  <c r="Q1108" i="1"/>
  <c r="Q1098" i="1"/>
  <c r="Q1111" i="1"/>
  <c r="Q1112" i="1"/>
  <c r="Q1148" i="1"/>
  <c r="Q1149" i="1"/>
  <c r="Q1113" i="1"/>
  <c r="Q1116" i="1"/>
  <c r="Q1114" i="1"/>
  <c r="Q1119" i="1"/>
  <c r="Q1118" i="1"/>
  <c r="Q1120" i="1"/>
  <c r="Q1117" i="1"/>
  <c r="Q1110" i="1"/>
  <c r="Q1115" i="1"/>
  <c r="Q1124" i="1"/>
  <c r="Q1121" i="1"/>
  <c r="Q1122" i="1"/>
  <c r="Q1123" i="1"/>
  <c r="Q1125" i="1"/>
  <c r="Q1126" i="1"/>
  <c r="Q1129" i="1"/>
  <c r="Q1131" i="1"/>
  <c r="Q1132" i="1"/>
  <c r="Q1127" i="1"/>
  <c r="Q1130" i="1"/>
  <c r="Q1128" i="1"/>
  <c r="Q1135" i="1"/>
  <c r="Q1133" i="1"/>
  <c r="Q1134" i="1"/>
  <c r="Q1137" i="1"/>
  <c r="Q1136" i="1"/>
  <c r="Q1140" i="1"/>
  <c r="Q1141" i="1"/>
  <c r="Q1138" i="1"/>
  <c r="Q1139" i="1"/>
  <c r="Q1144" i="1"/>
  <c r="Q1145" i="1"/>
  <c r="Q1147" i="1"/>
  <c r="Q1146" i="1"/>
  <c r="Q1143" i="1"/>
  <c r="Q1142"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R1063" i="1"/>
  <c r="R1064" i="1"/>
  <c r="R1062" i="1"/>
  <c r="R1065" i="1"/>
  <c r="R1061" i="1"/>
  <c r="R1029" i="1"/>
  <c r="R1060" i="1"/>
  <c r="R1082" i="1"/>
  <c r="R1078" i="1"/>
  <c r="R1080" i="1"/>
  <c r="R1081" i="1"/>
  <c r="R1079" i="1"/>
  <c r="R1083" i="1"/>
  <c r="R1087" i="1"/>
  <c r="R1084" i="1"/>
  <c r="R1024" i="1"/>
  <c r="R935" i="1"/>
  <c r="R938" i="1"/>
  <c r="R1026" i="1"/>
  <c r="R1086" i="1"/>
  <c r="R1089" i="1"/>
  <c r="R1088" i="1"/>
  <c r="R950" i="1"/>
  <c r="R943" i="1"/>
  <c r="R1094" i="1"/>
  <c r="R1090" i="1"/>
  <c r="R1091" i="1"/>
  <c r="R1092" i="1"/>
  <c r="R1093" i="1"/>
  <c r="R1085" i="1"/>
  <c r="R1095" i="1"/>
  <c r="R1096" i="1"/>
  <c r="R1097" i="1"/>
  <c r="R1099" i="1"/>
  <c r="R1101" i="1"/>
  <c r="R1102" i="1"/>
  <c r="R1100" i="1"/>
  <c r="R1107" i="1"/>
  <c r="R1104" i="1"/>
  <c r="R1103" i="1"/>
  <c r="R1105" i="1"/>
  <c r="R1106" i="1"/>
  <c r="R1109" i="1"/>
  <c r="R1108" i="1"/>
  <c r="R1098" i="1"/>
  <c r="R1111" i="1"/>
  <c r="R1112" i="1"/>
  <c r="R1148" i="1"/>
  <c r="R1149" i="1"/>
  <c r="R1113" i="1"/>
  <c r="R1116" i="1"/>
  <c r="R1114" i="1"/>
  <c r="R1119" i="1"/>
  <c r="R1118" i="1"/>
  <c r="R1120" i="1"/>
  <c r="R1117" i="1"/>
  <c r="R1110" i="1"/>
  <c r="R1115" i="1"/>
  <c r="R1124" i="1"/>
  <c r="R1121" i="1"/>
  <c r="R1122" i="1"/>
  <c r="R1123" i="1"/>
  <c r="R1125" i="1"/>
  <c r="R1126" i="1"/>
  <c r="R1129" i="1"/>
  <c r="R1131" i="1"/>
  <c r="R1132" i="1"/>
  <c r="R1127" i="1"/>
  <c r="R1130" i="1"/>
  <c r="R1128" i="1"/>
  <c r="R1135" i="1"/>
  <c r="R1133" i="1"/>
  <c r="R1134" i="1"/>
  <c r="R1137" i="1"/>
  <c r="R1136" i="1"/>
  <c r="R1140" i="1"/>
  <c r="R1141" i="1"/>
  <c r="R1138" i="1"/>
  <c r="R1139" i="1"/>
  <c r="R1144" i="1"/>
  <c r="R1145" i="1"/>
  <c r="R1147" i="1"/>
  <c r="R1146" i="1"/>
  <c r="R1143" i="1"/>
  <c r="R1142"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S1063" i="1"/>
  <c r="S1064" i="1"/>
  <c r="S1062" i="1"/>
  <c r="S1065" i="1"/>
  <c r="S1061" i="1"/>
  <c r="S1029" i="1"/>
  <c r="S1060" i="1"/>
  <c r="S1082" i="1"/>
  <c r="S1078" i="1"/>
  <c r="S1080" i="1"/>
  <c r="S1081" i="1"/>
  <c r="S1079" i="1"/>
  <c r="S1083" i="1"/>
  <c r="S1087" i="1"/>
  <c r="S1084" i="1"/>
  <c r="S1024" i="1"/>
  <c r="S935" i="1"/>
  <c r="S938" i="1"/>
  <c r="S1026" i="1"/>
  <c r="S1086" i="1"/>
  <c r="S1089" i="1"/>
  <c r="S1088" i="1"/>
  <c r="S950" i="1"/>
  <c r="S943" i="1"/>
  <c r="S1094" i="1"/>
  <c r="S1090" i="1"/>
  <c r="S1091" i="1"/>
  <c r="S1092" i="1"/>
  <c r="S1093" i="1"/>
  <c r="S1085" i="1"/>
  <c r="S1095" i="1"/>
  <c r="S1096" i="1"/>
  <c r="S1097" i="1"/>
  <c r="S1099" i="1"/>
  <c r="S1101" i="1"/>
  <c r="S1102" i="1"/>
  <c r="S1100" i="1"/>
  <c r="S1107" i="1"/>
  <c r="S1104" i="1"/>
  <c r="S1103" i="1"/>
  <c r="S1105" i="1"/>
  <c r="S1106" i="1"/>
  <c r="S1109" i="1"/>
  <c r="S1108" i="1"/>
  <c r="S1098" i="1"/>
  <c r="S1111" i="1"/>
  <c r="S1112" i="1"/>
  <c r="S1148" i="1"/>
  <c r="S1149" i="1"/>
  <c r="S1113" i="1"/>
  <c r="S1116" i="1"/>
  <c r="S1114" i="1"/>
  <c r="S1119" i="1"/>
  <c r="S1118" i="1"/>
  <c r="S1120" i="1"/>
  <c r="S1117" i="1"/>
  <c r="S1110" i="1"/>
  <c r="S1115" i="1"/>
  <c r="S1124" i="1"/>
  <c r="S1121" i="1"/>
  <c r="S1122" i="1"/>
  <c r="S1123" i="1"/>
  <c r="S1125" i="1"/>
  <c r="S1126" i="1"/>
  <c r="S1129" i="1"/>
  <c r="S1131" i="1"/>
  <c r="S1132" i="1"/>
  <c r="S1127" i="1"/>
  <c r="S1130" i="1"/>
  <c r="S1128" i="1"/>
  <c r="S1135" i="1"/>
  <c r="S1133" i="1"/>
  <c r="S1134" i="1"/>
  <c r="S1137" i="1"/>
  <c r="S1136" i="1"/>
  <c r="S1140" i="1"/>
  <c r="S1141" i="1"/>
  <c r="S1138" i="1"/>
  <c r="S1139" i="1"/>
  <c r="S1144" i="1"/>
  <c r="S1145" i="1"/>
  <c r="S1147" i="1"/>
  <c r="S1146" i="1"/>
  <c r="S1143" i="1"/>
  <c r="S1142"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M1055" i="1"/>
  <c r="M1053" i="1"/>
  <c r="M1052" i="1"/>
  <c r="M1054" i="1"/>
  <c r="M1056" i="1"/>
  <c r="M1048" i="1"/>
  <c r="M952" i="1"/>
  <c r="M947" i="1"/>
  <c r="N1055" i="1"/>
  <c r="N1053" i="1"/>
  <c r="N1052" i="1"/>
  <c r="N1054" i="1"/>
  <c r="N1056" i="1"/>
  <c r="N1048" i="1"/>
  <c r="N952" i="1"/>
  <c r="N947" i="1"/>
  <c r="O1055" i="1"/>
  <c r="O1053" i="1"/>
  <c r="O1052" i="1"/>
  <c r="O1054" i="1"/>
  <c r="O1056" i="1"/>
  <c r="O1048" i="1"/>
  <c r="O952" i="1"/>
  <c r="O947" i="1"/>
  <c r="P1055" i="1"/>
  <c r="P1053" i="1"/>
  <c r="P1052" i="1"/>
  <c r="P1054" i="1"/>
  <c r="P1056" i="1"/>
  <c r="P1048" i="1"/>
  <c r="P952" i="1"/>
  <c r="P947" i="1"/>
  <c r="Q1055" i="1"/>
  <c r="Q1053" i="1"/>
  <c r="Q1052" i="1"/>
  <c r="Q1054" i="1"/>
  <c r="Q1056" i="1"/>
  <c r="Q1048" i="1"/>
  <c r="Q952" i="1"/>
  <c r="Q947" i="1"/>
  <c r="R1055" i="1"/>
  <c r="R1053" i="1"/>
  <c r="R1052" i="1"/>
  <c r="R1054" i="1"/>
  <c r="R1056" i="1"/>
  <c r="R1048" i="1"/>
  <c r="R952" i="1"/>
  <c r="R947" i="1"/>
  <c r="S1055" i="1"/>
  <c r="S1053" i="1"/>
  <c r="S1052" i="1"/>
  <c r="S1054" i="1"/>
  <c r="S1056" i="1"/>
  <c r="S1048" i="1"/>
  <c r="S952" i="1"/>
  <c r="S947" i="1"/>
  <c r="S1047" i="1"/>
  <c r="R1047" i="1"/>
  <c r="Q1047" i="1"/>
  <c r="P1047" i="1"/>
  <c r="O1047" i="1"/>
  <c r="N1047" i="1"/>
  <c r="M1047" i="1"/>
  <c r="S1051" i="1"/>
  <c r="R1051" i="1"/>
  <c r="Q1051" i="1"/>
  <c r="P1051" i="1"/>
  <c r="O1051" i="1"/>
  <c r="N1051" i="1"/>
  <c r="M1051" i="1"/>
  <c r="S1050" i="1"/>
  <c r="R1050" i="1"/>
  <c r="Q1050" i="1"/>
  <c r="P1050" i="1"/>
  <c r="O1050" i="1"/>
  <c r="N1050" i="1"/>
  <c r="M1050" i="1"/>
  <c r="S997" i="1"/>
  <c r="R997" i="1"/>
  <c r="Q997" i="1"/>
  <c r="P997" i="1"/>
  <c r="O997" i="1"/>
  <c r="N997" i="1"/>
  <c r="M997" i="1"/>
  <c r="M1046" i="1" l="1"/>
  <c r="N1046" i="1"/>
  <c r="O1046" i="1"/>
  <c r="P1046" i="1"/>
  <c r="Q1046" i="1"/>
  <c r="R1046" i="1"/>
  <c r="S1046" i="1"/>
  <c r="M1044" i="1"/>
  <c r="N1044" i="1"/>
  <c r="O1044" i="1"/>
  <c r="P1044" i="1"/>
  <c r="Q1044" i="1"/>
  <c r="R1044" i="1"/>
  <c r="S1044" i="1"/>
  <c r="M1043" i="1"/>
  <c r="N1043" i="1"/>
  <c r="O1043" i="1"/>
  <c r="P1043" i="1"/>
  <c r="Q1043" i="1"/>
  <c r="R1043" i="1"/>
  <c r="S1043" i="1"/>
  <c r="M1042" i="1"/>
  <c r="N1042" i="1"/>
  <c r="O1042" i="1"/>
  <c r="P1042" i="1"/>
  <c r="Q1042" i="1"/>
  <c r="R1042" i="1"/>
  <c r="S1042" i="1"/>
  <c r="M1036" i="1"/>
  <c r="N1036" i="1"/>
  <c r="O1036" i="1"/>
  <c r="P1036" i="1"/>
  <c r="Q1036" i="1"/>
  <c r="R1036" i="1"/>
  <c r="S1036" i="1"/>
  <c r="M1045" i="1"/>
  <c r="N1045" i="1"/>
  <c r="O1045" i="1"/>
  <c r="P1045" i="1"/>
  <c r="Q1045" i="1"/>
  <c r="R1045" i="1"/>
  <c r="S1045" i="1"/>
  <c r="M1049" i="1"/>
  <c r="N1049" i="1"/>
  <c r="O1049" i="1"/>
  <c r="P1049" i="1"/>
  <c r="Q1049" i="1"/>
  <c r="R1049" i="1"/>
  <c r="S1049" i="1"/>
  <c r="I3185" i="21" l="1"/>
  <c r="I3183" i="21"/>
  <c r="I3182" i="21"/>
  <c r="I3181" i="21"/>
  <c r="I3180" i="21"/>
  <c r="I3179" i="21"/>
  <c r="D3177" i="21"/>
  <c r="I3170" i="21"/>
  <c r="I3169" i="21"/>
  <c r="I3168" i="21"/>
  <c r="I3167" i="21"/>
  <c r="I3165" i="21"/>
  <c r="I3164" i="21"/>
  <c r="I3163" i="21"/>
  <c r="D3107" i="21"/>
  <c r="D3108" i="21" s="1"/>
  <c r="D3109" i="21" s="1"/>
  <c r="D3110" i="21" s="1"/>
  <c r="D3111" i="21" s="1"/>
  <c r="D3112" i="21" s="1"/>
  <c r="D3113" i="21" s="1"/>
  <c r="D3114" i="21" s="1"/>
  <c r="D3115" i="21" s="1"/>
  <c r="D3116" i="21" s="1"/>
  <c r="D3117" i="21" s="1"/>
  <c r="D3118" i="21" s="1"/>
  <c r="D3119" i="21" s="1"/>
  <c r="D3120" i="21" s="1"/>
  <c r="D3121" i="21" s="1"/>
  <c r="D3124" i="21" s="1"/>
  <c r="D3125" i="21" s="1"/>
  <c r="D3126" i="21" s="1"/>
  <c r="D3127" i="21" s="1"/>
  <c r="D3128" i="21" s="1"/>
  <c r="D3129" i="21" s="1"/>
  <c r="D3130" i="21" s="1"/>
  <c r="D3131" i="21" s="1"/>
  <c r="D3132" i="21" s="1"/>
  <c r="D3133" i="21" s="1"/>
  <c r="D3134" i="21" s="1"/>
  <c r="D3135" i="21" s="1"/>
  <c r="D3136" i="21" s="1"/>
  <c r="D3137" i="21" s="1"/>
  <c r="D3138" i="21" s="1"/>
  <c r="D3139" i="21" s="1"/>
  <c r="D3142" i="21" s="1"/>
  <c r="D3143" i="21" s="1"/>
  <c r="D3144" i="21" s="1"/>
  <c r="D3145" i="21" s="1"/>
  <c r="D3146" i="21" s="1"/>
  <c r="D3147" i="21" s="1"/>
  <c r="D3148" i="21" s="1"/>
  <c r="D3149" i="21" s="1"/>
  <c r="D3150" i="21" s="1"/>
  <c r="D3151" i="21" s="1"/>
  <c r="D3152" i="21" s="1"/>
  <c r="D3153" i="21" s="1"/>
  <c r="D3154" i="21" s="1"/>
  <c r="D3155" i="21" s="1"/>
  <c r="D3156" i="21" s="1"/>
  <c r="D3157" i="21" s="1"/>
  <c r="D3160" i="21" l="1"/>
  <c r="D3161" i="21" s="1"/>
  <c r="D3162" i="21" s="1"/>
  <c r="D3163" i="21" s="1"/>
  <c r="D3164" i="21" s="1"/>
  <c r="D3165" i="21" s="1"/>
  <c r="D3166" i="21" s="1"/>
  <c r="D3167" i="21" s="1"/>
  <c r="D3168" i="21" s="1"/>
  <c r="D3169" i="21" s="1"/>
  <c r="D3170" i="21" s="1"/>
  <c r="D3171" i="21" s="1"/>
  <c r="D3172" i="21" s="1"/>
  <c r="D3173" i="21" s="1"/>
  <c r="D3174" i="21" s="1"/>
  <c r="D3175" i="21" s="1"/>
  <c r="D3178" i="21" s="1"/>
  <c r="D3179" i="21" s="1"/>
  <c r="D3180" i="21" s="1"/>
  <c r="D3181" i="21" s="1"/>
  <c r="D3182" i="21" s="1"/>
  <c r="D3183" i="21" s="1"/>
  <c r="D3184" i="21" s="1"/>
  <c r="D3185" i="21" s="1"/>
  <c r="D3186" i="21" s="1"/>
  <c r="D3187" i="21" s="1"/>
  <c r="D3188" i="21" s="1"/>
  <c r="D3189" i="21" s="1"/>
  <c r="D3190" i="21" s="1"/>
  <c r="D3191" i="21" s="1"/>
  <c r="D3192" i="21" s="1"/>
  <c r="D3193" i="21" s="1"/>
  <c r="M1034" i="1"/>
  <c r="N1034" i="1"/>
  <c r="O1034" i="1"/>
  <c r="P1034" i="1"/>
  <c r="Q1034" i="1"/>
  <c r="R1034" i="1"/>
  <c r="S1034" i="1"/>
  <c r="M1041" i="1"/>
  <c r="N1041" i="1"/>
  <c r="O1041" i="1"/>
  <c r="P1041" i="1"/>
  <c r="Q1041" i="1"/>
  <c r="R1041" i="1"/>
  <c r="S1041" i="1"/>
  <c r="M1040" i="1"/>
  <c r="N1040" i="1"/>
  <c r="O1040" i="1"/>
  <c r="P1040" i="1"/>
  <c r="Q1040" i="1"/>
  <c r="R1040" i="1"/>
  <c r="S1040" i="1"/>
  <c r="M1035" i="1"/>
  <c r="N1035" i="1"/>
  <c r="O1035" i="1"/>
  <c r="P1035" i="1"/>
  <c r="Q1035" i="1"/>
  <c r="R1035" i="1"/>
  <c r="S1035" i="1"/>
  <c r="M1037" i="1"/>
  <c r="N1037" i="1"/>
  <c r="O1037" i="1"/>
  <c r="P1037" i="1"/>
  <c r="Q1037" i="1"/>
  <c r="R1037" i="1"/>
  <c r="S1037" i="1"/>
  <c r="M1033" i="1"/>
  <c r="N1033" i="1"/>
  <c r="O1033" i="1"/>
  <c r="P1033" i="1"/>
  <c r="Q1033" i="1"/>
  <c r="R1033" i="1"/>
  <c r="S1033" i="1"/>
  <c r="M1038" i="1"/>
  <c r="N1038" i="1"/>
  <c r="O1038" i="1"/>
  <c r="P1038" i="1"/>
  <c r="Q1038" i="1"/>
  <c r="R1038" i="1"/>
  <c r="S1038" i="1"/>
  <c r="M1039" i="1"/>
  <c r="N1039" i="1"/>
  <c r="O1039" i="1"/>
  <c r="P1039" i="1"/>
  <c r="Q1039" i="1"/>
  <c r="R1039" i="1"/>
  <c r="S1039" i="1"/>
  <c r="D1036" i="1" a="1"/>
  <c r="D1101" i="1" a="1"/>
  <c r="D1055" i="1" a="1"/>
  <c r="D952" i="1" a="1"/>
  <c r="D1042" i="1" a="1"/>
  <c r="D935" i="1" a="1"/>
  <c r="D1065" i="1" a="1"/>
  <c r="D1056" i="1" a="1"/>
  <c r="D1046" i="1" a="1"/>
  <c r="D1107" i="1" a="1"/>
  <c r="D1049" i="1" a="1"/>
  <c r="D1081" i="1" a="1"/>
  <c r="D1127" i="1" a="1"/>
  <c r="D1038" i="1" a="1"/>
  <c r="D1091" i="1" a="1"/>
  <c r="D1064" i="1" a="1"/>
  <c r="D1053" i="1" a="1"/>
  <c r="D1045" i="1" a="1"/>
  <c r="D1087" i="1" a="1"/>
  <c r="D1125" i="1" a="1"/>
  <c r="D1095" i="1" a="1"/>
  <c r="D1123" i="1" a="1"/>
  <c r="D1092" i="1" a="1"/>
  <c r="D1126" i="1" a="1"/>
  <c r="D1119" i="1" a="1"/>
  <c r="D1040" i="1" a="1"/>
  <c r="D1052" i="1" a="1"/>
  <c r="D1106" i="1" a="1"/>
  <c r="D1037" i="1" a="1"/>
  <c r="D1054" i="1" a="1"/>
  <c r="D1103" i="1" a="1"/>
  <c r="D1129" i="1" a="1"/>
  <c r="D1131" i="1" a="1"/>
  <c r="D1098" i="1" a="1"/>
  <c r="D1100" i="1" a="1"/>
  <c r="D1148" i="1" a="1"/>
  <c r="D1062" i="1" a="1"/>
  <c r="D1034" i="1" a="1"/>
  <c r="D1097" i="1" a="1"/>
  <c r="D1122" i="1" a="1"/>
  <c r="D1044" i="1" a="1"/>
  <c r="D947" i="1" a="1"/>
  <c r="D1088" i="1" a="1"/>
  <c r="D943" i="1" a="1"/>
  <c r="D1026" i="1" a="1"/>
  <c r="D1063" i="1" a="1"/>
  <c r="D938" i="1" a="1"/>
  <c r="D1024" i="1" a="1"/>
  <c r="D1083" i="1" a="1"/>
  <c r="D1121" i="1" a="1"/>
  <c r="D1115" i="1" a="1"/>
  <c r="D1109" i="1" a="1"/>
  <c r="D1050" i="1" a="1"/>
  <c r="D1116" i="1" a="1"/>
  <c r="D1093" i="1" a="1"/>
  <c r="D950" i="1" a="1"/>
  <c r="D1117" i="1" a="1"/>
  <c r="D1089" i="1" a="1"/>
  <c r="D1132" i="1" a="1"/>
  <c r="D1082" i="1" a="1"/>
  <c r="D1094" i="1" a="1"/>
  <c r="D1102" i="1" a="1"/>
  <c r="D1039" i="1" a="1"/>
  <c r="D1048" i="1" a="1"/>
  <c r="D1149" i="1" a="1"/>
  <c r="D1112" i="1" a="1"/>
  <c r="D1080" i="1" a="1"/>
  <c r="D1086" i="1" a="1"/>
  <c r="D1096" i="1" a="1"/>
  <c r="D1111" i="1" a="1"/>
  <c r="D1084" i="1" a="1"/>
  <c r="D1079" i="1" a="1"/>
  <c r="D1078" i="1" a="1"/>
  <c r="D1099" i="1" a="1"/>
  <c r="D1029" i="1" a="1"/>
  <c r="D1118" i="1" a="1"/>
  <c r="D1113" i="1" a="1"/>
  <c r="D1035" i="1" a="1"/>
  <c r="D1104" i="1" a="1"/>
  <c r="D1060" i="1" a="1"/>
  <c r="D1061" i="1" a="1"/>
  <c r="D1105" i="1" a="1"/>
  <c r="D1047" i="1" a="1"/>
  <c r="D1085" i="1" a="1"/>
  <c r="D1110" i="1" a="1"/>
  <c r="D1033" i="1" a="1"/>
  <c r="D1051" i="1" a="1"/>
  <c r="D1108" i="1" a="1"/>
  <c r="D997" i="1" a="1"/>
  <c r="D1114" i="1" a="1"/>
  <c r="D1043" i="1" a="1"/>
  <c r="D1041" i="1" a="1"/>
  <c r="D1090" i="1" a="1"/>
  <c r="S1032" i="1" l="1"/>
  <c r="R1032" i="1"/>
  <c r="Q1032" i="1"/>
  <c r="P1032" i="1"/>
  <c r="O1032" i="1"/>
  <c r="N1032" i="1"/>
  <c r="M1032" i="1"/>
  <c r="R1028" i="1"/>
  <c r="S1028" i="1"/>
  <c r="Q1028" i="1"/>
  <c r="P1028" i="1"/>
  <c r="O1028" i="1"/>
  <c r="N1028" i="1"/>
  <c r="M1028" i="1"/>
  <c r="S1027" i="1"/>
  <c r="R1027" i="1"/>
  <c r="Q1027" i="1"/>
  <c r="P1027" i="1"/>
  <c r="O1027" i="1"/>
  <c r="N1027" i="1"/>
  <c r="M1027" i="1"/>
  <c r="D1028" i="1" a="1"/>
  <c r="D1032" i="1" a="1"/>
  <c r="D1027" i="1" a="1"/>
  <c r="R1030" i="1" l="1"/>
  <c r="R1025" i="1"/>
  <c r="S1030" i="1"/>
  <c r="S1025" i="1"/>
  <c r="Q1030" i="1"/>
  <c r="Q1025" i="1"/>
  <c r="P1030" i="1"/>
  <c r="P1025" i="1"/>
  <c r="N1030" i="1"/>
  <c r="N1025" i="1"/>
  <c r="O1030" i="1"/>
  <c r="O1025" i="1"/>
  <c r="M1030" i="1"/>
  <c r="M1025" i="1"/>
  <c r="D1030" i="1" a="1"/>
  <c r="D1025" i="1" a="1"/>
  <c r="S1003" i="1" l="1"/>
  <c r="R1003" i="1"/>
  <c r="Q1003" i="1"/>
  <c r="N1003" i="1"/>
  <c r="O1003" i="1"/>
  <c r="P1003" i="1"/>
  <c r="M1003" i="1"/>
  <c r="Q999" i="1"/>
  <c r="R999" i="1"/>
  <c r="S999" i="1"/>
  <c r="P999" i="1"/>
  <c r="O999" i="1"/>
  <c r="N999" i="1"/>
  <c r="M999" i="1"/>
  <c r="R1021" i="1"/>
  <c r="S1021" i="1"/>
  <c r="Q1021" i="1"/>
  <c r="P1021" i="1"/>
  <c r="O1021" i="1"/>
  <c r="N1021" i="1"/>
  <c r="M1021" i="1"/>
  <c r="S1023" i="1"/>
  <c r="R1023" i="1"/>
  <c r="Q1023" i="1"/>
  <c r="P1023" i="1"/>
  <c r="N1023" i="1"/>
  <c r="O1023" i="1"/>
  <c r="M1023" i="1"/>
  <c r="D1021" i="1" a="1"/>
  <c r="D1023" i="1" a="1"/>
  <c r="D1003" i="1" a="1"/>
  <c r="D999" i="1" a="1"/>
  <c r="L3063" i="21" l="1"/>
  <c r="K3063" i="21"/>
  <c r="J3062" i="21" a="1"/>
  <c r="J3061" i="21" a="1"/>
  <c r="J3060" i="21" a="1"/>
  <c r="J3059" i="21" a="1"/>
  <c r="J3058" i="21" a="1"/>
  <c r="J3057" i="21" a="1"/>
  <c r="J3056" i="21" a="1"/>
  <c r="J3055" i="21" a="1"/>
  <c r="S883" i="1"/>
  <c r="R883" i="1"/>
  <c r="Q883" i="1"/>
  <c r="P883" i="1"/>
  <c r="O883" i="1"/>
  <c r="N883" i="1"/>
  <c r="M883" i="1"/>
  <c r="D883" i="1" a="1"/>
  <c r="S948" i="1" l="1"/>
  <c r="R948" i="1"/>
  <c r="Q948" i="1"/>
  <c r="P948" i="1"/>
  <c r="O948" i="1"/>
  <c r="N948" i="1"/>
  <c r="M948" i="1"/>
  <c r="S946" i="1"/>
  <c r="R946" i="1"/>
  <c r="Q946" i="1"/>
  <c r="P946" i="1"/>
  <c r="O946" i="1"/>
  <c r="N946" i="1"/>
  <c r="M946" i="1"/>
  <c r="S953" i="1"/>
  <c r="R953" i="1"/>
  <c r="Q953" i="1"/>
  <c r="P953" i="1"/>
  <c r="O953" i="1"/>
  <c r="N953" i="1"/>
  <c r="M953" i="1"/>
  <c r="S949" i="1"/>
  <c r="R949" i="1"/>
  <c r="Q949" i="1"/>
  <c r="P949" i="1"/>
  <c r="O949" i="1"/>
  <c r="N949" i="1"/>
  <c r="M949" i="1"/>
  <c r="S1020" i="1"/>
  <c r="R1020" i="1"/>
  <c r="Q1020" i="1"/>
  <c r="P1020" i="1"/>
  <c r="O1020" i="1"/>
  <c r="N1020" i="1"/>
  <c r="M1020" i="1"/>
  <c r="S1019" i="1"/>
  <c r="R1019" i="1"/>
  <c r="Q1019" i="1"/>
  <c r="P1019" i="1"/>
  <c r="O1019" i="1"/>
  <c r="N1019" i="1"/>
  <c r="M1019" i="1"/>
  <c r="S1017" i="1"/>
  <c r="R1017" i="1"/>
  <c r="Q1017" i="1"/>
  <c r="P1017" i="1"/>
  <c r="O1017" i="1"/>
  <c r="N1017" i="1"/>
  <c r="M1017" i="1"/>
  <c r="D1019" i="1" a="1"/>
  <c r="D948" i="1" a="1"/>
  <c r="D946" i="1" a="1"/>
  <c r="D953" i="1" a="1"/>
  <c r="D1020" i="1" a="1"/>
  <c r="D1017" i="1" a="1"/>
  <c r="D949" i="1" a="1"/>
  <c r="S1014" i="1" l="1"/>
  <c r="R1014" i="1"/>
  <c r="Q1014" i="1"/>
  <c r="P1014" i="1"/>
  <c r="O1014" i="1"/>
  <c r="N1014" i="1"/>
  <c r="M1014" i="1"/>
  <c r="S1015" i="1"/>
  <c r="R1015" i="1"/>
  <c r="Q1015" i="1"/>
  <c r="P1015" i="1"/>
  <c r="O1015" i="1"/>
  <c r="N1015" i="1"/>
  <c r="M1015" i="1"/>
  <c r="S1013" i="1"/>
  <c r="R1013" i="1"/>
  <c r="Q1013" i="1"/>
  <c r="P1013" i="1"/>
  <c r="O1013" i="1"/>
  <c r="N1013" i="1"/>
  <c r="M1013" i="1"/>
  <c r="S1012" i="1"/>
  <c r="R1012" i="1"/>
  <c r="Q1012" i="1"/>
  <c r="P1012" i="1"/>
  <c r="O1012" i="1"/>
  <c r="N1012" i="1"/>
  <c r="M1012" i="1"/>
  <c r="S1001" i="1"/>
  <c r="R1001" i="1"/>
  <c r="Q1001" i="1"/>
  <c r="P1001" i="1"/>
  <c r="O1001" i="1"/>
  <c r="N1001" i="1"/>
  <c r="M1001" i="1"/>
  <c r="S1004" i="1"/>
  <c r="R1004" i="1"/>
  <c r="Q1004" i="1"/>
  <c r="P1004" i="1"/>
  <c r="O1004" i="1"/>
  <c r="N1004" i="1"/>
  <c r="M1004" i="1"/>
  <c r="S1006" i="1"/>
  <c r="R1006" i="1"/>
  <c r="Q1006" i="1"/>
  <c r="P1006" i="1"/>
  <c r="O1006" i="1"/>
  <c r="N1006" i="1"/>
  <c r="M1006" i="1"/>
  <c r="M1018" i="1"/>
  <c r="N1018" i="1"/>
  <c r="O1018" i="1"/>
  <c r="P1018" i="1"/>
  <c r="Q1018" i="1"/>
  <c r="R1018" i="1"/>
  <c r="S1018" i="1"/>
  <c r="D1006" i="1" a="1"/>
  <c r="D1004" i="1" a="1"/>
  <c r="D1014" i="1" a="1"/>
  <c r="D1013" i="1" a="1"/>
  <c r="D1012" i="1" a="1"/>
  <c r="D1018" i="1" a="1"/>
  <c r="D1015" i="1" a="1"/>
  <c r="D1001" i="1" a="1"/>
  <c r="M1016" i="1" l="1"/>
  <c r="N1016" i="1"/>
  <c r="O1016" i="1"/>
  <c r="P1016" i="1"/>
  <c r="Q1016" i="1"/>
  <c r="R1016" i="1"/>
  <c r="S1016" i="1"/>
  <c r="S886" i="1"/>
  <c r="R886" i="1"/>
  <c r="Q886" i="1"/>
  <c r="P886" i="1"/>
  <c r="O886" i="1"/>
  <c r="N886" i="1"/>
  <c r="M886" i="1"/>
  <c r="D1016" i="1" a="1"/>
  <c r="D886" i="1" a="1"/>
  <c r="S1009" i="1" l="1"/>
  <c r="R1009" i="1"/>
  <c r="Q1009" i="1"/>
  <c r="P1009" i="1"/>
  <c r="O1009" i="1"/>
  <c r="N1009" i="1"/>
  <c r="M1009" i="1"/>
  <c r="S1007" i="1"/>
  <c r="R1007" i="1"/>
  <c r="Q1007" i="1"/>
  <c r="P1007" i="1"/>
  <c r="O1007" i="1"/>
  <c r="N1007" i="1"/>
  <c r="M1007" i="1"/>
  <c r="S1005" i="1"/>
  <c r="R1005" i="1"/>
  <c r="Q1005" i="1"/>
  <c r="P1005" i="1"/>
  <c r="O1005" i="1"/>
  <c r="N1005" i="1"/>
  <c r="M1005" i="1"/>
  <c r="S1011" i="1"/>
  <c r="R1011" i="1"/>
  <c r="Q1011" i="1"/>
  <c r="P1011" i="1"/>
  <c r="O1011" i="1"/>
  <c r="N1011" i="1"/>
  <c r="M1011" i="1"/>
  <c r="S1010" i="1"/>
  <c r="R1010" i="1"/>
  <c r="Q1010" i="1"/>
  <c r="P1010" i="1"/>
  <c r="O1010" i="1"/>
  <c r="N1010" i="1"/>
  <c r="M1010" i="1"/>
  <c r="S1008" i="1"/>
  <c r="R1008" i="1"/>
  <c r="Q1008" i="1"/>
  <c r="P1008" i="1"/>
  <c r="O1008" i="1"/>
  <c r="N1008" i="1"/>
  <c r="M1008" i="1"/>
  <c r="D1009" i="1" a="1"/>
  <c r="D1011" i="1" a="1"/>
  <c r="D1008" i="1" a="1"/>
  <c r="D1007" i="1" a="1"/>
  <c r="D1010" i="1" a="1"/>
  <c r="D1005" i="1" a="1"/>
  <c r="S996" i="1" l="1"/>
  <c r="R996" i="1"/>
  <c r="Q996" i="1"/>
  <c r="P996" i="1"/>
  <c r="O996" i="1"/>
  <c r="N996" i="1"/>
  <c r="M996" i="1"/>
  <c r="S993" i="1"/>
  <c r="R993" i="1"/>
  <c r="Q993" i="1"/>
  <c r="P993" i="1"/>
  <c r="O993" i="1"/>
  <c r="N993" i="1"/>
  <c r="M993" i="1"/>
  <c r="S1000" i="1"/>
  <c r="R1000" i="1"/>
  <c r="Q1000" i="1"/>
  <c r="P1000" i="1"/>
  <c r="O1000" i="1"/>
  <c r="N1000" i="1"/>
  <c r="M1000" i="1"/>
  <c r="S1002" i="1"/>
  <c r="R1002" i="1"/>
  <c r="Q1002" i="1"/>
  <c r="P1002" i="1"/>
  <c r="O1002" i="1"/>
  <c r="N1002" i="1"/>
  <c r="M1002" i="1"/>
  <c r="D1000" i="1" a="1"/>
  <c r="D996" i="1" a="1"/>
  <c r="D993" i="1" a="1"/>
  <c r="D1002" i="1" a="1"/>
  <c r="M797" i="1" l="1"/>
  <c r="D3054" i="21"/>
  <c r="D3055" i="21" s="1"/>
  <c r="D3056" i="21" s="1"/>
  <c r="D3057" i="21" s="1"/>
  <c r="D3058" i="21" s="1"/>
  <c r="D3059" i="21" s="1"/>
  <c r="D3060" i="21" s="1"/>
  <c r="D3061" i="21" s="1"/>
  <c r="D3062" i="21" s="1"/>
  <c r="D3063" i="21" s="1"/>
  <c r="D3064" i="21" s="1"/>
  <c r="D3065" i="21" s="1"/>
  <c r="D3066" i="21" s="1"/>
  <c r="D3067" i="21" s="1"/>
  <c r="D3068" i="21" s="1"/>
  <c r="D3071" i="21" s="1"/>
  <c r="D3072" i="21" s="1"/>
  <c r="D3073" i="21" s="1"/>
  <c r="D3074" i="21" s="1"/>
  <c r="D3075" i="21" s="1"/>
  <c r="D3076" i="21" s="1"/>
  <c r="D3077" i="21" s="1"/>
  <c r="D3078" i="21" s="1"/>
  <c r="D3079" i="21" s="1"/>
  <c r="D3080" i="21" s="1"/>
  <c r="D3081" i="21" s="1"/>
  <c r="D3082" i="21" s="1"/>
  <c r="D3083" i="21" s="1"/>
  <c r="D3084" i="21" s="1"/>
  <c r="D3085" i="21" s="1"/>
  <c r="D3086" i="21" s="1"/>
  <c r="D3089" i="21" s="1"/>
  <c r="D3090" i="21" s="1"/>
  <c r="D3091" i="21" s="1"/>
  <c r="D3092" i="21" s="1"/>
  <c r="D3093" i="21" s="1"/>
  <c r="D3094" i="21" s="1"/>
  <c r="D3095" i="21" s="1"/>
  <c r="D3096" i="21" s="1"/>
  <c r="D3097" i="21" s="1"/>
  <c r="D3098" i="21" s="1"/>
  <c r="D3099" i="21" s="1"/>
  <c r="D3100" i="21" s="1"/>
  <c r="D3101" i="21" s="1"/>
  <c r="D3102" i="21" s="1"/>
  <c r="D3103" i="21" s="1"/>
  <c r="D3104" i="21" s="1"/>
  <c r="C2998" i="21"/>
  <c r="D2998" i="21"/>
  <c r="D2999" i="21"/>
  <c r="D3000" i="21" s="1"/>
  <c r="D3001" i="21" s="1"/>
  <c r="D3002" i="21" s="1"/>
  <c r="D3003" i="21" s="1"/>
  <c r="D3004" i="21" s="1"/>
  <c r="D3005" i="21" s="1"/>
  <c r="D3006" i="21" s="1"/>
  <c r="D3007" i="21" s="1"/>
  <c r="D3008" i="21" s="1"/>
  <c r="D3009" i="21" s="1"/>
  <c r="D3010" i="21" s="1"/>
  <c r="D3011" i="21" s="1"/>
  <c r="D3012" i="21" s="1"/>
  <c r="D3013" i="21" s="1"/>
  <c r="D3014" i="21" s="1"/>
  <c r="D3017" i="21" s="1"/>
  <c r="D3018" i="21" s="1"/>
  <c r="D3019" i="21" s="1"/>
  <c r="D3020" i="21" s="1"/>
  <c r="D3021" i="21" s="1"/>
  <c r="D3022" i="21" s="1"/>
  <c r="D3023" i="21" s="1"/>
  <c r="D3024" i="21" s="1"/>
  <c r="D3025" i="21" s="1"/>
  <c r="D3026" i="21" s="1"/>
  <c r="D3027" i="21" s="1"/>
  <c r="D3028" i="21" s="1"/>
  <c r="D3029" i="21" s="1"/>
  <c r="D3030" i="21" s="1"/>
  <c r="D3031" i="21" s="1"/>
  <c r="D3032" i="21" s="1"/>
  <c r="D3035" i="21" s="1"/>
  <c r="D3036" i="21" s="1"/>
  <c r="D3037" i="21" s="1"/>
  <c r="D3038" i="21" s="1"/>
  <c r="D3039" i="21" s="1"/>
  <c r="D3040" i="21" s="1"/>
  <c r="D3041" i="21" s="1"/>
  <c r="D3042" i="21" s="1"/>
  <c r="D3043" i="21" s="1"/>
  <c r="D3044" i="21" s="1"/>
  <c r="D3045" i="21" s="1"/>
  <c r="D3046" i="21" s="1"/>
  <c r="D3047" i="21" s="1"/>
  <c r="D3048" i="21" s="1"/>
  <c r="D3049" i="21" s="1"/>
  <c r="D3050" i="21" s="1"/>
  <c r="S992" i="1"/>
  <c r="R992" i="1"/>
  <c r="Q992" i="1"/>
  <c r="P992" i="1"/>
  <c r="O992" i="1"/>
  <c r="N992" i="1"/>
  <c r="M992" i="1"/>
  <c r="S994" i="1"/>
  <c r="R994" i="1"/>
  <c r="Q994" i="1"/>
  <c r="P994" i="1"/>
  <c r="O994" i="1"/>
  <c r="N994" i="1"/>
  <c r="M994" i="1"/>
  <c r="S998" i="1"/>
  <c r="R998" i="1"/>
  <c r="Q998" i="1"/>
  <c r="P998" i="1"/>
  <c r="O998" i="1"/>
  <c r="N998" i="1"/>
  <c r="M998" i="1"/>
  <c r="S995" i="1"/>
  <c r="R995" i="1"/>
  <c r="Q995" i="1"/>
  <c r="P995" i="1"/>
  <c r="O995" i="1"/>
  <c r="N995" i="1"/>
  <c r="M995" i="1"/>
  <c r="S986" i="1"/>
  <c r="R986" i="1"/>
  <c r="Q986" i="1"/>
  <c r="P986" i="1"/>
  <c r="O986" i="1"/>
  <c r="N986" i="1"/>
  <c r="M986" i="1"/>
  <c r="S990" i="1"/>
  <c r="R990" i="1"/>
  <c r="Q990" i="1"/>
  <c r="P990" i="1"/>
  <c r="O990" i="1"/>
  <c r="N990" i="1"/>
  <c r="M990" i="1"/>
  <c r="D998" i="1" a="1"/>
  <c r="D995" i="1" a="1"/>
  <c r="D994" i="1" a="1"/>
  <c r="D986" i="1" a="1"/>
  <c r="D992" i="1" a="1"/>
  <c r="D990" i="1" a="1"/>
  <c r="L3054" i="21" l="1"/>
  <c r="K3054" i="21"/>
  <c r="S983" i="1"/>
  <c r="R983" i="1"/>
  <c r="Q983" i="1"/>
  <c r="P983" i="1"/>
  <c r="O983" i="1"/>
  <c r="N983" i="1"/>
  <c r="M983" i="1"/>
  <c r="S989" i="1"/>
  <c r="R989" i="1"/>
  <c r="Q989" i="1"/>
  <c r="P989" i="1"/>
  <c r="O989" i="1"/>
  <c r="N989" i="1"/>
  <c r="M989" i="1"/>
  <c r="S991" i="1"/>
  <c r="R991" i="1"/>
  <c r="Q991" i="1"/>
  <c r="P991" i="1"/>
  <c r="O991" i="1"/>
  <c r="N991" i="1"/>
  <c r="M991" i="1"/>
  <c r="S965" i="1"/>
  <c r="R965" i="1"/>
  <c r="Q965" i="1"/>
  <c r="P965" i="1"/>
  <c r="O965" i="1"/>
  <c r="N965" i="1"/>
  <c r="M965" i="1"/>
  <c r="S985" i="1"/>
  <c r="R985" i="1"/>
  <c r="Q985" i="1"/>
  <c r="P985" i="1"/>
  <c r="O985" i="1"/>
  <c r="N985" i="1"/>
  <c r="M985" i="1"/>
  <c r="D988" i="1" a="1"/>
  <c r="D965" i="1" a="1"/>
  <c r="D129" i="1" a="1"/>
  <c r="D981" i="1" a="1"/>
  <c r="D975" i="1" a="1"/>
  <c r="D987" i="1" a="1"/>
  <c r="D969" i="1" a="1"/>
  <c r="D989" i="1" a="1"/>
  <c r="D132" i="1" a="1"/>
  <c r="D985" i="1" a="1"/>
  <c r="D976" i="1" a="1"/>
  <c r="D983" i="1" a="1"/>
  <c r="D991" i="1" a="1"/>
  <c r="S981" i="1" l="1"/>
  <c r="R981" i="1"/>
  <c r="Q981" i="1"/>
  <c r="P981" i="1"/>
  <c r="O981" i="1"/>
  <c r="N981" i="1"/>
  <c r="M981" i="1"/>
  <c r="S987" i="1" l="1"/>
  <c r="R987" i="1"/>
  <c r="Q987" i="1"/>
  <c r="P987" i="1"/>
  <c r="O987" i="1"/>
  <c r="N987" i="1"/>
  <c r="M987" i="1"/>
  <c r="S988" i="1"/>
  <c r="R988" i="1"/>
  <c r="Q988" i="1"/>
  <c r="P988" i="1"/>
  <c r="O988" i="1"/>
  <c r="N988" i="1"/>
  <c r="M988" i="1"/>
  <c r="S984" i="1"/>
  <c r="R984" i="1"/>
  <c r="Q984" i="1"/>
  <c r="P984" i="1"/>
  <c r="O984" i="1"/>
  <c r="N984" i="1"/>
  <c r="M984" i="1"/>
  <c r="S973" i="1"/>
  <c r="R973" i="1"/>
  <c r="Q973" i="1"/>
  <c r="P973" i="1"/>
  <c r="O973" i="1"/>
  <c r="N973" i="1"/>
  <c r="M973" i="1"/>
  <c r="S979" i="1"/>
  <c r="R979" i="1"/>
  <c r="Q979" i="1"/>
  <c r="P979" i="1"/>
  <c r="O979" i="1"/>
  <c r="N979" i="1"/>
  <c r="M979" i="1"/>
  <c r="S977" i="1"/>
  <c r="R977" i="1"/>
  <c r="Q977" i="1"/>
  <c r="P977" i="1"/>
  <c r="O977" i="1"/>
  <c r="N977" i="1"/>
  <c r="M977" i="1"/>
  <c r="D973" i="1" a="1"/>
  <c r="D977" i="1" a="1"/>
  <c r="D979" i="1" a="1"/>
  <c r="D984" i="1" a="1"/>
  <c r="D2784" i="21" l="1"/>
  <c r="D2785" i="21" s="1"/>
  <c r="D2786" i="21" s="1"/>
  <c r="D2787" i="21" s="1"/>
  <c r="D2788" i="21" s="1"/>
  <c r="D2789" i="21" s="1"/>
  <c r="D2790" i="21" s="1"/>
  <c r="D2791" i="21" s="1"/>
  <c r="D2792" i="21" s="1"/>
  <c r="D2793" i="21" s="1"/>
  <c r="D2794" i="21" s="1"/>
  <c r="D2795" i="21" s="1"/>
  <c r="D2796" i="21" s="1"/>
  <c r="D2797" i="21" s="1"/>
  <c r="D2798" i="21" s="1"/>
  <c r="D2799" i="21" s="1"/>
  <c r="D2802" i="21" s="1"/>
  <c r="D2803" i="21" s="1"/>
  <c r="D2804" i="21" s="1"/>
  <c r="D2805" i="21" s="1"/>
  <c r="D2806" i="21" s="1"/>
  <c r="D2807" i="21" s="1"/>
  <c r="D2808" i="21" s="1"/>
  <c r="D2809" i="21" s="1"/>
  <c r="D2810" i="21" s="1"/>
  <c r="D2811" i="21" s="1"/>
  <c r="D2812" i="21" s="1"/>
  <c r="D2813" i="21" s="1"/>
  <c r="D2814" i="21" s="1"/>
  <c r="D2815" i="21" s="1"/>
  <c r="D2816" i="21" s="1"/>
  <c r="D2837" i="21"/>
  <c r="C2837" i="21"/>
  <c r="D2817" i="21" l="1"/>
  <c r="D2820" i="21" s="1"/>
  <c r="D2821" i="21" s="1"/>
  <c r="D2822" i="21" s="1"/>
  <c r="D2823" i="21" s="1"/>
  <c r="D2824" i="21" s="1"/>
  <c r="D2825" i="21" s="1"/>
  <c r="D2826" i="21" s="1"/>
  <c r="D2827" i="21" s="1"/>
  <c r="D2828" i="21" s="1"/>
  <c r="D2829" i="21" s="1"/>
  <c r="D2830" i="21" s="1"/>
  <c r="D2831" i="21" s="1"/>
  <c r="D2832" i="21" s="1"/>
  <c r="D2833" i="21" s="1"/>
  <c r="D2834" i="21" s="1"/>
  <c r="D2835" i="21" s="1"/>
  <c r="D2838" i="21" s="1"/>
  <c r="D2839" i="21" s="1"/>
  <c r="D2840" i="21" s="1"/>
  <c r="D2841" i="21" s="1"/>
  <c r="D2842" i="21" s="1"/>
  <c r="D2843" i="21" s="1"/>
  <c r="D2844" i="21" s="1"/>
  <c r="D2845" i="21" s="1"/>
  <c r="D2846" i="21" s="1"/>
  <c r="D2847" i="21" s="1"/>
  <c r="D2848" i="21" s="1"/>
  <c r="D2849" i="21" s="1"/>
  <c r="D2850" i="21" s="1"/>
  <c r="D2851" i="21" s="1"/>
  <c r="D2852" i="21" s="1"/>
  <c r="D2853" i="21" s="1"/>
  <c r="D2855" i="21"/>
  <c r="D2856" i="21" s="1"/>
  <c r="D2857" i="21" s="1"/>
  <c r="D2858" i="21" s="1"/>
  <c r="D2859" i="21" s="1"/>
  <c r="D2860" i="21" s="1"/>
  <c r="D2861" i="21" s="1"/>
  <c r="D2862" i="21" s="1"/>
  <c r="D2863" i="21" s="1"/>
  <c r="D2864" i="21" s="1"/>
  <c r="D2865" i="21" s="1"/>
  <c r="D2866" i="21" s="1"/>
  <c r="D2867" i="21" s="1"/>
  <c r="D2868" i="21" s="1"/>
  <c r="D2869" i="21" s="1"/>
  <c r="D2870" i="21" s="1"/>
  <c r="D2873" i="21" s="1"/>
  <c r="D2874" i="21" s="1"/>
  <c r="D2875" i="21" s="1"/>
  <c r="D2876" i="21" s="1"/>
  <c r="D2877" i="21" s="1"/>
  <c r="D2878" i="21" s="1"/>
  <c r="D2879" i="21" s="1"/>
  <c r="D2880" i="21" s="1"/>
  <c r="D2881" i="21" s="1"/>
  <c r="D2882" i="21" s="1"/>
  <c r="D2883" i="21" s="1"/>
  <c r="D2884" i="21" s="1"/>
  <c r="D2885" i="21" s="1"/>
  <c r="D2886" i="21" s="1"/>
  <c r="D2887" i="21" s="1"/>
  <c r="D2888" i="21" s="1"/>
  <c r="D2891" i="21" s="1"/>
  <c r="D2892" i="21" s="1"/>
  <c r="D2893" i="21" s="1"/>
  <c r="D2894" i="21" s="1"/>
  <c r="D2895" i="21" s="1"/>
  <c r="D2896" i="21" s="1"/>
  <c r="D2897" i="21" s="1"/>
  <c r="D2898" i="21" s="1"/>
  <c r="D2899" i="21" s="1"/>
  <c r="D2900" i="21" s="1"/>
  <c r="D2901" i="21" s="1"/>
  <c r="D2902" i="21" s="1"/>
  <c r="D2903" i="21" s="1"/>
  <c r="D2904" i="21" s="1"/>
  <c r="D2905" i="21" s="1"/>
  <c r="D2906" i="21" s="1"/>
  <c r="D2909" i="21" s="1"/>
  <c r="D2910" i="21" s="1"/>
  <c r="D2911" i="21" s="1"/>
  <c r="D2912" i="21" s="1"/>
  <c r="D2913" i="21" s="1"/>
  <c r="D2914" i="21" s="1"/>
  <c r="D2915" i="21" s="1"/>
  <c r="D2916" i="21" s="1"/>
  <c r="D2917" i="21" s="1"/>
  <c r="D2918" i="21" s="1"/>
  <c r="D2919" i="21" s="1"/>
  <c r="D2920" i="21" s="1"/>
  <c r="D2921" i="21" s="1"/>
  <c r="D2922" i="21" s="1"/>
  <c r="D2923" i="21" s="1"/>
  <c r="D2924" i="21" s="1"/>
  <c r="M970" i="1"/>
  <c r="N970" i="1"/>
  <c r="O970" i="1"/>
  <c r="P970" i="1"/>
  <c r="Q970" i="1"/>
  <c r="R970" i="1"/>
  <c r="S970" i="1"/>
  <c r="M982" i="1"/>
  <c r="N982" i="1"/>
  <c r="O982" i="1"/>
  <c r="P982" i="1"/>
  <c r="Q982" i="1"/>
  <c r="R982" i="1"/>
  <c r="S982" i="1"/>
  <c r="M960" i="1"/>
  <c r="M962" i="1"/>
  <c r="M976" i="1"/>
  <c r="M974" i="1"/>
  <c r="M975" i="1"/>
  <c r="M978" i="1"/>
  <c r="S960" i="1"/>
  <c r="R960" i="1"/>
  <c r="Q960" i="1"/>
  <c r="P960" i="1"/>
  <c r="O960" i="1"/>
  <c r="N960" i="1"/>
  <c r="S962" i="1"/>
  <c r="R962" i="1"/>
  <c r="Q962" i="1"/>
  <c r="P962" i="1"/>
  <c r="O962" i="1"/>
  <c r="N962" i="1"/>
  <c r="N974" i="1"/>
  <c r="N976" i="1"/>
  <c r="O974" i="1"/>
  <c r="O976" i="1"/>
  <c r="P974" i="1"/>
  <c r="P976" i="1"/>
  <c r="Q974" i="1"/>
  <c r="Q976" i="1"/>
  <c r="R974" i="1"/>
  <c r="R976" i="1"/>
  <c r="S974" i="1"/>
  <c r="S976" i="1"/>
  <c r="N975" i="1"/>
  <c r="O975" i="1"/>
  <c r="P975" i="1"/>
  <c r="Q975" i="1"/>
  <c r="R975" i="1"/>
  <c r="S975" i="1"/>
  <c r="N978" i="1"/>
  <c r="O978" i="1"/>
  <c r="P978" i="1"/>
  <c r="Q978" i="1"/>
  <c r="R978" i="1"/>
  <c r="S978" i="1"/>
  <c r="M980" i="1"/>
  <c r="N980" i="1"/>
  <c r="O980" i="1"/>
  <c r="P980" i="1"/>
  <c r="Q980" i="1"/>
  <c r="R980" i="1"/>
  <c r="S980" i="1"/>
  <c r="S971" i="1"/>
  <c r="R971" i="1"/>
  <c r="Q971" i="1"/>
  <c r="P971" i="1"/>
  <c r="O971" i="1"/>
  <c r="N971" i="1"/>
  <c r="M971" i="1"/>
  <c r="D960" i="1" a="1"/>
  <c r="D962" i="1" a="1"/>
  <c r="D970" i="1" a="1"/>
  <c r="D971" i="1" a="1"/>
  <c r="D974" i="1" a="1"/>
  <c r="D978" i="1" a="1"/>
  <c r="D982" i="1" a="1"/>
  <c r="D980" i="1" a="1"/>
  <c r="S964" i="1" l="1"/>
  <c r="R964" i="1"/>
  <c r="Q964" i="1"/>
  <c r="P964" i="1"/>
  <c r="O964" i="1"/>
  <c r="N964" i="1"/>
  <c r="M964" i="1"/>
  <c r="S967" i="1"/>
  <c r="R967" i="1"/>
  <c r="Q967" i="1"/>
  <c r="P967" i="1"/>
  <c r="O967" i="1"/>
  <c r="N967" i="1"/>
  <c r="M967" i="1"/>
  <c r="S968" i="1"/>
  <c r="R968" i="1"/>
  <c r="Q968" i="1"/>
  <c r="P968" i="1"/>
  <c r="O968" i="1"/>
  <c r="N968" i="1"/>
  <c r="M968" i="1"/>
  <c r="S966" i="1"/>
  <c r="R966" i="1"/>
  <c r="Q966" i="1"/>
  <c r="P966" i="1"/>
  <c r="O966" i="1"/>
  <c r="N966" i="1"/>
  <c r="M966" i="1"/>
  <c r="S969" i="1"/>
  <c r="R969" i="1"/>
  <c r="Q969" i="1"/>
  <c r="P969" i="1"/>
  <c r="O969" i="1"/>
  <c r="N969" i="1"/>
  <c r="M969" i="1"/>
  <c r="X148" i="23"/>
  <c r="V147" i="23" a="1"/>
  <c r="V146" i="23" a="1"/>
  <c r="V145" i="23" a="1"/>
  <c r="V144" i="23" a="1"/>
  <c r="V143" i="23" a="1"/>
  <c r="V142" i="23" a="1"/>
  <c r="V141" i="23" a="1"/>
  <c r="V140" i="23" a="1"/>
  <c r="V139" i="23" a="1"/>
  <c r="V138" i="23" a="1"/>
  <c r="V137" i="23" a="1"/>
  <c r="V136" i="23" a="1"/>
  <c r="V135" i="23" a="1"/>
  <c r="D967" i="1" a="1"/>
  <c r="D966" i="1" a="1"/>
  <c r="D968" i="1" a="1"/>
  <c r="D964" i="1" a="1"/>
  <c r="V14" i="23" l="1" a="1"/>
  <c r="V21" i="23" a="1"/>
  <c r="X22" i="23" l="1"/>
  <c r="T2605" i="21" l="1" a="1"/>
  <c r="D2606" i="21"/>
  <c r="T2606" i="21" l="1" a="1"/>
  <c r="D2607" i="21"/>
  <c r="T2607" i="21" l="1" a="1"/>
  <c r="D2608" i="21"/>
  <c r="T2608" i="21" l="1" a="1"/>
  <c r="D2609" i="21"/>
  <c r="T2609" i="21" l="1" a="1"/>
  <c r="D2610" i="21"/>
  <c r="T2610" i="21" l="1" a="1"/>
  <c r="D2611" i="21"/>
  <c r="T2611" i="21" l="1" a="1"/>
  <c r="D2612" i="21"/>
  <c r="T2612" i="21" l="1" a="1"/>
  <c r="D2613" i="21"/>
  <c r="T2613" i="21" l="1" a="1"/>
  <c r="D2614" i="21"/>
  <c r="T2614" i="21" l="1" a="1"/>
  <c r="D2615" i="21"/>
  <c r="T2615" i="21" l="1" a="1"/>
  <c r="D2616" i="21"/>
  <c r="T2616" i="21" l="1" a="1"/>
  <c r="D2617" i="21"/>
  <c r="T2617" i="21" l="1" a="1"/>
  <c r="D2618" i="21"/>
  <c r="T2618" i="21" l="1" a="1"/>
  <c r="D2619" i="21"/>
  <c r="M1045" i="23" l="1" a="1"/>
  <c r="L1085" i="23" a="1"/>
  <c r="M1084" i="23" a="1"/>
  <c r="K1084" i="23" a="1"/>
  <c r="J1083" i="23" a="1"/>
  <c r="K1082" i="23" a="1"/>
  <c r="M1081" i="23" a="1"/>
  <c r="L1081" i="23" a="1"/>
  <c r="K1081" i="23" a="1"/>
  <c r="M1076" i="23" a="1"/>
  <c r="L1076" i="23" a="1"/>
  <c r="K1076" i="23" a="1"/>
  <c r="J1076" i="23" a="1"/>
  <c r="L1067" i="23" a="1"/>
  <c r="M1066" i="23" a="1"/>
  <c r="J1066" i="23" a="1"/>
  <c r="K1065" i="23" a="1"/>
  <c r="L1045" i="23" a="1"/>
  <c r="K1045" i="23" a="1"/>
  <c r="J1045" i="23" a="1"/>
  <c r="M1031" i="23" a="1"/>
  <c r="L1031" i="23" a="1"/>
  <c r="K1031" i="23" a="1"/>
  <c r="J1031" i="23" a="1"/>
  <c r="M1030" i="23" a="1"/>
  <c r="L1030" i="23" a="1"/>
  <c r="K1030" i="23" a="1"/>
  <c r="M1028" i="23" a="1"/>
  <c r="L1028" i="23" a="1"/>
  <c r="K1028" i="23" a="1"/>
  <c r="J1028" i="23" a="1"/>
  <c r="L1022" i="23" a="1"/>
  <c r="K1022" i="23" a="1"/>
  <c r="M1013" i="23" a="1"/>
  <c r="L1013" i="23" a="1"/>
  <c r="M1012" i="23" a="1"/>
  <c r="L1012" i="23" a="1"/>
  <c r="K1012" i="23" a="1"/>
  <c r="J1012" i="23" a="1"/>
  <c r="M1011" i="23" a="1"/>
  <c r="L1011" i="23" a="1"/>
  <c r="K1011" i="23" a="1"/>
  <c r="J1011" i="23" a="1"/>
  <c r="M1010" i="23" a="1"/>
  <c r="L1010" i="23" a="1"/>
  <c r="K1010" i="23" a="1"/>
  <c r="J1010" i="23" a="1"/>
  <c r="M1009" i="23" a="1"/>
  <c r="L1009" i="23" a="1"/>
  <c r="K1009" i="23" a="1"/>
  <c r="J1009" i="23" a="1"/>
  <c r="M1004" i="23" a="1"/>
  <c r="J1067" i="23" a="1"/>
  <c r="L1066" i="23" a="1"/>
  <c r="M1065" i="23" a="1"/>
  <c r="J1065" i="23" a="1"/>
  <c r="M1064" i="23" a="1"/>
  <c r="K1004" i="23" a="1"/>
  <c r="J1004" i="23" a="1"/>
  <c r="L998" i="23" a="1"/>
  <c r="J998" i="23" a="1"/>
  <c r="M998" i="23" a="1"/>
  <c r="M997" i="23" s="1"/>
  <c r="K998" i="23" a="1"/>
  <c r="P1080" i="23"/>
  <c r="O1080" i="23"/>
  <c r="N1080" i="23"/>
  <c r="P1079" i="23"/>
  <c r="O1079" i="23"/>
  <c r="N1079" i="23"/>
  <c r="P1078" i="23"/>
  <c r="O1078" i="23"/>
  <c r="N1078" i="23"/>
  <c r="P1077" i="23"/>
  <c r="O1077" i="23"/>
  <c r="N1077" i="23"/>
  <c r="P1075" i="23"/>
  <c r="O1075" i="23"/>
  <c r="N1075" i="23"/>
  <c r="P1074" i="23"/>
  <c r="O1074" i="23"/>
  <c r="N1074" i="23"/>
  <c r="P1073" i="23"/>
  <c r="O1073" i="23"/>
  <c r="N1073" i="23"/>
  <c r="P1072" i="23"/>
  <c r="O1072" i="23"/>
  <c r="N1072" i="23"/>
  <c r="P1071" i="23"/>
  <c r="O1071" i="23"/>
  <c r="O1069" i="23" s="1"/>
  <c r="N1071" i="23"/>
  <c r="P1054" i="23"/>
  <c r="P989" i="23"/>
  <c r="P1062" i="23"/>
  <c r="P1061" i="23"/>
  <c r="P1060" i="23"/>
  <c r="O1060" i="23"/>
  <c r="P1059" i="23"/>
  <c r="N1057" i="23"/>
  <c r="O1055" i="23"/>
  <c r="P1053" i="23"/>
  <c r="N1062" i="23"/>
  <c r="O1056" i="23"/>
  <c r="N1054" i="23"/>
  <c r="O1062" i="23"/>
  <c r="N1060" i="23"/>
  <c r="O1059" i="23"/>
  <c r="O1057" i="23"/>
  <c r="P1055" i="23"/>
  <c r="O1054" i="23"/>
  <c r="N1053" i="23"/>
  <c r="P1056" i="23"/>
  <c r="O1061" i="23"/>
  <c r="P1057" i="23"/>
  <c r="N1055" i="23"/>
  <c r="N1061" i="23"/>
  <c r="N1059" i="23"/>
  <c r="N1056" i="23"/>
  <c r="O1053" i="23"/>
  <c r="P1044" i="23"/>
  <c r="O1044" i="23"/>
  <c r="N1044" i="23"/>
  <c r="P1043" i="23"/>
  <c r="O1043" i="23"/>
  <c r="N1043" i="23"/>
  <c r="P1042" i="23"/>
  <c r="O1042" i="23"/>
  <c r="N1042" i="23"/>
  <c r="P1041" i="23"/>
  <c r="O1041" i="23"/>
  <c r="N1041" i="23"/>
  <c r="P1039" i="23"/>
  <c r="O1039" i="23"/>
  <c r="N1039" i="23"/>
  <c r="P1038" i="23"/>
  <c r="O1037" i="23"/>
  <c r="P1036" i="23"/>
  <c r="O1036" i="23"/>
  <c r="P1035" i="23"/>
  <c r="P1037" i="23"/>
  <c r="O1038" i="23"/>
  <c r="N1036" i="23"/>
  <c r="N1038" i="23"/>
  <c r="N1035" i="23"/>
  <c r="N1037" i="23"/>
  <c r="O1035" i="23"/>
  <c r="P1007" i="23"/>
  <c r="N1007" i="23"/>
  <c r="O982" i="23"/>
  <c r="P987" i="23"/>
  <c r="N1001" i="23"/>
  <c r="P984" i="23"/>
  <c r="P985" i="23"/>
  <c r="N990" i="23"/>
  <c r="P1025" i="23"/>
  <c r="O1023" i="23"/>
  <c r="O1021" i="23"/>
  <c r="P1020" i="23"/>
  <c r="N1020" i="23"/>
  <c r="O1019" i="23"/>
  <c r="N1019" i="23"/>
  <c r="O1018" i="23"/>
  <c r="P1017" i="23"/>
  <c r="N1017" i="23"/>
  <c r="P1008" i="23"/>
  <c r="O1008" i="23"/>
  <c r="N1008" i="23"/>
  <c r="O1007" i="23"/>
  <c r="N984" i="23"/>
  <c r="N982" i="23"/>
  <c r="N983" i="23"/>
  <c r="P983" i="23"/>
  <c r="P1000" i="23"/>
  <c r="P1026" i="23"/>
  <c r="O1026" i="23"/>
  <c r="N1026" i="23"/>
  <c r="O1025" i="23"/>
  <c r="N1025" i="23"/>
  <c r="P1024" i="23"/>
  <c r="O1024" i="23"/>
  <c r="N1024" i="23"/>
  <c r="P1023" i="23"/>
  <c r="N1023" i="23"/>
  <c r="P1021" i="23"/>
  <c r="N1021" i="23"/>
  <c r="O1020" i="23"/>
  <c r="P1019" i="23"/>
  <c r="P1018" i="23"/>
  <c r="N1018" i="23"/>
  <c r="O1017" i="23"/>
  <c r="N989" i="23"/>
  <c r="O989" i="23"/>
  <c r="P1001" i="23"/>
  <c r="O981" i="23"/>
  <c r="P982" i="23"/>
  <c r="P1006" i="23"/>
  <c r="O1006" i="23"/>
  <c r="N1006" i="23"/>
  <c r="P1005" i="23"/>
  <c r="O1005" i="23"/>
  <c r="N1005" i="23"/>
  <c r="P1003" i="23"/>
  <c r="O1003" i="23"/>
  <c r="N1003" i="23"/>
  <c r="P1002" i="23"/>
  <c r="O1002" i="23"/>
  <c r="N1002" i="23"/>
  <c r="O1001" i="23"/>
  <c r="N1000" i="23"/>
  <c r="P999" i="23"/>
  <c r="N999" i="23"/>
  <c r="O990" i="23"/>
  <c r="O988" i="23"/>
  <c r="P981" i="23"/>
  <c r="O1000" i="23"/>
  <c r="P990" i="23"/>
  <c r="N988" i="23"/>
  <c r="O999" i="23"/>
  <c r="O984" i="23"/>
  <c r="N987" i="23"/>
  <c r="P988" i="23"/>
  <c r="O985" i="23"/>
  <c r="O987" i="23"/>
  <c r="N985" i="23"/>
  <c r="O983" i="23"/>
  <c r="N981" i="23"/>
  <c r="V2619" i="21"/>
  <c r="D2620" i="21"/>
  <c r="D2623" i="21" s="1"/>
  <c r="P1069" i="23" l="1"/>
  <c r="O1051" i="23"/>
  <c r="P997" i="23"/>
  <c r="N1069" i="23"/>
  <c r="P1033" i="23"/>
  <c r="N1033" i="23"/>
  <c r="O1033" i="23"/>
  <c r="P979" i="23"/>
  <c r="O997" i="23"/>
  <c r="N979" i="23"/>
  <c r="P1015" i="23"/>
  <c r="N1015" i="23"/>
  <c r="O1015" i="23"/>
  <c r="O979" i="23"/>
  <c r="N997" i="23"/>
  <c r="P1051" i="23"/>
  <c r="N1051" i="23"/>
  <c r="D9" i="23"/>
  <c r="D2624" i="21"/>
  <c r="R1051" i="23" l="1"/>
  <c r="R1069" i="23"/>
  <c r="R997" i="23"/>
  <c r="R1033" i="23"/>
  <c r="R979" i="23"/>
  <c r="R1015" i="23"/>
  <c r="D10" i="23"/>
  <c r="D11" i="23" s="1"/>
  <c r="D12" i="23" s="1"/>
  <c r="D2625" i="21"/>
  <c r="D1069" i="23" l="1"/>
  <c r="D1051" i="23"/>
  <c r="D13" i="23"/>
  <c r="D14" i="23" s="1"/>
  <c r="D15" i="23" s="1"/>
  <c r="D16" i="23" s="1"/>
  <c r="D2626" i="21"/>
  <c r="D2627" i="21" s="1"/>
  <c r="D2628" i="21" s="1"/>
  <c r="D2629" i="21" s="1"/>
  <c r="D2630" i="21" s="1"/>
  <c r="D2631" i="21" s="1"/>
  <c r="D2632" i="21" s="1"/>
  <c r="D2633" i="21" s="1"/>
  <c r="D2634" i="21" s="1"/>
  <c r="D2635" i="21" s="1"/>
  <c r="D2636" i="21" s="1"/>
  <c r="D2637" i="21" s="1"/>
  <c r="D2638" i="21" s="1"/>
  <c r="D17" i="23" l="1"/>
  <c r="D18" i="23" s="1"/>
  <c r="D19" i="23" s="1"/>
  <c r="D20" i="23" s="1"/>
  <c r="D21" i="23" s="1"/>
  <c r="D22" i="23" s="1"/>
  <c r="D23" i="23" s="1"/>
  <c r="D26" i="23" s="1"/>
  <c r="D27" i="23" s="1"/>
  <c r="D2641" i="21"/>
  <c r="D28" i="23" l="1"/>
  <c r="D29" i="23" s="1"/>
  <c r="D2642" i="21"/>
  <c r="I2642" i="21"/>
  <c r="D30" i="23" l="1"/>
  <c r="D2643" i="21"/>
  <c r="I2643" i="21"/>
  <c r="D31" i="23" l="1"/>
  <c r="D32" i="23" s="1"/>
  <c r="D33" i="23" s="1"/>
  <c r="D2644" i="21"/>
  <c r="D2645" i="21" s="1"/>
  <c r="D2646" i="21" s="1"/>
  <c r="D2647" i="21" s="1"/>
  <c r="D2648" i="21" s="1"/>
  <c r="D2649" i="21" s="1"/>
  <c r="D2650" i="21" s="1"/>
  <c r="D2651" i="21" s="1"/>
  <c r="D2652" i="21" s="1"/>
  <c r="D2653" i="21" s="1"/>
  <c r="D2654" i="21" s="1"/>
  <c r="D2655" i="21" s="1"/>
  <c r="D2656" i="21" s="1"/>
  <c r="I2644" i="21"/>
  <c r="I2645" i="21"/>
  <c r="I2646" i="21"/>
  <c r="D34" i="23" l="1"/>
  <c r="D2659" i="21"/>
  <c r="D35" i="23" l="1"/>
  <c r="D2660" i="21"/>
  <c r="D36" i="23" l="1"/>
  <c r="D37" i="23" s="1"/>
  <c r="D38" i="23" s="1"/>
  <c r="D39" i="23" s="1"/>
  <c r="D40" i="23" s="1"/>
  <c r="D41" i="23" s="1"/>
  <c r="D44" i="23" s="1"/>
  <c r="D45" i="23" s="1"/>
  <c r="D2661" i="21"/>
  <c r="D46" i="23" l="1"/>
  <c r="D47" i="23" s="1"/>
  <c r="D48" i="23" s="1"/>
  <c r="D49" i="23" s="1"/>
  <c r="D50" i="23" s="1"/>
  <c r="D51" i="23" s="1"/>
  <c r="D52" i="23" s="1"/>
  <c r="D53" i="23" s="1"/>
  <c r="D54" i="23" s="1"/>
  <c r="D55" i="23" s="1"/>
  <c r="D56" i="23" s="1"/>
  <c r="D57" i="23" s="1"/>
  <c r="D58" i="23" s="1"/>
  <c r="D59" i="23" s="1"/>
  <c r="D62" i="23" s="1"/>
  <c r="D63" i="23" s="1"/>
  <c r="D2662" i="21"/>
  <c r="D2663" i="21" s="1"/>
  <c r="D2664" i="21" s="1"/>
  <c r="D2665" i="21" s="1"/>
  <c r="D2666" i="21" s="1"/>
  <c r="D2667" i="21" s="1"/>
  <c r="D2668" i="21" s="1"/>
  <c r="D2669" i="21" s="1"/>
  <c r="D2670" i="21" s="1"/>
  <c r="D2671" i="21" s="1"/>
  <c r="D2672" i="21" s="1"/>
  <c r="D2673" i="21" s="1"/>
  <c r="D2674" i="21" s="1"/>
  <c r="D64" i="23" l="1"/>
  <c r="D65" i="23" s="1"/>
  <c r="D66" i="23" s="1"/>
  <c r="D67" i="23" s="1"/>
  <c r="D68" i="23" s="1"/>
  <c r="D69" i="23" s="1"/>
  <c r="D70" i="23" s="1"/>
  <c r="D71" i="23" s="1"/>
  <c r="D72" i="23" s="1"/>
  <c r="D73" i="23" s="1"/>
  <c r="D74" i="23" s="1"/>
  <c r="D75" i="23" s="1"/>
  <c r="D76" i="23" s="1"/>
  <c r="D77" i="23" s="1"/>
  <c r="D80" i="23" s="1"/>
  <c r="W7" i="23" s="1"/>
  <c r="D2677" i="21"/>
  <c r="D81" i="23" l="1"/>
  <c r="D82" i="23" s="1"/>
  <c r="D83" i="23" s="1"/>
  <c r="D84" i="23" s="1"/>
  <c r="X7" i="23"/>
  <c r="U2604" i="21"/>
  <c r="V2604" i="21"/>
  <c r="D85" i="23" l="1"/>
  <c r="D86" i="23" s="1"/>
  <c r="D87" i="23" s="1"/>
  <c r="D88" i="23" s="1"/>
  <c r="D89" i="23" s="1"/>
  <c r="D90" i="23" s="1"/>
  <c r="D91" i="23" s="1"/>
  <c r="D92" i="23" s="1"/>
  <c r="D93" i="23" s="1"/>
  <c r="D94" i="23" s="1"/>
  <c r="D95" i="23" s="1"/>
  <c r="D98" i="23" s="1"/>
  <c r="D99" i="23" s="1"/>
  <c r="D100" i="23" s="1"/>
  <c r="D101" i="23" s="1"/>
  <c r="D102" i="23" s="1"/>
  <c r="D103" i="23" s="1"/>
  <c r="D104" i="23" s="1"/>
  <c r="D105" i="23" s="1"/>
  <c r="D106" i="23" s="1"/>
  <c r="D107" i="23" s="1"/>
  <c r="D108" i="23" s="1"/>
  <c r="D109" i="23" s="1"/>
  <c r="D110" i="23" s="1"/>
  <c r="D111" i="23" s="1"/>
  <c r="D112" i="23" s="1"/>
  <c r="D113" i="23" s="1"/>
  <c r="D116" i="23" s="1"/>
  <c r="D117" i="23" s="1"/>
  <c r="D118" i="23" s="1"/>
  <c r="D119" i="23" s="1"/>
  <c r="D120" i="23" s="1"/>
  <c r="D121" i="23" s="1"/>
  <c r="D122" i="23" s="1"/>
  <c r="D123" i="23" s="1"/>
  <c r="D124" i="23" s="1"/>
  <c r="D125" i="23" s="1"/>
  <c r="D126" i="23" s="1"/>
  <c r="D127" i="23" s="1"/>
  <c r="D128" i="23" s="1"/>
  <c r="D129" i="23" s="1"/>
  <c r="D130" i="23" s="1"/>
  <c r="D131" i="23" s="1"/>
  <c r="D2678" i="21"/>
  <c r="D134" i="23" l="1"/>
  <c r="D135" i="23" s="1"/>
  <c r="D136" i="23" s="1"/>
  <c r="D137" i="23" s="1"/>
  <c r="D138" i="23" s="1"/>
  <c r="D139" i="23" s="1"/>
  <c r="D140" i="23" s="1"/>
  <c r="D141" i="23" s="1"/>
  <c r="D142" i="23" s="1"/>
  <c r="D143" i="23" s="1"/>
  <c r="D144" i="23" s="1"/>
  <c r="D145" i="23" s="1"/>
  <c r="D146" i="23" s="1"/>
  <c r="D147" i="23" s="1"/>
  <c r="D148" i="23" s="1"/>
  <c r="D149" i="23" s="1"/>
  <c r="D152" i="23" s="1"/>
  <c r="D153" i="23" s="1"/>
  <c r="D2679" i="21"/>
  <c r="D154" i="23" l="1"/>
  <c r="D155" i="23" s="1"/>
  <c r="D156" i="23" s="1"/>
  <c r="D157" i="23" s="1"/>
  <c r="D158" i="23" s="1"/>
  <c r="D159" i="23" s="1"/>
  <c r="D160" i="23" s="1"/>
  <c r="D2680" i="21"/>
  <c r="D2681" i="21" s="1"/>
  <c r="D2682" i="21" s="1"/>
  <c r="D2683" i="21" s="1"/>
  <c r="D2684" i="21" s="1"/>
  <c r="D2685" i="21" s="1"/>
  <c r="D2686" i="21" s="1"/>
  <c r="D2687" i="21" s="1"/>
  <c r="D2688" i="21" s="1"/>
  <c r="D2689" i="21" s="1"/>
  <c r="D2690" i="21" s="1"/>
  <c r="D2691" i="21" s="1"/>
  <c r="D2692" i="21" s="1"/>
  <c r="D161" i="23" l="1"/>
  <c r="D162" i="23" s="1"/>
  <c r="D163" i="23" s="1"/>
  <c r="D164" i="23" s="1"/>
  <c r="D165" i="23" s="1"/>
  <c r="D166" i="23" s="1"/>
  <c r="D167" i="23" s="1"/>
  <c r="D170" i="23" s="1"/>
  <c r="D171" i="23" s="1"/>
  <c r="D172" i="23" s="1"/>
  <c r="D173" i="23" s="1"/>
  <c r="D174" i="23" s="1"/>
  <c r="D175" i="23" s="1"/>
  <c r="D176" i="23" s="1"/>
  <c r="D177" i="23" s="1"/>
  <c r="S955" i="1"/>
  <c r="R955" i="1"/>
  <c r="Q955" i="1"/>
  <c r="P955" i="1"/>
  <c r="O955" i="1"/>
  <c r="N955" i="1"/>
  <c r="M955" i="1"/>
  <c r="S956" i="1"/>
  <c r="R956" i="1"/>
  <c r="Q956" i="1"/>
  <c r="P956" i="1"/>
  <c r="O956" i="1"/>
  <c r="N956" i="1"/>
  <c r="M956" i="1"/>
  <c r="S957" i="1"/>
  <c r="R957" i="1"/>
  <c r="Q957" i="1"/>
  <c r="P957" i="1"/>
  <c r="O957" i="1"/>
  <c r="N957" i="1"/>
  <c r="M957" i="1"/>
  <c r="S959" i="1"/>
  <c r="R959" i="1"/>
  <c r="Q959" i="1"/>
  <c r="P959" i="1"/>
  <c r="O959" i="1"/>
  <c r="N959" i="1"/>
  <c r="M959" i="1"/>
  <c r="S958" i="1"/>
  <c r="R958" i="1"/>
  <c r="Q958" i="1"/>
  <c r="P958" i="1"/>
  <c r="O958" i="1"/>
  <c r="N958" i="1"/>
  <c r="M958" i="1"/>
  <c r="S961" i="1"/>
  <c r="R961" i="1"/>
  <c r="Q961" i="1"/>
  <c r="P961" i="1"/>
  <c r="O961" i="1"/>
  <c r="N961" i="1"/>
  <c r="M961" i="1"/>
  <c r="S942" i="1"/>
  <c r="R942" i="1"/>
  <c r="Q942" i="1"/>
  <c r="P942" i="1"/>
  <c r="O942" i="1"/>
  <c r="N942" i="1"/>
  <c r="M942" i="1"/>
  <c r="D956" i="1" a="1"/>
  <c r="D958" i="1" a="1"/>
  <c r="D942" i="1" a="1"/>
  <c r="D959" i="1" a="1"/>
  <c r="D961" i="1" a="1"/>
  <c r="D955" i="1" a="1"/>
  <c r="D957" i="1" a="1"/>
  <c r="D178" i="23" l="1"/>
  <c r="D179" i="23" s="1"/>
  <c r="D180" i="23" s="1"/>
  <c r="D181" i="23" s="1"/>
  <c r="D182" i="23" s="1"/>
  <c r="D183" i="23" s="1"/>
  <c r="D184" i="23" s="1"/>
  <c r="D185" i="23" s="1"/>
  <c r="D188" i="23" s="1"/>
  <c r="D189" i="23" s="1"/>
  <c r="D190" i="23" s="1"/>
  <c r="D191" i="23" s="1"/>
  <c r="D192" i="23" l="1"/>
  <c r="D193" i="23" s="1"/>
  <c r="D194" i="23" s="1"/>
  <c r="D195" i="23" s="1"/>
  <c r="D196" i="23" s="1"/>
  <c r="D197" i="23" s="1"/>
  <c r="D198" i="23" s="1"/>
  <c r="D199" i="23" s="1"/>
  <c r="D200" i="23" s="1"/>
  <c r="D201" i="23" s="1"/>
  <c r="D202" i="23" s="1"/>
  <c r="D203" i="23" s="1"/>
  <c r="D206" i="23" s="1"/>
  <c r="P939" i="1"/>
  <c r="O939" i="1"/>
  <c r="N939" i="1"/>
  <c r="M939" i="1"/>
  <c r="D939" i="1" a="1"/>
  <c r="D207" i="23" l="1"/>
  <c r="D208" i="23" s="1"/>
  <c r="D209" i="23" s="1"/>
  <c r="D210" i="23" s="1"/>
  <c r="D211" i="23" s="1"/>
  <c r="D212" i="23" s="1"/>
  <c r="D213" i="23" s="1"/>
  <c r="D214" i="23" s="1"/>
  <c r="D215" i="23" s="1"/>
  <c r="D216" i="23" s="1"/>
  <c r="D217" i="23" s="1"/>
  <c r="D218" i="23" s="1"/>
  <c r="D219" i="23" s="1"/>
  <c r="D220" i="23" s="1"/>
  <c r="D221" i="23" s="1"/>
  <c r="X133" i="23"/>
  <c r="W133" i="23"/>
  <c r="S939" i="1"/>
  <c r="R939" i="1"/>
  <c r="Q939" i="1"/>
  <c r="S940" i="1"/>
  <c r="R940" i="1"/>
  <c r="Q940" i="1"/>
  <c r="P940" i="1"/>
  <c r="O940" i="1"/>
  <c r="N940" i="1"/>
  <c r="M940" i="1"/>
  <c r="S945" i="1"/>
  <c r="R945" i="1"/>
  <c r="Q945" i="1"/>
  <c r="P945" i="1"/>
  <c r="O945" i="1"/>
  <c r="N945" i="1"/>
  <c r="M945" i="1"/>
  <c r="S954" i="1"/>
  <c r="R954" i="1"/>
  <c r="Q954" i="1"/>
  <c r="P954" i="1"/>
  <c r="O954" i="1"/>
  <c r="N954" i="1"/>
  <c r="M954" i="1"/>
  <c r="S951" i="1"/>
  <c r="R951" i="1"/>
  <c r="Q951" i="1"/>
  <c r="P951" i="1"/>
  <c r="O951" i="1"/>
  <c r="N951" i="1"/>
  <c r="M951" i="1"/>
  <c r="D940" i="1" a="1"/>
  <c r="D951" i="1" a="1"/>
  <c r="D945" i="1" a="1"/>
  <c r="D954" i="1" a="1"/>
  <c r="D224" i="23" l="1"/>
  <c r="D225" i="23" s="1"/>
  <c r="D226" i="23" s="1"/>
  <c r="D227" i="23" s="1"/>
  <c r="D228" i="23" s="1"/>
  <c r="D229" i="23" s="1"/>
  <c r="D230" i="23" s="1"/>
  <c r="D231" i="23" s="1"/>
  <c r="D232" i="23" s="1"/>
  <c r="D233" i="23" s="1"/>
  <c r="D234" i="23" s="1"/>
  <c r="D235" i="23" s="1"/>
  <c r="D236" i="23" s="1"/>
  <c r="D237" i="23" s="1"/>
  <c r="D238" i="23" s="1"/>
  <c r="D239" i="23" s="1"/>
  <c r="D242" i="23" s="1"/>
  <c r="D243" i="23" s="1"/>
  <c r="D244" i="23" s="1"/>
  <c r="D245" i="23" s="1"/>
  <c r="D246" i="23" s="1"/>
  <c r="D247" i="23" s="1"/>
  <c r="D248" i="23" s="1"/>
  <c r="D249" i="23" s="1"/>
  <c r="D250" i="23" s="1"/>
  <c r="D251" i="23" s="1"/>
  <c r="D252" i="23" s="1"/>
  <c r="D253" i="23" s="1"/>
  <c r="D254" i="23" s="1"/>
  <c r="D255" i="23" s="1"/>
  <c r="D256" i="23" s="1"/>
  <c r="D257" i="23" s="1"/>
  <c r="D260" i="23" s="1"/>
  <c r="S941" i="1"/>
  <c r="R941" i="1"/>
  <c r="Q941" i="1"/>
  <c r="P941" i="1"/>
  <c r="O941" i="1"/>
  <c r="N941" i="1"/>
  <c r="M941" i="1"/>
  <c r="S944" i="1"/>
  <c r="R944" i="1"/>
  <c r="Q944" i="1"/>
  <c r="P944" i="1"/>
  <c r="O944" i="1"/>
  <c r="N944" i="1"/>
  <c r="M944" i="1"/>
  <c r="S937" i="1"/>
  <c r="R937" i="1"/>
  <c r="Q937" i="1"/>
  <c r="P937" i="1"/>
  <c r="O937" i="1"/>
  <c r="N937" i="1"/>
  <c r="M937" i="1"/>
  <c r="D944" i="1" a="1"/>
  <c r="D941" i="1" a="1"/>
  <c r="D937" i="1" a="1"/>
  <c r="D261" i="23" l="1"/>
  <c r="D262" i="23" s="1"/>
  <c r="D263" i="23" s="1"/>
  <c r="D264" i="23" s="1"/>
  <c r="D265" i="23" s="1"/>
  <c r="S936" i="1"/>
  <c r="R936" i="1"/>
  <c r="Q936" i="1"/>
  <c r="P936" i="1"/>
  <c r="O936" i="1"/>
  <c r="N936" i="1"/>
  <c r="M936" i="1"/>
  <c r="S934" i="1"/>
  <c r="R934" i="1"/>
  <c r="Q934" i="1"/>
  <c r="P934" i="1"/>
  <c r="O934" i="1"/>
  <c r="N934" i="1"/>
  <c r="M934" i="1"/>
  <c r="S933" i="1"/>
  <c r="R933" i="1"/>
  <c r="Q933" i="1"/>
  <c r="P933" i="1"/>
  <c r="O933" i="1"/>
  <c r="N933" i="1"/>
  <c r="M933" i="1"/>
  <c r="S930" i="1"/>
  <c r="R930" i="1"/>
  <c r="Q930" i="1"/>
  <c r="P930" i="1"/>
  <c r="O930" i="1"/>
  <c r="N930" i="1"/>
  <c r="M930" i="1"/>
  <c r="S931" i="1"/>
  <c r="R931" i="1"/>
  <c r="Q931" i="1"/>
  <c r="P931" i="1"/>
  <c r="O931" i="1"/>
  <c r="N931" i="1"/>
  <c r="M931" i="1"/>
  <c r="Q932" i="1"/>
  <c r="P932" i="1"/>
  <c r="O932" i="1"/>
  <c r="N932" i="1"/>
  <c r="M932" i="1"/>
  <c r="D932" i="1" a="1"/>
  <c r="D936" i="1" a="1"/>
  <c r="D930" i="1" a="1"/>
  <c r="D931" i="1" a="1"/>
  <c r="D934" i="1" a="1"/>
  <c r="D933" i="1" a="1"/>
  <c r="D266" i="23" l="1"/>
  <c r="D267" i="23" s="1"/>
  <c r="D268" i="23" s="1"/>
  <c r="D269" i="23" l="1"/>
  <c r="D270" i="23" s="1"/>
  <c r="D271" i="23" s="1"/>
  <c r="D272" i="23" s="1"/>
  <c r="D273" i="23" s="1"/>
  <c r="D274" i="23" s="1"/>
  <c r="D275" i="23" s="1"/>
  <c r="D278" i="23" s="1"/>
  <c r="D279" i="23" s="1"/>
  <c r="D280" i="23" s="1"/>
  <c r="D281" i="23" s="1"/>
  <c r="D282" i="23" s="1"/>
  <c r="D283" i="23" s="1"/>
  <c r="D284" i="23" s="1"/>
  <c r="D285" i="23" s="1"/>
  <c r="D286" i="23" s="1"/>
  <c r="D287" i="23" s="1"/>
  <c r="S932" i="1"/>
  <c r="R932" i="1"/>
  <c r="S929" i="1"/>
  <c r="R929" i="1"/>
  <c r="Q929" i="1"/>
  <c r="P929" i="1"/>
  <c r="O929" i="1"/>
  <c r="N929" i="1"/>
  <c r="M929" i="1"/>
  <c r="S928" i="1"/>
  <c r="R928" i="1"/>
  <c r="Q928" i="1"/>
  <c r="P928" i="1"/>
  <c r="O928" i="1"/>
  <c r="N928" i="1"/>
  <c r="M928" i="1"/>
  <c r="S924" i="1"/>
  <c r="R924" i="1"/>
  <c r="Q924" i="1"/>
  <c r="P924" i="1"/>
  <c r="O924" i="1"/>
  <c r="N924" i="1"/>
  <c r="M924" i="1"/>
  <c r="D928" i="1" a="1"/>
  <c r="D924" i="1" a="1"/>
  <c r="D929" i="1" a="1"/>
  <c r="D288" i="23" l="1"/>
  <c r="D289" i="23" s="1"/>
  <c r="D290" i="23" s="1"/>
  <c r="D291" i="23" s="1"/>
  <c r="D292" i="23" s="1"/>
  <c r="D293" i="23" s="1"/>
  <c r="D296" i="23" s="1"/>
  <c r="D297" i="23" l="1"/>
  <c r="D298" i="23" s="1"/>
  <c r="D299" i="23" s="1"/>
  <c r="D300" i="23" s="1"/>
  <c r="D301" i="23" s="1"/>
  <c r="D302" i="23" s="1"/>
  <c r="D303" i="23" s="1"/>
  <c r="D304" i="23" s="1"/>
  <c r="D305" i="23" s="1"/>
  <c r="D306" i="23" s="1"/>
  <c r="D307" i="23" s="1"/>
  <c r="D308" i="23" s="1"/>
  <c r="D309" i="23" s="1"/>
  <c r="D310" i="23" s="1"/>
  <c r="D311" i="23" s="1"/>
  <c r="D314" i="23" s="1"/>
  <c r="D315" i="23" s="1"/>
  <c r="D316" i="23" s="1"/>
  <c r="D317" i="23" s="1"/>
  <c r="D318" i="23" s="1"/>
  <c r="D319" i="23" s="1"/>
  <c r="D320" i="23" s="1"/>
  <c r="D321" i="23" s="1"/>
  <c r="U2515" i="21"/>
  <c r="D2516" i="21"/>
  <c r="D2517" i="21" s="1"/>
  <c r="D2518" i="21" s="1"/>
  <c r="D2519" i="21" s="1"/>
  <c r="D2520" i="21" s="1"/>
  <c r="D2521" i="21" s="1"/>
  <c r="D2522" i="21" s="1"/>
  <c r="D2523" i="21" s="1"/>
  <c r="D2524" i="21" s="1"/>
  <c r="D2525" i="21" s="1"/>
  <c r="D2526" i="21" s="1"/>
  <c r="D2527" i="21" s="1"/>
  <c r="I2516" i="21"/>
  <c r="J2516" i="21"/>
  <c r="K2516" i="21"/>
  <c r="U2516" i="21"/>
  <c r="I2517" i="21"/>
  <c r="J2517" i="21"/>
  <c r="K2517" i="21"/>
  <c r="U2517" i="21"/>
  <c r="I2518" i="21"/>
  <c r="J2518" i="21"/>
  <c r="K2518" i="21"/>
  <c r="U2518" i="21"/>
  <c r="I2519" i="21"/>
  <c r="J2519" i="21"/>
  <c r="K2519" i="21"/>
  <c r="U2519" i="21"/>
  <c r="I2520" i="21"/>
  <c r="J2520" i="21"/>
  <c r="K2520" i="21"/>
  <c r="U2520" i="21"/>
  <c r="U2521" i="21"/>
  <c r="I2522" i="21"/>
  <c r="J2522" i="21"/>
  <c r="K2522" i="21"/>
  <c r="U2522" i="21"/>
  <c r="I2523" i="21"/>
  <c r="J2523" i="21"/>
  <c r="K2523" i="21"/>
  <c r="U2523" i="21"/>
  <c r="I2524" i="21"/>
  <c r="J2524" i="21"/>
  <c r="K2524" i="21"/>
  <c r="U2524" i="21"/>
  <c r="I2525" i="21"/>
  <c r="J2525" i="21"/>
  <c r="K2525" i="21"/>
  <c r="U2525" i="21"/>
  <c r="U2526" i="21"/>
  <c r="U2527" i="21"/>
  <c r="U2528" i="21"/>
  <c r="V2529" i="21"/>
  <c r="I2534" i="21"/>
  <c r="J2534" i="21"/>
  <c r="K2534" i="21"/>
  <c r="I2535" i="21"/>
  <c r="J2535" i="21"/>
  <c r="K2535" i="21"/>
  <c r="I2536" i="21"/>
  <c r="J2536" i="21"/>
  <c r="K2536" i="21"/>
  <c r="I2537" i="21"/>
  <c r="J2537" i="21"/>
  <c r="K2537" i="21"/>
  <c r="I2538" i="21"/>
  <c r="J2538" i="21"/>
  <c r="K2538" i="21"/>
  <c r="I2540" i="21"/>
  <c r="J2540" i="21"/>
  <c r="K2540" i="21"/>
  <c r="I2541" i="21"/>
  <c r="J2541" i="21"/>
  <c r="K2541" i="21"/>
  <c r="I2542" i="21"/>
  <c r="J2542" i="21"/>
  <c r="K2542" i="21"/>
  <c r="I2543" i="21"/>
  <c r="J2543" i="21"/>
  <c r="K2543" i="21"/>
  <c r="J2552" i="21"/>
  <c r="K2552" i="21"/>
  <c r="J2553" i="21"/>
  <c r="K2553" i="21"/>
  <c r="J2554" i="21"/>
  <c r="K2554" i="21"/>
  <c r="J2555" i="21"/>
  <c r="K2555" i="21"/>
  <c r="J2556" i="21"/>
  <c r="K2556" i="21"/>
  <c r="J2558" i="21"/>
  <c r="K2558" i="21"/>
  <c r="J2559" i="21"/>
  <c r="K2559" i="21"/>
  <c r="J2560" i="21"/>
  <c r="K2560" i="21"/>
  <c r="J2561" i="21"/>
  <c r="K2561" i="21"/>
  <c r="J2570" i="21"/>
  <c r="K2570" i="21"/>
  <c r="J2571" i="21"/>
  <c r="K2571" i="21"/>
  <c r="J2572" i="21"/>
  <c r="K2572" i="21"/>
  <c r="J2573" i="21"/>
  <c r="K2573" i="21"/>
  <c r="J2574" i="21"/>
  <c r="K2574" i="21"/>
  <c r="J2576" i="21"/>
  <c r="K2576" i="21"/>
  <c r="J2577" i="21"/>
  <c r="K2577" i="21"/>
  <c r="J2578" i="21"/>
  <c r="K2578" i="21"/>
  <c r="I2579" i="21"/>
  <c r="J2579" i="21"/>
  <c r="K2579" i="21"/>
  <c r="I2588" i="21"/>
  <c r="J2588" i="21"/>
  <c r="K2588" i="21"/>
  <c r="I2589" i="21"/>
  <c r="J2589" i="21"/>
  <c r="K2589" i="21"/>
  <c r="I2590" i="21"/>
  <c r="J2590" i="21"/>
  <c r="K2590" i="21"/>
  <c r="I2591" i="21"/>
  <c r="J2591" i="21"/>
  <c r="K2591" i="21"/>
  <c r="I2592" i="21"/>
  <c r="J2592" i="21"/>
  <c r="K2592" i="21"/>
  <c r="I2594" i="21"/>
  <c r="J2594" i="21"/>
  <c r="K2594" i="21"/>
  <c r="I2595" i="21"/>
  <c r="J2595" i="21"/>
  <c r="K2595" i="21"/>
  <c r="I2596" i="21"/>
  <c r="J2596" i="21"/>
  <c r="K2596" i="21"/>
  <c r="S927" i="1"/>
  <c r="R927" i="1"/>
  <c r="Q927" i="1"/>
  <c r="P927" i="1"/>
  <c r="O927" i="1"/>
  <c r="N927" i="1"/>
  <c r="M927" i="1"/>
  <c r="S926" i="1"/>
  <c r="R926" i="1"/>
  <c r="Q926" i="1"/>
  <c r="P926" i="1"/>
  <c r="O926" i="1"/>
  <c r="N926" i="1"/>
  <c r="M926" i="1"/>
  <c r="D926" i="1" a="1"/>
  <c r="D927" i="1" a="1"/>
  <c r="D322" i="23" l="1"/>
  <c r="D323" i="23" s="1"/>
  <c r="D324" i="23" s="1"/>
  <c r="D325" i="23" s="1"/>
  <c r="D326" i="23" s="1"/>
  <c r="D327" i="23" s="1"/>
  <c r="D328" i="23" s="1"/>
  <c r="D329" i="23" s="1"/>
  <c r="D332" i="23" s="1"/>
  <c r="D333" i="23" s="1"/>
  <c r="D334" i="23" s="1"/>
  <c r="D335" i="23" s="1"/>
  <c r="D336" i="23" s="1"/>
  <c r="D337" i="23" s="1"/>
  <c r="D338" i="23" s="1"/>
  <c r="D339" i="23" s="1"/>
  <c r="D340" i="23" s="1"/>
  <c r="D341" i="23" s="1"/>
  <c r="D342" i="23" s="1"/>
  <c r="D343" i="23" s="1"/>
  <c r="D344" i="23" s="1"/>
  <c r="D345" i="23" s="1"/>
  <c r="D346" i="23" s="1"/>
  <c r="D347" i="23" s="1"/>
  <c r="D350" i="23" s="1"/>
  <c r="D351" i="23" s="1"/>
  <c r="D352" i="23" s="1"/>
  <c r="D353" i="23" s="1"/>
  <c r="D354" i="23" s="1"/>
  <c r="D355" i="23" s="1"/>
  <c r="D356" i="23" s="1"/>
  <c r="D357" i="23" s="1"/>
  <c r="D358" i="23" s="1"/>
  <c r="D359" i="23" s="1"/>
  <c r="D360" i="23" s="1"/>
  <c r="D361" i="23" s="1"/>
  <c r="D362" i="23" s="1"/>
  <c r="D363" i="23" s="1"/>
  <c r="D364" i="23" s="1"/>
  <c r="D365" i="23" s="1"/>
  <c r="D368" i="23" s="1"/>
  <c r="D369" i="23" s="1"/>
  <c r="D370" i="23" s="1"/>
  <c r="D371" i="23" s="1"/>
  <c r="D372" i="23" s="1"/>
  <c r="D373" i="23" s="1"/>
  <c r="D374" i="23" s="1"/>
  <c r="D375" i="23" s="1"/>
  <c r="D376" i="23" s="1"/>
  <c r="D377" i="23" s="1"/>
  <c r="D378" i="23" s="1"/>
  <c r="D379" i="23" s="1"/>
  <c r="D380" i="23" s="1"/>
  <c r="D381" i="23" s="1"/>
  <c r="D382" i="23" s="1"/>
  <c r="D383" i="23" s="1"/>
  <c r="U2529" i="21"/>
  <c r="D2528" i="21"/>
  <c r="D2529" i="21" s="1"/>
  <c r="D2530" i="21" s="1"/>
  <c r="D2533" i="21" s="1"/>
  <c r="D2534" i="21" s="1"/>
  <c r="D2535" i="21" s="1"/>
  <c r="D2536" i="21" s="1"/>
  <c r="D2537" i="21" s="1"/>
  <c r="D2538" i="21" s="1"/>
  <c r="D2539" i="21" s="1"/>
  <c r="D2540" i="21" s="1"/>
  <c r="D2541" i="21" s="1"/>
  <c r="D2542" i="21" s="1"/>
  <c r="D2543" i="21" s="1"/>
  <c r="D2544" i="21" s="1"/>
  <c r="D2545" i="21" s="1"/>
  <c r="D2546" i="21" s="1"/>
  <c r="D2547" i="21" s="1"/>
  <c r="D2548" i="21" s="1"/>
  <c r="D2551" i="21" s="1"/>
  <c r="D2552" i="21" s="1"/>
  <c r="D2553" i="21" s="1"/>
  <c r="D2554" i="21" s="1"/>
  <c r="D2555" i="21" s="1"/>
  <c r="D2556" i="21" s="1"/>
  <c r="D2557" i="21" s="1"/>
  <c r="D2558" i="21" s="1"/>
  <c r="D2559" i="21" s="1"/>
  <c r="D2560" i="21" s="1"/>
  <c r="D2561" i="21" s="1"/>
  <c r="D2562" i="21" s="1"/>
  <c r="D2563" i="21" s="1"/>
  <c r="D2564" i="21" s="1"/>
  <c r="D2565" i="21" s="1"/>
  <c r="D2566" i="21" s="1"/>
  <c r="D2569" i="21" s="1"/>
  <c r="D2570" i="21" s="1"/>
  <c r="D2571" i="21" s="1"/>
  <c r="D2572" i="21" s="1"/>
  <c r="D2573" i="21" s="1"/>
  <c r="D2574" i="21" s="1"/>
  <c r="D2575" i="21" s="1"/>
  <c r="D2576" i="21" s="1"/>
  <c r="D2577" i="21" s="1"/>
  <c r="D2578" i="21" s="1"/>
  <c r="D2579" i="21" s="1"/>
  <c r="D2580" i="21" s="1"/>
  <c r="D2581" i="21" s="1"/>
  <c r="D2582" i="21" s="1"/>
  <c r="D2583" i="21" s="1"/>
  <c r="D2584" i="21" s="1"/>
  <c r="D2587" i="21" s="1"/>
  <c r="D2588" i="21" s="1"/>
  <c r="D2589" i="21" s="1"/>
  <c r="D2590" i="21" s="1"/>
  <c r="D2591" i="21" s="1"/>
  <c r="D2592" i="21" s="1"/>
  <c r="D2593" i="21" s="1"/>
  <c r="D2594" i="21" s="1"/>
  <c r="D2595" i="21" s="1"/>
  <c r="D2596" i="21" s="1"/>
  <c r="D2597" i="21" s="1"/>
  <c r="D2598" i="21" s="1"/>
  <c r="D2599" i="21" s="1"/>
  <c r="D2600" i="21" s="1"/>
  <c r="D2601" i="21" s="1"/>
  <c r="D2602" i="21" s="1"/>
  <c r="I2532" i="21"/>
  <c r="I2586" i="21"/>
  <c r="K2568" i="21"/>
  <c r="K2514" i="21"/>
  <c r="K2550" i="21"/>
  <c r="J2514" i="21"/>
  <c r="J2568" i="21"/>
  <c r="I2514" i="21"/>
  <c r="K2586" i="21"/>
  <c r="J2550" i="21"/>
  <c r="K2532" i="21"/>
  <c r="J2586" i="21"/>
  <c r="J2532" i="21"/>
  <c r="D386" i="23" l="1"/>
  <c r="O2514" i="21"/>
  <c r="O2586" i="21"/>
  <c r="O2532" i="21"/>
  <c r="D387" i="23" l="1"/>
  <c r="D388" i="23" s="1"/>
  <c r="D389" i="23" s="1"/>
  <c r="D390" i="23" s="1"/>
  <c r="D391" i="23" s="1"/>
  <c r="D392" i="23" s="1"/>
  <c r="D393" i="23" s="1"/>
  <c r="D394" i="23" s="1"/>
  <c r="D395" i="23" s="1"/>
  <c r="D396" i="23" s="1"/>
  <c r="D397" i="23" s="1"/>
  <c r="D398" i="23" s="1"/>
  <c r="D399" i="23" s="1"/>
  <c r="D400" i="23" s="1"/>
  <c r="D401" i="23" s="1"/>
  <c r="D404" i="23" s="1"/>
  <c r="D405" i="23" s="1"/>
  <c r="D406" i="23" s="1"/>
  <c r="D407" i="23" s="1"/>
  <c r="D408" i="23" s="1"/>
  <c r="D409" i="23" s="1"/>
  <c r="D410" i="23" s="1"/>
  <c r="D411" i="23" s="1"/>
  <c r="D412" i="23" s="1"/>
  <c r="D413" i="23" s="1"/>
  <c r="D414" i="23" s="1"/>
  <c r="D415" i="23" s="1"/>
  <c r="D416" i="23" s="1"/>
  <c r="D417" i="23" s="1"/>
  <c r="D418" i="23" s="1"/>
  <c r="D419" i="23" s="1"/>
  <c r="D422" i="23" s="1"/>
  <c r="S925" i="1"/>
  <c r="R925" i="1"/>
  <c r="Q925" i="1"/>
  <c r="P925" i="1"/>
  <c r="O925" i="1"/>
  <c r="N925" i="1"/>
  <c r="M925" i="1"/>
  <c r="M923" i="1"/>
  <c r="N923" i="1"/>
  <c r="O923" i="1"/>
  <c r="P923" i="1"/>
  <c r="Q923" i="1"/>
  <c r="R923" i="1"/>
  <c r="S923" i="1"/>
  <c r="M922" i="1"/>
  <c r="N922" i="1"/>
  <c r="O922" i="1"/>
  <c r="P922" i="1"/>
  <c r="Q922" i="1"/>
  <c r="R922" i="1"/>
  <c r="S922" i="1"/>
  <c r="M888" i="1"/>
  <c r="N888" i="1"/>
  <c r="O888" i="1"/>
  <c r="P888" i="1"/>
  <c r="Q888" i="1"/>
  <c r="R888" i="1"/>
  <c r="S888" i="1"/>
  <c r="D923" i="1" a="1"/>
  <c r="D888" i="1" a="1"/>
  <c r="D925" i="1" a="1"/>
  <c r="D922" i="1" a="1"/>
  <c r="D423" i="23" l="1"/>
  <c r="D424" i="23" l="1"/>
  <c r="D425" i="23" s="1"/>
  <c r="D426" i="23" s="1"/>
  <c r="D427" i="23" s="1"/>
  <c r="D428" i="23" s="1"/>
  <c r="D429" i="23" s="1"/>
  <c r="D430" i="23" s="1"/>
  <c r="D431" i="23" s="1"/>
  <c r="D432" i="23" s="1"/>
  <c r="D433" i="23" s="1"/>
  <c r="D434" i="23" s="1"/>
  <c r="D435" i="23" s="1"/>
  <c r="D436" i="23" s="1"/>
  <c r="D437" i="23" s="1"/>
  <c r="D440" i="23" s="1"/>
  <c r="D441" i="23" s="1"/>
  <c r="D442" i="23" s="1"/>
  <c r="D443" i="23" s="1"/>
  <c r="D444" i="23" s="1"/>
  <c r="D445" i="23" s="1"/>
  <c r="D446" i="23" s="1"/>
  <c r="D447" i="23" s="1"/>
  <c r="D448" i="23" s="1"/>
  <c r="S921" i="1"/>
  <c r="R921" i="1"/>
  <c r="Q921" i="1"/>
  <c r="P921" i="1"/>
  <c r="O921" i="1"/>
  <c r="N921" i="1"/>
  <c r="M921" i="1"/>
  <c r="S919" i="1"/>
  <c r="R919" i="1"/>
  <c r="Q919" i="1"/>
  <c r="P919" i="1"/>
  <c r="O919" i="1"/>
  <c r="N919" i="1"/>
  <c r="M919" i="1"/>
  <c r="S920" i="1"/>
  <c r="R920" i="1"/>
  <c r="Q920" i="1"/>
  <c r="P920" i="1"/>
  <c r="O920" i="1"/>
  <c r="N920" i="1"/>
  <c r="M920" i="1"/>
  <c r="S917" i="1"/>
  <c r="R917" i="1"/>
  <c r="Q917" i="1"/>
  <c r="P917" i="1"/>
  <c r="O917" i="1"/>
  <c r="N917" i="1"/>
  <c r="M917" i="1"/>
  <c r="S916" i="1"/>
  <c r="R916" i="1"/>
  <c r="Q916" i="1"/>
  <c r="P916" i="1"/>
  <c r="O916" i="1"/>
  <c r="N916" i="1"/>
  <c r="M916" i="1"/>
  <c r="S915" i="1"/>
  <c r="R915" i="1"/>
  <c r="Q915" i="1"/>
  <c r="P915" i="1"/>
  <c r="O915" i="1"/>
  <c r="N915" i="1"/>
  <c r="M915" i="1"/>
  <c r="M918" i="1"/>
  <c r="S918" i="1"/>
  <c r="R918" i="1"/>
  <c r="Q918" i="1"/>
  <c r="P918" i="1"/>
  <c r="O918" i="1"/>
  <c r="N918" i="1"/>
  <c r="D921" i="1" a="1"/>
  <c r="D920" i="1" a="1"/>
  <c r="D917" i="1" a="1"/>
  <c r="D915" i="1" a="1"/>
  <c r="D918" i="1" a="1"/>
  <c r="D916" i="1" a="1"/>
  <c r="D919" i="1" a="1"/>
  <c r="D449" i="23" l="1"/>
  <c r="D450" i="23" s="1"/>
  <c r="D451" i="23" s="1"/>
  <c r="D452" i="23" s="1"/>
  <c r="D453" i="23" s="1"/>
  <c r="D454" i="23" s="1"/>
  <c r="D455" i="23" s="1"/>
  <c r="D458" i="23" s="1"/>
  <c r="D459" i="23" s="1"/>
  <c r="D460" i="23" s="1"/>
  <c r="D461" i="23" s="1"/>
  <c r="D2426" i="21"/>
  <c r="D2427" i="21" s="1"/>
  <c r="D2428" i="21" s="1"/>
  <c r="D2429" i="21" s="1"/>
  <c r="D2430" i="21" s="1"/>
  <c r="D2431" i="21" s="1"/>
  <c r="D2432" i="21" s="1"/>
  <c r="D2433" i="21" s="1"/>
  <c r="D2434" i="21" s="1"/>
  <c r="D2435" i="21" s="1"/>
  <c r="D2436" i="21" s="1"/>
  <c r="D2437" i="21" s="1"/>
  <c r="D2438" i="21" s="1"/>
  <c r="D2439" i="21" s="1"/>
  <c r="D2440" i="21" s="1"/>
  <c r="D2443" i="21" s="1"/>
  <c r="D2444" i="21" s="1"/>
  <c r="D2445" i="21" s="1"/>
  <c r="D2446" i="21" s="1"/>
  <c r="D2447" i="21" s="1"/>
  <c r="D2448" i="21" s="1"/>
  <c r="D2449" i="21" s="1"/>
  <c r="D2450" i="21" s="1"/>
  <c r="D2451" i="21" s="1"/>
  <c r="D2452" i="21" s="1"/>
  <c r="D2453" i="21" s="1"/>
  <c r="D2454" i="21" s="1"/>
  <c r="D2455" i="21" s="1"/>
  <c r="D2456" i="21" s="1"/>
  <c r="D2457" i="21" s="1"/>
  <c r="D2458" i="21" s="1"/>
  <c r="D2461" i="21" s="1"/>
  <c r="D2462" i="21" s="1"/>
  <c r="D2463" i="21" s="1"/>
  <c r="D2464" i="21" s="1"/>
  <c r="D2465" i="21" s="1"/>
  <c r="D2466" i="21" s="1"/>
  <c r="D2467" i="21" s="1"/>
  <c r="D2468" i="21" s="1"/>
  <c r="D2469" i="21" s="1"/>
  <c r="D2470" i="21" s="1"/>
  <c r="D2471" i="21" s="1"/>
  <c r="D2472" i="21" s="1"/>
  <c r="D2473" i="21" s="1"/>
  <c r="D2474" i="21" s="1"/>
  <c r="D2475" i="21" s="1"/>
  <c r="D2476" i="21" s="1"/>
  <c r="D2479" i="21" s="1"/>
  <c r="D2480" i="21" s="1"/>
  <c r="D2481" i="21" s="1"/>
  <c r="D2482" i="21" s="1"/>
  <c r="D2483" i="21" s="1"/>
  <c r="D2484" i="21" s="1"/>
  <c r="D2485" i="21" s="1"/>
  <c r="D2486" i="21" s="1"/>
  <c r="D2487" i="21" s="1"/>
  <c r="D2488" i="21" s="1"/>
  <c r="D2489" i="21" s="1"/>
  <c r="D2490" i="21" s="1"/>
  <c r="D2491" i="21" s="1"/>
  <c r="D2492" i="21" s="1"/>
  <c r="D2493" i="21" s="1"/>
  <c r="D2494" i="21" s="1"/>
  <c r="D2497" i="21" s="1"/>
  <c r="D2498" i="21" s="1"/>
  <c r="D2499" i="21" s="1"/>
  <c r="D2500" i="21" s="1"/>
  <c r="D2501" i="21" s="1"/>
  <c r="D2502" i="21" s="1"/>
  <c r="D2503" i="21" s="1"/>
  <c r="D2504" i="21" s="1"/>
  <c r="D2505" i="21" s="1"/>
  <c r="D2506" i="21" s="1"/>
  <c r="D2507" i="21" s="1"/>
  <c r="D2508" i="21" s="1"/>
  <c r="D2509" i="21" s="1"/>
  <c r="D2510" i="21" s="1"/>
  <c r="D2511" i="21" s="1"/>
  <c r="D2512" i="21" s="1"/>
  <c r="I2426" i="21"/>
  <c r="J2426" i="21"/>
  <c r="K2426" i="21"/>
  <c r="I2427" i="21"/>
  <c r="J2427" i="21"/>
  <c r="K2427" i="21"/>
  <c r="I2428" i="21"/>
  <c r="J2428" i="21"/>
  <c r="K2428" i="21"/>
  <c r="I2429" i="21"/>
  <c r="J2429" i="21"/>
  <c r="K2429" i="21"/>
  <c r="I2430" i="21"/>
  <c r="U2426" i="21" s="1"/>
  <c r="J2430" i="21"/>
  <c r="K2430" i="21"/>
  <c r="U2430" i="21"/>
  <c r="U2431" i="21"/>
  <c r="I2432" i="21"/>
  <c r="J2432" i="21"/>
  <c r="K2432" i="21"/>
  <c r="U2432" i="21"/>
  <c r="I2433" i="21"/>
  <c r="J2433" i="21"/>
  <c r="K2433" i="21"/>
  <c r="I2434" i="21"/>
  <c r="J2434" i="21"/>
  <c r="K2434" i="21"/>
  <c r="I2435" i="21"/>
  <c r="J2435" i="21"/>
  <c r="K2435" i="21"/>
  <c r="V2439" i="21"/>
  <c r="I2444" i="21"/>
  <c r="J2444" i="21"/>
  <c r="K2444" i="21"/>
  <c r="I2445" i="21"/>
  <c r="J2445" i="21"/>
  <c r="K2445" i="21"/>
  <c r="I2446" i="21"/>
  <c r="J2446" i="21"/>
  <c r="K2446" i="21"/>
  <c r="I2447" i="21"/>
  <c r="J2447" i="21"/>
  <c r="K2447" i="21"/>
  <c r="I2448" i="21"/>
  <c r="J2448" i="21"/>
  <c r="K2448" i="21"/>
  <c r="I2450" i="21"/>
  <c r="J2450" i="21"/>
  <c r="K2450" i="21"/>
  <c r="I2451" i="21"/>
  <c r="J2451" i="21"/>
  <c r="K2451" i="21"/>
  <c r="I2452" i="21"/>
  <c r="J2452" i="21"/>
  <c r="K2452" i="21"/>
  <c r="I2453" i="21"/>
  <c r="J2453" i="21"/>
  <c r="K2453" i="21"/>
  <c r="I2462" i="21"/>
  <c r="J2462" i="21"/>
  <c r="K2462" i="21"/>
  <c r="I2463" i="21"/>
  <c r="J2463" i="21"/>
  <c r="K2463" i="21"/>
  <c r="I2464" i="21"/>
  <c r="J2464" i="21"/>
  <c r="K2464" i="21"/>
  <c r="I2465" i="21"/>
  <c r="J2465" i="21"/>
  <c r="K2465" i="21"/>
  <c r="I2466" i="21"/>
  <c r="J2466" i="21"/>
  <c r="K2466" i="21"/>
  <c r="I2468" i="21"/>
  <c r="J2468" i="21"/>
  <c r="K2468" i="21"/>
  <c r="I2469" i="21"/>
  <c r="J2469" i="21"/>
  <c r="K2469" i="21"/>
  <c r="I2470" i="21"/>
  <c r="J2470" i="21"/>
  <c r="K2470" i="21"/>
  <c r="I2471" i="21"/>
  <c r="J2471" i="21"/>
  <c r="K2471" i="21"/>
  <c r="I2480" i="21"/>
  <c r="J2480" i="21"/>
  <c r="K2480" i="21"/>
  <c r="I2481" i="21"/>
  <c r="J2481" i="21"/>
  <c r="K2481" i="21"/>
  <c r="I2482" i="21"/>
  <c r="J2482" i="21"/>
  <c r="K2482" i="21"/>
  <c r="I2483" i="21"/>
  <c r="J2483" i="21"/>
  <c r="K2483" i="21"/>
  <c r="I2484" i="21"/>
  <c r="J2484" i="21"/>
  <c r="K2484" i="21"/>
  <c r="I2486" i="21"/>
  <c r="J2486" i="21"/>
  <c r="K2486" i="21"/>
  <c r="I2487" i="21"/>
  <c r="J2487" i="21"/>
  <c r="K2487" i="21"/>
  <c r="I2488" i="21"/>
  <c r="J2488" i="21"/>
  <c r="K2488" i="21"/>
  <c r="I2489" i="21"/>
  <c r="J2489" i="21"/>
  <c r="K2489" i="21"/>
  <c r="I2496" i="21"/>
  <c r="J2498" i="21"/>
  <c r="K2498" i="21"/>
  <c r="J2499" i="21"/>
  <c r="K2499" i="21"/>
  <c r="K2500" i="21"/>
  <c r="K2501" i="21"/>
  <c r="K2502" i="21"/>
  <c r="K2504" i="21"/>
  <c r="K2505" i="21"/>
  <c r="K2506" i="21"/>
  <c r="D462" i="23" l="1"/>
  <c r="D463" i="23" s="1"/>
  <c r="D464" i="23" s="1"/>
  <c r="I2478" i="21"/>
  <c r="U2428" i="21"/>
  <c r="U2433" i="21"/>
  <c r="J2424" i="21"/>
  <c r="J2460" i="21"/>
  <c r="I2460" i="21"/>
  <c r="U2427" i="21"/>
  <c r="I2424" i="21"/>
  <c r="J2478" i="21"/>
  <c r="U2437" i="21"/>
  <c r="U2434" i="21"/>
  <c r="K2442" i="21"/>
  <c r="K2478" i="21"/>
  <c r="O2478" i="21" s="1"/>
  <c r="K2496" i="21"/>
  <c r="U2436" i="21"/>
  <c r="J2442" i="21"/>
  <c r="U2438" i="21"/>
  <c r="K2460" i="21"/>
  <c r="O2460" i="21" s="1"/>
  <c r="I2442" i="21"/>
  <c r="U2429" i="21"/>
  <c r="K2424" i="21"/>
  <c r="U2425" i="21"/>
  <c r="D465" i="23" l="1"/>
  <c r="D466" i="23" s="1"/>
  <c r="D467" i="23" s="1"/>
  <c r="D468" i="23" s="1"/>
  <c r="D469" i="23" s="1"/>
  <c r="D470" i="23" s="1"/>
  <c r="D471" i="23" s="1"/>
  <c r="D472" i="23" s="1"/>
  <c r="D473" i="23" s="1"/>
  <c r="D476" i="23" s="1"/>
  <c r="D477" i="23" s="1"/>
  <c r="D478" i="23" s="1"/>
  <c r="D479" i="23" s="1"/>
  <c r="D480" i="23" s="1"/>
  <c r="D481" i="23" s="1"/>
  <c r="D482" i="23" s="1"/>
  <c r="D483" i="23" s="1"/>
  <c r="D484" i="23" s="1"/>
  <c r="D485" i="23" s="1"/>
  <c r="D486" i="23" s="1"/>
  <c r="D487" i="23" s="1"/>
  <c r="D488" i="23" s="1"/>
  <c r="D489" i="23" s="1"/>
  <c r="D490" i="23" s="1"/>
  <c r="D491" i="23" s="1"/>
  <c r="D494" i="23" s="1"/>
  <c r="D495" i="23" s="1"/>
  <c r="D496" i="23" s="1"/>
  <c r="D497" i="23" s="1"/>
  <c r="D498" i="23" s="1"/>
  <c r="D499" i="23" s="1"/>
  <c r="D500" i="23" s="1"/>
  <c r="D501" i="23" s="1"/>
  <c r="D502" i="23" s="1"/>
  <c r="D503" i="23" s="1"/>
  <c r="D504" i="23" s="1"/>
  <c r="D505" i="23" s="1"/>
  <c r="D506" i="23" s="1"/>
  <c r="D507" i="23" s="1"/>
  <c r="D508" i="23" s="1"/>
  <c r="D509" i="23" s="1"/>
  <c r="D512" i="23" s="1"/>
  <c r="D513" i="23" s="1"/>
  <c r="D514" i="23" s="1"/>
  <c r="D515" i="23" s="1"/>
  <c r="D516" i="23" s="1"/>
  <c r="O2424" i="21"/>
  <c r="O2442" i="21"/>
  <c r="D517" i="23" l="1"/>
  <c r="D518" i="23" s="1"/>
  <c r="D519" i="23" s="1"/>
  <c r="D520" i="23" s="1"/>
  <c r="D521" i="23" s="1"/>
  <c r="S884" i="1"/>
  <c r="R884" i="1"/>
  <c r="Q884" i="1"/>
  <c r="P884" i="1"/>
  <c r="O884" i="1"/>
  <c r="N884" i="1"/>
  <c r="M884" i="1"/>
  <c r="S914" i="1"/>
  <c r="R914" i="1"/>
  <c r="Q914" i="1"/>
  <c r="P914" i="1"/>
  <c r="O914" i="1"/>
  <c r="N914" i="1"/>
  <c r="M914" i="1"/>
  <c r="S913" i="1"/>
  <c r="R913" i="1"/>
  <c r="Q913" i="1"/>
  <c r="P913" i="1"/>
  <c r="O913" i="1"/>
  <c r="N913" i="1"/>
  <c r="M913" i="1"/>
  <c r="D914" i="1" a="1"/>
  <c r="D913" i="1" a="1"/>
  <c r="D884" i="1" a="1"/>
  <c r="D522" i="23" l="1"/>
  <c r="D523" i="23" s="1"/>
  <c r="D524" i="23" s="1"/>
  <c r="D525" i="23" s="1"/>
  <c r="D526" i="23" s="1"/>
  <c r="D527" i="23" s="1"/>
  <c r="D530" i="23" s="1"/>
  <c r="D531" i="23" s="1"/>
  <c r="D532" i="23" s="1"/>
  <c r="D533" i="23" s="1"/>
  <c r="D534" i="23" s="1"/>
  <c r="D535" i="23" s="1"/>
  <c r="D536" i="23" s="1"/>
  <c r="D537" i="23" s="1"/>
  <c r="D538" i="23" s="1"/>
  <c r="D539" i="23" s="1"/>
  <c r="D540" i="23" s="1"/>
  <c r="D541" i="23" s="1"/>
  <c r="D542" i="23" s="1"/>
  <c r="D543" i="23" s="1"/>
  <c r="D544" i="23" s="1"/>
  <c r="D545" i="23" s="1"/>
  <c r="D548" i="23" s="1"/>
  <c r="S910" i="1"/>
  <c r="R910" i="1"/>
  <c r="Q910" i="1"/>
  <c r="P910" i="1"/>
  <c r="O910" i="1"/>
  <c r="N910" i="1"/>
  <c r="M910" i="1"/>
  <c r="S905" i="1"/>
  <c r="R905" i="1"/>
  <c r="Q905" i="1"/>
  <c r="P905" i="1"/>
  <c r="O905" i="1"/>
  <c r="N905" i="1"/>
  <c r="M905" i="1"/>
  <c r="R911" i="1"/>
  <c r="S911" i="1"/>
  <c r="Q911" i="1"/>
  <c r="P911" i="1"/>
  <c r="O911" i="1"/>
  <c r="N911" i="1"/>
  <c r="M911" i="1"/>
  <c r="D905" i="1" a="1"/>
  <c r="D911" i="1" a="1"/>
  <c r="D910" i="1" a="1"/>
  <c r="D549" i="23" l="1"/>
  <c r="D550" i="23" s="1"/>
  <c r="D551" i="23" s="1"/>
  <c r="D552" i="23" s="1"/>
  <c r="D553" i="23" s="1"/>
  <c r="D554" i="23" s="1"/>
  <c r="D555" i="23" s="1"/>
  <c r="Z2347" i="21"/>
  <c r="Z2346" i="21"/>
  <c r="Z2345" i="21"/>
  <c r="Z2344" i="21"/>
  <c r="Z2343" i="21"/>
  <c r="Z2342" i="21"/>
  <c r="Z2341" i="21"/>
  <c r="Z2340" i="21"/>
  <c r="Z2339" i="21"/>
  <c r="Z2338" i="21"/>
  <c r="Z2337" i="21"/>
  <c r="Z2336" i="21"/>
  <c r="Z2335" i="21"/>
  <c r="D912" i="1" a="1"/>
  <c r="D556" i="23" l="1"/>
  <c r="D557" i="23" s="1"/>
  <c r="D558" i="23" s="1"/>
  <c r="D559" i="23" s="1"/>
  <c r="D560" i="23" s="1"/>
  <c r="D561" i="23" s="1"/>
  <c r="D562" i="23" s="1"/>
  <c r="D563" i="23" s="1"/>
  <c r="D566" i="23" s="1"/>
  <c r="D567" i="23" s="1"/>
  <c r="D568" i="23" s="1"/>
  <c r="D569" i="23" s="1"/>
  <c r="D570" i="23" s="1"/>
  <c r="D571" i="23" s="1"/>
  <c r="D572" i="23" s="1"/>
  <c r="D573" i="23" s="1"/>
  <c r="D574" i="23" s="1"/>
  <c r="D575" i="23" s="1"/>
  <c r="D576" i="23" s="1"/>
  <c r="D577" i="23" s="1"/>
  <c r="I2408" i="21"/>
  <c r="I2409" i="21"/>
  <c r="I2410" i="21"/>
  <c r="I2411" i="21"/>
  <c r="I2412" i="21"/>
  <c r="K2415" i="21"/>
  <c r="K2416" i="21"/>
  <c r="I2390" i="21"/>
  <c r="K2390" i="21"/>
  <c r="K2388" i="21" s="1"/>
  <c r="I2391" i="21"/>
  <c r="K2391" i="21"/>
  <c r="I2392" i="21"/>
  <c r="K2392" i="21"/>
  <c r="I2393" i="21"/>
  <c r="K2393" i="21"/>
  <c r="I2394" i="21"/>
  <c r="K2394" i="21"/>
  <c r="I2396" i="21"/>
  <c r="K2396" i="21"/>
  <c r="I2397" i="21"/>
  <c r="K2397" i="21"/>
  <c r="I2398" i="21"/>
  <c r="K2398" i="21"/>
  <c r="I2399" i="21"/>
  <c r="K2399" i="21"/>
  <c r="I2372" i="21"/>
  <c r="K2372" i="21"/>
  <c r="K2370" i="21" s="1"/>
  <c r="I2373" i="21"/>
  <c r="K2373" i="21"/>
  <c r="I2374" i="21"/>
  <c r="K2374" i="21"/>
  <c r="I2375" i="21"/>
  <c r="K2375" i="21"/>
  <c r="I2376" i="21"/>
  <c r="K2376" i="21"/>
  <c r="I2378" i="21"/>
  <c r="K2378" i="21"/>
  <c r="I2379" i="21"/>
  <c r="K2379" i="21"/>
  <c r="I2380" i="21"/>
  <c r="K2380" i="21"/>
  <c r="I2381" i="21"/>
  <c r="K2381" i="21"/>
  <c r="K2354" i="21"/>
  <c r="K2352" i="21" s="1"/>
  <c r="K2355" i="21"/>
  <c r="K2356" i="21"/>
  <c r="K2357" i="21"/>
  <c r="I2358" i="21"/>
  <c r="K2358" i="21"/>
  <c r="I2360" i="21"/>
  <c r="K2360" i="21"/>
  <c r="I2361" i="21"/>
  <c r="K2361" i="21"/>
  <c r="I2362" i="21"/>
  <c r="K2362" i="21"/>
  <c r="I2363" i="21"/>
  <c r="K2363" i="21"/>
  <c r="D2336" i="21"/>
  <c r="D2337" i="21" s="1"/>
  <c r="D2338" i="21" s="1"/>
  <c r="D2339" i="21" s="1"/>
  <c r="D2340" i="21" s="1"/>
  <c r="D2341" i="21" s="1"/>
  <c r="D2342" i="21" s="1"/>
  <c r="D2343" i="21" s="1"/>
  <c r="D2344" i="21" s="1"/>
  <c r="D2345" i="21" s="1"/>
  <c r="D2346" i="21" s="1"/>
  <c r="D2347" i="21" s="1"/>
  <c r="D2348" i="21" s="1"/>
  <c r="D2349" i="21" s="1"/>
  <c r="D2350" i="21" s="1"/>
  <c r="D2353" i="21" s="1"/>
  <c r="D2354" i="21" s="1"/>
  <c r="D2355" i="21" s="1"/>
  <c r="D2356" i="21" s="1"/>
  <c r="D2357" i="21" s="1"/>
  <c r="D2358" i="21" s="1"/>
  <c r="D2359" i="21" s="1"/>
  <c r="D2360" i="21" s="1"/>
  <c r="D2361" i="21" s="1"/>
  <c r="D2362" i="21" s="1"/>
  <c r="D2363" i="21" s="1"/>
  <c r="D2364" i="21" s="1"/>
  <c r="D2365" i="21" s="1"/>
  <c r="D2366" i="21" s="1"/>
  <c r="D2367" i="21" s="1"/>
  <c r="D2368" i="21" s="1"/>
  <c r="D2371" i="21" s="1"/>
  <c r="D2372" i="21" s="1"/>
  <c r="D2373" i="21" s="1"/>
  <c r="D2374" i="21" s="1"/>
  <c r="D2375" i="21" s="1"/>
  <c r="D2376" i="21" s="1"/>
  <c r="D2377" i="21" s="1"/>
  <c r="D2378" i="21" s="1"/>
  <c r="D2379" i="21" s="1"/>
  <c r="D2380" i="21" s="1"/>
  <c r="D2381" i="21" s="1"/>
  <c r="D2382" i="21" s="1"/>
  <c r="D2383" i="21" s="1"/>
  <c r="D2384" i="21" s="1"/>
  <c r="D2385" i="21" s="1"/>
  <c r="D2386" i="21" s="1"/>
  <c r="D2389" i="21" s="1"/>
  <c r="D2390" i="21" s="1"/>
  <c r="D2391" i="21" s="1"/>
  <c r="D2392" i="21" s="1"/>
  <c r="D2393" i="21" s="1"/>
  <c r="D2394" i="21" s="1"/>
  <c r="D2395" i="21" s="1"/>
  <c r="D2396" i="21" s="1"/>
  <c r="D2397" i="21" s="1"/>
  <c r="D2398" i="21" s="1"/>
  <c r="D2399" i="21" s="1"/>
  <c r="D2400" i="21" s="1"/>
  <c r="D2401" i="21" s="1"/>
  <c r="D2402" i="21" s="1"/>
  <c r="D2403" i="21" s="1"/>
  <c r="D2404" i="21" s="1"/>
  <c r="D2407" i="21" s="1"/>
  <c r="D2408" i="21" s="1"/>
  <c r="D2409" i="21" s="1"/>
  <c r="D2410" i="21" s="1"/>
  <c r="D2411" i="21" s="1"/>
  <c r="D2412" i="21" s="1"/>
  <c r="D2413" i="21" s="1"/>
  <c r="D2414" i="21" s="1"/>
  <c r="D2415" i="21" s="1"/>
  <c r="D2416" i="21" s="1"/>
  <c r="D2417" i="21" s="1"/>
  <c r="D2418" i="21" s="1"/>
  <c r="D2419" i="21" s="1"/>
  <c r="D2420" i="21" s="1"/>
  <c r="D2421" i="21" s="1"/>
  <c r="D2422" i="21" s="1"/>
  <c r="I2336" i="21"/>
  <c r="K2336" i="21"/>
  <c r="K2334" i="21" s="1"/>
  <c r="I2337" i="21"/>
  <c r="K2337" i="21"/>
  <c r="I2338" i="21"/>
  <c r="K2338" i="21"/>
  <c r="I2339" i="21"/>
  <c r="K2339" i="21"/>
  <c r="I2340" i="21"/>
  <c r="K2340" i="21"/>
  <c r="I2342" i="21"/>
  <c r="K2342" i="21"/>
  <c r="I2343" i="21"/>
  <c r="K2343" i="21"/>
  <c r="I2344" i="21"/>
  <c r="K2344" i="21"/>
  <c r="I2345" i="21"/>
  <c r="K2345" i="21"/>
  <c r="D578" i="23" l="1"/>
  <c r="D579" i="23" s="1"/>
  <c r="D580" i="23" s="1"/>
  <c r="D581" i="23" s="1"/>
  <c r="D584" i="23" s="1"/>
  <c r="D585" i="23" s="1"/>
  <c r="D586" i="23" s="1"/>
  <c r="D587" i="23" s="1"/>
  <c r="D588" i="23" s="1"/>
  <c r="D589" i="23" s="1"/>
  <c r="D590" i="23" s="1"/>
  <c r="D591" i="23" s="1"/>
  <c r="D592" i="23" s="1"/>
  <c r="D593" i="23" s="1"/>
  <c r="D594" i="23" s="1"/>
  <c r="I2334" i="21"/>
  <c r="I2388" i="21"/>
  <c r="I2370" i="21"/>
  <c r="K2318" i="21"/>
  <c r="K2316" i="21" s="1"/>
  <c r="K2319" i="21"/>
  <c r="K2320" i="21"/>
  <c r="K2321" i="21"/>
  <c r="K2322" i="21"/>
  <c r="K2324" i="21"/>
  <c r="K2325" i="21"/>
  <c r="K2326" i="21"/>
  <c r="K2300" i="21"/>
  <c r="K2298" i="21" s="1"/>
  <c r="K2301" i="21"/>
  <c r="K2302" i="21"/>
  <c r="K2303" i="21"/>
  <c r="K2304" i="21"/>
  <c r="K2306" i="21"/>
  <c r="K2307" i="21"/>
  <c r="K2308" i="21"/>
  <c r="K2309" i="21"/>
  <c r="K2282" i="21"/>
  <c r="K2280" i="21" s="1"/>
  <c r="K2283" i="21"/>
  <c r="K2284" i="21"/>
  <c r="K2285" i="21"/>
  <c r="K2286" i="21"/>
  <c r="K2288" i="21"/>
  <c r="K2289" i="21"/>
  <c r="K2290" i="21"/>
  <c r="K2291" i="21"/>
  <c r="K2264" i="21"/>
  <c r="K2262" i="21" s="1"/>
  <c r="K2265" i="21"/>
  <c r="K2266" i="21"/>
  <c r="K2267" i="21"/>
  <c r="K2268" i="21"/>
  <c r="K2270" i="21"/>
  <c r="K2271" i="21"/>
  <c r="K2272" i="21"/>
  <c r="K2273" i="21"/>
  <c r="D2246" i="21"/>
  <c r="D2247" i="21" s="1"/>
  <c r="D2248" i="21" s="1"/>
  <c r="D2249" i="21" s="1"/>
  <c r="D2250" i="21" s="1"/>
  <c r="D2251" i="21" s="1"/>
  <c r="D2252" i="21" s="1"/>
  <c r="D2253" i="21" s="1"/>
  <c r="D2254" i="21" s="1"/>
  <c r="D2255" i="21" s="1"/>
  <c r="D2256" i="21" s="1"/>
  <c r="D2257" i="21" s="1"/>
  <c r="D2258" i="21" s="1"/>
  <c r="D2259" i="21" s="1"/>
  <c r="D2260" i="21" s="1"/>
  <c r="D2263" i="21" s="1"/>
  <c r="D2264" i="21" s="1"/>
  <c r="D2265" i="21" s="1"/>
  <c r="D2266" i="21" s="1"/>
  <c r="D2267" i="21" s="1"/>
  <c r="D2268" i="21" s="1"/>
  <c r="D2269" i="21" s="1"/>
  <c r="D2270" i="21" s="1"/>
  <c r="D2271" i="21" s="1"/>
  <c r="D2272" i="21" s="1"/>
  <c r="D2273" i="21" s="1"/>
  <c r="D2274" i="21" s="1"/>
  <c r="D2275" i="21" s="1"/>
  <c r="D2276" i="21" s="1"/>
  <c r="D2277" i="21" s="1"/>
  <c r="D2278" i="21" s="1"/>
  <c r="D2281" i="21" s="1"/>
  <c r="D2282" i="21" s="1"/>
  <c r="D2283" i="21" s="1"/>
  <c r="D2284" i="21" s="1"/>
  <c r="D2285" i="21" s="1"/>
  <c r="D2286" i="21" s="1"/>
  <c r="D2287" i="21" s="1"/>
  <c r="D2288" i="21" s="1"/>
  <c r="D2289" i="21" s="1"/>
  <c r="D2290" i="21" s="1"/>
  <c r="D2291" i="21" s="1"/>
  <c r="D2292" i="21" s="1"/>
  <c r="D2293" i="21" s="1"/>
  <c r="D2294" i="21" s="1"/>
  <c r="D2295" i="21" s="1"/>
  <c r="D2296" i="21" s="1"/>
  <c r="D2299" i="21" s="1"/>
  <c r="D2300" i="21" s="1"/>
  <c r="D2301" i="21" s="1"/>
  <c r="D2302" i="21" s="1"/>
  <c r="D2303" i="21" s="1"/>
  <c r="D2304" i="21" s="1"/>
  <c r="D2305" i="21" s="1"/>
  <c r="D2306" i="21" s="1"/>
  <c r="D2307" i="21" s="1"/>
  <c r="D2308" i="21" s="1"/>
  <c r="D2309" i="21" s="1"/>
  <c r="D2310" i="21" s="1"/>
  <c r="D2311" i="21" s="1"/>
  <c r="D2312" i="21" s="1"/>
  <c r="D2313" i="21" s="1"/>
  <c r="D2314" i="21" s="1"/>
  <c r="D2317" i="21" s="1"/>
  <c r="D2318" i="21" s="1"/>
  <c r="D2319" i="21" s="1"/>
  <c r="D2320" i="21" s="1"/>
  <c r="D2321" i="21" s="1"/>
  <c r="D2322" i="21" s="1"/>
  <c r="D2323" i="21" s="1"/>
  <c r="D2324" i="21" s="1"/>
  <c r="D2325" i="21" s="1"/>
  <c r="D2326" i="21" s="1"/>
  <c r="D2327" i="21" s="1"/>
  <c r="D2328" i="21" s="1"/>
  <c r="D2329" i="21" s="1"/>
  <c r="D2330" i="21" s="1"/>
  <c r="D2331" i="21" s="1"/>
  <c r="D2332" i="21" s="1"/>
  <c r="I2246" i="21"/>
  <c r="J2246" i="21"/>
  <c r="J2244" i="21" s="1"/>
  <c r="K2246" i="21"/>
  <c r="K2244" i="21" s="1"/>
  <c r="I2247" i="21"/>
  <c r="J2247" i="21"/>
  <c r="K2247" i="21"/>
  <c r="I2248" i="21"/>
  <c r="J2248" i="21"/>
  <c r="K2248" i="21"/>
  <c r="I2249" i="21"/>
  <c r="J2249" i="21"/>
  <c r="K2249" i="21"/>
  <c r="I2250" i="21"/>
  <c r="J2250" i="21"/>
  <c r="K2250" i="21"/>
  <c r="I2252" i="21"/>
  <c r="J2252" i="21"/>
  <c r="K2252" i="21"/>
  <c r="I2253" i="21"/>
  <c r="J2253" i="21"/>
  <c r="K2253" i="21"/>
  <c r="I2254" i="21"/>
  <c r="J2254" i="21"/>
  <c r="K2254" i="21"/>
  <c r="I2255" i="21"/>
  <c r="J2255" i="21"/>
  <c r="K2255" i="21"/>
  <c r="J2228" i="21"/>
  <c r="J2226" i="21" s="1"/>
  <c r="K2228" i="21"/>
  <c r="K2226" i="21" s="1"/>
  <c r="J2229" i="21"/>
  <c r="K2229" i="21"/>
  <c r="J2230" i="21"/>
  <c r="K2230" i="21"/>
  <c r="J2231" i="21"/>
  <c r="K2231" i="21"/>
  <c r="J2232" i="21"/>
  <c r="K2232" i="21"/>
  <c r="J2234" i="21"/>
  <c r="K2234" i="21"/>
  <c r="J2235" i="21"/>
  <c r="K2235" i="21"/>
  <c r="J2236" i="21"/>
  <c r="K2236" i="21"/>
  <c r="J2237" i="21"/>
  <c r="K2237" i="21"/>
  <c r="J2210" i="21"/>
  <c r="J2208" i="21" s="1"/>
  <c r="K2210" i="21"/>
  <c r="K2208" i="21" s="1"/>
  <c r="J2211" i="21"/>
  <c r="K2211" i="21"/>
  <c r="J2212" i="21"/>
  <c r="K2212" i="21"/>
  <c r="J2213" i="21"/>
  <c r="K2213" i="21"/>
  <c r="J2214" i="21"/>
  <c r="K2214" i="21"/>
  <c r="J2216" i="21"/>
  <c r="K2216" i="21"/>
  <c r="J2217" i="21"/>
  <c r="K2217" i="21"/>
  <c r="J2218" i="21"/>
  <c r="K2218" i="21"/>
  <c r="J2219" i="21"/>
  <c r="K2219" i="21"/>
  <c r="J2192" i="21"/>
  <c r="J2190" i="21" s="1"/>
  <c r="K2192" i="21"/>
  <c r="K2190" i="21" s="1"/>
  <c r="J2193" i="21"/>
  <c r="K2193" i="21"/>
  <c r="J2194" i="21"/>
  <c r="K2194" i="21"/>
  <c r="J2195" i="21"/>
  <c r="K2195" i="21"/>
  <c r="J2196" i="21"/>
  <c r="K2196" i="21"/>
  <c r="J2198" i="21"/>
  <c r="K2198" i="21"/>
  <c r="J2199" i="21"/>
  <c r="K2199" i="21"/>
  <c r="J2200" i="21"/>
  <c r="K2200" i="21"/>
  <c r="J2201" i="21"/>
  <c r="K2201" i="21"/>
  <c r="J2174" i="21"/>
  <c r="J2172" i="21" s="1"/>
  <c r="K2174" i="21"/>
  <c r="K2172" i="21" s="1"/>
  <c r="J2175" i="21"/>
  <c r="K2175" i="21"/>
  <c r="J2176" i="21"/>
  <c r="K2176" i="21"/>
  <c r="J2177" i="21"/>
  <c r="K2177" i="21"/>
  <c r="J2178" i="21"/>
  <c r="K2178" i="21"/>
  <c r="J2180" i="21"/>
  <c r="K2180" i="21"/>
  <c r="J2181" i="21"/>
  <c r="K2181" i="21"/>
  <c r="J2182" i="21"/>
  <c r="K2182" i="21"/>
  <c r="J2183" i="21"/>
  <c r="K2183" i="21"/>
  <c r="D2156" i="21"/>
  <c r="D2157" i="21" s="1"/>
  <c r="D2158" i="21" s="1"/>
  <c r="D2159" i="21" s="1"/>
  <c r="D2160" i="21" s="1"/>
  <c r="D2161" i="21" s="1"/>
  <c r="D2162" i="21" s="1"/>
  <c r="D2163" i="21" s="1"/>
  <c r="D2164" i="21" s="1"/>
  <c r="D2165" i="21" s="1"/>
  <c r="D2166" i="21" s="1"/>
  <c r="D2167" i="21" s="1"/>
  <c r="D2168" i="21" s="1"/>
  <c r="D2169" i="21" s="1"/>
  <c r="D2170" i="21" s="1"/>
  <c r="D2173" i="21" s="1"/>
  <c r="D2174" i="21" s="1"/>
  <c r="D2175" i="21" s="1"/>
  <c r="D2176" i="21" s="1"/>
  <c r="D2177" i="21" s="1"/>
  <c r="D2178" i="21" s="1"/>
  <c r="D2179" i="21" s="1"/>
  <c r="D2180" i="21" s="1"/>
  <c r="D2181" i="21" s="1"/>
  <c r="D2182" i="21" s="1"/>
  <c r="D2183" i="21" s="1"/>
  <c r="D2184" i="21" s="1"/>
  <c r="D2185" i="21" s="1"/>
  <c r="D2186" i="21" s="1"/>
  <c r="D2187" i="21" s="1"/>
  <c r="D2188" i="21" s="1"/>
  <c r="D2191" i="21" s="1"/>
  <c r="D2192" i="21" s="1"/>
  <c r="D2193" i="21" s="1"/>
  <c r="D2194" i="21" s="1"/>
  <c r="D2195" i="21" s="1"/>
  <c r="D2196" i="21" s="1"/>
  <c r="D2197" i="21" s="1"/>
  <c r="D2198" i="21" s="1"/>
  <c r="D2199" i="21" s="1"/>
  <c r="D2200" i="21" s="1"/>
  <c r="D2201" i="21" s="1"/>
  <c r="D2202" i="21" s="1"/>
  <c r="D2203" i="21" s="1"/>
  <c r="D2204" i="21" s="1"/>
  <c r="D2205" i="21" s="1"/>
  <c r="D2206" i="21" s="1"/>
  <c r="D2209" i="21" s="1"/>
  <c r="D2210" i="21" s="1"/>
  <c r="D2211" i="21" s="1"/>
  <c r="D2212" i="21" s="1"/>
  <c r="D2213" i="21" s="1"/>
  <c r="D2214" i="21" s="1"/>
  <c r="D2215" i="21" s="1"/>
  <c r="D2216" i="21" s="1"/>
  <c r="D2217" i="21" s="1"/>
  <c r="D2218" i="21" s="1"/>
  <c r="D2219" i="21" s="1"/>
  <c r="D2220" i="21" s="1"/>
  <c r="D2221" i="21" s="1"/>
  <c r="D2222" i="21" s="1"/>
  <c r="D2223" i="21" s="1"/>
  <c r="D2224" i="21" s="1"/>
  <c r="D2227" i="21" s="1"/>
  <c r="D2228" i="21" s="1"/>
  <c r="D2229" i="21" s="1"/>
  <c r="D2230" i="21" s="1"/>
  <c r="D2231" i="21" s="1"/>
  <c r="D2232" i="21" s="1"/>
  <c r="D2233" i="21" s="1"/>
  <c r="D2234" i="21" s="1"/>
  <c r="D2235" i="21" s="1"/>
  <c r="D2236" i="21" s="1"/>
  <c r="D2237" i="21" s="1"/>
  <c r="D2238" i="21" s="1"/>
  <c r="D2239" i="21" s="1"/>
  <c r="D2240" i="21" s="1"/>
  <c r="D2241" i="21" s="1"/>
  <c r="D2242" i="21" s="1"/>
  <c r="J2156" i="21"/>
  <c r="J2154" i="21" s="1"/>
  <c r="K2156" i="21"/>
  <c r="K2154" i="21" s="1"/>
  <c r="J2157" i="21"/>
  <c r="K2157" i="21"/>
  <c r="J2158" i="21"/>
  <c r="K2158" i="21"/>
  <c r="J2159" i="21"/>
  <c r="K2159" i="21"/>
  <c r="J2160" i="21"/>
  <c r="K2160" i="21"/>
  <c r="J2162" i="21"/>
  <c r="K2162" i="21"/>
  <c r="J2163" i="21"/>
  <c r="K2163" i="21"/>
  <c r="J2164" i="21"/>
  <c r="K2164" i="21"/>
  <c r="J2165" i="21"/>
  <c r="K2165" i="21"/>
  <c r="S885" i="1"/>
  <c r="R885" i="1"/>
  <c r="Q885" i="1"/>
  <c r="P885" i="1"/>
  <c r="O885" i="1"/>
  <c r="N885" i="1"/>
  <c r="M885" i="1"/>
  <c r="D885" i="1" a="1"/>
  <c r="D595" i="23" l="1"/>
  <c r="D596" i="23" s="1"/>
  <c r="D597" i="23" s="1"/>
  <c r="D598" i="23" s="1"/>
  <c r="D599" i="23" s="1"/>
  <c r="I2244" i="21"/>
  <c r="O2244" i="21" s="1"/>
  <c r="D602" i="23" l="1"/>
  <c r="D603" i="23" s="1"/>
  <c r="D604" i="23" s="1"/>
  <c r="D605" i="23" s="1"/>
  <c r="D606" i="23" s="1"/>
  <c r="D607" i="23" s="1"/>
  <c r="D608" i="23" s="1"/>
  <c r="D609" i="23" s="1"/>
  <c r="D610" i="23" s="1"/>
  <c r="D611" i="23" s="1"/>
  <c r="D612" i="23" s="1"/>
  <c r="D613" i="23" s="1"/>
  <c r="D614" i="23" s="1"/>
  <c r="D615" i="23" s="1"/>
  <c r="D616" i="23" s="1"/>
  <c r="D617" i="23" s="1"/>
  <c r="D638" i="23"/>
  <c r="D639" i="23" s="1"/>
  <c r="S891" i="1"/>
  <c r="S897" i="1"/>
  <c r="S894" i="1"/>
  <c r="S881" i="1"/>
  <c r="S896" i="1"/>
  <c r="S901" i="1"/>
  <c r="S899" i="1"/>
  <c r="S900" i="1"/>
  <c r="S893" i="1"/>
  <c r="S907" i="1"/>
  <c r="S908" i="1"/>
  <c r="S898" i="1"/>
  <c r="S904" i="1"/>
  <c r="S906" i="1"/>
  <c r="S892" i="1"/>
  <c r="S903" i="1"/>
  <c r="S902" i="1"/>
  <c r="S909" i="1"/>
  <c r="S895" i="1"/>
  <c r="S912" i="1"/>
  <c r="R891" i="1"/>
  <c r="R897" i="1"/>
  <c r="R894" i="1"/>
  <c r="R881" i="1"/>
  <c r="R896" i="1"/>
  <c r="R901" i="1"/>
  <c r="R899" i="1"/>
  <c r="R900" i="1"/>
  <c r="R893" i="1"/>
  <c r="R907" i="1"/>
  <c r="R908" i="1"/>
  <c r="R898" i="1"/>
  <c r="R904" i="1"/>
  <c r="R906" i="1"/>
  <c r="R892" i="1"/>
  <c r="R903" i="1"/>
  <c r="R902" i="1"/>
  <c r="R909" i="1"/>
  <c r="R895" i="1"/>
  <c r="R912" i="1"/>
  <c r="Q891" i="1"/>
  <c r="Q897" i="1"/>
  <c r="Q894" i="1"/>
  <c r="Q881" i="1"/>
  <c r="Q896" i="1"/>
  <c r="Q901" i="1"/>
  <c r="Q899" i="1"/>
  <c r="Q900" i="1"/>
  <c r="Q893" i="1"/>
  <c r="Q907" i="1"/>
  <c r="Q908" i="1"/>
  <c r="Q898" i="1"/>
  <c r="Q904" i="1"/>
  <c r="Q906" i="1"/>
  <c r="Q892" i="1"/>
  <c r="Q903" i="1"/>
  <c r="Q902" i="1"/>
  <c r="Q909" i="1"/>
  <c r="Q895" i="1"/>
  <c r="Q912" i="1"/>
  <c r="P891" i="1"/>
  <c r="P897" i="1"/>
  <c r="P894" i="1"/>
  <c r="P881" i="1"/>
  <c r="P896" i="1"/>
  <c r="P901" i="1"/>
  <c r="P899" i="1"/>
  <c r="P900" i="1"/>
  <c r="P893" i="1"/>
  <c r="P907" i="1"/>
  <c r="P908" i="1"/>
  <c r="P898" i="1"/>
  <c r="P904" i="1"/>
  <c r="P906" i="1"/>
  <c r="P892" i="1"/>
  <c r="P903" i="1"/>
  <c r="P902" i="1"/>
  <c r="P909" i="1"/>
  <c r="P895" i="1"/>
  <c r="P912" i="1"/>
  <c r="O891" i="1"/>
  <c r="O897" i="1"/>
  <c r="O894" i="1"/>
  <c r="O881" i="1"/>
  <c r="O896" i="1"/>
  <c r="O901" i="1"/>
  <c r="O899" i="1"/>
  <c r="O900" i="1"/>
  <c r="O893" i="1"/>
  <c r="O907" i="1"/>
  <c r="O908" i="1"/>
  <c r="O898" i="1"/>
  <c r="O904" i="1"/>
  <c r="O906" i="1"/>
  <c r="O892" i="1"/>
  <c r="O903" i="1"/>
  <c r="O902" i="1"/>
  <c r="O909" i="1"/>
  <c r="O895" i="1"/>
  <c r="O912" i="1"/>
  <c r="N891" i="1"/>
  <c r="N897" i="1"/>
  <c r="N894" i="1"/>
  <c r="N881" i="1"/>
  <c r="N896" i="1"/>
  <c r="N901" i="1"/>
  <c r="N899" i="1"/>
  <c r="N900" i="1"/>
  <c r="N893" i="1"/>
  <c r="N907" i="1"/>
  <c r="N908" i="1"/>
  <c r="N898" i="1"/>
  <c r="N904" i="1"/>
  <c r="N906" i="1"/>
  <c r="N892" i="1"/>
  <c r="N903" i="1"/>
  <c r="N902" i="1"/>
  <c r="N909" i="1"/>
  <c r="N895" i="1"/>
  <c r="N912" i="1"/>
  <c r="M891" i="1"/>
  <c r="M897" i="1"/>
  <c r="M894" i="1"/>
  <c r="M881" i="1"/>
  <c r="M896" i="1"/>
  <c r="M901" i="1"/>
  <c r="M899" i="1"/>
  <c r="M900" i="1"/>
  <c r="M893" i="1"/>
  <c r="M907" i="1"/>
  <c r="M908" i="1"/>
  <c r="M898" i="1"/>
  <c r="M904" i="1"/>
  <c r="M906" i="1"/>
  <c r="M892" i="1"/>
  <c r="M903" i="1"/>
  <c r="M902" i="1"/>
  <c r="M909" i="1"/>
  <c r="M895" i="1"/>
  <c r="M912" i="1"/>
  <c r="S879" i="1"/>
  <c r="S880" i="1"/>
  <c r="S882" i="1"/>
  <c r="S887" i="1"/>
  <c r="S889" i="1"/>
  <c r="S890" i="1"/>
  <c r="R879" i="1"/>
  <c r="R880" i="1"/>
  <c r="R882" i="1"/>
  <c r="R887" i="1"/>
  <c r="R889" i="1"/>
  <c r="R890" i="1"/>
  <c r="Q879" i="1"/>
  <c r="Q880" i="1"/>
  <c r="Q882" i="1"/>
  <c r="Q887" i="1"/>
  <c r="Q889" i="1"/>
  <c r="Q890" i="1"/>
  <c r="P879" i="1"/>
  <c r="P880" i="1"/>
  <c r="P882" i="1"/>
  <c r="P887" i="1"/>
  <c r="P889" i="1"/>
  <c r="P890" i="1"/>
  <c r="O879" i="1"/>
  <c r="O880" i="1"/>
  <c r="O882" i="1"/>
  <c r="O887" i="1"/>
  <c r="O889" i="1"/>
  <c r="O890" i="1"/>
  <c r="N879" i="1"/>
  <c r="N880" i="1"/>
  <c r="N882" i="1"/>
  <c r="N887" i="1"/>
  <c r="N889" i="1"/>
  <c r="N890" i="1"/>
  <c r="M879" i="1"/>
  <c r="M880" i="1"/>
  <c r="M882" i="1"/>
  <c r="M887" i="1"/>
  <c r="M889" i="1"/>
  <c r="M890" i="1"/>
  <c r="D882" i="1" a="1"/>
  <c r="D864" i="1" a="1"/>
  <c r="D858" i="1" a="1"/>
  <c r="D896" i="1" a="1"/>
  <c r="D909" i="1" a="1"/>
  <c r="D852" i="1" a="1"/>
  <c r="D891" i="1" a="1"/>
  <c r="D866" i="1" a="1"/>
  <c r="D901" i="1" a="1"/>
  <c r="D879" i="1" a="1"/>
  <c r="D889" i="1" a="1"/>
  <c r="D881" i="1" a="1"/>
  <c r="D895" i="1" a="1"/>
  <c r="D892" i="1" a="1"/>
  <c r="D908" i="1" a="1"/>
  <c r="D863" i="1" a="1"/>
  <c r="D906" i="1" a="1"/>
  <c r="D893" i="1" a="1"/>
  <c r="D880" i="1" a="1"/>
  <c r="D897" i="1" a="1"/>
  <c r="D898" i="1" a="1"/>
  <c r="D887" i="1" a="1"/>
  <c r="D902" i="1" a="1"/>
  <c r="D904" i="1" a="1"/>
  <c r="D899" i="1" a="1"/>
  <c r="D903" i="1" a="1"/>
  <c r="D890" i="1" a="1"/>
  <c r="D894" i="1" a="1"/>
  <c r="D900" i="1" a="1"/>
  <c r="D907" i="1" a="1"/>
  <c r="D865" i="1" a="1"/>
  <c r="D640" i="23" l="1"/>
  <c r="D641" i="23" s="1"/>
  <c r="D642" i="23" s="1"/>
  <c r="D643" i="23" s="1"/>
  <c r="D644" i="23" s="1"/>
  <c r="D645" i="23" s="1"/>
  <c r="D646" i="23" s="1"/>
  <c r="D647" i="23" s="1"/>
  <c r="D648" i="23" s="1"/>
  <c r="D649" i="23" s="1"/>
  <c r="D650" i="23" s="1"/>
  <c r="D651" i="23" s="1"/>
  <c r="D652" i="23" s="1"/>
  <c r="D653" i="23" s="1"/>
  <c r="D692" i="23" s="1"/>
  <c r="D620" i="23"/>
  <c r="D621" i="23" s="1"/>
  <c r="D622" i="23" s="1"/>
  <c r="D623" i="23" s="1"/>
  <c r="D624" i="23" s="1"/>
  <c r="D625" i="23" s="1"/>
  <c r="D626" i="23" s="1"/>
  <c r="D627" i="23" s="1"/>
  <c r="D628" i="23" s="1"/>
  <c r="D629" i="23" s="1"/>
  <c r="D630" i="23" s="1"/>
  <c r="D631" i="23" s="1"/>
  <c r="D632" i="23" s="1"/>
  <c r="D633" i="23" s="1"/>
  <c r="D634" i="23" s="1"/>
  <c r="D635" i="23" s="1"/>
  <c r="D674" i="23" s="1"/>
  <c r="D675" i="23" s="1"/>
  <c r="D656" i="23"/>
  <c r="D657" i="23" s="1"/>
  <c r="D658" i="23" s="1"/>
  <c r="D659" i="23" s="1"/>
  <c r="D660" i="23" s="1"/>
  <c r="D661" i="23" s="1"/>
  <c r="D662" i="23" s="1"/>
  <c r="D663" i="23" s="1"/>
  <c r="D664" i="23" s="1"/>
  <c r="D665" i="23" s="1"/>
  <c r="D666" i="23" s="1"/>
  <c r="D667" i="23" s="1"/>
  <c r="D668" i="23" s="1"/>
  <c r="D669" i="23" s="1"/>
  <c r="D670" i="23" s="1"/>
  <c r="D671" i="23" s="1"/>
  <c r="S876" i="1"/>
  <c r="S877" i="1"/>
  <c r="S878" i="1"/>
  <c r="R876" i="1"/>
  <c r="R877" i="1"/>
  <c r="R878" i="1"/>
  <c r="Q876" i="1"/>
  <c r="Q877" i="1"/>
  <c r="Q878" i="1"/>
  <c r="P876" i="1"/>
  <c r="P877" i="1"/>
  <c r="P878" i="1"/>
  <c r="O876" i="1"/>
  <c r="O877" i="1"/>
  <c r="O878" i="1"/>
  <c r="N876" i="1"/>
  <c r="N877" i="1"/>
  <c r="N878" i="1"/>
  <c r="M878" i="1"/>
  <c r="D878" i="1" a="1"/>
  <c r="D676" i="23" l="1"/>
  <c r="D677" i="23" s="1"/>
  <c r="D678" i="23" s="1"/>
  <c r="M877" i="1"/>
  <c r="M876" i="1"/>
  <c r="S874" i="1"/>
  <c r="S875" i="1"/>
  <c r="S873" i="1"/>
  <c r="R874" i="1"/>
  <c r="R875" i="1"/>
  <c r="R873" i="1"/>
  <c r="Q874" i="1"/>
  <c r="Q875" i="1"/>
  <c r="Q873" i="1"/>
  <c r="P874" i="1"/>
  <c r="P875" i="1"/>
  <c r="P873" i="1"/>
  <c r="O875" i="1"/>
  <c r="O873" i="1"/>
  <c r="N875" i="1"/>
  <c r="N873" i="1"/>
  <c r="M875" i="1"/>
  <c r="M873" i="1"/>
  <c r="O874" i="1"/>
  <c r="N874" i="1"/>
  <c r="M874" i="1"/>
  <c r="D876" i="1" a="1"/>
  <c r="D877" i="1" a="1"/>
  <c r="D874" i="1" a="1"/>
  <c r="D873" i="1" a="1"/>
  <c r="D875" i="1" a="1"/>
  <c r="D679" i="23" l="1"/>
  <c r="D680" i="23" s="1"/>
  <c r="D681" i="23" s="1"/>
  <c r="D682" i="23" s="1"/>
  <c r="D683" i="23" s="1"/>
  <c r="S871" i="1"/>
  <c r="R871" i="1"/>
  <c r="Q871" i="1"/>
  <c r="P871" i="1"/>
  <c r="O871" i="1"/>
  <c r="N871" i="1"/>
  <c r="M871" i="1"/>
  <c r="S872" i="1"/>
  <c r="R872" i="1"/>
  <c r="Q872" i="1"/>
  <c r="P872" i="1"/>
  <c r="O872" i="1"/>
  <c r="N872" i="1"/>
  <c r="M872" i="1"/>
  <c r="Q870" i="1"/>
  <c r="S870" i="1"/>
  <c r="R870" i="1"/>
  <c r="P870" i="1"/>
  <c r="O870" i="1"/>
  <c r="N870" i="1"/>
  <c r="M870" i="1"/>
  <c r="Q868" i="1"/>
  <c r="Q869" i="1"/>
  <c r="S868" i="1"/>
  <c r="S869" i="1"/>
  <c r="R867" i="1"/>
  <c r="R868" i="1"/>
  <c r="R869" i="1"/>
  <c r="P868" i="1"/>
  <c r="P869" i="1"/>
  <c r="O868" i="1"/>
  <c r="O869" i="1"/>
  <c r="N868" i="1"/>
  <c r="N869" i="1"/>
  <c r="N867" i="1"/>
  <c r="M868" i="1"/>
  <c r="M869" i="1"/>
  <c r="S867" i="1"/>
  <c r="Q867" i="1"/>
  <c r="P867" i="1"/>
  <c r="O867" i="1"/>
  <c r="M867" i="1"/>
  <c r="S857" i="1"/>
  <c r="R857" i="1"/>
  <c r="Q857" i="1"/>
  <c r="P857" i="1"/>
  <c r="O857" i="1"/>
  <c r="N857" i="1"/>
  <c r="M857" i="1"/>
  <c r="S859" i="1"/>
  <c r="Q859" i="1"/>
  <c r="R859" i="1"/>
  <c r="P859" i="1"/>
  <c r="O859" i="1"/>
  <c r="N859" i="1"/>
  <c r="M859" i="1"/>
  <c r="S860" i="1"/>
  <c r="R860" i="1"/>
  <c r="Q860" i="1"/>
  <c r="P860" i="1"/>
  <c r="O860" i="1"/>
  <c r="N860" i="1"/>
  <c r="M860" i="1"/>
  <c r="S861" i="1"/>
  <c r="R861" i="1"/>
  <c r="Q861" i="1"/>
  <c r="P861" i="1"/>
  <c r="O861" i="1"/>
  <c r="N861" i="1"/>
  <c r="M861" i="1"/>
  <c r="S862" i="1"/>
  <c r="R862" i="1"/>
  <c r="Q862" i="1"/>
  <c r="P862" i="1"/>
  <c r="O862" i="1"/>
  <c r="N862" i="1"/>
  <c r="M862" i="1"/>
  <c r="S856" i="1"/>
  <c r="R856" i="1"/>
  <c r="Q856" i="1"/>
  <c r="P856" i="1"/>
  <c r="O856" i="1"/>
  <c r="N856" i="1"/>
  <c r="M856" i="1"/>
  <c r="S855" i="1"/>
  <c r="Q855" i="1"/>
  <c r="R855" i="1"/>
  <c r="P855" i="1"/>
  <c r="O855" i="1"/>
  <c r="N855" i="1"/>
  <c r="M855" i="1"/>
  <c r="S854" i="1"/>
  <c r="R854" i="1"/>
  <c r="Q854" i="1"/>
  <c r="P854" i="1"/>
  <c r="O854" i="1"/>
  <c r="N854" i="1"/>
  <c r="M854" i="1"/>
  <c r="M865" i="1"/>
  <c r="N865" i="1"/>
  <c r="S866" i="1"/>
  <c r="S865" i="1"/>
  <c r="R866" i="1"/>
  <c r="R865" i="1"/>
  <c r="O865" i="1"/>
  <c r="P865" i="1"/>
  <c r="Q866" i="1"/>
  <c r="Q865" i="1"/>
  <c r="P866" i="1"/>
  <c r="O866" i="1"/>
  <c r="N866" i="1"/>
  <c r="M866" i="1"/>
  <c r="Q864" i="1"/>
  <c r="Q863" i="1"/>
  <c r="R864" i="1"/>
  <c r="R863" i="1"/>
  <c r="S864" i="1"/>
  <c r="S863" i="1"/>
  <c r="P864" i="1"/>
  <c r="P863" i="1"/>
  <c r="O864" i="1"/>
  <c r="O863" i="1"/>
  <c r="N864" i="1"/>
  <c r="N863" i="1"/>
  <c r="M864" i="1"/>
  <c r="M863" i="1"/>
  <c r="D869" i="1" a="1"/>
  <c r="D870" i="1" a="1"/>
  <c r="D857" i="1" a="1"/>
  <c r="D872" i="1" a="1"/>
  <c r="D867" i="1" a="1"/>
  <c r="D854" i="1" a="1"/>
  <c r="D861" i="1" a="1"/>
  <c r="D871" i="1" a="1"/>
  <c r="D855" i="1" a="1"/>
  <c r="D856" i="1" a="1"/>
  <c r="D862" i="1" a="1"/>
  <c r="D868" i="1" a="1"/>
  <c r="D860" i="1" a="1"/>
  <c r="D859" i="1" a="1"/>
  <c r="D684" i="23" l="1"/>
  <c r="D685" i="23" s="1"/>
  <c r="D686" i="23" s="1"/>
  <c r="D687" i="23" s="1"/>
  <c r="D688" i="23" s="1"/>
  <c r="D689" i="23" s="1"/>
  <c r="D693" i="23" s="1"/>
  <c r="D694" i="23" s="1"/>
  <c r="D695" i="23" s="1"/>
  <c r="D696" i="23" s="1"/>
  <c r="D697" i="23" s="1"/>
  <c r="D698" i="23" s="1"/>
  <c r="D699" i="23" s="1"/>
  <c r="S852" i="1"/>
  <c r="R852" i="1"/>
  <c r="Q852" i="1"/>
  <c r="P852" i="1"/>
  <c r="O852" i="1"/>
  <c r="N852" i="1"/>
  <c r="M852" i="1"/>
  <c r="D700" i="23" l="1"/>
  <c r="D701" i="23" s="1"/>
  <c r="D702" i="23" s="1"/>
  <c r="D703" i="23" s="1"/>
  <c r="D704" i="23" s="1"/>
  <c r="D705" i="23" s="1"/>
  <c r="D706" i="23" s="1"/>
  <c r="D707" i="23" s="1"/>
  <c r="D710" i="23" s="1"/>
  <c r="M858" i="1"/>
  <c r="N858" i="1"/>
  <c r="O858" i="1"/>
  <c r="P858" i="1"/>
  <c r="Q858" i="1"/>
  <c r="R858" i="1"/>
  <c r="S858" i="1"/>
  <c r="W637" i="23" l="1"/>
  <c r="X637" i="23"/>
  <c r="D711" i="23"/>
  <c r="S847" i="1"/>
  <c r="R847" i="1"/>
  <c r="Q847" i="1"/>
  <c r="P847" i="1"/>
  <c r="O847" i="1"/>
  <c r="N847" i="1"/>
  <c r="M847" i="1"/>
  <c r="S848" i="1"/>
  <c r="R848" i="1"/>
  <c r="Q848" i="1"/>
  <c r="P848" i="1"/>
  <c r="O848" i="1"/>
  <c r="N848" i="1"/>
  <c r="M848" i="1"/>
  <c r="S851" i="1"/>
  <c r="R851" i="1"/>
  <c r="Q851" i="1"/>
  <c r="P851" i="1"/>
  <c r="O851" i="1"/>
  <c r="N851" i="1"/>
  <c r="M851" i="1"/>
  <c r="S853" i="1"/>
  <c r="R853" i="1"/>
  <c r="Q853" i="1"/>
  <c r="P853" i="1"/>
  <c r="O853" i="1"/>
  <c r="N853" i="1"/>
  <c r="M853" i="1"/>
  <c r="S849" i="1"/>
  <c r="R849" i="1"/>
  <c r="Q849" i="1"/>
  <c r="P849" i="1"/>
  <c r="O849" i="1"/>
  <c r="N849" i="1"/>
  <c r="M849" i="1"/>
  <c r="S850" i="1"/>
  <c r="R850" i="1"/>
  <c r="Q850" i="1"/>
  <c r="P850" i="1"/>
  <c r="O850" i="1"/>
  <c r="N850" i="1"/>
  <c r="M850" i="1"/>
  <c r="M845" i="1"/>
  <c r="N845" i="1"/>
  <c r="O845" i="1"/>
  <c r="P845" i="1"/>
  <c r="Q845" i="1"/>
  <c r="R845" i="1"/>
  <c r="S845" i="1"/>
  <c r="M846" i="1"/>
  <c r="N846" i="1"/>
  <c r="O846" i="1"/>
  <c r="P846" i="1"/>
  <c r="Q846" i="1"/>
  <c r="R846" i="1"/>
  <c r="S846" i="1"/>
  <c r="D848" i="1" a="1"/>
  <c r="D847" i="1" a="1"/>
  <c r="D846" i="1" a="1"/>
  <c r="D850" i="1" a="1"/>
  <c r="D851" i="1" a="1"/>
  <c r="D845" i="1" a="1"/>
  <c r="D849" i="1" a="1"/>
  <c r="D853" i="1" a="1"/>
  <c r="D712" i="23" l="1"/>
  <c r="D713" i="23" s="1"/>
  <c r="D714" i="23" s="1"/>
  <c r="D715" i="23"/>
  <c r="D716" i="23" s="1"/>
  <c r="D717" i="23" s="1"/>
  <c r="D2071" i="21"/>
  <c r="D2072" i="21" s="1"/>
  <c r="D2073" i="21" s="1"/>
  <c r="D2074" i="21" s="1"/>
  <c r="D2075" i="21" s="1"/>
  <c r="D2076" i="21" s="1"/>
  <c r="D2077" i="21" s="1"/>
  <c r="D2078" i="21" s="1"/>
  <c r="D2079" i="21" s="1"/>
  <c r="D2080" i="21" s="1"/>
  <c r="D2081" i="21" s="1"/>
  <c r="D2082" i="21" s="1"/>
  <c r="D2083" i="21" s="1"/>
  <c r="D2084" i="21" s="1"/>
  <c r="D2085" i="21" s="1"/>
  <c r="D2087" i="21" s="1"/>
  <c r="D2088" i="21" s="1"/>
  <c r="D2089" i="21" s="1"/>
  <c r="D2090" i="21" s="1"/>
  <c r="D2091" i="21" s="1"/>
  <c r="D2092" i="21" s="1"/>
  <c r="D2093" i="21" s="1"/>
  <c r="D2094" i="21" s="1"/>
  <c r="D2095" i="21" s="1"/>
  <c r="D2096" i="21" s="1"/>
  <c r="D2097" i="21" s="1"/>
  <c r="D2098" i="21" s="1"/>
  <c r="D2099" i="21" s="1"/>
  <c r="D2100" i="21" s="1"/>
  <c r="D2101" i="21" s="1"/>
  <c r="D2102" i="21" s="1"/>
  <c r="D2104" i="21" s="1"/>
  <c r="D2105" i="21" s="1"/>
  <c r="D2106" i="21" s="1"/>
  <c r="D2107" i="21" s="1"/>
  <c r="D2108" i="21" s="1"/>
  <c r="D2109" i="21" s="1"/>
  <c r="D2110" i="21" s="1"/>
  <c r="D2111" i="21" s="1"/>
  <c r="D2112" i="21" s="1"/>
  <c r="D2113" i="21" s="1"/>
  <c r="D2114" i="21" s="1"/>
  <c r="D2115" i="21" s="1"/>
  <c r="D2116" i="21" s="1"/>
  <c r="D2117" i="21" s="1"/>
  <c r="D2118" i="21" s="1"/>
  <c r="D2119" i="21" s="1"/>
  <c r="D2121" i="21" s="1"/>
  <c r="D2122" i="21" s="1"/>
  <c r="D2123" i="21" s="1"/>
  <c r="D2124" i="21" s="1"/>
  <c r="D2125" i="21" s="1"/>
  <c r="D2126" i="21" s="1"/>
  <c r="D2127" i="21" s="1"/>
  <c r="D2128" i="21" s="1"/>
  <c r="D2129" i="21" s="1"/>
  <c r="D2130" i="21" s="1"/>
  <c r="D2131" i="21" s="1"/>
  <c r="D2132" i="21" s="1"/>
  <c r="D2133" i="21" s="1"/>
  <c r="D2134" i="21" s="1"/>
  <c r="D2135" i="21" s="1"/>
  <c r="D2136" i="21" s="1"/>
  <c r="D2138" i="21" s="1"/>
  <c r="D2139" i="21" s="1"/>
  <c r="D2140" i="21" s="1"/>
  <c r="D2141" i="21" s="1"/>
  <c r="D2142" i="21" s="1"/>
  <c r="D2143" i="21" s="1"/>
  <c r="D2144" i="21" s="1"/>
  <c r="D2145" i="21" s="1"/>
  <c r="D2146" i="21" s="1"/>
  <c r="D2147" i="21" s="1"/>
  <c r="D2148" i="21" s="1"/>
  <c r="D2149" i="21" s="1"/>
  <c r="D2150" i="21" s="1"/>
  <c r="D2151" i="21" s="1"/>
  <c r="D2152" i="21" s="1"/>
  <c r="D2153" i="21" s="1"/>
  <c r="D718" i="23" l="1"/>
  <c r="D719" i="23" s="1"/>
  <c r="D720" i="23" s="1"/>
  <c r="D721" i="23" s="1"/>
  <c r="D722" i="23" s="1"/>
  <c r="D723" i="23" s="1"/>
  <c r="D724" i="23" s="1"/>
  <c r="D725" i="23" s="1"/>
  <c r="D728" i="23" s="1"/>
  <c r="D729" i="23" s="1"/>
  <c r="D730" i="23" s="1"/>
  <c r="D731" i="23" s="1"/>
  <c r="D732" i="23" s="1"/>
  <c r="D733" i="23" s="1"/>
  <c r="D734" i="23" s="1"/>
  <c r="D735" i="23" s="1"/>
  <c r="D736" i="23" s="1"/>
  <c r="D737" i="23" s="1"/>
  <c r="D738" i="23" s="1"/>
  <c r="D739" i="23" s="1"/>
  <c r="D740" i="23" s="1"/>
  <c r="D741" i="23" s="1"/>
  <c r="D742" i="23" s="1"/>
  <c r="D743" i="23" s="1"/>
  <c r="D746" i="23" s="1"/>
  <c r="D747" i="23" s="1"/>
  <c r="D748" i="23" s="1"/>
  <c r="D749" i="23" s="1"/>
  <c r="D750" i="23" s="1"/>
  <c r="D751" i="23" s="1"/>
  <c r="D752" i="23" s="1"/>
  <c r="D753" i="23" s="1"/>
  <c r="D754" i="23" s="1"/>
  <c r="D755" i="23" s="1"/>
  <c r="D756" i="23" s="1"/>
  <c r="D757" i="23" s="1"/>
  <c r="D758" i="23" s="1"/>
  <c r="D759" i="23" s="1"/>
  <c r="D760" i="23" s="1"/>
  <c r="D761" i="23" s="1"/>
  <c r="D764" i="23" s="1"/>
  <c r="D765" i="23" s="1"/>
  <c r="D766" i="23" s="1"/>
  <c r="D767" i="23" s="1"/>
  <c r="D768" i="23" s="1"/>
  <c r="D769" i="23" s="1"/>
  <c r="D770" i="23" s="1"/>
  <c r="D771" i="23" s="1"/>
  <c r="D772" i="23" s="1"/>
  <c r="D773" i="23" s="1"/>
  <c r="D774" i="23" s="1"/>
  <c r="D775" i="23" s="1"/>
  <c r="D776" i="23" s="1"/>
  <c r="D777" i="23" s="1"/>
  <c r="D778" i="23" s="1"/>
  <c r="D779" i="23" s="1"/>
  <c r="D782" i="23" s="1"/>
  <c r="D783" i="23" s="1"/>
  <c r="M844" i="1"/>
  <c r="N844" i="1"/>
  <c r="O844" i="1"/>
  <c r="P844" i="1"/>
  <c r="Q844" i="1"/>
  <c r="R844" i="1"/>
  <c r="S844" i="1"/>
  <c r="M842" i="1"/>
  <c r="N842" i="1"/>
  <c r="O842" i="1"/>
  <c r="P842" i="1"/>
  <c r="Q842" i="1"/>
  <c r="R842" i="1"/>
  <c r="S842" i="1"/>
  <c r="M843" i="1"/>
  <c r="N843" i="1"/>
  <c r="O843" i="1"/>
  <c r="P843" i="1"/>
  <c r="Q843" i="1"/>
  <c r="R843" i="1"/>
  <c r="S843" i="1"/>
  <c r="M817" i="1"/>
  <c r="N817" i="1"/>
  <c r="O817" i="1"/>
  <c r="P817" i="1"/>
  <c r="Q817" i="1"/>
  <c r="R817" i="1"/>
  <c r="S817" i="1"/>
  <c r="S841" i="1"/>
  <c r="R841" i="1"/>
  <c r="Q841" i="1"/>
  <c r="P841" i="1"/>
  <c r="O841" i="1"/>
  <c r="N841" i="1"/>
  <c r="M841" i="1"/>
  <c r="S837" i="1"/>
  <c r="R837" i="1"/>
  <c r="Q837" i="1"/>
  <c r="P837" i="1"/>
  <c r="O837" i="1"/>
  <c r="N837" i="1"/>
  <c r="M837" i="1"/>
  <c r="S839" i="1"/>
  <c r="R839" i="1"/>
  <c r="Q839" i="1"/>
  <c r="P839" i="1"/>
  <c r="O839" i="1"/>
  <c r="N839" i="1"/>
  <c r="M839" i="1"/>
  <c r="S838" i="1"/>
  <c r="R838" i="1"/>
  <c r="Q838" i="1"/>
  <c r="P838" i="1"/>
  <c r="O838" i="1"/>
  <c r="N838" i="1"/>
  <c r="M838" i="1"/>
  <c r="S840" i="1"/>
  <c r="R840" i="1"/>
  <c r="Q840" i="1"/>
  <c r="P840" i="1"/>
  <c r="O840" i="1"/>
  <c r="N840" i="1"/>
  <c r="M840" i="1"/>
  <c r="M834" i="1"/>
  <c r="N834" i="1"/>
  <c r="O834" i="1"/>
  <c r="P834" i="1"/>
  <c r="Q834" i="1"/>
  <c r="R834" i="1"/>
  <c r="S834" i="1"/>
  <c r="M833" i="1"/>
  <c r="N833" i="1"/>
  <c r="O833" i="1"/>
  <c r="P833" i="1"/>
  <c r="Q833" i="1"/>
  <c r="R833" i="1"/>
  <c r="S833" i="1"/>
  <c r="M835" i="1"/>
  <c r="N835" i="1"/>
  <c r="O835" i="1"/>
  <c r="P835" i="1"/>
  <c r="Q835" i="1"/>
  <c r="R835" i="1"/>
  <c r="S835" i="1"/>
  <c r="M836" i="1"/>
  <c r="N836" i="1"/>
  <c r="O836" i="1"/>
  <c r="P836" i="1"/>
  <c r="Q836" i="1"/>
  <c r="R836" i="1"/>
  <c r="S836" i="1"/>
  <c r="S831" i="1"/>
  <c r="R831" i="1"/>
  <c r="Q831" i="1"/>
  <c r="P831" i="1"/>
  <c r="O831" i="1"/>
  <c r="N831" i="1"/>
  <c r="M831" i="1"/>
  <c r="S832" i="1"/>
  <c r="R832" i="1"/>
  <c r="Q832" i="1"/>
  <c r="P832" i="1"/>
  <c r="O832" i="1"/>
  <c r="N832" i="1"/>
  <c r="M832" i="1"/>
  <c r="S829" i="1"/>
  <c r="R829" i="1"/>
  <c r="Q829" i="1"/>
  <c r="P829" i="1"/>
  <c r="O829" i="1"/>
  <c r="N829" i="1"/>
  <c r="M829" i="1"/>
  <c r="S830" i="1"/>
  <c r="R830" i="1"/>
  <c r="Q830" i="1"/>
  <c r="P830" i="1"/>
  <c r="O830" i="1"/>
  <c r="N830" i="1"/>
  <c r="M830" i="1"/>
  <c r="S803" i="1"/>
  <c r="R803" i="1"/>
  <c r="Q803" i="1"/>
  <c r="P803" i="1"/>
  <c r="O803" i="1"/>
  <c r="N803" i="1"/>
  <c r="M803" i="1"/>
  <c r="D1986" i="21"/>
  <c r="D1987" i="21" s="1"/>
  <c r="D1988" i="21" s="1"/>
  <c r="D1989" i="21" s="1"/>
  <c r="D1990" i="21" s="1"/>
  <c r="D1991" i="21" s="1"/>
  <c r="D1992" i="21" s="1"/>
  <c r="D1993" i="21" s="1"/>
  <c r="D1994" i="21" s="1"/>
  <c r="D1995" i="21" s="1"/>
  <c r="D1996" i="21" s="1"/>
  <c r="D1997" i="21" s="1"/>
  <c r="D1998" i="21" s="1"/>
  <c r="D1999" i="21" s="1"/>
  <c r="D2000" i="21" s="1"/>
  <c r="D2002" i="21" s="1"/>
  <c r="D2003" i="21" s="1"/>
  <c r="D2004" i="21" s="1"/>
  <c r="D2005" i="21" s="1"/>
  <c r="D2006" i="21" s="1"/>
  <c r="D2007" i="21" s="1"/>
  <c r="D2008" i="21" s="1"/>
  <c r="D2009" i="21" s="1"/>
  <c r="D2010" i="21" s="1"/>
  <c r="D2011" i="21" s="1"/>
  <c r="D2012" i="21" s="1"/>
  <c r="D2013" i="21" s="1"/>
  <c r="D2014" i="21" s="1"/>
  <c r="D2015" i="21" s="1"/>
  <c r="D2016" i="21" s="1"/>
  <c r="D2017" i="21" s="1"/>
  <c r="D2019" i="21" s="1"/>
  <c r="D2020" i="21" s="1"/>
  <c r="D2021" i="21" s="1"/>
  <c r="D2022" i="21" s="1"/>
  <c r="D2023" i="21" s="1"/>
  <c r="D2024" i="21" s="1"/>
  <c r="D2025" i="21" s="1"/>
  <c r="D2026" i="21" s="1"/>
  <c r="D2027" i="21" s="1"/>
  <c r="D2028" i="21" s="1"/>
  <c r="D2029" i="21" s="1"/>
  <c r="D2030" i="21" s="1"/>
  <c r="D2031" i="21" s="1"/>
  <c r="D2032" i="21" s="1"/>
  <c r="D2033" i="21" s="1"/>
  <c r="D2034" i="21" s="1"/>
  <c r="D2036" i="21" s="1"/>
  <c r="D2037" i="21" s="1"/>
  <c r="D2038" i="21" s="1"/>
  <c r="D2039" i="21" s="1"/>
  <c r="D2040" i="21" s="1"/>
  <c r="D2041" i="21" s="1"/>
  <c r="D2042" i="21" s="1"/>
  <c r="D2043" i="21" s="1"/>
  <c r="D2044" i="21" s="1"/>
  <c r="D2045" i="21" s="1"/>
  <c r="D2046" i="21" s="1"/>
  <c r="D2047" i="21" s="1"/>
  <c r="D2048" i="21" s="1"/>
  <c r="D2049" i="21" s="1"/>
  <c r="D2050" i="21" s="1"/>
  <c r="D2051" i="21" s="1"/>
  <c r="D2053" i="21" s="1"/>
  <c r="D2054" i="21" s="1"/>
  <c r="D2055" i="21" s="1"/>
  <c r="D2056" i="21" s="1"/>
  <c r="D2057" i="21" s="1"/>
  <c r="D2058" i="21" s="1"/>
  <c r="D2059" i="21" s="1"/>
  <c r="D2060" i="21" s="1"/>
  <c r="D2061" i="21" s="1"/>
  <c r="D2062" i="21" s="1"/>
  <c r="D2063" i="21" s="1"/>
  <c r="D2064" i="21" s="1"/>
  <c r="D2065" i="21" s="1"/>
  <c r="D2066" i="21" s="1"/>
  <c r="D2067" i="21" s="1"/>
  <c r="D2068" i="21" s="1"/>
  <c r="S808" i="1"/>
  <c r="R808" i="1"/>
  <c r="Q808" i="1"/>
  <c r="P808" i="1"/>
  <c r="O808" i="1"/>
  <c r="N808" i="1"/>
  <c r="M808" i="1"/>
  <c r="M827" i="1"/>
  <c r="N827" i="1"/>
  <c r="O827" i="1"/>
  <c r="P827" i="1"/>
  <c r="Q827" i="1"/>
  <c r="R827" i="1"/>
  <c r="S827" i="1"/>
  <c r="M822" i="1"/>
  <c r="N822" i="1"/>
  <c r="O822" i="1"/>
  <c r="P822" i="1"/>
  <c r="Q822" i="1"/>
  <c r="R822" i="1"/>
  <c r="S822" i="1"/>
  <c r="M823" i="1"/>
  <c r="N823" i="1"/>
  <c r="O823" i="1"/>
  <c r="P823" i="1"/>
  <c r="Q823" i="1"/>
  <c r="R823" i="1"/>
  <c r="S823" i="1"/>
  <c r="M826" i="1"/>
  <c r="M824" i="1"/>
  <c r="M825" i="1"/>
  <c r="N826" i="1"/>
  <c r="N824" i="1"/>
  <c r="N825" i="1"/>
  <c r="O826" i="1"/>
  <c r="O824" i="1"/>
  <c r="O825" i="1"/>
  <c r="P826" i="1"/>
  <c r="P824" i="1"/>
  <c r="P825" i="1"/>
  <c r="Q826" i="1"/>
  <c r="Q824" i="1"/>
  <c r="Q825" i="1"/>
  <c r="R826" i="1"/>
  <c r="R824" i="1"/>
  <c r="R825" i="1"/>
  <c r="S826" i="1"/>
  <c r="S824" i="1"/>
  <c r="S825" i="1"/>
  <c r="M828" i="1"/>
  <c r="N828" i="1"/>
  <c r="O828" i="1"/>
  <c r="P828" i="1"/>
  <c r="Q828" i="1"/>
  <c r="R828" i="1"/>
  <c r="S828" i="1"/>
  <c r="S805" i="1"/>
  <c r="R805" i="1"/>
  <c r="Q805" i="1"/>
  <c r="P805" i="1"/>
  <c r="O805" i="1"/>
  <c r="N805" i="1"/>
  <c r="M805" i="1"/>
  <c r="D843" i="1" a="1"/>
  <c r="D830" i="1" a="1"/>
  <c r="D822" i="1" a="1"/>
  <c r="D829" i="1" a="1"/>
  <c r="D823" i="1" a="1"/>
  <c r="D842" i="1" a="1"/>
  <c r="D808" i="1" a="1"/>
  <c r="D839" i="1" a="1"/>
  <c r="D828" i="1" a="1"/>
  <c r="D805" i="1" a="1"/>
  <c r="D825" i="1" a="1"/>
  <c r="D841" i="1" a="1"/>
  <c r="D835" i="1" a="1"/>
  <c r="D838" i="1" a="1"/>
  <c r="D826" i="1" a="1"/>
  <c r="D817" i="1" a="1"/>
  <c r="D834" i="1" a="1"/>
  <c r="D844" i="1" a="1"/>
  <c r="D824" i="1" a="1"/>
  <c r="D827" i="1" a="1"/>
  <c r="D832" i="1" a="1"/>
  <c r="D803" i="1" a="1"/>
  <c r="D836" i="1" a="1"/>
  <c r="D831" i="1" a="1"/>
  <c r="D840" i="1" a="1"/>
  <c r="D837" i="1" a="1"/>
  <c r="D833" i="1" a="1"/>
  <c r="D784" i="23" l="1"/>
  <c r="D785" i="23" s="1"/>
  <c r="M819" i="1"/>
  <c r="N819" i="1"/>
  <c r="O819" i="1"/>
  <c r="P819" i="1"/>
  <c r="Q819" i="1"/>
  <c r="R819" i="1"/>
  <c r="S819" i="1"/>
  <c r="M820" i="1"/>
  <c r="N820" i="1"/>
  <c r="O820" i="1"/>
  <c r="P820" i="1"/>
  <c r="Q820" i="1"/>
  <c r="R820" i="1"/>
  <c r="S820" i="1"/>
  <c r="M821" i="1"/>
  <c r="N821" i="1"/>
  <c r="O821" i="1"/>
  <c r="P821" i="1"/>
  <c r="Q821" i="1"/>
  <c r="R821" i="1"/>
  <c r="S821" i="1"/>
  <c r="S818" i="1"/>
  <c r="R818" i="1"/>
  <c r="Q818" i="1"/>
  <c r="P818" i="1"/>
  <c r="O818" i="1"/>
  <c r="N818" i="1"/>
  <c r="M818" i="1"/>
  <c r="S816" i="1"/>
  <c r="R816" i="1"/>
  <c r="Q816" i="1"/>
  <c r="P816" i="1"/>
  <c r="O816" i="1"/>
  <c r="N816" i="1"/>
  <c r="M816" i="1"/>
  <c r="S815" i="1"/>
  <c r="R815" i="1"/>
  <c r="Q815" i="1"/>
  <c r="P815" i="1"/>
  <c r="O815" i="1"/>
  <c r="N815" i="1"/>
  <c r="M815" i="1"/>
  <c r="M814" i="1"/>
  <c r="N814" i="1"/>
  <c r="O814" i="1"/>
  <c r="P814" i="1"/>
  <c r="Q814" i="1"/>
  <c r="R814" i="1"/>
  <c r="S814" i="1"/>
  <c r="S811" i="1"/>
  <c r="R811" i="1"/>
  <c r="Q811" i="1"/>
  <c r="P811" i="1"/>
  <c r="O811" i="1"/>
  <c r="N811" i="1"/>
  <c r="M811" i="1"/>
  <c r="S807" i="1"/>
  <c r="R807" i="1"/>
  <c r="Q807" i="1"/>
  <c r="P807" i="1"/>
  <c r="O807" i="1"/>
  <c r="N807" i="1"/>
  <c r="M807" i="1"/>
  <c r="D807" i="1" a="1"/>
  <c r="D815" i="1" a="1"/>
  <c r="D821" i="1" a="1"/>
  <c r="D819" i="1" a="1"/>
  <c r="D820" i="1" a="1"/>
  <c r="D818" i="1" a="1"/>
  <c r="D811" i="1" a="1"/>
  <c r="D816" i="1" a="1"/>
  <c r="D814" i="1" a="1"/>
  <c r="D786" i="23" l="1"/>
  <c r="D787" i="23" s="1"/>
  <c r="D788" i="23" s="1"/>
  <c r="D789" i="23" s="1"/>
  <c r="S802" i="1"/>
  <c r="R802" i="1"/>
  <c r="Q802" i="1"/>
  <c r="Q809" i="1"/>
  <c r="Q813" i="1"/>
  <c r="Q810" i="1"/>
  <c r="S809" i="1"/>
  <c r="S813" i="1"/>
  <c r="S810" i="1"/>
  <c r="R809" i="1"/>
  <c r="R813" i="1"/>
  <c r="R810" i="1"/>
  <c r="P809" i="1"/>
  <c r="P813" i="1"/>
  <c r="P810" i="1"/>
  <c r="N809" i="1"/>
  <c r="N813" i="1"/>
  <c r="N810" i="1"/>
  <c r="O809" i="1"/>
  <c r="O813" i="1"/>
  <c r="O810" i="1"/>
  <c r="M809" i="1"/>
  <c r="M813" i="1"/>
  <c r="M810" i="1"/>
  <c r="D813" i="1" a="1"/>
  <c r="D810" i="1" a="1"/>
  <c r="D809" i="1" a="1"/>
  <c r="D790" i="23" l="1"/>
  <c r="D791" i="23" s="1"/>
  <c r="D792" i="23" s="1"/>
  <c r="D793" i="23" s="1"/>
  <c r="D794" i="23" s="1"/>
  <c r="D795" i="23" s="1"/>
  <c r="D796" i="23" s="1"/>
  <c r="D797" i="23" s="1"/>
  <c r="D800" i="23" s="1"/>
  <c r="D801" i="23" s="1"/>
  <c r="D802" i="23" s="1"/>
  <c r="D803" i="23" s="1"/>
  <c r="D804" i="23" s="1"/>
  <c r="D805" i="23" s="1"/>
  <c r="D806" i="23" s="1"/>
  <c r="D807" i="23" s="1"/>
  <c r="D1900" i="21"/>
  <c r="D1901" i="21" s="1"/>
  <c r="D1902" i="21" s="1"/>
  <c r="D1903" i="21" s="1"/>
  <c r="D1904" i="21" s="1"/>
  <c r="D1905" i="21" s="1"/>
  <c r="D1906" i="21" s="1"/>
  <c r="D1907" i="21" s="1"/>
  <c r="D1908" i="21" s="1"/>
  <c r="D1909" i="21" s="1"/>
  <c r="D1910" i="21" s="1"/>
  <c r="D1911" i="21" s="1"/>
  <c r="D1912" i="21" s="1"/>
  <c r="D1913" i="21" s="1"/>
  <c r="D1914" i="21" s="1"/>
  <c r="D1916" i="21" s="1"/>
  <c r="D1917" i="21" s="1"/>
  <c r="D1918" i="21" s="1"/>
  <c r="D1919" i="21" s="1"/>
  <c r="D1920" i="21" s="1"/>
  <c r="D1921" i="21" s="1"/>
  <c r="D1922" i="21" s="1"/>
  <c r="D1923" i="21" s="1"/>
  <c r="D1924" i="21" s="1"/>
  <c r="D1925" i="21" s="1"/>
  <c r="D1926" i="21" s="1"/>
  <c r="D1927" i="21" s="1"/>
  <c r="D1928" i="21" s="1"/>
  <c r="D1929" i="21" s="1"/>
  <c r="D1930" i="21" s="1"/>
  <c r="D1931" i="21" s="1"/>
  <c r="D1933" i="21" s="1"/>
  <c r="D1934" i="21" s="1"/>
  <c r="D1935" i="21" s="1"/>
  <c r="D1936" i="21" s="1"/>
  <c r="D1937" i="21" s="1"/>
  <c r="D1938" i="21" s="1"/>
  <c r="D1939" i="21" s="1"/>
  <c r="D1940" i="21" s="1"/>
  <c r="D1941" i="21" s="1"/>
  <c r="D1942" i="21" s="1"/>
  <c r="D1943" i="21" s="1"/>
  <c r="D1944" i="21" s="1"/>
  <c r="D1945" i="21" s="1"/>
  <c r="D1946" i="21" s="1"/>
  <c r="D1947" i="21" s="1"/>
  <c r="D1948" i="21" s="1"/>
  <c r="D1950" i="21" s="1"/>
  <c r="D1951" i="21" s="1"/>
  <c r="D1952" i="21" s="1"/>
  <c r="D1953" i="21" s="1"/>
  <c r="D1954" i="21" s="1"/>
  <c r="D1955" i="21" s="1"/>
  <c r="D1956" i="21" s="1"/>
  <c r="D1957" i="21" s="1"/>
  <c r="D1958" i="21" s="1"/>
  <c r="D1959" i="21" s="1"/>
  <c r="D1960" i="21" s="1"/>
  <c r="D1961" i="21" s="1"/>
  <c r="D1962" i="21" s="1"/>
  <c r="D1963" i="21" s="1"/>
  <c r="D1964" i="21" s="1"/>
  <c r="D1965" i="21" s="1"/>
  <c r="D1967" i="21" s="1"/>
  <c r="D1968" i="21" s="1"/>
  <c r="D1969" i="21" s="1"/>
  <c r="D1970" i="21" s="1"/>
  <c r="D1971" i="21" s="1"/>
  <c r="D1972" i="21" s="1"/>
  <c r="D1973" i="21" s="1"/>
  <c r="D1974" i="21" s="1"/>
  <c r="D1975" i="21" s="1"/>
  <c r="D1976" i="21" s="1"/>
  <c r="D1977" i="21" s="1"/>
  <c r="D1978" i="21" s="1"/>
  <c r="D1979" i="21" s="1"/>
  <c r="D1980" i="21" s="1"/>
  <c r="D1981" i="21" s="1"/>
  <c r="D1982" i="21" s="1"/>
  <c r="S812" i="1"/>
  <c r="R812" i="1"/>
  <c r="Q812" i="1"/>
  <c r="P812" i="1"/>
  <c r="O812" i="1"/>
  <c r="N812" i="1"/>
  <c r="M812" i="1"/>
  <c r="D812" i="1" a="1"/>
  <c r="D808" i="23" l="1"/>
  <c r="D809" i="23" s="1"/>
  <c r="D810" i="23" s="1"/>
  <c r="D811" i="23" s="1"/>
  <c r="D812" i="23" s="1"/>
  <c r="D813" i="23" s="1"/>
  <c r="D814" i="23" s="1"/>
  <c r="D815" i="23" s="1"/>
  <c r="D818" i="23" s="1"/>
  <c r="D819" i="23" s="1"/>
  <c r="P802" i="1"/>
  <c r="O802" i="1"/>
  <c r="N802" i="1"/>
  <c r="M802" i="1"/>
  <c r="S801" i="1"/>
  <c r="R801" i="1"/>
  <c r="Q801" i="1"/>
  <c r="P801" i="1"/>
  <c r="O801" i="1"/>
  <c r="N801" i="1"/>
  <c r="M801" i="1"/>
  <c r="S804" i="1"/>
  <c r="R804" i="1"/>
  <c r="Q804" i="1"/>
  <c r="P804" i="1"/>
  <c r="O804" i="1"/>
  <c r="N804" i="1"/>
  <c r="M804" i="1"/>
  <c r="S806" i="1"/>
  <c r="R806" i="1"/>
  <c r="Q806" i="1"/>
  <c r="P806" i="1"/>
  <c r="O806" i="1"/>
  <c r="N806" i="1"/>
  <c r="M806" i="1"/>
  <c r="D804" i="1" a="1"/>
  <c r="D806" i="1" a="1"/>
  <c r="D802" i="1" a="1"/>
  <c r="D801" i="1" a="1"/>
  <c r="D820" i="23" l="1"/>
  <c r="D821" i="23" s="1"/>
  <c r="D822" i="23" s="1"/>
  <c r="D823" i="23" s="1"/>
  <c r="D824" i="23" s="1"/>
  <c r="D825" i="23" s="1"/>
  <c r="D826" i="23" s="1"/>
  <c r="D827" i="23" s="1"/>
  <c r="D828" i="23" s="1"/>
  <c r="D829" i="23" s="1"/>
  <c r="D830" i="23" s="1"/>
  <c r="D831" i="23" s="1"/>
  <c r="D832" i="23" s="1"/>
  <c r="D833" i="23" s="1"/>
  <c r="D836" i="23" s="1"/>
  <c r="D837" i="23" s="1"/>
  <c r="D838" i="23" s="1"/>
  <c r="D839" i="23" s="1"/>
  <c r="D840" i="23" s="1"/>
  <c r="D841" i="23" s="1"/>
  <c r="D842" i="23" s="1"/>
  <c r="D843" i="23" s="1"/>
  <c r="S800" i="1"/>
  <c r="R800" i="1"/>
  <c r="Q800" i="1"/>
  <c r="P800" i="1"/>
  <c r="O800" i="1"/>
  <c r="N800" i="1"/>
  <c r="M800" i="1"/>
  <c r="Q786" i="1"/>
  <c r="Q797" i="1"/>
  <c r="Q798" i="1"/>
  <c r="Q796" i="1"/>
  <c r="Q795" i="1"/>
  <c r="Q794" i="1"/>
  <c r="R799" i="1"/>
  <c r="R786" i="1"/>
  <c r="R797" i="1"/>
  <c r="R798" i="1"/>
  <c r="R796" i="1"/>
  <c r="R795" i="1"/>
  <c r="R794" i="1"/>
  <c r="S794" i="1"/>
  <c r="P794" i="1"/>
  <c r="O794" i="1"/>
  <c r="N794" i="1"/>
  <c r="M794" i="1"/>
  <c r="S795" i="1"/>
  <c r="P795" i="1"/>
  <c r="O795" i="1"/>
  <c r="N795" i="1"/>
  <c r="S796" i="1"/>
  <c r="P796" i="1"/>
  <c r="O796" i="1"/>
  <c r="N796" i="1"/>
  <c r="M796" i="1"/>
  <c r="S798" i="1"/>
  <c r="P798" i="1"/>
  <c r="O798" i="1"/>
  <c r="N798" i="1"/>
  <c r="M798" i="1"/>
  <c r="S797" i="1"/>
  <c r="P797" i="1"/>
  <c r="O797" i="1"/>
  <c r="N797" i="1"/>
  <c r="S786" i="1"/>
  <c r="P786" i="1"/>
  <c r="O786" i="1"/>
  <c r="N786" i="1"/>
  <c r="M786" i="1"/>
  <c r="S799" i="1"/>
  <c r="Q799" i="1"/>
  <c r="P799" i="1"/>
  <c r="O799" i="1"/>
  <c r="N799" i="1"/>
  <c r="M799" i="1"/>
  <c r="D796" i="1" a="1"/>
  <c r="D795" i="1" a="1"/>
  <c r="D794" i="1" a="1"/>
  <c r="D799" i="1" a="1"/>
  <c r="D798" i="1" a="1"/>
  <c r="D797" i="1" a="1"/>
  <c r="D800" i="1" a="1"/>
  <c r="D786" i="1" a="1"/>
  <c r="D844" i="23" l="1"/>
  <c r="D845" i="23" s="1"/>
  <c r="D846" i="23" s="1"/>
  <c r="D847" i="23" s="1"/>
  <c r="D848" i="23" s="1"/>
  <c r="D849" i="23" s="1"/>
  <c r="D850" i="23" s="1"/>
  <c r="D851" i="23" s="1"/>
  <c r="D854" i="23" s="1"/>
  <c r="D855" i="23" s="1"/>
  <c r="D856" i="23" s="1"/>
  <c r="D857" i="23" s="1"/>
  <c r="D858" i="23" s="1"/>
  <c r="D859" i="23" s="1"/>
  <c r="D860" i="23" s="1"/>
  <c r="D861" i="23" s="1"/>
  <c r="D862" i="23" s="1"/>
  <c r="D863" i="23" s="1"/>
  <c r="D864" i="23" s="1"/>
  <c r="D865" i="23" s="1"/>
  <c r="D866" i="23" s="1"/>
  <c r="D867" i="23" s="1"/>
  <c r="D868" i="23" s="1"/>
  <c r="D869" i="23" s="1"/>
  <c r="D872" i="23" s="1"/>
  <c r="D873" i="23" s="1"/>
  <c r="D874" i="23" s="1"/>
  <c r="D875" i="23" s="1"/>
  <c r="D876" i="23" s="1"/>
  <c r="D877" i="23" s="1"/>
  <c r="D878" i="23" s="1"/>
  <c r="D879" i="23" s="1"/>
  <c r="D880" i="23" s="1"/>
  <c r="D881" i="23" s="1"/>
  <c r="D882" i="23" s="1"/>
  <c r="D883" i="23" s="1"/>
  <c r="D884" i="23" s="1"/>
  <c r="D885" i="23" s="1"/>
  <c r="D886" i="23" s="1"/>
  <c r="D887" i="23" s="1"/>
  <c r="D890" i="23" s="1"/>
  <c r="D891" i="23" s="1"/>
  <c r="D892" i="23"/>
  <c r="D893" i="23" s="1"/>
  <c r="D894" i="23" s="1"/>
  <c r="S791" i="1"/>
  <c r="S788" i="1"/>
  <c r="S793" i="1"/>
  <c r="S792" i="1"/>
  <c r="R791" i="1"/>
  <c r="R788" i="1"/>
  <c r="R793" i="1"/>
  <c r="R792" i="1"/>
  <c r="Q791" i="1"/>
  <c r="Q788" i="1"/>
  <c r="Q793" i="1"/>
  <c r="Q792" i="1"/>
  <c r="P791" i="1"/>
  <c r="P788" i="1"/>
  <c r="P793" i="1"/>
  <c r="P792" i="1"/>
  <c r="O791" i="1"/>
  <c r="O788" i="1"/>
  <c r="O793" i="1"/>
  <c r="O792" i="1"/>
  <c r="N791" i="1"/>
  <c r="N788" i="1"/>
  <c r="N793" i="1"/>
  <c r="N792" i="1"/>
  <c r="M791" i="1"/>
  <c r="M788" i="1"/>
  <c r="M793" i="1"/>
  <c r="M792" i="1"/>
  <c r="S787" i="1"/>
  <c r="R787" i="1"/>
  <c r="Q787" i="1"/>
  <c r="P787" i="1"/>
  <c r="O787" i="1"/>
  <c r="N787" i="1"/>
  <c r="M787" i="1"/>
  <c r="D788" i="1" a="1"/>
  <c r="D792" i="1" a="1"/>
  <c r="D791" i="1" a="1"/>
  <c r="D793" i="1" a="1"/>
  <c r="D787" i="1" a="1"/>
  <c r="D895" i="23" l="1"/>
  <c r="D896" i="23" s="1"/>
  <c r="D897" i="23" s="1"/>
  <c r="D898" i="23" s="1"/>
  <c r="D899" i="23" s="1"/>
  <c r="D900" i="23" s="1"/>
  <c r="D901" i="23" s="1"/>
  <c r="D902" i="23" s="1"/>
  <c r="D903" i="23" s="1"/>
  <c r="D904" i="23" s="1"/>
  <c r="D905" i="23" s="1"/>
  <c r="D908" i="23" s="1"/>
  <c r="D909" i="23" s="1"/>
  <c r="D910" i="23" s="1"/>
  <c r="D911" i="23" s="1"/>
  <c r="D912" i="23" s="1"/>
  <c r="D913" i="23" s="1"/>
  <c r="D914" i="23" s="1"/>
  <c r="D915" i="23" s="1"/>
  <c r="D916" i="23" s="1"/>
  <c r="D917" i="23" s="1"/>
  <c r="D918" i="23" s="1"/>
  <c r="D919" i="23" s="1"/>
  <c r="D920" i="23" s="1"/>
  <c r="D921" i="23" s="1"/>
  <c r="D922" i="23" s="1"/>
  <c r="D923" i="23" s="1"/>
  <c r="D926" i="23" s="1"/>
  <c r="D927" i="23" s="1"/>
  <c r="S789" i="1"/>
  <c r="R789" i="1"/>
  <c r="Q789" i="1"/>
  <c r="P789" i="1"/>
  <c r="O789" i="1"/>
  <c r="N789" i="1"/>
  <c r="M789" i="1"/>
  <c r="S790" i="1"/>
  <c r="R790" i="1"/>
  <c r="Q790" i="1"/>
  <c r="P790" i="1"/>
  <c r="O790" i="1"/>
  <c r="N790" i="1"/>
  <c r="M790" i="1"/>
  <c r="S784" i="1"/>
  <c r="R784" i="1"/>
  <c r="Q784" i="1"/>
  <c r="P784" i="1"/>
  <c r="O784" i="1"/>
  <c r="N784" i="1"/>
  <c r="M784" i="1"/>
  <c r="S785" i="1"/>
  <c r="R785" i="1"/>
  <c r="Q785" i="1"/>
  <c r="P785" i="1"/>
  <c r="O785" i="1"/>
  <c r="N785" i="1"/>
  <c r="M785" i="1"/>
  <c r="D790" i="1" a="1"/>
  <c r="D789" i="1" a="1"/>
  <c r="D785" i="1" a="1"/>
  <c r="D784" i="1" a="1"/>
  <c r="D928" i="23" l="1"/>
  <c r="D929" i="23" s="1"/>
  <c r="D930" i="23" s="1"/>
  <c r="D931" i="23" s="1"/>
  <c r="D932" i="23" s="1"/>
  <c r="D933" i="23" s="1"/>
  <c r="D934" i="23" s="1"/>
  <c r="D935" i="23" s="1"/>
  <c r="D936" i="23" s="1"/>
  <c r="D937" i="23" s="1"/>
  <c r="D938" i="23" s="1"/>
  <c r="D939" i="23" s="1"/>
  <c r="D940" i="23" s="1"/>
  <c r="D941" i="23" s="1"/>
  <c r="D944" i="23" s="1"/>
  <c r="D945" i="23" s="1"/>
  <c r="D946" i="23" s="1"/>
  <c r="D947" i="23" s="1"/>
  <c r="D948" i="23" s="1"/>
  <c r="D949" i="23" s="1"/>
  <c r="D950" i="23" s="1"/>
  <c r="D951" i="23" s="1"/>
  <c r="D952" i="23" s="1"/>
  <c r="D953" i="23" s="1"/>
  <c r="D954" i="23" s="1"/>
  <c r="D955" i="23" s="1"/>
  <c r="D956" i="23" s="1"/>
  <c r="D957" i="23" s="1"/>
  <c r="D958" i="23" s="1"/>
  <c r="D959" i="23" s="1"/>
  <c r="D962" i="23" s="1"/>
  <c r="D963" i="23" s="1"/>
  <c r="D964" i="23" s="1"/>
  <c r="D965" i="23" s="1"/>
  <c r="D966" i="23" s="1"/>
  <c r="D967" i="23" s="1"/>
  <c r="D968" i="23" s="1"/>
  <c r="D969" i="23" s="1"/>
  <c r="D970" i="23" s="1"/>
  <c r="D971" i="23" s="1"/>
  <c r="D972" i="23" s="1"/>
  <c r="D973" i="23" s="1"/>
  <c r="D974" i="23" s="1"/>
  <c r="D975" i="23" s="1"/>
  <c r="D976" i="23" s="1"/>
  <c r="D977" i="23" s="1"/>
  <c r="D980" i="23" s="1"/>
  <c r="D981" i="23" s="1"/>
  <c r="D982" i="23" s="1"/>
  <c r="D983" i="23" s="1"/>
  <c r="D984" i="23" s="1"/>
  <c r="D985" i="23" s="1"/>
  <c r="D986" i="23" s="1"/>
  <c r="D987" i="23" s="1"/>
  <c r="D988" i="23" s="1"/>
  <c r="D989" i="23" s="1"/>
  <c r="D990" i="23" s="1"/>
  <c r="D991" i="23" s="1"/>
  <c r="D992" i="23" s="1"/>
  <c r="D993" i="23" s="1"/>
  <c r="D994" i="23" s="1"/>
  <c r="D995" i="23" s="1"/>
  <c r="D998" i="23" s="1"/>
  <c r="D999" i="23" s="1"/>
  <c r="D1000" i="23" s="1"/>
  <c r="D1001" i="23" s="1"/>
  <c r="D1002" i="23" s="1"/>
  <c r="D1003" i="23" s="1"/>
  <c r="D1004" i="23" s="1"/>
  <c r="D1005" i="23" s="1"/>
  <c r="D1006" i="23" s="1"/>
  <c r="D1007" i="23" s="1"/>
  <c r="D1008" i="23" s="1"/>
  <c r="D1009" i="23" s="1"/>
  <c r="D1010" i="23" s="1"/>
  <c r="D1011" i="23" s="1"/>
  <c r="D1012" i="23" s="1"/>
  <c r="D1013" i="23" s="1"/>
  <c r="D1016" i="23" s="1"/>
  <c r="D1017" i="23" s="1"/>
  <c r="D1018" i="23" s="1"/>
  <c r="D1019" i="23" s="1"/>
  <c r="D1020" i="23" s="1"/>
  <c r="D1021" i="23" s="1"/>
  <c r="D1022" i="23" s="1"/>
  <c r="D1023" i="23" s="1"/>
  <c r="D1024" i="23" s="1"/>
  <c r="D1025" i="23" s="1"/>
  <c r="D1026" i="23" s="1"/>
  <c r="D1027" i="23" s="1"/>
  <c r="D1028" i="23" s="1"/>
  <c r="D1029" i="23" s="1"/>
  <c r="D1030" i="23" s="1"/>
  <c r="D1031" i="23" s="1"/>
  <c r="D1034" i="23" s="1"/>
  <c r="D1035" i="23" s="1"/>
  <c r="D1036" i="23" s="1"/>
  <c r="D1037" i="23" s="1"/>
  <c r="D1038" i="23" s="1"/>
  <c r="D1039" i="23" s="1"/>
  <c r="D1040" i="23" s="1"/>
  <c r="D1041" i="23" s="1"/>
  <c r="D1042" i="23" s="1"/>
  <c r="D1043" i="23" s="1"/>
  <c r="D1044" i="23" s="1"/>
  <c r="D1045" i="23" s="1"/>
  <c r="D1046" i="23" s="1"/>
  <c r="D1047" i="23" s="1"/>
  <c r="D1048" i="23" s="1"/>
  <c r="D1049" i="23" s="1"/>
  <c r="D1052" i="23" s="1"/>
  <c r="D1053" i="23" s="1"/>
  <c r="D1054" i="23" s="1"/>
  <c r="D1055" i="23" s="1"/>
  <c r="D1056" i="23" s="1"/>
  <c r="D1057" i="23" s="1"/>
  <c r="D1058" i="23" s="1"/>
  <c r="D1059" i="23" s="1"/>
  <c r="D1060" i="23" s="1"/>
  <c r="D1061" i="23" s="1"/>
  <c r="D1062" i="23" s="1"/>
  <c r="D1063" i="23" s="1"/>
  <c r="D1064" i="23" s="1"/>
  <c r="D1065" i="23" s="1"/>
  <c r="D1066" i="23" s="1"/>
  <c r="D1067" i="23" s="1"/>
  <c r="D1070" i="23" s="1"/>
  <c r="D1071" i="23" s="1"/>
  <c r="D1072" i="23" s="1"/>
  <c r="D1073" i="23" s="1"/>
  <c r="D1074" i="23" s="1"/>
  <c r="D1075" i="23" s="1"/>
  <c r="D1076" i="23" s="1"/>
  <c r="D1077" i="23" s="1"/>
  <c r="D1078" i="23" s="1"/>
  <c r="D1079" i="23" s="1"/>
  <c r="D1080" i="23" s="1"/>
  <c r="D1081" i="23" s="1"/>
  <c r="D1082" i="23" s="1"/>
  <c r="D1083" i="23" s="1"/>
  <c r="D1084" i="23" s="1"/>
  <c r="D1085" i="23" s="1"/>
  <c r="D1815" i="21"/>
  <c r="D1816" i="21" s="1"/>
  <c r="D1817" i="21" s="1"/>
  <c r="D1818" i="21" s="1"/>
  <c r="D1819" i="21" s="1"/>
  <c r="D1820" i="21" s="1"/>
  <c r="D1821" i="21" s="1"/>
  <c r="D1822" i="21" s="1"/>
  <c r="D1823" i="21" s="1"/>
  <c r="D1824" i="21" s="1"/>
  <c r="D1825" i="21" s="1"/>
  <c r="D1826" i="21" s="1"/>
  <c r="D1827" i="21" s="1"/>
  <c r="D1828" i="21" s="1"/>
  <c r="D1829" i="21" s="1"/>
  <c r="D1831" i="21" s="1"/>
  <c r="D1832" i="21" s="1"/>
  <c r="D1833" i="21" s="1"/>
  <c r="D1834" i="21" s="1"/>
  <c r="D1835" i="21" s="1"/>
  <c r="D1836" i="21" s="1"/>
  <c r="D1837" i="21" s="1"/>
  <c r="D1838" i="21" s="1"/>
  <c r="D1839" i="21" s="1"/>
  <c r="D1840" i="21" s="1"/>
  <c r="D1841" i="21" s="1"/>
  <c r="D1842" i="21" s="1"/>
  <c r="D1843" i="21" s="1"/>
  <c r="D1844" i="21" s="1"/>
  <c r="D1845" i="21" s="1"/>
  <c r="D1846" i="21" s="1"/>
  <c r="D1848" i="21" s="1"/>
  <c r="D1849" i="21" s="1"/>
  <c r="D1850" i="21" s="1"/>
  <c r="D1851" i="21" s="1"/>
  <c r="D1852" i="21" s="1"/>
  <c r="D1853" i="21" s="1"/>
  <c r="D1854" i="21" s="1"/>
  <c r="D1855" i="21" s="1"/>
  <c r="D1856" i="21" s="1"/>
  <c r="D1857" i="21" s="1"/>
  <c r="D1858" i="21" s="1"/>
  <c r="D1859" i="21" s="1"/>
  <c r="D1860" i="21" s="1"/>
  <c r="D1861" i="21" s="1"/>
  <c r="D1862" i="21" s="1"/>
  <c r="D1863" i="21" s="1"/>
  <c r="D1865" i="21" s="1"/>
  <c r="D1866" i="21" s="1"/>
  <c r="D1867" i="21" s="1"/>
  <c r="D1868" i="21" s="1"/>
  <c r="D1869" i="21" s="1"/>
  <c r="D1870" i="21" s="1"/>
  <c r="D1871" i="21" s="1"/>
  <c r="D1872" i="21" s="1"/>
  <c r="D1873" i="21" s="1"/>
  <c r="D1874" i="21" s="1"/>
  <c r="D1875" i="21" s="1"/>
  <c r="D1876" i="21" s="1"/>
  <c r="D1877" i="21" s="1"/>
  <c r="D1878" i="21" s="1"/>
  <c r="D1879" i="21" s="1"/>
  <c r="D1880" i="21" s="1"/>
  <c r="D1882" i="21" s="1"/>
  <c r="D1883" i="21" s="1"/>
  <c r="D1884" i="21" s="1"/>
  <c r="D1885" i="21" s="1"/>
  <c r="D1886" i="21" s="1"/>
  <c r="D1887" i="21" s="1"/>
  <c r="D1888" i="21" s="1"/>
  <c r="D1889" i="21" s="1"/>
  <c r="D1890" i="21" s="1"/>
  <c r="D1891" i="21" s="1"/>
  <c r="D1892" i="21" s="1"/>
  <c r="D1893" i="21" s="1"/>
  <c r="D1894" i="21" s="1"/>
  <c r="D1895" i="21" s="1"/>
  <c r="D1896" i="21" s="1"/>
  <c r="D1897" i="21" s="1"/>
  <c r="S779" i="1"/>
  <c r="R779" i="1"/>
  <c r="Q779" i="1"/>
  <c r="P779" i="1"/>
  <c r="O779" i="1"/>
  <c r="N779" i="1"/>
  <c r="M779" i="1"/>
  <c r="S783" i="1"/>
  <c r="R783" i="1"/>
  <c r="Q783" i="1"/>
  <c r="P783" i="1"/>
  <c r="O783" i="1"/>
  <c r="N783" i="1"/>
  <c r="M783" i="1"/>
  <c r="D779" i="1" a="1"/>
  <c r="D783" i="1" a="1"/>
  <c r="S766" i="1" l="1"/>
  <c r="R766" i="1"/>
  <c r="Q766" i="1"/>
  <c r="P766" i="1"/>
  <c r="O766" i="1"/>
  <c r="N766" i="1"/>
  <c r="M766" i="1"/>
  <c r="S781" i="1"/>
  <c r="R781" i="1"/>
  <c r="Q781" i="1"/>
  <c r="P781" i="1"/>
  <c r="O781" i="1"/>
  <c r="N781" i="1"/>
  <c r="M781" i="1"/>
  <c r="S782" i="1"/>
  <c r="R782" i="1"/>
  <c r="Q782" i="1"/>
  <c r="P782" i="1"/>
  <c r="O782" i="1"/>
  <c r="N782" i="1"/>
  <c r="M782" i="1"/>
  <c r="S780" i="1"/>
  <c r="R780" i="1"/>
  <c r="Q780" i="1"/>
  <c r="P780" i="1"/>
  <c r="O780" i="1"/>
  <c r="N780" i="1"/>
  <c r="M780" i="1"/>
  <c r="D782" i="1" a="1"/>
  <c r="D766" i="1" a="1"/>
  <c r="D780" i="1" a="1"/>
  <c r="D781" i="1" a="1"/>
  <c r="S772" i="1" l="1"/>
  <c r="R772" i="1"/>
  <c r="Q772" i="1"/>
  <c r="P772" i="1"/>
  <c r="O772" i="1"/>
  <c r="N772" i="1"/>
  <c r="M772" i="1"/>
  <c r="M775" i="1"/>
  <c r="M774" i="1"/>
  <c r="M777" i="1"/>
  <c r="N775" i="1"/>
  <c r="N774" i="1"/>
  <c r="N777" i="1"/>
  <c r="O775" i="1"/>
  <c r="O774" i="1"/>
  <c r="O777" i="1"/>
  <c r="P775" i="1"/>
  <c r="P774" i="1"/>
  <c r="P777" i="1"/>
  <c r="Q775" i="1"/>
  <c r="Q774" i="1"/>
  <c r="Q777" i="1"/>
  <c r="R775" i="1"/>
  <c r="R774" i="1"/>
  <c r="R777" i="1"/>
  <c r="S775" i="1"/>
  <c r="S774" i="1"/>
  <c r="S777" i="1"/>
  <c r="M778" i="1"/>
  <c r="N778" i="1"/>
  <c r="O778" i="1"/>
  <c r="P778" i="1"/>
  <c r="Q778" i="1"/>
  <c r="R778" i="1"/>
  <c r="S778" i="1"/>
  <c r="M776" i="1"/>
  <c r="N776" i="1"/>
  <c r="O776" i="1"/>
  <c r="P776" i="1"/>
  <c r="Q776" i="1"/>
  <c r="R776" i="1"/>
  <c r="S776" i="1"/>
  <c r="M769" i="1"/>
  <c r="N769" i="1"/>
  <c r="O769" i="1"/>
  <c r="P769" i="1"/>
  <c r="Q769" i="1"/>
  <c r="R769" i="1"/>
  <c r="S769" i="1"/>
  <c r="M773" i="1"/>
  <c r="N773" i="1"/>
  <c r="O773" i="1"/>
  <c r="P773" i="1"/>
  <c r="Q773" i="1"/>
  <c r="R773" i="1"/>
  <c r="S773" i="1"/>
  <c r="S771" i="1"/>
  <c r="R771" i="1"/>
  <c r="Q771" i="1"/>
  <c r="P771" i="1"/>
  <c r="O771" i="1"/>
  <c r="N771" i="1"/>
  <c r="M771" i="1"/>
  <c r="S770" i="1"/>
  <c r="R770" i="1"/>
  <c r="Q770" i="1"/>
  <c r="P770" i="1"/>
  <c r="O770" i="1"/>
  <c r="N770" i="1"/>
  <c r="M770" i="1"/>
  <c r="D774" i="1" a="1"/>
  <c r="D773" i="1" a="1"/>
  <c r="D772" i="1" a="1"/>
  <c r="D771" i="1" a="1"/>
  <c r="D777" i="1" a="1"/>
  <c r="D775" i="1" a="1"/>
  <c r="D770" i="1" a="1"/>
  <c r="D769" i="1" a="1"/>
  <c r="D776" i="1" a="1"/>
  <c r="D778" i="1" a="1"/>
  <c r="S768" i="1" l="1"/>
  <c r="R768" i="1"/>
  <c r="Q768" i="1"/>
  <c r="P768" i="1"/>
  <c r="O768" i="1"/>
  <c r="N768" i="1"/>
  <c r="M768" i="1"/>
  <c r="D768" i="1" a="1"/>
  <c r="D1730" i="21" l="1"/>
  <c r="D1731" i="21" s="1"/>
  <c r="D1732" i="21" s="1"/>
  <c r="D1733" i="21" s="1"/>
  <c r="D1734" i="21" s="1"/>
  <c r="D1735" i="21" s="1"/>
  <c r="D1736" i="21" s="1"/>
  <c r="D1737" i="21" s="1"/>
  <c r="D1738" i="21" s="1"/>
  <c r="D1739" i="21" s="1"/>
  <c r="D1740" i="21" s="1"/>
  <c r="D1741" i="21" s="1"/>
  <c r="D1742" i="21" s="1"/>
  <c r="D1743" i="21" s="1"/>
  <c r="D1744" i="21" s="1"/>
  <c r="D1746" i="21" s="1"/>
  <c r="D1747" i="21" s="1"/>
  <c r="D1748" i="21" s="1"/>
  <c r="D1749" i="21" s="1"/>
  <c r="D1750" i="21" s="1"/>
  <c r="D1751" i="21" s="1"/>
  <c r="D1752" i="21" s="1"/>
  <c r="D1753" i="21" s="1"/>
  <c r="D1754" i="21" s="1"/>
  <c r="D1755" i="21" s="1"/>
  <c r="D1756" i="21" s="1"/>
  <c r="D1757" i="21" s="1"/>
  <c r="D1758" i="21" s="1"/>
  <c r="D1759" i="21" s="1"/>
  <c r="D1760" i="21" s="1"/>
  <c r="D1761" i="21" s="1"/>
  <c r="D1763" i="21" s="1"/>
  <c r="D1764" i="21" s="1"/>
  <c r="D1765" i="21" s="1"/>
  <c r="D1766" i="21" s="1"/>
  <c r="D1767" i="21" s="1"/>
  <c r="D1768" i="21" s="1"/>
  <c r="D1769" i="21" s="1"/>
  <c r="D1770" i="21" s="1"/>
  <c r="D1771" i="21" s="1"/>
  <c r="D1772" i="21" s="1"/>
  <c r="D1773" i="21" s="1"/>
  <c r="D1774" i="21" s="1"/>
  <c r="D1775" i="21" s="1"/>
  <c r="D1776" i="21" s="1"/>
  <c r="D1777" i="21" s="1"/>
  <c r="D1778" i="21" s="1"/>
  <c r="D1780" i="21" s="1"/>
  <c r="D1781" i="21" s="1"/>
  <c r="D1782" i="21" s="1"/>
  <c r="D1783" i="21" s="1"/>
  <c r="D1784" i="21" s="1"/>
  <c r="D1785" i="21" s="1"/>
  <c r="D1786" i="21" s="1"/>
  <c r="D1787" i="21" s="1"/>
  <c r="D1788" i="21" s="1"/>
  <c r="D1789" i="21" s="1"/>
  <c r="D1790" i="21" s="1"/>
  <c r="D1791" i="21" s="1"/>
  <c r="D1792" i="21" s="1"/>
  <c r="D1793" i="21" s="1"/>
  <c r="D1794" i="21" s="1"/>
  <c r="D1795" i="21" s="1"/>
  <c r="D1797" i="21" s="1"/>
  <c r="D1798" i="21" s="1"/>
  <c r="D1799" i="21" s="1"/>
  <c r="D1800" i="21" s="1"/>
  <c r="D1801" i="21" s="1"/>
  <c r="D1802" i="21" s="1"/>
  <c r="D1803" i="21" s="1"/>
  <c r="D1804" i="21" s="1"/>
  <c r="D1805" i="21" s="1"/>
  <c r="D1806" i="21" s="1"/>
  <c r="D1807" i="21" s="1"/>
  <c r="D1808" i="21" s="1"/>
  <c r="D1809" i="21" s="1"/>
  <c r="D1810" i="21" s="1"/>
  <c r="D1811" i="21" s="1"/>
  <c r="D1812" i="21" s="1"/>
  <c r="M767" i="1" l="1"/>
  <c r="N767" i="1"/>
  <c r="O767" i="1"/>
  <c r="P767" i="1"/>
  <c r="Q767" i="1"/>
  <c r="R767" i="1"/>
  <c r="S767" i="1"/>
  <c r="M763" i="1"/>
  <c r="M753" i="1"/>
  <c r="S764" i="1"/>
  <c r="R764" i="1"/>
  <c r="Q764" i="1"/>
  <c r="P764" i="1"/>
  <c r="O764" i="1"/>
  <c r="N764" i="1"/>
  <c r="M764" i="1"/>
  <c r="S765" i="1"/>
  <c r="R765" i="1"/>
  <c r="Q765" i="1"/>
  <c r="P765" i="1"/>
  <c r="O765" i="1"/>
  <c r="N765" i="1"/>
  <c r="M765" i="1"/>
  <c r="S763" i="1"/>
  <c r="R763" i="1"/>
  <c r="Q763" i="1"/>
  <c r="P763" i="1"/>
  <c r="O763" i="1"/>
  <c r="N763" i="1"/>
  <c r="M762" i="1"/>
  <c r="N762" i="1"/>
  <c r="O762" i="1"/>
  <c r="P762" i="1"/>
  <c r="Q762" i="1"/>
  <c r="R762" i="1"/>
  <c r="S762" i="1"/>
  <c r="M761" i="1"/>
  <c r="N761" i="1"/>
  <c r="O761" i="1"/>
  <c r="P761" i="1"/>
  <c r="Q761" i="1"/>
  <c r="R761" i="1"/>
  <c r="S761" i="1"/>
  <c r="S753" i="1"/>
  <c r="R753" i="1"/>
  <c r="Q753" i="1"/>
  <c r="P753" i="1"/>
  <c r="O753" i="1"/>
  <c r="N753" i="1"/>
  <c r="M760" i="1"/>
  <c r="N760" i="1"/>
  <c r="O760" i="1"/>
  <c r="P760" i="1"/>
  <c r="Q760" i="1"/>
  <c r="R760" i="1"/>
  <c r="S760" i="1"/>
  <c r="S759" i="1"/>
  <c r="R759" i="1"/>
  <c r="Q759" i="1"/>
  <c r="P759" i="1"/>
  <c r="O759" i="1"/>
  <c r="N759" i="1"/>
  <c r="M759" i="1"/>
  <c r="S758" i="1"/>
  <c r="R758" i="1"/>
  <c r="Q758" i="1"/>
  <c r="P758" i="1"/>
  <c r="O758" i="1"/>
  <c r="N758" i="1"/>
  <c r="M758" i="1"/>
  <c r="S757" i="1"/>
  <c r="R757" i="1"/>
  <c r="Q757" i="1"/>
  <c r="P757" i="1"/>
  <c r="O757" i="1"/>
  <c r="N757" i="1"/>
  <c r="M757" i="1"/>
  <c r="S756" i="1"/>
  <c r="R756" i="1"/>
  <c r="Q756" i="1"/>
  <c r="P756" i="1"/>
  <c r="O756" i="1"/>
  <c r="N756" i="1"/>
  <c r="M756" i="1"/>
  <c r="S755" i="1"/>
  <c r="R755" i="1"/>
  <c r="Q755" i="1"/>
  <c r="P755" i="1"/>
  <c r="O755" i="1"/>
  <c r="N755" i="1"/>
  <c r="M755" i="1"/>
  <c r="S754" i="1"/>
  <c r="R754" i="1"/>
  <c r="Q754" i="1"/>
  <c r="P754" i="1"/>
  <c r="O754" i="1"/>
  <c r="N754" i="1"/>
  <c r="M754" i="1"/>
  <c r="S752" i="1"/>
  <c r="R752" i="1"/>
  <c r="Q752" i="1"/>
  <c r="P752" i="1"/>
  <c r="O752" i="1"/>
  <c r="N752" i="1"/>
  <c r="M752" i="1"/>
  <c r="D1713" i="21"/>
  <c r="D1714" i="21" s="1"/>
  <c r="D1715" i="21" s="1"/>
  <c r="D1716" i="21" s="1"/>
  <c r="D1717" i="21" s="1"/>
  <c r="D1718" i="21" s="1"/>
  <c r="D1719" i="21" s="1"/>
  <c r="D1720" i="21" s="1"/>
  <c r="D1721" i="21" s="1"/>
  <c r="D1722" i="21" s="1"/>
  <c r="D1723" i="21" s="1"/>
  <c r="D1724" i="21" s="1"/>
  <c r="D1725" i="21" s="1"/>
  <c r="D1726" i="21" s="1"/>
  <c r="D1727" i="21" s="1"/>
  <c r="S750" i="1"/>
  <c r="R750" i="1"/>
  <c r="Q750" i="1"/>
  <c r="P750" i="1"/>
  <c r="O750" i="1"/>
  <c r="N750" i="1"/>
  <c r="M750" i="1"/>
  <c r="M751" i="1"/>
  <c r="N751" i="1"/>
  <c r="O751" i="1"/>
  <c r="P751" i="1"/>
  <c r="Q751" i="1"/>
  <c r="R751" i="1"/>
  <c r="S751" i="1"/>
  <c r="M744" i="1"/>
  <c r="N744" i="1"/>
  <c r="O744" i="1"/>
  <c r="P744" i="1"/>
  <c r="Q744" i="1"/>
  <c r="R744" i="1"/>
  <c r="S744" i="1"/>
  <c r="S749" i="1"/>
  <c r="R749" i="1"/>
  <c r="Q749" i="1"/>
  <c r="P749" i="1"/>
  <c r="O749" i="1"/>
  <c r="N749" i="1"/>
  <c r="M749" i="1"/>
  <c r="M748" i="1"/>
  <c r="N748" i="1"/>
  <c r="O748" i="1"/>
  <c r="P748" i="1"/>
  <c r="Q748" i="1"/>
  <c r="R748" i="1"/>
  <c r="S748" i="1"/>
  <c r="M747" i="1"/>
  <c r="N747" i="1"/>
  <c r="O747" i="1"/>
  <c r="P747" i="1"/>
  <c r="Q747" i="1"/>
  <c r="R747" i="1"/>
  <c r="S747" i="1"/>
  <c r="M746" i="1"/>
  <c r="N746" i="1"/>
  <c r="O746" i="1"/>
  <c r="P746" i="1"/>
  <c r="Q746" i="1"/>
  <c r="R746" i="1"/>
  <c r="S746" i="1"/>
  <c r="M745" i="1"/>
  <c r="N745" i="1"/>
  <c r="O745" i="1"/>
  <c r="P745" i="1"/>
  <c r="Q745" i="1"/>
  <c r="R745" i="1"/>
  <c r="S745" i="1"/>
  <c r="S740" i="1"/>
  <c r="R740" i="1"/>
  <c r="Q740" i="1"/>
  <c r="P740" i="1"/>
  <c r="O740" i="1"/>
  <c r="N740" i="1"/>
  <c r="M740" i="1"/>
  <c r="D759" i="1" a="1"/>
  <c r="D745" i="1" a="1"/>
  <c r="D744" i="1" a="1"/>
  <c r="D754" i="1" a="1"/>
  <c r="D755" i="1" a="1"/>
  <c r="D748" i="1" a="1"/>
  <c r="D764" i="1" a="1"/>
  <c r="D746" i="1" a="1"/>
  <c r="D747" i="1" a="1"/>
  <c r="D761" i="1" a="1"/>
  <c r="D750" i="1" a="1"/>
  <c r="D762" i="1" a="1"/>
  <c r="D752" i="1" a="1"/>
  <c r="D760" i="1" a="1"/>
  <c r="D751" i="1" a="1"/>
  <c r="D753" i="1" a="1"/>
  <c r="D758" i="1" a="1"/>
  <c r="D767" i="1" a="1"/>
  <c r="D757" i="1" a="1"/>
  <c r="D740" i="1" a="1"/>
  <c r="D765" i="1" a="1"/>
  <c r="D763" i="1" a="1"/>
  <c r="D756" i="1" a="1"/>
  <c r="D749" i="1" a="1"/>
  <c r="S743" i="1" l="1"/>
  <c r="R743" i="1"/>
  <c r="Q743" i="1"/>
  <c r="P743" i="1"/>
  <c r="O743" i="1"/>
  <c r="N743" i="1"/>
  <c r="M743" i="1"/>
  <c r="M732" i="1"/>
  <c r="M735" i="1"/>
  <c r="M734" i="1"/>
  <c r="M733" i="1"/>
  <c r="M736" i="1"/>
  <c r="M738" i="1"/>
  <c r="M739" i="1"/>
  <c r="M741" i="1"/>
  <c r="M737" i="1"/>
  <c r="M742" i="1"/>
  <c r="D743" i="1" a="1"/>
  <c r="S742" i="1" l="1"/>
  <c r="R742" i="1"/>
  <c r="Q742" i="1"/>
  <c r="P742" i="1"/>
  <c r="O742" i="1"/>
  <c r="N742" i="1"/>
  <c r="S741" i="1"/>
  <c r="S737" i="1"/>
  <c r="R741" i="1"/>
  <c r="R737" i="1"/>
  <c r="Q741" i="1"/>
  <c r="Q737" i="1"/>
  <c r="O741" i="1"/>
  <c r="O737" i="1"/>
  <c r="P741" i="1"/>
  <c r="P737" i="1"/>
  <c r="N741" i="1"/>
  <c r="N737" i="1"/>
  <c r="N739" i="1"/>
  <c r="O739" i="1"/>
  <c r="P739" i="1"/>
  <c r="Q739" i="1"/>
  <c r="R739" i="1"/>
  <c r="S739" i="1"/>
  <c r="N738" i="1"/>
  <c r="O738" i="1"/>
  <c r="P738" i="1"/>
  <c r="Q738" i="1"/>
  <c r="R738" i="1"/>
  <c r="S738" i="1"/>
  <c r="N736" i="1"/>
  <c r="O736" i="1"/>
  <c r="P736" i="1"/>
  <c r="Q736" i="1"/>
  <c r="R736" i="1"/>
  <c r="S736" i="1"/>
  <c r="N733" i="1"/>
  <c r="O733" i="1"/>
  <c r="P733" i="1"/>
  <c r="Q733" i="1"/>
  <c r="R733" i="1"/>
  <c r="S733" i="1"/>
  <c r="N734" i="1"/>
  <c r="O734" i="1"/>
  <c r="P734" i="1"/>
  <c r="Q734" i="1"/>
  <c r="R734" i="1"/>
  <c r="S734" i="1"/>
  <c r="N735" i="1"/>
  <c r="O735" i="1"/>
  <c r="P735" i="1"/>
  <c r="Q735" i="1"/>
  <c r="R735" i="1"/>
  <c r="S735" i="1"/>
  <c r="D1543" i="21"/>
  <c r="D1544" i="21" s="1"/>
  <c r="D1545" i="21" s="1"/>
  <c r="D1546" i="21" s="1"/>
  <c r="D1547" i="21" s="1"/>
  <c r="D1548" i="21" s="1"/>
  <c r="D1549" i="21" s="1"/>
  <c r="D1550" i="21" s="1"/>
  <c r="D1551" i="21" s="1"/>
  <c r="D1552" i="21" s="1"/>
  <c r="D1553" i="21" s="1"/>
  <c r="D1554" i="21" s="1"/>
  <c r="D1555" i="21" s="1"/>
  <c r="D1556" i="21" s="1"/>
  <c r="D1557" i="21" s="1"/>
  <c r="D1559" i="21" s="1"/>
  <c r="D1560" i="21" s="1"/>
  <c r="D1561" i="21" s="1"/>
  <c r="D1562" i="21" s="1"/>
  <c r="D1563" i="21" s="1"/>
  <c r="D1564" i="21" s="1"/>
  <c r="D1565" i="21" s="1"/>
  <c r="D1566" i="21" s="1"/>
  <c r="D1567" i="21" s="1"/>
  <c r="D1568" i="21" s="1"/>
  <c r="D1569" i="21" s="1"/>
  <c r="D1570" i="21" s="1"/>
  <c r="D1571" i="21" s="1"/>
  <c r="D1572" i="21" s="1"/>
  <c r="D1573" i="21" s="1"/>
  <c r="D1574" i="21" s="1"/>
  <c r="D1576" i="21" s="1"/>
  <c r="D1577" i="21" s="1"/>
  <c r="D1578" i="21" s="1"/>
  <c r="D1579" i="21" s="1"/>
  <c r="D1580" i="21" s="1"/>
  <c r="D1581" i="21" s="1"/>
  <c r="D1582" i="21" s="1"/>
  <c r="D1583" i="21" s="1"/>
  <c r="D1584" i="21" s="1"/>
  <c r="D1585" i="21" s="1"/>
  <c r="D1586" i="21" s="1"/>
  <c r="D1587" i="21" s="1"/>
  <c r="D1588" i="21" s="1"/>
  <c r="D1589" i="21" s="1"/>
  <c r="D1590" i="21" s="1"/>
  <c r="D1591" i="21" s="1"/>
  <c r="D1593" i="21" s="1"/>
  <c r="D1594" i="21" s="1"/>
  <c r="D1595" i="21" s="1"/>
  <c r="D1596" i="21" s="1"/>
  <c r="D1597" i="21" s="1"/>
  <c r="D1598" i="21" s="1"/>
  <c r="D1599" i="21" s="1"/>
  <c r="D1600" i="21" s="1"/>
  <c r="D1601" i="21" s="1"/>
  <c r="D1602" i="21" s="1"/>
  <c r="D1603" i="21" s="1"/>
  <c r="D1604" i="21" s="1"/>
  <c r="D1605" i="21" s="1"/>
  <c r="D1606" i="21" s="1"/>
  <c r="D1607" i="21" s="1"/>
  <c r="D1608" i="21" s="1"/>
  <c r="D1610" i="21" s="1"/>
  <c r="D1611" i="21" s="1"/>
  <c r="D1612" i="21" s="1"/>
  <c r="D1613" i="21" s="1"/>
  <c r="D1614" i="21" s="1"/>
  <c r="D1615" i="21" s="1"/>
  <c r="D1616" i="21" s="1"/>
  <c r="D1617" i="21" s="1"/>
  <c r="D1618" i="21" s="1"/>
  <c r="D1619" i="21" s="1"/>
  <c r="D1620" i="21" s="1"/>
  <c r="D1621" i="21" s="1"/>
  <c r="D1622" i="21" s="1"/>
  <c r="D1623" i="21" s="1"/>
  <c r="D1624" i="21" s="1"/>
  <c r="D1625" i="21" s="1"/>
  <c r="D1628" i="21"/>
  <c r="D1629" i="21" s="1"/>
  <c r="D1630" i="21" s="1"/>
  <c r="D1631" i="21" s="1"/>
  <c r="D1632" i="21" s="1"/>
  <c r="D1633" i="21" s="1"/>
  <c r="D1634" i="21" s="1"/>
  <c r="D1635" i="21" s="1"/>
  <c r="D1636" i="21" s="1"/>
  <c r="D1637" i="21" s="1"/>
  <c r="D1638" i="21" s="1"/>
  <c r="D1639" i="21" s="1"/>
  <c r="D1640" i="21" s="1"/>
  <c r="D1641" i="21" s="1"/>
  <c r="D1642" i="21" s="1"/>
  <c r="D1644" i="21" s="1"/>
  <c r="D1645" i="21" s="1"/>
  <c r="D1646" i="21" s="1"/>
  <c r="D1647" i="21" s="1"/>
  <c r="D1648" i="21" s="1"/>
  <c r="D1649" i="21" s="1"/>
  <c r="D1650" i="21" s="1"/>
  <c r="D1651" i="21" s="1"/>
  <c r="D1652" i="21" s="1"/>
  <c r="D1653" i="21" s="1"/>
  <c r="D1654" i="21" s="1"/>
  <c r="D1655" i="21" s="1"/>
  <c r="D1656" i="21" s="1"/>
  <c r="D1657" i="21" s="1"/>
  <c r="D1658" i="21" s="1"/>
  <c r="D1659" i="21" s="1"/>
  <c r="D1661" i="21" s="1"/>
  <c r="D1662" i="21" s="1"/>
  <c r="D1663" i="21" s="1"/>
  <c r="D1664" i="21" s="1"/>
  <c r="D1665" i="21" s="1"/>
  <c r="D1666" i="21" s="1"/>
  <c r="D1667" i="21" s="1"/>
  <c r="D1668" i="21" s="1"/>
  <c r="D1669" i="21" s="1"/>
  <c r="D1670" i="21" s="1"/>
  <c r="D1671" i="21" s="1"/>
  <c r="D1672" i="21" s="1"/>
  <c r="D1673" i="21" s="1"/>
  <c r="D1674" i="21" s="1"/>
  <c r="D1675" i="21" s="1"/>
  <c r="D1676" i="21" s="1"/>
  <c r="D1678" i="21" s="1"/>
  <c r="D1679" i="21" s="1"/>
  <c r="D1680" i="21" s="1"/>
  <c r="D1681" i="21" s="1"/>
  <c r="D1682" i="21" s="1"/>
  <c r="D1683" i="21" s="1"/>
  <c r="D1684" i="21" s="1"/>
  <c r="D1685" i="21" s="1"/>
  <c r="D1686" i="21" s="1"/>
  <c r="D1687" i="21" s="1"/>
  <c r="D1688" i="21" s="1"/>
  <c r="D1689" i="21" s="1"/>
  <c r="D1690" i="21" s="1"/>
  <c r="D1691" i="21" s="1"/>
  <c r="D1692" i="21" s="1"/>
  <c r="D1693" i="21" s="1"/>
  <c r="D1695" i="21" s="1"/>
  <c r="D1696" i="21" s="1"/>
  <c r="D1697" i="21" s="1"/>
  <c r="D1698" i="21" s="1"/>
  <c r="D1699" i="21" s="1"/>
  <c r="D1700" i="21" s="1"/>
  <c r="D1701" i="21" s="1"/>
  <c r="D1702" i="21" s="1"/>
  <c r="D1703" i="21" s="1"/>
  <c r="D1704" i="21" s="1"/>
  <c r="D1705" i="21" s="1"/>
  <c r="D1706" i="21" s="1"/>
  <c r="D1707" i="21" s="1"/>
  <c r="D1708" i="21" s="1"/>
  <c r="D1709" i="21" s="1"/>
  <c r="D1710" i="21" s="1"/>
  <c r="S732" i="1"/>
  <c r="R732" i="1"/>
  <c r="Q732" i="1"/>
  <c r="P732" i="1"/>
  <c r="O732" i="1"/>
  <c r="N732" i="1"/>
  <c r="S730" i="1"/>
  <c r="R730" i="1"/>
  <c r="Q730" i="1"/>
  <c r="P730" i="1"/>
  <c r="O730" i="1"/>
  <c r="N730" i="1"/>
  <c r="M730" i="1"/>
  <c r="D738" i="1" a="1"/>
  <c r="D730" i="1" a="1"/>
  <c r="D733" i="1" a="1"/>
  <c r="D734" i="1" a="1"/>
  <c r="D736" i="1" a="1"/>
  <c r="D741" i="1" a="1"/>
  <c r="D739" i="1" a="1"/>
  <c r="D735" i="1" a="1"/>
  <c r="D742" i="1" a="1"/>
  <c r="D737" i="1" a="1"/>
  <c r="D732" i="1" a="1"/>
  <c r="S731" i="1" l="1"/>
  <c r="R731" i="1"/>
  <c r="Q731" i="1"/>
  <c r="P731" i="1"/>
  <c r="O731" i="1"/>
  <c r="N731" i="1"/>
  <c r="M731" i="1"/>
  <c r="D731" i="1" a="1"/>
  <c r="S729" i="1" l="1"/>
  <c r="R729" i="1"/>
  <c r="Q729" i="1"/>
  <c r="P729" i="1"/>
  <c r="O729" i="1"/>
  <c r="N729" i="1"/>
  <c r="M729" i="1"/>
  <c r="D729" i="1" a="1"/>
  <c r="S728" i="1" l="1"/>
  <c r="R728" i="1"/>
  <c r="Q728" i="1"/>
  <c r="P728" i="1"/>
  <c r="O728" i="1"/>
  <c r="N728" i="1"/>
  <c r="M728" i="1"/>
  <c r="S727" i="1"/>
  <c r="R727" i="1"/>
  <c r="Q727" i="1"/>
  <c r="P727" i="1"/>
  <c r="O727" i="1"/>
  <c r="N727" i="1"/>
  <c r="M727" i="1"/>
  <c r="D728" i="1" a="1"/>
  <c r="D727" i="1" a="1"/>
  <c r="S726" i="1" l="1"/>
  <c r="R726" i="1"/>
  <c r="Q726" i="1"/>
  <c r="P726" i="1"/>
  <c r="O726" i="1"/>
  <c r="N726" i="1"/>
  <c r="M726" i="1"/>
  <c r="S724" i="1"/>
  <c r="R724" i="1"/>
  <c r="Q724" i="1"/>
  <c r="P724" i="1"/>
  <c r="O724" i="1"/>
  <c r="N724" i="1"/>
  <c r="M724" i="1"/>
  <c r="D724" i="1" a="1"/>
  <c r="D726" i="1" a="1"/>
  <c r="M725" i="1" l="1"/>
  <c r="N725" i="1"/>
  <c r="O725" i="1"/>
  <c r="P725" i="1"/>
  <c r="Q725" i="1"/>
  <c r="R725" i="1"/>
  <c r="S725" i="1"/>
  <c r="M723" i="1"/>
  <c r="N723" i="1"/>
  <c r="O723" i="1"/>
  <c r="P723" i="1"/>
  <c r="Q723" i="1"/>
  <c r="R723" i="1"/>
  <c r="S723" i="1"/>
  <c r="S3" i="1"/>
  <c r="S4" i="1"/>
  <c r="S5" i="1"/>
  <c r="S6" i="1"/>
  <c r="S7" i="1"/>
  <c r="S8" i="1"/>
  <c r="S9" i="1"/>
  <c r="S10" i="1"/>
  <c r="S11" i="1"/>
  <c r="S12" i="1"/>
  <c r="S13" i="1"/>
  <c r="S83" i="1"/>
  <c r="S88" i="1"/>
  <c r="S623" i="1"/>
  <c r="S624" i="1"/>
  <c r="S625" i="1"/>
  <c r="S635" i="1"/>
  <c r="S640" i="1"/>
  <c r="S642" i="1"/>
  <c r="S646" i="1"/>
  <c r="S647" i="1"/>
  <c r="D723" i="1" a="1"/>
  <c r="D725" i="1" a="1"/>
  <c r="D1458" i="21" l="1"/>
  <c r="D1459" i="21" s="1"/>
  <c r="D1460" i="21" s="1"/>
  <c r="D1461" i="21" s="1"/>
  <c r="D1462" i="21" s="1"/>
  <c r="D1463" i="21" s="1"/>
  <c r="D1464" i="21" s="1"/>
  <c r="D1465" i="21" s="1"/>
  <c r="D1466" i="21" s="1"/>
  <c r="D1467" i="21" s="1"/>
  <c r="D1468" i="21" s="1"/>
  <c r="D1469" i="21" s="1"/>
  <c r="D1470" i="21" s="1"/>
  <c r="D1471" i="21" s="1"/>
  <c r="D1472" i="21" s="1"/>
  <c r="D1474" i="21" s="1"/>
  <c r="D1475" i="21" s="1"/>
  <c r="D1476" i="21" s="1"/>
  <c r="D1477" i="21" s="1"/>
  <c r="D1478" i="21" s="1"/>
  <c r="D1479" i="21" s="1"/>
  <c r="D1480" i="21" s="1"/>
  <c r="D1481" i="21" s="1"/>
  <c r="D1482" i="21" s="1"/>
  <c r="D1483" i="21" s="1"/>
  <c r="D1484" i="21" s="1"/>
  <c r="D1485" i="21" s="1"/>
  <c r="D1486" i="21" s="1"/>
  <c r="D1487" i="21" s="1"/>
  <c r="D1488" i="21" s="1"/>
  <c r="D1489" i="21" s="1"/>
  <c r="D1491" i="21" s="1"/>
  <c r="D1492" i="21" s="1"/>
  <c r="D1493" i="21" s="1"/>
  <c r="D1494" i="21" s="1"/>
  <c r="D1495" i="21" s="1"/>
  <c r="D1496" i="21" s="1"/>
  <c r="D1497" i="21" s="1"/>
  <c r="D1498" i="21" s="1"/>
  <c r="D1499" i="21" s="1"/>
  <c r="D1500" i="21" s="1"/>
  <c r="D1501" i="21" s="1"/>
  <c r="D1502" i="21" s="1"/>
  <c r="D1503" i="21" s="1"/>
  <c r="D1504" i="21" s="1"/>
  <c r="D1505" i="21" s="1"/>
  <c r="D1506" i="21" s="1"/>
  <c r="D1508" i="21" s="1"/>
  <c r="D1509" i="21" s="1"/>
  <c r="D1510" i="21" s="1"/>
  <c r="D1511" i="21" s="1"/>
  <c r="D1512" i="21" s="1"/>
  <c r="D1513" i="21" s="1"/>
  <c r="D1514" i="21" s="1"/>
  <c r="D1515" i="21" s="1"/>
  <c r="D1516" i="21" s="1"/>
  <c r="D1517" i="21" s="1"/>
  <c r="D1518" i="21" s="1"/>
  <c r="D1519" i="21" s="1"/>
  <c r="D1520" i="21" s="1"/>
  <c r="D1521" i="21" s="1"/>
  <c r="D1522" i="21" s="1"/>
  <c r="D1523" i="21" s="1"/>
  <c r="D1525" i="21" s="1"/>
  <c r="D1526" i="21" s="1"/>
  <c r="D1527" i="21" s="1"/>
  <c r="D1528" i="21" s="1"/>
  <c r="D1529" i="21" s="1"/>
  <c r="D1530" i="21" s="1"/>
  <c r="D1531" i="21" s="1"/>
  <c r="D1532" i="21" s="1"/>
  <c r="D1533" i="21" s="1"/>
  <c r="D1534" i="21" s="1"/>
  <c r="D1535" i="21" s="1"/>
  <c r="D1536" i="21" s="1"/>
  <c r="D1537" i="21" s="1"/>
  <c r="D1538" i="21" s="1"/>
  <c r="D1539" i="21" s="1"/>
  <c r="D1540" i="21" s="1"/>
  <c r="S722" i="1" l="1"/>
  <c r="R722" i="1"/>
  <c r="Q722" i="1"/>
  <c r="P722" i="1"/>
  <c r="O722" i="1"/>
  <c r="N722" i="1"/>
  <c r="M722" i="1"/>
  <c r="S718" i="1"/>
  <c r="R718" i="1"/>
  <c r="Q718" i="1"/>
  <c r="P718" i="1"/>
  <c r="O718" i="1"/>
  <c r="N718" i="1"/>
  <c r="M718" i="1"/>
  <c r="S717" i="1"/>
  <c r="R717" i="1"/>
  <c r="Q717" i="1"/>
  <c r="P717" i="1"/>
  <c r="O717" i="1"/>
  <c r="N717" i="1"/>
  <c r="M717" i="1"/>
  <c r="S721" i="1"/>
  <c r="R721" i="1"/>
  <c r="Q721" i="1"/>
  <c r="P721" i="1"/>
  <c r="O721" i="1"/>
  <c r="N721" i="1"/>
  <c r="M721" i="1"/>
  <c r="S719" i="1"/>
  <c r="R719" i="1"/>
  <c r="Q719" i="1"/>
  <c r="P719" i="1"/>
  <c r="O719" i="1"/>
  <c r="N719" i="1"/>
  <c r="M719" i="1"/>
  <c r="S720" i="1"/>
  <c r="R720" i="1"/>
  <c r="Q720" i="1"/>
  <c r="P720" i="1"/>
  <c r="O720" i="1"/>
  <c r="N720" i="1"/>
  <c r="M720" i="1"/>
  <c r="S716" i="1"/>
  <c r="R716" i="1"/>
  <c r="Q716" i="1"/>
  <c r="P716" i="1"/>
  <c r="O716" i="1"/>
  <c r="N716" i="1"/>
  <c r="M716" i="1"/>
  <c r="D719" i="1" a="1"/>
  <c r="D716" i="1" a="1"/>
  <c r="D718" i="1" a="1"/>
  <c r="D717" i="1" a="1"/>
  <c r="D722" i="1" a="1"/>
  <c r="D721" i="1" a="1"/>
  <c r="D720" i="1" a="1"/>
  <c r="S694" i="1" l="1"/>
  <c r="R694" i="1"/>
  <c r="Q694" i="1"/>
  <c r="P694" i="1"/>
  <c r="O694" i="1"/>
  <c r="N694" i="1"/>
  <c r="M694" i="1"/>
  <c r="S715" i="1"/>
  <c r="R715" i="1"/>
  <c r="Q715" i="1"/>
  <c r="P715" i="1"/>
  <c r="O715" i="1"/>
  <c r="N715" i="1"/>
  <c r="M715" i="1"/>
  <c r="S713" i="1"/>
  <c r="R713" i="1"/>
  <c r="Q713" i="1"/>
  <c r="P713" i="1"/>
  <c r="O713" i="1"/>
  <c r="N713" i="1"/>
  <c r="M713" i="1"/>
  <c r="S710" i="1"/>
  <c r="R710" i="1"/>
  <c r="Q710" i="1"/>
  <c r="P710" i="1"/>
  <c r="O710" i="1"/>
  <c r="N710" i="1"/>
  <c r="M710" i="1"/>
  <c r="S714" i="1"/>
  <c r="R714" i="1"/>
  <c r="Q714" i="1"/>
  <c r="P714" i="1"/>
  <c r="O714" i="1"/>
  <c r="N714" i="1"/>
  <c r="M714" i="1"/>
  <c r="S676" i="1"/>
  <c r="R676" i="1"/>
  <c r="Q676" i="1"/>
  <c r="P676" i="1"/>
  <c r="O676" i="1"/>
  <c r="N676" i="1"/>
  <c r="M676" i="1"/>
  <c r="S702" i="1"/>
  <c r="R702" i="1"/>
  <c r="Q702" i="1"/>
  <c r="P702" i="1"/>
  <c r="O702" i="1"/>
  <c r="N702" i="1"/>
  <c r="M702" i="1"/>
  <c r="S711" i="1"/>
  <c r="R711" i="1"/>
  <c r="Q711" i="1"/>
  <c r="P711" i="1"/>
  <c r="O711" i="1"/>
  <c r="N711" i="1"/>
  <c r="M711" i="1"/>
  <c r="S712" i="1"/>
  <c r="R712" i="1"/>
  <c r="Q712" i="1"/>
  <c r="P712" i="1"/>
  <c r="O712" i="1"/>
  <c r="N712" i="1"/>
  <c r="M712" i="1"/>
  <c r="D713" i="1" a="1"/>
  <c r="D694" i="1" a="1"/>
  <c r="D710" i="1" a="1"/>
  <c r="D711" i="1" a="1"/>
  <c r="D715" i="1" a="1"/>
  <c r="D702" i="1" a="1"/>
  <c r="D714" i="1" a="1"/>
  <c r="D676" i="1" a="1"/>
  <c r="D712" i="1" a="1"/>
  <c r="S709" i="1" l="1"/>
  <c r="R709" i="1"/>
  <c r="Q709" i="1"/>
  <c r="P709" i="1"/>
  <c r="O709" i="1"/>
  <c r="N709" i="1"/>
  <c r="M709" i="1"/>
  <c r="S708" i="1"/>
  <c r="R708" i="1"/>
  <c r="Q708" i="1"/>
  <c r="P708" i="1"/>
  <c r="O708" i="1"/>
  <c r="N708" i="1"/>
  <c r="M708" i="1"/>
  <c r="S707" i="1"/>
  <c r="R707" i="1"/>
  <c r="Q707" i="1"/>
  <c r="P707" i="1"/>
  <c r="O707" i="1"/>
  <c r="N707" i="1"/>
  <c r="M707" i="1"/>
  <c r="S697" i="1"/>
  <c r="R697" i="1"/>
  <c r="Q697" i="1"/>
  <c r="P697" i="1"/>
  <c r="O697" i="1"/>
  <c r="N697" i="1"/>
  <c r="M697" i="1"/>
  <c r="S698" i="1"/>
  <c r="R698" i="1"/>
  <c r="Q698" i="1"/>
  <c r="P698" i="1"/>
  <c r="O698" i="1"/>
  <c r="N698" i="1"/>
  <c r="M698" i="1"/>
  <c r="S699" i="1"/>
  <c r="R699" i="1"/>
  <c r="Q699" i="1"/>
  <c r="P699" i="1"/>
  <c r="O699" i="1"/>
  <c r="N699" i="1"/>
  <c r="M699" i="1"/>
  <c r="S705" i="1"/>
  <c r="R705" i="1"/>
  <c r="Q705" i="1"/>
  <c r="P705" i="1"/>
  <c r="O705" i="1"/>
  <c r="N705" i="1"/>
  <c r="M705" i="1"/>
  <c r="S706" i="1"/>
  <c r="R706" i="1"/>
  <c r="Q706" i="1"/>
  <c r="P706" i="1"/>
  <c r="O706" i="1"/>
  <c r="N706" i="1"/>
  <c r="M706" i="1"/>
  <c r="S701" i="1"/>
  <c r="R701" i="1"/>
  <c r="Q701" i="1"/>
  <c r="P701" i="1"/>
  <c r="O701" i="1"/>
  <c r="N701" i="1"/>
  <c r="M701" i="1"/>
  <c r="S704" i="1"/>
  <c r="R704" i="1"/>
  <c r="Q704" i="1"/>
  <c r="P704" i="1"/>
  <c r="O704" i="1"/>
  <c r="N704" i="1"/>
  <c r="M704" i="1"/>
  <c r="S703" i="1"/>
  <c r="R703" i="1"/>
  <c r="Q703" i="1"/>
  <c r="P703" i="1"/>
  <c r="O703" i="1"/>
  <c r="N703" i="1"/>
  <c r="M703" i="1"/>
  <c r="S700" i="1"/>
  <c r="R700" i="1"/>
  <c r="Q700" i="1"/>
  <c r="P700" i="1"/>
  <c r="O700" i="1"/>
  <c r="N700" i="1"/>
  <c r="M700" i="1"/>
  <c r="D704" i="1" a="1"/>
  <c r="D700" i="1" a="1"/>
  <c r="D709" i="1" a="1"/>
  <c r="D706" i="1" a="1"/>
  <c r="D701" i="1" a="1"/>
  <c r="D698" i="1" a="1"/>
  <c r="D705" i="1" a="1"/>
  <c r="D703" i="1" a="1"/>
  <c r="D697" i="1" a="1"/>
  <c r="D699" i="1" a="1"/>
  <c r="D707" i="1" a="1"/>
  <c r="D708" i="1" a="1"/>
  <c r="S696" i="1" l="1"/>
  <c r="R696" i="1"/>
  <c r="Q696" i="1"/>
  <c r="P696" i="1"/>
  <c r="O696" i="1"/>
  <c r="N696" i="1"/>
  <c r="M696" i="1"/>
  <c r="S693" i="1"/>
  <c r="R693" i="1"/>
  <c r="Q693" i="1"/>
  <c r="P693" i="1"/>
  <c r="O693" i="1"/>
  <c r="N693" i="1"/>
  <c r="M693" i="1"/>
  <c r="S692" i="1"/>
  <c r="R692" i="1"/>
  <c r="Q692" i="1"/>
  <c r="P692" i="1"/>
  <c r="O692" i="1"/>
  <c r="N692" i="1"/>
  <c r="M692" i="1"/>
  <c r="S695" i="1"/>
  <c r="R695" i="1"/>
  <c r="Q695" i="1"/>
  <c r="P695" i="1"/>
  <c r="O695" i="1"/>
  <c r="N695" i="1"/>
  <c r="M695" i="1"/>
  <c r="S689" i="1"/>
  <c r="R689" i="1"/>
  <c r="Q689" i="1"/>
  <c r="P689" i="1"/>
  <c r="O689" i="1"/>
  <c r="N689" i="1"/>
  <c r="M689" i="1"/>
  <c r="S688" i="1"/>
  <c r="R688" i="1"/>
  <c r="Q688" i="1"/>
  <c r="P688" i="1"/>
  <c r="O688" i="1"/>
  <c r="N688" i="1"/>
  <c r="M688" i="1"/>
  <c r="S690" i="1"/>
  <c r="R690" i="1"/>
  <c r="Q690" i="1"/>
  <c r="P690" i="1"/>
  <c r="O690" i="1"/>
  <c r="N690" i="1"/>
  <c r="M690" i="1"/>
  <c r="S691" i="1"/>
  <c r="R691" i="1"/>
  <c r="Q691" i="1"/>
  <c r="P691" i="1"/>
  <c r="O691" i="1"/>
  <c r="N691" i="1"/>
  <c r="M691" i="1"/>
  <c r="D689" i="1" a="1"/>
  <c r="D688" i="1" a="1"/>
  <c r="D690" i="1" a="1"/>
  <c r="D695" i="1" a="1"/>
  <c r="D696" i="1" a="1"/>
  <c r="D691" i="1" a="1"/>
  <c r="D692" i="1" a="1"/>
  <c r="D693" i="1" a="1"/>
  <c r="S682" i="1" l="1"/>
  <c r="R682" i="1"/>
  <c r="Q682" i="1"/>
  <c r="P682" i="1"/>
  <c r="O682" i="1"/>
  <c r="N682" i="1"/>
  <c r="M682" i="1"/>
  <c r="D682" i="1" a="1"/>
  <c r="S687" i="1" l="1"/>
  <c r="R687" i="1"/>
  <c r="Q687" i="1"/>
  <c r="P687" i="1"/>
  <c r="O687" i="1"/>
  <c r="N687" i="1"/>
  <c r="M687" i="1"/>
  <c r="D687" i="1" a="1"/>
  <c r="S681" i="1" l="1"/>
  <c r="R681" i="1"/>
  <c r="Q681" i="1"/>
  <c r="P681" i="1"/>
  <c r="O681" i="1"/>
  <c r="N681" i="1"/>
  <c r="M681" i="1"/>
  <c r="S678" i="1"/>
  <c r="R678" i="1"/>
  <c r="Q678" i="1"/>
  <c r="P678" i="1"/>
  <c r="O678" i="1"/>
  <c r="N678" i="1"/>
  <c r="M678" i="1"/>
  <c r="S685" i="1"/>
  <c r="R685" i="1"/>
  <c r="Q685" i="1"/>
  <c r="P685" i="1"/>
  <c r="O685" i="1"/>
  <c r="N685" i="1"/>
  <c r="M685" i="1"/>
  <c r="S686" i="1"/>
  <c r="R686" i="1"/>
  <c r="Q686" i="1"/>
  <c r="P686" i="1"/>
  <c r="O686" i="1"/>
  <c r="N686" i="1"/>
  <c r="M686" i="1"/>
  <c r="S684" i="1"/>
  <c r="R684" i="1"/>
  <c r="Q684" i="1"/>
  <c r="P684" i="1"/>
  <c r="O684" i="1"/>
  <c r="N684" i="1"/>
  <c r="M684" i="1"/>
  <c r="S683" i="1"/>
  <c r="R683" i="1"/>
  <c r="Q683" i="1"/>
  <c r="P683" i="1"/>
  <c r="O683" i="1"/>
  <c r="N683" i="1"/>
  <c r="M683" i="1"/>
  <c r="D685" i="1" a="1"/>
  <c r="D678" i="1" a="1"/>
  <c r="D684" i="1" a="1"/>
  <c r="D681" i="1" a="1"/>
  <c r="D686" i="1" a="1"/>
  <c r="D683" i="1" a="1"/>
  <c r="S677" i="1" l="1"/>
  <c r="R677" i="1"/>
  <c r="Q677" i="1"/>
  <c r="P677" i="1"/>
  <c r="O677" i="1"/>
  <c r="N677" i="1"/>
  <c r="M677" i="1"/>
  <c r="S679" i="1"/>
  <c r="R679" i="1"/>
  <c r="Q679" i="1"/>
  <c r="P679" i="1"/>
  <c r="O679" i="1"/>
  <c r="N679" i="1"/>
  <c r="M679" i="1"/>
  <c r="S680" i="1"/>
  <c r="R680" i="1"/>
  <c r="Q680" i="1"/>
  <c r="P680" i="1"/>
  <c r="O680" i="1"/>
  <c r="N680" i="1"/>
  <c r="M680" i="1"/>
  <c r="D677" i="1" a="1"/>
  <c r="D679" i="1" a="1"/>
  <c r="D680" i="1" a="1"/>
  <c r="S675" i="1" l="1"/>
  <c r="R675" i="1"/>
  <c r="Q675" i="1"/>
  <c r="P675" i="1"/>
  <c r="O675" i="1"/>
  <c r="N675" i="1"/>
  <c r="M675" i="1"/>
  <c r="D675" i="1" a="1"/>
  <c r="S674" i="1" l="1"/>
  <c r="R674" i="1"/>
  <c r="Q674" i="1"/>
  <c r="P674" i="1"/>
  <c r="O674" i="1"/>
  <c r="N674" i="1"/>
  <c r="M674" i="1"/>
  <c r="D674" i="1" a="1"/>
  <c r="S669" i="1" l="1"/>
  <c r="R669" i="1"/>
  <c r="Q669" i="1"/>
  <c r="P669" i="1"/>
  <c r="O669" i="1"/>
  <c r="N669" i="1"/>
  <c r="M669" i="1"/>
  <c r="S670" i="1"/>
  <c r="R670" i="1"/>
  <c r="Q670" i="1"/>
  <c r="P670" i="1"/>
  <c r="O670" i="1"/>
  <c r="N670" i="1"/>
  <c r="M670" i="1"/>
  <c r="S667" i="1"/>
  <c r="R667" i="1"/>
  <c r="Q667" i="1"/>
  <c r="P667" i="1"/>
  <c r="O667" i="1"/>
  <c r="N667" i="1"/>
  <c r="M667" i="1"/>
  <c r="S672" i="1"/>
  <c r="R672" i="1"/>
  <c r="Q672" i="1"/>
  <c r="P672" i="1"/>
  <c r="O672" i="1"/>
  <c r="N672" i="1"/>
  <c r="M672" i="1"/>
  <c r="S673" i="1"/>
  <c r="R673" i="1"/>
  <c r="Q673" i="1"/>
  <c r="P673" i="1"/>
  <c r="O673" i="1"/>
  <c r="N673" i="1"/>
  <c r="M673" i="1"/>
  <c r="S671" i="1"/>
  <c r="R671" i="1"/>
  <c r="Q671" i="1"/>
  <c r="P671" i="1"/>
  <c r="O671" i="1"/>
  <c r="N671" i="1"/>
  <c r="M671" i="1"/>
  <c r="D673" i="1" a="1"/>
  <c r="D670" i="1" a="1"/>
  <c r="D669" i="1" a="1"/>
  <c r="D671" i="1" a="1"/>
  <c r="D672" i="1" a="1"/>
  <c r="D667" i="1" a="1"/>
  <c r="S668" i="1" l="1"/>
  <c r="R668" i="1"/>
  <c r="Q668" i="1"/>
  <c r="P668" i="1"/>
  <c r="O668" i="1"/>
  <c r="N668" i="1"/>
  <c r="M668" i="1"/>
  <c r="S666" i="1"/>
  <c r="R666" i="1"/>
  <c r="Q666" i="1"/>
  <c r="P666" i="1"/>
  <c r="O666" i="1"/>
  <c r="N666" i="1"/>
  <c r="M666" i="1"/>
  <c r="S663" i="1"/>
  <c r="R663" i="1"/>
  <c r="Q663" i="1"/>
  <c r="P663" i="1"/>
  <c r="O663" i="1"/>
  <c r="N663" i="1"/>
  <c r="M663" i="1"/>
  <c r="D666" i="1" a="1"/>
  <c r="D668" i="1" a="1"/>
  <c r="D663" i="1" a="1"/>
  <c r="S661" i="1" l="1"/>
  <c r="R661" i="1"/>
  <c r="Q661" i="1"/>
  <c r="P661" i="1"/>
  <c r="O661" i="1"/>
  <c r="N661" i="1"/>
  <c r="M661" i="1"/>
  <c r="S664" i="1"/>
  <c r="R664" i="1"/>
  <c r="Q664" i="1"/>
  <c r="P664" i="1"/>
  <c r="O664" i="1"/>
  <c r="N664" i="1"/>
  <c r="M664" i="1"/>
  <c r="S657" i="1"/>
  <c r="R657" i="1"/>
  <c r="Q657" i="1"/>
  <c r="P657" i="1"/>
  <c r="O657" i="1"/>
  <c r="N657" i="1"/>
  <c r="M657" i="1"/>
  <c r="S665" i="1"/>
  <c r="R665" i="1"/>
  <c r="Q665" i="1"/>
  <c r="P665" i="1"/>
  <c r="O665" i="1"/>
  <c r="N665" i="1"/>
  <c r="M665" i="1"/>
  <c r="D664" i="1" a="1"/>
  <c r="D657" i="1" a="1"/>
  <c r="D661" i="1" a="1"/>
  <c r="D665" i="1" a="1"/>
  <c r="D1220" i="21" l="1"/>
  <c r="D1221" i="21" s="1"/>
  <c r="D1222" i="21" s="1"/>
  <c r="D1223" i="21" s="1"/>
  <c r="D1224" i="21" s="1"/>
  <c r="D1225" i="21" s="1"/>
  <c r="D1226" i="21" s="1"/>
  <c r="D1227" i="21" s="1"/>
  <c r="D1228" i="21" s="1"/>
  <c r="D1229" i="21" s="1"/>
  <c r="D1230" i="21" s="1"/>
  <c r="D1231" i="21" s="1"/>
  <c r="D1232" i="21" s="1"/>
  <c r="D1233" i="21" s="1"/>
  <c r="D1234" i="21" s="1"/>
  <c r="D1236" i="21" s="1"/>
  <c r="D1237" i="21" s="1"/>
  <c r="D1238" i="21" s="1"/>
  <c r="D1239" i="21" s="1"/>
  <c r="D1240" i="21" s="1"/>
  <c r="D1241" i="21" s="1"/>
  <c r="D1242" i="21" s="1"/>
  <c r="D1243" i="21" s="1"/>
  <c r="D1244" i="21" s="1"/>
  <c r="D1245" i="21" s="1"/>
  <c r="D1246" i="21" s="1"/>
  <c r="D1247" i="21" s="1"/>
  <c r="D1248" i="21" s="1"/>
  <c r="D1249" i="21" s="1"/>
  <c r="D1250" i="21" s="1"/>
  <c r="D1251" i="21" s="1"/>
  <c r="D1253" i="21" s="1"/>
  <c r="D1254" i="21" s="1"/>
  <c r="D1255" i="21" s="1"/>
  <c r="D1256" i="21" s="1"/>
  <c r="D1257" i="21" s="1"/>
  <c r="D1258" i="21" s="1"/>
  <c r="D1259" i="21" s="1"/>
  <c r="D1260" i="21" s="1"/>
  <c r="D1261" i="21" s="1"/>
  <c r="D1262" i="21" s="1"/>
  <c r="D1263" i="21" s="1"/>
  <c r="D1264" i="21" s="1"/>
  <c r="D1265" i="21" s="1"/>
  <c r="D1266" i="21" s="1"/>
  <c r="D1267" i="21" s="1"/>
  <c r="D1268" i="21" s="1"/>
  <c r="D1270" i="21" s="1"/>
  <c r="D1271" i="21" s="1"/>
  <c r="D1272" i="21" s="1"/>
  <c r="D1273" i="21" s="1"/>
  <c r="D1274" i="21" s="1"/>
  <c r="D1275" i="21" s="1"/>
  <c r="D1276" i="21" s="1"/>
  <c r="D1277" i="21" s="1"/>
  <c r="D1278" i="21" s="1"/>
  <c r="D1279" i="21" s="1"/>
  <c r="D1280" i="21" s="1"/>
  <c r="D1281" i="21" s="1"/>
  <c r="D1282" i="21" s="1"/>
  <c r="D1283" i="21" s="1"/>
  <c r="D1284" i="21" s="1"/>
  <c r="D1285" i="21" s="1"/>
  <c r="D1287" i="21" s="1"/>
  <c r="D1288" i="21" s="1"/>
  <c r="D1289" i="21" s="1"/>
  <c r="D1290" i="21" s="1"/>
  <c r="D1291" i="21" s="1"/>
  <c r="D1292" i="21" s="1"/>
  <c r="D1293" i="21" s="1"/>
  <c r="D1294" i="21" s="1"/>
  <c r="D1295" i="21" s="1"/>
  <c r="D1296" i="21" s="1"/>
  <c r="D1297" i="21" s="1"/>
  <c r="D1298" i="21" s="1"/>
  <c r="D1299" i="21" s="1"/>
  <c r="D1300" i="21" s="1"/>
  <c r="D1301" i="21" s="1"/>
  <c r="D1302" i="21" l="1"/>
  <c r="D1304" i="21" s="1"/>
  <c r="D1305" i="21" s="1"/>
  <c r="D1306" i="21" s="1"/>
  <c r="D1307" i="21" s="1"/>
  <c r="D1308" i="21" s="1"/>
  <c r="D1309" i="21" s="1"/>
  <c r="D1310" i="21" s="1"/>
  <c r="D1311" i="21" s="1"/>
  <c r="D1312" i="21" s="1"/>
  <c r="D1313" i="21" s="1"/>
  <c r="D1314" i="21" s="1"/>
  <c r="D1315" i="21" s="1"/>
  <c r="D1316" i="21" s="1"/>
  <c r="D1317" i="21" s="1"/>
  <c r="D1318" i="21" s="1"/>
  <c r="D1319" i="21" s="1"/>
  <c r="D1321" i="21" s="1"/>
  <c r="D1322" i="21" s="1"/>
  <c r="D1323" i="21" s="1"/>
  <c r="D1324" i="21" s="1"/>
  <c r="D1325" i="21" s="1"/>
  <c r="D1326" i="21" s="1"/>
  <c r="D1327" i="21" s="1"/>
  <c r="D1328" i="21" s="1"/>
  <c r="D1329" i="21" s="1"/>
  <c r="D1330" i="21" s="1"/>
  <c r="D1331" i="21" s="1"/>
  <c r="D1332" i="21" s="1"/>
  <c r="D1333" i="21" s="1"/>
  <c r="D1334" i="21" s="1"/>
  <c r="D1335" i="21" s="1"/>
  <c r="D1336" i="21" s="1"/>
  <c r="D1338" i="21"/>
  <c r="D1339" i="21" s="1"/>
  <c r="D1340" i="21" s="1"/>
  <c r="D1341" i="21" s="1"/>
  <c r="D1342" i="21" s="1"/>
  <c r="D1343" i="21" s="1"/>
  <c r="D1344" i="21" s="1"/>
  <c r="D1345" i="21" s="1"/>
  <c r="D1346" i="21" s="1"/>
  <c r="D1347" i="21" s="1"/>
  <c r="D1348" i="21" s="1"/>
  <c r="D1349" i="21" s="1"/>
  <c r="D1350" i="21" s="1"/>
  <c r="D1351" i="21" s="1"/>
  <c r="D1352" i="21" s="1"/>
  <c r="D1353" i="21" s="1"/>
  <c r="D1355" i="21" s="1"/>
  <c r="D1356" i="21" s="1"/>
  <c r="D1357" i="21" s="1"/>
  <c r="D1358" i="21" s="1"/>
  <c r="D1359" i="21" s="1"/>
  <c r="D1360" i="21" s="1"/>
  <c r="D1361" i="21" s="1"/>
  <c r="D1362" i="21" s="1"/>
  <c r="D1363" i="21" s="1"/>
  <c r="D1364" i="21" s="1"/>
  <c r="D1365" i="21" s="1"/>
  <c r="D1366" i="21" s="1"/>
  <c r="D1367" i="21" s="1"/>
  <c r="D1368" i="21" s="1"/>
  <c r="D1369" i="21" s="1"/>
  <c r="D1370" i="21" s="1"/>
  <c r="D1372" i="21" s="1"/>
  <c r="D1373" i="21" s="1"/>
  <c r="D1374" i="21" s="1"/>
  <c r="D1375" i="21" s="1"/>
  <c r="D1376" i="21" s="1"/>
  <c r="D1377" i="21" s="1"/>
  <c r="D1378" i="21" s="1"/>
  <c r="D1379" i="21" s="1"/>
  <c r="D1380" i="21" s="1"/>
  <c r="D1381" i="21" s="1"/>
  <c r="D1382" i="21" s="1"/>
  <c r="D1383" i="21" s="1"/>
  <c r="D1384" i="21" s="1"/>
  <c r="D1385" i="21" s="1"/>
  <c r="D1386" i="21" s="1"/>
  <c r="D1387" i="21" s="1"/>
  <c r="D1389" i="21" s="1"/>
  <c r="D1390" i="21" s="1"/>
  <c r="D1391" i="21" s="1"/>
  <c r="D1392" i="21" s="1"/>
  <c r="D1393" i="21" s="1"/>
  <c r="D1394" i="21" s="1"/>
  <c r="D1395" i="21" s="1"/>
  <c r="D1396" i="21" s="1"/>
  <c r="D1397" i="21" s="1"/>
  <c r="D1398" i="21" s="1"/>
  <c r="D1399" i="21" s="1"/>
  <c r="D1400" i="21" s="1"/>
  <c r="D1401" i="21" s="1"/>
  <c r="D1402" i="21" s="1"/>
  <c r="D1403" i="21" s="1"/>
  <c r="D1404" i="21" s="1"/>
  <c r="D1406" i="21" s="1"/>
  <c r="D1407" i="21" s="1"/>
  <c r="D1408" i="21" s="1"/>
  <c r="D1409" i="21" s="1"/>
  <c r="D1410" i="21" s="1"/>
  <c r="D1411" i="21" s="1"/>
  <c r="D1412" i="21" s="1"/>
  <c r="D1413" i="21" s="1"/>
  <c r="D1414" i="21" s="1"/>
  <c r="D1415" i="21" s="1"/>
  <c r="D1416" i="21" s="1"/>
  <c r="D1417" i="21" s="1"/>
  <c r="D1418" i="21" s="1"/>
  <c r="D1419" i="21" s="1"/>
  <c r="D1420" i="21" s="1"/>
  <c r="D1421" i="21" s="1"/>
  <c r="D1423" i="21" s="1"/>
  <c r="D1424" i="21" s="1"/>
  <c r="D1425" i="21" s="1"/>
  <c r="D1426" i="21" s="1"/>
  <c r="D1427" i="21" s="1"/>
  <c r="D1428" i="21" s="1"/>
  <c r="D1429" i="21" s="1"/>
  <c r="D1430" i="21" s="1"/>
  <c r="D1431" i="21" s="1"/>
  <c r="D1432" i="21" s="1"/>
  <c r="D1433" i="21" s="1"/>
  <c r="D1434" i="21" s="1"/>
  <c r="D1435" i="21" s="1"/>
  <c r="D1436" i="21" s="1"/>
  <c r="D1437" i="21" s="1"/>
  <c r="D1438" i="21" s="1"/>
  <c r="D1440" i="21" s="1"/>
  <c r="D1441" i="21" s="1"/>
  <c r="D1442" i="21" s="1"/>
  <c r="D1443" i="21" s="1"/>
  <c r="D1444" i="21" s="1"/>
  <c r="D1445" i="21" s="1"/>
  <c r="D1446" i="21" s="1"/>
  <c r="D1447" i="21" s="1"/>
  <c r="D1448" i="21" s="1"/>
  <c r="D1449" i="21" s="1"/>
  <c r="D1450" i="21" s="1"/>
  <c r="D1451" i="21" s="1"/>
  <c r="D1452" i="21" s="1"/>
  <c r="D1453" i="21" s="1"/>
  <c r="D1454" i="21" s="1"/>
  <c r="D1455" i="21" s="1"/>
  <c r="S662" i="1"/>
  <c r="R662" i="1"/>
  <c r="Q662" i="1"/>
  <c r="P662" i="1"/>
  <c r="O662" i="1"/>
  <c r="N662" i="1"/>
  <c r="M662" i="1"/>
  <c r="S659" i="1"/>
  <c r="R659" i="1"/>
  <c r="Q659" i="1"/>
  <c r="P659" i="1"/>
  <c r="O659" i="1"/>
  <c r="N659" i="1"/>
  <c r="M659" i="1"/>
  <c r="S660" i="1"/>
  <c r="R660" i="1"/>
  <c r="Q660" i="1"/>
  <c r="P660" i="1"/>
  <c r="O660" i="1"/>
  <c r="N660" i="1"/>
  <c r="M660" i="1"/>
  <c r="S658" i="1"/>
  <c r="R658" i="1"/>
  <c r="Q658" i="1"/>
  <c r="P658" i="1"/>
  <c r="O658" i="1"/>
  <c r="N658" i="1"/>
  <c r="M658" i="1"/>
  <c r="S656" i="1"/>
  <c r="R656" i="1"/>
  <c r="Q656" i="1"/>
  <c r="P656" i="1"/>
  <c r="O656" i="1"/>
  <c r="N656" i="1"/>
  <c r="M656" i="1"/>
  <c r="D658" i="1" a="1"/>
  <c r="D662" i="1" a="1"/>
  <c r="D656" i="1" a="1"/>
  <c r="D660" i="1" a="1"/>
  <c r="D659" i="1" a="1"/>
  <c r="S653" i="1" l="1"/>
  <c r="R653" i="1"/>
  <c r="Q653" i="1"/>
  <c r="P653" i="1"/>
  <c r="O653" i="1"/>
  <c r="N653" i="1"/>
  <c r="M653" i="1"/>
  <c r="S655" i="1"/>
  <c r="R655" i="1"/>
  <c r="Q655" i="1"/>
  <c r="P655" i="1"/>
  <c r="O655" i="1"/>
  <c r="N655" i="1"/>
  <c r="M655" i="1"/>
  <c r="D653" i="1" a="1"/>
  <c r="D655" i="1" a="1"/>
  <c r="S648" i="1" l="1"/>
  <c r="S651" i="1"/>
  <c r="S652" i="1"/>
  <c r="S654" i="1"/>
  <c r="S650" i="1"/>
  <c r="R648" i="1"/>
  <c r="R651" i="1"/>
  <c r="R652" i="1"/>
  <c r="R654" i="1"/>
  <c r="R650" i="1"/>
  <c r="Q648" i="1"/>
  <c r="Q651" i="1"/>
  <c r="Q652" i="1"/>
  <c r="Q654" i="1"/>
  <c r="Q650" i="1"/>
  <c r="P648" i="1"/>
  <c r="P651" i="1"/>
  <c r="P652" i="1"/>
  <c r="P654" i="1"/>
  <c r="P650" i="1"/>
  <c r="O648" i="1"/>
  <c r="O651" i="1"/>
  <c r="O652" i="1"/>
  <c r="O654" i="1"/>
  <c r="O650" i="1"/>
  <c r="N648" i="1"/>
  <c r="N651" i="1"/>
  <c r="N652" i="1"/>
  <c r="N654" i="1"/>
  <c r="N650" i="1"/>
  <c r="M648" i="1"/>
  <c r="M651" i="1"/>
  <c r="M652" i="1"/>
  <c r="M654" i="1"/>
  <c r="M650" i="1"/>
  <c r="R647" i="1"/>
  <c r="Q647" i="1"/>
  <c r="P647" i="1"/>
  <c r="O647" i="1"/>
  <c r="N647" i="1"/>
  <c r="M647" i="1"/>
  <c r="S643" i="1" l="1"/>
  <c r="S644" i="1"/>
  <c r="S645" i="1"/>
  <c r="S649" i="1"/>
  <c r="R643" i="1"/>
  <c r="R644" i="1"/>
  <c r="R645" i="1"/>
  <c r="R649" i="1"/>
  <c r="R646" i="1"/>
  <c r="Q643" i="1"/>
  <c r="Q644" i="1"/>
  <c r="Q645" i="1"/>
  <c r="Q649" i="1"/>
  <c r="Q646" i="1"/>
  <c r="P643" i="1"/>
  <c r="P644" i="1"/>
  <c r="P645" i="1"/>
  <c r="P649" i="1"/>
  <c r="P646" i="1"/>
  <c r="O643" i="1"/>
  <c r="O644" i="1"/>
  <c r="O645" i="1"/>
  <c r="O649" i="1"/>
  <c r="O646" i="1"/>
  <c r="N643" i="1"/>
  <c r="N644" i="1"/>
  <c r="N645" i="1"/>
  <c r="N649" i="1"/>
  <c r="N646" i="1"/>
  <c r="M643" i="1"/>
  <c r="M644" i="1"/>
  <c r="M645" i="1"/>
  <c r="M649" i="1"/>
  <c r="M646" i="1"/>
  <c r="S639" i="1"/>
  <c r="S641" i="1"/>
  <c r="R635" i="1"/>
  <c r="R639" i="1"/>
  <c r="R640" i="1"/>
  <c r="R641" i="1"/>
  <c r="R642" i="1"/>
  <c r="Q635" i="1"/>
  <c r="Q639" i="1"/>
  <c r="Q640" i="1"/>
  <c r="Q641" i="1"/>
  <c r="Q642" i="1"/>
  <c r="P635" i="1"/>
  <c r="P639" i="1"/>
  <c r="P640" i="1"/>
  <c r="P641" i="1"/>
  <c r="P642" i="1"/>
  <c r="O635" i="1"/>
  <c r="O639" i="1"/>
  <c r="O640" i="1"/>
  <c r="O641" i="1"/>
  <c r="O642" i="1"/>
  <c r="N635" i="1"/>
  <c r="N639" i="1"/>
  <c r="N640" i="1"/>
  <c r="N641" i="1"/>
  <c r="N642" i="1"/>
  <c r="M635" i="1"/>
  <c r="M639" i="1"/>
  <c r="M640" i="1"/>
  <c r="M641" i="1"/>
  <c r="M642" i="1"/>
  <c r="S637" i="1"/>
  <c r="R637" i="1"/>
  <c r="Q637" i="1"/>
  <c r="P637" i="1"/>
  <c r="O637" i="1"/>
  <c r="N637" i="1"/>
  <c r="M637" i="1"/>
  <c r="M638" i="1" l="1"/>
  <c r="N638" i="1"/>
  <c r="O638" i="1"/>
  <c r="P638" i="1"/>
  <c r="Q638" i="1"/>
  <c r="R638" i="1"/>
  <c r="S638" i="1"/>
  <c r="M636" i="1"/>
  <c r="N636" i="1"/>
  <c r="O636" i="1"/>
  <c r="P636" i="1"/>
  <c r="Q636" i="1"/>
  <c r="R636" i="1"/>
  <c r="S636" i="1"/>
  <c r="M634" i="1"/>
  <c r="N634" i="1"/>
  <c r="O634" i="1"/>
  <c r="P634" i="1"/>
  <c r="Q634" i="1"/>
  <c r="R634" i="1"/>
  <c r="S634" i="1"/>
  <c r="E643" i="1" l="1"/>
  <c r="S632" i="1" l="1"/>
  <c r="R632" i="1"/>
  <c r="Q632" i="1"/>
  <c r="P632" i="1"/>
  <c r="O632" i="1"/>
  <c r="N632" i="1"/>
  <c r="M632" i="1"/>
  <c r="S633" i="1"/>
  <c r="R633" i="1"/>
  <c r="Q633" i="1"/>
  <c r="P633" i="1"/>
  <c r="O633" i="1"/>
  <c r="N633" i="1"/>
  <c r="M633" i="1"/>
  <c r="S631" i="1" l="1"/>
  <c r="R631" i="1"/>
  <c r="Q631" i="1"/>
  <c r="P631" i="1"/>
  <c r="O631" i="1"/>
  <c r="N631" i="1"/>
  <c r="M631" i="1"/>
  <c r="S622" i="1"/>
  <c r="R622" i="1"/>
  <c r="Q622" i="1"/>
  <c r="P622" i="1"/>
  <c r="O622" i="1"/>
  <c r="N622" i="1"/>
  <c r="M622" i="1"/>
  <c r="S627" i="1"/>
  <c r="R627" i="1"/>
  <c r="Q627" i="1"/>
  <c r="P627" i="1"/>
  <c r="O627" i="1"/>
  <c r="N627" i="1"/>
  <c r="M627" i="1"/>
  <c r="S630" i="1"/>
  <c r="R630" i="1"/>
  <c r="Q630" i="1"/>
  <c r="P630" i="1"/>
  <c r="O630" i="1"/>
  <c r="N630" i="1"/>
  <c r="M630" i="1"/>
  <c r="S629" i="1"/>
  <c r="R629" i="1"/>
  <c r="Q629" i="1"/>
  <c r="P629" i="1"/>
  <c r="O629" i="1"/>
  <c r="N629" i="1"/>
  <c r="M629" i="1"/>
  <c r="S626" i="1" l="1"/>
  <c r="R626" i="1"/>
  <c r="Q626" i="1"/>
  <c r="P626" i="1"/>
  <c r="O626" i="1"/>
  <c r="N626" i="1"/>
  <c r="M626" i="1"/>
  <c r="S628" i="1"/>
  <c r="R628" i="1"/>
  <c r="Q628" i="1"/>
  <c r="P628" i="1"/>
  <c r="O628" i="1"/>
  <c r="N628" i="1"/>
  <c r="M628" i="1"/>
  <c r="D1050" i="21" l="1"/>
  <c r="D1051" i="21" s="1"/>
  <c r="D1052" i="21" s="1"/>
  <c r="D1053" i="21" s="1"/>
  <c r="D1054" i="21" s="1"/>
  <c r="D1055" i="21" s="1"/>
  <c r="D1056" i="21" s="1"/>
  <c r="D1057" i="21" s="1"/>
  <c r="D1058" i="21" s="1"/>
  <c r="D1059" i="21" s="1"/>
  <c r="D1060" i="21" s="1"/>
  <c r="D1061" i="21" s="1"/>
  <c r="D1062" i="21" s="1"/>
  <c r="D1063" i="21" s="1"/>
  <c r="D1064" i="21" s="1"/>
  <c r="D1066" i="21" s="1"/>
  <c r="D1067" i="21" s="1"/>
  <c r="D1068" i="21" s="1"/>
  <c r="D1069" i="21" s="1"/>
  <c r="D1070" i="21" s="1"/>
  <c r="D1071" i="21" s="1"/>
  <c r="D1072" i="21" s="1"/>
  <c r="D1073" i="21" s="1"/>
  <c r="D1074" i="21" s="1"/>
  <c r="D1075" i="21" s="1"/>
  <c r="D1076" i="21" s="1"/>
  <c r="D1077" i="21" s="1"/>
  <c r="D1078" i="21" s="1"/>
  <c r="D1079" i="21" s="1"/>
  <c r="D1080" i="21" s="1"/>
  <c r="D1081" i="21" s="1"/>
  <c r="D1083" i="21" s="1"/>
  <c r="D1084" i="21" s="1"/>
  <c r="D1085" i="21" s="1"/>
  <c r="D1086" i="21" s="1"/>
  <c r="D1087" i="21" s="1"/>
  <c r="D1088" i="21" s="1"/>
  <c r="D1089" i="21" s="1"/>
  <c r="D1090" i="21" s="1"/>
  <c r="D1091" i="21" s="1"/>
  <c r="D1092" i="21" s="1"/>
  <c r="D1093" i="21" s="1"/>
  <c r="D1094" i="21" s="1"/>
  <c r="D1095" i="21" s="1"/>
  <c r="D1096" i="21" s="1"/>
  <c r="D1097" i="21" s="1"/>
  <c r="D1098" i="21" s="1"/>
  <c r="D1100" i="21" s="1"/>
  <c r="D1101" i="21" s="1"/>
  <c r="D1102" i="21" s="1"/>
  <c r="D1103" i="21" s="1"/>
  <c r="D1104" i="21" s="1"/>
  <c r="D1105" i="21" s="1"/>
  <c r="D1106" i="21" s="1"/>
  <c r="D1107" i="21" s="1"/>
  <c r="D1108" i="21" s="1"/>
  <c r="D1109" i="21" s="1"/>
  <c r="D1110" i="21" s="1"/>
  <c r="D1111" i="21" s="1"/>
  <c r="D1112" i="21" s="1"/>
  <c r="D1113" i="21" s="1"/>
  <c r="D1114" i="21" s="1"/>
  <c r="D1115" i="21" s="1"/>
  <c r="D1117" i="21" s="1"/>
  <c r="D1118" i="21" s="1"/>
  <c r="D1119" i="21" s="1"/>
  <c r="D1120" i="21" s="1"/>
  <c r="D1121" i="21" s="1"/>
  <c r="D1122" i="21" s="1"/>
  <c r="D1123" i="21" s="1"/>
  <c r="D1124" i="21" s="1"/>
  <c r="D1125" i="21" s="1"/>
  <c r="D1126" i="21" s="1"/>
  <c r="D1127" i="21" s="1"/>
  <c r="D1128" i="21" s="1"/>
  <c r="D1129" i="21" s="1"/>
  <c r="D1130" i="21" s="1"/>
  <c r="D1131" i="21" s="1"/>
  <c r="D1134" i="21" s="1"/>
  <c r="D1135" i="21" s="1"/>
  <c r="D1136" i="21" s="1"/>
  <c r="D1137" i="21" s="1"/>
  <c r="D1138" i="21" s="1"/>
  <c r="D1139" i="21" s="1"/>
  <c r="D1140" i="21" s="1"/>
  <c r="D1141" i="21" s="1"/>
  <c r="D1142" i="21" s="1"/>
  <c r="D1143" i="21" s="1"/>
  <c r="D1144" i="21" s="1"/>
  <c r="D1145" i="21" s="1"/>
  <c r="D1146" i="21" s="1"/>
  <c r="D1147" i="21" s="1"/>
  <c r="D1148" i="21" s="1"/>
  <c r="D1149" i="21" s="1"/>
  <c r="D1151" i="21" s="1"/>
  <c r="D1152" i="21" s="1"/>
  <c r="D1153" i="21" s="1"/>
  <c r="D1154" i="21" s="1"/>
  <c r="D1155" i="21" s="1"/>
  <c r="D1156" i="21" s="1"/>
  <c r="D1157" i="21" s="1"/>
  <c r="D1158" i="21" s="1"/>
  <c r="D1159" i="21" s="1"/>
  <c r="D1160" i="21" s="1"/>
  <c r="D1161" i="21" s="1"/>
  <c r="D1162" i="21" s="1"/>
  <c r="D1163" i="21" s="1"/>
  <c r="D1164" i="21" s="1"/>
  <c r="D1165" i="21" s="1"/>
  <c r="D1166" i="21" s="1"/>
  <c r="D1168" i="21" s="1"/>
  <c r="D1169" i="21" s="1"/>
  <c r="D1170" i="21" s="1"/>
  <c r="D1171" i="21" s="1"/>
  <c r="D1172" i="21" s="1"/>
  <c r="D1173" i="21" s="1"/>
  <c r="D1174" i="21" s="1"/>
  <c r="D1175" i="21" s="1"/>
  <c r="D1176" i="21" s="1"/>
  <c r="D1177" i="21" s="1"/>
  <c r="D1178" i="21" s="1"/>
  <c r="D1179" i="21" s="1"/>
  <c r="D1180" i="21" s="1"/>
  <c r="D1181" i="21" s="1"/>
  <c r="D1182" i="21" s="1"/>
  <c r="D1183" i="21" s="1"/>
  <c r="D1185" i="21" s="1"/>
  <c r="D1186" i="21" s="1"/>
  <c r="D1187" i="21" s="1"/>
  <c r="D1188" i="21" s="1"/>
  <c r="D1189" i="21" s="1"/>
  <c r="D1190" i="21" s="1"/>
  <c r="D1191" i="21" s="1"/>
  <c r="D1192" i="21" s="1"/>
  <c r="D1193" i="21" s="1"/>
  <c r="D1194" i="21" s="1"/>
  <c r="D1195" i="21" s="1"/>
  <c r="D1196" i="21" s="1"/>
  <c r="D1197" i="21" s="1"/>
  <c r="D1198" i="21" s="1"/>
  <c r="D1199" i="21" s="1"/>
  <c r="D1200" i="21" l="1"/>
  <c r="D1202" i="21"/>
  <c r="D1203" i="21" s="1"/>
  <c r="D1204" i="21" s="1"/>
  <c r="D1205" i="21" s="1"/>
  <c r="D1206" i="21" s="1"/>
  <c r="D1207" i="21" s="1"/>
  <c r="D1208" i="21" s="1"/>
  <c r="D1209" i="21" s="1"/>
  <c r="D1210" i="21" s="1"/>
  <c r="D1211" i="21" s="1"/>
  <c r="D1212" i="21" s="1"/>
  <c r="D1213" i="21" s="1"/>
  <c r="D1214" i="21" s="1"/>
  <c r="D1215" i="21" s="1"/>
  <c r="D1216" i="21" s="1"/>
  <c r="D1217" i="21" s="1"/>
  <c r="D1132" i="21"/>
  <c r="D124" i="1" a="1"/>
  <c r="D308" i="1" a="1"/>
  <c r="D250" i="1" a="1"/>
  <c r="D403" i="1" a="1"/>
  <c r="D575" i="1" a="1"/>
  <c r="D177" i="1" a="1"/>
  <c r="D285" i="1" a="1"/>
  <c r="D631" i="1" a="1"/>
  <c r="D302" i="1" a="1"/>
  <c r="D246" i="1" a="1"/>
  <c r="D399" i="1" a="1"/>
  <c r="D561" i="1" a="1"/>
  <c r="D523" i="1" a="1"/>
  <c r="D153" i="1" a="1"/>
  <c r="D547" i="1" a="1"/>
  <c r="D629" i="1" a="1"/>
  <c r="D117" i="1" a="1"/>
  <c r="D500" i="1" a="1"/>
  <c r="D423" i="1" a="1"/>
  <c r="D123" i="1" a="1"/>
  <c r="D288" i="1" a="1"/>
  <c r="D600" i="1" a="1"/>
  <c r="D642" i="1" a="1"/>
  <c r="D464" i="1" a="1"/>
  <c r="D128" i="1" a="1"/>
  <c r="D456" i="1" a="1"/>
  <c r="D558" i="1" a="1"/>
  <c r="D126" i="1" a="1"/>
  <c r="D522" i="1" a="1"/>
  <c r="D98" i="1" a="1"/>
  <c r="D463" i="1" a="1"/>
  <c r="D344" i="1" a="1"/>
  <c r="D309" i="1" a="1"/>
  <c r="D138" i="1" a="1"/>
  <c r="D17" i="1" a="1"/>
  <c r="D454" i="1" a="1"/>
  <c r="D448" i="1" a="1"/>
  <c r="D214" i="1" a="1"/>
  <c r="D647" i="1" a="1"/>
  <c r="D373" i="1" a="1"/>
  <c r="D562" i="1" a="1"/>
  <c r="D384" i="1" a="1"/>
  <c r="D29" i="1" a="1"/>
  <c r="D544" i="1" a="1"/>
  <c r="D267" i="1" a="1"/>
  <c r="D536" i="1" a="1"/>
  <c r="D474" i="1" a="1"/>
  <c r="D289" i="1" a="1"/>
  <c r="D413" i="1" a="1"/>
  <c r="D112" i="1" a="1"/>
  <c r="D574" i="1" a="1"/>
  <c r="D159" i="1" a="1"/>
  <c r="D272" i="1" a="1"/>
  <c r="D529" i="1" a="1"/>
  <c r="D99" i="1" a="1"/>
  <c r="D431" i="1" a="1"/>
  <c r="D505" i="1" a="1"/>
  <c r="D26" i="1" a="1"/>
  <c r="D174" i="1" a="1"/>
  <c r="D325" i="1" a="1"/>
  <c r="D130" i="1" a="1"/>
  <c r="D217" i="1" a="1"/>
  <c r="D231" i="1" a="1"/>
  <c r="D106" i="1" a="1"/>
  <c r="D290" i="1" a="1"/>
  <c r="D23" i="1" a="1"/>
  <c r="D118" i="1" a="1"/>
  <c r="D319" i="1" a="1"/>
  <c r="D20" i="1" a="1"/>
  <c r="D617" i="1" a="1"/>
  <c r="D140" i="1" a="1"/>
  <c r="D475" i="1" a="1"/>
  <c r="D74" i="1" a="1"/>
  <c r="D178" i="1" a="1"/>
  <c r="D119" i="1" a="1"/>
  <c r="D215" i="1" a="1"/>
  <c r="D422" i="1" a="1"/>
  <c r="D59" i="1" a="1"/>
  <c r="D292" i="1" a="1"/>
  <c r="D349" i="1" a="1"/>
  <c r="D283" i="1" a="1"/>
  <c r="D598" i="1" a="1"/>
  <c r="D435" i="1" a="1"/>
  <c r="D3" i="1" a="1"/>
  <c r="D554" i="1" a="1"/>
  <c r="D651" i="1" a="1"/>
  <c r="D9" i="1" a="1"/>
  <c r="D235" i="1" a="1"/>
  <c r="D635" i="1" a="1"/>
  <c r="D526" i="1" a="1"/>
  <c r="D307" i="1" a="1"/>
  <c r="D510" i="1" a="1"/>
  <c r="D67" i="1" a="1"/>
  <c r="D164" i="1" a="1"/>
  <c r="D640" i="1" a="1"/>
  <c r="D595" i="1" a="1"/>
  <c r="D228" i="1" a="1"/>
  <c r="D612" i="1" a="1"/>
  <c r="D127" i="1" a="1"/>
  <c r="D443" i="1" a="1"/>
  <c r="D556" i="1" a="1"/>
  <c r="D271" i="1" a="1"/>
  <c r="D44" i="1" a="1"/>
  <c r="D297" i="1" a="1"/>
  <c r="D502" i="1" a="1"/>
  <c r="D291" i="1" a="1"/>
  <c r="D436" i="1" a="1"/>
  <c r="D84" i="1" a="1"/>
  <c r="D343" i="1" a="1"/>
  <c r="D489" i="1" a="1"/>
  <c r="D19" i="1" a="1"/>
  <c r="D266" i="1" a="1"/>
  <c r="D162" i="1" a="1"/>
  <c r="D636" i="1" a="1"/>
  <c r="D528" i="1" a="1"/>
  <c r="D347" i="1" a="1"/>
  <c r="D378" i="1" a="1"/>
  <c r="D495" i="1" a="1"/>
  <c r="D555" i="1" a="1"/>
  <c r="D303" i="1" a="1"/>
  <c r="D548" i="1" a="1"/>
  <c r="D418" i="1" a="1"/>
  <c r="D607" i="1" a="1"/>
  <c r="D220" i="1" a="1"/>
  <c r="D53" i="1" a="1"/>
  <c r="D364" i="1" a="1"/>
  <c r="D582" i="1" a="1"/>
  <c r="D416" i="1" a="1"/>
  <c r="D406" i="1" a="1"/>
  <c r="D484" i="1" a="1"/>
  <c r="D408" i="1" a="1"/>
  <c r="D563" i="1" a="1"/>
  <c r="D72" i="1" a="1"/>
  <c r="D4" i="1" a="1"/>
  <c r="D535" i="1" a="1"/>
  <c r="D223" i="1" a="1"/>
  <c r="D6" i="1" a="1"/>
  <c r="D269" i="1" a="1"/>
  <c r="D524" i="1" a="1"/>
  <c r="D10" i="1" a="1"/>
  <c r="D398" i="1" a="1"/>
  <c r="D604" i="1" a="1"/>
  <c r="D545" i="1" a="1"/>
  <c r="D400" i="1" a="1"/>
  <c r="D77" i="1" a="1"/>
  <c r="D501" i="1" a="1"/>
  <c r="D202" i="1" a="1"/>
  <c r="D511" i="1" a="1"/>
  <c r="D97" i="1" a="1"/>
  <c r="D264" i="1" a="1"/>
  <c r="D477" i="1" a="1"/>
  <c r="D125" i="1" a="1"/>
  <c r="D208" i="1" a="1"/>
  <c r="D648" i="1" a="1"/>
  <c r="D280" i="1" a="1"/>
  <c r="D480" i="1" a="1"/>
  <c r="D56" i="1" a="1"/>
  <c r="D109" i="1" a="1"/>
  <c r="D147" i="1" a="1"/>
  <c r="D503" i="1" a="1"/>
  <c r="D592" i="1" a="1"/>
  <c r="D102" i="1" a="1"/>
  <c r="D644" i="1" a="1"/>
  <c r="D51" i="1" a="1"/>
  <c r="D193" i="1" a="1"/>
  <c r="D641" i="1" a="1"/>
  <c r="D618" i="1" a="1"/>
  <c r="D224" i="1" a="1"/>
  <c r="D152" i="1" a="1"/>
  <c r="D551" i="1" a="1"/>
  <c r="D312" i="1" a="1"/>
  <c r="D354" i="1" a="1"/>
  <c r="D188" i="1" a="1"/>
  <c r="D80" i="1" a="1"/>
  <c r="D95" i="1" a="1"/>
  <c r="D530" i="1" a="1"/>
  <c r="D35" i="1" a="1"/>
  <c r="D438" i="1" a="1"/>
  <c r="D514" i="1" a="1"/>
  <c r="D394" i="1" a="1"/>
  <c r="D353" i="1" a="1"/>
  <c r="D279" i="1" a="1"/>
  <c r="D389" i="1" a="1"/>
  <c r="D531" i="1" a="1"/>
  <c r="D238" i="1" a="1"/>
  <c r="D390" i="1" a="1"/>
  <c r="D356" i="1" a="1"/>
  <c r="D572" i="1" a="1"/>
  <c r="D507" i="1" a="1"/>
  <c r="D444" i="1" a="1"/>
  <c r="D187" i="1" a="1"/>
  <c r="D68" i="1" a="1"/>
  <c r="D348" i="1" a="1"/>
  <c r="D50" i="1" a="1"/>
  <c r="D385" i="1" a="1"/>
  <c r="D550" i="1" a="1"/>
  <c r="D143" i="1" a="1"/>
  <c r="D233" i="1" a="1"/>
  <c r="D85" i="1" a="1"/>
  <c r="D588" i="1" a="1"/>
  <c r="D417" i="1" a="1"/>
  <c r="D148" i="1" a="1"/>
  <c r="D546" i="1" a="1"/>
  <c r="D324" i="1" a="1"/>
  <c r="D506" i="1" a="1"/>
  <c r="D58" i="1" a="1"/>
  <c r="D194" i="1" a="1"/>
  <c r="D263" i="1" a="1"/>
  <c r="D14" i="1" a="1"/>
  <c r="D45" i="1" a="1"/>
  <c r="D145" i="1" a="1"/>
  <c r="D479" i="1" a="1"/>
  <c r="D606" i="1" a="1"/>
  <c r="D424" i="1" a="1"/>
  <c r="D141" i="1" a="1"/>
  <c r="D270" i="1" a="1"/>
  <c r="D203" i="1" a="1"/>
  <c r="D619" i="1" a="1"/>
  <c r="D508" i="1" a="1"/>
  <c r="D142" i="1" a="1"/>
  <c r="D227" i="1" a="1"/>
  <c r="D48" i="1" a="1"/>
  <c r="D401" i="1" a="1"/>
  <c r="D61" i="1" a="1"/>
  <c r="D419" i="1" a="1"/>
  <c r="D491" i="1" a="1"/>
  <c r="D121" i="1" a="1"/>
  <c r="D239" i="1" a="1"/>
  <c r="D623" i="1" a="1"/>
  <c r="D370" i="1" a="1"/>
  <c r="D94" i="1" a="1"/>
  <c r="D197" i="1" a="1"/>
  <c r="D248" i="1" a="1"/>
  <c r="D476" i="1" a="1"/>
  <c r="D367" i="1" a="1"/>
  <c r="D28" i="1" a="1"/>
  <c r="D293" i="1" a="1"/>
  <c r="D621" i="1" a="1"/>
  <c r="D442" i="1" a="1"/>
  <c r="D496" i="1" a="1"/>
  <c r="D334" i="1" a="1"/>
  <c r="D115" i="1" a="1"/>
  <c r="D410" i="1" a="1"/>
  <c r="D136" i="1" a="1"/>
  <c r="D16" i="1" a="1"/>
  <c r="D64" i="1" a="1"/>
  <c r="D485" i="1" a="1"/>
  <c r="D49" i="1" a="1"/>
  <c r="D183" i="1" a="1"/>
  <c r="D211" i="1" a="1"/>
  <c r="D645" i="1" a="1"/>
  <c r="D18" i="1" a="1"/>
  <c r="D429" i="1" a="1"/>
  <c r="D516" i="1" a="1"/>
  <c r="D565" i="1" a="1"/>
  <c r="D105" i="1" a="1"/>
  <c r="D170" i="1" a="1"/>
  <c r="D450" i="1" a="1"/>
  <c r="D201" i="1" a="1"/>
  <c r="D209" i="1" a="1"/>
  <c r="D371" i="1" a="1"/>
  <c r="D210" i="1" a="1"/>
  <c r="D38" i="1" a="1"/>
  <c r="D377" i="1" a="1"/>
  <c r="D154" i="1" a="1"/>
  <c r="D459" i="1" a="1"/>
  <c r="D241" i="1" a="1"/>
  <c r="D41" i="1" a="1"/>
  <c r="D340" i="1" a="1"/>
  <c r="D453" i="1" a="1"/>
  <c r="D564" i="1" a="1"/>
  <c r="D634" i="1" a="1"/>
  <c r="D265" i="1" a="1"/>
  <c r="D31" i="1" a="1"/>
  <c r="D55" i="1" a="1"/>
  <c r="D482" i="1" a="1"/>
  <c r="D405" i="1" a="1"/>
  <c r="D54" i="1" a="1"/>
  <c r="D513" i="1" a="1"/>
  <c r="D465" i="1" a="1"/>
  <c r="D591" i="1" a="1"/>
  <c r="D300" i="1" a="1"/>
  <c r="D407" i="1" a="1"/>
  <c r="D452" i="1" a="1"/>
  <c r="D103" i="1" a="1"/>
  <c r="D609" i="1" a="1"/>
  <c r="D108" i="1" a="1"/>
  <c r="D24" i="1" a="1"/>
  <c r="D517" i="1" a="1"/>
  <c r="D468" i="1" a="1"/>
  <c r="D205" i="1" a="1"/>
  <c r="D462" i="1" a="1"/>
  <c r="D86" i="1" a="1"/>
  <c r="D559" i="1" a="1"/>
  <c r="D311" i="1" a="1"/>
  <c r="D179" i="1" a="1"/>
  <c r="D404" i="1" a="1"/>
  <c r="D441" i="1" a="1"/>
  <c r="D218" i="1" a="1"/>
  <c r="D27" i="1" a="1"/>
  <c r="D458" i="1" a="1"/>
  <c r="D315" i="1" a="1"/>
  <c r="D549" i="1" a="1"/>
  <c r="D181" i="1" a="1"/>
  <c r="D76" i="1" a="1"/>
  <c r="D579" i="1" a="1"/>
  <c r="D470" i="1" a="1"/>
  <c r="D226" i="1" a="1"/>
  <c r="D402" i="1" a="1"/>
  <c r="D466" i="1" a="1"/>
  <c r="D12" i="1" a="1"/>
  <c r="D372" i="1" a="1"/>
  <c r="D47" i="1" a="1"/>
  <c r="D295" i="1" a="1"/>
  <c r="D380" i="1" a="1"/>
  <c r="D584" i="1" a="1"/>
  <c r="D342" i="1" a="1"/>
  <c r="D397" i="1" a="1"/>
  <c r="D654" i="1" a="1"/>
  <c r="D219" i="1" a="1"/>
  <c r="D42" i="1" a="1"/>
  <c r="D603" i="1" a="1"/>
  <c r="D57" i="1" a="1"/>
  <c r="D222" i="1" a="1"/>
  <c r="D437" i="1" a="1"/>
  <c r="D171" i="1" a="1"/>
  <c r="D649" i="1" a="1"/>
  <c r="D379" i="1" a="1"/>
  <c r="D161" i="1" a="1"/>
  <c r="D445" i="1" a="1"/>
  <c r="D186" i="1" a="1"/>
  <c r="D131" i="1" a="1"/>
  <c r="D553" i="1" a="1"/>
  <c r="D336" i="1" a="1"/>
  <c r="D185" i="1" a="1"/>
  <c r="D534" i="1" a="1"/>
  <c r="D447" i="1" a="1"/>
  <c r="D381" i="1" a="1"/>
  <c r="D597" i="1" a="1"/>
  <c r="D79" i="1" a="1"/>
  <c r="D206" i="1" a="1"/>
  <c r="D191" i="1" a="1"/>
  <c r="D155" i="1" a="1"/>
  <c r="D34" i="1" a="1"/>
  <c r="D33" i="1" a="1"/>
  <c r="D451" i="1" a="1"/>
  <c r="D139" i="1" a="1"/>
  <c r="D322" i="1" a="1"/>
  <c r="D63" i="1" a="1"/>
  <c r="D567" i="1" a="1"/>
  <c r="D352" i="1" a="1"/>
  <c r="D599" i="1" a="1"/>
  <c r="D589" i="1" a="1"/>
  <c r="D391" i="1" a="1"/>
  <c r="D229" i="1" a="1"/>
  <c r="D65" i="1" a="1"/>
  <c r="D388" i="1" a="1"/>
  <c r="D487" i="1" a="1"/>
  <c r="D638" i="1" a="1"/>
  <c r="D434" i="1" a="1"/>
  <c r="D632" i="1" a="1"/>
  <c r="D282" i="1" a="1"/>
  <c r="D258" i="1" a="1"/>
  <c r="D420" i="1" a="1"/>
  <c r="D608" i="1" a="1"/>
  <c r="D426" i="1" a="1"/>
  <c r="D39" i="1" a="1"/>
  <c r="D116" i="1" a="1"/>
  <c r="D5" i="1" a="1"/>
  <c r="D335" i="1" a="1"/>
  <c r="D338" i="1" a="1"/>
  <c r="D577" i="1" a="1"/>
  <c r="D376" i="1" a="1"/>
  <c r="D472" i="1" a="1"/>
  <c r="D8" i="1" a="1"/>
  <c r="D449" i="1" a="1"/>
  <c r="D36" i="1" a="1"/>
  <c r="D40" i="1" a="1"/>
  <c r="D469" i="1" a="1"/>
  <c r="D383" i="1" a="1"/>
  <c r="D169" i="1" a="1"/>
  <c r="D195" i="1" a="1"/>
  <c r="D281" i="1" a="1"/>
  <c r="D552" i="1" a="1"/>
  <c r="D245" i="1" a="1"/>
  <c r="D251" i="1" a="1"/>
  <c r="D520" i="1" a="1"/>
  <c r="D542" i="1" a="1"/>
  <c r="D355" i="1" a="1"/>
  <c r="D11" i="1" a="1"/>
  <c r="D628" i="1" a="1"/>
  <c r="D301" i="1" a="1"/>
  <c r="D133" i="1" a="1"/>
  <c r="D196" i="1" a="1"/>
  <c r="D573" i="1" a="1"/>
  <c r="D543" i="1" a="1"/>
  <c r="D602" i="1" a="1"/>
  <c r="D276" i="1" a="1"/>
  <c r="D323" i="1" a="1"/>
  <c r="D305" i="1" a="1"/>
  <c r="D262" i="1" a="1"/>
  <c r="D221" i="1" a="1"/>
  <c r="D198" i="1" a="1"/>
  <c r="D88" i="1" a="1"/>
  <c r="D321" i="1" a="1"/>
  <c r="D569" i="1" a="1"/>
  <c r="D467" i="1" a="1"/>
  <c r="D521" i="1" a="1"/>
  <c r="D216" i="1" a="1"/>
  <c r="D259" i="1" a="1"/>
  <c r="D557" i="1" a="1"/>
  <c r="D473" i="1" a="1"/>
  <c r="D254" i="1" a="1"/>
  <c r="D439" i="1" a="1"/>
  <c r="D114" i="1" a="1"/>
  <c r="D430" i="1" a="1"/>
  <c r="D613" i="1" a="1"/>
  <c r="D614" i="1" a="1"/>
  <c r="D317" i="1" a="1"/>
  <c r="D255" i="1" a="1"/>
  <c r="D207" i="1" a="1"/>
  <c r="D32" i="1" a="1"/>
  <c r="D350" i="1" a="1"/>
  <c r="D650" i="1" a="1"/>
  <c r="D100" i="1" a="1"/>
  <c r="D499" i="1" a="1"/>
  <c r="D432" i="1" a="1"/>
  <c r="D409" i="1" a="1"/>
  <c r="D273" i="1" a="1"/>
  <c r="D427" i="1" a="1"/>
  <c r="D243" i="1" a="1"/>
  <c r="D184" i="1" a="1"/>
  <c r="D369" i="1" a="1"/>
  <c r="D37" i="1" a="1"/>
  <c r="D230" i="1" a="1"/>
  <c r="D539" i="1" a="1"/>
  <c r="D91" i="1" a="1"/>
  <c r="D626" i="1" a="1"/>
  <c r="D351" i="1" a="1"/>
  <c r="D421" i="1" a="1"/>
  <c r="D113" i="1" a="1"/>
  <c r="D175" i="1" a="1"/>
  <c r="D252" i="1" a="1"/>
  <c r="D213" i="1" a="1"/>
  <c r="D578" i="1" a="1"/>
  <c r="D189" i="1" a="1"/>
  <c r="D627" i="1" a="1"/>
  <c r="D199" i="1" a="1"/>
  <c r="D411" i="1" a="1"/>
  <c r="D361" i="1" a="1"/>
  <c r="D122" i="1" a="1"/>
  <c r="D144" i="1" a="1"/>
  <c r="D212" i="1" a="1"/>
  <c r="D173" i="1" a="1"/>
  <c r="D515" i="1" a="1"/>
  <c r="D46" i="1" a="1"/>
  <c r="D320" i="1" a="1"/>
  <c r="D605" i="1" a="1"/>
  <c r="D481" i="1" a="1"/>
  <c r="D257" i="1" a="1"/>
  <c r="D486" i="1" a="1"/>
  <c r="D236" i="1" a="1"/>
  <c r="D341" i="1" a="1"/>
  <c r="D111" i="1" a="1"/>
  <c r="D204" i="1" a="1"/>
  <c r="D541" i="1" a="1"/>
  <c r="D560" i="1" a="1"/>
  <c r="D375" i="1" a="1"/>
  <c r="D590" i="1" a="1"/>
  <c r="D163" i="1" a="1"/>
  <c r="D488" i="1" a="1"/>
  <c r="D331" i="1" a="1"/>
  <c r="D392" i="1" a="1"/>
  <c r="D630" i="1" a="1"/>
  <c r="D412" i="1" a="1"/>
  <c r="D21" i="1" a="1"/>
  <c r="D242" i="1" a="1"/>
  <c r="D333" i="1" a="1"/>
  <c r="D299" i="1" a="1"/>
  <c r="D330" i="1" a="1"/>
  <c r="D393" i="1" a="1"/>
  <c r="D190" i="1" a="1"/>
  <c r="D620" i="1" a="1"/>
  <c r="D75" i="1" a="1"/>
  <c r="D70" i="1" a="1"/>
  <c r="D172" i="1" a="1"/>
  <c r="D30" i="1" a="1"/>
  <c r="D493" i="1" a="1"/>
  <c r="D566" i="1" a="1"/>
  <c r="D81" i="1" a="1"/>
  <c r="D60" i="1" a="1"/>
  <c r="D346" i="1" a="1"/>
  <c r="D386" i="1" a="1"/>
  <c r="D90" i="1" a="1"/>
  <c r="D93" i="1" a="1"/>
  <c r="D107" i="1" a="1"/>
  <c r="D512" i="1" a="1"/>
  <c r="D633" i="1" a="1"/>
  <c r="D294" i="1" a="1"/>
  <c r="D593" i="1" a="1"/>
  <c r="D286" i="1" a="1"/>
  <c r="D157" i="1" a="1"/>
  <c r="D471" i="1" a="1"/>
  <c r="D366" i="1" a="1"/>
  <c r="D616" i="1" a="1"/>
  <c r="D160" i="1" a="1"/>
  <c r="D490" i="1" a="1"/>
  <c r="D440" i="1" a="1"/>
  <c r="D180" i="1" a="1"/>
  <c r="D240" i="1" a="1"/>
  <c r="D478" i="1" a="1"/>
  <c r="D337" i="1" a="1"/>
  <c r="D583" i="1" a="1"/>
  <c r="D625" i="1" a="1"/>
  <c r="D73" i="1" a="1"/>
  <c r="D433" i="1" a="1"/>
  <c r="D570" i="1" a="1"/>
  <c r="D151" i="1" a="1"/>
  <c r="D66" i="1" a="1"/>
  <c r="D7" i="1" a="1"/>
  <c r="D425" i="1" a="1"/>
  <c r="D310" i="1" a="1"/>
  <c r="D568" i="1" a="1"/>
  <c r="D457" i="1" a="1"/>
  <c r="D89" i="1" a="1"/>
  <c r="D387" i="1" a="1"/>
  <c r="D537" i="1" a="1"/>
  <c r="D256" i="1" a="1"/>
  <c r="D83" i="1" a="1"/>
  <c r="D396" i="1" a="1"/>
  <c r="D358" i="1" a="1"/>
  <c r="D492" i="1" a="1"/>
  <c r="D365" i="1" a="1"/>
  <c r="D244" i="1" a="1"/>
  <c r="D156" i="1" a="1"/>
  <c r="D306" i="1" a="1"/>
  <c r="D313" i="1" a="1"/>
  <c r="D637" i="1" a="1"/>
  <c r="D71" i="1" a="1"/>
  <c r="D518" i="1" a="1"/>
  <c r="D610" i="1" a="1"/>
  <c r="D104" i="1" a="1"/>
  <c r="D504" i="1" a="1"/>
  <c r="D576" i="1" a="1"/>
  <c r="D382" i="1" a="1"/>
  <c r="D532" i="1" a="1"/>
  <c r="D587" i="1" a="1"/>
  <c r="D585" i="1" a="1"/>
  <c r="D96" i="1" a="1"/>
  <c r="D652" i="1" a="1"/>
  <c r="D415" i="1" a="1"/>
  <c r="D497" i="1" a="1"/>
  <c r="D69" i="1" a="1"/>
  <c r="D314" i="1" a="1"/>
  <c r="D287" i="1" a="1"/>
  <c r="D149" i="1" a="1"/>
  <c r="D498" i="1" a="1"/>
  <c r="D316" i="1" a="1"/>
  <c r="D460" i="1" a="1"/>
  <c r="D326" i="1" a="1"/>
  <c r="D78" i="1" a="1"/>
  <c r="D134" i="1" a="1"/>
  <c r="D359" i="1" a="1"/>
  <c r="D182" i="1" a="1"/>
  <c r="D150" i="1" a="1"/>
  <c r="D277" i="1" a="1"/>
  <c r="D52" i="1" a="1"/>
  <c r="D268" i="1" a="1"/>
  <c r="D13" i="1" a="1"/>
  <c r="D646" i="1" a="1"/>
  <c r="D15" i="1" a="1"/>
  <c r="D200" i="1" a="1"/>
  <c r="D296" i="1" a="1"/>
  <c r="D168" i="1" a="1"/>
  <c r="D328" i="1" a="1"/>
  <c r="D527" i="1" a="1"/>
  <c r="D146" i="1" a="1"/>
  <c r="D580" i="1" a="1"/>
  <c r="D158" i="1" a="1"/>
  <c r="D571" i="1" a="1"/>
  <c r="D101" i="1" a="1"/>
  <c r="D357" i="1" a="1"/>
  <c r="D192" i="1" a="1"/>
  <c r="D304" i="1" a="1"/>
  <c r="D428" i="1" a="1"/>
  <c r="D360" i="1" a="1"/>
  <c r="D368" i="1" a="1"/>
  <c r="D540" i="1" a="1"/>
  <c r="D596" i="1" a="1"/>
  <c r="D525" i="1" a="1"/>
  <c r="D455" i="1" a="1"/>
  <c r="D234" i="1" a="1"/>
  <c r="D275" i="1" a="1"/>
  <c r="D274" i="1" a="1"/>
  <c r="D363" i="1" a="1"/>
  <c r="D249" i="1" a="1"/>
  <c r="D395" i="1" a="1"/>
  <c r="D581" i="1" a="1"/>
  <c r="D533" i="1" a="1"/>
  <c r="D247" i="1" a="1"/>
  <c r="D639" i="1" a="1"/>
  <c r="D374" i="1" a="1"/>
  <c r="D225" i="1" a="1"/>
  <c r="D519" i="1" a="1"/>
  <c r="D165" i="1" a="1"/>
  <c r="D327" i="1" a="1"/>
  <c r="D278" i="1" a="1"/>
  <c r="D339" i="1" a="1"/>
  <c r="D25" i="1" a="1"/>
  <c r="D446" i="1" a="1"/>
  <c r="D110" i="1" a="1"/>
  <c r="D594" i="1" a="1"/>
  <c r="D232" i="1" a="1"/>
  <c r="D318" i="1" a="1"/>
  <c r="D624" i="1" a="1"/>
  <c r="D622" i="1" a="1"/>
  <c r="D253" i="1" a="1"/>
  <c r="D538" i="1" a="1"/>
  <c r="D237" i="1" a="1"/>
  <c r="D261" i="1" a="1"/>
  <c r="D167" i="1" a="1"/>
  <c r="D137" i="1" a="1"/>
  <c r="D345" i="1" a="1"/>
  <c r="D615" i="1" a="1"/>
  <c r="D120" i="1" a="1"/>
  <c r="D166" i="1" a="1"/>
  <c r="D92" i="1" a="1"/>
  <c r="D611" i="1" a="1"/>
  <c r="D509" i="1" a="1"/>
  <c r="D329" i="1" a="1"/>
  <c r="D284" i="1" a="1"/>
  <c r="D461" i="1" a="1"/>
  <c r="D414" i="1" a="1"/>
  <c r="D483" i="1" a="1"/>
  <c r="D82" i="1" a="1"/>
  <c r="D176" i="1" a="1"/>
  <c r="D362" i="1" a="1"/>
  <c r="D87" i="1" a="1"/>
  <c r="D62" i="1" a="1"/>
  <c r="D260" i="1" a="1"/>
  <c r="D298" i="1" a="1"/>
  <c r="D22" i="1" a="1"/>
  <c r="D586" i="1" a="1"/>
  <c r="D43" i="1" a="1"/>
  <c r="D135" i="1" a="1"/>
  <c r="D332" i="1" a="1"/>
  <c r="D601" i="1" a="1"/>
  <c r="D494" i="1" a="1"/>
  <c r="S620" i="1" l="1"/>
  <c r="R620" i="1"/>
  <c r="Q620" i="1"/>
  <c r="P620" i="1"/>
  <c r="O620" i="1"/>
  <c r="N620" i="1"/>
  <c r="M620" i="1"/>
  <c r="R625" i="1"/>
  <c r="Q625" i="1"/>
  <c r="P625" i="1"/>
  <c r="O625" i="1"/>
  <c r="N625" i="1"/>
  <c r="M625" i="1"/>
  <c r="R623" i="1" l="1"/>
  <c r="Q623" i="1"/>
  <c r="P623" i="1"/>
  <c r="O623" i="1"/>
  <c r="N623" i="1"/>
  <c r="M623" i="1"/>
  <c r="S621" i="1"/>
  <c r="R621" i="1"/>
  <c r="Q621" i="1"/>
  <c r="P621" i="1"/>
  <c r="O621" i="1"/>
  <c r="N621" i="1"/>
  <c r="M621" i="1"/>
  <c r="S619" i="1"/>
  <c r="R619" i="1"/>
  <c r="Q619" i="1"/>
  <c r="P619" i="1"/>
  <c r="O619" i="1"/>
  <c r="N619" i="1"/>
  <c r="M619" i="1"/>
  <c r="R624" i="1"/>
  <c r="Q624" i="1"/>
  <c r="P624" i="1"/>
  <c r="O624" i="1"/>
  <c r="N624" i="1"/>
  <c r="M624" i="1"/>
  <c r="D996" i="21" l="1"/>
  <c r="D997" i="21" s="1"/>
  <c r="D998" i="21" s="1"/>
  <c r="D999" i="21" s="1"/>
  <c r="D1000" i="21" s="1"/>
  <c r="D1001" i="21" s="1"/>
  <c r="D1002" i="21" s="1"/>
  <c r="D1003" i="21" s="1"/>
  <c r="D1004" i="21" s="1"/>
  <c r="D1006" i="21" s="1"/>
  <c r="D1007" i="21" s="1"/>
  <c r="D1008" i="21" s="1"/>
  <c r="D1009" i="21" s="1"/>
  <c r="D1010" i="21" s="1"/>
  <c r="D1011" i="21" s="1"/>
  <c r="D1012" i="21" s="1"/>
  <c r="D1013" i="21" s="1"/>
  <c r="D1014" i="21" s="1"/>
  <c r="D1015" i="21" s="1"/>
  <c r="D1017" i="21" s="1"/>
  <c r="D1018" i="21" s="1"/>
  <c r="D1019" i="21" s="1"/>
  <c r="D1020" i="21" s="1"/>
  <c r="D1021" i="21" s="1"/>
  <c r="D1022" i="21" s="1"/>
  <c r="D1023" i="21" s="1"/>
  <c r="D1024" i="21" s="1"/>
  <c r="D1025" i="21" s="1"/>
  <c r="D1026" i="21" s="1"/>
  <c r="D1028" i="21" s="1"/>
  <c r="D1029" i="21" s="1"/>
  <c r="D1030" i="21" s="1"/>
  <c r="D1031" i="21" s="1"/>
  <c r="D1032" i="21" s="1"/>
  <c r="D1033" i="21" s="1"/>
  <c r="D1034" i="21" s="1"/>
  <c r="D1035" i="21" s="1"/>
  <c r="D1036" i="21" s="1"/>
  <c r="D1037" i="21" s="1"/>
  <c r="D1039" i="21" s="1"/>
  <c r="D1040" i="21" s="1"/>
  <c r="D1041" i="21" s="1"/>
  <c r="D1042" i="21" s="1"/>
  <c r="D1043" i="21" s="1"/>
  <c r="D1044" i="21" s="1"/>
  <c r="D1045" i="21" s="1"/>
  <c r="D1046" i="21" s="1"/>
  <c r="D1047" i="21" s="1"/>
  <c r="M12" i="1" l="1"/>
  <c r="M13" i="1"/>
  <c r="O614" i="1" l="1"/>
  <c r="O616" i="1"/>
  <c r="O617" i="1"/>
  <c r="O618" i="1"/>
  <c r="O615" i="1"/>
  <c r="Q615" i="1"/>
  <c r="S615" i="1"/>
  <c r="R615" i="1"/>
  <c r="P615" i="1"/>
  <c r="N615" i="1"/>
  <c r="M615" i="1"/>
  <c r="S618" i="1"/>
  <c r="R618" i="1"/>
  <c r="Q618" i="1"/>
  <c r="P618" i="1"/>
  <c r="N618" i="1"/>
  <c r="M618" i="1"/>
  <c r="S617" i="1"/>
  <c r="R617" i="1"/>
  <c r="Q617" i="1"/>
  <c r="P617" i="1"/>
  <c r="N617" i="1"/>
  <c r="M617" i="1"/>
  <c r="S616" i="1" l="1"/>
  <c r="R616" i="1"/>
  <c r="Q616" i="1"/>
  <c r="P616" i="1"/>
  <c r="N616" i="1"/>
  <c r="M616" i="1"/>
  <c r="M478" i="1"/>
  <c r="M3" i="1"/>
  <c r="M4" i="1"/>
  <c r="M5" i="1"/>
  <c r="M6" i="1"/>
  <c r="M7" i="1"/>
  <c r="M8" i="1"/>
  <c r="M9" i="1"/>
  <c r="M10" i="1"/>
  <c r="M11" i="1"/>
  <c r="M28" i="1"/>
  <c r="M30" i="1"/>
  <c r="M27" i="1"/>
  <c r="M29" i="1"/>
  <c r="M18" i="1"/>
  <c r="M19" i="1"/>
  <c r="M20" i="1"/>
  <c r="M17" i="1"/>
  <c r="M133" i="1"/>
  <c r="M22" i="1"/>
  <c r="M21" i="1"/>
  <c r="M134" i="1"/>
  <c r="M33" i="1"/>
  <c r="M34" i="1"/>
  <c r="M32" i="1"/>
  <c r="M35" i="1"/>
  <c r="M36" i="1"/>
  <c r="M37" i="1"/>
  <c r="M31" i="1"/>
  <c r="M38" i="1"/>
  <c r="M39" i="1"/>
  <c r="M40" i="1"/>
  <c r="M41" i="1"/>
  <c r="M92" i="1"/>
  <c r="M95" i="1"/>
  <c r="M42" i="1"/>
  <c r="M43" i="1"/>
  <c r="M44" i="1"/>
  <c r="M45" i="1"/>
  <c r="M46" i="1"/>
  <c r="M47" i="1"/>
  <c r="M48" i="1"/>
  <c r="M49" i="1"/>
  <c r="M50" i="1"/>
  <c r="M51" i="1"/>
  <c r="M52" i="1"/>
  <c r="M53" i="1"/>
  <c r="M54" i="1"/>
  <c r="M55" i="1"/>
  <c r="M56" i="1"/>
  <c r="M57" i="1"/>
  <c r="M58" i="1"/>
  <c r="M59" i="1"/>
  <c r="M60" i="1"/>
  <c r="M61" i="1"/>
  <c r="M62" i="1"/>
  <c r="M63" i="1"/>
  <c r="M64" i="1"/>
  <c r="M65" i="1"/>
  <c r="M66" i="1"/>
  <c r="M67" i="1"/>
  <c r="M68" i="1"/>
  <c r="M70" i="1"/>
  <c r="M69" i="1"/>
  <c r="M74" i="1"/>
  <c r="M73" i="1"/>
  <c r="M75" i="1"/>
  <c r="M78" i="1"/>
  <c r="M77" i="1"/>
  <c r="M76" i="1"/>
  <c r="M79" i="1"/>
  <c r="M80" i="1"/>
  <c r="M81" i="1"/>
  <c r="M82" i="1"/>
  <c r="M85" i="1"/>
  <c r="M84" i="1"/>
  <c r="M83" i="1"/>
  <c r="M88" i="1"/>
  <c r="M154" i="1"/>
  <c r="M152" i="1"/>
  <c r="M159" i="1"/>
  <c r="M101" i="1"/>
  <c r="M102" i="1"/>
  <c r="M103" i="1"/>
  <c r="M104" i="1"/>
  <c r="M105" i="1"/>
  <c r="M106" i="1"/>
  <c r="M107" i="1"/>
  <c r="M89" i="1"/>
  <c r="M90" i="1"/>
  <c r="M91" i="1"/>
  <c r="M93" i="1"/>
  <c r="M94" i="1"/>
  <c r="M96" i="1"/>
  <c r="M97" i="1"/>
  <c r="M98" i="1"/>
  <c r="M99" i="1"/>
  <c r="M100" i="1"/>
  <c r="M108" i="1"/>
  <c r="M110" i="1"/>
  <c r="M109" i="1"/>
  <c r="M111" i="1"/>
  <c r="M112" i="1"/>
  <c r="M113" i="1"/>
  <c r="M114" i="1"/>
  <c r="M115" i="1"/>
  <c r="M116" i="1"/>
  <c r="M119" i="1"/>
  <c r="M118" i="1"/>
  <c r="M117" i="1"/>
  <c r="M122" i="1"/>
  <c r="M120" i="1"/>
  <c r="M121" i="1"/>
  <c r="M123" i="1"/>
  <c r="M124" i="1"/>
  <c r="M126" i="1"/>
  <c r="M125" i="1"/>
  <c r="M127" i="1"/>
  <c r="M129" i="1"/>
  <c r="M128" i="1"/>
  <c r="M130" i="1"/>
  <c r="M132" i="1"/>
  <c r="M131" i="1"/>
  <c r="M135" i="1"/>
  <c r="M136" i="1"/>
  <c r="M137" i="1"/>
  <c r="M138" i="1"/>
  <c r="M139" i="1"/>
  <c r="M140" i="1"/>
  <c r="M141" i="1"/>
  <c r="M144" i="1"/>
  <c r="M142" i="1"/>
  <c r="M143" i="1"/>
  <c r="M145" i="1"/>
  <c r="M158" i="1"/>
  <c r="M161" i="1"/>
  <c r="M165" i="1"/>
  <c r="M179" i="1"/>
  <c r="M166" i="1"/>
  <c r="M170" i="1"/>
  <c r="M167" i="1"/>
  <c r="M171" i="1"/>
  <c r="M191" i="1"/>
  <c r="M196" i="1"/>
  <c r="M190" i="1"/>
  <c r="M185" i="1"/>
  <c r="M180" i="1"/>
  <c r="M186" i="1"/>
  <c r="M195" i="1"/>
  <c r="M199" i="1"/>
  <c r="M200" i="1"/>
  <c r="M201" i="1"/>
  <c r="M172" i="1"/>
  <c r="M184" i="1"/>
  <c r="M173" i="1"/>
  <c r="M181" i="1"/>
  <c r="M174" i="1"/>
  <c r="M178" i="1"/>
  <c r="M203" i="1"/>
  <c r="M204" i="1"/>
  <c r="M205" i="1"/>
  <c r="M207" i="1"/>
  <c r="M208" i="1"/>
  <c r="M206" i="1"/>
  <c r="M209" i="1"/>
  <c r="M212" i="1"/>
  <c r="M213" i="1"/>
  <c r="M214" i="1"/>
  <c r="M146" i="1"/>
  <c r="M147" i="1"/>
  <c r="M148" i="1"/>
  <c r="M149" i="1"/>
  <c r="M150" i="1"/>
  <c r="M151" i="1"/>
  <c r="M156" i="1"/>
  <c r="M153" i="1"/>
  <c r="M155" i="1"/>
  <c r="M157" i="1"/>
  <c r="M160" i="1"/>
  <c r="M162" i="1"/>
  <c r="M163" i="1"/>
  <c r="M164" i="1"/>
  <c r="M168" i="1"/>
  <c r="M169" i="1"/>
  <c r="M175" i="1"/>
  <c r="M176" i="1"/>
  <c r="M177" i="1"/>
  <c r="M182" i="1"/>
  <c r="M183" i="1"/>
  <c r="M187" i="1"/>
  <c r="M188" i="1"/>
  <c r="M189" i="1"/>
  <c r="M192" i="1"/>
  <c r="M193" i="1"/>
  <c r="M194" i="1"/>
  <c r="M197" i="1"/>
  <c r="M198" i="1"/>
  <c r="M202" i="1"/>
  <c r="M223" i="1"/>
  <c r="M224" i="1"/>
  <c r="M210" i="1"/>
  <c r="M211" i="1"/>
  <c r="M215" i="1"/>
  <c r="M216" i="1"/>
  <c r="M217" i="1"/>
  <c r="M218" i="1"/>
  <c r="M219" i="1"/>
  <c r="M220" i="1"/>
  <c r="M221" i="1"/>
  <c r="M222" i="1"/>
  <c r="M225" i="1"/>
  <c r="M226" i="1"/>
  <c r="M228" i="1"/>
  <c r="M229" i="1"/>
  <c r="M230" i="1"/>
  <c r="M231" i="1"/>
  <c r="M232" i="1"/>
  <c r="M227" i="1"/>
  <c r="M235" i="1"/>
  <c r="M236" i="1"/>
  <c r="M237" i="1"/>
  <c r="M238" i="1"/>
  <c r="M239" i="1"/>
  <c r="M240" i="1"/>
  <c r="M241" i="1"/>
  <c r="M233" i="1"/>
  <c r="M234" i="1"/>
  <c r="M242" i="1"/>
  <c r="M243" i="1"/>
  <c r="M244" i="1"/>
  <c r="M245" i="1"/>
  <c r="M246" i="1"/>
  <c r="M247" i="1"/>
  <c r="M255" i="1"/>
  <c r="M256" i="1"/>
  <c r="M258" i="1"/>
  <c r="M260" i="1"/>
  <c r="M262" i="1"/>
  <c r="M265" i="1"/>
  <c r="M266" i="1"/>
  <c r="M270" i="1"/>
  <c r="M249" i="1"/>
  <c r="M250" i="1"/>
  <c r="M251" i="1"/>
  <c r="M248" i="1"/>
  <c r="M252" i="1"/>
  <c r="M253" i="1"/>
  <c r="M254" i="1"/>
  <c r="M257" i="1"/>
  <c r="M259" i="1"/>
  <c r="M261" i="1"/>
  <c r="M263" i="1"/>
  <c r="M264" i="1"/>
  <c r="M267" i="1"/>
  <c r="M268" i="1"/>
  <c r="M269" i="1"/>
  <c r="M271" i="1"/>
  <c r="M272" i="1"/>
  <c r="M276" i="1"/>
  <c r="M278" i="1"/>
  <c r="M273" i="1"/>
  <c r="M274" i="1"/>
  <c r="M275" i="1"/>
  <c r="M281" i="1"/>
  <c r="M283" i="1"/>
  <c r="M277" i="1"/>
  <c r="M279" i="1"/>
  <c r="M280" i="1"/>
  <c r="M284" i="1"/>
  <c r="M286" i="1"/>
  <c r="M287" i="1"/>
  <c r="M282" i="1"/>
  <c r="M285" i="1"/>
  <c r="M288" i="1"/>
  <c r="M290" i="1"/>
  <c r="M292" i="1"/>
  <c r="M295" i="1"/>
  <c r="M298" i="1"/>
  <c r="M289" i="1"/>
  <c r="M291" i="1"/>
  <c r="M293" i="1"/>
  <c r="M294" i="1"/>
  <c r="M296" i="1"/>
  <c r="M297" i="1"/>
  <c r="M299" i="1"/>
  <c r="M300" i="1"/>
  <c r="M301" i="1"/>
  <c r="M305" i="1"/>
  <c r="M302" i="1"/>
  <c r="M304" i="1"/>
  <c r="M306" i="1"/>
  <c r="M307" i="1"/>
  <c r="M303" i="1"/>
  <c r="M310" i="1"/>
  <c r="M311" i="1"/>
  <c r="M314" i="1"/>
  <c r="M318" i="1"/>
  <c r="M320" i="1"/>
  <c r="M308" i="1"/>
  <c r="M309" i="1"/>
  <c r="M312" i="1"/>
  <c r="M313" i="1"/>
  <c r="M315" i="1"/>
  <c r="M316" i="1"/>
  <c r="M317" i="1"/>
  <c r="M319" i="1"/>
  <c r="M333" i="1"/>
  <c r="M323" i="1"/>
  <c r="M326" i="1"/>
  <c r="M329" i="1"/>
  <c r="M332" i="1"/>
  <c r="M334" i="1"/>
  <c r="M336" i="1"/>
  <c r="M339" i="1"/>
  <c r="M321" i="1"/>
  <c r="M322" i="1"/>
  <c r="M324" i="1"/>
  <c r="M325" i="1"/>
  <c r="M327" i="1"/>
  <c r="M328" i="1"/>
  <c r="M330" i="1"/>
  <c r="M331" i="1"/>
  <c r="M335" i="1"/>
  <c r="M337" i="1"/>
  <c r="M338" i="1"/>
  <c r="M341" i="1"/>
  <c r="M354" i="1"/>
  <c r="M359" i="1"/>
  <c r="M360" i="1"/>
  <c r="M340" i="1"/>
  <c r="M342" i="1"/>
  <c r="M343" i="1"/>
  <c r="M344" i="1"/>
  <c r="M345" i="1"/>
  <c r="M346" i="1"/>
  <c r="M347" i="1"/>
  <c r="M348" i="1"/>
  <c r="M349" i="1"/>
  <c r="M350" i="1"/>
  <c r="M351" i="1"/>
  <c r="M352" i="1"/>
  <c r="M353" i="1"/>
  <c r="M355" i="1"/>
  <c r="M356" i="1"/>
  <c r="M357" i="1"/>
  <c r="M358" i="1"/>
  <c r="M361" i="1"/>
  <c r="M362" i="1"/>
  <c r="M363" i="1"/>
  <c r="M365" i="1"/>
  <c r="M366" i="1"/>
  <c r="M368" i="1"/>
  <c r="M364" i="1"/>
  <c r="M367" i="1"/>
  <c r="M370" i="1"/>
  <c r="M375" i="1"/>
  <c r="M376" i="1"/>
  <c r="M369" i="1"/>
  <c r="M371" i="1"/>
  <c r="M372" i="1"/>
  <c r="M373" i="1"/>
  <c r="M374" i="1"/>
  <c r="M377" i="1"/>
  <c r="M378" i="1"/>
  <c r="M379" i="1"/>
  <c r="M381" i="1"/>
  <c r="M380" i="1"/>
  <c r="M382" i="1"/>
  <c r="M388" i="1"/>
  <c r="M391" i="1"/>
  <c r="M383" i="1"/>
  <c r="M385" i="1"/>
  <c r="M386" i="1"/>
  <c r="M387" i="1"/>
  <c r="M389" i="1"/>
  <c r="M390" i="1"/>
  <c r="M392" i="1"/>
  <c r="M393" i="1"/>
  <c r="M395" i="1"/>
  <c r="M398" i="1"/>
  <c r="M394" i="1"/>
  <c r="M396" i="1"/>
  <c r="M397" i="1"/>
  <c r="M399" i="1"/>
  <c r="M400" i="1"/>
  <c r="M401" i="1"/>
  <c r="M403" i="1"/>
  <c r="M404" i="1"/>
  <c r="M402" i="1"/>
  <c r="M406" i="1"/>
  <c r="M408" i="1"/>
  <c r="M411" i="1"/>
  <c r="M414" i="1"/>
  <c r="M429" i="1"/>
  <c r="M430" i="1"/>
  <c r="M432" i="1"/>
  <c r="M434" i="1"/>
  <c r="M425" i="1"/>
  <c r="M444" i="1"/>
  <c r="M445" i="1"/>
  <c r="M446" i="1"/>
  <c r="M447" i="1"/>
  <c r="M449" i="1"/>
  <c r="M405" i="1"/>
  <c r="M407" i="1"/>
  <c r="M409" i="1"/>
  <c r="M415" i="1"/>
  <c r="M417" i="1"/>
  <c r="M418" i="1"/>
  <c r="M412" i="1"/>
  <c r="M413" i="1"/>
  <c r="M416" i="1"/>
  <c r="M419" i="1"/>
  <c r="M384" i="1"/>
  <c r="M410" i="1"/>
  <c r="M422" i="1"/>
  <c r="M423" i="1"/>
  <c r="M424" i="1"/>
  <c r="M420" i="1"/>
  <c r="M421" i="1"/>
  <c r="M427" i="1"/>
  <c r="M431" i="1"/>
  <c r="M426" i="1"/>
  <c r="M433" i="1"/>
  <c r="M435" i="1"/>
  <c r="M436" i="1"/>
  <c r="M438" i="1"/>
  <c r="M441" i="1"/>
  <c r="M443" i="1"/>
  <c r="M437" i="1"/>
  <c r="M439" i="1"/>
  <c r="M440" i="1"/>
  <c r="M442" i="1"/>
  <c r="M428" i="1"/>
  <c r="M448" i="1"/>
  <c r="M450" i="1"/>
  <c r="M451" i="1"/>
  <c r="M452" i="1"/>
  <c r="M455" i="1"/>
  <c r="M457" i="1"/>
  <c r="M458" i="1"/>
  <c r="M460" i="1"/>
  <c r="M453" i="1"/>
  <c r="M461" i="1"/>
  <c r="M454" i="1"/>
  <c r="M456" i="1"/>
  <c r="M459" i="1"/>
  <c r="M462" i="1"/>
  <c r="M465" i="1"/>
  <c r="M464" i="1"/>
  <c r="M463" i="1"/>
  <c r="M466" i="1"/>
  <c r="M467" i="1"/>
  <c r="M468" i="1"/>
  <c r="M469" i="1"/>
  <c r="M470" i="1"/>
  <c r="M471" i="1"/>
  <c r="M472" i="1"/>
  <c r="M473" i="1"/>
  <c r="M474" i="1"/>
  <c r="M475" i="1"/>
  <c r="M476" i="1"/>
  <c r="M477" i="1"/>
  <c r="M479" i="1"/>
  <c r="M480" i="1"/>
  <c r="M483" i="1"/>
  <c r="M481" i="1"/>
  <c r="M482" i="1"/>
  <c r="M489" i="1"/>
  <c r="M491" i="1"/>
  <c r="M486" i="1"/>
  <c r="M488" i="1"/>
  <c r="M487" i="1"/>
  <c r="M484" i="1"/>
  <c r="M485" i="1"/>
  <c r="M490" i="1"/>
  <c r="M492" i="1"/>
  <c r="M493" i="1"/>
  <c r="M494" i="1"/>
  <c r="M495" i="1"/>
  <c r="M496" i="1"/>
  <c r="M497" i="1"/>
  <c r="M499" i="1"/>
  <c r="M500" i="1"/>
  <c r="M503" i="1"/>
  <c r="M498" i="1"/>
  <c r="M507" i="1"/>
  <c r="M502" i="1"/>
  <c r="M501" i="1"/>
  <c r="M510" i="1"/>
  <c r="M513" i="1"/>
  <c r="M505" i="1"/>
  <c r="M506" i="1"/>
  <c r="M504" i="1"/>
  <c r="M508" i="1"/>
  <c r="M509" i="1"/>
  <c r="M511" i="1"/>
  <c r="M512" i="1"/>
  <c r="M514" i="1"/>
  <c r="M515" i="1"/>
  <c r="M516" i="1"/>
  <c r="M517" i="1"/>
  <c r="M526" i="1"/>
  <c r="M531" i="1"/>
  <c r="M536" i="1"/>
  <c r="M543" i="1"/>
  <c r="M545" i="1"/>
  <c r="M547" i="1"/>
  <c r="M518" i="1"/>
  <c r="M521" i="1"/>
  <c r="M520" i="1"/>
  <c r="M522" i="1"/>
  <c r="M523" i="1"/>
  <c r="M524" i="1"/>
  <c r="M525" i="1"/>
  <c r="M527" i="1"/>
  <c r="M519" i="1"/>
  <c r="M568" i="1"/>
  <c r="M529" i="1"/>
  <c r="M530" i="1"/>
  <c r="M532" i="1"/>
  <c r="M533" i="1"/>
  <c r="M534" i="1"/>
  <c r="M535" i="1"/>
  <c r="M537" i="1"/>
  <c r="M528" i="1"/>
  <c r="M538" i="1"/>
  <c r="M539" i="1"/>
  <c r="M540" i="1"/>
  <c r="M541" i="1"/>
  <c r="M542" i="1"/>
  <c r="M544" i="1"/>
  <c r="M546" i="1"/>
  <c r="M549" i="1"/>
  <c r="M548" i="1"/>
  <c r="M550" i="1"/>
  <c r="M551" i="1"/>
  <c r="M554" i="1"/>
  <c r="M559" i="1"/>
  <c r="M555" i="1"/>
  <c r="M552" i="1"/>
  <c r="M553" i="1"/>
  <c r="M556" i="1"/>
  <c r="M558" i="1"/>
  <c r="M557" i="1"/>
  <c r="M560" i="1"/>
  <c r="M562" i="1"/>
  <c r="M561" i="1"/>
  <c r="M563" i="1"/>
  <c r="M564" i="1"/>
  <c r="M565" i="1"/>
  <c r="M566" i="1"/>
  <c r="M569" i="1"/>
  <c r="M570" i="1"/>
  <c r="M567" i="1"/>
  <c r="M571" i="1"/>
  <c r="M572" i="1"/>
  <c r="M573" i="1"/>
  <c r="M574" i="1"/>
  <c r="M575" i="1"/>
  <c r="M576" i="1"/>
  <c r="M577" i="1"/>
  <c r="M578" i="1"/>
  <c r="M580" i="1"/>
  <c r="M579" i="1"/>
  <c r="M582" i="1"/>
  <c r="M581" i="1"/>
  <c r="M584" i="1"/>
  <c r="M583" i="1"/>
  <c r="M585" i="1"/>
  <c r="M586" i="1"/>
  <c r="M588" i="1"/>
  <c r="M589" i="1"/>
  <c r="M590" i="1"/>
  <c r="M591" i="1"/>
  <c r="M592" i="1"/>
  <c r="M593" i="1"/>
  <c r="M587" i="1"/>
  <c r="M595" i="1"/>
  <c r="M596" i="1"/>
  <c r="M597" i="1"/>
  <c r="M598" i="1"/>
  <c r="M599" i="1"/>
  <c r="M600" i="1"/>
  <c r="M601" i="1"/>
  <c r="M602" i="1"/>
  <c r="M603" i="1"/>
  <c r="M604" i="1"/>
  <c r="M605" i="1"/>
  <c r="M606" i="1"/>
  <c r="M607" i="1"/>
  <c r="M609" i="1"/>
  <c r="M608" i="1"/>
  <c r="M611" i="1"/>
  <c r="M610" i="1"/>
  <c r="M612" i="1"/>
  <c r="M613" i="1"/>
  <c r="M594" i="1"/>
  <c r="M614" i="1"/>
  <c r="N478" i="1"/>
  <c r="N3" i="1"/>
  <c r="N4" i="1"/>
  <c r="N5" i="1"/>
  <c r="N6" i="1"/>
  <c r="N7" i="1"/>
  <c r="N8" i="1"/>
  <c r="N9" i="1"/>
  <c r="N10" i="1"/>
  <c r="N11" i="1"/>
  <c r="N12" i="1"/>
  <c r="N13" i="1"/>
  <c r="N14" i="1"/>
  <c r="N15" i="1"/>
  <c r="N16" i="1"/>
  <c r="N28" i="1"/>
  <c r="N30" i="1"/>
  <c r="N27" i="1"/>
  <c r="N29" i="1"/>
  <c r="N18" i="1"/>
  <c r="N19" i="1"/>
  <c r="N20" i="1"/>
  <c r="N17" i="1"/>
  <c r="N133" i="1"/>
  <c r="N22" i="1"/>
  <c r="N21" i="1"/>
  <c r="N134" i="1"/>
  <c r="N26" i="1"/>
  <c r="N25" i="1"/>
  <c r="N23" i="1"/>
  <c r="N24" i="1"/>
  <c r="N33" i="1"/>
  <c r="N34" i="1"/>
  <c r="N32" i="1"/>
  <c r="N35" i="1"/>
  <c r="N36" i="1"/>
  <c r="N37" i="1"/>
  <c r="N31" i="1"/>
  <c r="N38" i="1"/>
  <c r="N39" i="1"/>
  <c r="N40" i="1"/>
  <c r="N41" i="1"/>
  <c r="N92" i="1"/>
  <c r="N95" i="1"/>
  <c r="N42" i="1"/>
  <c r="N43" i="1"/>
  <c r="N44" i="1"/>
  <c r="N45" i="1"/>
  <c r="N46" i="1"/>
  <c r="N47" i="1"/>
  <c r="N48" i="1"/>
  <c r="N49" i="1"/>
  <c r="N50" i="1"/>
  <c r="N51" i="1"/>
  <c r="N52" i="1"/>
  <c r="N53" i="1"/>
  <c r="N54" i="1"/>
  <c r="N55" i="1"/>
  <c r="N56" i="1"/>
  <c r="N57" i="1"/>
  <c r="N58" i="1"/>
  <c r="N59" i="1"/>
  <c r="N60" i="1"/>
  <c r="N61" i="1"/>
  <c r="N62" i="1"/>
  <c r="N63" i="1"/>
  <c r="N64" i="1"/>
  <c r="N65" i="1"/>
  <c r="N66" i="1"/>
  <c r="N67" i="1"/>
  <c r="N68" i="1"/>
  <c r="N70" i="1"/>
  <c r="N69" i="1"/>
  <c r="N71" i="1"/>
  <c r="N72" i="1"/>
  <c r="N74" i="1"/>
  <c r="N73" i="1"/>
  <c r="N75" i="1"/>
  <c r="N78" i="1"/>
  <c r="N77" i="1"/>
  <c r="N76" i="1"/>
  <c r="N86" i="1"/>
  <c r="N87" i="1"/>
  <c r="N79" i="1"/>
  <c r="N80" i="1"/>
  <c r="N81" i="1"/>
  <c r="N82" i="1"/>
  <c r="N85" i="1"/>
  <c r="N84" i="1"/>
  <c r="N83" i="1"/>
  <c r="N88" i="1"/>
  <c r="N154" i="1"/>
  <c r="N152" i="1"/>
  <c r="N159" i="1"/>
  <c r="N101" i="1"/>
  <c r="N102" i="1"/>
  <c r="N103" i="1"/>
  <c r="N104" i="1"/>
  <c r="N105" i="1"/>
  <c r="N106" i="1"/>
  <c r="N107" i="1"/>
  <c r="N89" i="1"/>
  <c r="N90" i="1"/>
  <c r="N91" i="1"/>
  <c r="N93" i="1"/>
  <c r="N94" i="1"/>
  <c r="N96" i="1"/>
  <c r="N97" i="1"/>
  <c r="N98" i="1"/>
  <c r="N99" i="1"/>
  <c r="N100" i="1"/>
  <c r="N108" i="1"/>
  <c r="N110" i="1"/>
  <c r="N109" i="1"/>
  <c r="N111" i="1"/>
  <c r="N112" i="1"/>
  <c r="N113" i="1"/>
  <c r="N114" i="1"/>
  <c r="N115" i="1"/>
  <c r="N116" i="1"/>
  <c r="N119" i="1"/>
  <c r="N118" i="1"/>
  <c r="N117" i="1"/>
  <c r="N122" i="1"/>
  <c r="N120" i="1"/>
  <c r="N121" i="1"/>
  <c r="N123" i="1"/>
  <c r="N124" i="1"/>
  <c r="N126" i="1"/>
  <c r="N125" i="1"/>
  <c r="N127" i="1"/>
  <c r="N129" i="1"/>
  <c r="N128" i="1"/>
  <c r="N130" i="1"/>
  <c r="N132" i="1"/>
  <c r="N131" i="1"/>
  <c r="N135" i="1"/>
  <c r="N136" i="1"/>
  <c r="N137" i="1"/>
  <c r="N138" i="1"/>
  <c r="N139" i="1"/>
  <c r="N140" i="1"/>
  <c r="N141" i="1"/>
  <c r="N144" i="1"/>
  <c r="N142" i="1"/>
  <c r="N143" i="1"/>
  <c r="N145" i="1"/>
  <c r="N158" i="1"/>
  <c r="N161" i="1"/>
  <c r="N165" i="1"/>
  <c r="N179" i="1"/>
  <c r="N166" i="1"/>
  <c r="N170" i="1"/>
  <c r="N167" i="1"/>
  <c r="N171" i="1"/>
  <c r="N191" i="1"/>
  <c r="N196" i="1"/>
  <c r="N190" i="1"/>
  <c r="N185" i="1"/>
  <c r="N180" i="1"/>
  <c r="N186" i="1"/>
  <c r="N195" i="1"/>
  <c r="N199" i="1"/>
  <c r="N200" i="1"/>
  <c r="N201" i="1"/>
  <c r="N172" i="1"/>
  <c r="N184" i="1"/>
  <c r="N173" i="1"/>
  <c r="N181" i="1"/>
  <c r="N174" i="1"/>
  <c r="N178" i="1"/>
  <c r="N203" i="1"/>
  <c r="N204" i="1"/>
  <c r="N205" i="1"/>
  <c r="N207" i="1"/>
  <c r="N208" i="1"/>
  <c r="N206" i="1"/>
  <c r="N209" i="1"/>
  <c r="N212" i="1"/>
  <c r="N213" i="1"/>
  <c r="N214" i="1"/>
  <c r="N146" i="1"/>
  <c r="N147" i="1"/>
  <c r="N148" i="1"/>
  <c r="N149" i="1"/>
  <c r="N150" i="1"/>
  <c r="N151" i="1"/>
  <c r="N156" i="1"/>
  <c r="N153" i="1"/>
  <c r="N155" i="1"/>
  <c r="N157" i="1"/>
  <c r="N160" i="1"/>
  <c r="N162" i="1"/>
  <c r="N163" i="1"/>
  <c r="N164" i="1"/>
  <c r="N168" i="1"/>
  <c r="N169" i="1"/>
  <c r="N175" i="1"/>
  <c r="N176" i="1"/>
  <c r="N177" i="1"/>
  <c r="N182" i="1"/>
  <c r="N183" i="1"/>
  <c r="N187" i="1"/>
  <c r="N188" i="1"/>
  <c r="N189" i="1"/>
  <c r="N192" i="1"/>
  <c r="N193" i="1"/>
  <c r="N194" i="1"/>
  <c r="N197" i="1"/>
  <c r="N198" i="1"/>
  <c r="N202" i="1"/>
  <c r="N223" i="1"/>
  <c r="N224" i="1"/>
  <c r="N210" i="1"/>
  <c r="N211" i="1"/>
  <c r="N215" i="1"/>
  <c r="N216" i="1"/>
  <c r="N217" i="1"/>
  <c r="N218" i="1"/>
  <c r="N219" i="1"/>
  <c r="N220" i="1"/>
  <c r="N221" i="1"/>
  <c r="N222" i="1"/>
  <c r="N225" i="1"/>
  <c r="N226" i="1"/>
  <c r="N228" i="1"/>
  <c r="N229" i="1"/>
  <c r="N230" i="1"/>
  <c r="N231" i="1"/>
  <c r="N232" i="1"/>
  <c r="N227" i="1"/>
  <c r="N235" i="1"/>
  <c r="N236" i="1"/>
  <c r="N237" i="1"/>
  <c r="N238" i="1"/>
  <c r="N239" i="1"/>
  <c r="N240" i="1"/>
  <c r="N241" i="1"/>
  <c r="N233" i="1"/>
  <c r="N234" i="1"/>
  <c r="N242" i="1"/>
  <c r="N243" i="1"/>
  <c r="N244" i="1"/>
  <c r="N245" i="1"/>
  <c r="N246" i="1"/>
  <c r="N247" i="1"/>
  <c r="N255" i="1"/>
  <c r="N256" i="1"/>
  <c r="N258" i="1"/>
  <c r="N260" i="1"/>
  <c r="N262" i="1"/>
  <c r="N265" i="1"/>
  <c r="N266" i="1"/>
  <c r="N270" i="1"/>
  <c r="N249" i="1"/>
  <c r="N250" i="1"/>
  <c r="N251" i="1"/>
  <c r="N248" i="1"/>
  <c r="N252" i="1"/>
  <c r="N253" i="1"/>
  <c r="N254" i="1"/>
  <c r="N257" i="1"/>
  <c r="N259" i="1"/>
  <c r="N261" i="1"/>
  <c r="N263" i="1"/>
  <c r="N264" i="1"/>
  <c r="N267" i="1"/>
  <c r="N268" i="1"/>
  <c r="N269" i="1"/>
  <c r="N271" i="1"/>
  <c r="N272" i="1"/>
  <c r="N276" i="1"/>
  <c r="N278" i="1"/>
  <c r="N273" i="1"/>
  <c r="N274" i="1"/>
  <c r="N275" i="1"/>
  <c r="N281" i="1"/>
  <c r="N283" i="1"/>
  <c r="N277" i="1"/>
  <c r="N279" i="1"/>
  <c r="N280" i="1"/>
  <c r="N284" i="1"/>
  <c r="N286" i="1"/>
  <c r="N287" i="1"/>
  <c r="N282" i="1"/>
  <c r="N285" i="1"/>
  <c r="N288" i="1"/>
  <c r="N290" i="1"/>
  <c r="N292" i="1"/>
  <c r="N295" i="1"/>
  <c r="N298" i="1"/>
  <c r="N289" i="1"/>
  <c r="N291" i="1"/>
  <c r="N293" i="1"/>
  <c r="N294" i="1"/>
  <c r="N296" i="1"/>
  <c r="N297" i="1"/>
  <c r="N299" i="1"/>
  <c r="N300" i="1"/>
  <c r="N301" i="1"/>
  <c r="N305" i="1"/>
  <c r="N302" i="1"/>
  <c r="N304" i="1"/>
  <c r="N306" i="1"/>
  <c r="N307" i="1"/>
  <c r="N303" i="1"/>
  <c r="N310" i="1"/>
  <c r="N311" i="1"/>
  <c r="N314" i="1"/>
  <c r="N318" i="1"/>
  <c r="N320" i="1"/>
  <c r="N308" i="1"/>
  <c r="N309" i="1"/>
  <c r="N312" i="1"/>
  <c r="N313" i="1"/>
  <c r="N315" i="1"/>
  <c r="N316" i="1"/>
  <c r="N317" i="1"/>
  <c r="N319" i="1"/>
  <c r="N333" i="1"/>
  <c r="N323" i="1"/>
  <c r="N326" i="1"/>
  <c r="N329" i="1"/>
  <c r="N332" i="1"/>
  <c r="N334" i="1"/>
  <c r="N336" i="1"/>
  <c r="N339" i="1"/>
  <c r="N321" i="1"/>
  <c r="N322" i="1"/>
  <c r="N324" i="1"/>
  <c r="N325" i="1"/>
  <c r="N327" i="1"/>
  <c r="N328" i="1"/>
  <c r="N330" i="1"/>
  <c r="N331" i="1"/>
  <c r="N335" i="1"/>
  <c r="N337" i="1"/>
  <c r="N338" i="1"/>
  <c r="N341" i="1"/>
  <c r="N354" i="1"/>
  <c r="N359" i="1"/>
  <c r="N360" i="1"/>
  <c r="N340" i="1"/>
  <c r="N342" i="1"/>
  <c r="N343" i="1"/>
  <c r="N344" i="1"/>
  <c r="N345" i="1"/>
  <c r="N346" i="1"/>
  <c r="N347" i="1"/>
  <c r="N348" i="1"/>
  <c r="N349" i="1"/>
  <c r="N350" i="1"/>
  <c r="N351" i="1"/>
  <c r="N352" i="1"/>
  <c r="N353" i="1"/>
  <c r="N355" i="1"/>
  <c r="N356" i="1"/>
  <c r="N357" i="1"/>
  <c r="N358" i="1"/>
  <c r="N361" i="1"/>
  <c r="N362" i="1"/>
  <c r="N363" i="1"/>
  <c r="N365" i="1"/>
  <c r="N366" i="1"/>
  <c r="N368" i="1"/>
  <c r="N364" i="1"/>
  <c r="N367" i="1"/>
  <c r="N370" i="1"/>
  <c r="N375" i="1"/>
  <c r="N376" i="1"/>
  <c r="N369" i="1"/>
  <c r="N371" i="1"/>
  <c r="N372" i="1"/>
  <c r="N373" i="1"/>
  <c r="N374" i="1"/>
  <c r="N377" i="1"/>
  <c r="N378" i="1"/>
  <c r="N379" i="1"/>
  <c r="N381" i="1"/>
  <c r="N380" i="1"/>
  <c r="N382" i="1"/>
  <c r="N388" i="1"/>
  <c r="N391" i="1"/>
  <c r="N383" i="1"/>
  <c r="N385" i="1"/>
  <c r="N386" i="1"/>
  <c r="N387" i="1"/>
  <c r="N389" i="1"/>
  <c r="N390" i="1"/>
  <c r="N392" i="1"/>
  <c r="N393" i="1"/>
  <c r="N395" i="1"/>
  <c r="N398" i="1"/>
  <c r="N394" i="1"/>
  <c r="N396" i="1"/>
  <c r="N397" i="1"/>
  <c r="N399" i="1"/>
  <c r="N400" i="1"/>
  <c r="N401" i="1"/>
  <c r="N403" i="1"/>
  <c r="N404" i="1"/>
  <c r="N402" i="1"/>
  <c r="N406" i="1"/>
  <c r="N408" i="1"/>
  <c r="N411" i="1"/>
  <c r="N414" i="1"/>
  <c r="N429" i="1"/>
  <c r="N430" i="1"/>
  <c r="N432" i="1"/>
  <c r="N434" i="1"/>
  <c r="N425" i="1"/>
  <c r="N444" i="1"/>
  <c r="N445" i="1"/>
  <c r="N446" i="1"/>
  <c r="N447" i="1"/>
  <c r="N449" i="1"/>
  <c r="N405" i="1"/>
  <c r="N407" i="1"/>
  <c r="N409" i="1"/>
  <c r="N415" i="1"/>
  <c r="N417" i="1"/>
  <c r="N418" i="1"/>
  <c r="N412" i="1"/>
  <c r="N413" i="1"/>
  <c r="N416" i="1"/>
  <c r="N419" i="1"/>
  <c r="N384" i="1"/>
  <c r="N410" i="1"/>
  <c r="N422" i="1"/>
  <c r="N423" i="1"/>
  <c r="N424" i="1"/>
  <c r="N420" i="1"/>
  <c r="N421" i="1"/>
  <c r="N427" i="1"/>
  <c r="N431" i="1"/>
  <c r="N426" i="1"/>
  <c r="N433" i="1"/>
  <c r="N435" i="1"/>
  <c r="N436" i="1"/>
  <c r="N438" i="1"/>
  <c r="N441" i="1"/>
  <c r="N443" i="1"/>
  <c r="N437" i="1"/>
  <c r="N439" i="1"/>
  <c r="N440" i="1"/>
  <c r="N442" i="1"/>
  <c r="N428" i="1"/>
  <c r="N448" i="1"/>
  <c r="N450" i="1"/>
  <c r="N451" i="1"/>
  <c r="N452" i="1"/>
  <c r="N455" i="1"/>
  <c r="N457" i="1"/>
  <c r="N458" i="1"/>
  <c r="N460" i="1"/>
  <c r="N453" i="1"/>
  <c r="N461" i="1"/>
  <c r="N454" i="1"/>
  <c r="N456" i="1"/>
  <c r="N459" i="1"/>
  <c r="N462" i="1"/>
  <c r="N465" i="1"/>
  <c r="N464" i="1"/>
  <c r="N463" i="1"/>
  <c r="N466" i="1"/>
  <c r="N467" i="1"/>
  <c r="N468" i="1"/>
  <c r="N469" i="1"/>
  <c r="N470" i="1"/>
  <c r="N471" i="1"/>
  <c r="N472" i="1"/>
  <c r="N473" i="1"/>
  <c r="N474" i="1"/>
  <c r="N475" i="1"/>
  <c r="N476" i="1"/>
  <c r="N477" i="1"/>
  <c r="N479" i="1"/>
  <c r="N480" i="1"/>
  <c r="N483" i="1"/>
  <c r="N481" i="1"/>
  <c r="N482" i="1"/>
  <c r="N489" i="1"/>
  <c r="N491" i="1"/>
  <c r="N486" i="1"/>
  <c r="N488" i="1"/>
  <c r="N487" i="1"/>
  <c r="N484" i="1"/>
  <c r="N485" i="1"/>
  <c r="N490" i="1"/>
  <c r="N492" i="1"/>
  <c r="N493" i="1"/>
  <c r="N494" i="1"/>
  <c r="N495" i="1"/>
  <c r="N496" i="1"/>
  <c r="N497" i="1"/>
  <c r="N499" i="1"/>
  <c r="N500" i="1"/>
  <c r="N503" i="1"/>
  <c r="N498" i="1"/>
  <c r="N507" i="1"/>
  <c r="N502" i="1"/>
  <c r="N501" i="1"/>
  <c r="N510" i="1"/>
  <c r="N513" i="1"/>
  <c r="N505" i="1"/>
  <c r="N506" i="1"/>
  <c r="N504" i="1"/>
  <c r="N508" i="1"/>
  <c r="N509" i="1"/>
  <c r="N511" i="1"/>
  <c r="N512" i="1"/>
  <c r="N514" i="1"/>
  <c r="N515" i="1"/>
  <c r="N516" i="1"/>
  <c r="N517" i="1"/>
  <c r="N526" i="1"/>
  <c r="N531" i="1"/>
  <c r="N536" i="1"/>
  <c r="N543" i="1"/>
  <c r="N545" i="1"/>
  <c r="N547" i="1"/>
  <c r="N518" i="1"/>
  <c r="N521" i="1"/>
  <c r="N520" i="1"/>
  <c r="N522" i="1"/>
  <c r="N523" i="1"/>
  <c r="N524" i="1"/>
  <c r="N525" i="1"/>
  <c r="N527" i="1"/>
  <c r="N519" i="1"/>
  <c r="N568" i="1"/>
  <c r="N529" i="1"/>
  <c r="N530" i="1"/>
  <c r="N532" i="1"/>
  <c r="N533" i="1"/>
  <c r="N534" i="1"/>
  <c r="N535" i="1"/>
  <c r="N537" i="1"/>
  <c r="N528" i="1"/>
  <c r="N538" i="1"/>
  <c r="N539" i="1"/>
  <c r="N540" i="1"/>
  <c r="N541" i="1"/>
  <c r="N542" i="1"/>
  <c r="N544" i="1"/>
  <c r="N546" i="1"/>
  <c r="N549" i="1"/>
  <c r="N548" i="1"/>
  <c r="N550" i="1"/>
  <c r="N551" i="1"/>
  <c r="N554" i="1"/>
  <c r="N559" i="1"/>
  <c r="N555" i="1"/>
  <c r="N552" i="1"/>
  <c r="N553" i="1"/>
  <c r="N556" i="1"/>
  <c r="N558" i="1"/>
  <c r="N557" i="1"/>
  <c r="N560" i="1"/>
  <c r="N562" i="1"/>
  <c r="N561" i="1"/>
  <c r="N563" i="1"/>
  <c r="N564" i="1"/>
  <c r="N565" i="1"/>
  <c r="N566" i="1"/>
  <c r="N569" i="1"/>
  <c r="N570" i="1"/>
  <c r="N567" i="1"/>
  <c r="N571" i="1"/>
  <c r="N572" i="1"/>
  <c r="N573" i="1"/>
  <c r="N574" i="1"/>
  <c r="N575" i="1"/>
  <c r="N576" i="1"/>
  <c r="N577" i="1"/>
  <c r="N578" i="1"/>
  <c r="N580" i="1"/>
  <c r="N579" i="1"/>
  <c r="N582" i="1"/>
  <c r="N581" i="1"/>
  <c r="N584" i="1"/>
  <c r="N583" i="1"/>
  <c r="N585" i="1"/>
  <c r="N586" i="1"/>
  <c r="N588" i="1"/>
  <c r="N589" i="1"/>
  <c r="N590" i="1"/>
  <c r="N591" i="1"/>
  <c r="N592" i="1"/>
  <c r="N593" i="1"/>
  <c r="N587" i="1"/>
  <c r="N595" i="1"/>
  <c r="N596" i="1"/>
  <c r="N597" i="1"/>
  <c r="N598" i="1"/>
  <c r="N599" i="1"/>
  <c r="N600" i="1"/>
  <c r="N601" i="1"/>
  <c r="N602" i="1"/>
  <c r="N603" i="1"/>
  <c r="N604" i="1"/>
  <c r="N605" i="1"/>
  <c r="N606" i="1"/>
  <c r="N607" i="1"/>
  <c r="N609" i="1"/>
  <c r="N608" i="1"/>
  <c r="N611" i="1"/>
  <c r="N610" i="1"/>
  <c r="N612" i="1"/>
  <c r="N613" i="1"/>
  <c r="N594" i="1"/>
  <c r="N614" i="1"/>
  <c r="O478" i="1"/>
  <c r="O3" i="1"/>
  <c r="O4" i="1"/>
  <c r="O5" i="1"/>
  <c r="O6" i="1"/>
  <c r="O7" i="1"/>
  <c r="O8" i="1"/>
  <c r="O9" i="1"/>
  <c r="O10" i="1"/>
  <c r="O11" i="1"/>
  <c r="O12" i="1"/>
  <c r="O13" i="1"/>
  <c r="O14" i="1"/>
  <c r="O15" i="1"/>
  <c r="O16" i="1"/>
  <c r="O28" i="1"/>
  <c r="O30" i="1"/>
  <c r="O27" i="1"/>
  <c r="O29" i="1"/>
  <c r="O18" i="1"/>
  <c r="O19" i="1"/>
  <c r="O20" i="1"/>
  <c r="O17" i="1"/>
  <c r="O133" i="1"/>
  <c r="O22" i="1"/>
  <c r="O21" i="1"/>
  <c r="O134" i="1"/>
  <c r="O26" i="1"/>
  <c r="O25" i="1"/>
  <c r="O23" i="1"/>
  <c r="O24" i="1"/>
  <c r="O33" i="1"/>
  <c r="O34" i="1"/>
  <c r="O32" i="1"/>
  <c r="O35" i="1"/>
  <c r="O36" i="1"/>
  <c r="O37" i="1"/>
  <c r="O31" i="1"/>
  <c r="O38" i="1"/>
  <c r="O39" i="1"/>
  <c r="O40" i="1"/>
  <c r="O41" i="1"/>
  <c r="O92" i="1"/>
  <c r="O95" i="1"/>
  <c r="O42" i="1"/>
  <c r="O43" i="1"/>
  <c r="O44" i="1"/>
  <c r="O45" i="1"/>
  <c r="O46" i="1"/>
  <c r="O47" i="1"/>
  <c r="O48" i="1"/>
  <c r="O49" i="1"/>
  <c r="O50" i="1"/>
  <c r="O51" i="1"/>
  <c r="O52" i="1"/>
  <c r="O53" i="1"/>
  <c r="O54" i="1"/>
  <c r="O55" i="1"/>
  <c r="O56" i="1"/>
  <c r="O57" i="1"/>
  <c r="O58" i="1"/>
  <c r="O59" i="1"/>
  <c r="O60" i="1"/>
  <c r="O61" i="1"/>
  <c r="O62" i="1"/>
  <c r="O63" i="1"/>
  <c r="O64" i="1"/>
  <c r="O65" i="1"/>
  <c r="O66" i="1"/>
  <c r="O67" i="1"/>
  <c r="O68" i="1"/>
  <c r="O70" i="1"/>
  <c r="O69" i="1"/>
  <c r="O71" i="1"/>
  <c r="O72" i="1"/>
  <c r="O74" i="1"/>
  <c r="O73" i="1"/>
  <c r="O75" i="1"/>
  <c r="O78" i="1"/>
  <c r="O77" i="1"/>
  <c r="O76" i="1"/>
  <c r="O86" i="1"/>
  <c r="O87" i="1"/>
  <c r="O79" i="1"/>
  <c r="O80" i="1"/>
  <c r="O81" i="1"/>
  <c r="O82" i="1"/>
  <c r="O85" i="1"/>
  <c r="O84" i="1"/>
  <c r="O83" i="1"/>
  <c r="O88" i="1"/>
  <c r="O154" i="1"/>
  <c r="O152" i="1"/>
  <c r="O159" i="1"/>
  <c r="O101" i="1"/>
  <c r="O102" i="1"/>
  <c r="O103" i="1"/>
  <c r="O104" i="1"/>
  <c r="O105" i="1"/>
  <c r="O106" i="1"/>
  <c r="O107" i="1"/>
  <c r="O89" i="1"/>
  <c r="O90" i="1"/>
  <c r="O91" i="1"/>
  <c r="O93" i="1"/>
  <c r="O94" i="1"/>
  <c r="O96" i="1"/>
  <c r="O97" i="1"/>
  <c r="O98" i="1"/>
  <c r="O99" i="1"/>
  <c r="O100" i="1"/>
  <c r="O108" i="1"/>
  <c r="O110" i="1"/>
  <c r="O109" i="1"/>
  <c r="O111" i="1"/>
  <c r="O112" i="1"/>
  <c r="O113" i="1"/>
  <c r="O114" i="1"/>
  <c r="O115" i="1"/>
  <c r="O116" i="1"/>
  <c r="O119" i="1"/>
  <c r="O118" i="1"/>
  <c r="O117" i="1"/>
  <c r="O122" i="1"/>
  <c r="O120" i="1"/>
  <c r="O121" i="1"/>
  <c r="O123" i="1"/>
  <c r="O124" i="1"/>
  <c r="O126" i="1"/>
  <c r="O125" i="1"/>
  <c r="O127" i="1"/>
  <c r="O129" i="1"/>
  <c r="O128" i="1"/>
  <c r="O130" i="1"/>
  <c r="O132" i="1"/>
  <c r="O131" i="1"/>
  <c r="O135" i="1"/>
  <c r="O136" i="1"/>
  <c r="O137" i="1"/>
  <c r="O138" i="1"/>
  <c r="O139" i="1"/>
  <c r="O140" i="1"/>
  <c r="O141" i="1"/>
  <c r="O144" i="1"/>
  <c r="O142" i="1"/>
  <c r="O143" i="1"/>
  <c r="O145" i="1"/>
  <c r="O158" i="1"/>
  <c r="O161" i="1"/>
  <c r="O165" i="1"/>
  <c r="O179" i="1"/>
  <c r="O166" i="1"/>
  <c r="O170" i="1"/>
  <c r="O167" i="1"/>
  <c r="O171" i="1"/>
  <c r="O191" i="1"/>
  <c r="O196" i="1"/>
  <c r="O190" i="1"/>
  <c r="O185" i="1"/>
  <c r="O180" i="1"/>
  <c r="O186" i="1"/>
  <c r="O195" i="1"/>
  <c r="O199" i="1"/>
  <c r="O200" i="1"/>
  <c r="O201" i="1"/>
  <c r="O172" i="1"/>
  <c r="O184" i="1"/>
  <c r="O173" i="1"/>
  <c r="O181" i="1"/>
  <c r="O174" i="1"/>
  <c r="O178" i="1"/>
  <c r="O203" i="1"/>
  <c r="O204" i="1"/>
  <c r="O205" i="1"/>
  <c r="O207" i="1"/>
  <c r="O208" i="1"/>
  <c r="O206" i="1"/>
  <c r="O209" i="1"/>
  <c r="O212" i="1"/>
  <c r="O213" i="1"/>
  <c r="O214" i="1"/>
  <c r="O146" i="1"/>
  <c r="O147" i="1"/>
  <c r="O148" i="1"/>
  <c r="O149" i="1"/>
  <c r="O150" i="1"/>
  <c r="O151" i="1"/>
  <c r="O156" i="1"/>
  <c r="O153" i="1"/>
  <c r="O155" i="1"/>
  <c r="O157" i="1"/>
  <c r="O160" i="1"/>
  <c r="O162" i="1"/>
  <c r="O163" i="1"/>
  <c r="O164" i="1"/>
  <c r="O168" i="1"/>
  <c r="O169" i="1"/>
  <c r="O175" i="1"/>
  <c r="O176" i="1"/>
  <c r="O177" i="1"/>
  <c r="O182" i="1"/>
  <c r="O183" i="1"/>
  <c r="O187" i="1"/>
  <c r="O188" i="1"/>
  <c r="O189" i="1"/>
  <c r="O192" i="1"/>
  <c r="O193" i="1"/>
  <c r="O194" i="1"/>
  <c r="O197" i="1"/>
  <c r="O198" i="1"/>
  <c r="O202" i="1"/>
  <c r="O223" i="1"/>
  <c r="O224" i="1"/>
  <c r="O210" i="1"/>
  <c r="O211" i="1"/>
  <c r="O215" i="1"/>
  <c r="O216" i="1"/>
  <c r="O217" i="1"/>
  <c r="O218" i="1"/>
  <c r="O219" i="1"/>
  <c r="O220" i="1"/>
  <c r="O221" i="1"/>
  <c r="O222" i="1"/>
  <c r="O225" i="1"/>
  <c r="O226" i="1"/>
  <c r="O228" i="1"/>
  <c r="O229" i="1"/>
  <c r="O230" i="1"/>
  <c r="O231" i="1"/>
  <c r="O232" i="1"/>
  <c r="O227" i="1"/>
  <c r="O235" i="1"/>
  <c r="O236" i="1"/>
  <c r="O237" i="1"/>
  <c r="O238" i="1"/>
  <c r="O239" i="1"/>
  <c r="O240" i="1"/>
  <c r="O241" i="1"/>
  <c r="O233" i="1"/>
  <c r="O234" i="1"/>
  <c r="O242" i="1"/>
  <c r="O243" i="1"/>
  <c r="O244" i="1"/>
  <c r="O245" i="1"/>
  <c r="O246" i="1"/>
  <c r="O247" i="1"/>
  <c r="O255" i="1"/>
  <c r="O256" i="1"/>
  <c r="O258" i="1"/>
  <c r="O260" i="1"/>
  <c r="O262" i="1"/>
  <c r="O265" i="1"/>
  <c r="O266" i="1"/>
  <c r="O270" i="1"/>
  <c r="O249" i="1"/>
  <c r="O250" i="1"/>
  <c r="O251" i="1"/>
  <c r="O248" i="1"/>
  <c r="O252" i="1"/>
  <c r="O253" i="1"/>
  <c r="O254" i="1"/>
  <c r="O257" i="1"/>
  <c r="O259" i="1"/>
  <c r="O261" i="1"/>
  <c r="O263" i="1"/>
  <c r="O264" i="1"/>
  <c r="O267" i="1"/>
  <c r="O268" i="1"/>
  <c r="O269" i="1"/>
  <c r="O271" i="1"/>
  <c r="O272" i="1"/>
  <c r="O276" i="1"/>
  <c r="O278" i="1"/>
  <c r="O273" i="1"/>
  <c r="O274" i="1"/>
  <c r="O275" i="1"/>
  <c r="O281" i="1"/>
  <c r="O283" i="1"/>
  <c r="O277" i="1"/>
  <c r="O279" i="1"/>
  <c r="O280" i="1"/>
  <c r="O284" i="1"/>
  <c r="O286" i="1"/>
  <c r="O287" i="1"/>
  <c r="O282" i="1"/>
  <c r="O285" i="1"/>
  <c r="O288" i="1"/>
  <c r="O290" i="1"/>
  <c r="O292" i="1"/>
  <c r="O295" i="1"/>
  <c r="O298" i="1"/>
  <c r="O289" i="1"/>
  <c r="O291" i="1"/>
  <c r="O293" i="1"/>
  <c r="O294" i="1"/>
  <c r="O296" i="1"/>
  <c r="O297" i="1"/>
  <c r="O299" i="1"/>
  <c r="O300" i="1"/>
  <c r="O301" i="1"/>
  <c r="O305" i="1"/>
  <c r="O302" i="1"/>
  <c r="O304" i="1"/>
  <c r="O306" i="1"/>
  <c r="O307" i="1"/>
  <c r="O303" i="1"/>
  <c r="O310" i="1"/>
  <c r="O311" i="1"/>
  <c r="O314" i="1"/>
  <c r="O318" i="1"/>
  <c r="O320" i="1"/>
  <c r="O308" i="1"/>
  <c r="O309" i="1"/>
  <c r="O312" i="1"/>
  <c r="O313" i="1"/>
  <c r="O315" i="1"/>
  <c r="O316" i="1"/>
  <c r="O317" i="1"/>
  <c r="O319" i="1"/>
  <c r="O333" i="1"/>
  <c r="O323" i="1"/>
  <c r="O326" i="1"/>
  <c r="O329" i="1"/>
  <c r="O332" i="1"/>
  <c r="O334" i="1"/>
  <c r="O336" i="1"/>
  <c r="O339" i="1"/>
  <c r="O321" i="1"/>
  <c r="O322" i="1"/>
  <c r="O324" i="1"/>
  <c r="O325" i="1"/>
  <c r="O327" i="1"/>
  <c r="O328" i="1"/>
  <c r="O330" i="1"/>
  <c r="O331" i="1"/>
  <c r="O335" i="1"/>
  <c r="O337" i="1"/>
  <c r="O338" i="1"/>
  <c r="O341" i="1"/>
  <c r="O354" i="1"/>
  <c r="O359" i="1"/>
  <c r="O360" i="1"/>
  <c r="O340" i="1"/>
  <c r="O342" i="1"/>
  <c r="O343" i="1"/>
  <c r="O344" i="1"/>
  <c r="O345" i="1"/>
  <c r="O346" i="1"/>
  <c r="O347" i="1"/>
  <c r="O348" i="1"/>
  <c r="O349" i="1"/>
  <c r="O350" i="1"/>
  <c r="O351" i="1"/>
  <c r="O352" i="1"/>
  <c r="O353" i="1"/>
  <c r="O355" i="1"/>
  <c r="O356" i="1"/>
  <c r="O357" i="1"/>
  <c r="O358" i="1"/>
  <c r="O361" i="1"/>
  <c r="O362" i="1"/>
  <c r="O363" i="1"/>
  <c r="O365" i="1"/>
  <c r="O366" i="1"/>
  <c r="O368" i="1"/>
  <c r="O364" i="1"/>
  <c r="O367" i="1"/>
  <c r="O370" i="1"/>
  <c r="O375" i="1"/>
  <c r="O376" i="1"/>
  <c r="O369" i="1"/>
  <c r="O371" i="1"/>
  <c r="O372" i="1"/>
  <c r="O373" i="1"/>
  <c r="O374" i="1"/>
  <c r="O377" i="1"/>
  <c r="O378" i="1"/>
  <c r="O379" i="1"/>
  <c r="O381" i="1"/>
  <c r="O380" i="1"/>
  <c r="O382" i="1"/>
  <c r="O388" i="1"/>
  <c r="O391" i="1"/>
  <c r="O383" i="1"/>
  <c r="O385" i="1"/>
  <c r="O386" i="1"/>
  <c r="O387" i="1"/>
  <c r="O389" i="1"/>
  <c r="O390" i="1"/>
  <c r="O392" i="1"/>
  <c r="O393" i="1"/>
  <c r="O395" i="1"/>
  <c r="O398" i="1"/>
  <c r="O394" i="1"/>
  <c r="O396" i="1"/>
  <c r="O397" i="1"/>
  <c r="O399" i="1"/>
  <c r="O400" i="1"/>
  <c r="O401" i="1"/>
  <c r="O403" i="1"/>
  <c r="O404" i="1"/>
  <c r="O402" i="1"/>
  <c r="O406" i="1"/>
  <c r="O408" i="1"/>
  <c r="O411" i="1"/>
  <c r="O414" i="1"/>
  <c r="O429" i="1"/>
  <c r="O430" i="1"/>
  <c r="O432" i="1"/>
  <c r="O434" i="1"/>
  <c r="O425" i="1"/>
  <c r="O444" i="1"/>
  <c r="O445" i="1"/>
  <c r="O446" i="1"/>
  <c r="O447" i="1"/>
  <c r="O449" i="1"/>
  <c r="O405" i="1"/>
  <c r="O407" i="1"/>
  <c r="O409" i="1"/>
  <c r="O415" i="1"/>
  <c r="O417" i="1"/>
  <c r="O418" i="1"/>
  <c r="O412" i="1"/>
  <c r="O413" i="1"/>
  <c r="O416" i="1"/>
  <c r="O419" i="1"/>
  <c r="O384" i="1"/>
  <c r="O410" i="1"/>
  <c r="O422" i="1"/>
  <c r="O423" i="1"/>
  <c r="O424" i="1"/>
  <c r="O420" i="1"/>
  <c r="O421" i="1"/>
  <c r="O427" i="1"/>
  <c r="O431" i="1"/>
  <c r="O426" i="1"/>
  <c r="O433" i="1"/>
  <c r="O435" i="1"/>
  <c r="O436" i="1"/>
  <c r="O438" i="1"/>
  <c r="O441" i="1"/>
  <c r="O443" i="1"/>
  <c r="O437" i="1"/>
  <c r="O439" i="1"/>
  <c r="O440" i="1"/>
  <c r="O442" i="1"/>
  <c r="O428" i="1"/>
  <c r="O448" i="1"/>
  <c r="O450" i="1"/>
  <c r="O451" i="1"/>
  <c r="O452" i="1"/>
  <c r="O455" i="1"/>
  <c r="O457" i="1"/>
  <c r="O458" i="1"/>
  <c r="O460" i="1"/>
  <c r="O453" i="1"/>
  <c r="O461" i="1"/>
  <c r="O454" i="1"/>
  <c r="O456" i="1"/>
  <c r="O459" i="1"/>
  <c r="O462" i="1"/>
  <c r="O465" i="1"/>
  <c r="O464" i="1"/>
  <c r="O463" i="1"/>
  <c r="O466" i="1"/>
  <c r="O467" i="1"/>
  <c r="O468" i="1"/>
  <c r="O469" i="1"/>
  <c r="O470" i="1"/>
  <c r="O471" i="1"/>
  <c r="O472" i="1"/>
  <c r="O473" i="1"/>
  <c r="O474" i="1"/>
  <c r="O475" i="1"/>
  <c r="O476" i="1"/>
  <c r="O477" i="1"/>
  <c r="O479" i="1"/>
  <c r="O480" i="1"/>
  <c r="O483" i="1"/>
  <c r="O481" i="1"/>
  <c r="O482" i="1"/>
  <c r="O489" i="1"/>
  <c r="O491" i="1"/>
  <c r="O486" i="1"/>
  <c r="O488" i="1"/>
  <c r="O487" i="1"/>
  <c r="O484" i="1"/>
  <c r="O485" i="1"/>
  <c r="O490" i="1"/>
  <c r="O492" i="1"/>
  <c r="O493" i="1"/>
  <c r="O494" i="1"/>
  <c r="O495" i="1"/>
  <c r="O496" i="1"/>
  <c r="O497" i="1"/>
  <c r="O499" i="1"/>
  <c r="O500" i="1"/>
  <c r="O503" i="1"/>
  <c r="O498" i="1"/>
  <c r="O507" i="1"/>
  <c r="O502" i="1"/>
  <c r="O501" i="1"/>
  <c r="O510" i="1"/>
  <c r="O513" i="1"/>
  <c r="O505" i="1"/>
  <c r="O506" i="1"/>
  <c r="O504" i="1"/>
  <c r="O508" i="1"/>
  <c r="O509" i="1"/>
  <c r="O511" i="1"/>
  <c r="O512" i="1"/>
  <c r="O514" i="1"/>
  <c r="O515" i="1"/>
  <c r="O516" i="1"/>
  <c r="O517" i="1"/>
  <c r="O526" i="1"/>
  <c r="O531" i="1"/>
  <c r="O536" i="1"/>
  <c r="O543" i="1"/>
  <c r="O545" i="1"/>
  <c r="O547" i="1"/>
  <c r="O518" i="1"/>
  <c r="O521" i="1"/>
  <c r="O520" i="1"/>
  <c r="O522" i="1"/>
  <c r="O523" i="1"/>
  <c r="O524" i="1"/>
  <c r="O525" i="1"/>
  <c r="O527" i="1"/>
  <c r="O519" i="1"/>
  <c r="O568" i="1"/>
  <c r="O529" i="1"/>
  <c r="O530" i="1"/>
  <c r="O532" i="1"/>
  <c r="O533" i="1"/>
  <c r="O534" i="1"/>
  <c r="O535" i="1"/>
  <c r="O537" i="1"/>
  <c r="O528" i="1"/>
  <c r="O538" i="1"/>
  <c r="O539" i="1"/>
  <c r="O540" i="1"/>
  <c r="O541" i="1"/>
  <c r="O542" i="1"/>
  <c r="O544" i="1"/>
  <c r="O546" i="1"/>
  <c r="O549" i="1"/>
  <c r="O548" i="1"/>
  <c r="O550" i="1"/>
  <c r="O551" i="1"/>
  <c r="O554" i="1"/>
  <c r="O559" i="1"/>
  <c r="O555" i="1"/>
  <c r="O552" i="1"/>
  <c r="O553" i="1"/>
  <c r="O556" i="1"/>
  <c r="O558" i="1"/>
  <c r="O557" i="1"/>
  <c r="O560" i="1"/>
  <c r="O562" i="1"/>
  <c r="O561" i="1"/>
  <c r="O563" i="1"/>
  <c r="O564" i="1"/>
  <c r="O565" i="1"/>
  <c r="O566" i="1"/>
  <c r="O569" i="1"/>
  <c r="O570" i="1"/>
  <c r="O567" i="1"/>
  <c r="O571" i="1"/>
  <c r="O572" i="1"/>
  <c r="O573" i="1"/>
  <c r="O574" i="1"/>
  <c r="O575" i="1"/>
  <c r="O576" i="1"/>
  <c r="O577" i="1"/>
  <c r="O578" i="1"/>
  <c r="O580" i="1"/>
  <c r="O579" i="1"/>
  <c r="O582" i="1"/>
  <c r="O581" i="1"/>
  <c r="O584" i="1"/>
  <c r="O583" i="1"/>
  <c r="O585" i="1"/>
  <c r="O586" i="1"/>
  <c r="O588" i="1"/>
  <c r="O589" i="1"/>
  <c r="O590" i="1"/>
  <c r="O591" i="1"/>
  <c r="O592" i="1"/>
  <c r="O593" i="1"/>
  <c r="O587" i="1"/>
  <c r="O595" i="1"/>
  <c r="O596" i="1"/>
  <c r="O597" i="1"/>
  <c r="O598" i="1"/>
  <c r="O599" i="1"/>
  <c r="O600" i="1"/>
  <c r="O601" i="1"/>
  <c r="O602" i="1"/>
  <c r="O603" i="1"/>
  <c r="O604" i="1"/>
  <c r="O605" i="1"/>
  <c r="O606" i="1"/>
  <c r="O607" i="1"/>
  <c r="O609" i="1"/>
  <c r="O608" i="1"/>
  <c r="O611" i="1"/>
  <c r="O610" i="1"/>
  <c r="O612" i="1"/>
  <c r="O613" i="1"/>
  <c r="O594" i="1"/>
  <c r="P478" i="1"/>
  <c r="P3" i="1"/>
  <c r="P4" i="1"/>
  <c r="P5" i="1"/>
  <c r="P6" i="1"/>
  <c r="P7" i="1"/>
  <c r="P8" i="1"/>
  <c r="P9" i="1"/>
  <c r="P10" i="1"/>
  <c r="P11" i="1"/>
  <c r="P12" i="1"/>
  <c r="P13" i="1"/>
  <c r="P14" i="1"/>
  <c r="P15" i="1"/>
  <c r="P16" i="1"/>
  <c r="P28" i="1"/>
  <c r="P30" i="1"/>
  <c r="P27" i="1"/>
  <c r="P29" i="1"/>
  <c r="P18" i="1"/>
  <c r="P19" i="1"/>
  <c r="P20" i="1"/>
  <c r="P17" i="1"/>
  <c r="P133" i="1"/>
  <c r="P22" i="1"/>
  <c r="P21" i="1"/>
  <c r="P134" i="1"/>
  <c r="P26" i="1"/>
  <c r="P25" i="1"/>
  <c r="P23" i="1"/>
  <c r="P24" i="1"/>
  <c r="P33" i="1"/>
  <c r="P34" i="1"/>
  <c r="P32" i="1"/>
  <c r="P35" i="1"/>
  <c r="P36" i="1"/>
  <c r="P37" i="1"/>
  <c r="P31" i="1"/>
  <c r="P38" i="1"/>
  <c r="P39" i="1"/>
  <c r="P40" i="1"/>
  <c r="P41" i="1"/>
  <c r="P92" i="1"/>
  <c r="P95"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69" i="1"/>
  <c r="P71" i="1"/>
  <c r="P72" i="1"/>
  <c r="P74" i="1"/>
  <c r="P73" i="1"/>
  <c r="P75" i="1"/>
  <c r="P78" i="1"/>
  <c r="P77" i="1"/>
  <c r="P76" i="1"/>
  <c r="P86" i="1"/>
  <c r="P87" i="1"/>
  <c r="P79" i="1"/>
  <c r="P80" i="1"/>
  <c r="P81" i="1"/>
  <c r="P82" i="1"/>
  <c r="P85" i="1"/>
  <c r="P84" i="1"/>
  <c r="P83" i="1"/>
  <c r="P88" i="1"/>
  <c r="P154" i="1"/>
  <c r="P152" i="1"/>
  <c r="P159" i="1"/>
  <c r="P101" i="1"/>
  <c r="P102" i="1"/>
  <c r="P103" i="1"/>
  <c r="P104" i="1"/>
  <c r="P105" i="1"/>
  <c r="P106" i="1"/>
  <c r="P107" i="1"/>
  <c r="P89" i="1"/>
  <c r="P90" i="1"/>
  <c r="P91" i="1"/>
  <c r="P93" i="1"/>
  <c r="P94" i="1"/>
  <c r="P96" i="1"/>
  <c r="P97" i="1"/>
  <c r="P98" i="1"/>
  <c r="P99" i="1"/>
  <c r="P100" i="1"/>
  <c r="P108" i="1"/>
  <c r="P110" i="1"/>
  <c r="P109" i="1"/>
  <c r="P111" i="1"/>
  <c r="P112" i="1"/>
  <c r="P113" i="1"/>
  <c r="P114" i="1"/>
  <c r="P115" i="1"/>
  <c r="P116" i="1"/>
  <c r="P119" i="1"/>
  <c r="P118" i="1"/>
  <c r="P117" i="1"/>
  <c r="P122" i="1"/>
  <c r="P120" i="1"/>
  <c r="P121" i="1"/>
  <c r="P123" i="1"/>
  <c r="P124" i="1"/>
  <c r="P126" i="1"/>
  <c r="P125" i="1"/>
  <c r="P127" i="1"/>
  <c r="P129" i="1"/>
  <c r="P128" i="1"/>
  <c r="P130" i="1"/>
  <c r="P132" i="1"/>
  <c r="P131" i="1"/>
  <c r="P135" i="1"/>
  <c r="P136" i="1"/>
  <c r="P137" i="1"/>
  <c r="P138" i="1"/>
  <c r="P139" i="1"/>
  <c r="P140" i="1"/>
  <c r="P141" i="1"/>
  <c r="P144" i="1"/>
  <c r="P142" i="1"/>
  <c r="P143" i="1"/>
  <c r="P145" i="1"/>
  <c r="P158" i="1"/>
  <c r="P161" i="1"/>
  <c r="P165" i="1"/>
  <c r="P179" i="1"/>
  <c r="P166" i="1"/>
  <c r="P170" i="1"/>
  <c r="P167" i="1"/>
  <c r="P171" i="1"/>
  <c r="P191" i="1"/>
  <c r="P196" i="1"/>
  <c r="P190" i="1"/>
  <c r="P185" i="1"/>
  <c r="P180" i="1"/>
  <c r="P186" i="1"/>
  <c r="P195" i="1"/>
  <c r="P199" i="1"/>
  <c r="P200" i="1"/>
  <c r="P201" i="1"/>
  <c r="P172" i="1"/>
  <c r="P184" i="1"/>
  <c r="P173" i="1"/>
  <c r="P181" i="1"/>
  <c r="P174" i="1"/>
  <c r="P178" i="1"/>
  <c r="P203" i="1"/>
  <c r="P204" i="1"/>
  <c r="P205" i="1"/>
  <c r="P207" i="1"/>
  <c r="P208" i="1"/>
  <c r="P206" i="1"/>
  <c r="P209" i="1"/>
  <c r="P212" i="1"/>
  <c r="P213" i="1"/>
  <c r="P214" i="1"/>
  <c r="P146" i="1"/>
  <c r="P147" i="1"/>
  <c r="P148" i="1"/>
  <c r="P149" i="1"/>
  <c r="P150" i="1"/>
  <c r="P151" i="1"/>
  <c r="P156" i="1"/>
  <c r="P153" i="1"/>
  <c r="P155" i="1"/>
  <c r="P157" i="1"/>
  <c r="P160" i="1"/>
  <c r="P162" i="1"/>
  <c r="P163" i="1"/>
  <c r="P164" i="1"/>
  <c r="P168" i="1"/>
  <c r="P169" i="1"/>
  <c r="P175" i="1"/>
  <c r="P176" i="1"/>
  <c r="P177" i="1"/>
  <c r="P182" i="1"/>
  <c r="P183" i="1"/>
  <c r="P187" i="1"/>
  <c r="P188" i="1"/>
  <c r="P189" i="1"/>
  <c r="P192" i="1"/>
  <c r="P193" i="1"/>
  <c r="P194" i="1"/>
  <c r="P197" i="1"/>
  <c r="P198" i="1"/>
  <c r="P202" i="1"/>
  <c r="P223" i="1"/>
  <c r="P224" i="1"/>
  <c r="P210" i="1"/>
  <c r="P211" i="1"/>
  <c r="P215" i="1"/>
  <c r="P216" i="1"/>
  <c r="P217" i="1"/>
  <c r="P218" i="1"/>
  <c r="P219" i="1"/>
  <c r="P220" i="1"/>
  <c r="P221" i="1"/>
  <c r="P222" i="1"/>
  <c r="P225" i="1"/>
  <c r="P226" i="1"/>
  <c r="P228" i="1"/>
  <c r="P229" i="1"/>
  <c r="P230" i="1"/>
  <c r="P231" i="1"/>
  <c r="P232" i="1"/>
  <c r="P227" i="1"/>
  <c r="P235" i="1"/>
  <c r="P236" i="1"/>
  <c r="P237" i="1"/>
  <c r="P238" i="1"/>
  <c r="P239" i="1"/>
  <c r="P240" i="1"/>
  <c r="P241" i="1"/>
  <c r="P233" i="1"/>
  <c r="P234" i="1"/>
  <c r="P242" i="1"/>
  <c r="P243" i="1"/>
  <c r="P244" i="1"/>
  <c r="P245" i="1"/>
  <c r="P246" i="1"/>
  <c r="P247" i="1"/>
  <c r="P255" i="1"/>
  <c r="P256" i="1"/>
  <c r="P258" i="1"/>
  <c r="P260" i="1"/>
  <c r="P262" i="1"/>
  <c r="P265" i="1"/>
  <c r="P266" i="1"/>
  <c r="P270" i="1"/>
  <c r="P249" i="1"/>
  <c r="P250" i="1"/>
  <c r="P251" i="1"/>
  <c r="P248" i="1"/>
  <c r="P252" i="1"/>
  <c r="P253" i="1"/>
  <c r="P254" i="1"/>
  <c r="P257" i="1"/>
  <c r="P259" i="1"/>
  <c r="P261" i="1"/>
  <c r="P263" i="1"/>
  <c r="P264" i="1"/>
  <c r="P267" i="1"/>
  <c r="P268" i="1"/>
  <c r="P269" i="1"/>
  <c r="P271" i="1"/>
  <c r="P272" i="1"/>
  <c r="P276" i="1"/>
  <c r="P278" i="1"/>
  <c r="P273" i="1"/>
  <c r="P274" i="1"/>
  <c r="P275" i="1"/>
  <c r="P281" i="1"/>
  <c r="P283" i="1"/>
  <c r="P277" i="1"/>
  <c r="P279" i="1"/>
  <c r="P280" i="1"/>
  <c r="P284" i="1"/>
  <c r="P286" i="1"/>
  <c r="P287" i="1"/>
  <c r="P282" i="1"/>
  <c r="P285" i="1"/>
  <c r="P288" i="1"/>
  <c r="P290" i="1"/>
  <c r="P292" i="1"/>
  <c r="P295" i="1"/>
  <c r="P298" i="1"/>
  <c r="P289" i="1"/>
  <c r="P291" i="1"/>
  <c r="P293" i="1"/>
  <c r="P294" i="1"/>
  <c r="P296" i="1"/>
  <c r="P297" i="1"/>
  <c r="P299" i="1"/>
  <c r="P300" i="1"/>
  <c r="P301" i="1"/>
  <c r="P305" i="1"/>
  <c r="P302" i="1"/>
  <c r="P304" i="1"/>
  <c r="P306" i="1"/>
  <c r="P307" i="1"/>
  <c r="P303" i="1"/>
  <c r="P310" i="1"/>
  <c r="P311" i="1"/>
  <c r="P314" i="1"/>
  <c r="P318" i="1"/>
  <c r="P320" i="1"/>
  <c r="P308" i="1"/>
  <c r="P309" i="1"/>
  <c r="P312" i="1"/>
  <c r="P313" i="1"/>
  <c r="P315" i="1"/>
  <c r="P316" i="1"/>
  <c r="P317" i="1"/>
  <c r="P319" i="1"/>
  <c r="P333" i="1"/>
  <c r="P323" i="1"/>
  <c r="P326" i="1"/>
  <c r="P329" i="1"/>
  <c r="P332" i="1"/>
  <c r="P334" i="1"/>
  <c r="P336" i="1"/>
  <c r="P339" i="1"/>
  <c r="P321" i="1"/>
  <c r="P322" i="1"/>
  <c r="P324" i="1"/>
  <c r="P325" i="1"/>
  <c r="P327" i="1"/>
  <c r="P328" i="1"/>
  <c r="P330" i="1"/>
  <c r="P331" i="1"/>
  <c r="P335" i="1"/>
  <c r="P337" i="1"/>
  <c r="P338" i="1"/>
  <c r="P341" i="1"/>
  <c r="P354" i="1"/>
  <c r="P359" i="1"/>
  <c r="P360" i="1"/>
  <c r="P340" i="1"/>
  <c r="P342" i="1"/>
  <c r="P343" i="1"/>
  <c r="P344" i="1"/>
  <c r="P345" i="1"/>
  <c r="P346" i="1"/>
  <c r="P347" i="1"/>
  <c r="P348" i="1"/>
  <c r="P349" i="1"/>
  <c r="P350" i="1"/>
  <c r="P351" i="1"/>
  <c r="P352" i="1"/>
  <c r="P353" i="1"/>
  <c r="P355" i="1"/>
  <c r="P356" i="1"/>
  <c r="P357" i="1"/>
  <c r="P358" i="1"/>
  <c r="P361" i="1"/>
  <c r="P362" i="1"/>
  <c r="P363" i="1"/>
  <c r="P365" i="1"/>
  <c r="P366" i="1"/>
  <c r="P368" i="1"/>
  <c r="P364" i="1"/>
  <c r="P367" i="1"/>
  <c r="P370" i="1"/>
  <c r="P375" i="1"/>
  <c r="P376" i="1"/>
  <c r="P369" i="1"/>
  <c r="P371" i="1"/>
  <c r="P372" i="1"/>
  <c r="P373" i="1"/>
  <c r="P374" i="1"/>
  <c r="P377" i="1"/>
  <c r="P378" i="1"/>
  <c r="P379" i="1"/>
  <c r="P381" i="1"/>
  <c r="P380" i="1"/>
  <c r="P382" i="1"/>
  <c r="P388" i="1"/>
  <c r="P391" i="1"/>
  <c r="P383" i="1"/>
  <c r="P385" i="1"/>
  <c r="P386" i="1"/>
  <c r="P387" i="1"/>
  <c r="P389" i="1"/>
  <c r="P390" i="1"/>
  <c r="P392" i="1"/>
  <c r="P393" i="1"/>
  <c r="P395" i="1"/>
  <c r="P398" i="1"/>
  <c r="P394" i="1"/>
  <c r="P396" i="1"/>
  <c r="P397" i="1"/>
  <c r="P399" i="1"/>
  <c r="P400" i="1"/>
  <c r="P401" i="1"/>
  <c r="P403" i="1"/>
  <c r="P404" i="1"/>
  <c r="P402" i="1"/>
  <c r="P406" i="1"/>
  <c r="P408" i="1"/>
  <c r="P411" i="1"/>
  <c r="P414" i="1"/>
  <c r="P429" i="1"/>
  <c r="P430" i="1"/>
  <c r="P432" i="1"/>
  <c r="P434" i="1"/>
  <c r="P425" i="1"/>
  <c r="P444" i="1"/>
  <c r="P445" i="1"/>
  <c r="P446" i="1"/>
  <c r="P447" i="1"/>
  <c r="P449" i="1"/>
  <c r="P405" i="1"/>
  <c r="P407" i="1"/>
  <c r="P409" i="1"/>
  <c r="P415" i="1"/>
  <c r="P417" i="1"/>
  <c r="P418" i="1"/>
  <c r="P412" i="1"/>
  <c r="P413" i="1"/>
  <c r="P416" i="1"/>
  <c r="P419" i="1"/>
  <c r="P384" i="1"/>
  <c r="P410" i="1"/>
  <c r="P422" i="1"/>
  <c r="P423" i="1"/>
  <c r="P424" i="1"/>
  <c r="P420" i="1"/>
  <c r="P421" i="1"/>
  <c r="P427" i="1"/>
  <c r="P431" i="1"/>
  <c r="P426" i="1"/>
  <c r="P433" i="1"/>
  <c r="P435" i="1"/>
  <c r="P436" i="1"/>
  <c r="P438" i="1"/>
  <c r="P441" i="1"/>
  <c r="P443" i="1"/>
  <c r="P437" i="1"/>
  <c r="P439" i="1"/>
  <c r="P440" i="1"/>
  <c r="P442" i="1"/>
  <c r="P428" i="1"/>
  <c r="P448" i="1"/>
  <c r="P450" i="1"/>
  <c r="P451" i="1"/>
  <c r="P452" i="1"/>
  <c r="P455" i="1"/>
  <c r="P457" i="1"/>
  <c r="P458" i="1"/>
  <c r="P460" i="1"/>
  <c r="P453" i="1"/>
  <c r="P461" i="1"/>
  <c r="P454" i="1"/>
  <c r="P456" i="1"/>
  <c r="P459" i="1"/>
  <c r="P462" i="1"/>
  <c r="P465" i="1"/>
  <c r="P464" i="1"/>
  <c r="P463" i="1"/>
  <c r="P466" i="1"/>
  <c r="P467" i="1"/>
  <c r="P468" i="1"/>
  <c r="P469" i="1"/>
  <c r="P470" i="1"/>
  <c r="P471" i="1"/>
  <c r="P472" i="1"/>
  <c r="P473" i="1"/>
  <c r="P474" i="1"/>
  <c r="P475" i="1"/>
  <c r="P476" i="1"/>
  <c r="P477" i="1"/>
  <c r="P479" i="1"/>
  <c r="P480" i="1"/>
  <c r="P483" i="1"/>
  <c r="P481" i="1"/>
  <c r="P482" i="1"/>
  <c r="P489" i="1"/>
  <c r="P491" i="1"/>
  <c r="P486" i="1"/>
  <c r="P488" i="1"/>
  <c r="P487" i="1"/>
  <c r="P484" i="1"/>
  <c r="P485" i="1"/>
  <c r="P490" i="1"/>
  <c r="P492" i="1"/>
  <c r="P493" i="1"/>
  <c r="P494" i="1"/>
  <c r="P495" i="1"/>
  <c r="P496" i="1"/>
  <c r="P497" i="1"/>
  <c r="P499" i="1"/>
  <c r="P500" i="1"/>
  <c r="P503" i="1"/>
  <c r="P498" i="1"/>
  <c r="P507" i="1"/>
  <c r="P502" i="1"/>
  <c r="P501" i="1"/>
  <c r="P510" i="1"/>
  <c r="P513" i="1"/>
  <c r="P505" i="1"/>
  <c r="P506" i="1"/>
  <c r="P504" i="1"/>
  <c r="P508" i="1"/>
  <c r="P509" i="1"/>
  <c r="P511" i="1"/>
  <c r="P512" i="1"/>
  <c r="P514" i="1"/>
  <c r="P515" i="1"/>
  <c r="P516" i="1"/>
  <c r="P517" i="1"/>
  <c r="P526" i="1"/>
  <c r="P531" i="1"/>
  <c r="P536" i="1"/>
  <c r="P543" i="1"/>
  <c r="P545" i="1"/>
  <c r="P547" i="1"/>
  <c r="P518" i="1"/>
  <c r="P521" i="1"/>
  <c r="P520" i="1"/>
  <c r="P522" i="1"/>
  <c r="P523" i="1"/>
  <c r="P524" i="1"/>
  <c r="P525" i="1"/>
  <c r="P527" i="1"/>
  <c r="P519" i="1"/>
  <c r="P568" i="1"/>
  <c r="P529" i="1"/>
  <c r="P530" i="1"/>
  <c r="P532" i="1"/>
  <c r="P533" i="1"/>
  <c r="P534" i="1"/>
  <c r="P535" i="1"/>
  <c r="P537" i="1"/>
  <c r="P528" i="1"/>
  <c r="P538" i="1"/>
  <c r="P539" i="1"/>
  <c r="P540" i="1"/>
  <c r="P541" i="1"/>
  <c r="P542" i="1"/>
  <c r="P544" i="1"/>
  <c r="P546" i="1"/>
  <c r="P549" i="1"/>
  <c r="P548" i="1"/>
  <c r="P550" i="1"/>
  <c r="P551" i="1"/>
  <c r="P554" i="1"/>
  <c r="P559" i="1"/>
  <c r="P555" i="1"/>
  <c r="P552" i="1"/>
  <c r="P553" i="1"/>
  <c r="P556" i="1"/>
  <c r="P558" i="1"/>
  <c r="P557" i="1"/>
  <c r="P560" i="1"/>
  <c r="P562" i="1"/>
  <c r="P561" i="1"/>
  <c r="P563" i="1"/>
  <c r="P564" i="1"/>
  <c r="P565" i="1"/>
  <c r="P566" i="1"/>
  <c r="P569" i="1"/>
  <c r="P570" i="1"/>
  <c r="P567" i="1"/>
  <c r="P571" i="1"/>
  <c r="P572" i="1"/>
  <c r="P573" i="1"/>
  <c r="P574" i="1"/>
  <c r="P575" i="1"/>
  <c r="P576" i="1"/>
  <c r="P577" i="1"/>
  <c r="P578" i="1"/>
  <c r="P580" i="1"/>
  <c r="P579" i="1"/>
  <c r="P582" i="1"/>
  <c r="P581" i="1"/>
  <c r="P584" i="1"/>
  <c r="P583" i="1"/>
  <c r="P585" i="1"/>
  <c r="P586" i="1"/>
  <c r="P588" i="1"/>
  <c r="P589" i="1"/>
  <c r="P590" i="1"/>
  <c r="P591" i="1"/>
  <c r="P592" i="1"/>
  <c r="P593" i="1"/>
  <c r="P587" i="1"/>
  <c r="P595" i="1"/>
  <c r="P596" i="1"/>
  <c r="P597" i="1"/>
  <c r="P598" i="1"/>
  <c r="P599" i="1"/>
  <c r="P600" i="1"/>
  <c r="P601" i="1"/>
  <c r="P602" i="1"/>
  <c r="P603" i="1"/>
  <c r="P604" i="1"/>
  <c r="P605" i="1"/>
  <c r="P606" i="1"/>
  <c r="P607" i="1"/>
  <c r="P609" i="1"/>
  <c r="P608" i="1"/>
  <c r="P611" i="1"/>
  <c r="P610" i="1"/>
  <c r="P612" i="1"/>
  <c r="P613" i="1"/>
  <c r="P594" i="1"/>
  <c r="P614" i="1"/>
  <c r="Q478" i="1"/>
  <c r="Q3" i="1"/>
  <c r="Q4" i="1"/>
  <c r="Q5" i="1"/>
  <c r="Q6" i="1"/>
  <c r="Q7" i="1"/>
  <c r="Q8" i="1"/>
  <c r="Q9" i="1"/>
  <c r="Q10" i="1"/>
  <c r="Q11" i="1"/>
  <c r="Q12" i="1"/>
  <c r="Q13" i="1"/>
  <c r="Q14" i="1"/>
  <c r="Q15" i="1"/>
  <c r="Q16" i="1"/>
  <c r="Q28" i="1"/>
  <c r="Q30" i="1"/>
  <c r="Q27" i="1"/>
  <c r="Q29" i="1"/>
  <c r="Q18" i="1"/>
  <c r="Q19" i="1"/>
  <c r="Q20" i="1"/>
  <c r="Q17" i="1"/>
  <c r="Q133" i="1"/>
  <c r="Q22" i="1"/>
  <c r="Q21" i="1"/>
  <c r="Q134" i="1"/>
  <c r="Q26" i="1"/>
  <c r="Q25" i="1"/>
  <c r="Q23" i="1"/>
  <c r="Q24" i="1"/>
  <c r="Q33" i="1"/>
  <c r="Q34" i="1"/>
  <c r="Q32" i="1"/>
  <c r="Q35" i="1"/>
  <c r="Q36" i="1"/>
  <c r="Q37" i="1"/>
  <c r="Q31" i="1"/>
  <c r="Q38" i="1"/>
  <c r="Q39" i="1"/>
  <c r="Q40" i="1"/>
  <c r="Q41" i="1"/>
  <c r="Q92" i="1"/>
  <c r="Q95" i="1"/>
  <c r="Q42" i="1"/>
  <c r="Q43" i="1"/>
  <c r="Q44" i="1"/>
  <c r="Q45" i="1"/>
  <c r="Q46" i="1"/>
  <c r="Q47" i="1"/>
  <c r="Q48" i="1"/>
  <c r="Q49" i="1"/>
  <c r="Q50" i="1"/>
  <c r="Q51" i="1"/>
  <c r="Q52" i="1"/>
  <c r="Q53" i="1"/>
  <c r="Q54" i="1"/>
  <c r="Q55" i="1"/>
  <c r="Q56" i="1"/>
  <c r="Q57" i="1"/>
  <c r="Q58" i="1"/>
  <c r="Q59" i="1"/>
  <c r="Q60" i="1"/>
  <c r="Q61" i="1"/>
  <c r="Q62" i="1"/>
  <c r="Q63" i="1"/>
  <c r="Q64" i="1"/>
  <c r="Q65" i="1"/>
  <c r="Q66" i="1"/>
  <c r="Q67" i="1"/>
  <c r="Q68" i="1"/>
  <c r="Q70" i="1"/>
  <c r="Q69" i="1"/>
  <c r="Q71" i="1"/>
  <c r="Q72" i="1"/>
  <c r="Q74" i="1"/>
  <c r="Q73" i="1"/>
  <c r="Q75" i="1"/>
  <c r="Q78" i="1"/>
  <c r="Q77" i="1"/>
  <c r="Q76" i="1"/>
  <c r="Q86" i="1"/>
  <c r="Q87" i="1"/>
  <c r="Q79" i="1"/>
  <c r="Q80" i="1"/>
  <c r="Q81" i="1"/>
  <c r="Q82" i="1"/>
  <c r="Q85" i="1"/>
  <c r="Q84" i="1"/>
  <c r="Q83" i="1"/>
  <c r="Q88" i="1"/>
  <c r="Q154" i="1"/>
  <c r="Q152" i="1"/>
  <c r="Q159" i="1"/>
  <c r="Q101" i="1"/>
  <c r="Q102" i="1"/>
  <c r="Q103" i="1"/>
  <c r="Q104" i="1"/>
  <c r="Q105" i="1"/>
  <c r="Q106" i="1"/>
  <c r="Q107" i="1"/>
  <c r="Q89" i="1"/>
  <c r="Q90" i="1"/>
  <c r="Q91" i="1"/>
  <c r="Q93" i="1"/>
  <c r="Q94" i="1"/>
  <c r="Q96" i="1"/>
  <c r="Q97" i="1"/>
  <c r="Q98" i="1"/>
  <c r="Q99" i="1"/>
  <c r="Q100" i="1"/>
  <c r="Q108" i="1"/>
  <c r="Q110" i="1"/>
  <c r="Q109" i="1"/>
  <c r="Q111" i="1"/>
  <c r="Q112" i="1"/>
  <c r="Q113" i="1"/>
  <c r="Q114" i="1"/>
  <c r="Q115" i="1"/>
  <c r="Q116" i="1"/>
  <c r="Q119" i="1"/>
  <c r="Q118" i="1"/>
  <c r="Q117" i="1"/>
  <c r="Q122" i="1"/>
  <c r="Q120" i="1"/>
  <c r="Q121" i="1"/>
  <c r="Q123" i="1"/>
  <c r="Q124" i="1"/>
  <c r="Q126" i="1"/>
  <c r="Q125" i="1"/>
  <c r="Q127" i="1"/>
  <c r="Q129" i="1"/>
  <c r="Q128" i="1"/>
  <c r="Q130" i="1"/>
  <c r="Q132" i="1"/>
  <c r="Q131" i="1"/>
  <c r="Q135" i="1"/>
  <c r="Q136" i="1"/>
  <c r="Q137" i="1"/>
  <c r="Q138" i="1"/>
  <c r="Q139" i="1"/>
  <c r="Q140" i="1"/>
  <c r="Q141" i="1"/>
  <c r="Q144" i="1"/>
  <c r="Q142" i="1"/>
  <c r="Q143" i="1"/>
  <c r="Q145" i="1"/>
  <c r="Q158" i="1"/>
  <c r="Q161" i="1"/>
  <c r="Q165" i="1"/>
  <c r="Q179" i="1"/>
  <c r="Q166" i="1"/>
  <c r="Q170" i="1"/>
  <c r="Q167" i="1"/>
  <c r="Q171" i="1"/>
  <c r="Q191" i="1"/>
  <c r="Q196" i="1"/>
  <c r="Q190" i="1"/>
  <c r="Q185" i="1"/>
  <c r="Q180" i="1"/>
  <c r="Q186" i="1"/>
  <c r="Q195" i="1"/>
  <c r="Q199" i="1"/>
  <c r="Q200" i="1"/>
  <c r="Q201" i="1"/>
  <c r="Q172" i="1"/>
  <c r="Q184" i="1"/>
  <c r="Q173" i="1"/>
  <c r="Q181" i="1"/>
  <c r="Q174" i="1"/>
  <c r="Q178" i="1"/>
  <c r="Q203" i="1"/>
  <c r="Q204" i="1"/>
  <c r="Q205" i="1"/>
  <c r="Q207" i="1"/>
  <c r="Q208" i="1"/>
  <c r="Q206" i="1"/>
  <c r="Q209" i="1"/>
  <c r="Q212" i="1"/>
  <c r="Q213" i="1"/>
  <c r="Q214" i="1"/>
  <c r="Q146" i="1"/>
  <c r="Q147" i="1"/>
  <c r="Q148" i="1"/>
  <c r="Q149" i="1"/>
  <c r="Q150" i="1"/>
  <c r="Q151" i="1"/>
  <c r="Q156" i="1"/>
  <c r="Q153" i="1"/>
  <c r="Q155" i="1"/>
  <c r="Q157" i="1"/>
  <c r="Q160" i="1"/>
  <c r="Q162" i="1"/>
  <c r="Q163" i="1"/>
  <c r="Q164" i="1"/>
  <c r="Q168" i="1"/>
  <c r="Q169" i="1"/>
  <c r="Q175" i="1"/>
  <c r="Q176" i="1"/>
  <c r="Q177" i="1"/>
  <c r="Q182" i="1"/>
  <c r="Q183" i="1"/>
  <c r="Q187" i="1"/>
  <c r="Q188" i="1"/>
  <c r="Q189" i="1"/>
  <c r="Q192" i="1"/>
  <c r="Q193" i="1"/>
  <c r="Q194" i="1"/>
  <c r="Q197" i="1"/>
  <c r="Q198" i="1"/>
  <c r="Q202" i="1"/>
  <c r="Q223" i="1"/>
  <c r="Q224" i="1"/>
  <c r="Q210" i="1"/>
  <c r="Q211" i="1"/>
  <c r="Q215" i="1"/>
  <c r="Q216" i="1"/>
  <c r="Q217" i="1"/>
  <c r="Q218" i="1"/>
  <c r="Q219" i="1"/>
  <c r="Q220" i="1"/>
  <c r="Q221" i="1"/>
  <c r="Q222" i="1"/>
  <c r="Q225" i="1"/>
  <c r="Q226" i="1"/>
  <c r="Q228" i="1"/>
  <c r="Q229" i="1"/>
  <c r="Q230" i="1"/>
  <c r="Q231" i="1"/>
  <c r="Q232" i="1"/>
  <c r="Q227" i="1"/>
  <c r="Q235" i="1"/>
  <c r="Q236" i="1"/>
  <c r="Q237" i="1"/>
  <c r="Q238" i="1"/>
  <c r="Q239" i="1"/>
  <c r="Q240" i="1"/>
  <c r="Q241" i="1"/>
  <c r="Q233" i="1"/>
  <c r="Q234" i="1"/>
  <c r="Q242" i="1"/>
  <c r="Q243" i="1"/>
  <c r="Q244" i="1"/>
  <c r="Q245" i="1"/>
  <c r="Q246" i="1"/>
  <c r="Q247" i="1"/>
  <c r="Q255" i="1"/>
  <c r="Q256" i="1"/>
  <c r="Q258" i="1"/>
  <c r="Q260" i="1"/>
  <c r="Q262" i="1"/>
  <c r="Q265" i="1"/>
  <c r="Q266" i="1"/>
  <c r="Q270" i="1"/>
  <c r="Q249" i="1"/>
  <c r="Q250" i="1"/>
  <c r="Q251" i="1"/>
  <c r="Q248" i="1"/>
  <c r="Q252" i="1"/>
  <c r="Q253" i="1"/>
  <c r="Q254" i="1"/>
  <c r="Q257" i="1"/>
  <c r="Q259" i="1"/>
  <c r="Q261" i="1"/>
  <c r="Q263" i="1"/>
  <c r="Q264" i="1"/>
  <c r="Q267" i="1"/>
  <c r="Q268" i="1"/>
  <c r="Q269" i="1"/>
  <c r="Q271" i="1"/>
  <c r="Q272" i="1"/>
  <c r="Q276" i="1"/>
  <c r="Q278" i="1"/>
  <c r="Q273" i="1"/>
  <c r="Q274" i="1"/>
  <c r="Q275" i="1"/>
  <c r="Q281" i="1"/>
  <c r="Q283" i="1"/>
  <c r="Q277" i="1"/>
  <c r="Q279" i="1"/>
  <c r="Q280" i="1"/>
  <c r="Q284" i="1"/>
  <c r="Q286" i="1"/>
  <c r="Q287" i="1"/>
  <c r="Q282" i="1"/>
  <c r="Q285" i="1"/>
  <c r="Q288" i="1"/>
  <c r="Q290" i="1"/>
  <c r="Q292" i="1"/>
  <c r="Q295" i="1"/>
  <c r="Q298" i="1"/>
  <c r="Q289" i="1"/>
  <c r="Q291" i="1"/>
  <c r="Q293" i="1"/>
  <c r="Q294" i="1"/>
  <c r="Q296" i="1"/>
  <c r="Q297" i="1"/>
  <c r="Q299" i="1"/>
  <c r="Q300" i="1"/>
  <c r="Q301" i="1"/>
  <c r="Q305" i="1"/>
  <c r="Q302" i="1"/>
  <c r="Q304" i="1"/>
  <c r="Q306" i="1"/>
  <c r="Q307" i="1"/>
  <c r="Q303" i="1"/>
  <c r="Q310" i="1"/>
  <c r="Q311" i="1"/>
  <c r="Q314" i="1"/>
  <c r="Q318" i="1"/>
  <c r="Q320" i="1"/>
  <c r="Q308" i="1"/>
  <c r="Q309" i="1"/>
  <c r="Q312" i="1"/>
  <c r="Q313" i="1"/>
  <c r="Q315" i="1"/>
  <c r="Q316" i="1"/>
  <c r="Q317" i="1"/>
  <c r="Q319" i="1"/>
  <c r="Q333" i="1"/>
  <c r="Q323" i="1"/>
  <c r="Q326" i="1"/>
  <c r="Q329" i="1"/>
  <c r="Q332" i="1"/>
  <c r="Q334" i="1"/>
  <c r="Q336" i="1"/>
  <c r="Q339" i="1"/>
  <c r="Q321" i="1"/>
  <c r="Q322" i="1"/>
  <c r="Q324" i="1"/>
  <c r="Q325" i="1"/>
  <c r="Q327" i="1"/>
  <c r="Q328" i="1"/>
  <c r="Q330" i="1"/>
  <c r="Q331" i="1"/>
  <c r="Q335" i="1"/>
  <c r="Q337" i="1"/>
  <c r="Q338" i="1"/>
  <c r="Q341" i="1"/>
  <c r="Q354" i="1"/>
  <c r="Q359" i="1"/>
  <c r="Q360" i="1"/>
  <c r="Q340" i="1"/>
  <c r="Q342" i="1"/>
  <c r="Q343" i="1"/>
  <c r="Q344" i="1"/>
  <c r="Q345" i="1"/>
  <c r="Q346" i="1"/>
  <c r="Q347" i="1"/>
  <c r="Q348" i="1"/>
  <c r="Q349" i="1"/>
  <c r="Q350" i="1"/>
  <c r="Q351" i="1"/>
  <c r="Q352" i="1"/>
  <c r="Q353" i="1"/>
  <c r="Q355" i="1"/>
  <c r="Q356" i="1"/>
  <c r="Q357" i="1"/>
  <c r="Q358" i="1"/>
  <c r="Q361" i="1"/>
  <c r="Q362" i="1"/>
  <c r="Q363" i="1"/>
  <c r="Q365" i="1"/>
  <c r="Q366" i="1"/>
  <c r="Q368" i="1"/>
  <c r="Q364" i="1"/>
  <c r="Q367" i="1"/>
  <c r="Q370" i="1"/>
  <c r="Q375" i="1"/>
  <c r="Q376" i="1"/>
  <c r="Q369" i="1"/>
  <c r="Q371" i="1"/>
  <c r="Q372" i="1"/>
  <c r="Q373" i="1"/>
  <c r="Q374" i="1"/>
  <c r="Q377" i="1"/>
  <c r="Q378" i="1"/>
  <c r="Q379" i="1"/>
  <c r="Q381" i="1"/>
  <c r="Q380" i="1"/>
  <c r="Q382" i="1"/>
  <c r="Q388" i="1"/>
  <c r="Q391" i="1"/>
  <c r="Q383" i="1"/>
  <c r="Q385" i="1"/>
  <c r="Q386" i="1"/>
  <c r="Q387" i="1"/>
  <c r="Q389" i="1"/>
  <c r="Q390" i="1"/>
  <c r="Q392" i="1"/>
  <c r="Q393" i="1"/>
  <c r="Q395" i="1"/>
  <c r="Q398" i="1"/>
  <c r="Q394" i="1"/>
  <c r="Q396" i="1"/>
  <c r="Q397" i="1"/>
  <c r="Q399" i="1"/>
  <c r="Q400" i="1"/>
  <c r="Q401" i="1"/>
  <c r="Q403" i="1"/>
  <c r="Q404" i="1"/>
  <c r="Q402" i="1"/>
  <c r="Q406" i="1"/>
  <c r="Q408" i="1"/>
  <c r="Q411" i="1"/>
  <c r="Q414" i="1"/>
  <c r="Q429" i="1"/>
  <c r="Q430" i="1"/>
  <c r="Q432" i="1"/>
  <c r="Q434" i="1"/>
  <c r="Q425" i="1"/>
  <c r="Q444" i="1"/>
  <c r="Q445" i="1"/>
  <c r="Q446" i="1"/>
  <c r="Q447" i="1"/>
  <c r="Q449" i="1"/>
  <c r="Q405" i="1"/>
  <c r="Q407" i="1"/>
  <c r="Q409" i="1"/>
  <c r="Q415" i="1"/>
  <c r="Q417" i="1"/>
  <c r="Q418" i="1"/>
  <c r="Q412" i="1"/>
  <c r="Q413" i="1"/>
  <c r="Q416" i="1"/>
  <c r="Q419" i="1"/>
  <c r="Q384" i="1"/>
  <c r="Q410" i="1"/>
  <c r="Q422" i="1"/>
  <c r="Q423" i="1"/>
  <c r="Q424" i="1"/>
  <c r="Q420" i="1"/>
  <c r="Q421" i="1"/>
  <c r="Q427" i="1"/>
  <c r="Q431" i="1"/>
  <c r="Q426" i="1"/>
  <c r="Q433" i="1"/>
  <c r="Q435" i="1"/>
  <c r="Q436" i="1"/>
  <c r="Q438" i="1"/>
  <c r="Q441" i="1"/>
  <c r="Q443" i="1"/>
  <c r="Q437" i="1"/>
  <c r="Q439" i="1"/>
  <c r="Q440" i="1"/>
  <c r="Q442" i="1"/>
  <c r="Q428" i="1"/>
  <c r="Q448" i="1"/>
  <c r="Q450" i="1"/>
  <c r="Q451" i="1"/>
  <c r="Q452" i="1"/>
  <c r="Q455" i="1"/>
  <c r="Q457" i="1"/>
  <c r="Q458" i="1"/>
  <c r="Q460" i="1"/>
  <c r="Q453" i="1"/>
  <c r="Q461" i="1"/>
  <c r="Q454" i="1"/>
  <c r="Q456" i="1"/>
  <c r="Q459" i="1"/>
  <c r="Q462" i="1"/>
  <c r="Q465" i="1"/>
  <c r="Q464" i="1"/>
  <c r="Q463" i="1"/>
  <c r="Q466" i="1"/>
  <c r="Q467" i="1"/>
  <c r="Q468" i="1"/>
  <c r="Q469" i="1"/>
  <c r="Q470" i="1"/>
  <c r="Q471" i="1"/>
  <c r="Q472" i="1"/>
  <c r="Q473" i="1"/>
  <c r="Q474" i="1"/>
  <c r="Q475" i="1"/>
  <c r="Q476" i="1"/>
  <c r="Q477" i="1"/>
  <c r="Q479" i="1"/>
  <c r="Q480" i="1"/>
  <c r="Q483" i="1"/>
  <c r="Q481" i="1"/>
  <c r="Q482" i="1"/>
  <c r="Q489" i="1"/>
  <c r="Q491" i="1"/>
  <c r="Q486" i="1"/>
  <c r="Q488" i="1"/>
  <c r="Q487" i="1"/>
  <c r="Q484" i="1"/>
  <c r="Q485" i="1"/>
  <c r="Q490" i="1"/>
  <c r="Q492" i="1"/>
  <c r="Q493" i="1"/>
  <c r="Q494" i="1"/>
  <c r="Q495" i="1"/>
  <c r="Q496" i="1"/>
  <c r="Q497" i="1"/>
  <c r="Q499" i="1"/>
  <c r="Q500" i="1"/>
  <c r="Q503" i="1"/>
  <c r="Q498" i="1"/>
  <c r="Q507" i="1"/>
  <c r="Q502" i="1"/>
  <c r="Q501" i="1"/>
  <c r="Q510" i="1"/>
  <c r="Q513" i="1"/>
  <c r="Q505" i="1"/>
  <c r="Q506" i="1"/>
  <c r="Q504" i="1"/>
  <c r="Q508" i="1"/>
  <c r="Q509" i="1"/>
  <c r="Q511" i="1"/>
  <c r="Q512" i="1"/>
  <c r="Q514" i="1"/>
  <c r="Q515" i="1"/>
  <c r="Q516" i="1"/>
  <c r="Q517" i="1"/>
  <c r="Q526" i="1"/>
  <c r="Q531" i="1"/>
  <c r="Q536" i="1"/>
  <c r="Q543" i="1"/>
  <c r="Q545" i="1"/>
  <c r="Q547" i="1"/>
  <c r="Q518" i="1"/>
  <c r="Q521" i="1"/>
  <c r="Q520" i="1"/>
  <c r="Q522" i="1"/>
  <c r="Q523" i="1"/>
  <c r="Q524" i="1"/>
  <c r="Q525" i="1"/>
  <c r="Q527" i="1"/>
  <c r="Q519" i="1"/>
  <c r="Q568" i="1"/>
  <c r="Q529" i="1"/>
  <c r="Q530" i="1"/>
  <c r="Q532" i="1"/>
  <c r="Q533" i="1"/>
  <c r="Q534" i="1"/>
  <c r="Q535" i="1"/>
  <c r="Q537" i="1"/>
  <c r="Q528" i="1"/>
  <c r="Q538" i="1"/>
  <c r="Q539" i="1"/>
  <c r="Q540" i="1"/>
  <c r="Q541" i="1"/>
  <c r="Q542" i="1"/>
  <c r="Q544" i="1"/>
  <c r="Q546" i="1"/>
  <c r="Q549" i="1"/>
  <c r="Q548" i="1"/>
  <c r="Q550" i="1"/>
  <c r="Q551" i="1"/>
  <c r="Q554" i="1"/>
  <c r="Q559" i="1"/>
  <c r="Q555" i="1"/>
  <c r="Q552" i="1"/>
  <c r="Q553" i="1"/>
  <c r="Q556" i="1"/>
  <c r="Q558" i="1"/>
  <c r="Q557" i="1"/>
  <c r="Q560" i="1"/>
  <c r="Q562" i="1"/>
  <c r="Q561" i="1"/>
  <c r="Q563" i="1"/>
  <c r="Q564" i="1"/>
  <c r="Q565" i="1"/>
  <c r="Q566" i="1"/>
  <c r="Q569" i="1"/>
  <c r="Q570" i="1"/>
  <c r="Q567" i="1"/>
  <c r="Q571" i="1"/>
  <c r="Q572" i="1"/>
  <c r="Q573" i="1"/>
  <c r="Q574" i="1"/>
  <c r="Q575" i="1"/>
  <c r="Q576" i="1"/>
  <c r="Q577" i="1"/>
  <c r="Q578" i="1"/>
  <c r="Q580" i="1"/>
  <c r="Q579" i="1"/>
  <c r="Q582" i="1"/>
  <c r="Q581" i="1"/>
  <c r="Q584" i="1"/>
  <c r="Q583" i="1"/>
  <c r="Q585" i="1"/>
  <c r="Q586" i="1"/>
  <c r="Q588" i="1"/>
  <c r="Q589" i="1"/>
  <c r="Q590" i="1"/>
  <c r="Q591" i="1"/>
  <c r="Q592" i="1"/>
  <c r="Q593" i="1"/>
  <c r="Q587" i="1"/>
  <c r="Q595" i="1"/>
  <c r="Q596" i="1"/>
  <c r="Q597" i="1"/>
  <c r="Q598" i="1"/>
  <c r="Q599" i="1"/>
  <c r="Q600" i="1"/>
  <c r="Q601" i="1"/>
  <c r="Q602" i="1"/>
  <c r="Q603" i="1"/>
  <c r="Q604" i="1"/>
  <c r="Q605" i="1"/>
  <c r="Q606" i="1"/>
  <c r="Q607" i="1"/>
  <c r="Q609" i="1"/>
  <c r="Q608" i="1"/>
  <c r="Q611" i="1"/>
  <c r="Q610" i="1"/>
  <c r="Q612" i="1"/>
  <c r="Q613" i="1"/>
  <c r="Q594" i="1"/>
  <c r="Q614" i="1"/>
  <c r="R478" i="1"/>
  <c r="R3" i="1"/>
  <c r="R4" i="1"/>
  <c r="R5" i="1"/>
  <c r="R6" i="1"/>
  <c r="R7" i="1"/>
  <c r="R8" i="1"/>
  <c r="R9" i="1"/>
  <c r="R10" i="1"/>
  <c r="R11" i="1"/>
  <c r="R12" i="1"/>
  <c r="R13" i="1"/>
  <c r="R14" i="1"/>
  <c r="R15" i="1"/>
  <c r="R16" i="1"/>
  <c r="R28" i="1"/>
  <c r="R30" i="1"/>
  <c r="R27" i="1"/>
  <c r="R29" i="1"/>
  <c r="R18" i="1"/>
  <c r="R19" i="1"/>
  <c r="R20" i="1"/>
  <c r="R17" i="1"/>
  <c r="R133" i="1"/>
  <c r="R22" i="1"/>
  <c r="R21" i="1"/>
  <c r="R134" i="1"/>
  <c r="R26" i="1"/>
  <c r="R25" i="1"/>
  <c r="R23" i="1"/>
  <c r="R24" i="1"/>
  <c r="R33" i="1"/>
  <c r="R34" i="1"/>
  <c r="R32" i="1"/>
  <c r="R35" i="1"/>
  <c r="R36" i="1"/>
  <c r="R37" i="1"/>
  <c r="R31" i="1"/>
  <c r="R38" i="1"/>
  <c r="R39" i="1"/>
  <c r="R40" i="1"/>
  <c r="R41" i="1"/>
  <c r="R92" i="1"/>
  <c r="R95" i="1"/>
  <c r="R42" i="1"/>
  <c r="R43" i="1"/>
  <c r="R44" i="1"/>
  <c r="R45" i="1"/>
  <c r="R46" i="1"/>
  <c r="R47" i="1"/>
  <c r="R48" i="1"/>
  <c r="R49" i="1"/>
  <c r="R50" i="1"/>
  <c r="R51" i="1"/>
  <c r="R52" i="1"/>
  <c r="R53" i="1"/>
  <c r="R54" i="1"/>
  <c r="R55" i="1"/>
  <c r="R56" i="1"/>
  <c r="R57" i="1"/>
  <c r="R58" i="1"/>
  <c r="R59" i="1"/>
  <c r="R60" i="1"/>
  <c r="R61" i="1"/>
  <c r="R62" i="1"/>
  <c r="R63" i="1"/>
  <c r="R64" i="1"/>
  <c r="R65" i="1"/>
  <c r="R66" i="1"/>
  <c r="R67" i="1"/>
  <c r="R68" i="1"/>
  <c r="R70" i="1"/>
  <c r="R69" i="1"/>
  <c r="R71" i="1"/>
  <c r="R72" i="1"/>
  <c r="R74" i="1"/>
  <c r="R73" i="1"/>
  <c r="R75" i="1"/>
  <c r="R78" i="1"/>
  <c r="R77" i="1"/>
  <c r="R76" i="1"/>
  <c r="R86" i="1"/>
  <c r="R87" i="1"/>
  <c r="R79" i="1"/>
  <c r="R80" i="1"/>
  <c r="R81" i="1"/>
  <c r="R82" i="1"/>
  <c r="R85" i="1"/>
  <c r="R84" i="1"/>
  <c r="R83" i="1"/>
  <c r="R88" i="1"/>
  <c r="R154" i="1"/>
  <c r="R152" i="1"/>
  <c r="R159" i="1"/>
  <c r="R101" i="1"/>
  <c r="R102" i="1"/>
  <c r="R103" i="1"/>
  <c r="R104" i="1"/>
  <c r="R105" i="1"/>
  <c r="R106" i="1"/>
  <c r="R107" i="1"/>
  <c r="R89" i="1"/>
  <c r="R90" i="1"/>
  <c r="R91" i="1"/>
  <c r="R93" i="1"/>
  <c r="R94" i="1"/>
  <c r="R96" i="1"/>
  <c r="R97" i="1"/>
  <c r="R98" i="1"/>
  <c r="R99" i="1"/>
  <c r="R100" i="1"/>
  <c r="R108" i="1"/>
  <c r="R110" i="1"/>
  <c r="R109" i="1"/>
  <c r="R111" i="1"/>
  <c r="R112" i="1"/>
  <c r="R113" i="1"/>
  <c r="R114" i="1"/>
  <c r="R115" i="1"/>
  <c r="R116" i="1"/>
  <c r="R119" i="1"/>
  <c r="R118" i="1"/>
  <c r="R117" i="1"/>
  <c r="R122" i="1"/>
  <c r="R120" i="1"/>
  <c r="R121" i="1"/>
  <c r="R123" i="1"/>
  <c r="R124" i="1"/>
  <c r="R126" i="1"/>
  <c r="R125" i="1"/>
  <c r="R127" i="1"/>
  <c r="R129" i="1"/>
  <c r="R128" i="1"/>
  <c r="R130" i="1"/>
  <c r="R132" i="1"/>
  <c r="R131" i="1"/>
  <c r="R135" i="1"/>
  <c r="R136" i="1"/>
  <c r="R137" i="1"/>
  <c r="R138" i="1"/>
  <c r="R139" i="1"/>
  <c r="R140" i="1"/>
  <c r="R141" i="1"/>
  <c r="R144" i="1"/>
  <c r="R142" i="1"/>
  <c r="R143" i="1"/>
  <c r="R145" i="1"/>
  <c r="R158" i="1"/>
  <c r="R161" i="1"/>
  <c r="R165" i="1"/>
  <c r="R179" i="1"/>
  <c r="R166" i="1"/>
  <c r="R170" i="1"/>
  <c r="R167" i="1"/>
  <c r="R171" i="1"/>
  <c r="R191" i="1"/>
  <c r="R196" i="1"/>
  <c r="R190" i="1"/>
  <c r="R185" i="1"/>
  <c r="R180" i="1"/>
  <c r="R186" i="1"/>
  <c r="R195" i="1"/>
  <c r="R199" i="1"/>
  <c r="R200" i="1"/>
  <c r="R201" i="1"/>
  <c r="R172" i="1"/>
  <c r="R184" i="1"/>
  <c r="R173" i="1"/>
  <c r="R181" i="1"/>
  <c r="R174" i="1"/>
  <c r="R178" i="1"/>
  <c r="R203" i="1"/>
  <c r="R204" i="1"/>
  <c r="R205" i="1"/>
  <c r="R207" i="1"/>
  <c r="R208" i="1"/>
  <c r="R206" i="1"/>
  <c r="R209" i="1"/>
  <c r="R212" i="1"/>
  <c r="R213" i="1"/>
  <c r="R214" i="1"/>
  <c r="R146" i="1"/>
  <c r="R147" i="1"/>
  <c r="R148" i="1"/>
  <c r="R149" i="1"/>
  <c r="R150" i="1"/>
  <c r="R151" i="1"/>
  <c r="R156" i="1"/>
  <c r="R153" i="1"/>
  <c r="R155" i="1"/>
  <c r="R157" i="1"/>
  <c r="R160" i="1"/>
  <c r="R162" i="1"/>
  <c r="R163" i="1"/>
  <c r="R164" i="1"/>
  <c r="R168" i="1"/>
  <c r="R169" i="1"/>
  <c r="R175" i="1"/>
  <c r="R176" i="1"/>
  <c r="R177" i="1"/>
  <c r="R182" i="1"/>
  <c r="R183" i="1"/>
  <c r="R187" i="1"/>
  <c r="R188" i="1"/>
  <c r="R189" i="1"/>
  <c r="R192" i="1"/>
  <c r="R193" i="1"/>
  <c r="R194" i="1"/>
  <c r="R197" i="1"/>
  <c r="R198" i="1"/>
  <c r="R202" i="1"/>
  <c r="R223" i="1"/>
  <c r="R224" i="1"/>
  <c r="R210" i="1"/>
  <c r="R211" i="1"/>
  <c r="R215" i="1"/>
  <c r="R216" i="1"/>
  <c r="R217" i="1"/>
  <c r="R218" i="1"/>
  <c r="R219" i="1"/>
  <c r="R220" i="1"/>
  <c r="R221" i="1"/>
  <c r="R222" i="1"/>
  <c r="R225" i="1"/>
  <c r="R226" i="1"/>
  <c r="R228" i="1"/>
  <c r="R229" i="1"/>
  <c r="R230" i="1"/>
  <c r="R231" i="1"/>
  <c r="R232" i="1"/>
  <c r="R227" i="1"/>
  <c r="R235" i="1"/>
  <c r="R236" i="1"/>
  <c r="R237" i="1"/>
  <c r="R238" i="1"/>
  <c r="R239" i="1"/>
  <c r="R240" i="1"/>
  <c r="R241" i="1"/>
  <c r="R233" i="1"/>
  <c r="R234" i="1"/>
  <c r="R242" i="1"/>
  <c r="R243" i="1"/>
  <c r="R244" i="1"/>
  <c r="R245" i="1"/>
  <c r="R246" i="1"/>
  <c r="R247" i="1"/>
  <c r="R255" i="1"/>
  <c r="R256" i="1"/>
  <c r="R258" i="1"/>
  <c r="R260" i="1"/>
  <c r="R262" i="1"/>
  <c r="R265" i="1"/>
  <c r="R266" i="1"/>
  <c r="R270" i="1"/>
  <c r="R249" i="1"/>
  <c r="R250" i="1"/>
  <c r="R251" i="1"/>
  <c r="R248" i="1"/>
  <c r="R252" i="1"/>
  <c r="R253" i="1"/>
  <c r="R254" i="1"/>
  <c r="R257" i="1"/>
  <c r="R259" i="1"/>
  <c r="R261" i="1"/>
  <c r="R263" i="1"/>
  <c r="R264" i="1"/>
  <c r="R267" i="1"/>
  <c r="R268" i="1"/>
  <c r="R269" i="1"/>
  <c r="R271" i="1"/>
  <c r="R272" i="1"/>
  <c r="R276" i="1"/>
  <c r="R278" i="1"/>
  <c r="R273" i="1"/>
  <c r="R274" i="1"/>
  <c r="R275" i="1"/>
  <c r="R281" i="1"/>
  <c r="R283" i="1"/>
  <c r="R277" i="1"/>
  <c r="R279" i="1"/>
  <c r="R280" i="1"/>
  <c r="R284" i="1"/>
  <c r="R286" i="1"/>
  <c r="R287" i="1"/>
  <c r="R282" i="1"/>
  <c r="R285" i="1"/>
  <c r="R288" i="1"/>
  <c r="R290" i="1"/>
  <c r="R292" i="1"/>
  <c r="R295" i="1"/>
  <c r="R298" i="1"/>
  <c r="R289" i="1"/>
  <c r="R291" i="1"/>
  <c r="R293" i="1"/>
  <c r="R294" i="1"/>
  <c r="R296" i="1"/>
  <c r="R297" i="1"/>
  <c r="R299" i="1"/>
  <c r="R300" i="1"/>
  <c r="R301" i="1"/>
  <c r="R305" i="1"/>
  <c r="R302" i="1"/>
  <c r="R304" i="1"/>
  <c r="R306" i="1"/>
  <c r="R307" i="1"/>
  <c r="R303" i="1"/>
  <c r="R310" i="1"/>
  <c r="R311" i="1"/>
  <c r="R314" i="1"/>
  <c r="R318" i="1"/>
  <c r="R320" i="1"/>
  <c r="R308" i="1"/>
  <c r="R309" i="1"/>
  <c r="R312" i="1"/>
  <c r="R313" i="1"/>
  <c r="R315" i="1"/>
  <c r="R316" i="1"/>
  <c r="R317" i="1"/>
  <c r="R319" i="1"/>
  <c r="R333" i="1"/>
  <c r="R323" i="1"/>
  <c r="R326" i="1"/>
  <c r="R329" i="1"/>
  <c r="R332" i="1"/>
  <c r="R334" i="1"/>
  <c r="R336" i="1"/>
  <c r="R339" i="1"/>
  <c r="R321" i="1"/>
  <c r="R322" i="1"/>
  <c r="R324" i="1"/>
  <c r="R325" i="1"/>
  <c r="R327" i="1"/>
  <c r="R328" i="1"/>
  <c r="R330" i="1"/>
  <c r="R331" i="1"/>
  <c r="R335" i="1"/>
  <c r="R337" i="1"/>
  <c r="R338" i="1"/>
  <c r="R341" i="1"/>
  <c r="R354" i="1"/>
  <c r="R359" i="1"/>
  <c r="R360" i="1"/>
  <c r="R340" i="1"/>
  <c r="R342" i="1"/>
  <c r="R343" i="1"/>
  <c r="R344" i="1"/>
  <c r="R345" i="1"/>
  <c r="R346" i="1"/>
  <c r="R347" i="1"/>
  <c r="R348" i="1"/>
  <c r="R349" i="1"/>
  <c r="R350" i="1"/>
  <c r="R351" i="1"/>
  <c r="R352" i="1"/>
  <c r="R353" i="1"/>
  <c r="R355" i="1"/>
  <c r="R356" i="1"/>
  <c r="R357" i="1"/>
  <c r="R358" i="1"/>
  <c r="R361" i="1"/>
  <c r="R362" i="1"/>
  <c r="R363" i="1"/>
  <c r="R365" i="1"/>
  <c r="R366" i="1"/>
  <c r="R368" i="1"/>
  <c r="R364" i="1"/>
  <c r="R367" i="1"/>
  <c r="R370" i="1"/>
  <c r="R375" i="1"/>
  <c r="R376" i="1"/>
  <c r="R369" i="1"/>
  <c r="R371" i="1"/>
  <c r="R372" i="1"/>
  <c r="R373" i="1"/>
  <c r="R374" i="1"/>
  <c r="R377" i="1"/>
  <c r="R378" i="1"/>
  <c r="R379" i="1"/>
  <c r="R381" i="1"/>
  <c r="R380" i="1"/>
  <c r="R382" i="1"/>
  <c r="R388" i="1"/>
  <c r="R391" i="1"/>
  <c r="R383" i="1"/>
  <c r="R385" i="1"/>
  <c r="R386" i="1"/>
  <c r="R387" i="1"/>
  <c r="R389" i="1"/>
  <c r="R390" i="1"/>
  <c r="R392" i="1"/>
  <c r="R393" i="1"/>
  <c r="R395" i="1"/>
  <c r="R398" i="1"/>
  <c r="R394" i="1"/>
  <c r="R396" i="1"/>
  <c r="R397" i="1"/>
  <c r="R399" i="1"/>
  <c r="R400" i="1"/>
  <c r="R401" i="1"/>
  <c r="R403" i="1"/>
  <c r="R404" i="1"/>
  <c r="R402" i="1"/>
  <c r="R406" i="1"/>
  <c r="R408" i="1"/>
  <c r="R411" i="1"/>
  <c r="R414" i="1"/>
  <c r="R429" i="1"/>
  <c r="R430" i="1"/>
  <c r="R432" i="1"/>
  <c r="R434" i="1"/>
  <c r="R425" i="1"/>
  <c r="R444" i="1"/>
  <c r="R445" i="1"/>
  <c r="R446" i="1"/>
  <c r="R447" i="1"/>
  <c r="R449" i="1"/>
  <c r="R405" i="1"/>
  <c r="R407" i="1"/>
  <c r="R409" i="1"/>
  <c r="R415" i="1"/>
  <c r="R417" i="1"/>
  <c r="R418" i="1"/>
  <c r="R412" i="1"/>
  <c r="R413" i="1"/>
  <c r="R416" i="1"/>
  <c r="R419" i="1"/>
  <c r="R384" i="1"/>
  <c r="R410" i="1"/>
  <c r="R422" i="1"/>
  <c r="R423" i="1"/>
  <c r="R424" i="1"/>
  <c r="R420" i="1"/>
  <c r="R421" i="1"/>
  <c r="R427" i="1"/>
  <c r="R431" i="1"/>
  <c r="R426" i="1"/>
  <c r="R433" i="1"/>
  <c r="R435" i="1"/>
  <c r="R436" i="1"/>
  <c r="R438" i="1"/>
  <c r="R441" i="1"/>
  <c r="R443" i="1"/>
  <c r="R437" i="1"/>
  <c r="R439" i="1"/>
  <c r="R440" i="1"/>
  <c r="R442" i="1"/>
  <c r="R428" i="1"/>
  <c r="R448" i="1"/>
  <c r="R450" i="1"/>
  <c r="R451" i="1"/>
  <c r="R452" i="1"/>
  <c r="R455" i="1"/>
  <c r="R457" i="1"/>
  <c r="R458" i="1"/>
  <c r="R460" i="1"/>
  <c r="R453" i="1"/>
  <c r="R461" i="1"/>
  <c r="R454" i="1"/>
  <c r="R456" i="1"/>
  <c r="R459" i="1"/>
  <c r="R462" i="1"/>
  <c r="R465" i="1"/>
  <c r="R464" i="1"/>
  <c r="R463" i="1"/>
  <c r="R466" i="1"/>
  <c r="R467" i="1"/>
  <c r="R468" i="1"/>
  <c r="R469" i="1"/>
  <c r="R470" i="1"/>
  <c r="R471" i="1"/>
  <c r="R472" i="1"/>
  <c r="R473" i="1"/>
  <c r="R474" i="1"/>
  <c r="R475" i="1"/>
  <c r="R476" i="1"/>
  <c r="R477" i="1"/>
  <c r="R479" i="1"/>
  <c r="R480" i="1"/>
  <c r="R483" i="1"/>
  <c r="R481" i="1"/>
  <c r="R482" i="1"/>
  <c r="R489" i="1"/>
  <c r="R491" i="1"/>
  <c r="R486" i="1"/>
  <c r="R488" i="1"/>
  <c r="R487" i="1"/>
  <c r="R484" i="1"/>
  <c r="R485" i="1"/>
  <c r="R490" i="1"/>
  <c r="R492" i="1"/>
  <c r="R493" i="1"/>
  <c r="R494" i="1"/>
  <c r="R495" i="1"/>
  <c r="R496" i="1"/>
  <c r="R497" i="1"/>
  <c r="R499" i="1"/>
  <c r="R500" i="1"/>
  <c r="R503" i="1"/>
  <c r="R498" i="1"/>
  <c r="R507" i="1"/>
  <c r="R502" i="1"/>
  <c r="R501" i="1"/>
  <c r="R510" i="1"/>
  <c r="R513" i="1"/>
  <c r="R505" i="1"/>
  <c r="R506" i="1"/>
  <c r="R504" i="1"/>
  <c r="R508" i="1"/>
  <c r="R509" i="1"/>
  <c r="R511" i="1"/>
  <c r="R512" i="1"/>
  <c r="R514" i="1"/>
  <c r="R515" i="1"/>
  <c r="R516" i="1"/>
  <c r="R517" i="1"/>
  <c r="R526" i="1"/>
  <c r="R531" i="1"/>
  <c r="R536" i="1"/>
  <c r="R543" i="1"/>
  <c r="R545" i="1"/>
  <c r="R547" i="1"/>
  <c r="R518" i="1"/>
  <c r="R521" i="1"/>
  <c r="R520" i="1"/>
  <c r="R522" i="1"/>
  <c r="R523" i="1"/>
  <c r="R524" i="1"/>
  <c r="R525" i="1"/>
  <c r="R527" i="1"/>
  <c r="R519" i="1"/>
  <c r="R568" i="1"/>
  <c r="R529" i="1"/>
  <c r="R530" i="1"/>
  <c r="R532" i="1"/>
  <c r="R533" i="1"/>
  <c r="R534" i="1"/>
  <c r="R535" i="1"/>
  <c r="R537" i="1"/>
  <c r="R528" i="1"/>
  <c r="R538" i="1"/>
  <c r="R539" i="1"/>
  <c r="R540" i="1"/>
  <c r="R541" i="1"/>
  <c r="R542" i="1"/>
  <c r="R544" i="1"/>
  <c r="R546" i="1"/>
  <c r="R549" i="1"/>
  <c r="R548" i="1"/>
  <c r="R550" i="1"/>
  <c r="R551" i="1"/>
  <c r="R554" i="1"/>
  <c r="R559" i="1"/>
  <c r="R555" i="1"/>
  <c r="R552" i="1"/>
  <c r="R553" i="1"/>
  <c r="R556" i="1"/>
  <c r="R558" i="1"/>
  <c r="R557" i="1"/>
  <c r="R560" i="1"/>
  <c r="R562" i="1"/>
  <c r="R561" i="1"/>
  <c r="R563" i="1"/>
  <c r="R564" i="1"/>
  <c r="R565" i="1"/>
  <c r="R566" i="1"/>
  <c r="R569" i="1"/>
  <c r="R570" i="1"/>
  <c r="R567" i="1"/>
  <c r="R571" i="1"/>
  <c r="R572" i="1"/>
  <c r="R573" i="1"/>
  <c r="R574" i="1"/>
  <c r="R575" i="1"/>
  <c r="R576" i="1"/>
  <c r="R577" i="1"/>
  <c r="R578" i="1"/>
  <c r="R580" i="1"/>
  <c r="R579" i="1"/>
  <c r="R582" i="1"/>
  <c r="R581" i="1"/>
  <c r="R584" i="1"/>
  <c r="R583" i="1"/>
  <c r="R585" i="1"/>
  <c r="R586" i="1"/>
  <c r="R588" i="1"/>
  <c r="R589" i="1"/>
  <c r="R590" i="1"/>
  <c r="R591" i="1"/>
  <c r="R592" i="1"/>
  <c r="R593" i="1"/>
  <c r="R587" i="1"/>
  <c r="R595" i="1"/>
  <c r="R596" i="1"/>
  <c r="R597" i="1"/>
  <c r="R598" i="1"/>
  <c r="R599" i="1"/>
  <c r="R600" i="1"/>
  <c r="R601" i="1"/>
  <c r="R602" i="1"/>
  <c r="R603" i="1"/>
  <c r="R604" i="1"/>
  <c r="R605" i="1"/>
  <c r="R606" i="1"/>
  <c r="R607" i="1"/>
  <c r="R609" i="1"/>
  <c r="R608" i="1"/>
  <c r="R611" i="1"/>
  <c r="R610" i="1"/>
  <c r="R612" i="1"/>
  <c r="R613" i="1"/>
  <c r="R594" i="1"/>
  <c r="R614" i="1"/>
  <c r="S478" i="1"/>
  <c r="S14" i="1"/>
  <c r="S15" i="1"/>
  <c r="S16" i="1"/>
  <c r="S28" i="1"/>
  <c r="S30" i="1"/>
  <c r="S27" i="1"/>
  <c r="S29" i="1"/>
  <c r="S18" i="1"/>
  <c r="S19" i="1"/>
  <c r="S20" i="1"/>
  <c r="S17" i="1"/>
  <c r="S133" i="1"/>
  <c r="S22" i="1"/>
  <c r="S21" i="1"/>
  <c r="S134" i="1"/>
  <c r="S26" i="1"/>
  <c r="S25" i="1"/>
  <c r="S23" i="1"/>
  <c r="S24" i="1"/>
  <c r="S33" i="1"/>
  <c r="S34" i="1"/>
  <c r="S32" i="1"/>
  <c r="S35" i="1"/>
  <c r="S36" i="1"/>
  <c r="S37" i="1"/>
  <c r="S31" i="1"/>
  <c r="S38" i="1"/>
  <c r="S39" i="1"/>
  <c r="S40" i="1"/>
  <c r="S41" i="1"/>
  <c r="S92" i="1"/>
  <c r="S95" i="1"/>
  <c r="S42" i="1"/>
  <c r="S43" i="1"/>
  <c r="S44" i="1"/>
  <c r="S45" i="1"/>
  <c r="S46" i="1"/>
  <c r="S47" i="1"/>
  <c r="S48" i="1"/>
  <c r="S49" i="1"/>
  <c r="S50" i="1"/>
  <c r="S51" i="1"/>
  <c r="S52" i="1"/>
  <c r="S53" i="1"/>
  <c r="S54" i="1"/>
  <c r="S55" i="1"/>
  <c r="S56" i="1"/>
  <c r="S57" i="1"/>
  <c r="S58" i="1"/>
  <c r="S59" i="1"/>
  <c r="S60" i="1"/>
  <c r="S61" i="1"/>
  <c r="S62" i="1"/>
  <c r="S63" i="1"/>
  <c r="S64" i="1"/>
  <c r="S65" i="1"/>
  <c r="S66" i="1"/>
  <c r="S67" i="1"/>
  <c r="S68" i="1"/>
  <c r="S70" i="1"/>
  <c r="S69" i="1"/>
  <c r="S71" i="1"/>
  <c r="S72" i="1"/>
  <c r="S74" i="1"/>
  <c r="S73" i="1"/>
  <c r="S75" i="1"/>
  <c r="S78" i="1"/>
  <c r="S77" i="1"/>
  <c r="S76" i="1"/>
  <c r="S86" i="1"/>
  <c r="S87" i="1"/>
  <c r="S79" i="1"/>
  <c r="S80" i="1"/>
  <c r="S81" i="1"/>
  <c r="S82" i="1"/>
  <c r="S85" i="1"/>
  <c r="S84" i="1"/>
  <c r="S154" i="1"/>
  <c r="S152" i="1"/>
  <c r="S159" i="1"/>
  <c r="S101" i="1"/>
  <c r="S102" i="1"/>
  <c r="S103" i="1"/>
  <c r="S104" i="1"/>
  <c r="S105" i="1"/>
  <c r="S106" i="1"/>
  <c r="S107" i="1"/>
  <c r="S89" i="1"/>
  <c r="S90" i="1"/>
  <c r="S91" i="1"/>
  <c r="S93" i="1"/>
  <c r="S94" i="1"/>
  <c r="S96" i="1"/>
  <c r="S97" i="1"/>
  <c r="S98" i="1"/>
  <c r="S99" i="1"/>
  <c r="S100" i="1"/>
  <c r="S108" i="1"/>
  <c r="S110" i="1"/>
  <c r="S109" i="1"/>
  <c r="S111" i="1"/>
  <c r="S112" i="1"/>
  <c r="S113" i="1"/>
  <c r="S114" i="1"/>
  <c r="S115" i="1"/>
  <c r="S116" i="1"/>
  <c r="S119" i="1"/>
  <c r="S118" i="1"/>
  <c r="S117" i="1"/>
  <c r="S122" i="1"/>
  <c r="S120" i="1"/>
  <c r="S121" i="1"/>
  <c r="S123" i="1"/>
  <c r="S124" i="1"/>
  <c r="S126" i="1"/>
  <c r="S125" i="1"/>
  <c r="S127" i="1"/>
  <c r="S129" i="1"/>
  <c r="S128" i="1"/>
  <c r="S130" i="1"/>
  <c r="S132" i="1"/>
  <c r="S131" i="1"/>
  <c r="S135" i="1"/>
  <c r="S136" i="1"/>
  <c r="S137" i="1"/>
  <c r="S138" i="1"/>
  <c r="S139" i="1"/>
  <c r="S140" i="1"/>
  <c r="S141" i="1"/>
  <c r="S144" i="1"/>
  <c r="S142" i="1"/>
  <c r="S143" i="1"/>
  <c r="S145" i="1"/>
  <c r="S158" i="1"/>
  <c r="S161" i="1"/>
  <c r="S165" i="1"/>
  <c r="S179" i="1"/>
  <c r="S166" i="1"/>
  <c r="S170" i="1"/>
  <c r="S167" i="1"/>
  <c r="S171" i="1"/>
  <c r="S191" i="1"/>
  <c r="S196" i="1"/>
  <c r="S190" i="1"/>
  <c r="S185" i="1"/>
  <c r="S180" i="1"/>
  <c r="S186" i="1"/>
  <c r="S195" i="1"/>
  <c r="S199" i="1"/>
  <c r="S200" i="1"/>
  <c r="S201" i="1"/>
  <c r="S172" i="1"/>
  <c r="S184" i="1"/>
  <c r="S173" i="1"/>
  <c r="S181" i="1"/>
  <c r="S174" i="1"/>
  <c r="S178" i="1"/>
  <c r="S203" i="1"/>
  <c r="S204" i="1"/>
  <c r="S205" i="1"/>
  <c r="S207" i="1"/>
  <c r="S208" i="1"/>
  <c r="S206" i="1"/>
  <c r="S209" i="1"/>
  <c r="S212" i="1"/>
  <c r="S213" i="1"/>
  <c r="S214" i="1"/>
  <c r="S146" i="1"/>
  <c r="S147" i="1"/>
  <c r="S148" i="1"/>
  <c r="S149" i="1"/>
  <c r="S150" i="1"/>
  <c r="S151" i="1"/>
  <c r="S156" i="1"/>
  <c r="S153" i="1"/>
  <c r="S155" i="1"/>
  <c r="S157" i="1"/>
  <c r="S160" i="1"/>
  <c r="S162" i="1"/>
  <c r="S163" i="1"/>
  <c r="S164" i="1"/>
  <c r="S168" i="1"/>
  <c r="S169" i="1"/>
  <c r="S175" i="1"/>
  <c r="S176" i="1"/>
  <c r="S177" i="1"/>
  <c r="S182" i="1"/>
  <c r="S183" i="1"/>
  <c r="S187" i="1"/>
  <c r="S188" i="1"/>
  <c r="S189" i="1"/>
  <c r="S192" i="1"/>
  <c r="S193" i="1"/>
  <c r="S194" i="1"/>
  <c r="S197" i="1"/>
  <c r="S198" i="1"/>
  <c r="S202" i="1"/>
  <c r="S223" i="1"/>
  <c r="S224" i="1"/>
  <c r="S210" i="1"/>
  <c r="S211" i="1"/>
  <c r="S215" i="1"/>
  <c r="S216" i="1"/>
  <c r="S217" i="1"/>
  <c r="S218" i="1"/>
  <c r="S219" i="1"/>
  <c r="S220" i="1"/>
  <c r="S221" i="1"/>
  <c r="S222" i="1"/>
  <c r="S225" i="1"/>
  <c r="S226" i="1"/>
  <c r="S228" i="1"/>
  <c r="S229" i="1"/>
  <c r="S230" i="1"/>
  <c r="S231" i="1"/>
  <c r="S232" i="1"/>
  <c r="S227" i="1"/>
  <c r="S235" i="1"/>
  <c r="S236" i="1"/>
  <c r="S237" i="1"/>
  <c r="S238" i="1"/>
  <c r="S239" i="1"/>
  <c r="S240" i="1"/>
  <c r="S241" i="1"/>
  <c r="S233" i="1"/>
  <c r="S234" i="1"/>
  <c r="S242" i="1"/>
  <c r="S243" i="1"/>
  <c r="S244" i="1"/>
  <c r="S245" i="1"/>
  <c r="S246" i="1"/>
  <c r="S247" i="1"/>
  <c r="S255" i="1"/>
  <c r="S256" i="1"/>
  <c r="S258" i="1"/>
  <c r="S260" i="1"/>
  <c r="S262" i="1"/>
  <c r="S265" i="1"/>
  <c r="S266" i="1"/>
  <c r="S270" i="1"/>
  <c r="S249" i="1"/>
  <c r="S250" i="1"/>
  <c r="S251" i="1"/>
  <c r="S248" i="1"/>
  <c r="S252" i="1"/>
  <c r="S253" i="1"/>
  <c r="S254" i="1"/>
  <c r="S257" i="1"/>
  <c r="S259" i="1"/>
  <c r="S261" i="1"/>
  <c r="S263" i="1"/>
  <c r="S264" i="1"/>
  <c r="S267" i="1"/>
  <c r="S268" i="1"/>
  <c r="S269" i="1"/>
  <c r="S271" i="1"/>
  <c r="S272" i="1"/>
  <c r="S276" i="1"/>
  <c r="S278" i="1"/>
  <c r="S273" i="1"/>
  <c r="S274" i="1"/>
  <c r="S275" i="1"/>
  <c r="S281" i="1"/>
  <c r="S283" i="1"/>
  <c r="S277" i="1"/>
  <c r="S279" i="1"/>
  <c r="S280" i="1"/>
  <c r="S284" i="1"/>
  <c r="S286" i="1"/>
  <c r="S287" i="1"/>
  <c r="S282" i="1"/>
  <c r="S285" i="1"/>
  <c r="S288" i="1"/>
  <c r="S290" i="1"/>
  <c r="S292" i="1"/>
  <c r="S295" i="1"/>
  <c r="S298" i="1"/>
  <c r="S289" i="1"/>
  <c r="S291" i="1"/>
  <c r="S293" i="1"/>
  <c r="S294" i="1"/>
  <c r="S296" i="1"/>
  <c r="S297" i="1"/>
  <c r="S299" i="1"/>
  <c r="S300" i="1"/>
  <c r="S301" i="1"/>
  <c r="S305" i="1"/>
  <c r="S302" i="1"/>
  <c r="S304" i="1"/>
  <c r="S306" i="1"/>
  <c r="S307" i="1"/>
  <c r="S303" i="1"/>
  <c r="S310" i="1"/>
  <c r="S311" i="1"/>
  <c r="S314" i="1"/>
  <c r="S318" i="1"/>
  <c r="S320" i="1"/>
  <c r="S308" i="1"/>
  <c r="S309" i="1"/>
  <c r="S312" i="1"/>
  <c r="S313" i="1"/>
  <c r="S315" i="1"/>
  <c r="S316" i="1"/>
  <c r="S317" i="1"/>
  <c r="S319" i="1"/>
  <c r="S333" i="1"/>
  <c r="S323" i="1"/>
  <c r="S326" i="1"/>
  <c r="S329" i="1"/>
  <c r="S332" i="1"/>
  <c r="S334" i="1"/>
  <c r="S336" i="1"/>
  <c r="S339" i="1"/>
  <c r="S321" i="1"/>
  <c r="S322" i="1"/>
  <c r="S324" i="1"/>
  <c r="S325" i="1"/>
  <c r="S327" i="1"/>
  <c r="S328" i="1"/>
  <c r="S330" i="1"/>
  <c r="S331" i="1"/>
  <c r="S335" i="1"/>
  <c r="S337" i="1"/>
  <c r="S338" i="1"/>
  <c r="S341" i="1"/>
  <c r="S354" i="1"/>
  <c r="S359" i="1"/>
  <c r="S360" i="1"/>
  <c r="S340" i="1"/>
  <c r="S342" i="1"/>
  <c r="S343" i="1"/>
  <c r="S344" i="1"/>
  <c r="S345" i="1"/>
  <c r="S346" i="1"/>
  <c r="S347" i="1"/>
  <c r="S348" i="1"/>
  <c r="S349" i="1"/>
  <c r="S350" i="1"/>
  <c r="S351" i="1"/>
  <c r="S352" i="1"/>
  <c r="S353" i="1"/>
  <c r="S355" i="1"/>
  <c r="S356" i="1"/>
  <c r="S357" i="1"/>
  <c r="S358" i="1"/>
  <c r="S361" i="1"/>
  <c r="S362" i="1"/>
  <c r="S363" i="1"/>
  <c r="S365" i="1"/>
  <c r="S366" i="1"/>
  <c r="S368" i="1"/>
  <c r="S364" i="1"/>
  <c r="S367" i="1"/>
  <c r="S370" i="1"/>
  <c r="S375" i="1"/>
  <c r="S376" i="1"/>
  <c r="S369" i="1"/>
  <c r="S371" i="1"/>
  <c r="S372" i="1"/>
  <c r="S373" i="1"/>
  <c r="S374" i="1"/>
  <c r="S377" i="1"/>
  <c r="S378" i="1"/>
  <c r="S379" i="1"/>
  <c r="S381" i="1"/>
  <c r="S380" i="1"/>
  <c r="S382" i="1"/>
  <c r="S388" i="1"/>
  <c r="S391" i="1"/>
  <c r="S383" i="1"/>
  <c r="S385" i="1"/>
  <c r="S386" i="1"/>
  <c r="S387" i="1"/>
  <c r="S389" i="1"/>
  <c r="S390" i="1"/>
  <c r="S392" i="1"/>
  <c r="S393" i="1"/>
  <c r="S395" i="1"/>
  <c r="S398" i="1"/>
  <c r="S394" i="1"/>
  <c r="S396" i="1"/>
  <c r="S397" i="1"/>
  <c r="S399" i="1"/>
  <c r="S400" i="1"/>
  <c r="S401" i="1"/>
  <c r="S403" i="1"/>
  <c r="S404" i="1"/>
  <c r="S402" i="1"/>
  <c r="S406" i="1"/>
  <c r="S408" i="1"/>
  <c r="S411" i="1"/>
  <c r="S414" i="1"/>
  <c r="S429" i="1"/>
  <c r="S430" i="1"/>
  <c r="S432" i="1"/>
  <c r="S434" i="1"/>
  <c r="S425" i="1"/>
  <c r="S444" i="1"/>
  <c r="S445" i="1"/>
  <c r="S446" i="1"/>
  <c r="S447" i="1"/>
  <c r="S449" i="1"/>
  <c r="S405" i="1"/>
  <c r="S407" i="1"/>
  <c r="S409" i="1"/>
  <c r="S415" i="1"/>
  <c r="S417" i="1"/>
  <c r="S418" i="1"/>
  <c r="S412" i="1"/>
  <c r="S413" i="1"/>
  <c r="S416" i="1"/>
  <c r="S419" i="1"/>
  <c r="S384" i="1"/>
  <c r="S410" i="1"/>
  <c r="S422" i="1"/>
  <c r="S423" i="1"/>
  <c r="S424" i="1"/>
  <c r="S420" i="1"/>
  <c r="S421" i="1"/>
  <c r="S427" i="1"/>
  <c r="S431" i="1"/>
  <c r="S426" i="1"/>
  <c r="S433" i="1"/>
  <c r="S435" i="1"/>
  <c r="S436" i="1"/>
  <c r="S438" i="1"/>
  <c r="S441" i="1"/>
  <c r="S443" i="1"/>
  <c r="S437" i="1"/>
  <c r="S439" i="1"/>
  <c r="S440" i="1"/>
  <c r="S442" i="1"/>
  <c r="S428" i="1"/>
  <c r="S448" i="1"/>
  <c r="S450" i="1"/>
  <c r="S451" i="1"/>
  <c r="S452" i="1"/>
  <c r="S455" i="1"/>
  <c r="S457" i="1"/>
  <c r="S458" i="1"/>
  <c r="S460" i="1"/>
  <c r="S453" i="1"/>
  <c r="S461" i="1"/>
  <c r="S454" i="1"/>
  <c r="S456" i="1"/>
  <c r="S459" i="1"/>
  <c r="S462" i="1"/>
  <c r="S465" i="1"/>
  <c r="S464" i="1"/>
  <c r="S463" i="1"/>
  <c r="S466" i="1"/>
  <c r="S467" i="1"/>
  <c r="S468" i="1"/>
  <c r="S469" i="1"/>
  <c r="S470" i="1"/>
  <c r="S471" i="1"/>
  <c r="S472" i="1"/>
  <c r="S473" i="1"/>
  <c r="S474" i="1"/>
  <c r="S475" i="1"/>
  <c r="S476" i="1"/>
  <c r="S477" i="1"/>
  <c r="S479" i="1"/>
  <c r="S480" i="1"/>
  <c r="S483" i="1"/>
  <c r="S481" i="1"/>
  <c r="S482" i="1"/>
  <c r="S489" i="1"/>
  <c r="S491" i="1"/>
  <c r="S486" i="1"/>
  <c r="S488" i="1"/>
  <c r="S487" i="1"/>
  <c r="S484" i="1"/>
  <c r="S485" i="1"/>
  <c r="S490" i="1"/>
  <c r="S492" i="1"/>
  <c r="S493" i="1"/>
  <c r="S494" i="1"/>
  <c r="S495" i="1"/>
  <c r="S496" i="1"/>
  <c r="S497" i="1"/>
  <c r="S499" i="1"/>
  <c r="S500" i="1"/>
  <c r="S503" i="1"/>
  <c r="S498" i="1"/>
  <c r="S507" i="1"/>
  <c r="S502" i="1"/>
  <c r="S501" i="1"/>
  <c r="S510" i="1"/>
  <c r="S513" i="1"/>
  <c r="S505" i="1"/>
  <c r="S506" i="1"/>
  <c r="S504" i="1"/>
  <c r="S508" i="1"/>
  <c r="S509" i="1"/>
  <c r="S511" i="1"/>
  <c r="S512" i="1"/>
  <c r="S514" i="1"/>
  <c r="S515" i="1"/>
  <c r="S516" i="1"/>
  <c r="S517" i="1"/>
  <c r="S526" i="1"/>
  <c r="S531" i="1"/>
  <c r="S536" i="1"/>
  <c r="S543" i="1"/>
  <c r="S545" i="1"/>
  <c r="S547" i="1"/>
  <c r="S518" i="1"/>
  <c r="S521" i="1"/>
  <c r="S520" i="1"/>
  <c r="S522" i="1"/>
  <c r="S523" i="1"/>
  <c r="S524" i="1"/>
  <c r="S525" i="1"/>
  <c r="S527" i="1"/>
  <c r="S519" i="1"/>
  <c r="S568" i="1"/>
  <c r="S529" i="1"/>
  <c r="S530" i="1"/>
  <c r="S532" i="1"/>
  <c r="S533" i="1"/>
  <c r="S534" i="1"/>
  <c r="S535" i="1"/>
  <c r="S537" i="1"/>
  <c r="S528" i="1"/>
  <c r="S538" i="1"/>
  <c r="S539" i="1"/>
  <c r="S540" i="1"/>
  <c r="S541" i="1"/>
  <c r="S542" i="1"/>
  <c r="S544" i="1"/>
  <c r="S546" i="1"/>
  <c r="S549" i="1"/>
  <c r="S548" i="1"/>
  <c r="S550" i="1"/>
  <c r="S551" i="1"/>
  <c r="S554" i="1"/>
  <c r="S559" i="1"/>
  <c r="S555" i="1"/>
  <c r="S552" i="1"/>
  <c r="S553" i="1"/>
  <c r="S556" i="1"/>
  <c r="S558" i="1"/>
  <c r="S557" i="1"/>
  <c r="S560" i="1"/>
  <c r="S562" i="1"/>
  <c r="S561" i="1"/>
  <c r="S563" i="1"/>
  <c r="S564" i="1"/>
  <c r="S565" i="1"/>
  <c r="S566" i="1"/>
  <c r="S569" i="1"/>
  <c r="S570" i="1"/>
  <c r="S567" i="1"/>
  <c r="S571" i="1"/>
  <c r="S572" i="1"/>
  <c r="S573" i="1"/>
  <c r="S574" i="1"/>
  <c r="S575" i="1"/>
  <c r="S576" i="1"/>
  <c r="S577" i="1"/>
  <c r="S578" i="1"/>
  <c r="S580" i="1"/>
  <c r="S579" i="1"/>
  <c r="S582" i="1"/>
  <c r="S581" i="1"/>
  <c r="S584" i="1"/>
  <c r="S583" i="1"/>
  <c r="S585" i="1"/>
  <c r="S586" i="1"/>
  <c r="S588" i="1"/>
  <c r="S589" i="1"/>
  <c r="S590" i="1"/>
  <c r="S591" i="1"/>
  <c r="S592" i="1"/>
  <c r="S593" i="1"/>
  <c r="S587" i="1"/>
  <c r="S595" i="1"/>
  <c r="S596" i="1"/>
  <c r="S597" i="1"/>
  <c r="S598" i="1"/>
  <c r="S599" i="1"/>
  <c r="S600" i="1"/>
  <c r="S601" i="1"/>
  <c r="S602" i="1"/>
  <c r="S603" i="1"/>
  <c r="S604" i="1"/>
  <c r="S605" i="1"/>
  <c r="S606" i="1"/>
  <c r="S607" i="1"/>
  <c r="S609" i="1"/>
  <c r="S608" i="1"/>
  <c r="S611" i="1"/>
  <c r="S610" i="1"/>
  <c r="S612" i="1"/>
  <c r="S613" i="1"/>
  <c r="S594" i="1"/>
  <c r="S614" i="1"/>
  <c r="K594" i="1"/>
  <c r="D942" i="21"/>
  <c r="D943" i="21" s="1"/>
  <c r="D944" i="21" s="1"/>
  <c r="D945" i="21" s="1"/>
  <c r="D946" i="21" s="1"/>
  <c r="D947" i="21" s="1"/>
  <c r="D948" i="21" s="1"/>
  <c r="D949" i="21" s="1"/>
  <c r="D950" i="21" s="1"/>
  <c r="D952" i="21" s="1"/>
  <c r="D953" i="21" s="1"/>
  <c r="D954" i="21" s="1"/>
  <c r="D955" i="21" s="1"/>
  <c r="D956" i="21" s="1"/>
  <c r="D957" i="21" s="1"/>
  <c r="D958" i="21" s="1"/>
  <c r="D959" i="21" s="1"/>
  <c r="D960" i="21" s="1"/>
  <c r="D961" i="21" s="1"/>
  <c r="D963" i="21" s="1"/>
  <c r="D964" i="21" s="1"/>
  <c r="D965" i="21" s="1"/>
  <c r="D966" i="21" s="1"/>
  <c r="D967" i="21" s="1"/>
  <c r="D968" i="21" s="1"/>
  <c r="D969" i="21" s="1"/>
  <c r="D970" i="21" s="1"/>
  <c r="D971" i="21" s="1"/>
  <c r="D972" i="21" s="1"/>
  <c r="D974" i="21" s="1"/>
  <c r="D975" i="21" s="1"/>
  <c r="D976" i="21" s="1"/>
  <c r="D977" i="21" s="1"/>
  <c r="D978" i="21" s="1"/>
  <c r="D979" i="21" s="1"/>
  <c r="D980" i="21" s="1"/>
  <c r="D981" i="21" s="1"/>
  <c r="D982" i="21" s="1"/>
  <c r="D983" i="21" s="1"/>
  <c r="D985" i="21" s="1"/>
  <c r="D986" i="21" s="1"/>
  <c r="D987" i="21" s="1"/>
  <c r="D988" i="21" s="1"/>
  <c r="D989" i="21" s="1"/>
  <c r="D990" i="21" s="1"/>
  <c r="D991" i="21" s="1"/>
  <c r="D992" i="21" s="1"/>
  <c r="D993" i="21" s="1"/>
  <c r="U4" i="21"/>
  <c r="D6" i="21"/>
  <c r="D7" i="21" s="1"/>
  <c r="D8" i="21" s="1"/>
  <c r="D9" i="21" s="1"/>
  <c r="D10" i="21" s="1"/>
  <c r="D11" i="21" s="1"/>
  <c r="D12" i="21" s="1"/>
  <c r="D13" i="21" s="1"/>
  <c r="D15" i="21" s="1"/>
  <c r="D16" i="21" s="1"/>
  <c r="D17" i="21" s="1"/>
  <c r="D18" i="21" s="1"/>
  <c r="D19" i="21" s="1"/>
  <c r="D20" i="21" s="1"/>
  <c r="D21" i="21" s="1"/>
  <c r="D22" i="21" s="1"/>
  <c r="D23" i="21" s="1"/>
  <c r="D25" i="21" s="1"/>
  <c r="D26" i="21" s="1"/>
  <c r="D27" i="21" s="1"/>
  <c r="D28" i="21" s="1"/>
  <c r="D29" i="21" s="1"/>
  <c r="D30" i="21" s="1"/>
  <c r="D31" i="21" s="1"/>
  <c r="D32" i="21" s="1"/>
  <c r="D33" i="21" s="1"/>
  <c r="D35" i="21" s="1"/>
  <c r="D36" i="21" s="1"/>
  <c r="D37" i="21" s="1"/>
  <c r="D38" i="21" s="1"/>
  <c r="D39" i="21" s="1"/>
  <c r="D40" i="21" s="1"/>
  <c r="D41" i="21" s="1"/>
  <c r="D42" i="21" s="1"/>
  <c r="D43" i="21" s="1"/>
  <c r="D45" i="21" s="1"/>
  <c r="D46" i="21" s="1"/>
  <c r="D47" i="21" s="1"/>
  <c r="D48" i="21" s="1"/>
  <c r="D49" i="21" s="1"/>
  <c r="D50" i="21" s="1"/>
  <c r="D51" i="21" s="1"/>
  <c r="D52" i="21" s="1"/>
  <c r="D54" i="21" s="1"/>
  <c r="D55" i="21" s="1"/>
  <c r="D56" i="21" s="1"/>
  <c r="D57" i="21" s="1"/>
  <c r="D58" i="21" s="1"/>
  <c r="D59" i="21" s="1"/>
  <c r="D60" i="21" s="1"/>
  <c r="D61" i="21" s="1"/>
  <c r="D62" i="21" s="1"/>
  <c r="D64" i="21" s="1"/>
  <c r="D65" i="21" s="1"/>
  <c r="D66" i="21" s="1"/>
  <c r="D67" i="21" s="1"/>
  <c r="D68" i="21" s="1"/>
  <c r="D69" i="21" s="1"/>
  <c r="D70" i="21" s="1"/>
  <c r="D71" i="21" s="1"/>
  <c r="D72" i="21" s="1"/>
  <c r="D74" i="21" s="1"/>
  <c r="D75" i="21" s="1"/>
  <c r="D76" i="21" s="1"/>
  <c r="D77" i="21" s="1"/>
  <c r="D78" i="21" s="1"/>
  <c r="D79" i="21" s="1"/>
  <c r="D80" i="21" s="1"/>
  <c r="D81" i="21" s="1"/>
  <c r="D82" i="21" s="1"/>
  <c r="D84" i="21" s="1"/>
  <c r="D85" i="21" s="1"/>
  <c r="D86" i="21" s="1"/>
  <c r="D87" i="21" s="1"/>
  <c r="D88" i="21" s="1"/>
  <c r="D89" i="21" s="1"/>
  <c r="D90" i="21" s="1"/>
  <c r="D91" i="21" s="1"/>
  <c r="D92" i="21" s="1"/>
  <c r="D94" i="21" s="1"/>
  <c r="D95" i="21" s="1"/>
  <c r="D96" i="21" s="1"/>
  <c r="D97" i="21" s="1"/>
  <c r="D98" i="21" s="1"/>
  <c r="D99" i="21" s="1"/>
  <c r="D100" i="21" s="1"/>
  <c r="D101" i="21" s="1"/>
  <c r="D103" i="21" s="1"/>
  <c r="D104" i="21" s="1"/>
  <c r="D105" i="21" s="1"/>
  <c r="D106" i="21" s="1"/>
  <c r="D107" i="21" s="1"/>
  <c r="D108" i="21" s="1"/>
  <c r="D109" i="21" s="1"/>
  <c r="D110" i="21" s="1"/>
  <c r="D111" i="21" s="1"/>
  <c r="D113" i="21" s="1"/>
  <c r="D114" i="21" s="1"/>
  <c r="D115" i="21" s="1"/>
  <c r="D116" i="21" s="1"/>
  <c r="D117" i="21" s="1"/>
  <c r="D118" i="21" s="1"/>
  <c r="D119" i="21" s="1"/>
  <c r="D120" i="21" s="1"/>
  <c r="D121" i="21" s="1"/>
  <c r="D123" i="21" s="1"/>
  <c r="D124" i="21" s="1"/>
  <c r="D125" i="21" s="1"/>
  <c r="D126" i="21" s="1"/>
  <c r="D127" i="21" s="1"/>
  <c r="D128" i="21" s="1"/>
  <c r="D129" i="21" s="1"/>
  <c r="D130" i="21" s="1"/>
  <c r="D131" i="21" s="1"/>
  <c r="D133" i="21" s="1"/>
  <c r="D134" i="21" s="1"/>
  <c r="D135" i="21" s="1"/>
  <c r="D136" i="21" s="1"/>
  <c r="D137" i="21" s="1"/>
  <c r="D138" i="21" s="1"/>
  <c r="D139" i="21" s="1"/>
  <c r="D140" i="21" s="1"/>
  <c r="D141" i="21" s="1"/>
  <c r="D143" i="21" s="1"/>
  <c r="D144" i="21" s="1"/>
  <c r="D145" i="21" s="1"/>
  <c r="D146" i="21" s="1"/>
  <c r="D147" i="21" s="1"/>
  <c r="D148" i="21" s="1"/>
  <c r="D149" i="21" s="1"/>
  <c r="D150" i="21" s="1"/>
  <c r="D152" i="21" s="1"/>
  <c r="D153" i="21" s="1"/>
  <c r="D154" i="21" s="1"/>
  <c r="D155" i="21" s="1"/>
  <c r="D156" i="21" s="1"/>
  <c r="D157" i="21" s="1"/>
  <c r="D158" i="21" s="1"/>
  <c r="D159" i="21" s="1"/>
  <c r="D160" i="21" s="1"/>
  <c r="D162" i="21" s="1"/>
  <c r="D163" i="21" s="1"/>
  <c r="D164" i="21" s="1"/>
  <c r="D165" i="21" s="1"/>
  <c r="D166" i="21" s="1"/>
  <c r="D167" i="21" s="1"/>
  <c r="D168" i="21" s="1"/>
  <c r="D169" i="21" s="1"/>
  <c r="D170" i="21" s="1"/>
  <c r="D172" i="21" s="1"/>
  <c r="D173" i="21" s="1"/>
  <c r="D174" i="21" s="1"/>
  <c r="D175" i="21" s="1"/>
  <c r="D176" i="21" s="1"/>
  <c r="D177" i="21" s="1"/>
  <c r="D178" i="21" s="1"/>
  <c r="D179" i="21" s="1"/>
  <c r="D180" i="21" s="1"/>
  <c r="D182" i="21" s="1"/>
  <c r="D183" i="21" s="1"/>
  <c r="D184" i="21" s="1"/>
  <c r="D185" i="21" s="1"/>
  <c r="D186" i="21" s="1"/>
  <c r="D187" i="21" s="1"/>
  <c r="D188" i="21" s="1"/>
  <c r="D189" i="21" s="1"/>
  <c r="D190" i="21" s="1"/>
  <c r="D192" i="21" s="1"/>
  <c r="D193" i="21" s="1"/>
  <c r="D194" i="21" s="1"/>
  <c r="D195" i="21" s="1"/>
  <c r="D196" i="21" s="1"/>
  <c r="D197" i="21" s="1"/>
  <c r="D198" i="21" s="1"/>
  <c r="D199" i="21" s="1"/>
  <c r="D201" i="21" s="1"/>
  <c r="D202" i="21" s="1"/>
  <c r="D203" i="21" s="1"/>
  <c r="D204" i="21" s="1"/>
  <c r="D205" i="21" s="1"/>
  <c r="D206" i="21" s="1"/>
  <c r="D207" i="21" s="1"/>
  <c r="D208" i="21" s="1"/>
  <c r="D209" i="21" s="1"/>
  <c r="D211" i="21" s="1"/>
  <c r="D212" i="21" s="1"/>
  <c r="D213" i="21" s="1"/>
  <c r="D214" i="21" s="1"/>
  <c r="D215" i="21" s="1"/>
  <c r="D216" i="21" s="1"/>
  <c r="D217" i="21" s="1"/>
  <c r="D218" i="21" s="1"/>
  <c r="D219" i="21" s="1"/>
  <c r="D221" i="21" s="1"/>
  <c r="D222" i="21" s="1"/>
  <c r="D223" i="21" s="1"/>
  <c r="D224" i="21" s="1"/>
  <c r="D225" i="21" s="1"/>
  <c r="D226" i="21" s="1"/>
  <c r="D227" i="21" s="1"/>
  <c r="D228" i="21" s="1"/>
  <c r="D229" i="21" s="1"/>
  <c r="D231" i="21" s="1"/>
  <c r="D232" i="21" s="1"/>
  <c r="D233" i="21" s="1"/>
  <c r="D234" i="21" s="1"/>
  <c r="D235" i="21" s="1"/>
  <c r="D236" i="21" s="1"/>
  <c r="D237" i="21" s="1"/>
  <c r="D238" i="21" s="1"/>
  <c r="D239" i="21" s="1"/>
  <c r="D241" i="21" s="1"/>
  <c r="D242" i="21" s="1"/>
  <c r="D243" i="21" s="1"/>
  <c r="D244" i="21" s="1"/>
  <c r="D245" i="21" s="1"/>
  <c r="D246" i="21" s="1"/>
  <c r="D247" i="21" s="1"/>
  <c r="D248" i="21" s="1"/>
  <c r="D250" i="21" s="1"/>
  <c r="D251" i="21" s="1"/>
  <c r="D252" i="21" s="1"/>
  <c r="D253" i="21" s="1"/>
  <c r="D254" i="21" s="1"/>
  <c r="D255" i="21" s="1"/>
  <c r="D256" i="21" s="1"/>
  <c r="D257" i="21" s="1"/>
  <c r="D258" i="21" s="1"/>
  <c r="D260" i="21" s="1"/>
  <c r="D261" i="21" s="1"/>
  <c r="D262" i="21" s="1"/>
  <c r="D263" i="21" s="1"/>
  <c r="D264" i="21" s="1"/>
  <c r="D265" i="21" s="1"/>
  <c r="D266" i="21" s="1"/>
  <c r="D267" i="21" s="1"/>
  <c r="K1013" i="23" l="1" a="1"/>
  <c r="K997" i="23" s="1"/>
  <c r="J1013" i="23" a="1"/>
  <c r="J997" i="23" s="1"/>
  <c r="M1046" i="23" a="1"/>
  <c r="K1046" i="23" a="1"/>
  <c r="L1047" i="23" a="1"/>
  <c r="L1048" i="23" a="1"/>
  <c r="M1027" i="23" a="1"/>
  <c r="L1027" i="23" a="1"/>
  <c r="K1027" i="23" a="1"/>
  <c r="J1027" i="23" a="1"/>
  <c r="M1022" i="23" a="1"/>
  <c r="L1064" i="23" a="1"/>
  <c r="J1049" i="23" a="1"/>
  <c r="J1046" i="23" a="1"/>
  <c r="L1049" i="23" a="1"/>
  <c r="K1048" i="23" a="1"/>
  <c r="J1048" i="23" a="1"/>
  <c r="K1047" i="23" a="1"/>
  <c r="J1047" i="23" a="1"/>
  <c r="L1046" i="23" a="1"/>
  <c r="M1048" i="23" a="1"/>
  <c r="K1049" i="23" a="1"/>
  <c r="J1082" i="23" a="1"/>
  <c r="M1040" i="23" a="1"/>
  <c r="L1040" i="23" a="1"/>
  <c r="L1033" i="23" s="1"/>
  <c r="K1040" i="23" a="1"/>
  <c r="K1033" i="23" s="1"/>
  <c r="J1040" i="23" a="1"/>
  <c r="J1033" i="23" s="1"/>
  <c r="J1058" i="23" a="1"/>
  <c r="M1049" i="23" a="1"/>
  <c r="K1058" i="23" a="1"/>
  <c r="M1058" i="23" a="1"/>
  <c r="L1058" i="23" a="1"/>
  <c r="M1047" i="23" a="1"/>
  <c r="M1033" i="23" s="1"/>
  <c r="K1063" i="23" a="1"/>
  <c r="M1082" i="23" a="1"/>
  <c r="J1081" i="23" a="1"/>
  <c r="J1022" i="23" a="1"/>
  <c r="L1004" i="23" a="1"/>
  <c r="L997" i="23" s="1"/>
  <c r="J1085" i="23" a="1"/>
  <c r="L1063" i="23" a="1"/>
  <c r="J1063" i="23" a="1"/>
  <c r="L1082" i="23" a="1"/>
  <c r="M1067" i="23" a="1"/>
  <c r="K1067" i="23" a="1"/>
  <c r="K1066" i="23" a="1"/>
  <c r="L1065" i="23" a="1"/>
  <c r="L1051" i="23" s="1"/>
  <c r="J1030" i="23" a="1"/>
  <c r="M1029" i="23" a="1"/>
  <c r="M1015" i="23" s="1"/>
  <c r="L1029" i="23" a="1"/>
  <c r="L1015" i="23" s="1"/>
  <c r="K1029" i="23" a="1"/>
  <c r="K1015" i="23" s="1"/>
  <c r="J1029" i="23" a="1"/>
  <c r="J1015" i="23" s="1"/>
  <c r="K1064" i="23" a="1"/>
  <c r="K1051" i="23" s="1"/>
  <c r="J1064" i="23" a="1"/>
  <c r="J1051" i="23" s="1"/>
  <c r="M1063" i="23" a="1"/>
  <c r="M1051" i="23" s="1"/>
  <c r="M1083" i="23" a="1"/>
  <c r="L1083" i="23" a="1"/>
  <c r="P5" i="35" a="1"/>
  <c r="D270" i="21"/>
  <c r="D268" i="21"/>
  <c r="D271" i="21" s="1"/>
  <c r="D272" i="21" s="1"/>
  <c r="D273" i="21" s="1"/>
  <c r="D274" i="21" s="1"/>
  <c r="D277" i="21"/>
  <c r="D282" i="21" s="1"/>
  <c r="D284" i="21" s="1"/>
  <c r="D285" i="21" s="1"/>
  <c r="D286" i="21" s="1"/>
  <c r="D287" i="21" s="1"/>
  <c r="D288" i="21" s="1"/>
  <c r="D289" i="21" s="1"/>
  <c r="D290" i="21" s="1"/>
  <c r="D291" i="21" s="1"/>
  <c r="D292" i="21" s="1"/>
  <c r="D293" i="21" s="1"/>
  <c r="D294" i="21" s="1"/>
  <c r="D295" i="21" s="1"/>
  <c r="D296" i="21" s="1"/>
  <c r="D298" i="21" s="1"/>
  <c r="D299" i="21" s="1"/>
  <c r="D300" i="21" s="1"/>
  <c r="D301" i="21" s="1"/>
  <c r="D302" i="21" s="1"/>
  <c r="D303" i="21" s="1"/>
  <c r="D304" i="21" s="1"/>
  <c r="D305" i="21" s="1"/>
  <c r="D306" i="21" s="1"/>
  <c r="D307" i="21" s="1"/>
  <c r="D308" i="21" s="1"/>
  <c r="D309" i="21" s="1"/>
  <c r="D310" i="21" s="1"/>
  <c r="D312" i="21" s="1"/>
  <c r="D313" i="21" s="1"/>
  <c r="D314" i="21" s="1"/>
  <c r="D315" i="21" s="1"/>
  <c r="D316" i="21" s="1"/>
  <c r="D317" i="21" s="1"/>
  <c r="D318" i="21" s="1"/>
  <c r="D319" i="21" s="1"/>
  <c r="D320" i="21" s="1"/>
  <c r="D321" i="21" s="1"/>
  <c r="D322" i="21" s="1"/>
  <c r="D323" i="21" s="1"/>
  <c r="D324" i="21" s="1"/>
  <c r="D326" i="21" s="1"/>
  <c r="D327" i="21" s="1"/>
  <c r="D328" i="21" s="1"/>
  <c r="D329" i="21" s="1"/>
  <c r="D330" i="21" s="1"/>
  <c r="D331" i="21" s="1"/>
  <c r="D332" i="21" s="1"/>
  <c r="D333" i="21" s="1"/>
  <c r="D334" i="21" s="1"/>
  <c r="D335" i="21" s="1"/>
  <c r="D336" i="21" s="1"/>
  <c r="D337" i="21" s="1"/>
  <c r="D338" i="21" s="1"/>
  <c r="D340" i="21" s="1"/>
  <c r="D341" i="21" s="1"/>
  <c r="D342" i="21" s="1"/>
  <c r="D343" i="21" s="1"/>
  <c r="D344" i="21" s="1"/>
  <c r="D345" i="21" s="1"/>
  <c r="D346" i="21" s="1"/>
  <c r="D347" i="21" s="1"/>
  <c r="D348" i="21" s="1"/>
  <c r="D349" i="21" s="1"/>
  <c r="D279" i="21"/>
  <c r="D278" i="21"/>
  <c r="D275" i="21"/>
  <c r="Q997" i="23" l="1"/>
  <c r="Q1033" i="23"/>
  <c r="Q1015" i="23"/>
  <c r="Q1051" i="23"/>
  <c r="R5" i="35" a="1"/>
  <c r="T5" i="35" a="1"/>
  <c r="Q5" i="35" a="1"/>
  <c r="U5" i="35" a="1"/>
  <c r="D280" i="21"/>
  <c r="D276" i="21"/>
  <c r="D281" i="21" s="1"/>
  <c r="D350" i="21"/>
  <c r="D352" i="21" s="1"/>
  <c r="D355" i="21" s="1"/>
  <c r="D357" i="21" s="1"/>
  <c r="D358" i="21" s="1"/>
  <c r="D359" i="21" s="1"/>
  <c r="D360" i="21" s="1"/>
  <c r="D361" i="21" s="1"/>
  <c r="D362" i="21" s="1"/>
  <c r="D363" i="21" s="1"/>
  <c r="D364" i="21" s="1"/>
  <c r="D365" i="21" s="1"/>
  <c r="D366" i="21" s="1"/>
  <c r="D351" i="21"/>
  <c r="S5" i="35" l="1" a="1"/>
  <c r="D368" i="21"/>
  <c r="D367" i="21"/>
  <c r="D369" i="21" s="1"/>
  <c r="D372" i="21" l="1"/>
  <c r="D374" i="21" s="1"/>
  <c r="D375" i="21" s="1"/>
  <c r="D376" i="21" s="1"/>
  <c r="D377" i="21" s="1"/>
  <c r="D378" i="21" s="1"/>
  <c r="D379" i="21" s="1"/>
  <c r="D380" i="21" s="1"/>
  <c r="D381" i="21" s="1"/>
  <c r="D382" i="21" s="1"/>
  <c r="D383" i="21" s="1"/>
  <c r="D370" i="21"/>
  <c r="D371" i="21" s="1"/>
  <c r="D385" i="21" l="1"/>
  <c r="D384" i="21"/>
  <c r="D386" i="21" s="1"/>
  <c r="D389" i="21" s="1"/>
  <c r="D391" i="21" s="1"/>
  <c r="D392" i="21" s="1"/>
  <c r="D393" i="21" s="1"/>
  <c r="D394" i="21" s="1"/>
  <c r="D395" i="21" s="1"/>
  <c r="D396" i="21" s="1"/>
  <c r="D397" i="21" s="1"/>
  <c r="D398" i="21" s="1"/>
  <c r="D399" i="21" s="1"/>
  <c r="D400" i="21" s="1"/>
  <c r="D401" i="21" s="1"/>
  <c r="D402" i="21" s="1"/>
  <c r="D403" i="21" l="1"/>
  <c r="D404" i="21" s="1"/>
  <c r="D405" i="21" s="1"/>
  <c r="D406" i="21"/>
  <c r="D408" i="21" s="1"/>
  <c r="D409" i="21" s="1"/>
  <c r="D410" i="21" s="1"/>
  <c r="D411" i="21" s="1"/>
  <c r="D412" i="21" s="1"/>
  <c r="D413" i="21" s="1"/>
  <c r="D414" i="21" s="1"/>
  <c r="D415" i="21" s="1"/>
  <c r="D416" i="21" s="1"/>
  <c r="D417" i="21" s="1"/>
  <c r="D418" i="21" s="1"/>
  <c r="D419" i="21" s="1"/>
  <c r="D423" i="21" l="1"/>
  <c r="D425" i="21" s="1"/>
  <c r="D426" i="21" s="1"/>
  <c r="D427" i="21" s="1"/>
  <c r="D428" i="21" s="1"/>
  <c r="D429" i="21" s="1"/>
  <c r="D430" i="21" s="1"/>
  <c r="D431" i="21" s="1"/>
  <c r="D432" i="21" s="1"/>
  <c r="D433" i="21" s="1"/>
  <c r="D434" i="21" s="1"/>
  <c r="D435" i="21" s="1"/>
  <c r="D436" i="21" s="1"/>
  <c r="D420" i="21"/>
  <c r="D421" i="21" s="1"/>
  <c r="D422" i="21" s="1"/>
  <c r="D440" i="21" l="1"/>
  <c r="D442" i="21" s="1"/>
  <c r="D443" i="21" s="1"/>
  <c r="D444" i="21" s="1"/>
  <c r="D445" i="21" s="1"/>
  <c r="D446" i="21" s="1"/>
  <c r="D447" i="21" s="1"/>
  <c r="D448" i="21" s="1"/>
  <c r="D449" i="21" s="1"/>
  <c r="D450" i="21" s="1"/>
  <c r="D451" i="21" s="1"/>
  <c r="D452" i="21" s="1"/>
  <c r="D453" i="21" s="1"/>
  <c r="D437" i="21"/>
  <c r="D438" i="21" s="1"/>
  <c r="D439" i="21" s="1"/>
  <c r="D454" i="21" l="1"/>
  <c r="D455" i="21" s="1"/>
  <c r="D456" i="21" s="1"/>
  <c r="D457" i="21"/>
  <c r="D459" i="21" s="1"/>
  <c r="D460" i="21" s="1"/>
  <c r="D461" i="21" s="1"/>
  <c r="D462" i="21" s="1"/>
  <c r="D463" i="21" s="1"/>
  <c r="D464" i="21" s="1"/>
  <c r="D465" i="21" s="1"/>
  <c r="D466" i="21" s="1"/>
  <c r="D467" i="21" s="1"/>
  <c r="D468" i="21" s="1"/>
  <c r="D469" i="21" s="1"/>
  <c r="D470" i="21" s="1"/>
  <c r="D474" i="21" l="1"/>
  <c r="D471" i="21"/>
  <c r="D472" i="21" s="1"/>
  <c r="D473" i="21" s="1"/>
  <c r="D476" i="21" l="1"/>
  <c r="D477" i="21" s="1"/>
  <c r="D478" i="21" s="1"/>
  <c r="D479" i="21" s="1"/>
  <c r="D480" i="21" s="1"/>
  <c r="D481" i="21" s="1"/>
  <c r="D482" i="21" s="1"/>
  <c r="D483" i="21" s="1"/>
  <c r="D484" i="21" s="1"/>
  <c r="D485" i="21" s="1"/>
  <c r="D486" i="21" s="1"/>
  <c r="D487" i="21" s="1"/>
  <c r="D493" i="21"/>
  <c r="D494" i="21" s="1"/>
  <c r="D495" i="21" s="1"/>
  <c r="D496" i="21" s="1"/>
  <c r="D497" i="21" s="1"/>
  <c r="D498" i="21" s="1"/>
  <c r="D499" i="21" s="1"/>
  <c r="D500" i="21" s="1"/>
  <c r="D501" i="21" s="1"/>
  <c r="D502" i="21" s="1"/>
  <c r="D503" i="21" s="1"/>
  <c r="D504" i="21" s="1"/>
  <c r="D505" i="21" s="1"/>
  <c r="D507" i="21" s="1"/>
  <c r="D508" i="21" s="1"/>
  <c r="D509" i="21" s="1"/>
  <c r="D510" i="21" s="1"/>
  <c r="D511" i="21" s="1"/>
  <c r="D512" i="21" s="1"/>
  <c r="D513" i="21" s="1"/>
  <c r="D514" i="21" s="1"/>
  <c r="D515" i="21" s="1"/>
  <c r="D516" i="21" s="1"/>
  <c r="D517" i="21" s="1"/>
  <c r="D518" i="21" s="1"/>
  <c r="D519" i="21" s="1"/>
  <c r="D521" i="21" s="1"/>
  <c r="D522" i="21" s="1"/>
  <c r="D523" i="21" s="1"/>
  <c r="D524" i="21" s="1"/>
  <c r="D525" i="21" s="1"/>
  <c r="D526" i="21" s="1"/>
  <c r="D527" i="21" s="1"/>
  <c r="D528" i="21" s="1"/>
  <c r="D529" i="21" s="1"/>
  <c r="D530" i="21" s="1"/>
  <c r="D531" i="21" s="1"/>
  <c r="D532" i="21" s="1"/>
  <c r="D533" i="21" s="1"/>
  <c r="D535" i="21" s="1"/>
  <c r="D536" i="21" s="1"/>
  <c r="D537" i="21" s="1"/>
  <c r="D538" i="21" s="1"/>
  <c r="D539" i="21" s="1"/>
  <c r="D540" i="21" s="1"/>
  <c r="D541" i="21" s="1"/>
  <c r="D542" i="21" s="1"/>
  <c r="D543" i="21" s="1"/>
  <c r="D544" i="21" s="1"/>
  <c r="D545" i="21" s="1"/>
  <c r="D546" i="21" s="1"/>
  <c r="D547" i="21" s="1"/>
  <c r="D549" i="21" s="1"/>
  <c r="D550" i="21" s="1"/>
  <c r="D551" i="21" s="1"/>
  <c r="D552" i="21" s="1"/>
  <c r="D553" i="21" s="1"/>
  <c r="D554" i="21" s="1"/>
  <c r="D555" i="21" s="1"/>
  <c r="D556" i="21" s="1"/>
  <c r="D557" i="21" s="1"/>
  <c r="D558" i="21" s="1"/>
  <c r="D559" i="21" s="1"/>
  <c r="D560" i="21" s="1"/>
  <c r="D561" i="21" s="1"/>
  <c r="D563" i="21" s="1"/>
  <c r="D564" i="21" s="1"/>
  <c r="D565" i="21" s="1"/>
  <c r="D566" i="21" s="1"/>
  <c r="D567" i="21" s="1"/>
  <c r="D568" i="21" s="1"/>
  <c r="D569" i="21" s="1"/>
  <c r="D570" i="21" s="1"/>
  <c r="D571" i="21" s="1"/>
  <c r="D572" i="21" s="1"/>
  <c r="D574" i="21" s="1"/>
  <c r="D575" i="21" s="1"/>
  <c r="D576" i="21" s="1"/>
  <c r="D577" i="21" s="1"/>
  <c r="D578" i="21" s="1"/>
  <c r="D579" i="21" s="1"/>
  <c r="D580" i="21" s="1"/>
  <c r="D581" i="21" s="1"/>
  <c r="D582" i="21" s="1"/>
  <c r="D583" i="21" s="1"/>
  <c r="D585" i="21" s="1"/>
  <c r="D586" i="21" s="1"/>
  <c r="D587" i="21" s="1"/>
  <c r="D588" i="21" s="1"/>
  <c r="D589" i="21" s="1"/>
  <c r="D590" i="21" s="1"/>
  <c r="D591" i="21" s="1"/>
  <c r="D592" i="21" s="1"/>
  <c r="D593" i="21" s="1"/>
  <c r="D594" i="21" s="1"/>
  <c r="D596" i="21" s="1"/>
  <c r="D597" i="21" s="1"/>
  <c r="D598" i="21" s="1"/>
  <c r="D599" i="21" s="1"/>
  <c r="D600" i="21" s="1"/>
  <c r="D601" i="21" s="1"/>
  <c r="D602" i="21" s="1"/>
  <c r="D603" i="21" s="1"/>
  <c r="D604" i="21" s="1"/>
  <c r="D605" i="21" s="1"/>
  <c r="D607" i="21" s="1"/>
  <c r="D608" i="21" s="1"/>
  <c r="D609" i="21" s="1"/>
  <c r="D610" i="21" s="1"/>
  <c r="D611" i="21" s="1"/>
  <c r="D612" i="21" s="1"/>
  <c r="D613" i="21" s="1"/>
  <c r="D614" i="21" s="1"/>
  <c r="D615" i="21" s="1"/>
  <c r="D617" i="21" s="1"/>
  <c r="D618" i="21" s="1"/>
  <c r="D619" i="21" s="1"/>
  <c r="D620" i="21" s="1"/>
  <c r="D621" i="21" s="1"/>
  <c r="D622" i="21" s="1"/>
  <c r="D623" i="21" s="1"/>
  <c r="D624" i="21" s="1"/>
  <c r="D625" i="21" s="1"/>
  <c r="D626" i="21" s="1"/>
  <c r="D628" i="21" s="1"/>
  <c r="D629" i="21" s="1"/>
  <c r="D630" i="21" s="1"/>
  <c r="D631" i="21" s="1"/>
  <c r="D632" i="21" s="1"/>
  <c r="D633" i="21" s="1"/>
  <c r="D634" i="21" s="1"/>
  <c r="D635" i="21" s="1"/>
  <c r="D636" i="21" s="1"/>
  <c r="D637" i="21" s="1"/>
  <c r="D639" i="21" s="1"/>
  <c r="D640" i="21" s="1"/>
  <c r="D641" i="21" s="1"/>
  <c r="D642" i="21" s="1"/>
  <c r="D643" i="21" s="1"/>
  <c r="D644" i="21" s="1"/>
  <c r="D645" i="21" s="1"/>
  <c r="D646" i="21" s="1"/>
  <c r="D647" i="21" s="1"/>
  <c r="D648" i="21" s="1"/>
  <c r="D650" i="21" s="1"/>
  <c r="D651" i="21" s="1"/>
  <c r="D652" i="21" s="1"/>
  <c r="D653" i="21" s="1"/>
  <c r="D654" i="21" s="1"/>
  <c r="D655" i="21" s="1"/>
  <c r="D656" i="21" s="1"/>
  <c r="D657" i="21" s="1"/>
  <c r="D658" i="21" s="1"/>
  <c r="D659" i="21" s="1"/>
  <c r="D661" i="21" s="1"/>
  <c r="D662" i="21" s="1"/>
  <c r="D663" i="21" s="1"/>
  <c r="D664" i="21" s="1"/>
  <c r="D665" i="21" s="1"/>
  <c r="D666" i="21" s="1"/>
  <c r="D667" i="21" s="1"/>
  <c r="D668" i="21" s="1"/>
  <c r="D669" i="21" s="1"/>
  <c r="D671" i="21" s="1"/>
  <c r="D672" i="21" s="1"/>
  <c r="D673" i="21" s="1"/>
  <c r="D674" i="21" s="1"/>
  <c r="D675" i="21" s="1"/>
  <c r="D676" i="21" s="1"/>
  <c r="D677" i="21" s="1"/>
  <c r="D678" i="21" s="1"/>
  <c r="D679" i="21" s="1"/>
  <c r="D680" i="21" s="1"/>
  <c r="D682" i="21" s="1"/>
  <c r="D683" i="21" s="1"/>
  <c r="D684" i="21" s="1"/>
  <c r="D685" i="21" s="1"/>
  <c r="D686" i="21" s="1"/>
  <c r="D687" i="21" s="1"/>
  <c r="D688" i="21" s="1"/>
  <c r="D689" i="21" s="1"/>
  <c r="D690" i="21" s="1"/>
  <c r="D691" i="21" s="1"/>
  <c r="D693" i="21" s="1"/>
  <c r="D694" i="21" s="1"/>
  <c r="D695" i="21" s="1"/>
  <c r="D696" i="21" s="1"/>
  <c r="D697" i="21" s="1"/>
  <c r="D698" i="21" s="1"/>
  <c r="D699" i="21" s="1"/>
  <c r="D700" i="21" s="1"/>
  <c r="D701" i="21" s="1"/>
  <c r="D702" i="21" s="1"/>
  <c r="D704" i="21" s="1"/>
  <c r="D705" i="21" s="1"/>
  <c r="D706" i="21" s="1"/>
  <c r="D707" i="21" s="1"/>
  <c r="D708" i="21" s="1"/>
  <c r="D709" i="21" s="1"/>
  <c r="D710" i="21" s="1"/>
  <c r="D711" i="21" s="1"/>
  <c r="D712" i="21" s="1"/>
  <c r="D713" i="21" s="1"/>
  <c r="D715" i="21" s="1"/>
  <c r="D716" i="21" s="1"/>
  <c r="D717" i="21" s="1"/>
  <c r="D718" i="21" s="1"/>
  <c r="D719" i="21" s="1"/>
  <c r="D720" i="21" s="1"/>
  <c r="D721" i="21" s="1"/>
  <c r="D722" i="21" s="1"/>
  <c r="D723" i="21" s="1"/>
  <c r="D725" i="21" s="1"/>
  <c r="D726" i="21" s="1"/>
  <c r="D727" i="21" s="1"/>
  <c r="D728" i="21" s="1"/>
  <c r="D729" i="21" s="1"/>
  <c r="D730" i="21" s="1"/>
  <c r="D731" i="21" s="1"/>
  <c r="D732" i="21" s="1"/>
  <c r="D733" i="21" s="1"/>
  <c r="D734" i="21" s="1"/>
  <c r="D736" i="21" s="1"/>
  <c r="D737" i="21" s="1"/>
  <c r="D738" i="21" s="1"/>
  <c r="D739" i="21" s="1"/>
  <c r="D740" i="21" s="1"/>
  <c r="D741" i="21" s="1"/>
  <c r="D742" i="21" s="1"/>
  <c r="D743" i="21" s="1"/>
  <c r="D744" i="21" s="1"/>
  <c r="D745" i="21" s="1"/>
  <c r="D747" i="21" s="1"/>
  <c r="D748" i="21" s="1"/>
  <c r="D749" i="21" s="1"/>
  <c r="D750" i="21" s="1"/>
  <c r="D751" i="21" s="1"/>
  <c r="D752" i="21" s="1"/>
  <c r="D753" i="21" s="1"/>
  <c r="D754" i="21" s="1"/>
  <c r="D755" i="21" s="1"/>
  <c r="D756" i="21" s="1"/>
  <c r="D758" i="21" s="1"/>
  <c r="D759" i="21" s="1"/>
  <c r="D760" i="21" s="1"/>
  <c r="D761" i="21" s="1"/>
  <c r="D762" i="21" s="1"/>
  <c r="D763" i="21" s="1"/>
  <c r="D764" i="21" s="1"/>
  <c r="D765" i="21" s="1"/>
  <c r="D766" i="21" s="1"/>
  <c r="D767" i="21" s="1"/>
  <c r="D769" i="21" s="1"/>
  <c r="D770" i="21" s="1"/>
  <c r="D771" i="21" s="1"/>
  <c r="D772" i="21" s="1"/>
  <c r="D773" i="21" s="1"/>
  <c r="D774" i="21" s="1"/>
  <c r="D775" i="21" s="1"/>
  <c r="D776" i="21" s="1"/>
  <c r="D777" i="21" s="1"/>
  <c r="D779" i="21" s="1"/>
  <c r="D780" i="21" s="1"/>
  <c r="D781" i="21" s="1"/>
  <c r="D782" i="21" s="1"/>
  <c r="D783" i="21" s="1"/>
  <c r="D784" i="21" s="1"/>
  <c r="D785" i="21" s="1"/>
  <c r="D786" i="21" s="1"/>
  <c r="D787" i="21" s="1"/>
  <c r="D788" i="21" s="1"/>
  <c r="D790" i="21" s="1"/>
  <c r="D791" i="21" s="1"/>
  <c r="D792" i="21" s="1"/>
  <c r="D793" i="21" s="1"/>
  <c r="D794" i="21" s="1"/>
  <c r="D795" i="21" s="1"/>
  <c r="D796" i="21" s="1"/>
  <c r="D797" i="21" s="1"/>
  <c r="D798" i="21" s="1"/>
  <c r="D799" i="21" s="1"/>
  <c r="D801" i="21" s="1"/>
  <c r="D802" i="21" s="1"/>
  <c r="D803" i="21" s="1"/>
  <c r="D804" i="21" s="1"/>
  <c r="D805" i="21" s="1"/>
  <c r="D806" i="21" s="1"/>
  <c r="D807" i="21" s="1"/>
  <c r="D808" i="21" s="1"/>
  <c r="D809" i="21" s="1"/>
  <c r="D810" i="21" s="1"/>
  <c r="D812" i="21" s="1"/>
  <c r="D813" i="21" s="1"/>
  <c r="D814" i="21" s="1"/>
  <c r="D815" i="21" s="1"/>
  <c r="D816" i="21" s="1"/>
  <c r="D817" i="21" s="1"/>
  <c r="D818" i="21" s="1"/>
  <c r="D819" i="21" s="1"/>
  <c r="D820" i="21" s="1"/>
  <c r="D821" i="21" s="1"/>
  <c r="D823" i="21" s="1"/>
  <c r="D824" i="21" s="1"/>
  <c r="D825" i="21" s="1"/>
  <c r="D826" i="21" s="1"/>
  <c r="D827" i="21" s="1"/>
  <c r="D828" i="21" s="1"/>
  <c r="D829" i="21" s="1"/>
  <c r="D830" i="21" s="1"/>
  <c r="D831" i="21" s="1"/>
  <c r="D833" i="21" s="1"/>
  <c r="D834" i="21" s="1"/>
  <c r="D835" i="21" s="1"/>
  <c r="D836" i="21" s="1"/>
  <c r="D837" i="21" s="1"/>
  <c r="D838" i="21" s="1"/>
  <c r="D839" i="21" s="1"/>
  <c r="D840" i="21" s="1"/>
  <c r="D841" i="21" s="1"/>
  <c r="D842" i="21" s="1"/>
  <c r="D844" i="21" s="1"/>
  <c r="D845" i="21" s="1"/>
  <c r="D846" i="21" s="1"/>
  <c r="D847" i="21" s="1"/>
  <c r="D848" i="21" s="1"/>
  <c r="D849" i="21" s="1"/>
  <c r="D850" i="21" s="1"/>
  <c r="D851" i="21" s="1"/>
  <c r="D852" i="21" s="1"/>
  <c r="D853" i="21" s="1"/>
  <c r="D855" i="21" s="1"/>
  <c r="D856" i="21" s="1"/>
  <c r="D857" i="21" s="1"/>
  <c r="D858" i="21" s="1"/>
  <c r="D859" i="21" s="1"/>
  <c r="D860" i="21" s="1"/>
  <c r="D861" i="21" s="1"/>
  <c r="D862" i="21" s="1"/>
  <c r="D863" i="21" s="1"/>
  <c r="D864" i="21" s="1"/>
  <c r="D866" i="21" s="1"/>
  <c r="D867" i="21" s="1"/>
  <c r="D868" i="21" s="1"/>
  <c r="D869" i="21" s="1"/>
  <c r="D870" i="21" s="1"/>
  <c r="D871" i="21" s="1"/>
  <c r="D872" i="21" s="1"/>
  <c r="D873" i="21" s="1"/>
  <c r="D874" i="21" s="1"/>
  <c r="D875" i="21" s="1"/>
  <c r="D877" i="21" s="1"/>
  <c r="D878" i="21" s="1"/>
  <c r="D879" i="21" s="1"/>
  <c r="D880" i="21" s="1"/>
  <c r="D881" i="21" s="1"/>
  <c r="D882" i="21" s="1"/>
  <c r="D883" i="21" s="1"/>
  <c r="D884" i="21" s="1"/>
  <c r="D885" i="21" s="1"/>
  <c r="D887" i="21" s="1"/>
  <c r="D888" i="21" s="1"/>
  <c r="D889" i="21" s="1"/>
  <c r="D890" i="21" s="1"/>
  <c r="D891" i="21" s="1"/>
  <c r="D892" i="21" s="1"/>
  <c r="D893" i="21" s="1"/>
  <c r="D894" i="21" s="1"/>
  <c r="D895" i="21" s="1"/>
  <c r="D896" i="21" s="1"/>
  <c r="D898" i="21" s="1"/>
  <c r="D899" i="21" s="1"/>
  <c r="D900" i="21" s="1"/>
  <c r="D901" i="21" s="1"/>
  <c r="D902" i="21" s="1"/>
  <c r="D903" i="21" s="1"/>
  <c r="D904" i="21" s="1"/>
  <c r="D905" i="21" s="1"/>
  <c r="D906" i="21" s="1"/>
  <c r="D907" i="21" s="1"/>
  <c r="D909" i="21" s="1"/>
  <c r="D910" i="21" s="1"/>
  <c r="D911" i="21" s="1"/>
  <c r="D912" i="21" s="1"/>
  <c r="D913" i="21" s="1"/>
  <c r="D914" i="21" s="1"/>
  <c r="D915" i="21" s="1"/>
  <c r="D916" i="21" s="1"/>
  <c r="D917" i="21" s="1"/>
  <c r="D918" i="21" s="1"/>
  <c r="D920" i="21" s="1"/>
  <c r="D921" i="21" s="1"/>
  <c r="D922" i="21" s="1"/>
  <c r="D923" i="21" s="1"/>
  <c r="D924" i="21" s="1"/>
  <c r="D925" i="21" s="1"/>
  <c r="D926" i="21" s="1"/>
  <c r="D927" i="21" s="1"/>
  <c r="D928" i="21" s="1"/>
  <c r="D929" i="21" s="1"/>
  <c r="D931" i="21" s="1"/>
  <c r="D932" i="21" s="1"/>
  <c r="D933" i="21" s="1"/>
  <c r="D934" i="21" s="1"/>
  <c r="D935" i="21" s="1"/>
  <c r="D936" i="21" s="1"/>
  <c r="D937" i="21" s="1"/>
  <c r="D938" i="21" s="1"/>
  <c r="D939" i="21" s="1"/>
  <c r="D491" i="21" l="1"/>
  <c r="D488" i="21"/>
  <c r="D489" i="21" s="1"/>
  <c r="D490" i="21" s="1"/>
  <c r="D6" i="20" l="1"/>
  <c r="D7" i="20" s="1"/>
  <c r="D8" i="20" s="1"/>
  <c r="D9" i="20" s="1"/>
  <c r="D10" i="20" s="1"/>
  <c r="D11" i="20" s="1"/>
  <c r="D12" i="20" s="1"/>
  <c r="D13" i="20" s="1"/>
  <c r="D15" i="20" s="1"/>
  <c r="D16" i="20" s="1"/>
  <c r="D17" i="20" s="1"/>
  <c r="D18" i="20" s="1"/>
  <c r="D19" i="20" s="1"/>
  <c r="D20" i="20" s="1"/>
  <c r="D21" i="20" s="1"/>
  <c r="D22" i="20" s="1"/>
  <c r="D23" i="20" s="1"/>
  <c r="D25" i="20" s="1"/>
  <c r="D26" i="20" s="1"/>
  <c r="D27" i="20" s="1"/>
  <c r="D28" i="20" s="1"/>
  <c r="D29" i="20" s="1"/>
  <c r="D30" i="20" s="1"/>
  <c r="D31" i="20" s="1"/>
  <c r="D32" i="20" s="1"/>
  <c r="D33" i="20" s="1"/>
  <c r="D35" i="20" s="1"/>
  <c r="D36" i="20" s="1"/>
  <c r="D37" i="20" s="1"/>
  <c r="D38" i="20" s="1"/>
  <c r="D39" i="20" s="1"/>
  <c r="D40" i="20" s="1"/>
  <c r="D41" i="20" s="1"/>
  <c r="D42" i="20" s="1"/>
  <c r="D43" i="20" s="1"/>
  <c r="D45" i="20" s="1"/>
  <c r="D46" i="20" s="1"/>
  <c r="D47" i="20" s="1"/>
  <c r="D48" i="20" s="1"/>
  <c r="D49" i="20" s="1"/>
  <c r="D50" i="20" s="1"/>
  <c r="D51" i="20" s="1"/>
  <c r="D52" i="20" s="1"/>
  <c r="D54" i="20" s="1"/>
  <c r="D55" i="20" s="1"/>
  <c r="D56" i="20" s="1"/>
  <c r="D57" i="20" s="1"/>
  <c r="D58" i="20" s="1"/>
  <c r="D59" i="20" s="1"/>
  <c r="D60" i="20" s="1"/>
  <c r="D61" i="20" s="1"/>
  <c r="D62" i="20" s="1"/>
  <c r="D64" i="20" s="1"/>
  <c r="D65" i="20" s="1"/>
  <c r="D66" i="20" s="1"/>
  <c r="D67" i="20" s="1"/>
  <c r="D68" i="20" s="1"/>
  <c r="D69" i="20" s="1"/>
  <c r="D70" i="20" s="1"/>
  <c r="D71" i="20" s="1"/>
  <c r="D72" i="20" s="1"/>
  <c r="D74" i="20" s="1"/>
  <c r="D75" i="20" s="1"/>
  <c r="D76" i="20" s="1"/>
  <c r="D77" i="20" s="1"/>
  <c r="D78" i="20" s="1"/>
  <c r="D79" i="20" s="1"/>
  <c r="D80" i="20" s="1"/>
  <c r="D81" i="20" s="1"/>
  <c r="D82" i="20" s="1"/>
  <c r="D84" i="20" s="1"/>
  <c r="D85" i="20" s="1"/>
  <c r="D86" i="20" s="1"/>
  <c r="D87" i="20" s="1"/>
  <c r="D88" i="20" s="1"/>
  <c r="D89" i="20" s="1"/>
  <c r="D90" i="20" s="1"/>
  <c r="D91" i="20" s="1"/>
  <c r="D92" i="20" s="1"/>
  <c r="D94" i="20" s="1"/>
  <c r="D95" i="20" s="1"/>
  <c r="D96" i="20" s="1"/>
  <c r="D97" i="20" s="1"/>
  <c r="D98" i="20" s="1"/>
  <c r="D99" i="20" s="1"/>
  <c r="D100" i="20" s="1"/>
  <c r="D101" i="20" s="1"/>
  <c r="D103" i="20" s="1"/>
  <c r="D104" i="20" s="1"/>
  <c r="D105" i="20" s="1"/>
  <c r="D106" i="20" s="1"/>
  <c r="D107" i="20" s="1"/>
  <c r="D108" i="20" s="1"/>
  <c r="D109" i="20" s="1"/>
  <c r="D110" i="20" s="1"/>
  <c r="D111" i="20" s="1"/>
  <c r="D113" i="20" s="1"/>
  <c r="D114" i="20" s="1"/>
  <c r="D115" i="20" s="1"/>
  <c r="D116" i="20" s="1"/>
  <c r="D117" i="20" s="1"/>
  <c r="D118" i="20" s="1"/>
  <c r="D119" i="20" s="1"/>
  <c r="D120" i="20" s="1"/>
  <c r="D121" i="20" s="1"/>
  <c r="D123" i="20" s="1"/>
  <c r="D124" i="20" s="1"/>
  <c r="D125" i="20" s="1"/>
  <c r="D126" i="20" s="1"/>
  <c r="D127" i="20" s="1"/>
  <c r="D128" i="20" s="1"/>
  <c r="D129" i="20" s="1"/>
  <c r="D130" i="20" s="1"/>
  <c r="D131" i="20" s="1"/>
  <c r="D133" i="20" s="1"/>
  <c r="D134" i="20" s="1"/>
  <c r="D135" i="20" s="1"/>
  <c r="D136" i="20" s="1"/>
  <c r="D137" i="20" s="1"/>
  <c r="D138" i="20" s="1"/>
  <c r="D139" i="20" s="1"/>
  <c r="D140" i="20" s="1"/>
  <c r="D141" i="20" s="1"/>
  <c r="D143" i="20" s="1"/>
  <c r="D144" i="20" s="1"/>
  <c r="D145" i="20" s="1"/>
  <c r="D146" i="20" s="1"/>
  <c r="D147" i="20" s="1"/>
  <c r="D148" i="20" s="1"/>
  <c r="D149" i="20" s="1"/>
  <c r="D150" i="20" s="1"/>
  <c r="D152" i="20" s="1"/>
  <c r="D153" i="20" s="1"/>
  <c r="D154" i="20" s="1"/>
  <c r="D155" i="20" s="1"/>
  <c r="D156" i="20" s="1"/>
  <c r="D157" i="20" s="1"/>
  <c r="D158" i="20" s="1"/>
  <c r="D159" i="20" s="1"/>
  <c r="D160" i="20" s="1"/>
  <c r="D162" i="20" s="1"/>
  <c r="D163" i="20" s="1"/>
  <c r="D164" i="20" s="1"/>
  <c r="D165" i="20" s="1"/>
  <c r="D166" i="20" s="1"/>
  <c r="D167" i="20" s="1"/>
  <c r="D168" i="20" s="1"/>
  <c r="D169" i="20" s="1"/>
  <c r="D170" i="20" s="1"/>
  <c r="D172" i="20" s="1"/>
  <c r="D173" i="20" s="1"/>
  <c r="D174" i="20" s="1"/>
  <c r="D175" i="20" s="1"/>
  <c r="D176" i="20" s="1"/>
  <c r="D177" i="20" s="1"/>
  <c r="D178" i="20" s="1"/>
  <c r="D179" i="20" s="1"/>
  <c r="D180" i="20" s="1"/>
  <c r="D182" i="20" s="1"/>
  <c r="D183" i="20" s="1"/>
  <c r="D184" i="20" s="1"/>
  <c r="D185" i="20" s="1"/>
  <c r="D186" i="20" s="1"/>
  <c r="D187" i="20" s="1"/>
  <c r="D188" i="20" s="1"/>
  <c r="D189" i="20" s="1"/>
  <c r="D190" i="20" s="1"/>
  <c r="D192" i="20" s="1"/>
  <c r="D193" i="20" s="1"/>
  <c r="D194" i="20" s="1"/>
  <c r="D195" i="20" s="1"/>
  <c r="D196" i="20" s="1"/>
  <c r="D197" i="20" s="1"/>
  <c r="D198" i="20" s="1"/>
  <c r="D199" i="20" s="1"/>
  <c r="D201" i="20" s="1"/>
  <c r="D202" i="20" s="1"/>
  <c r="D203" i="20" s="1"/>
  <c r="D204" i="20" s="1"/>
  <c r="D205" i="20" s="1"/>
  <c r="D206" i="20" s="1"/>
  <c r="D207" i="20" s="1"/>
  <c r="D208" i="20" s="1"/>
  <c r="D209" i="20" s="1"/>
  <c r="D211" i="20" s="1"/>
  <c r="D212" i="20" s="1"/>
  <c r="D213" i="20" s="1"/>
  <c r="D214" i="20" s="1"/>
  <c r="D215" i="20" s="1"/>
  <c r="D216" i="20" s="1"/>
  <c r="D217" i="20" s="1"/>
  <c r="D218" i="20" s="1"/>
  <c r="D219" i="20" s="1"/>
  <c r="D221" i="20" s="1"/>
  <c r="D222" i="20" s="1"/>
  <c r="D223" i="20" s="1"/>
  <c r="D224" i="20" s="1"/>
  <c r="D225" i="20" s="1"/>
  <c r="D226" i="20" s="1"/>
  <c r="D227" i="20" s="1"/>
  <c r="D228" i="20" s="1"/>
  <c r="D229" i="20" s="1"/>
  <c r="D231" i="20" s="1"/>
  <c r="D232" i="20" s="1"/>
  <c r="D233" i="20" s="1"/>
  <c r="D234" i="20" s="1"/>
  <c r="D235" i="20" s="1"/>
  <c r="D236" i="20" s="1"/>
  <c r="D237" i="20" s="1"/>
  <c r="D238" i="20" s="1"/>
  <c r="D239" i="20" s="1"/>
  <c r="D241" i="20" s="1"/>
  <c r="D242" i="20" s="1"/>
  <c r="D243" i="20" s="1"/>
  <c r="D244" i="20" s="1"/>
  <c r="D245" i="20" s="1"/>
  <c r="D246" i="20" s="1"/>
  <c r="D247" i="20" s="1"/>
  <c r="D248" i="20" s="1"/>
  <c r="D250" i="20" s="1"/>
  <c r="D251" i="20" s="1"/>
  <c r="D252" i="20" s="1"/>
  <c r="D253" i="20" s="1"/>
  <c r="D254" i="20" s="1"/>
  <c r="D255" i="20" s="1"/>
  <c r="D256" i="20" s="1"/>
  <c r="D257" i="20" s="1"/>
  <c r="D258" i="20" s="1"/>
  <c r="D260" i="20" s="1"/>
  <c r="D261" i="20" s="1"/>
  <c r="D262" i="20" s="1"/>
  <c r="D263" i="20" s="1"/>
  <c r="D264" i="20" s="1"/>
  <c r="D265" i="20" s="1"/>
  <c r="D266" i="20" s="1"/>
  <c r="D267" i="20" s="1"/>
  <c r="D6" i="18"/>
  <c r="D7" i="18" s="1"/>
  <c r="D8" i="18" s="1"/>
  <c r="D9" i="18" s="1"/>
  <c r="D10" i="18" s="1"/>
  <c r="D11" i="18" s="1"/>
  <c r="D12" i="18" s="1"/>
  <c r="D13" i="18" s="1"/>
  <c r="D15" i="18" s="1"/>
  <c r="D16" i="18" s="1"/>
  <c r="D17" i="18" s="1"/>
  <c r="D18" i="18" s="1"/>
  <c r="D19" i="18" s="1"/>
  <c r="D20" i="18" s="1"/>
  <c r="D21" i="18" s="1"/>
  <c r="D22" i="18" s="1"/>
  <c r="D23" i="18" s="1"/>
  <c r="D25" i="18" s="1"/>
  <c r="D26" i="18" s="1"/>
  <c r="D27" i="18" s="1"/>
  <c r="D28" i="18" s="1"/>
  <c r="D29" i="18" s="1"/>
  <c r="D30" i="18" s="1"/>
  <c r="D31" i="18" s="1"/>
  <c r="D32" i="18" s="1"/>
  <c r="D33" i="18" s="1"/>
  <c r="D35" i="18" s="1"/>
  <c r="D36" i="18" s="1"/>
  <c r="D37" i="18" s="1"/>
  <c r="D38" i="18" s="1"/>
  <c r="D39" i="18" s="1"/>
  <c r="D40" i="18" s="1"/>
  <c r="D41" i="18" s="1"/>
  <c r="D42" i="18" s="1"/>
  <c r="D43" i="18" s="1"/>
  <c r="D45" i="18" s="1"/>
  <c r="D46" i="18" s="1"/>
  <c r="D47" i="18" s="1"/>
  <c r="D48" i="18" s="1"/>
  <c r="D49" i="18" s="1"/>
  <c r="D50" i="18" s="1"/>
  <c r="D51" i="18" s="1"/>
  <c r="D52" i="18" s="1"/>
  <c r="D54" i="18" s="1"/>
  <c r="D55" i="18" s="1"/>
  <c r="D56" i="18" s="1"/>
  <c r="D57" i="18" s="1"/>
  <c r="D58" i="18" s="1"/>
  <c r="D59" i="18" s="1"/>
  <c r="D60" i="18" s="1"/>
  <c r="D61" i="18" s="1"/>
  <c r="D62" i="18" s="1"/>
  <c r="D64" i="18" s="1"/>
  <c r="D65" i="18" s="1"/>
  <c r="D66" i="18" s="1"/>
  <c r="D67" i="18" s="1"/>
  <c r="D68" i="18" s="1"/>
  <c r="D69" i="18" s="1"/>
  <c r="D70" i="18" s="1"/>
  <c r="D71" i="18" s="1"/>
  <c r="D72" i="18" s="1"/>
  <c r="D74" i="18" s="1"/>
  <c r="D75" i="18" s="1"/>
  <c r="D76" i="18" s="1"/>
  <c r="D77" i="18" s="1"/>
  <c r="D78" i="18" s="1"/>
  <c r="D79" i="18" s="1"/>
  <c r="D80" i="18" s="1"/>
  <c r="D81" i="18" s="1"/>
  <c r="D82" i="18" s="1"/>
  <c r="D84" i="18" s="1"/>
  <c r="D85" i="18" s="1"/>
  <c r="D86" i="18" s="1"/>
  <c r="D87" i="18" s="1"/>
  <c r="D88" i="18" s="1"/>
  <c r="D89" i="18" s="1"/>
  <c r="D90" i="18" s="1"/>
  <c r="D91" i="18" s="1"/>
  <c r="D92" i="18" s="1"/>
  <c r="D94" i="18" s="1"/>
  <c r="D95" i="18" s="1"/>
  <c r="D96" i="18" s="1"/>
  <c r="D97" i="18" s="1"/>
  <c r="D98" i="18" s="1"/>
  <c r="D99" i="18" s="1"/>
  <c r="D100" i="18" s="1"/>
  <c r="D101" i="18" s="1"/>
  <c r="D103" i="18" s="1"/>
  <c r="D104" i="18" s="1"/>
  <c r="D105" i="18" s="1"/>
  <c r="D106" i="18" s="1"/>
  <c r="D107" i="18" s="1"/>
  <c r="D108" i="18" s="1"/>
  <c r="D109" i="18" s="1"/>
  <c r="D110" i="18" s="1"/>
  <c r="D111" i="18" s="1"/>
  <c r="D113" i="18" s="1"/>
  <c r="D114" i="18" s="1"/>
  <c r="D115" i="18" s="1"/>
  <c r="D116" i="18" s="1"/>
  <c r="D117" i="18" s="1"/>
  <c r="D118" i="18" s="1"/>
  <c r="D119" i="18" s="1"/>
  <c r="D120" i="18" s="1"/>
  <c r="D121" i="18" s="1"/>
  <c r="D123" i="18" s="1"/>
  <c r="D124" i="18" s="1"/>
  <c r="D125" i="18" s="1"/>
  <c r="D126" i="18" s="1"/>
  <c r="D127" i="18" s="1"/>
  <c r="D128" i="18" s="1"/>
  <c r="D129" i="18" s="1"/>
  <c r="D130" i="18" s="1"/>
  <c r="D131" i="18" s="1"/>
  <c r="D133" i="18" s="1"/>
  <c r="D134" i="18" s="1"/>
  <c r="D135" i="18" s="1"/>
  <c r="D136" i="18" s="1"/>
  <c r="D137" i="18" s="1"/>
  <c r="D138" i="18" s="1"/>
  <c r="D139" i="18" s="1"/>
  <c r="D140" i="18" s="1"/>
  <c r="D141" i="18" s="1"/>
  <c r="D143" i="18" s="1"/>
  <c r="D144" i="18" s="1"/>
  <c r="D145" i="18" s="1"/>
  <c r="D146" i="18" s="1"/>
  <c r="D147" i="18" s="1"/>
  <c r="D148" i="18" s="1"/>
  <c r="D149" i="18" s="1"/>
  <c r="D150" i="18" s="1"/>
  <c r="D152" i="18" s="1"/>
  <c r="D153" i="18" s="1"/>
  <c r="D154" i="18" s="1"/>
  <c r="D155" i="18" s="1"/>
  <c r="D156" i="18" s="1"/>
  <c r="D157" i="18" s="1"/>
  <c r="D158" i="18" s="1"/>
  <c r="D159" i="18" s="1"/>
  <c r="D160" i="18" s="1"/>
  <c r="D162" i="18" s="1"/>
  <c r="D163" i="18" s="1"/>
  <c r="D164" i="18" s="1"/>
  <c r="D165" i="18" s="1"/>
  <c r="D166" i="18" s="1"/>
  <c r="D167" i="18" s="1"/>
  <c r="D168" i="18" s="1"/>
  <c r="D169" i="18" s="1"/>
  <c r="D170" i="18" s="1"/>
  <c r="D172" i="18" s="1"/>
  <c r="D173" i="18" s="1"/>
  <c r="D174" i="18" s="1"/>
  <c r="D175" i="18" s="1"/>
  <c r="D176" i="18" s="1"/>
  <c r="D177" i="18" s="1"/>
  <c r="D178" i="18" s="1"/>
  <c r="D179" i="18" s="1"/>
  <c r="D180" i="18" s="1"/>
  <c r="D182" i="18" s="1"/>
  <c r="D183" i="18" s="1"/>
  <c r="D184" i="18" s="1"/>
  <c r="D185" i="18" s="1"/>
  <c r="D186" i="18" s="1"/>
  <c r="D187" i="18" s="1"/>
  <c r="D188" i="18" s="1"/>
  <c r="D189" i="18" s="1"/>
  <c r="D190" i="18" s="1"/>
  <c r="D192" i="18" s="1"/>
  <c r="D193" i="18" s="1"/>
  <c r="D194" i="18" s="1"/>
  <c r="D195" i="18" s="1"/>
  <c r="D196" i="18" s="1"/>
  <c r="D197" i="18" s="1"/>
  <c r="D198" i="18" s="1"/>
  <c r="D199" i="18" s="1"/>
  <c r="D201" i="18" s="1"/>
  <c r="D202" i="18" s="1"/>
  <c r="D203" i="18" s="1"/>
  <c r="D204" i="18" s="1"/>
  <c r="D205" i="18" s="1"/>
  <c r="D206" i="18" s="1"/>
  <c r="D207" i="18" s="1"/>
  <c r="D208" i="18" s="1"/>
  <c r="D209" i="18" s="1"/>
  <c r="D211" i="18" s="1"/>
  <c r="D212" i="18" s="1"/>
  <c r="D213" i="18" s="1"/>
  <c r="D214" i="18" s="1"/>
  <c r="D215" i="18" s="1"/>
  <c r="D216" i="18" s="1"/>
  <c r="D217" i="18" s="1"/>
  <c r="D218" i="18" s="1"/>
  <c r="D219" i="18" s="1"/>
  <c r="D221" i="18" s="1"/>
  <c r="D222" i="18" s="1"/>
  <c r="D223" i="18" s="1"/>
  <c r="D224" i="18" s="1"/>
  <c r="D225" i="18" s="1"/>
  <c r="D226" i="18" s="1"/>
  <c r="D227" i="18" s="1"/>
  <c r="D228" i="18" s="1"/>
  <c r="D229" i="18" s="1"/>
  <c r="D231" i="18" s="1"/>
  <c r="D232" i="18" s="1"/>
  <c r="D233" i="18" s="1"/>
  <c r="D234" i="18" s="1"/>
  <c r="D235" i="18" s="1"/>
  <c r="D236" i="18" s="1"/>
  <c r="D237" i="18" s="1"/>
  <c r="D238" i="18" s="1"/>
  <c r="D239" i="18" s="1"/>
  <c r="D241" i="18" s="1"/>
  <c r="D242" i="18" s="1"/>
  <c r="D243" i="18" s="1"/>
  <c r="D244" i="18" s="1"/>
  <c r="D245" i="18" s="1"/>
  <c r="D246" i="18" s="1"/>
  <c r="D247" i="18" s="1"/>
  <c r="D248" i="18" s="1"/>
  <c r="D250" i="18" s="1"/>
  <c r="D251" i="18" s="1"/>
  <c r="D252" i="18" s="1"/>
  <c r="D253" i="18" s="1"/>
  <c r="D254" i="18" s="1"/>
  <c r="D255" i="18" s="1"/>
  <c r="D256" i="18" s="1"/>
  <c r="D257" i="18" s="1"/>
  <c r="D258" i="18" s="1"/>
  <c r="D260" i="18" s="1"/>
  <c r="D261" i="18" s="1"/>
  <c r="D262" i="18" s="1"/>
  <c r="D263" i="18" s="1"/>
  <c r="D264" i="18" s="1"/>
  <c r="D265" i="18" s="1"/>
  <c r="D266" i="18" s="1"/>
  <c r="D267" i="18" s="1"/>
  <c r="D268" i="18" s="1"/>
  <c r="D270" i="18" s="1"/>
  <c r="D271" i="18" s="1"/>
  <c r="D272" i="18" s="1"/>
  <c r="D273" i="18" s="1"/>
  <c r="D274" i="18" s="1"/>
  <c r="D275" i="18" s="1"/>
  <c r="D276" i="18" s="1"/>
  <c r="D277" i="18" s="1"/>
  <c r="D278" i="18" s="1"/>
  <c r="D280" i="18" s="1"/>
  <c r="D281" i="18" s="1"/>
  <c r="D282" i="18" s="1"/>
  <c r="D283" i="18" s="1"/>
  <c r="D284" i="18" s="1"/>
  <c r="D285" i="18" s="1"/>
  <c r="D286" i="18" s="1"/>
  <c r="D287" i="18" s="1"/>
  <c r="D288" i="18" s="1"/>
  <c r="D290" i="18" s="1"/>
  <c r="D291" i="18" s="1"/>
  <c r="D292" i="18" s="1"/>
  <c r="D293" i="18" s="1"/>
  <c r="D294" i="18" s="1"/>
  <c r="D295" i="18" s="1"/>
  <c r="D296" i="18" s="1"/>
  <c r="D297" i="18" s="1"/>
  <c r="D299" i="18" s="1"/>
  <c r="D300" i="18" s="1"/>
  <c r="D301" i="18" s="1"/>
  <c r="D302" i="18" s="1"/>
  <c r="D303" i="18" s="1"/>
  <c r="D304" i="18" s="1"/>
  <c r="D305" i="18" s="1"/>
  <c r="D306" i="18" s="1"/>
  <c r="D307" i="18" s="1"/>
  <c r="D309" i="18" s="1"/>
  <c r="D310" i="18" s="1"/>
  <c r="D311" i="18" s="1"/>
  <c r="D312" i="18" s="1"/>
  <c r="D313" i="18" s="1"/>
  <c r="D314" i="18" s="1"/>
  <c r="D315" i="18" s="1"/>
  <c r="D316" i="18" s="1"/>
  <c r="D317" i="18" s="1"/>
  <c r="D319" i="18" s="1"/>
  <c r="D320" i="18" s="1"/>
  <c r="D321" i="18" s="1"/>
  <c r="D322" i="18" s="1"/>
  <c r="D323" i="18" s="1"/>
  <c r="D324" i="18" s="1"/>
  <c r="D325" i="18" s="1"/>
  <c r="D326" i="18" s="1"/>
  <c r="D327" i="18" s="1"/>
  <c r="D329" i="18" s="1"/>
  <c r="D330" i="18" s="1"/>
  <c r="D331" i="18" s="1"/>
  <c r="D332" i="18" s="1"/>
  <c r="D333" i="18" s="1"/>
  <c r="D334" i="18" s="1"/>
  <c r="D335" i="18" s="1"/>
  <c r="D336" i="18" s="1"/>
  <c r="D337" i="18" s="1"/>
  <c r="D339" i="18" s="1"/>
  <c r="D340" i="18" s="1"/>
  <c r="D341" i="18" s="1"/>
  <c r="D342" i="18" s="1"/>
  <c r="D343" i="18" s="1"/>
  <c r="D344" i="18" s="1"/>
  <c r="D345" i="18" s="1"/>
  <c r="D346" i="18" s="1"/>
  <c r="D348" i="18" s="1"/>
  <c r="D349" i="18" s="1"/>
  <c r="D350" i="18" s="1"/>
  <c r="D351" i="18" s="1"/>
  <c r="D352" i="18" s="1"/>
  <c r="D353" i="18" s="1"/>
  <c r="D354" i="18" s="1"/>
  <c r="D355" i="18" s="1"/>
  <c r="D356" i="18" s="1"/>
  <c r="D358" i="18" s="1"/>
  <c r="D359" i="18" s="1"/>
  <c r="D360" i="18" s="1"/>
  <c r="D361" i="18" s="1"/>
  <c r="D362" i="18" s="1"/>
  <c r="D363" i="18" s="1"/>
  <c r="D364" i="18" s="1"/>
  <c r="D365" i="18" s="1"/>
  <c r="D366" i="18" s="1"/>
  <c r="D368" i="18" s="1"/>
  <c r="D369" i="18" s="1"/>
  <c r="D370" i="18" s="1"/>
  <c r="D371" i="18" s="1"/>
  <c r="D372" i="18" s="1"/>
  <c r="D373" i="18" s="1"/>
  <c r="D374" i="18" s="1"/>
  <c r="D375" i="18" s="1"/>
  <c r="D376" i="18" s="1"/>
  <c r="D378" i="18" s="1"/>
  <c r="D379" i="18" s="1"/>
  <c r="D380" i="18" s="1"/>
  <c r="D381" i="18" s="1"/>
  <c r="D382" i="18" s="1"/>
  <c r="D383" i="18" s="1"/>
  <c r="D384" i="18" s="1"/>
  <c r="D385" i="18" s="1"/>
  <c r="D386" i="18" s="1"/>
  <c r="D388" i="18" s="1"/>
  <c r="D389" i="18" s="1"/>
  <c r="D390" i="18" s="1"/>
  <c r="D391" i="18" s="1"/>
  <c r="D392" i="18" s="1"/>
  <c r="D393" i="18" s="1"/>
  <c r="D394" i="18" s="1"/>
  <c r="D395" i="18" s="1"/>
  <c r="D397" i="18" s="1"/>
  <c r="D398" i="18" s="1"/>
  <c r="D399" i="18" s="1"/>
  <c r="D400" i="18" s="1"/>
  <c r="D401" i="18" s="1"/>
  <c r="D402" i="18" s="1"/>
  <c r="D403" i="18" s="1"/>
  <c r="D404" i="18" s="1"/>
  <c r="D405" i="18" s="1"/>
  <c r="D407" i="18" s="1"/>
  <c r="D408" i="18" s="1"/>
  <c r="D409" i="18" s="1"/>
  <c r="D410" i="18" s="1"/>
  <c r="D411" i="18" s="1"/>
  <c r="D412" i="18" s="1"/>
  <c r="D413" i="18" s="1"/>
  <c r="D414" i="18" s="1"/>
  <c r="D415" i="18" s="1"/>
  <c r="D417" i="18" s="1"/>
  <c r="D418" i="18" s="1"/>
  <c r="D419" i="18" s="1"/>
  <c r="D420" i="18" s="1"/>
  <c r="D421" i="18" s="1"/>
  <c r="D422" i="18" s="1"/>
  <c r="D423" i="18" s="1"/>
  <c r="D424" i="18" s="1"/>
  <c r="D425" i="18" s="1"/>
  <c r="D427" i="18" s="1"/>
  <c r="D428" i="18" s="1"/>
  <c r="D429" i="18" s="1"/>
  <c r="D430" i="18" s="1"/>
  <c r="D431" i="18" s="1"/>
  <c r="D432" i="18" s="1"/>
  <c r="D433" i="18" s="1"/>
  <c r="D434" i="18" s="1"/>
  <c r="D435" i="18" s="1"/>
  <c r="D437" i="18" s="1"/>
  <c r="D438" i="18" s="1"/>
  <c r="D439" i="18" s="1"/>
  <c r="D440" i="18" s="1"/>
  <c r="D441" i="18" s="1"/>
  <c r="D442" i="18" s="1"/>
  <c r="D443" i="18" s="1"/>
  <c r="D444" i="18" s="1"/>
  <c r="K251" i="1"/>
  <c r="U214" i="15"/>
  <c r="U211" i="15"/>
  <c r="S123" i="15"/>
  <c r="C64" i="15"/>
  <c r="C65" i="15" s="1"/>
  <c r="C66" i="15" s="1"/>
  <c r="C67" i="15" s="1"/>
  <c r="C68" i="15" s="1"/>
  <c r="C69" i="15" s="1"/>
  <c r="C70" i="15" s="1"/>
  <c r="C71" i="15" s="1"/>
  <c r="C72" i="15" s="1"/>
  <c r="C74" i="15" s="1"/>
  <c r="C75" i="15" s="1"/>
  <c r="C76" i="15" s="1"/>
  <c r="C77" i="15" s="1"/>
  <c r="C78" i="15" s="1"/>
  <c r="C79" i="15" s="1"/>
  <c r="C80" i="15" s="1"/>
  <c r="C81" i="15" s="1"/>
  <c r="C82" i="15" s="1"/>
  <c r="C84" i="15" s="1"/>
  <c r="C85" i="15" s="1"/>
  <c r="C86" i="15" s="1"/>
  <c r="C87" i="15" s="1"/>
  <c r="C88" i="15" s="1"/>
  <c r="C89" i="15" s="1"/>
  <c r="C90" i="15" s="1"/>
  <c r="C91" i="15" s="1"/>
  <c r="C92" i="15" s="1"/>
  <c r="C94" i="15" s="1"/>
  <c r="C95" i="15" s="1"/>
  <c r="C96" i="15" s="1"/>
  <c r="C97" i="15" s="1"/>
  <c r="C98" i="15" s="1"/>
  <c r="C99" i="15" s="1"/>
  <c r="C100" i="15" s="1"/>
  <c r="C101" i="15" s="1"/>
  <c r="C103" i="15" s="1"/>
  <c r="C104" i="15" s="1"/>
  <c r="C105" i="15" s="1"/>
  <c r="C106" i="15" s="1"/>
  <c r="C107" i="15" s="1"/>
  <c r="C108" i="15" s="1"/>
  <c r="C109" i="15" s="1"/>
  <c r="C110" i="15" s="1"/>
  <c r="C111" i="15" s="1"/>
  <c r="C113" i="15" s="1"/>
  <c r="C114" i="15" s="1"/>
  <c r="C115" i="15" s="1"/>
  <c r="C116" i="15" s="1"/>
  <c r="C117" i="15" s="1"/>
  <c r="C118" i="15" s="1"/>
  <c r="C119" i="15" s="1"/>
  <c r="C120" i="15" s="1"/>
  <c r="C121" i="15" s="1"/>
  <c r="C123" i="15" s="1"/>
  <c r="C124" i="15" s="1"/>
  <c r="C125" i="15" s="1"/>
  <c r="C126" i="15" s="1"/>
  <c r="C127" i="15" s="1"/>
  <c r="C128" i="15" s="1"/>
  <c r="C129" i="15" s="1"/>
  <c r="C130" i="15" s="1"/>
  <c r="C131" i="15" s="1"/>
  <c r="C133" i="15" s="1"/>
  <c r="C134" i="15" s="1"/>
  <c r="C135" i="15" s="1"/>
  <c r="C136" i="15" s="1"/>
  <c r="C137" i="15" s="1"/>
  <c r="C138" i="15" s="1"/>
  <c r="C139" i="15" s="1"/>
  <c r="C140" i="15" s="1"/>
  <c r="C141" i="15" s="1"/>
  <c r="C143" i="15" s="1"/>
  <c r="C144" i="15" s="1"/>
  <c r="C145" i="15" s="1"/>
  <c r="C146" i="15" s="1"/>
  <c r="C147" i="15" s="1"/>
  <c r="C148" i="15" s="1"/>
  <c r="C149" i="15" s="1"/>
  <c r="C150" i="15" s="1"/>
  <c r="C152" i="15" s="1"/>
  <c r="C153" i="15" s="1"/>
  <c r="C154" i="15" s="1"/>
  <c r="C155" i="15" s="1"/>
  <c r="C156" i="15" s="1"/>
  <c r="C157" i="15" s="1"/>
  <c r="C158" i="15" s="1"/>
  <c r="C159" i="15" s="1"/>
  <c r="C160" i="15" s="1"/>
  <c r="C162" i="15" s="1"/>
  <c r="C163" i="15" s="1"/>
  <c r="C164" i="15" s="1"/>
  <c r="C165" i="15" s="1"/>
  <c r="C166" i="15" s="1"/>
  <c r="C167" i="15" s="1"/>
  <c r="C168" i="15" s="1"/>
  <c r="C169" i="15" s="1"/>
  <c r="C170" i="15" s="1"/>
  <c r="C172" i="15" s="1"/>
  <c r="C173" i="15" s="1"/>
  <c r="C174" i="15" s="1"/>
  <c r="C175" i="15" s="1"/>
  <c r="C176" i="15" s="1"/>
  <c r="C177" i="15" s="1"/>
  <c r="C178" i="15" s="1"/>
  <c r="C179" i="15" s="1"/>
  <c r="C180" i="15" s="1"/>
  <c r="C182" i="15" s="1"/>
  <c r="C183" i="15" s="1"/>
  <c r="C184" i="15" s="1"/>
  <c r="C185" i="15" s="1"/>
  <c r="C186" i="15" s="1"/>
  <c r="C187" i="15" s="1"/>
  <c r="C188" i="15" s="1"/>
  <c r="C189" i="15" s="1"/>
  <c r="C190" i="15" s="1"/>
  <c r="C192" i="15" s="1"/>
  <c r="C193" i="15" s="1"/>
  <c r="C194" i="15" s="1"/>
  <c r="C195" i="15" s="1"/>
  <c r="C196" i="15" s="1"/>
  <c r="C197" i="15" s="1"/>
  <c r="C198" i="15" s="1"/>
  <c r="C199" i="15" s="1"/>
  <c r="C201" i="15" s="1"/>
  <c r="C202" i="15" s="1"/>
  <c r="C203" i="15" s="1"/>
  <c r="C204" i="15" s="1"/>
  <c r="C205" i="15" s="1"/>
  <c r="C206" i="15" s="1"/>
  <c r="C207" i="15" s="1"/>
  <c r="C208" i="15" s="1"/>
  <c r="C209" i="15" s="1"/>
  <c r="C211" i="15" s="1"/>
  <c r="C212" i="15" s="1"/>
  <c r="C213" i="15" s="1"/>
  <c r="C214" i="15" s="1"/>
  <c r="C215" i="15" s="1"/>
  <c r="C216" i="15" s="1"/>
  <c r="C217" i="15" s="1"/>
  <c r="C218" i="15" s="1"/>
  <c r="C219" i="15" s="1"/>
  <c r="C221" i="15" s="1"/>
  <c r="C222" i="15" s="1"/>
  <c r="C223" i="15" s="1"/>
  <c r="C224" i="15" s="1"/>
  <c r="C225" i="15" s="1"/>
  <c r="C226" i="15" s="1"/>
  <c r="C227" i="15" s="1"/>
  <c r="C228" i="15" s="1"/>
  <c r="C229" i="15" s="1"/>
  <c r="C231" i="15" s="1"/>
  <c r="C232" i="15" s="1"/>
  <c r="C233" i="15" s="1"/>
  <c r="C234" i="15" s="1"/>
  <c r="C235" i="15" s="1"/>
  <c r="C236" i="15" s="1"/>
  <c r="C237" i="15" s="1"/>
  <c r="C238" i="15" s="1"/>
  <c r="C239" i="15" s="1"/>
  <c r="C241" i="15" s="1"/>
  <c r="C242" i="15" s="1"/>
  <c r="C243" i="15" s="1"/>
  <c r="C244" i="15" s="1"/>
  <c r="C245" i="15" s="1"/>
  <c r="C246" i="15" s="1"/>
  <c r="C247" i="15" s="1"/>
  <c r="C248" i="15" s="1"/>
  <c r="C250" i="15" s="1"/>
  <c r="C251" i="15" s="1"/>
  <c r="C252" i="15" s="1"/>
  <c r="C253" i="15" s="1"/>
  <c r="C254" i="15" s="1"/>
  <c r="C255" i="15" s="1"/>
  <c r="C256" i="15" s="1"/>
  <c r="C257" i="15" s="1"/>
  <c r="C258" i="15" s="1"/>
  <c r="C260" i="15" s="1"/>
  <c r="C261" i="15" s="1"/>
  <c r="C262" i="15" s="1"/>
  <c r="C263" i="15" s="1"/>
  <c r="C264" i="15" s="1"/>
  <c r="C265" i="15" s="1"/>
  <c r="C266" i="15" s="1"/>
  <c r="C267" i="15" s="1"/>
  <c r="C268" i="15" s="1"/>
  <c r="C270" i="15" s="1"/>
  <c r="C271" i="15" s="1"/>
  <c r="C272" i="15" s="1"/>
  <c r="C273" i="15" s="1"/>
  <c r="C274" i="15" s="1"/>
  <c r="C275" i="15" s="1"/>
  <c r="C276" i="15" s="1"/>
  <c r="C277" i="15" s="1"/>
  <c r="C278" i="15" s="1"/>
  <c r="C280" i="15" s="1"/>
  <c r="C281" i="15" s="1"/>
  <c r="C282" i="15" s="1"/>
  <c r="C283" i="15" s="1"/>
  <c r="C284" i="15" s="1"/>
  <c r="C285" i="15" s="1"/>
  <c r="C286" i="15" s="1"/>
  <c r="C287" i="15" s="1"/>
  <c r="C288" i="15" s="1"/>
  <c r="C290" i="15" s="1"/>
  <c r="C291" i="15" s="1"/>
  <c r="C292" i="15" s="1"/>
  <c r="C293" i="15" s="1"/>
  <c r="C294" i="15" s="1"/>
  <c r="C295" i="15" s="1"/>
  <c r="C296" i="15" s="1"/>
  <c r="C297" i="15" s="1"/>
  <c r="C299" i="15" s="1"/>
  <c r="C300" i="15" s="1"/>
  <c r="C301" i="15" s="1"/>
  <c r="C302" i="15" s="1"/>
  <c r="C303" i="15" s="1"/>
  <c r="C304" i="15" s="1"/>
  <c r="C305" i="15" s="1"/>
  <c r="C306" i="15" s="1"/>
  <c r="C307" i="15" s="1"/>
  <c r="C309" i="15" s="1"/>
  <c r="C310" i="15" s="1"/>
  <c r="C311" i="15" s="1"/>
  <c r="C312" i="15" s="1"/>
  <c r="C313" i="15" s="1"/>
  <c r="C314" i="15" s="1"/>
  <c r="C315" i="15" s="1"/>
  <c r="C316" i="15" s="1"/>
  <c r="C317" i="15" s="1"/>
  <c r="C319" i="15" s="1"/>
  <c r="C320" i="15" s="1"/>
  <c r="C321" i="15" s="1"/>
  <c r="C322" i="15" s="1"/>
  <c r="C323" i="15" s="1"/>
  <c r="C324" i="15" s="1"/>
  <c r="C325" i="15" s="1"/>
  <c r="C326" i="15" s="1"/>
  <c r="C327" i="15" s="1"/>
  <c r="C329" i="15" s="1"/>
  <c r="C330" i="15" s="1"/>
  <c r="C331" i="15" s="1"/>
  <c r="C332" i="15" s="1"/>
  <c r="C333" i="15" s="1"/>
  <c r="C334" i="15" s="1"/>
  <c r="C335" i="15" s="1"/>
  <c r="C336" i="15" s="1"/>
  <c r="C337" i="15" s="1"/>
  <c r="C339" i="15" s="1"/>
  <c r="C340" i="15" s="1"/>
  <c r="C341" i="15" s="1"/>
  <c r="C342" i="15" s="1"/>
  <c r="C343" i="15" s="1"/>
  <c r="C344" i="15" s="1"/>
  <c r="C345" i="15" s="1"/>
  <c r="C346" i="15" s="1"/>
  <c r="C348" i="15" s="1"/>
  <c r="C349" i="15" s="1"/>
  <c r="C350" i="15" s="1"/>
  <c r="C351" i="15" s="1"/>
  <c r="C352" i="15" s="1"/>
  <c r="C353" i="15" s="1"/>
  <c r="C354" i="15" s="1"/>
  <c r="C355" i="15" s="1"/>
  <c r="C356" i="15" s="1"/>
  <c r="C358" i="15" s="1"/>
  <c r="C359" i="15" s="1"/>
  <c r="C360" i="15" s="1"/>
  <c r="C361" i="15" s="1"/>
  <c r="C362" i="15" s="1"/>
  <c r="C363" i="15" s="1"/>
  <c r="C364" i="15" s="1"/>
  <c r="C365" i="15" s="1"/>
  <c r="C366" i="15" s="1"/>
  <c r="C368" i="15" s="1"/>
  <c r="C369" i="15" s="1"/>
  <c r="C370" i="15" s="1"/>
  <c r="C371" i="15" s="1"/>
  <c r="C372" i="15" s="1"/>
  <c r="C373" i="15" s="1"/>
  <c r="C374" i="15" s="1"/>
  <c r="C375" i="15" s="1"/>
  <c r="C376" i="15" s="1"/>
  <c r="C378" i="15" s="1"/>
  <c r="C379" i="15" s="1"/>
  <c r="C380" i="15" s="1"/>
  <c r="C381" i="15" s="1"/>
  <c r="C382" i="15" s="1"/>
  <c r="C383" i="15" s="1"/>
  <c r="C384" i="15" s="1"/>
  <c r="C385" i="15" s="1"/>
  <c r="C386" i="15" s="1"/>
  <c r="C388" i="15" s="1"/>
  <c r="C389" i="15" s="1"/>
  <c r="C390" i="15" s="1"/>
  <c r="C391" i="15" s="1"/>
  <c r="C392" i="15" s="1"/>
  <c r="C393" i="15" s="1"/>
  <c r="C394" i="15" s="1"/>
  <c r="C395" i="15" s="1"/>
  <c r="C397" i="15" s="1"/>
  <c r="C398" i="15" s="1"/>
  <c r="C399" i="15" s="1"/>
  <c r="C400" i="15" s="1"/>
  <c r="C401" i="15" s="1"/>
  <c r="C402" i="15" s="1"/>
  <c r="C403" i="15" s="1"/>
  <c r="C404" i="15" s="1"/>
  <c r="C405" i="15" s="1"/>
  <c r="C407" i="15" s="1"/>
  <c r="C408" i="15" s="1"/>
  <c r="C409" i="15" s="1"/>
  <c r="C410" i="15" s="1"/>
  <c r="C411" i="15" s="1"/>
  <c r="C412" i="15" s="1"/>
  <c r="C413" i="15" s="1"/>
  <c r="C414" i="15" s="1"/>
  <c r="C415" i="15" s="1"/>
  <c r="C417" i="15" s="1"/>
  <c r="C418" i="15" s="1"/>
  <c r="C419" i="15" s="1"/>
  <c r="C420" i="15" s="1"/>
  <c r="C421" i="15" s="1"/>
  <c r="C422" i="15" s="1"/>
  <c r="C423" i="15" s="1"/>
  <c r="C424" i="15" s="1"/>
  <c r="C425" i="15" s="1"/>
  <c r="C427" i="15" s="1"/>
  <c r="C428" i="15" s="1"/>
  <c r="C429" i="15" s="1"/>
  <c r="C430" i="15" s="1"/>
  <c r="C431" i="15" s="1"/>
  <c r="C432" i="15" s="1"/>
  <c r="C433" i="15" s="1"/>
  <c r="C434" i="15" s="1"/>
  <c r="C435" i="15" s="1"/>
  <c r="C437" i="15" s="1"/>
  <c r="C438" i="15" s="1"/>
  <c r="C439" i="15" s="1"/>
  <c r="C440" i="15" s="1"/>
  <c r="C441" i="15" s="1"/>
  <c r="C442" i="15" s="1"/>
  <c r="C443" i="15" s="1"/>
  <c r="C444" i="15" s="1"/>
  <c r="C446" i="15" s="1"/>
  <c r="C447" i="15" s="1"/>
  <c r="C448" i="15" s="1"/>
  <c r="C449" i="15" s="1"/>
  <c r="C450" i="15" s="1"/>
  <c r="C451" i="15" s="1"/>
  <c r="C452" i="15" s="1"/>
  <c r="C453" i="15" s="1"/>
  <c r="C454" i="15" s="1"/>
  <c r="C456" i="15" s="1"/>
  <c r="C457" i="15" s="1"/>
  <c r="C458" i="15" s="1"/>
  <c r="C459" i="15" s="1"/>
  <c r="C460" i="15" s="1"/>
  <c r="C461" i="15" s="1"/>
  <c r="C462" i="15" s="1"/>
  <c r="C463" i="15" s="1"/>
  <c r="C464" i="15" s="1"/>
  <c r="C466" i="15" s="1"/>
  <c r="C467" i="15" s="1"/>
  <c r="C468" i="15" s="1"/>
  <c r="C469" i="15" s="1"/>
  <c r="C470" i="15" s="1"/>
  <c r="C471" i="15" s="1"/>
  <c r="C472" i="15" s="1"/>
  <c r="C473" i="15" s="1"/>
  <c r="C474" i="15" s="1"/>
  <c r="C476" i="15" s="1"/>
  <c r="C477" i="15" s="1"/>
  <c r="C478" i="15" s="1"/>
  <c r="C479" i="15" s="1"/>
  <c r="C480" i="15" s="1"/>
  <c r="C481" i="15" s="1"/>
  <c r="C482" i="15" s="1"/>
  <c r="C483" i="15" s="1"/>
  <c r="C484" i="15" s="1"/>
  <c r="C486" i="15" s="1"/>
  <c r="C487" i="15" s="1"/>
  <c r="C488" i="15" s="1"/>
  <c r="C489" i="15" s="1"/>
  <c r="C490" i="15" s="1"/>
  <c r="C491" i="15" s="1"/>
  <c r="C492" i="15" s="1"/>
  <c r="C493" i="15" s="1"/>
  <c r="C6" i="15"/>
  <c r="C7" i="15" s="1"/>
  <c r="C8" i="15" s="1"/>
  <c r="C9" i="15" s="1"/>
  <c r="C10" i="15" s="1"/>
  <c r="C11" i="15" s="1"/>
  <c r="C12" i="15" s="1"/>
  <c r="C13" i="15" s="1"/>
  <c r="C15" i="15" s="1"/>
  <c r="C16" i="15" s="1"/>
  <c r="C17" i="15" s="1"/>
  <c r="C18" i="15" s="1"/>
  <c r="C19" i="15" s="1"/>
  <c r="C20" i="15" s="1"/>
  <c r="C21" i="15" s="1"/>
  <c r="C22" i="15" s="1"/>
  <c r="C23" i="15" s="1"/>
  <c r="C25" i="15" s="1"/>
  <c r="C26" i="15" s="1"/>
  <c r="C27" i="15" s="1"/>
  <c r="C28" i="15" s="1"/>
  <c r="C29" i="15" s="1"/>
  <c r="C30" i="15" s="1"/>
  <c r="C31" i="15" s="1"/>
  <c r="C32" i="15" s="1"/>
  <c r="C33" i="15" s="1"/>
  <c r="C35" i="15" s="1"/>
  <c r="C36" i="15" s="1"/>
  <c r="C37" i="15" s="1"/>
  <c r="C38" i="15" s="1"/>
  <c r="C39" i="15" s="1"/>
  <c r="C40" i="15" s="1"/>
  <c r="C41" i="15" s="1"/>
  <c r="C42" i="15" s="1"/>
  <c r="C43" i="15" s="1"/>
  <c r="C45" i="15" s="1"/>
  <c r="C46" i="15" s="1"/>
  <c r="C47" i="15" s="1"/>
  <c r="C48" i="15" s="1"/>
  <c r="C49" i="15" s="1"/>
  <c r="C50" i="15" s="1"/>
  <c r="C51" i="15" s="1"/>
  <c r="C52" i="15" s="1"/>
  <c r="U106" i="4"/>
  <c r="W107" i="4"/>
  <c r="W108" i="4" s="1"/>
  <c r="X108" i="4" s="1"/>
  <c r="U109" i="4"/>
  <c r="Z85" i="4"/>
  <c r="U86" i="4"/>
  <c r="U88" i="4" s="1"/>
  <c r="W88" i="4" s="1"/>
  <c r="W98" i="4"/>
  <c r="Y98" i="4" s="1"/>
  <c r="U99" i="4"/>
  <c r="V99" i="4" s="1"/>
  <c r="D63" i="4"/>
  <c r="D64" i="4" s="1"/>
  <c r="D65" i="4" s="1"/>
  <c r="D66" i="4" s="1"/>
  <c r="D67" i="4" s="1"/>
  <c r="D68" i="4" s="1"/>
  <c r="D69" i="4" s="1"/>
  <c r="D70" i="4" s="1"/>
  <c r="D71" i="4" s="1"/>
  <c r="D73" i="4" s="1"/>
  <c r="D74" i="4" s="1"/>
  <c r="D75" i="4" s="1"/>
  <c r="D76" i="4" s="1"/>
  <c r="D77" i="4" s="1"/>
  <c r="D78" i="4" s="1"/>
  <c r="D79" i="4" s="1"/>
  <c r="D80" i="4" s="1"/>
  <c r="D81" i="4" s="1"/>
  <c r="D83" i="4" s="1"/>
  <c r="D84" i="4" s="1"/>
  <c r="D85" i="4" s="1"/>
  <c r="D86" i="4" s="1"/>
  <c r="D87" i="4" s="1"/>
  <c r="D88" i="4" s="1"/>
  <c r="D89" i="4" s="1"/>
  <c r="D90" i="4" s="1"/>
  <c r="D91" i="4" s="1"/>
  <c r="D93" i="4" s="1"/>
  <c r="D94" i="4" s="1"/>
  <c r="D95" i="4" s="1"/>
  <c r="D96" i="4" s="1"/>
  <c r="D97" i="4" s="1"/>
  <c r="D98" i="4" s="1"/>
  <c r="D99" i="4" s="1"/>
  <c r="D100" i="4" s="1"/>
  <c r="D102" i="4" s="1"/>
  <c r="D103" i="4" s="1"/>
  <c r="D104" i="4" s="1"/>
  <c r="D105" i="4" s="1"/>
  <c r="D106" i="4" s="1"/>
  <c r="D107" i="4" s="1"/>
  <c r="D108" i="4" s="1"/>
  <c r="D109" i="4" s="1"/>
  <c r="D110" i="4" s="1"/>
  <c r="D112" i="4" s="1"/>
  <c r="D113" i="4" s="1"/>
  <c r="D114" i="4" s="1"/>
  <c r="D115" i="4" s="1"/>
  <c r="D116" i="4" s="1"/>
  <c r="D117" i="4" s="1"/>
  <c r="D118" i="4" s="1"/>
  <c r="D119" i="4" s="1"/>
  <c r="D120" i="4" s="1"/>
  <c r="D122" i="4" s="1"/>
  <c r="D123" i="4" s="1"/>
  <c r="D124" i="4" s="1"/>
  <c r="D125" i="4" s="1"/>
  <c r="D126" i="4" s="1"/>
  <c r="D127" i="4" s="1"/>
  <c r="D128" i="4" s="1"/>
  <c r="D129" i="4" s="1"/>
  <c r="D130" i="4" s="1"/>
  <c r="D132" i="4" s="1"/>
  <c r="D133" i="4" s="1"/>
  <c r="D134" i="4" s="1"/>
  <c r="D135" i="4" s="1"/>
  <c r="D136" i="4" s="1"/>
  <c r="D137" i="4" s="1"/>
  <c r="D138" i="4" s="1"/>
  <c r="D139" i="4" s="1"/>
  <c r="D140" i="4" s="1"/>
  <c r="D142" i="4" s="1"/>
  <c r="D143" i="4" s="1"/>
  <c r="D144" i="4" s="1"/>
  <c r="D145" i="4" s="1"/>
  <c r="D146" i="4" s="1"/>
  <c r="D147" i="4" s="1"/>
  <c r="D148" i="4" s="1"/>
  <c r="D149" i="4" s="1"/>
  <c r="D151" i="4" s="1"/>
  <c r="D152" i="4" s="1"/>
  <c r="D153" i="4" s="1"/>
  <c r="D154" i="4" s="1"/>
  <c r="D155" i="4" s="1"/>
  <c r="D156" i="4" s="1"/>
  <c r="D157" i="4" s="1"/>
  <c r="D158" i="4" s="1"/>
  <c r="D159" i="4" s="1"/>
  <c r="D161" i="4" s="1"/>
  <c r="D162" i="4" s="1"/>
  <c r="D163" i="4" s="1"/>
  <c r="D164" i="4" s="1"/>
  <c r="D165" i="4" s="1"/>
  <c r="D166" i="4" s="1"/>
  <c r="D167" i="4" s="1"/>
  <c r="D168" i="4" s="1"/>
  <c r="D169" i="4" s="1"/>
  <c r="D171" i="4" s="1"/>
  <c r="D172" i="4" s="1"/>
  <c r="D173" i="4" s="1"/>
  <c r="D174" i="4" s="1"/>
  <c r="D175" i="4" s="1"/>
  <c r="D176" i="4" s="1"/>
  <c r="D177" i="4" s="1"/>
  <c r="D178" i="4" s="1"/>
  <c r="D179" i="4" s="1"/>
  <c r="D181" i="4" s="1"/>
  <c r="D182" i="4" s="1"/>
  <c r="D183" i="4" s="1"/>
  <c r="D184" i="4" s="1"/>
  <c r="D185" i="4" s="1"/>
  <c r="D186" i="4" s="1"/>
  <c r="D187" i="4" s="1"/>
  <c r="D188" i="4" s="1"/>
  <c r="D189" i="4" s="1"/>
  <c r="D191" i="4" s="1"/>
  <c r="D192" i="4" s="1"/>
  <c r="D193" i="4" s="1"/>
  <c r="D194" i="4" s="1"/>
  <c r="D195" i="4" s="1"/>
  <c r="D196" i="4" s="1"/>
  <c r="D197" i="4" s="1"/>
  <c r="D198" i="4" s="1"/>
  <c r="D200" i="4" s="1"/>
  <c r="D201" i="4" s="1"/>
  <c r="D202" i="4" s="1"/>
  <c r="D203" i="4" s="1"/>
  <c r="D204" i="4" s="1"/>
  <c r="D205" i="4" s="1"/>
  <c r="D206" i="4" s="1"/>
  <c r="D207" i="4" s="1"/>
  <c r="D208" i="4" s="1"/>
  <c r="D210" i="4" s="1"/>
  <c r="D211" i="4" s="1"/>
  <c r="D212" i="4" s="1"/>
  <c r="D213" i="4" s="1"/>
  <c r="D214" i="4" s="1"/>
  <c r="D215" i="4" s="1"/>
  <c r="D216" i="4" s="1"/>
  <c r="D217" i="4" s="1"/>
  <c r="D218" i="4" s="1"/>
  <c r="D220" i="4" s="1"/>
  <c r="D221" i="4" s="1"/>
  <c r="D222" i="4" s="1"/>
  <c r="D223" i="4" s="1"/>
  <c r="D224" i="4" s="1"/>
  <c r="D225" i="4" s="1"/>
  <c r="D226" i="4" s="1"/>
  <c r="D227" i="4" s="1"/>
  <c r="D228" i="4" s="1"/>
  <c r="D230" i="4" s="1"/>
  <c r="D231" i="4" s="1"/>
  <c r="D232" i="4" s="1"/>
  <c r="D233" i="4" s="1"/>
  <c r="D234" i="4" s="1"/>
  <c r="D235" i="4" s="1"/>
  <c r="D236" i="4" s="1"/>
  <c r="D237" i="4" s="1"/>
  <c r="D238" i="4" s="1"/>
  <c r="D240" i="4" s="1"/>
  <c r="D241" i="4" s="1"/>
  <c r="D242" i="4" s="1"/>
  <c r="D243" i="4" s="1"/>
  <c r="D244" i="4" s="1"/>
  <c r="D245" i="4" s="1"/>
  <c r="D246" i="4" s="1"/>
  <c r="D247" i="4" s="1"/>
  <c r="D249" i="4" s="1"/>
  <c r="D250" i="4" s="1"/>
  <c r="D251" i="4" s="1"/>
  <c r="D252" i="4" s="1"/>
  <c r="D253" i="4" s="1"/>
  <c r="D254" i="4" s="1"/>
  <c r="D255" i="4" s="1"/>
  <c r="D256" i="4" s="1"/>
  <c r="D257" i="4" s="1"/>
  <c r="D259" i="4" s="1"/>
  <c r="D260" i="4" s="1"/>
  <c r="D261" i="4" s="1"/>
  <c r="D262" i="4" s="1"/>
  <c r="D263" i="4" s="1"/>
  <c r="D264" i="4" s="1"/>
  <c r="D265" i="4" s="1"/>
  <c r="D266" i="4" s="1"/>
  <c r="D267" i="4" s="1"/>
  <c r="D269" i="4" s="1"/>
  <c r="D270" i="4" s="1"/>
  <c r="D271" i="4" s="1"/>
  <c r="D272" i="4" s="1"/>
  <c r="D273" i="4" s="1"/>
  <c r="D274" i="4" s="1"/>
  <c r="D275" i="4" s="1"/>
  <c r="D276" i="4" s="1"/>
  <c r="D277" i="4" s="1"/>
  <c r="D279" i="4" s="1"/>
  <c r="D280" i="4" s="1"/>
  <c r="D281" i="4" s="1"/>
  <c r="D282" i="4" s="1"/>
  <c r="D283" i="4" s="1"/>
  <c r="D284" i="4" s="1"/>
  <c r="D285" i="4" s="1"/>
  <c r="D286" i="4" s="1"/>
  <c r="D287" i="4" s="1"/>
  <c r="D289" i="4" s="1"/>
  <c r="D290" i="4" s="1"/>
  <c r="D291" i="4" s="1"/>
  <c r="D292" i="4" s="1"/>
  <c r="D293" i="4" s="1"/>
  <c r="D294" i="4" s="1"/>
  <c r="D295" i="4" s="1"/>
  <c r="D296" i="4" s="1"/>
  <c r="D5" i="4"/>
  <c r="D6" i="4" s="1"/>
  <c r="D7" i="4" s="1"/>
  <c r="D8" i="4" s="1"/>
  <c r="D9" i="4" s="1"/>
  <c r="D10" i="4" s="1"/>
  <c r="D11" i="4" s="1"/>
  <c r="D12" i="4" s="1"/>
  <c r="D14" i="4" s="1"/>
  <c r="D15" i="4" s="1"/>
  <c r="D16" i="4" s="1"/>
  <c r="D17" i="4" s="1"/>
  <c r="D18" i="4" s="1"/>
  <c r="D19" i="4" s="1"/>
  <c r="D20" i="4" s="1"/>
  <c r="D21" i="4" s="1"/>
  <c r="D22" i="4" s="1"/>
  <c r="D24" i="4" s="1"/>
  <c r="D25" i="4" s="1"/>
  <c r="D26" i="4" s="1"/>
  <c r="D27" i="4" s="1"/>
  <c r="D28" i="4" s="1"/>
  <c r="D29" i="4" s="1"/>
  <c r="D30" i="4" s="1"/>
  <c r="D31" i="4" s="1"/>
  <c r="D32" i="4" s="1"/>
  <c r="D34" i="4" s="1"/>
  <c r="D35" i="4" s="1"/>
  <c r="D36" i="4" s="1"/>
  <c r="D37" i="4" s="1"/>
  <c r="D38" i="4" s="1"/>
  <c r="D39" i="4" s="1"/>
  <c r="D40" i="4" s="1"/>
  <c r="D41" i="4" s="1"/>
  <c r="D42" i="4" s="1"/>
  <c r="D44" i="4" s="1"/>
  <c r="D45" i="4" s="1"/>
  <c r="D46" i="4" s="1"/>
  <c r="D47" i="4" s="1"/>
  <c r="D48" i="4" s="1"/>
  <c r="D49" i="4" s="1"/>
  <c r="D50" i="4" s="1"/>
  <c r="D51" i="4" s="1"/>
  <c r="D270" i="20" l="1"/>
  <c r="D268" i="20"/>
  <c r="D271" i="20" s="1"/>
  <c r="D272" i="20" s="1"/>
  <c r="D273" i="20" s="1"/>
  <c r="D274" i="20" s="1"/>
  <c r="D275" i="20" l="1"/>
  <c r="D279" i="20"/>
  <c r="D278" i="20"/>
  <c r="D277" i="20"/>
  <c r="D282" i="20" s="1"/>
  <c r="D284" i="20" s="1"/>
  <c r="D285" i="20" s="1"/>
  <c r="D286" i="20" s="1"/>
  <c r="D287" i="20" s="1"/>
  <c r="D288" i="20" s="1"/>
  <c r="D289" i="20" s="1"/>
  <c r="D290" i="20" s="1"/>
  <c r="D291" i="20" s="1"/>
  <c r="D292" i="20" s="1"/>
  <c r="D293" i="20" s="1"/>
  <c r="D294" i="20" s="1"/>
  <c r="D295" i="20" s="1"/>
  <c r="D296" i="20" s="1"/>
  <c r="D298" i="20" s="1"/>
  <c r="D299" i="20" s="1"/>
  <c r="D300" i="20" s="1"/>
  <c r="D301" i="20" s="1"/>
  <c r="D302" i="20" s="1"/>
  <c r="D303" i="20" s="1"/>
  <c r="D304" i="20" s="1"/>
  <c r="D305" i="20" s="1"/>
  <c r="D306" i="20" s="1"/>
  <c r="D307" i="20" s="1"/>
  <c r="D308" i="20" s="1"/>
  <c r="D309" i="20" s="1"/>
  <c r="D310" i="20" s="1"/>
  <c r="D312" i="20" s="1"/>
  <c r="D313" i="20" s="1"/>
  <c r="D314" i="20" s="1"/>
  <c r="D315" i="20" s="1"/>
  <c r="D316" i="20" s="1"/>
  <c r="D317" i="20" s="1"/>
  <c r="D318" i="20" s="1"/>
  <c r="D319" i="20" s="1"/>
  <c r="D320" i="20" s="1"/>
  <c r="D321" i="20" s="1"/>
  <c r="D322" i="20" s="1"/>
  <c r="D323" i="20" s="1"/>
  <c r="D324" i="20" s="1"/>
  <c r="D326" i="20" s="1"/>
  <c r="D327" i="20" s="1"/>
  <c r="D328" i="20" s="1"/>
  <c r="D329" i="20" s="1"/>
  <c r="D330" i="20" s="1"/>
  <c r="D331" i="20" s="1"/>
  <c r="D332" i="20" s="1"/>
  <c r="D333" i="20" s="1"/>
  <c r="D334" i="20" s="1"/>
  <c r="D335" i="20" s="1"/>
  <c r="D336" i="20" s="1"/>
  <c r="D337" i="20" s="1"/>
  <c r="D338" i="20" s="1"/>
  <c r="D340" i="20" s="1"/>
  <c r="D341" i="20" s="1"/>
  <c r="D342" i="20" s="1"/>
  <c r="D343" i="20" s="1"/>
  <c r="D344" i="20" s="1"/>
  <c r="D345" i="20" s="1"/>
  <c r="D346" i="20" s="1"/>
  <c r="D347" i="20" s="1"/>
  <c r="D348" i="20" s="1"/>
  <c r="D349" i="20" s="1"/>
  <c r="C2" i="20"/>
  <c r="M87" i="1"/>
  <c r="M72" i="1"/>
  <c r="M23" i="1"/>
  <c r="M71" i="1"/>
  <c r="M24" i="1"/>
  <c r="M25" i="1"/>
  <c r="M26" i="1"/>
  <c r="M16" i="1"/>
  <c r="M14" i="1"/>
  <c r="M15" i="1"/>
  <c r="M86" i="1"/>
  <c r="C2" i="18"/>
  <c r="D2" i="18" s="1"/>
  <c r="M1085" i="23" l="1" a="1"/>
  <c r="M1069" i="23" s="1"/>
  <c r="K1085" i="23" a="1"/>
  <c r="L1084" i="23" a="1"/>
  <c r="L1069" i="23" s="1"/>
  <c r="J1084" i="23" a="1"/>
  <c r="J1069" i="23" s="1"/>
  <c r="K1083" i="23" a="1"/>
  <c r="K1069" i="23" s="1"/>
  <c r="D351" i="20"/>
  <c r="D350" i="20"/>
  <c r="D352" i="20" s="1"/>
  <c r="D355" i="20" s="1"/>
  <c r="D357" i="20" s="1"/>
  <c r="D358" i="20" s="1"/>
  <c r="D359" i="20" s="1"/>
  <c r="D360" i="20" s="1"/>
  <c r="D361" i="20" s="1"/>
  <c r="D362" i="20" s="1"/>
  <c r="D363" i="20" s="1"/>
  <c r="D364" i="20" s="1"/>
  <c r="D365" i="20" s="1"/>
  <c r="D366" i="20" s="1"/>
  <c r="D280" i="20"/>
  <c r="D276" i="20"/>
  <c r="D281" i="20" s="1"/>
  <c r="G2" i="18"/>
  <c r="F2" i="18"/>
  <c r="D2" i="20"/>
  <c r="F2" i="20"/>
  <c r="G2" i="20"/>
  <c r="Q1069" i="23" l="1"/>
  <c r="D368" i="20"/>
  <c r="D367" i="20"/>
  <c r="D369" i="20" s="1"/>
  <c r="U2" i="20"/>
  <c r="D370" i="20" l="1"/>
  <c r="D371" i="20" s="1"/>
  <c r="D372" i="20"/>
  <c r="D374" i="20" s="1"/>
  <c r="D375" i="20" s="1"/>
  <c r="D376" i="20" s="1"/>
  <c r="D377" i="20" s="1"/>
  <c r="D378" i="20" s="1"/>
  <c r="D379" i="20" s="1"/>
  <c r="D380" i="20" s="1"/>
  <c r="D381" i="20" s="1"/>
  <c r="D382" i="20" s="1"/>
  <c r="D383" i="20" s="1"/>
  <c r="D385" i="20" l="1"/>
  <c r="D384" i="20"/>
  <c r="D386" i="20" s="1"/>
  <c r="D389" i="20" s="1"/>
  <c r="D391" i="20" s="1"/>
  <c r="D392" i="20" s="1"/>
  <c r="D393" i="20" s="1"/>
  <c r="D394" i="20" s="1"/>
  <c r="D395" i="20" s="1"/>
  <c r="D396" i="20" s="1"/>
  <c r="D397" i="20" s="1"/>
  <c r="D398" i="20" s="1"/>
  <c r="D399" i="20" s="1"/>
  <c r="D400" i="20" s="1"/>
  <c r="D401" i="20" s="1"/>
  <c r="D402" i="20" s="1"/>
  <c r="D403" i="20" l="1"/>
  <c r="D404" i="20" s="1"/>
  <c r="D405" i="20" s="1"/>
  <c r="D406" i="20"/>
  <c r="D408" i="20" s="1"/>
  <c r="D409" i="20" s="1"/>
  <c r="D410" i="20" s="1"/>
  <c r="D411" i="20" s="1"/>
  <c r="D412" i="20" s="1"/>
  <c r="D413" i="20" s="1"/>
  <c r="D414" i="20" s="1"/>
  <c r="D415" i="20" s="1"/>
  <c r="D416" i="20" s="1"/>
  <c r="D417" i="20" s="1"/>
  <c r="D418" i="20" s="1"/>
  <c r="D419" i="20" s="1"/>
  <c r="D420" i="20" l="1"/>
  <c r="D421" i="20" s="1"/>
  <c r="D422" i="20" s="1"/>
  <c r="D423" i="20"/>
  <c r="D425" i="20" s="1"/>
  <c r="D426" i="20" s="1"/>
  <c r="D427" i="20" s="1"/>
  <c r="D428" i="20" s="1"/>
  <c r="D429" i="20" s="1"/>
  <c r="D430" i="20" s="1"/>
  <c r="D431" i="20" s="1"/>
  <c r="D432" i="20" s="1"/>
  <c r="D433" i="20" s="1"/>
  <c r="D434" i="20" s="1"/>
  <c r="D435" i="20" s="1"/>
  <c r="D436" i="20" s="1"/>
  <c r="D437" i="20" l="1"/>
  <c r="D438" i="20" s="1"/>
  <c r="D439" i="20" s="1"/>
  <c r="D440" i="20"/>
  <c r="D442" i="20" s="1"/>
  <c r="D443" i="20" s="1"/>
  <c r="D444" i="20" s="1"/>
  <c r="D445" i="20" s="1"/>
  <c r="D446" i="20" s="1"/>
  <c r="D447" i="20" s="1"/>
  <c r="D448" i="20" s="1"/>
  <c r="D449" i="20" s="1"/>
  <c r="D450" i="20" s="1"/>
  <c r="D451" i="20" s="1"/>
  <c r="D452" i="20" s="1"/>
  <c r="D453" i="20" s="1"/>
  <c r="D454" i="20" l="1"/>
  <c r="D455" i="20" s="1"/>
  <c r="D456" i="20" s="1"/>
  <c r="D457" i="20"/>
  <c r="D459" i="20" s="1"/>
  <c r="D460" i="20" s="1"/>
  <c r="D461" i="20" s="1"/>
  <c r="D462" i="20" s="1"/>
  <c r="D463" i="20" s="1"/>
  <c r="D464" i="20" s="1"/>
  <c r="D465" i="20" s="1"/>
  <c r="D466" i="20" s="1"/>
  <c r="D467" i="20" s="1"/>
  <c r="D468" i="20" s="1"/>
  <c r="D469" i="20" s="1"/>
  <c r="D470" i="20" s="1"/>
  <c r="D471" i="20" l="1"/>
  <c r="D472" i="20" s="1"/>
  <c r="D473" i="20" s="1"/>
  <c r="D474" i="20"/>
  <c r="D477" i="20" s="1"/>
  <c r="D478" i="20" s="1"/>
  <c r="D479" i="20" s="1"/>
  <c r="D480" i="20" s="1"/>
  <c r="D481" i="20" s="1"/>
  <c r="D482" i="20" s="1"/>
  <c r="D483" i="20" s="1"/>
  <c r="D484" i="20" s="1"/>
  <c r="D485" i="20" s="1"/>
  <c r="D486" i="20" s="1"/>
  <c r="D487" i="20" s="1"/>
  <c r="D488" i="20" s="1"/>
  <c r="D489" i="20" s="1"/>
  <c r="D491" i="20" s="1"/>
  <c r="D492" i="20" s="1"/>
  <c r="D493" i="20" s="1"/>
  <c r="D494" i="20" s="1"/>
  <c r="D495" i="20" s="1"/>
  <c r="D496" i="20" s="1"/>
  <c r="D497" i="20" s="1"/>
  <c r="D498" i="20" s="1"/>
  <c r="D499" i="20" s="1"/>
  <c r="D500" i="20" s="1"/>
  <c r="D501" i="20" s="1"/>
  <c r="D502" i="20" s="1"/>
  <c r="D503" i="20" s="1"/>
  <c r="D505" i="20" s="1"/>
  <c r="D506" i="20" s="1"/>
  <c r="D507" i="20" s="1"/>
  <c r="D508" i="20" s="1"/>
  <c r="D509" i="20" s="1"/>
  <c r="D510" i="20" s="1"/>
  <c r="D511" i="20" s="1"/>
  <c r="D512" i="20" s="1"/>
  <c r="D513" i="20" s="1"/>
  <c r="D514" i="20" s="1"/>
  <c r="D515" i="20" s="1"/>
  <c r="D516" i="20" s="1"/>
  <c r="D517" i="20" s="1"/>
  <c r="D519" i="20" s="1"/>
  <c r="D520" i="20" s="1"/>
  <c r="D521" i="20" s="1"/>
  <c r="D522" i="20" s="1"/>
  <c r="D523" i="20" s="1"/>
  <c r="D524" i="20" s="1"/>
  <c r="D525" i="20" s="1"/>
  <c r="D526" i="20" s="1"/>
  <c r="D527" i="20" s="1"/>
  <c r="D528" i="20" s="1"/>
  <c r="D529" i="20" s="1"/>
  <c r="D530" i="20" s="1"/>
  <c r="D531" i="20" s="1"/>
  <c r="D533" i="20" s="1"/>
  <c r="D534" i="20" s="1"/>
  <c r="D535" i="20" s="1"/>
  <c r="D536" i="20" s="1"/>
  <c r="D537" i="20" s="1"/>
  <c r="D538" i="20" s="1"/>
  <c r="D539" i="20" s="1"/>
  <c r="D540" i="20" s="1"/>
  <c r="D541" i="20" s="1"/>
  <c r="D542" i="20" s="1"/>
  <c r="D543" i="20" s="1"/>
  <c r="D544" i="20" s="1"/>
  <c r="D545" i="20" s="1"/>
  <c r="Q295" i="23" l="1"/>
  <c r="Q187" i="23"/>
  <c r="Q313" i="23"/>
  <c r="Q403" i="23"/>
  <c r="Q331" i="23"/>
  <c r="Q385" i="23"/>
  <c r="C331" i="23"/>
  <c r="Q259" i="23"/>
  <c r="Q277" i="23"/>
  <c r="Q205" i="23"/>
  <c r="E2756" i="1" s="1"/>
  <c r="E2721" i="1" s="1"/>
  <c r="E2716" i="1" s="1"/>
  <c r="E2711" i="1" s="1"/>
  <c r="E2680" i="1" s="1"/>
  <c r="E2667" i="1" s="1"/>
  <c r="E2622" i="1" s="1"/>
  <c r="E2617" i="1" s="1"/>
  <c r="E2609" i="1" s="1"/>
  <c r="E2599" i="1" s="1"/>
  <c r="E2588" i="1" s="1"/>
  <c r="E2578" i="1" s="1"/>
  <c r="E2549" i="1" s="1"/>
  <c r="E2542" i="1" s="1"/>
  <c r="E2525" i="1" s="1"/>
  <c r="E2516" i="1" s="1"/>
  <c r="E2514" i="1" s="1"/>
  <c r="E2506" i="1" s="1"/>
  <c r="E2504" i="1" s="1"/>
  <c r="E2488" i="1" s="1"/>
  <c r="E2484" i="1" s="1"/>
  <c r="E2474" i="1" s="1"/>
  <c r="E2465" i="1" s="1"/>
  <c r="E2458" i="1" s="1"/>
  <c r="E2442" i="1" s="1"/>
  <c r="E2434" i="1" s="1"/>
  <c r="E2420" i="1" s="1"/>
  <c r="E2395" i="1" s="1"/>
  <c r="E2392" i="1" s="1"/>
  <c r="E2387" i="1" s="1"/>
  <c r="E2374" i="1" s="1"/>
  <c r="E2350" i="1" s="1"/>
  <c r="E2345" i="1" s="1"/>
  <c r="E2331" i="1" s="1"/>
  <c r="E2325" i="1" s="1"/>
  <c r="E2320" i="1" s="1"/>
  <c r="E2295" i="1" s="1"/>
  <c r="E2291" i="1" s="1"/>
  <c r="E2285" i="1" s="1"/>
  <c r="E2280" i="1" s="1"/>
  <c r="E2247" i="1" s="1"/>
  <c r="E2210" i="1" s="1"/>
  <c r="E2200" i="1" s="1"/>
  <c r="E2196" i="1" s="1"/>
  <c r="E2179" i="1" s="1"/>
  <c r="E2161" i="1" s="1"/>
  <c r="E2159" i="1" s="1"/>
  <c r="E2135" i="1" s="1"/>
  <c r="E2058" i="1" s="1"/>
  <c r="E2050" i="1" s="1"/>
  <c r="E2049" i="1" s="1"/>
  <c r="E2046" i="1" s="1"/>
  <c r="E2033" i="1" s="1"/>
  <c r="E2027" i="1" s="1"/>
  <c r="E2007" i="1" s="1"/>
  <c r="E1960" i="1" s="1"/>
  <c r="E1954" i="1" s="1"/>
  <c r="E1925" i="1" s="1"/>
  <c r="E1924" i="1" s="1"/>
  <c r="E1907" i="1" s="1"/>
  <c r="E1893" i="1" s="1"/>
  <c r="E1884" i="1" s="1"/>
  <c r="E1883" i="1" s="1"/>
  <c r="E1880" i="1" s="1"/>
  <c r="E1859" i="1" s="1"/>
  <c r="E1845" i="1" s="1"/>
  <c r="E1833" i="1" s="1"/>
  <c r="E1832" i="1" s="1"/>
  <c r="E1828" i="1" s="1"/>
  <c r="E1820" i="1" s="1"/>
  <c r="E1818" i="1" s="1"/>
  <c r="E1801" i="1" s="1"/>
  <c r="E1768" i="1" s="1"/>
  <c r="E1755" i="1" s="1"/>
  <c r="E1752" i="1" s="1"/>
  <c r="E1718" i="1" s="1"/>
  <c r="E1695" i="1" s="1"/>
  <c r="E1668" i="1" s="1"/>
  <c r="E1658" i="1" s="1"/>
  <c r="E1644" i="1" s="1"/>
  <c r="E2481" i="1" s="1"/>
  <c r="E1637" i="1" s="1"/>
  <c r="E1633" i="1" s="1"/>
  <c r="E1627" i="1" s="1"/>
  <c r="E1625" i="1" s="1"/>
  <c r="E1616" i="1" s="1"/>
  <c r="E1600" i="1" s="1"/>
  <c r="E1589" i="1" s="1"/>
  <c r="E1587" i="1" s="1"/>
  <c r="E1580" i="1" s="1"/>
  <c r="E1573" i="1" s="1"/>
  <c r="E1529" i="1" s="1"/>
  <c r="E1514" i="1" s="1"/>
  <c r="E1498" i="1" s="1"/>
  <c r="E1496" i="1" s="1"/>
  <c r="E1482" i="1" s="1"/>
  <c r="E1460" i="1" s="1"/>
  <c r="E1455" i="1" s="1"/>
  <c r="E1450" i="1" s="1"/>
  <c r="E1439" i="1" s="1"/>
  <c r="E1427" i="1" s="1"/>
  <c r="E1426" i="1" s="1"/>
  <c r="E1410" i="1" s="1"/>
  <c r="E1408" i="1" s="1"/>
  <c r="E1363" i="1" s="1"/>
  <c r="E1359" i="1" s="1"/>
  <c r="E1345" i="1" s="1"/>
  <c r="E1335" i="1" s="1"/>
  <c r="E1302" i="1" s="1"/>
  <c r="E1300" i="1" s="1"/>
  <c r="E1296" i="1" s="1"/>
  <c r="E1294" i="1" s="1"/>
  <c r="E1285" i="1" s="1"/>
  <c r="E1262" i="1" s="1"/>
  <c r="E1252" i="1" s="1"/>
  <c r="E1237" i="1" s="1"/>
  <c r="E1236" i="1" s="1"/>
  <c r="E1235" i="1" s="1"/>
  <c r="E1230" i="1" s="1"/>
  <c r="E1184" i="1" s="1"/>
  <c r="E1120" i="1" s="1"/>
  <c r="E1105" i="1" s="1"/>
  <c r="E1095" i="1" s="1"/>
  <c r="E938" i="1" s="1"/>
  <c r="E1087" i="1" s="1"/>
  <c r="E1080" i="1" s="1"/>
  <c r="E1077" i="1" s="1"/>
  <c r="E1076" i="1" s="1"/>
  <c r="E1075" i="1" s="1"/>
  <c r="E1074" i="1" s="1"/>
  <c r="E1073" i="1" s="1"/>
  <c r="E1072" i="1" s="1"/>
  <c r="E1058" i="1" s="1"/>
  <c r="E1071" i="1" s="1"/>
  <c r="E1070" i="1" s="1"/>
  <c r="E1069" i="1" s="1"/>
  <c r="E1068" i="1" s="1"/>
  <c r="E1067" i="1" s="1"/>
  <c r="E1066" i="1" s="1"/>
  <c r="E1059" i="1" s="1"/>
  <c r="E1049" i="1" s="1"/>
  <c r="E1048" i="1" s="1"/>
  <c r="E1827" i="1" s="1"/>
  <c r="E2565" i="1" s="1"/>
  <c r="E1045" i="1" s="1"/>
  <c r="E1041" i="1" s="1"/>
  <c r="E1040" i="1" s="1"/>
  <c r="E1039" i="1" s="1"/>
  <c r="E1038" i="1" s="1"/>
  <c r="E1037" i="1" s="1"/>
  <c r="E1035" i="1" s="1"/>
  <c r="E1033" i="1" s="1"/>
  <c r="E1031" i="1" s="1"/>
  <c r="E1028" i="1" s="1"/>
  <c r="E1027" i="1" s="1"/>
  <c r="E1023" i="1" s="1"/>
  <c r="E1021" i="1" s="1"/>
  <c r="E1015" i="1" s="1"/>
  <c r="E1013" i="1" s="1"/>
  <c r="E1012" i="1" s="1"/>
  <c r="E1011" i="1" s="1"/>
  <c r="E1010" i="1" s="1"/>
  <c r="E1008" i="1" s="1"/>
  <c r="E1006" i="1" s="1"/>
  <c r="E1005" i="1" s="1"/>
  <c r="E1004" i="1" s="1"/>
  <c r="E1002" i="1" s="1"/>
  <c r="E1001" i="1" s="1"/>
  <c r="E1000" i="1" s="1"/>
  <c r="E999" i="1" s="1"/>
  <c r="E993" i="1" s="1"/>
  <c r="E991" i="1" s="1"/>
  <c r="E990" i="1" s="1"/>
  <c r="E989" i="1" s="1"/>
  <c r="E985" i="1" s="1"/>
  <c r="E984" i="1" s="1"/>
  <c r="E979" i="1" s="1"/>
  <c r="E977" i="1" s="1"/>
  <c r="E973" i="1" s="1"/>
  <c r="E972" i="1" s="1"/>
  <c r="E968" i="1" s="1"/>
  <c r="E967" i="1" s="1"/>
  <c r="E966" i="1" s="1"/>
  <c r="E965" i="1" s="1"/>
  <c r="E963" i="1" s="1"/>
  <c r="E962" i="1" s="1"/>
  <c r="E960" i="1" s="1"/>
  <c r="E959" i="1" s="1"/>
  <c r="E958" i="1" s="1"/>
  <c r="E957" i="1" s="1"/>
  <c r="E956" i="1" s="1"/>
  <c r="E955" i="1" s="1"/>
  <c r="E954" i="1" s="1"/>
  <c r="E953" i="1" s="1"/>
  <c r="E951" i="1" s="1"/>
  <c r="E949" i="1" s="1"/>
  <c r="E948" i="1" s="1"/>
  <c r="E946" i="1" s="1"/>
  <c r="E945" i="1" s="1"/>
  <c r="E944" i="1" s="1"/>
  <c r="E942" i="1" s="1"/>
  <c r="E941" i="1" s="1"/>
  <c r="E937" i="1" s="1"/>
  <c r="E933" i="1" s="1"/>
  <c r="E932" i="1" s="1"/>
  <c r="E931" i="1" s="1"/>
  <c r="E930" i="1" s="1"/>
  <c r="E928" i="1" s="1"/>
  <c r="E926" i="1" s="1"/>
  <c r="E924" i="1" s="1"/>
  <c r="E923" i="1" s="1"/>
  <c r="E922" i="1" s="1"/>
  <c r="E918" i="1" s="1"/>
  <c r="E916" i="1" s="1"/>
  <c r="E915" i="1" s="1"/>
  <c r="E914" i="1" s="1"/>
  <c r="E913" i="1" s="1"/>
  <c r="E911" i="1" s="1"/>
  <c r="E909" i="1" s="1"/>
  <c r="E905" i="1" s="1"/>
  <c r="E904" i="1" s="1"/>
  <c r="E903" i="1" s="1"/>
  <c r="E902" i="1" s="1"/>
  <c r="E901" i="1" s="1"/>
  <c r="E897" i="1" s="1"/>
  <c r="E896" i="1" s="1"/>
  <c r="E894" i="1" s="1"/>
  <c r="E893" i="1" s="1"/>
  <c r="E891" i="1" s="1"/>
  <c r="E889" i="1" s="1"/>
  <c r="E888" i="1" s="1"/>
  <c r="E887" i="1" s="1"/>
  <c r="E886" i="1" s="1"/>
  <c r="E882" i="1" s="1"/>
  <c r="E880" i="1" s="1"/>
  <c r="E879" i="1" s="1"/>
  <c r="E876" i="1" s="1"/>
  <c r="E875" i="1" s="1"/>
  <c r="E874" i="1" s="1"/>
  <c r="E872" i="1" s="1"/>
  <c r="E870" i="1" s="1"/>
  <c r="E869" i="1" s="1"/>
  <c r="E868" i="1" s="1"/>
  <c r="E865" i="1" s="1"/>
  <c r="E863" i="1" s="1"/>
  <c r="E862" i="1" s="1"/>
  <c r="E861" i="1" s="1"/>
  <c r="E858" i="1" s="1"/>
  <c r="E856" i="1" s="1"/>
  <c r="E855" i="1" s="1"/>
  <c r="E854" i="1" s="1"/>
  <c r="E853" i="1" s="1"/>
  <c r="E852" i="1" s="1"/>
  <c r="E851" i="1" s="1"/>
  <c r="E849" i="1" s="1"/>
  <c r="E848" i="1" l="1"/>
  <c r="E846" i="1" s="1"/>
  <c r="E845" i="1" s="1"/>
  <c r="E844" i="1" s="1"/>
  <c r="E843" i="1" s="1"/>
  <c r="E842" i="1" s="1"/>
  <c r="E841" i="1" s="1"/>
  <c r="E840" i="1" s="1"/>
  <c r="E839" i="1" s="1"/>
  <c r="E838" i="1" s="1"/>
  <c r="E837" i="1" s="1"/>
  <c r="E834" i="1" s="1"/>
  <c r="E832" i="1" s="1"/>
  <c r="E830" i="1" s="1"/>
  <c r="E829" i="1" s="1"/>
  <c r="E828" i="1" s="1"/>
  <c r="E827" i="1" s="1"/>
  <c r="E826" i="1" s="1"/>
  <c r="E825" i="1" s="1"/>
  <c r="E824" i="1" s="1"/>
  <c r="E823" i="1" s="1"/>
  <c r="E822" i="1" s="1"/>
  <c r="E819" i="1" s="1"/>
  <c r="E820" i="1" s="1"/>
  <c r="E821" i="1" s="1"/>
  <c r="E812" i="1" s="1"/>
  <c r="E818" i="1" s="1"/>
  <c r="E817" i="1" s="1"/>
  <c r="E816" i="1" s="1"/>
  <c r="E815" i="1" s="1"/>
  <c r="E814" i="1" s="1"/>
  <c r="E813" i="1" s="1"/>
  <c r="E811" i="1" s="1"/>
  <c r="E809" i="1" s="1"/>
  <c r="E807" i="1" s="1"/>
  <c r="E806" i="1" s="1"/>
  <c r="E805" i="1" s="1"/>
  <c r="E804" i="1" s="1"/>
  <c r="E803" i="1" s="1"/>
  <c r="E801" i="1" s="1"/>
  <c r="E799" i="1" s="1"/>
  <c r="E798" i="1" s="1"/>
  <c r="E797" i="1" s="1"/>
  <c r="E796" i="1" s="1"/>
  <c r="E795" i="1" s="1"/>
  <c r="E794" i="1" s="1"/>
  <c r="E793" i="1" s="1"/>
  <c r="E791" i="1" s="1"/>
  <c r="E788" i="1" s="1"/>
  <c r="E787" i="1" s="1"/>
  <c r="E786" i="1" s="1"/>
  <c r="E783" i="1" s="1"/>
  <c r="E782" i="1" s="1"/>
  <c r="E781" i="1" s="1"/>
  <c r="E780" i="1" s="1"/>
  <c r="E778" i="1" s="1"/>
  <c r="E776" i="1" s="1"/>
  <c r="E775" i="1" s="1"/>
  <c r="E771" i="1" s="1"/>
  <c r="E769" i="1" s="1"/>
  <c r="E765" i="1" s="1"/>
  <c r="E762" i="1" s="1"/>
  <c r="E761" i="1" s="1"/>
  <c r="E759" i="1" s="1"/>
  <c r="E754" i="1" s="1"/>
  <c r="E753" i="1" s="1"/>
  <c r="E752" i="1" s="1"/>
  <c r="E750" i="1" s="1"/>
  <c r="E747" i="1" s="1"/>
  <c r="E746" i="1" s="1"/>
  <c r="E744" i="1" s="1"/>
  <c r="E1554" i="1"/>
  <c r="E833" i="1"/>
  <c r="E630" i="1"/>
  <c r="E96" i="1"/>
  <c r="E95" i="1" s="1"/>
  <c r="E552" i="1"/>
  <c r="E835" i="1"/>
  <c r="E836" i="1" s="1"/>
  <c r="E831" i="1" s="1"/>
  <c r="E1163" i="1"/>
  <c r="E1547" i="1" s="1"/>
  <c r="E2537" i="1" s="1"/>
  <c r="E1681" i="1" s="1"/>
  <c r="E1509" i="1" s="1"/>
  <c r="E1279" i="1" s="1"/>
  <c r="E2452" i="1" s="1"/>
  <c r="E1064" i="1" s="1"/>
  <c r="E1348" i="1" s="1"/>
  <c r="E2456" i="1" s="1"/>
  <c r="E1737" i="1" s="1"/>
  <c r="E2199" i="1" s="1"/>
  <c r="E2144" i="1" s="1"/>
  <c r="E1062" i="1" s="1"/>
  <c r="E2388" i="1" s="1"/>
  <c r="E907" i="1"/>
  <c r="E906" i="1" s="1"/>
  <c r="E940" i="1"/>
  <c r="E939" i="1" s="1"/>
  <c r="E698" i="1"/>
  <c r="E749" i="1"/>
  <c r="E229" i="1"/>
  <c r="E613" i="1"/>
  <c r="E551" i="1"/>
  <c r="E379" i="1"/>
  <c r="E378" i="1" s="1"/>
  <c r="E377" i="1" s="1"/>
  <c r="E376" i="1" s="1"/>
  <c r="E375" i="1" s="1"/>
  <c r="E374" i="1" s="1"/>
  <c r="E373" i="1" s="1"/>
  <c r="E372" i="1" s="1"/>
  <c r="E371" i="1" s="1"/>
  <c r="E370" i="1" s="1"/>
  <c r="E369" i="1" s="1"/>
  <c r="E368" i="1" s="1"/>
  <c r="E367" i="1" s="1"/>
  <c r="E366" i="1" s="1"/>
  <c r="E365" i="1" s="1"/>
  <c r="E364" i="1" s="1"/>
  <c r="E363" i="1" s="1"/>
  <c r="E362" i="1" s="1"/>
  <c r="E361" i="1" s="1"/>
  <c r="E360" i="1" s="1"/>
  <c r="E359" i="1" s="1"/>
  <c r="E358" i="1" s="1"/>
  <c r="E357" i="1" s="1"/>
  <c r="E356" i="1" s="1"/>
  <c r="E355" i="1" s="1"/>
  <c r="E354" i="1" s="1"/>
  <c r="E353" i="1" s="1"/>
  <c r="E352" i="1" s="1"/>
  <c r="E351" i="1" s="1"/>
  <c r="E350" i="1" s="1"/>
  <c r="E349" i="1" s="1"/>
  <c r="E348" i="1" s="1"/>
  <c r="E347" i="1" s="1"/>
  <c r="E346" i="1" s="1"/>
  <c r="E345" i="1" s="1"/>
  <c r="E344" i="1" s="1"/>
  <c r="E337" i="1"/>
  <c r="E336" i="1" s="1"/>
  <c r="E335" i="1" s="1"/>
  <c r="E626" i="1"/>
  <c r="E4" i="1"/>
  <c r="E132" i="1"/>
  <c r="E131" i="1" s="1"/>
  <c r="E467" i="1"/>
  <c r="E228" i="1"/>
  <c r="E227" i="1" s="1"/>
  <c r="E612" i="1"/>
  <c r="E611" i="1" s="1"/>
  <c r="E1034" i="1"/>
  <c r="E1032" i="1" s="1"/>
  <c r="E1025" i="1" s="1"/>
  <c r="E1030" i="1" s="1"/>
  <c r="E1022" i="1" s="1"/>
  <c r="E1057" i="1" s="1"/>
  <c r="E1018" i="1" s="1"/>
  <c r="E1017" i="1" s="1"/>
  <c r="E1020" i="1" s="1"/>
  <c r="E1019" i="1" s="1"/>
  <c r="E1016" i="1" s="1"/>
  <c r="E1014" i="1" s="1"/>
  <c r="E241" i="1"/>
  <c r="E240" i="1" s="1"/>
  <c r="E239" i="1" s="1"/>
  <c r="E571" i="1"/>
  <c r="E570" i="1" s="1"/>
  <c r="E569" i="1" s="1"/>
  <c r="E568" i="1" s="1"/>
  <c r="E567" i="1" s="1"/>
  <c r="E60" i="1"/>
  <c r="E59" i="1" s="1"/>
  <c r="E205" i="1"/>
  <c r="E204" i="1" s="1"/>
  <c r="E203" i="1" s="1"/>
  <c r="E493" i="1"/>
  <c r="E492" i="1" s="1"/>
  <c r="E491" i="1" s="1"/>
  <c r="E770" i="1"/>
  <c r="E120" i="1"/>
  <c r="E119" i="1" s="1"/>
  <c r="E265" i="1"/>
  <c r="E264" i="1" s="1"/>
  <c r="E263" i="1" s="1"/>
  <c r="E139" i="1"/>
  <c r="E138" i="1" s="1"/>
  <c r="E137" i="1" s="1"/>
  <c r="E641" i="1"/>
  <c r="E2243" i="1"/>
  <c r="E2408" i="1" s="1"/>
  <c r="E1912" i="1" s="1"/>
  <c r="E2087" i="1" s="1"/>
  <c r="E1385" i="1" s="1"/>
  <c r="E1568" i="1" s="1"/>
  <c r="E2673" i="1" s="1"/>
  <c r="E2649" i="1" s="1"/>
  <c r="E1661" i="1" s="1"/>
  <c r="E1938" i="1" s="1"/>
  <c r="E1699" i="1" s="1"/>
  <c r="E1557" i="1" s="1"/>
  <c r="E1140" i="1" s="1"/>
  <c r="E2407" i="1" s="1"/>
  <c r="E1977" i="1" s="1"/>
  <c r="E1318" i="1" s="1"/>
  <c r="E1789" i="1" s="1"/>
  <c r="E2104" i="1" s="1"/>
  <c r="E2759" i="1" s="1"/>
  <c r="E1135" i="1" s="1"/>
  <c r="E2157" i="1" s="1"/>
  <c r="E1523" i="1" s="1"/>
  <c r="E1448" i="1" s="1"/>
  <c r="E2189" i="1" s="1"/>
  <c r="E1170" i="1" s="1"/>
  <c r="E2212" i="1" s="1"/>
  <c r="E1355" i="1" s="1"/>
  <c r="E1900" i="1" s="1"/>
  <c r="E1816" i="1" s="1"/>
  <c r="E2668" i="1" s="1"/>
  <c r="E2655" i="1" s="1"/>
  <c r="E1917" i="1" s="1"/>
  <c r="E1438" i="1" s="1"/>
  <c r="E2109" i="1" s="1"/>
  <c r="E1178" i="1" s="1"/>
  <c r="E1053" i="1" s="1"/>
  <c r="E2741" i="1" s="1"/>
  <c r="E2229" i="1" s="1"/>
  <c r="E1677" i="1" s="1"/>
  <c r="E2457" i="1" s="1"/>
  <c r="E1558" i="1" s="1"/>
  <c r="E2676" i="1" s="1"/>
  <c r="E2521" i="1" s="1"/>
  <c r="E2513" i="1" s="1"/>
  <c r="E2278" i="1" s="1"/>
  <c r="E2755" i="1" s="1"/>
  <c r="E2606" i="1" s="1"/>
  <c r="E2627" i="1" s="1"/>
  <c r="E1903" i="1" s="1"/>
  <c r="E2321" i="1" s="1"/>
  <c r="E1179" i="1" s="1"/>
  <c r="E1167" i="1" s="1"/>
  <c r="E2740" i="1" s="1"/>
  <c r="E947" i="1" s="1"/>
  <c r="E2538" i="1" s="1"/>
  <c r="E2453" i="1" s="1"/>
  <c r="E1113" i="1" s="1"/>
  <c r="E1055" i="1" s="1"/>
  <c r="E1980" i="1" s="1"/>
  <c r="E1453" i="1" s="1"/>
  <c r="E2339" i="1" s="1"/>
  <c r="E1284" i="1" s="1"/>
  <c r="E1700" i="1" s="1"/>
  <c r="E2064" i="1" s="1"/>
  <c r="E1061" i="1" s="1"/>
  <c r="E2641" i="1" s="1"/>
  <c r="E2317" i="1" s="1"/>
  <c r="E2355" i="1" s="1"/>
  <c r="E1497" i="1" s="1"/>
  <c r="E1876" i="1" s="1"/>
  <c r="E2658" i="1" s="1"/>
  <c r="E2571" i="1" s="1"/>
  <c r="E1706" i="1" s="1"/>
  <c r="E2745" i="1" s="1"/>
  <c r="E1607" i="1" s="1"/>
  <c r="E2663" i="1" s="1"/>
  <c r="E1344" i="1" s="1"/>
  <c r="E2688" i="1" s="1"/>
  <c r="E1532" i="1" s="1"/>
  <c r="E1358" i="1" s="1"/>
  <c r="E2404" i="1" s="1"/>
  <c r="E2107" i="1" s="1"/>
  <c r="E1955" i="1" s="1"/>
  <c r="E2101" i="1" s="1"/>
  <c r="E2723" i="1" s="1"/>
  <c r="E1457" i="1" s="1"/>
  <c r="E1946" i="1" s="1"/>
  <c r="E1622" i="1" s="1"/>
  <c r="E2611" i="1" s="1"/>
  <c r="E2415" i="1" s="1"/>
  <c r="E1745" i="1" s="1"/>
  <c r="E1328" i="1" s="1"/>
  <c r="E2186" i="1" s="1"/>
  <c r="E1474" i="1" s="1"/>
  <c r="E2169" i="1" s="1"/>
  <c r="E1751" i="1" s="1"/>
  <c r="E1780" i="1" s="1"/>
  <c r="E1967" i="1" s="1"/>
  <c r="E2753" i="1" s="1"/>
  <c r="E2014" i="1" s="1"/>
  <c r="E1376" i="1" s="1"/>
  <c r="E1542" i="1" s="1"/>
  <c r="E2724" i="1" s="1"/>
  <c r="E2340" i="1" s="1"/>
  <c r="E1360" i="1" s="1"/>
  <c r="E2002" i="1" s="1"/>
  <c r="E2528" i="1" s="1"/>
  <c r="E1795" i="1" s="1"/>
  <c r="E952" i="1" s="1"/>
  <c r="E2539" i="1" s="1"/>
  <c r="E1117" i="1" s="1"/>
  <c r="E2148" i="1" s="1"/>
  <c r="E1896" i="1" s="1"/>
  <c r="E2536" i="1" s="1"/>
  <c r="E2359" i="1" s="1"/>
  <c r="E1966" i="1" s="1"/>
  <c r="E1370" i="1" s="1"/>
  <c r="E1519" i="1" s="1"/>
  <c r="E2127" i="1" s="1"/>
  <c r="E2195" i="1" s="1"/>
  <c r="E1742" i="1" s="1"/>
  <c r="E2735" i="1" s="1"/>
  <c r="E2323" i="1" s="1"/>
  <c r="E1286" i="1" s="1"/>
  <c r="E2701" i="1" s="1"/>
  <c r="E2592" i="1" s="1"/>
  <c r="E1243" i="1" s="1"/>
  <c r="E1430" i="1" s="1"/>
  <c r="E1888" i="1" s="1"/>
  <c r="E1164" i="1" s="1"/>
  <c r="E1310" i="1" s="1"/>
  <c r="E1719" i="1" s="1"/>
  <c r="E2429" i="1" s="1"/>
  <c r="E2624" i="1" s="1"/>
  <c r="E2703" i="1" s="1"/>
  <c r="E1349" i="1" s="1"/>
  <c r="E2569" i="1" s="1"/>
  <c r="E2037" i="1" s="1"/>
  <c r="E2700" i="1" s="1"/>
  <c r="E1838" i="1" s="1"/>
  <c r="E1364" i="1" s="1"/>
  <c r="E1561" i="1" s="1"/>
  <c r="E1218" i="1" s="1"/>
  <c r="E1330" i="1" s="1"/>
  <c r="E1590" i="1" s="1"/>
  <c r="E2736" i="1" s="1"/>
  <c r="E1793" i="1" s="1"/>
  <c r="E1216" i="1" s="1"/>
  <c r="E2047" i="1" s="1"/>
  <c r="E1467" i="1" s="1"/>
  <c r="E1060" i="1" s="1"/>
  <c r="E2398" i="1" s="1"/>
  <c r="E1979" i="1" s="1"/>
  <c r="E1757" i="1" s="1"/>
  <c r="E2150" i="1" s="1"/>
  <c r="E1785" i="1" s="1"/>
  <c r="E2117" i="1" s="1"/>
  <c r="E1475" i="1" s="1"/>
  <c r="E1424" i="1" s="1"/>
  <c r="E1899" i="1" s="1"/>
  <c r="E1386" i="1" s="1"/>
  <c r="E2437" i="1" s="1"/>
  <c r="E1712" i="1" s="1"/>
  <c r="E2739" i="1" s="1"/>
  <c r="E1425" i="1" s="1"/>
  <c r="E1150" i="1" s="1"/>
  <c r="E1686" i="1" s="1"/>
  <c r="E1965" i="1" s="1"/>
  <c r="E1468" i="1" s="1"/>
  <c r="E1948" i="1" s="1"/>
  <c r="E2433" i="1" s="1"/>
  <c r="E1950" i="1" s="1"/>
  <c r="E1851" i="1" s="1"/>
  <c r="E2332" i="1" s="1"/>
  <c r="E1729" i="1" s="1"/>
  <c r="E1976" i="1" s="1"/>
  <c r="E1390" i="1" s="1"/>
  <c r="E1682" i="1" s="1"/>
  <c r="E1195" i="1" s="1"/>
  <c r="E2669" i="1" s="1"/>
  <c r="E1480" i="1" s="1"/>
  <c r="E1241" i="1" s="1"/>
  <c r="E1614" i="1" s="1"/>
  <c r="E2461" i="1" s="1"/>
  <c r="E1485" i="1" s="1"/>
  <c r="E1459" i="1" s="1"/>
  <c r="E2013" i="1" s="1"/>
  <c r="E2069" i="1" s="1"/>
  <c r="E2436" i="1" s="1"/>
  <c r="E2499" i="1" s="1"/>
  <c r="E1796" i="1" s="1"/>
  <c r="E2670" i="1" s="1"/>
  <c r="E2334" i="1" s="1"/>
  <c r="E2078" i="1" s="1"/>
  <c r="E2552" i="1" s="1"/>
  <c r="E2005" i="1" s="1"/>
  <c r="E1513" i="1" s="1"/>
  <c r="E1784" i="1" s="1"/>
  <c r="E2271" i="1" s="1"/>
  <c r="E2308" i="1" s="1"/>
  <c r="E2296" i="1" s="1"/>
  <c r="E2369" i="1" s="1"/>
  <c r="E2218" i="1" s="1"/>
  <c r="E2480" i="1" s="1"/>
  <c r="E1516" i="1" s="1"/>
  <c r="E2603" i="1" s="1"/>
  <c r="E2691" i="1" s="1"/>
  <c r="E1394" i="1" s="1"/>
  <c r="E2459" i="1" s="1"/>
  <c r="E1131" i="1" s="1"/>
  <c r="E2593" i="1" s="1"/>
  <c r="E1940" i="1" s="1"/>
  <c r="E1161" i="1" s="1"/>
  <c r="E1323" i="1" s="1"/>
  <c r="E2485" i="1" s="1"/>
  <c r="E1175" i="1" s="1"/>
  <c r="E1997" i="1" s="1"/>
  <c r="E1994" i="1" s="1"/>
  <c r="E1569" i="1" s="1"/>
  <c r="E1483" i="1" s="1"/>
  <c r="E1868" i="1" s="1"/>
  <c r="E1484" i="1" s="1"/>
  <c r="E2742" i="1" s="1"/>
  <c r="E1764" i="1" s="1"/>
  <c r="E1111" i="1" s="1"/>
  <c r="E1691" i="1" s="1"/>
  <c r="E1222" i="1" s="1"/>
  <c r="E2251" i="1" s="1"/>
  <c r="E1399" i="1" s="1"/>
  <c r="E1267" i="1" s="1"/>
  <c r="E1289" i="1" s="1"/>
  <c r="E1301" i="1" s="1"/>
  <c r="E1850" i="1" s="1"/>
  <c r="E2306" i="1" s="1"/>
  <c r="E1433" i="1" s="1"/>
  <c r="E2378" i="1" s="1"/>
  <c r="E2684" i="1" s="1"/>
  <c r="E2348" i="1" s="1"/>
  <c r="E1110" i="1" s="1"/>
  <c r="E1261" i="1" s="1"/>
  <c r="E1777" i="1" s="1"/>
  <c r="E1683" i="1" s="1"/>
  <c r="E2478" i="1" s="1"/>
  <c r="E2284" i="1" s="1"/>
  <c r="E1759" i="1" s="1"/>
  <c r="E1125" i="1" s="1"/>
  <c r="E1929" i="1" s="1"/>
  <c r="E2206" i="1" s="1"/>
  <c r="E2146" i="1" s="1"/>
  <c r="E1564" i="1" s="1"/>
  <c r="E1766" i="1" s="1"/>
  <c r="E2508" i="1" s="1"/>
  <c r="E1881" i="1" s="1"/>
  <c r="E2621" i="1" s="1"/>
  <c r="E2065" i="1" s="1"/>
  <c r="E2633" i="1" s="1"/>
  <c r="E2719" i="1" s="1"/>
  <c r="E2351" i="1" s="1"/>
  <c r="E1229" i="1" s="1"/>
  <c r="E1978" i="1" s="1"/>
  <c r="E2182" i="1" s="1"/>
  <c r="E2118" i="1" s="1"/>
  <c r="E2384" i="1" s="1"/>
  <c r="E1422" i="1" s="1"/>
  <c r="E1992" i="1" s="1"/>
  <c r="E1402" i="1" s="1"/>
  <c r="E2232" i="1" s="1"/>
  <c r="E1530" i="1" s="1"/>
  <c r="E1259" i="1" s="1"/>
  <c r="E2503" i="1" s="1"/>
  <c r="E2638" i="1" s="1"/>
  <c r="E2230" i="1" s="1"/>
  <c r="E1304" i="1" s="1"/>
  <c r="E1707" i="1" s="1"/>
  <c r="E1116" i="1" s="1"/>
  <c r="E2468" i="1" s="1"/>
  <c r="E2705" i="1" s="1"/>
  <c r="E1743" i="1" s="1"/>
  <c r="E1303" i="1" s="1"/>
  <c r="E1299" i="1" s="1"/>
  <c r="E2661" i="1" s="1"/>
  <c r="E2412" i="1" s="1"/>
  <c r="E2616" i="1" s="1"/>
  <c r="E2309" i="1" s="1"/>
  <c r="E1957" i="1" s="1"/>
  <c r="E1200" i="1" s="1"/>
  <c r="E1678" i="1" s="1"/>
  <c r="E2147" i="1" s="1"/>
  <c r="E1454" i="1" s="1"/>
  <c r="E1501" i="1" s="1"/>
  <c r="E2758" i="1" s="1"/>
  <c r="E2259" i="1" s="1"/>
  <c r="E2692" i="1" s="1"/>
  <c r="E2287" i="1" s="1"/>
  <c r="E2583" i="1" s="1"/>
  <c r="E1199" i="1" s="1"/>
  <c r="E1533" i="1" s="1"/>
  <c r="E1189" i="1" s="1"/>
  <c r="E1090" i="1" s="1"/>
  <c r="E1555" i="1" s="1"/>
  <c r="E2060" i="1" s="1"/>
  <c r="E2510" i="1" s="1"/>
  <c r="E1996" i="1" s="1"/>
  <c r="E1162" i="1" s="1"/>
  <c r="E1898" i="1" s="1"/>
  <c r="E1697" i="1" s="1"/>
  <c r="E2714" i="1" s="1"/>
  <c r="E1051" i="1" s="1"/>
  <c r="E1268" i="1" s="1"/>
  <c r="E2713" i="1" s="1"/>
  <c r="E2582" i="1" s="1"/>
  <c r="E1456" i="1" s="1"/>
  <c r="E2349" i="1" s="1"/>
  <c r="E1151" i="1" s="1"/>
  <c r="E1418" i="1" s="1"/>
  <c r="E1563" i="1" s="1"/>
  <c r="E1280" i="1" s="1"/>
  <c r="E2038" i="1" s="1"/>
  <c r="E2501" i="1" s="1"/>
  <c r="E1624" i="1" s="1"/>
  <c r="E1963" i="1" s="1"/>
  <c r="E1287" i="1" s="1"/>
  <c r="E1598" i="1" s="1"/>
  <c r="E1481" i="1" s="1"/>
  <c r="E1964" i="1" s="1"/>
  <c r="E2455" i="1" s="1"/>
  <c r="E2254" i="1" s="1"/>
  <c r="E2439" i="1" s="1"/>
  <c r="E1592" i="1" s="1"/>
  <c r="E2644" i="1" s="1"/>
  <c r="E1947" i="1" s="1"/>
  <c r="E2110" i="1" s="1"/>
  <c r="E2253" i="1" s="1"/>
  <c r="E2133" i="1" s="1"/>
  <c r="E2460" i="1" s="1"/>
  <c r="E1515" i="1" s="1"/>
  <c r="E1605" i="1" s="1"/>
  <c r="E1260" i="1" s="1"/>
  <c r="E1608" i="1" s="1"/>
  <c r="E1233" i="1" s="1"/>
  <c r="E1685" i="1" s="1"/>
  <c r="E1346" i="1" s="1"/>
  <c r="E1713" i="1" s="1"/>
  <c r="E1802" i="1" s="1"/>
  <c r="E2102" i="1" s="1"/>
  <c r="E2492" i="1" s="1"/>
  <c r="E1993" i="1" s="1"/>
  <c r="E1375" i="1" s="1"/>
  <c r="E1227" i="1" s="1"/>
  <c r="E2505" i="1" s="1"/>
  <c r="E2435" i="1" s="1"/>
  <c r="E1548" i="1" s="1"/>
  <c r="E1579" i="1" s="1"/>
  <c r="E1650" i="1" s="1"/>
  <c r="E2543" i="1" s="1"/>
  <c r="E1134" i="1" s="1"/>
  <c r="E1324" i="1" s="1"/>
  <c r="E1710" i="1" s="1"/>
  <c r="E1127" i="1" s="1"/>
  <c r="E2183" i="1" s="1"/>
  <c r="E1692" i="1" s="1"/>
  <c r="E1145" i="1" s="1"/>
  <c r="E1989" i="1" s="1"/>
  <c r="E2180" i="1" s="1"/>
  <c r="E2001" i="1" s="1"/>
  <c r="E2526" i="1" s="1"/>
  <c r="E1747" i="1" s="1"/>
  <c r="E2029" i="1" s="1"/>
  <c r="E1295" i="1" s="1"/>
  <c r="E2467" i="1" s="1"/>
  <c r="E1312" i="1" s="1"/>
  <c r="E2151" i="1" s="1"/>
  <c r="E1273" i="1" s="1"/>
  <c r="E1741" i="1" s="1"/>
  <c r="E2449" i="1" s="1"/>
  <c r="E1219" i="1" s="1"/>
  <c r="E2083" i="1" s="1"/>
  <c r="E2757" i="1" s="1"/>
  <c r="E2720" i="1" s="1"/>
  <c r="E1665" i="1" s="1"/>
  <c r="E2380" i="1" s="1"/>
  <c r="E2356" i="1" s="1"/>
  <c r="E1382" i="1" s="1"/>
  <c r="E2718" i="1" s="1"/>
  <c r="E2128" i="1" s="1"/>
  <c r="E2685" i="1" s="1"/>
  <c r="E2040" i="1" s="1"/>
  <c r="E2497" i="1" s="1"/>
  <c r="E1882" i="1" s="1"/>
  <c r="E1524" i="1" s="1"/>
  <c r="E1891" i="1" s="1"/>
  <c r="E2250" i="1" s="1"/>
  <c r="E2527" i="1" s="1"/>
  <c r="E1333" i="1" s="1"/>
  <c r="E1354" i="1" s="1"/>
  <c r="E1736" i="1" s="1"/>
  <c r="E1215" i="1" s="1"/>
  <c r="E1293" i="1" s="1"/>
  <c r="E2255" i="1" s="1"/>
  <c r="E2748" i="1" s="1"/>
  <c r="E1154" i="1" s="1"/>
  <c r="E2149" i="1" s="1"/>
  <c r="E2406" i="1" s="1"/>
  <c r="E2318" i="1" s="1"/>
  <c r="E2399" i="1" s="1"/>
  <c r="E1786" i="1" s="1"/>
  <c r="E1288" i="1" s="1"/>
  <c r="E2689" i="1" s="1"/>
  <c r="E1809" i="1" s="1"/>
  <c r="E2203" i="1" s="1"/>
  <c r="E2671" i="1" s="1"/>
  <c r="E2121" i="1" s="1"/>
  <c r="E2009" i="1" s="1"/>
  <c r="E2626" i="1" s="1"/>
  <c r="E1930" i="1" s="1"/>
  <c r="E2226" i="1" s="1"/>
  <c r="E1643" i="1" s="1"/>
  <c r="E2744" i="1" s="1"/>
  <c r="E2236" i="1" s="1"/>
  <c r="E2533" i="1" s="1"/>
  <c r="E2213" i="1" s="1"/>
  <c r="E1350" i="1" s="1"/>
  <c r="E1897" i="1" s="1"/>
  <c r="E1024" i="1" s="1"/>
  <c r="E1389" i="1" s="1"/>
  <c r="E2575" i="1" s="1"/>
  <c r="E1552" i="1" s="1"/>
  <c r="E1534" i="1" s="1"/>
  <c r="E2518" i="1" s="1"/>
  <c r="E2734" i="1" s="1"/>
  <c r="E1297" i="1" s="1"/>
  <c r="E1934" i="1" s="1"/>
  <c r="E2176" i="1" s="1"/>
  <c r="E1191" i="1" s="1"/>
  <c r="E1543" i="1" s="1"/>
  <c r="E2192" i="1" s="1"/>
  <c r="E2163" i="1" s="1"/>
  <c r="E1798" i="1" s="1"/>
  <c r="E2424" i="1" s="1"/>
  <c r="E1526" i="1" s="1"/>
  <c r="E1711" i="1" s="1"/>
  <c r="E2139" i="1" s="1"/>
  <c r="E1632" i="1" s="1"/>
  <c r="E1806" i="1" s="1"/>
  <c r="E2347" i="1" s="1"/>
  <c r="E1220" i="1" s="1"/>
  <c r="E1986" i="1" s="1"/>
  <c r="E1115" i="1" s="1"/>
  <c r="E70" i="1"/>
  <c r="E502" i="1"/>
  <c r="E501" i="1" s="1"/>
  <c r="E500" i="1" s="1"/>
  <c r="E499" i="1" s="1"/>
  <c r="E498" i="1" s="1"/>
  <c r="E466" i="1"/>
  <c r="E465" i="1" s="1"/>
  <c r="E464" i="1" s="1"/>
  <c r="E463" i="1" s="1"/>
  <c r="E462" i="1" s="1"/>
  <c r="E461" i="1" s="1"/>
  <c r="E460" i="1" s="1"/>
  <c r="E459" i="1" s="1"/>
  <c r="E458" i="1" s="1"/>
  <c r="E457" i="1" s="1"/>
  <c r="E456" i="1" s="1"/>
  <c r="E455" i="1" s="1"/>
  <c r="E454" i="1" s="1"/>
  <c r="E453" i="1" s="1"/>
  <c r="E452" i="1" s="1"/>
  <c r="E451" i="1" s="1"/>
  <c r="E450" i="1" s="1"/>
  <c r="E449" i="1" s="1"/>
  <c r="E448" i="1" s="1"/>
  <c r="E447" i="1" s="1"/>
  <c r="E446" i="1" s="1"/>
  <c r="E445" i="1" s="1"/>
  <c r="E444" i="1" s="1"/>
  <c r="E443" i="1" s="1"/>
  <c r="E442" i="1" s="1"/>
  <c r="E441" i="1" s="1"/>
  <c r="E440" i="1" s="1"/>
  <c r="E439" i="1" s="1"/>
  <c r="E438" i="1" s="1"/>
  <c r="E437" i="1" s="1"/>
  <c r="E436" i="1" s="1"/>
  <c r="E435" i="1" s="1"/>
  <c r="E434" i="1" s="1"/>
  <c r="E433" i="1" s="1"/>
  <c r="E432" i="1" s="1"/>
  <c r="E431" i="1" s="1"/>
  <c r="E430" i="1" s="1"/>
  <c r="E429" i="1" s="1"/>
  <c r="E428" i="1" s="1"/>
  <c r="E427" i="1" s="1"/>
  <c r="E426" i="1" s="1"/>
  <c r="E425" i="1" s="1"/>
  <c r="E424" i="1" s="1"/>
  <c r="E423" i="1" s="1"/>
  <c r="E422" i="1" s="1"/>
  <c r="E421" i="1" s="1"/>
  <c r="E420" i="1" s="1"/>
  <c r="E419" i="1" s="1"/>
  <c r="E418" i="1" s="1"/>
  <c r="E417" i="1" s="1"/>
  <c r="E416" i="1" s="1"/>
  <c r="E415" i="1" s="1"/>
  <c r="E414" i="1" s="1"/>
  <c r="E413" i="1" s="1"/>
  <c r="E412" i="1" s="1"/>
  <c r="E411" i="1" s="1"/>
  <c r="E410" i="1" s="1"/>
  <c r="E409" i="1" s="1"/>
  <c r="E408" i="1" s="1"/>
  <c r="E407" i="1" s="1"/>
  <c r="E406" i="1" s="1"/>
  <c r="E405" i="1" s="1"/>
  <c r="E404" i="1" s="1"/>
  <c r="E403" i="1" s="1"/>
  <c r="E402" i="1" s="1"/>
  <c r="E401" i="1" s="1"/>
  <c r="E400" i="1" s="1"/>
  <c r="E399" i="1" s="1"/>
  <c r="E398" i="1" s="1"/>
  <c r="E397" i="1" s="1"/>
  <c r="E396" i="1" s="1"/>
  <c r="E395" i="1" s="1"/>
  <c r="E394" i="1" s="1"/>
  <c r="E393" i="1" s="1"/>
  <c r="E392" i="1" s="1"/>
  <c r="E391" i="1" s="1"/>
  <c r="E390" i="1" s="1"/>
  <c r="E389" i="1" s="1"/>
  <c r="E388" i="1" s="1"/>
  <c r="E387" i="1" s="1"/>
  <c r="E386" i="1" s="1"/>
  <c r="E385" i="1" s="1"/>
  <c r="E384" i="1" s="1"/>
  <c r="E1100" i="1"/>
  <c r="E1847" i="1" s="1"/>
  <c r="E1374" i="1" s="1"/>
  <c r="E1620" i="1" s="1"/>
  <c r="E1864" i="1" s="1"/>
  <c r="E1922" i="1" s="1"/>
  <c r="E2477" i="1" s="1"/>
  <c r="E2612" i="1" s="1"/>
  <c r="E1673" i="1" s="1"/>
  <c r="E1392" i="1" s="1"/>
  <c r="E1196" i="1" s="1"/>
  <c r="E1629" i="1" s="1"/>
  <c r="E1744" i="1" s="1"/>
  <c r="E2529" i="1" s="1"/>
  <c r="E2233" i="1" s="1"/>
  <c r="E1476" i="1" s="1"/>
  <c r="E2006" i="1" s="1"/>
  <c r="E1309" i="1" s="1"/>
  <c r="E2185" i="1" s="1"/>
  <c r="E2286" i="1" s="1"/>
  <c r="E2126" i="1" s="1"/>
  <c r="E1705" i="1" s="1"/>
  <c r="E1797" i="1" s="1"/>
  <c r="E1270" i="1" s="1"/>
  <c r="E2674" i="1" s="1"/>
  <c r="E2223" i="1" s="1"/>
  <c r="E1144" i="1" s="1"/>
  <c r="E2540" i="1" s="1"/>
  <c r="E1340" i="1" s="1"/>
  <c r="E1396" i="1" s="1"/>
  <c r="E1935" i="1" s="1"/>
  <c r="E1174" i="1" s="1"/>
  <c r="E1217" i="1" s="1"/>
  <c r="E1834" i="1" s="1"/>
  <c r="E2750" i="1" s="1"/>
  <c r="E1081" i="1" s="1"/>
  <c r="E1783" i="1" s="1"/>
  <c r="E1652" i="1" s="1"/>
  <c r="E2248" i="1" s="1"/>
  <c r="E1527" i="1" s="1"/>
  <c r="E1926" i="1" s="1"/>
  <c r="E1063" i="1" s="1"/>
  <c r="E1653" i="1" s="1"/>
  <c r="E2276" i="1" s="1"/>
  <c r="E1909" i="1" s="1"/>
  <c r="E2056" i="1" s="1"/>
  <c r="E1316" i="1" s="1"/>
  <c r="E1748" i="1" s="1"/>
  <c r="E1586" i="1" s="1"/>
  <c r="E1642" i="1" s="1"/>
  <c r="E2260" i="1" s="1"/>
  <c r="E2563" i="1" s="1"/>
  <c r="E2722" i="1" s="1"/>
  <c r="E1694" i="1" s="1"/>
  <c r="E1274" i="1" s="1"/>
  <c r="E2193" i="1" s="1"/>
  <c r="E1378" i="1" s="1"/>
  <c r="E1372" i="1" s="1"/>
  <c r="E2400" i="1" s="1"/>
  <c r="E1283" i="1" s="1"/>
  <c r="E1810" i="1" s="1"/>
  <c r="E1676" i="1" s="1"/>
  <c r="E2357" i="1" s="1"/>
  <c r="E1528" i="1" s="1"/>
  <c r="E2419" i="1" s="1"/>
  <c r="E1693" i="1" s="1"/>
  <c r="E2245" i="1" s="1"/>
  <c r="E2012" i="1" s="1"/>
  <c r="E2390" i="1" s="1"/>
  <c r="E1858" i="1" s="1"/>
  <c r="E2256" i="1" s="1"/>
  <c r="E2561" i="1" s="1"/>
  <c r="E2568" i="1" s="1"/>
  <c r="E2557" i="1" s="1"/>
  <c r="E1872" i="1" s="1"/>
  <c r="E2292" i="1" s="1"/>
  <c r="E1099" i="1" s="1"/>
  <c r="E2706" i="1" s="1"/>
  <c r="E1172" i="1" s="1"/>
  <c r="E1149" i="1" s="1"/>
  <c r="E1445" i="1" s="1"/>
  <c r="E1597" i="1" s="1"/>
  <c r="E1282" i="1" s="1"/>
  <c r="E1709" i="1" s="1"/>
  <c r="E1857" i="1" s="1"/>
  <c r="E1137" i="1" s="1"/>
  <c r="E2495" i="1" s="1"/>
  <c r="E2491" i="1" s="1"/>
  <c r="E1971" i="1" s="1"/>
  <c r="E2535" i="1" s="1"/>
  <c r="E1416" i="1" s="1"/>
  <c r="E2672" i="1" s="1"/>
  <c r="E1669" i="1" s="1"/>
  <c r="E2145" i="1" s="1"/>
  <c r="E2502" i="1" s="1"/>
  <c r="E1842" i="1" s="1"/>
  <c r="E1762" i="1" s="1"/>
  <c r="E1272" i="1" s="1"/>
  <c r="E1910" i="1" s="1"/>
  <c r="E2067" i="1" s="1"/>
  <c r="E1205" i="1" s="1"/>
  <c r="E2214" i="1" s="1"/>
  <c r="E1794" i="1" s="1"/>
  <c r="E2177" i="1" s="1"/>
  <c r="E1366" i="1" s="1"/>
  <c r="E1716" i="1" s="1"/>
  <c r="E1973" i="1" s="1"/>
  <c r="E2662" i="1" s="1"/>
  <c r="E1679" i="1" s="1"/>
  <c r="E1612" i="1" s="1"/>
  <c r="E1773" i="1" s="1"/>
  <c r="E1177" i="1" s="1"/>
  <c r="E2204" i="1" s="1"/>
  <c r="E2695" i="1" s="1"/>
  <c r="E2042" i="1" s="1"/>
  <c r="E2314" i="1" s="1"/>
  <c r="E1621" i="1" s="1"/>
  <c r="E1674" i="1" s="1"/>
  <c r="E1138" i="1" s="1"/>
  <c r="E1238" i="1" s="1"/>
  <c r="E2666" i="1" s="1"/>
  <c r="E1306" i="1" s="1"/>
  <c r="E1915" i="1" s="1"/>
  <c r="E1739" i="1" s="1"/>
  <c r="E2063" i="1" s="1"/>
  <c r="E2637" i="1" s="1"/>
  <c r="E1472" i="1" s="1"/>
  <c r="E1201" i="1" s="1"/>
  <c r="E2268" i="1" s="1"/>
  <c r="E2634" i="1" s="1"/>
  <c r="E1251" i="1" s="1"/>
  <c r="E2579" i="1" s="1"/>
  <c r="E1849" i="1" s="1"/>
  <c r="E2364" i="1" s="1"/>
  <c r="E1887" i="1" s="1"/>
  <c r="E1465" i="1" s="1"/>
  <c r="E1708" i="1" s="1"/>
  <c r="E2515" i="1" s="1"/>
  <c r="E1769" i="1" s="1"/>
  <c r="E2629" i="1" s="1"/>
  <c r="E2188" i="1" s="1"/>
  <c r="E2555" i="1" s="1"/>
  <c r="E1763" i="1" s="1"/>
  <c r="E2201" i="1" s="1"/>
  <c r="E2620" i="1" s="1"/>
  <c r="E2273" i="1" s="1"/>
  <c r="E1646" i="1" s="1"/>
  <c r="E2746" i="1" s="1"/>
  <c r="E1508" i="1" s="1"/>
  <c r="E2448" i="1" s="1"/>
  <c r="E1648" i="1" s="1"/>
  <c r="E1932" i="1" s="1"/>
  <c r="E1490" i="1" s="1"/>
  <c r="E1856" i="1" s="1"/>
  <c r="E2512" i="1" s="1"/>
  <c r="E1101" i="1" s="1"/>
  <c r="E2238" i="1" s="1"/>
  <c r="E1512" i="1" s="1"/>
  <c r="E1919" i="1" s="1"/>
  <c r="E1353" i="1" s="1"/>
  <c r="E1781" i="1" s="1"/>
  <c r="E1420" i="1" s="1"/>
  <c r="E1326" i="1" s="1"/>
  <c r="E2362" i="1" s="1"/>
  <c r="E2405" i="1" s="1"/>
  <c r="E2094" i="1" s="1"/>
  <c r="E1981" i="1" s="1"/>
  <c r="E2372" i="1" s="1"/>
  <c r="E2283" i="1" s="1"/>
  <c r="E1412" i="1" s="1"/>
  <c r="E1855" i="1" s="1"/>
  <c r="E1664" i="1" s="1"/>
  <c r="E1721" i="1" s="1"/>
  <c r="E1214" i="1" s="1"/>
  <c r="E2416" i="1" s="1"/>
  <c r="E1146" i="1" s="1"/>
  <c r="E2054" i="1" s="1"/>
  <c r="E1332" i="1" s="1"/>
  <c r="E2093" i="1" s="1"/>
  <c r="E1434" i="1" s="1"/>
  <c r="E2576" i="1" s="1"/>
  <c r="E1387" i="1" s="1"/>
  <c r="E1510" i="1" s="1"/>
  <c r="E2472" i="1" s="1"/>
  <c r="E1852" i="1" s="1"/>
  <c r="E2299" i="1" s="1"/>
  <c r="E1441" i="1" s="1"/>
  <c r="E1444" i="1" s="1"/>
  <c r="E1939" i="1" s="1"/>
  <c r="E1839" i="1" s="1"/>
  <c r="E2428" i="1" s="1"/>
  <c r="E1551" i="1" s="1"/>
  <c r="E2154" i="1" s="1"/>
  <c r="E2234" i="1" s="1"/>
  <c r="E2551" i="1" s="1"/>
  <c r="E2600" i="1" s="1"/>
  <c r="E2105" i="1" s="1"/>
  <c r="E1540" i="1" s="1"/>
  <c r="E1126" i="1" s="1"/>
  <c r="E58" i="1"/>
  <c r="E57" i="1" s="1"/>
  <c r="E56" i="1" s="1"/>
  <c r="E55" i="1" s="1"/>
  <c r="E54" i="1" s="1"/>
  <c r="E53" i="1" s="1"/>
  <c r="E52" i="1" s="1"/>
  <c r="E51" i="1" s="1"/>
  <c r="E50" i="1" s="1"/>
  <c r="E49" i="1" s="1"/>
  <c r="E48" i="1" s="1"/>
  <c r="E47" i="1" s="1"/>
  <c r="E46" i="1" s="1"/>
  <c r="E45" i="1" s="1"/>
  <c r="E44" i="1" s="1"/>
  <c r="E43" i="1" s="1"/>
  <c r="E42" i="1" s="1"/>
  <c r="E41" i="1" s="1"/>
  <c r="E40" i="1" s="1"/>
  <c r="E39" i="1" s="1"/>
  <c r="E38" i="1" s="1"/>
  <c r="E37" i="1" s="1"/>
  <c r="E36" i="1" s="1"/>
  <c r="E35" i="1" s="1"/>
  <c r="E94" i="1"/>
  <c r="E93" i="1" s="1"/>
  <c r="E92" i="1" s="1"/>
  <c r="E91" i="1" s="1"/>
  <c r="E90" i="1" s="1"/>
  <c r="E89" i="1" s="1"/>
  <c r="E88" i="1" s="1"/>
  <c r="E87" i="1" s="1"/>
  <c r="E86" i="1" s="1"/>
  <c r="E85" i="1" s="1"/>
  <c r="E84" i="1" s="1"/>
  <c r="E118" i="1"/>
  <c r="E117" i="1" s="1"/>
  <c r="E116" i="1" s="1"/>
  <c r="E115" i="1" s="1"/>
  <c r="E114" i="1" s="1"/>
  <c r="E113" i="1" s="1"/>
  <c r="E112" i="1" s="1"/>
  <c r="E111" i="1" s="1"/>
  <c r="E130" i="1"/>
  <c r="E129" i="1" s="1"/>
  <c r="E128" i="1" s="1"/>
  <c r="E127" i="1" s="1"/>
  <c r="E126" i="1" s="1"/>
  <c r="E125" i="1" s="1"/>
  <c r="E550" i="1"/>
  <c r="E549" i="1" s="1"/>
  <c r="E548" i="1" s="1"/>
  <c r="E547" i="1" s="1"/>
  <c r="E546" i="1" s="1"/>
  <c r="E545" i="1" s="1"/>
  <c r="E544" i="1" s="1"/>
  <c r="E543" i="1" s="1"/>
  <c r="E542" i="1" s="1"/>
  <c r="E541" i="1" s="1"/>
  <c r="E540" i="1" s="1"/>
  <c r="E539" i="1" s="1"/>
  <c r="E538" i="1" s="1"/>
  <c r="E537" i="1" s="1"/>
  <c r="E536" i="1" s="1"/>
  <c r="E535" i="1" s="1"/>
  <c r="E534" i="1" s="1"/>
  <c r="E533" i="1" s="1"/>
  <c r="E532" i="1" s="1"/>
  <c r="E531" i="1" s="1"/>
  <c r="E530" i="1" s="1"/>
  <c r="E529" i="1" s="1"/>
  <c r="E528" i="1" s="1"/>
  <c r="E527" i="1" s="1"/>
  <c r="E526" i="1" s="1"/>
  <c r="E525" i="1" s="1"/>
  <c r="E524" i="1" s="1"/>
  <c r="E523" i="1" s="1"/>
  <c r="E522" i="1" s="1"/>
  <c r="E521" i="1" s="1"/>
  <c r="E520" i="1" s="1"/>
  <c r="E519" i="1" s="1"/>
  <c r="E518" i="1" s="1"/>
  <c r="E1325" i="1"/>
  <c r="E2659" i="1" s="1"/>
  <c r="E2598" i="1" s="1"/>
  <c r="E2215" i="1" s="1"/>
  <c r="E2447" i="1" s="1"/>
  <c r="E1840" i="1" s="1"/>
  <c r="E1696" i="1" s="1"/>
  <c r="E1443" i="1" s="1"/>
  <c r="E2114" i="1" s="1"/>
  <c r="E1811" i="1" s="1"/>
  <c r="E1782" i="1" s="1"/>
  <c r="E1379" i="1" s="1"/>
  <c r="E1404" i="1" s="1"/>
  <c r="E2686" i="1" s="1"/>
  <c r="E2079" i="1" s="1"/>
  <c r="E1517" i="1" s="1"/>
  <c r="E2698" i="1" s="1"/>
  <c r="E2476" i="1" s="1"/>
  <c r="E1603" i="1" s="1"/>
  <c r="E2613" i="1" s="1"/>
  <c r="E2095" i="1" s="1"/>
  <c r="E1771" i="1" s="1"/>
  <c r="E1202" i="1" s="1"/>
  <c r="E2113" i="1" s="1"/>
  <c r="E1298" i="1" s="1"/>
  <c r="E2566" i="1" s="1"/>
  <c r="E2683" i="1" s="1"/>
  <c r="E2342" i="1" s="1"/>
  <c r="E2687" i="1" s="1"/>
  <c r="E2389" i="1" s="1"/>
  <c r="E1944" i="1" s="1"/>
  <c r="E2026" i="1" s="1"/>
  <c r="E2091" i="1" s="1"/>
  <c r="E1413" i="1" s="1"/>
  <c r="E2228" i="1" s="1"/>
  <c r="E1447" i="1" s="1"/>
  <c r="E1728" i="1" s="1"/>
  <c r="E1722" i="1" s="1"/>
  <c r="E1209" i="1" s="1"/>
  <c r="E2035" i="1" s="1"/>
  <c r="E1266" i="1" s="1"/>
  <c r="E2709" i="1" s="1"/>
  <c r="E2493" i="1" s="1"/>
  <c r="E2524" i="1" s="1"/>
  <c r="E1630" i="1" s="1"/>
  <c r="E2704" i="1" s="1"/>
  <c r="E2353" i="1" s="1"/>
  <c r="E1487" i="1" s="1"/>
  <c r="E2377" i="1" s="1"/>
  <c r="E1538" i="1" s="1"/>
  <c r="E2586" i="1" s="1"/>
  <c r="E1933" i="1" s="1"/>
  <c r="E2665" i="1" s="1"/>
  <c r="E2162" i="1" s="1"/>
  <c r="E2368" i="1" s="1"/>
  <c r="E2062" i="1" s="1"/>
  <c r="E2336" i="1" s="1"/>
  <c r="E1244" i="1" s="1"/>
  <c r="E1314" i="1" s="1"/>
  <c r="E2558" i="1" s="1"/>
  <c r="E2017" i="1" s="1"/>
  <c r="E2191" i="1" s="1"/>
  <c r="E2039" i="1" s="1"/>
  <c r="E1831" i="1" s="1"/>
  <c r="E2366" i="1" s="1"/>
  <c r="E1417" i="1" s="1"/>
  <c r="E1655" i="1" s="1"/>
  <c r="E2640" i="1" s="1"/>
  <c r="E1921" i="1" s="1"/>
  <c r="E1234" i="1" s="1"/>
  <c r="E2635" i="1" s="1"/>
  <c r="E1083" i="1" s="1"/>
  <c r="E1962" i="1" s="1"/>
  <c r="E1469" i="1" s="1"/>
  <c r="E1522" i="1" s="1"/>
  <c r="E2589" i="1" s="1"/>
  <c r="E1250" i="1" s="1"/>
  <c r="E2097" i="1" s="1"/>
  <c r="E1108" i="1" s="1"/>
  <c r="E1895" i="1" s="1"/>
  <c r="E1826" i="1" s="1"/>
  <c r="E1894" i="1" s="1"/>
  <c r="E1206" i="1" s="1"/>
  <c r="E1778" i="1" s="1"/>
  <c r="E2489" i="1" s="1"/>
  <c r="E2142" i="1" s="1"/>
  <c r="E1436" i="1" s="1"/>
  <c r="E2707" i="1" s="1"/>
  <c r="E2032" i="1" s="1"/>
  <c r="E1152" i="1" s="1"/>
  <c r="E2496" i="1" s="1"/>
  <c r="E2018" i="1" s="1"/>
  <c r="E1380" i="1" s="1"/>
  <c r="E2240" i="1" s="1"/>
  <c r="E2252" i="1" s="1"/>
  <c r="E2654" i="1" s="1"/>
  <c r="E1969" i="1" s="1"/>
  <c r="E2084" i="1" s="1"/>
  <c r="E1807" i="1" s="1"/>
  <c r="E2462" i="1" s="1"/>
  <c r="E1968" i="1" s="1"/>
  <c r="E2632" i="1" s="1"/>
  <c r="E2370" i="1" s="1"/>
  <c r="E1584" i="1" s="1"/>
  <c r="E2373" i="1" s="1"/>
  <c r="E1331" i="1" s="1"/>
  <c r="E2702" i="1" s="1"/>
  <c r="E1271" i="1" s="1"/>
  <c r="E2153" i="1" s="1"/>
  <c r="E2044" i="1" s="1"/>
  <c r="E2315" i="1" s="1"/>
  <c r="E2393" i="1" s="1"/>
  <c r="E1531" i="1" s="1"/>
  <c r="E1670" i="1" s="1"/>
  <c r="E2500" i="1" s="1"/>
  <c r="E1945" i="1" s="1"/>
  <c r="E2646" i="1" s="1"/>
  <c r="E2694" i="1" s="1"/>
  <c r="E2072" i="1" s="1"/>
  <c r="E1109" i="1" s="1"/>
  <c r="E1651" i="1" s="1"/>
  <c r="E1821" i="1" s="1"/>
  <c r="E1440" i="1" s="1"/>
  <c r="E2138" i="1" s="1"/>
  <c r="E2431" i="1" s="1"/>
  <c r="E2471" i="1" s="1"/>
  <c r="E2450" i="1" s="1"/>
  <c r="E1720" i="1" s="1"/>
  <c r="E1889" i="1" s="1"/>
  <c r="E2197" i="1" s="1"/>
  <c r="E1636" i="1" s="1"/>
  <c r="E1239" i="1" s="1"/>
  <c r="E1808" i="1" s="1"/>
  <c r="E2211" i="1" s="1"/>
  <c r="E2030" i="1" s="1"/>
  <c r="E1341" i="1" s="1"/>
  <c r="E2282" i="1" s="1"/>
  <c r="E1799" i="1" s="1"/>
  <c r="E1240" i="1" s="1"/>
  <c r="E2262" i="1" s="1"/>
  <c r="E1452" i="1" s="1"/>
  <c r="E2170" i="1" s="1"/>
  <c r="E2507" i="1" s="1"/>
  <c r="E1119" i="1" s="1"/>
  <c r="E1761" i="1" s="1"/>
  <c r="E1970" i="1" s="1"/>
  <c r="E2265" i="1" s="1"/>
  <c r="E1248" i="1" s="1"/>
  <c r="E1507" i="1" s="1"/>
  <c r="E1740" i="1" s="1"/>
  <c r="E1166" i="1" s="1"/>
  <c r="E1690" i="1" s="1"/>
  <c r="E2082" i="1" s="1"/>
  <c r="E2335" i="1" s="1"/>
  <c r="E1754" i="1" s="1"/>
  <c r="E2053" i="1" s="1"/>
  <c r="E2466" i="1" s="1"/>
  <c r="E1813" i="1" s="1"/>
  <c r="E2341" i="1" s="1"/>
  <c r="E1334" i="1" s="1"/>
  <c r="E2343" i="1" s="1"/>
  <c r="E2381" i="1" s="1"/>
  <c r="E2594" i="1" s="1"/>
  <c r="E2693" i="1" s="1"/>
  <c r="E1594" i="1" s="1"/>
  <c r="E2319" i="1" s="1"/>
  <c r="E1723" i="1" s="1"/>
  <c r="E1185" i="1" s="1"/>
  <c r="E1159" i="1" s="1"/>
  <c r="E1128" i="1" s="1"/>
  <c r="E2175" i="1" s="1"/>
  <c r="E2036" i="1" s="1"/>
  <c r="E1725" i="1" s="1"/>
  <c r="E1892" i="1" s="1"/>
  <c r="E1186" i="1"/>
  <c r="E1518" i="1" s="1"/>
  <c r="E2324" i="1" s="1"/>
  <c r="E1825" i="1" s="1"/>
  <c r="E2573" i="1" s="1"/>
  <c r="E1835" i="1" s="1"/>
  <c r="E2550" i="1" s="1"/>
  <c r="E2019" i="1" s="1"/>
  <c r="E1361" i="1" s="1"/>
  <c r="E1800" i="1" s="1"/>
  <c r="E1879" i="1" s="1"/>
  <c r="E2432" i="1" s="1"/>
  <c r="E1949" i="1" s="1"/>
  <c r="E1659" i="1" s="1"/>
  <c r="E2111" i="1" s="1"/>
  <c r="E1901" i="1" s="1"/>
  <c r="E2020" i="1" s="1"/>
  <c r="E1193" i="1" s="1"/>
  <c r="E1337" i="1" s="1"/>
  <c r="E1878" i="1" s="1"/>
  <c r="E2607" i="1" s="1"/>
  <c r="E1405" i="1" s="1"/>
  <c r="E2544" i="1" s="1"/>
  <c r="E2207" i="1" s="1"/>
  <c r="E1750" i="1" s="1"/>
  <c r="E1194" i="1" s="1"/>
  <c r="E2141" i="1" s="1"/>
  <c r="E1671" i="1" s="1"/>
  <c r="E1495" i="1" s="1"/>
  <c r="E1207" i="1" s="1"/>
  <c r="E1667" i="1" s="1"/>
  <c r="E2041" i="1" s="1"/>
  <c r="E1321" i="1" s="1"/>
  <c r="E1654" i="1" s="1"/>
  <c r="E2402" i="1" s="1"/>
  <c r="E2152" i="1" s="1"/>
  <c r="E2727" i="1" s="1"/>
  <c r="E1738" i="1" s="1"/>
  <c r="E1928" i="1" s="1"/>
  <c r="E1704" i="1" s="1"/>
  <c r="E2564" i="1" s="1"/>
  <c r="E2610" i="1" s="1"/>
  <c r="E2076" i="1" s="1"/>
  <c r="E1570" i="1" s="1"/>
  <c r="E1103" i="1" s="1"/>
  <c r="E1626" i="1" s="1"/>
  <c r="E1231" i="1" s="1"/>
  <c r="E1461" i="1" s="1"/>
  <c r="E1139" i="1" s="1"/>
  <c r="E1998" i="1" s="1"/>
  <c r="E2304" i="1" s="1"/>
  <c r="E2441" i="1" s="1"/>
  <c r="E1733" i="1" s="1"/>
  <c r="E2628" i="1" s="1"/>
  <c r="E1190" i="1" s="1"/>
  <c r="E2473" i="1" s="1"/>
  <c r="E1595" i="1" s="1"/>
  <c r="E1942" i="1" s="1"/>
  <c r="E2554" i="1" s="1"/>
  <c r="E2547" i="1" s="1"/>
  <c r="E1779" i="1" s="1"/>
  <c r="E1663" i="1" s="1"/>
  <c r="E2004" i="1" s="1"/>
  <c r="E2173" i="1" s="1"/>
  <c r="E2365" i="1" s="1"/>
  <c r="E1871" i="1" s="1"/>
  <c r="E1322" i="1" s="1"/>
  <c r="E1143" i="1" s="1"/>
  <c r="E1546" i="1" s="1"/>
  <c r="E2587" i="1" s="1"/>
  <c r="E2567" i="1" s="1"/>
  <c r="E1221" i="1" s="1"/>
  <c r="E2443" i="1" s="1"/>
  <c r="E2656" i="1" s="1"/>
  <c r="E2166" i="1" s="1"/>
  <c r="E1155" i="1" s="1"/>
  <c r="E2401" i="1" s="1"/>
  <c r="E1415" i="1" s="1"/>
  <c r="E1247" i="1" s="1"/>
  <c r="E1649" i="1" s="1"/>
  <c r="E2160" i="1" s="1"/>
  <c r="E2651" i="1" s="1"/>
  <c r="E2475" i="1" s="1"/>
  <c r="E1269" i="1"/>
  <c r="E1373" i="1" s="1"/>
  <c r="E2498" i="1" s="1"/>
  <c r="E1860" i="1" s="1"/>
  <c r="E2307" i="1" s="1"/>
  <c r="E2743" i="1" s="1"/>
  <c r="E1687" i="1" s="1"/>
  <c r="E1886" i="1" s="1"/>
  <c r="E1537" i="1" s="1"/>
  <c r="E1136" i="1" s="1"/>
  <c r="E1787" i="1" s="1"/>
  <c r="E1803" i="1" s="1"/>
  <c r="E1572" i="1" s="1"/>
  <c r="E2391" i="1" s="1"/>
  <c r="E2623" i="1" s="1"/>
  <c r="E1843" i="1" s="1"/>
  <c r="E2187" i="1" s="1"/>
  <c r="E2168" i="1" s="1"/>
  <c r="E1384" i="1" s="1"/>
  <c r="E2423" i="1" s="1"/>
  <c r="E2352" i="1" s="1"/>
  <c r="E2595" i="1" s="1"/>
  <c r="E1133" i="1" s="1"/>
  <c r="E1611" i="1" s="1"/>
  <c r="E1471" i="1" s="1"/>
  <c r="E2103" i="1" s="1"/>
  <c r="E2715" i="1" s="1"/>
  <c r="E1097" i="1" s="1"/>
  <c r="E1211" i="1" s="1"/>
  <c r="E1171" i="1" s="1"/>
  <c r="E1093" i="1" s="1"/>
  <c r="E1874" i="1" s="1"/>
  <c r="E1388" i="1" s="1"/>
  <c r="E1291" i="1" s="1"/>
  <c r="E1698" i="1" s="1"/>
  <c r="E2630" i="1" s="1"/>
  <c r="E1336" i="1" s="1"/>
  <c r="E1091" i="1" s="1"/>
  <c r="E1830" i="1" s="1"/>
  <c r="E1656" i="1" s="1"/>
  <c r="E943" i="1" s="1"/>
  <c r="E2237" i="1" s="1"/>
  <c r="E1086" i="1" s="1"/>
  <c r="E1916" i="1" s="1"/>
  <c r="E2678" i="1" s="1"/>
  <c r="E2055" i="1" s="1"/>
  <c r="E2754" i="1" s="1"/>
  <c r="E2274" i="1" s="1"/>
  <c r="E1210" i="1" s="1"/>
  <c r="E1157" i="1" s="1"/>
  <c r="E1173" i="1" s="1"/>
  <c r="E1225" i="1" s="1"/>
  <c r="E2071" i="1" s="1"/>
  <c r="E2264" i="1" s="1"/>
  <c r="E2601" i="1" s="1"/>
  <c r="E1680" i="1" s="1"/>
  <c r="E1253" i="1" s="1"/>
  <c r="E2604" i="1" s="1"/>
  <c r="E1419" i="1" s="1"/>
  <c r="E2545" i="1" s="1"/>
  <c r="E2414" i="1" s="1"/>
  <c r="E1927" i="1" s="1"/>
  <c r="E1774" i="1" s="1"/>
  <c r="E1853" i="1" s="1"/>
  <c r="E1772" i="1" s="1"/>
  <c r="E1047" i="1" s="1"/>
  <c r="E2639" i="1" s="1"/>
  <c r="E2729" i="1" s="1"/>
  <c r="E2181" i="1" s="1"/>
  <c r="E1824" i="1" s="1"/>
  <c r="E2061" i="1" s="1"/>
  <c r="E1181" i="1" s="1"/>
  <c r="E2660" i="1" s="1"/>
  <c r="E1428" i="1" s="1"/>
  <c r="E1470" i="1" s="1"/>
  <c r="E1566" i="1" s="1"/>
  <c r="E2190" i="1" s="1"/>
  <c r="E2066" i="1" s="1"/>
  <c r="E1407" i="1" s="1"/>
  <c r="E1638" i="1" s="1"/>
  <c r="E1305" i="1" s="1"/>
  <c r="E1197" i="1" s="1"/>
  <c r="E1958" i="1" s="1"/>
  <c r="E1275" i="1" s="1"/>
  <c r="E2077" i="1" s="1"/>
  <c r="E2045" i="1" s="1"/>
  <c r="E2322" i="1" s="1"/>
  <c r="E2328" i="1" s="1"/>
  <c r="E2570" i="1" s="1"/>
  <c r="E1486" i="1" s="1"/>
  <c r="E1582" i="1" s="1"/>
  <c r="E1875" i="1" s="1"/>
  <c r="E1464" i="1" s="1"/>
  <c r="E1634" i="1" s="1"/>
  <c r="E1258" i="1" s="1"/>
  <c r="E1959" i="1" s="1"/>
  <c r="E1974" i="1" s="1"/>
  <c r="E2553" i="1" s="1"/>
  <c r="E2548" i="1" s="1"/>
  <c r="E1342" i="1" s="1"/>
  <c r="E1684" i="1" s="1"/>
  <c r="E2679" i="1" s="1"/>
  <c r="E1814" i="1" s="1"/>
  <c r="E2098" i="1" s="1"/>
  <c r="E2129" i="1" s="1"/>
  <c r="E1505" i="1" s="1"/>
  <c r="E2057" i="1" s="1"/>
  <c r="E1122" i="1" s="1"/>
  <c r="E1213" i="1" s="1"/>
  <c r="E1588" i="1" s="1"/>
  <c r="E1277" i="1" s="1"/>
  <c r="E1307" i="1" s="1"/>
  <c r="E1890" i="1" s="1"/>
  <c r="E1877" i="1" s="1"/>
  <c r="E2155" i="1" s="1"/>
  <c r="E2123" i="1" s="1"/>
  <c r="E2028" i="1" s="1"/>
  <c r="E2479" i="1" s="1"/>
  <c r="E1862" i="1" s="1"/>
  <c r="E1865" i="1" s="1"/>
  <c r="E2070" i="1" s="1"/>
  <c r="E1609" i="1" s="1"/>
  <c r="E2010" i="1" s="1"/>
  <c r="E1601" i="1" s="1"/>
  <c r="E1918" i="1" s="1"/>
  <c r="E1242" i="1" s="1"/>
  <c r="E1356" i="1" s="1"/>
  <c r="E1255" i="1" s="1"/>
  <c r="E1602" i="1" s="1"/>
  <c r="E2242" i="1" s="1"/>
  <c r="E2409" i="1" s="1"/>
  <c r="E1168" i="1" s="1"/>
  <c r="E2534" i="1" s="1"/>
  <c r="E1746" i="1" s="1"/>
  <c r="E1615" i="1" s="1"/>
  <c r="E2174" i="1" s="1"/>
  <c r="E2572" i="1" s="1"/>
  <c r="E1395" i="1" s="1"/>
  <c r="E1357" i="1" s="1"/>
  <c r="E2269" i="1" s="1"/>
  <c r="E1987" i="1" s="1"/>
  <c r="E2208" i="1" s="1"/>
  <c r="E2682" i="1" s="1"/>
  <c r="E2327" i="1" s="1"/>
  <c r="E1088" i="1" s="1"/>
  <c r="E2363" i="1" s="1"/>
  <c r="E1092" i="1" s="1"/>
  <c r="E2560" i="1" s="1"/>
  <c r="E2732" i="1" s="1"/>
  <c r="E2519" i="1" s="1"/>
  <c r="E1319" i="1" s="1"/>
  <c r="E1435" i="1" s="1"/>
  <c r="E2294" i="1" s="1"/>
  <c r="E1245" i="1" s="1"/>
  <c r="E1264" i="1" s="1"/>
  <c r="E1585" i="1" s="1"/>
  <c r="E1770" i="1" s="1"/>
  <c r="E2075" i="1" s="1"/>
  <c r="E2115" i="1" s="1"/>
  <c r="E2394" i="1" s="1"/>
  <c r="E2546" i="1" s="1"/>
  <c r="E2205" i="1" s="1"/>
  <c r="E1114" i="1" s="1"/>
  <c r="E2690" i="1" s="1"/>
  <c r="E2375" i="1" s="1"/>
  <c r="E1941" i="1" s="1"/>
  <c r="E1079" i="1" s="1"/>
  <c r="E1129" i="1" s="1"/>
  <c r="E201" i="1"/>
  <c r="E200" i="1" s="1"/>
  <c r="E199" i="1" s="1"/>
  <c r="E198" i="1" s="1"/>
  <c r="E197" i="1" s="1"/>
  <c r="E196" i="1" s="1"/>
  <c r="E195" i="1" s="1"/>
  <c r="E194" i="1" s="1"/>
  <c r="E193" i="1" s="1"/>
  <c r="E192" i="1" s="1"/>
  <c r="E191" i="1" s="1"/>
  <c r="E190" i="1" s="1"/>
  <c r="E189" i="1" s="1"/>
  <c r="E188" i="1" s="1"/>
  <c r="E187" i="1" s="1"/>
  <c r="E186" i="1" s="1"/>
  <c r="E185" i="1" s="1"/>
  <c r="E184" i="1" s="1"/>
  <c r="E183" i="1" s="1"/>
  <c r="E182" i="1" s="1"/>
  <c r="E181" i="1" s="1"/>
  <c r="E180" i="1" s="1"/>
  <c r="E179" i="1" s="1"/>
  <c r="E178" i="1" s="1"/>
  <c r="E177" i="1" s="1"/>
  <c r="E176" i="1" s="1"/>
  <c r="E175" i="1" s="1"/>
  <c r="E174" i="1" s="1"/>
  <c r="E173" i="1" s="1"/>
  <c r="E172" i="1" s="1"/>
  <c r="E171" i="1" s="1"/>
  <c r="E170" i="1" s="1"/>
  <c r="E169" i="1" s="1"/>
  <c r="E168" i="1" s="1"/>
  <c r="E167" i="1" s="1"/>
  <c r="E166" i="1" s="1"/>
  <c r="E165" i="1" s="1"/>
  <c r="E164" i="1" s="1"/>
  <c r="E163" i="1" s="1"/>
  <c r="E162" i="1" s="1"/>
  <c r="E161" i="1" s="1"/>
  <c r="E160" i="1" s="1"/>
  <c r="E159" i="1" s="1"/>
  <c r="E158" i="1" s="1"/>
  <c r="E226" i="1"/>
  <c r="E225" i="1" s="1"/>
  <c r="E224" i="1" s="1"/>
  <c r="E223" i="1" s="1"/>
  <c r="E222" i="1" s="1"/>
  <c r="E221" i="1" s="1"/>
  <c r="E220" i="1" s="1"/>
  <c r="E219" i="1" s="1"/>
  <c r="E218" i="1" s="1"/>
  <c r="E217" i="1" s="1"/>
  <c r="E216" i="1" s="1"/>
  <c r="E215" i="1" s="1"/>
  <c r="E214" i="1" s="1"/>
  <c r="E213" i="1" s="1"/>
  <c r="E212" i="1" s="1"/>
  <c r="E211" i="1" s="1"/>
  <c r="E210" i="1" s="1"/>
  <c r="E238" i="1"/>
  <c r="E237" i="1" s="1"/>
  <c r="E236" i="1" s="1"/>
  <c r="E235" i="1" s="1"/>
  <c r="E262" i="1"/>
  <c r="E261" i="1" s="1"/>
  <c r="E260" i="1" s="1"/>
  <c r="E259" i="1" s="1"/>
  <c r="E258" i="1" s="1"/>
  <c r="E257" i="1" s="1"/>
  <c r="E256" i="1" s="1"/>
  <c r="E255" i="1" s="1"/>
  <c r="E254" i="1" s="1"/>
  <c r="E253" i="1" s="1"/>
  <c r="E252" i="1" s="1"/>
  <c r="E251" i="1" s="1"/>
  <c r="E250" i="1" s="1"/>
  <c r="E249" i="1" s="1"/>
  <c r="E248" i="1" s="1"/>
  <c r="E334" i="1"/>
  <c r="E333" i="1" s="1"/>
  <c r="E332" i="1" s="1"/>
  <c r="E331" i="1" s="1"/>
  <c r="E330" i="1" s="1"/>
  <c r="E329" i="1" s="1"/>
  <c r="E328" i="1" s="1"/>
  <c r="E327" i="1" s="1"/>
  <c r="E326" i="1" s="1"/>
  <c r="E325" i="1" s="1"/>
  <c r="E324" i="1" s="1"/>
  <c r="E323" i="1" s="1"/>
  <c r="E322" i="1" s="1"/>
  <c r="E321" i="1" s="1"/>
  <c r="E320" i="1" s="1"/>
  <c r="E319" i="1" s="1"/>
  <c r="E318" i="1" s="1"/>
  <c r="E317" i="1" s="1"/>
  <c r="E316" i="1" s="1"/>
  <c r="E315" i="1" s="1"/>
  <c r="E314" i="1" s="1"/>
  <c r="E313" i="1" s="1"/>
  <c r="E312" i="1" s="1"/>
  <c r="E311" i="1" s="1"/>
  <c r="E310" i="1" s="1"/>
  <c r="E490" i="1"/>
  <c r="E489" i="1" s="1"/>
  <c r="E488" i="1" s="1"/>
  <c r="E487" i="1" s="1"/>
  <c r="E486" i="1" s="1"/>
  <c r="E485" i="1" s="1"/>
  <c r="E484" i="1" s="1"/>
  <c r="E483" i="1" s="1"/>
  <c r="E482" i="1" s="1"/>
  <c r="E481" i="1" s="1"/>
  <c r="E480" i="1" s="1"/>
  <c r="E479" i="1" s="1"/>
  <c r="E478" i="1" s="1"/>
  <c r="E477" i="1" s="1"/>
  <c r="E476" i="1" s="1"/>
  <c r="E475" i="1" s="1"/>
  <c r="E474" i="1" s="1"/>
  <c r="E473" i="1" s="1"/>
  <c r="E472" i="1" s="1"/>
  <c r="E610" i="1"/>
  <c r="E609" i="1" s="1"/>
  <c r="E608" i="1" s="1"/>
  <c r="E607" i="1" s="1"/>
  <c r="E606" i="1" s="1"/>
  <c r="E605" i="1" s="1"/>
  <c r="E604" i="1" s="1"/>
  <c r="E603" i="1" s="1"/>
  <c r="E602" i="1" s="1"/>
  <c r="E601" i="1" s="1"/>
  <c r="E600" i="1" s="1"/>
  <c r="E599" i="1" s="1"/>
  <c r="E598" i="1" s="1"/>
  <c r="E597" i="1" s="1"/>
  <c r="E596" i="1" s="1"/>
  <c r="E595" i="1" s="1"/>
  <c r="E594" i="1" s="1"/>
  <c r="E593" i="1" s="1"/>
  <c r="E592" i="1" s="1"/>
  <c r="E591" i="1" s="1"/>
  <c r="E590" i="1" s="1"/>
  <c r="E589" i="1" s="1"/>
  <c r="E588" i="1" s="1"/>
  <c r="E587" i="1" s="1"/>
  <c r="E586" i="1" s="1"/>
  <c r="E585" i="1" s="1"/>
  <c r="E584" i="1" s="1"/>
  <c r="E583" i="1" s="1"/>
  <c r="E582" i="1" s="1"/>
  <c r="E581" i="1" s="1"/>
  <c r="E580" i="1" s="1"/>
  <c r="E579" i="1" s="1"/>
  <c r="E810" i="1"/>
  <c r="E808" i="1" s="1"/>
  <c r="E802" i="1" s="1"/>
  <c r="E800" i="1" s="1"/>
  <c r="E792" i="1" s="1"/>
  <c r="E789" i="1" s="1"/>
  <c r="E790" i="1" s="1"/>
  <c r="E784" i="1" s="1"/>
  <c r="E785" i="1" s="1"/>
  <c r="E779" i="1" s="1"/>
  <c r="E777" i="1" s="1"/>
  <c r="E774" i="1" s="1"/>
  <c r="E773" i="1" s="1"/>
  <c r="E772" i="1" s="1"/>
  <c r="E768" i="1" s="1"/>
  <c r="E767" i="1" s="1"/>
  <c r="E763" i="1" s="1"/>
  <c r="E764" i="1" s="1"/>
  <c r="E766" i="1" s="1"/>
  <c r="E760" i="1" s="1"/>
  <c r="E758" i="1" s="1"/>
  <c r="E757" i="1" s="1"/>
  <c r="E755" i="1" s="1"/>
  <c r="E756" i="1" s="1"/>
  <c r="E751" i="1" s="1"/>
  <c r="E745" i="1" s="1"/>
  <c r="E748" i="1" s="1"/>
  <c r="E743" i="1" s="1"/>
  <c r="E741" i="1" s="1"/>
  <c r="E742" i="1" s="1"/>
  <c r="E737" i="1" s="1"/>
  <c r="E740" i="1" s="1"/>
  <c r="E736" i="1" s="1"/>
  <c r="E732" i="1" s="1"/>
  <c r="E730" i="1" s="1"/>
  <c r="E731" i="1" s="1"/>
  <c r="E729" i="1" s="1"/>
  <c r="E728" i="1" s="1"/>
  <c r="E726" i="1" s="1"/>
  <c r="E725" i="1" s="1"/>
  <c r="E722" i="1" s="1"/>
  <c r="E718" i="1" s="1"/>
  <c r="E699" i="1" s="1"/>
  <c r="E696" i="1" s="1"/>
  <c r="E694" i="1" s="1"/>
  <c r="E687" i="1" s="1"/>
  <c r="E682" i="1" s="1"/>
  <c r="E681" i="1" s="1"/>
  <c r="E678" i="1" s="1"/>
  <c r="E677" i="1" s="1"/>
  <c r="E675" i="1" s="1"/>
  <c r="E674" i="1" s="1"/>
  <c r="E669" i="1" s="1"/>
  <c r="E670" i="1" s="1"/>
  <c r="E667" i="1" s="1"/>
  <c r="E668" i="1" s="1"/>
  <c r="E666" i="1" s="1"/>
  <c r="E662" i="1" s="1"/>
  <c r="E661" i="1" s="1"/>
  <c r="E664" i="1" s="1"/>
  <c r="E936" i="1"/>
  <c r="E934" i="1" s="1"/>
  <c r="E929" i="1" s="1"/>
  <c r="E927" i="1" s="1"/>
  <c r="E925" i="1" s="1"/>
  <c r="E921" i="1" s="1"/>
  <c r="E919" i="1" s="1"/>
  <c r="E920" i="1" s="1"/>
  <c r="E917" i="1" s="1"/>
  <c r="E912" i="1" s="1"/>
  <c r="E910" i="1" s="1"/>
  <c r="E885" i="1" s="1"/>
  <c r="E884" i="1" s="1"/>
  <c r="E883" i="1" s="1"/>
  <c r="E878" i="1" s="1"/>
  <c r="E877" i="1" s="1"/>
  <c r="E873" i="1" s="1"/>
  <c r="E871" i="1" s="1"/>
  <c r="E867" i="1" s="1"/>
  <c r="E857" i="1" s="1"/>
  <c r="E859" i="1" s="1"/>
  <c r="E860" i="1" s="1"/>
  <c r="E866" i="1" s="1"/>
  <c r="E864" i="1" s="1"/>
  <c r="E850" i="1" s="1"/>
  <c r="E847" i="1" s="1"/>
  <c r="E1187" i="1"/>
  <c r="E2653" i="1" s="1"/>
  <c r="E1983" i="1" s="1"/>
  <c r="E2710" i="1" s="1"/>
  <c r="E1504" i="1" s="1"/>
  <c r="E2130" i="1" s="1"/>
  <c r="E2116" i="1" s="1"/>
  <c r="E1906" i="1" s="1"/>
  <c r="E1645" i="1" s="1"/>
  <c r="E2249" i="1" s="1"/>
  <c r="E1791" i="1" s="1"/>
  <c r="E1905" i="1" s="1"/>
  <c r="E2068" i="1" s="1"/>
  <c r="E296" i="1"/>
  <c r="E295" i="1" s="1"/>
  <c r="E294" i="1" s="1"/>
  <c r="E293" i="1" s="1"/>
  <c r="E292" i="1" s="1"/>
  <c r="E291" i="1" s="1"/>
  <c r="E290" i="1" s="1"/>
  <c r="E289" i="1" s="1"/>
  <c r="E288" i="1" s="1"/>
  <c r="E287" i="1" s="1"/>
  <c r="E286" i="1" s="1"/>
  <c r="E285" i="1" s="1"/>
  <c r="E284" i="1" s="1"/>
  <c r="E283" i="1" s="1"/>
  <c r="E282" i="1" s="1"/>
  <c r="E281" i="1" s="1"/>
  <c r="E280" i="1" s="1"/>
  <c r="E279" i="1" s="1"/>
  <c r="E278" i="1" s="1"/>
  <c r="E277" i="1" s="1"/>
  <c r="E276" i="1" s="1"/>
  <c r="E275" i="1" s="1"/>
  <c r="E274" i="1" s="1"/>
  <c r="E273" i="1" s="1"/>
  <c r="E634" i="1"/>
  <c r="E651" i="1" s="1"/>
  <c r="E648" i="1" s="1"/>
  <c r="E636" i="1" s="1"/>
  <c r="E202" i="1" s="1"/>
  <c r="E646" i="1" s="1"/>
  <c r="E638" i="1" s="1"/>
  <c r="E637" i="1" s="1"/>
  <c r="E18" i="1" s="1"/>
  <c r="E654" i="1" s="1"/>
  <c r="E645" i="1" s="1"/>
  <c r="E635" i="1" s="1"/>
  <c r="E652" i="1" s="1"/>
  <c r="E633" i="1" s="1"/>
  <c r="E642" i="1" s="1"/>
  <c r="E647" i="1" s="1"/>
  <c r="E640" i="1" s="1"/>
  <c r="E3" i="1"/>
  <c r="E676" i="1"/>
  <c r="E702" i="1" s="1"/>
  <c r="E711" i="1" s="1"/>
  <c r="E712" i="1" s="1"/>
  <c r="E899" i="1"/>
  <c r="E908" i="1" s="1"/>
  <c r="E892" i="1" s="1"/>
  <c r="E895" i="1" s="1"/>
  <c r="E890" i="1" s="1"/>
  <c r="E881" i="1" s="1"/>
  <c r="E900" i="1" s="1"/>
  <c r="E898" i="1" s="1"/>
  <c r="E961" i="1"/>
  <c r="E1009" i="1"/>
  <c r="E1007" i="1" s="1"/>
  <c r="E1003" i="1" s="1"/>
  <c r="E997" i="1" s="1"/>
  <c r="E1951" i="1" s="1"/>
  <c r="E996" i="1" s="1"/>
  <c r="E992" i="1" s="1"/>
  <c r="E994" i="1" s="1"/>
  <c r="E998" i="1" s="1"/>
  <c r="E995" i="1" s="1"/>
  <c r="E986" i="1" s="1"/>
  <c r="E988" i="1" s="1"/>
  <c r="E983" i="1" s="1"/>
  <c r="E987" i="1" s="1"/>
  <c r="E981" i="1" s="1"/>
  <c r="E980" i="1" s="1"/>
  <c r="E971" i="1" s="1"/>
  <c r="E978" i="1" s="1"/>
  <c r="E976" i="1" s="1"/>
  <c r="E975" i="1" s="1"/>
  <c r="E974" i="1" s="1"/>
  <c r="E970" i="1" s="1"/>
  <c r="E982" i="1" s="1"/>
  <c r="E969" i="1" s="1"/>
  <c r="E964" i="1" s="1"/>
  <c r="E629" i="1"/>
  <c r="W141" i="23"/>
  <c r="W142" i="23"/>
  <c r="W638" i="23"/>
  <c r="W647" i="23"/>
  <c r="W639" i="23"/>
  <c r="W648" i="23"/>
  <c r="W651" i="23"/>
  <c r="W134" i="23"/>
  <c r="W14" i="23"/>
  <c r="W144" i="23"/>
  <c r="W640" i="23"/>
  <c r="U7" i="30"/>
  <c r="W20" i="23"/>
  <c r="W136" i="23"/>
  <c r="W641" i="23"/>
  <c r="U511" i="30"/>
  <c r="U523" i="30"/>
  <c r="U3202" i="21"/>
  <c r="W135" i="23"/>
  <c r="W147" i="23"/>
  <c r="W15" i="23"/>
  <c r="W16" i="23"/>
  <c r="W137" i="23"/>
  <c r="W642" i="23"/>
  <c r="W646" i="23"/>
  <c r="W138" i="23"/>
  <c r="W643" i="23"/>
  <c r="W649" i="23"/>
  <c r="W17" i="23"/>
  <c r="W10" i="23" s="1"/>
  <c r="W8" i="23" s="1"/>
  <c r="W9" i="23"/>
  <c r="W18" i="23"/>
  <c r="W21" i="23"/>
  <c r="W139" i="23"/>
  <c r="W145" i="23"/>
  <c r="U393" i="30"/>
  <c r="U16" i="30"/>
  <c r="W11" i="23"/>
  <c r="U263" i="30"/>
  <c r="W143" i="23"/>
  <c r="W12" i="23"/>
  <c r="W644" i="23"/>
  <c r="W650" i="23"/>
  <c r="U3208" i="21"/>
  <c r="W13" i="23"/>
  <c r="W19" i="23"/>
  <c r="W140" i="23"/>
  <c r="W146" i="23"/>
  <c r="W645" i="23"/>
  <c r="U144" i="30"/>
  <c r="U8" i="30"/>
  <c r="U17" i="30"/>
  <c r="U20" i="30"/>
  <c r="U133" i="30"/>
  <c r="U145" i="30"/>
  <c r="U264" i="30"/>
  <c r="U394" i="30"/>
  <c r="U512" i="30"/>
  <c r="U524" i="30"/>
  <c r="U3203" i="21"/>
  <c r="U9" i="30"/>
  <c r="U134" i="30"/>
  <c r="U146" i="30"/>
  <c r="U265" i="30"/>
  <c r="U395" i="30"/>
  <c r="U513" i="30"/>
  <c r="U3204" i="21"/>
  <c r="U10" i="30"/>
  <c r="U135" i="30"/>
  <c r="U266" i="30"/>
  <c r="U396" i="30"/>
  <c r="U514" i="30"/>
  <c r="U2606" i="21"/>
  <c r="U2609" i="21"/>
  <c r="U2612" i="21"/>
  <c r="U2615" i="21"/>
  <c r="U2618" i="21"/>
  <c r="U3196" i="21"/>
  <c r="U3205" i="21"/>
  <c r="U11" i="30"/>
  <c r="U136" i="30"/>
  <c r="U267" i="30"/>
  <c r="U385" i="30"/>
  <c r="U397" i="30"/>
  <c r="U515" i="30"/>
  <c r="U3197" i="21"/>
  <c r="U3206" i="21"/>
  <c r="U3209" i="21"/>
  <c r="U12" i="30"/>
  <c r="U18" i="30"/>
  <c r="U137" i="30"/>
  <c r="U268" i="30"/>
  <c r="U386" i="30"/>
  <c r="U398" i="30"/>
  <c r="U516" i="30"/>
  <c r="U3198" i="21"/>
  <c r="U138" i="30"/>
  <c r="U269" i="30"/>
  <c r="U387" i="30"/>
  <c r="U517" i="30"/>
  <c r="U3199" i="21"/>
  <c r="U139" i="30"/>
  <c r="U270" i="30"/>
  <c r="U388" i="30"/>
  <c r="U518" i="30"/>
  <c r="U2607" i="21"/>
  <c r="U2610" i="21"/>
  <c r="U2613" i="21"/>
  <c r="U2616" i="21"/>
  <c r="U3200" i="21"/>
  <c r="U140" i="30"/>
  <c r="U259" i="30"/>
  <c r="U271" i="30"/>
  <c r="U389" i="30"/>
  <c r="U519" i="30"/>
  <c r="U3201" i="21"/>
  <c r="U3207" i="21"/>
  <c r="U13" i="30"/>
  <c r="U19" i="30"/>
  <c r="U141" i="30"/>
  <c r="U260" i="30"/>
  <c r="U272" i="30"/>
  <c r="U390" i="30"/>
  <c r="U520" i="30"/>
  <c r="U14" i="30"/>
  <c r="U142" i="30"/>
  <c r="U261" i="30"/>
  <c r="U391" i="30"/>
  <c r="U521" i="30"/>
  <c r="U15" i="30"/>
  <c r="U143" i="30"/>
  <c r="U262" i="30"/>
  <c r="U392" i="30"/>
  <c r="U522" i="30"/>
  <c r="U2605" i="21"/>
  <c r="U2608" i="21"/>
  <c r="U2611" i="21"/>
  <c r="U2614" i="21"/>
  <c r="U2617" i="21"/>
  <c r="E739" i="1" l="1"/>
  <c r="E738" i="1" s="1"/>
  <c r="E735" i="1" s="1"/>
  <c r="E734" i="1" s="1"/>
  <c r="E727" i="1"/>
  <c r="E724" i="1" s="1"/>
  <c r="E723" i="1" s="1"/>
  <c r="E721" i="1" s="1"/>
  <c r="E720" i="1" s="1"/>
  <c r="E719" i="1" s="1"/>
  <c r="E717" i="1" s="1"/>
  <c r="E716" i="1" s="1"/>
  <c r="E715" i="1" s="1"/>
  <c r="E714" i="1" s="1"/>
  <c r="E713" i="1" s="1"/>
  <c r="E710" i="1" s="1"/>
  <c r="E709" i="1" s="1"/>
  <c r="E708" i="1" s="1"/>
  <c r="E707" i="1" s="1"/>
  <c r="E706" i="1" s="1"/>
  <c r="E705" i="1" s="1"/>
  <c r="E704" i="1" s="1"/>
  <c r="E701" i="1" s="1"/>
  <c r="E700" i="1" s="1"/>
  <c r="E703" i="1" s="1"/>
  <c r="E697" i="1" s="1"/>
  <c r="E695" i="1" s="1"/>
  <c r="E693" i="1" s="1"/>
  <c r="E692" i="1" s="1"/>
  <c r="E691" i="1" s="1"/>
  <c r="E690" i="1" s="1"/>
  <c r="E689" i="1" s="1"/>
  <c r="E688" i="1" s="1"/>
  <c r="E686" i="1" s="1"/>
  <c r="E685" i="1" s="1"/>
  <c r="E684" i="1" s="1"/>
  <c r="E683" i="1" s="1"/>
  <c r="E680" i="1" s="1"/>
  <c r="E679" i="1" s="1"/>
  <c r="E673" i="1" s="1"/>
  <c r="E672" i="1" s="1"/>
  <c r="E671" i="1" s="1"/>
  <c r="E665" i="1" s="1"/>
  <c r="E663" i="1" s="1"/>
  <c r="E660" i="1" s="1"/>
  <c r="E659" i="1" s="1"/>
  <c r="E658" i="1" s="1"/>
  <c r="E657" i="1" s="1"/>
  <c r="E656" i="1" s="1"/>
  <c r="E655" i="1" s="1"/>
  <c r="E653" i="1" s="1"/>
  <c r="E650" i="1" s="1"/>
  <c r="E649" i="1" s="1"/>
  <c r="E644" i="1" s="1"/>
  <c r="E639" i="1" s="1"/>
  <c r="E632" i="1" s="1"/>
  <c r="E631" i="1" s="1"/>
  <c r="E628" i="1" s="1"/>
  <c r="E627" i="1" s="1"/>
  <c r="E625" i="1" s="1"/>
  <c r="E624" i="1" s="1"/>
  <c r="E623" i="1" s="1"/>
  <c r="E2494" i="1"/>
  <c r="E2712" i="1" s="1"/>
  <c r="E2052" i="1" s="1"/>
  <c r="E1148" i="1" s="1"/>
  <c r="E2031" i="1" s="1"/>
  <c r="E1617" i="1" s="1"/>
  <c r="E1343" i="1" s="1"/>
  <c r="E2482" i="1" s="1"/>
  <c r="E1397" i="1" s="1"/>
  <c r="E1541" i="1" s="1"/>
  <c r="E2158" i="1" s="1"/>
  <c r="E2490" i="1" s="1"/>
  <c r="E2580" i="1" s="1"/>
  <c r="E1972" i="1" s="1"/>
  <c r="E2120" i="1" s="1"/>
  <c r="E2303" i="1" s="1"/>
  <c r="E1727" i="1" s="1"/>
  <c r="E1367" i="1" s="1"/>
  <c r="E2132" i="1" s="1"/>
  <c r="E1065" i="1" s="1"/>
  <c r="E2217" i="1" s="1"/>
  <c r="E1815" i="1" s="1"/>
  <c r="E1662" i="1" s="1"/>
  <c r="E2106" i="1" s="1"/>
  <c r="E1749" i="1" s="1"/>
  <c r="E1192" i="1" s="1"/>
  <c r="E1377" i="1" s="1"/>
  <c r="E1224" i="1" s="1"/>
  <c r="E1327" i="1" s="1"/>
  <c r="E1315" i="1" s="1"/>
  <c r="E1591" i="1" s="1"/>
  <c r="E1578" i="1" s="1"/>
  <c r="E1536" i="1" s="1"/>
  <c r="E1141" i="1" s="1"/>
  <c r="E2445" i="1" s="1"/>
  <c r="E1562" i="1" s="1"/>
  <c r="E2122" i="1" s="1"/>
  <c r="E1198" i="1" s="1"/>
  <c r="E2483" i="1" s="1"/>
  <c r="E1776" i="1" s="1"/>
  <c r="E1904" i="1" s="1"/>
  <c r="E2085" i="1" s="1"/>
  <c r="E1085" i="1" s="1"/>
  <c r="E2266" i="1" s="1"/>
  <c r="E1123" i="1" s="1"/>
  <c r="E1613" i="1" s="1"/>
  <c r="E2194" i="1" s="1"/>
  <c r="E2316" i="1" s="1"/>
  <c r="E1442" i="1" s="1"/>
  <c r="E1180" i="1" s="1"/>
  <c r="E2298" i="1" s="1"/>
  <c r="E2333" i="1" s="1"/>
  <c r="E1732" i="1" s="1"/>
  <c r="E2015" i="1" s="1"/>
  <c r="E1212" i="1" s="1"/>
  <c r="E2275" i="1" s="1"/>
  <c r="E1999" i="1" s="1"/>
  <c r="E1347" i="1" s="1"/>
  <c r="E1908" i="1" s="1"/>
  <c r="E1160" i="1" s="1"/>
  <c r="E2016" i="1" s="1"/>
  <c r="E2440" i="1" s="1"/>
  <c r="E1078" i="1" s="1"/>
  <c r="E1812" i="1" s="1"/>
  <c r="E2427" i="1" s="1"/>
  <c r="E2337" i="1" s="1"/>
  <c r="E1381" i="1" s="1"/>
  <c r="E1792" i="1" s="1"/>
  <c r="E2003" i="1" s="1"/>
  <c r="E2024" i="1" s="1"/>
  <c r="E2385" i="1" s="1"/>
  <c r="E2625" i="1" s="1"/>
  <c r="E1990" i="1" s="1"/>
  <c r="E1943" i="1" s="1"/>
  <c r="E1535" i="1" s="1"/>
  <c r="E1788" i="1" s="1"/>
  <c r="E2752" i="1" s="1"/>
  <c r="E1641" i="1" s="1"/>
  <c r="E1147" i="1" s="1"/>
  <c r="E2086" i="1" s="1"/>
  <c r="E2277" i="1" s="1"/>
  <c r="E1961" i="1" s="1"/>
  <c r="E2730" i="1" s="1"/>
  <c r="E2631" i="1" s="1"/>
  <c r="E2358" i="1" s="1"/>
  <c r="E1628" i="1" s="1"/>
  <c r="E2509" i="1" s="1"/>
  <c r="E1596" i="1" s="1"/>
  <c r="E2312" i="1" s="1"/>
  <c r="E2597" i="1" s="1"/>
  <c r="E1599" i="1" s="1"/>
  <c r="E1263" i="1" s="1"/>
  <c r="E1257" i="1" s="1"/>
  <c r="E1052" i="1" s="1"/>
  <c r="E1988" i="1" s="1"/>
  <c r="E1837" i="1" s="1"/>
  <c r="E1640" i="1" s="1"/>
  <c r="E1506" i="1" s="1"/>
  <c r="E1182" i="1" s="1"/>
  <c r="E2209" i="1" s="1"/>
  <c r="E2258" i="1" s="1"/>
  <c r="E2263" i="1" s="1"/>
  <c r="E2421" i="1" s="1"/>
  <c r="E2289" i="1" s="1"/>
  <c r="E2523" i="1" s="1"/>
  <c r="E1153" i="1" s="1"/>
  <c r="E1861" i="1" s="1"/>
  <c r="E2227" i="1" s="1"/>
  <c r="E1082" i="1" s="1"/>
  <c r="E1494" i="1" s="1"/>
  <c r="E1846" i="1" s="1"/>
  <c r="E1226" i="1" s="1"/>
  <c r="E1619" i="1" s="1"/>
  <c r="E1276" i="1" s="1"/>
  <c r="E2615" i="1" s="1"/>
  <c r="E1956" i="1" s="1"/>
  <c r="E1365" i="1" s="1"/>
  <c r="E1953" i="1" s="1"/>
  <c r="E2096" i="1" s="1"/>
  <c r="E2675" i="1" s="1"/>
  <c r="E2000" i="1" s="1"/>
  <c r="E1775" i="1" s="1"/>
  <c r="E1383" i="1" s="1"/>
  <c r="E1731" i="1" s="1"/>
  <c r="E2300" i="1" s="1"/>
  <c r="E1560" i="1" s="1"/>
  <c r="E2164" i="1" s="1"/>
  <c r="E2216" i="1" s="1"/>
  <c r="E1158" i="1" s="1"/>
  <c r="E1565" i="1" s="1"/>
  <c r="E2438" i="1" s="1"/>
  <c r="E1539" i="1" s="1"/>
  <c r="E1403" i="1" s="1"/>
  <c r="E2469" i="1" s="1"/>
  <c r="E1623" i="1" s="1"/>
  <c r="E2737" i="1" s="1"/>
  <c r="E2171" i="1" s="1"/>
  <c r="E1362" i="1" s="1"/>
  <c r="E2281" i="1" s="1"/>
  <c r="E2021" i="1" s="1"/>
  <c r="E2749" i="1" s="1"/>
  <c r="E1817" i="1" s="1"/>
  <c r="E1545" i="1" s="1"/>
  <c r="E2221" i="1" s="1"/>
  <c r="E2614" i="1" s="1"/>
  <c r="E1866" i="1" s="1"/>
  <c r="E2418" i="1" s="1"/>
  <c r="E2652" i="1" s="1"/>
  <c r="E1458" i="1" s="1"/>
  <c r="E2636" i="1" s="1"/>
  <c r="E1730" i="1" s="1"/>
  <c r="E2577" i="1" s="1"/>
  <c r="E1544" i="1" s="1"/>
  <c r="E1760" i="1" s="1"/>
  <c r="E2590" i="1" s="1"/>
  <c r="E2220" i="1" s="1"/>
  <c r="E2642" i="1" s="1"/>
  <c r="E2022" i="1" s="1"/>
  <c r="E1574" i="1" s="1"/>
  <c r="E1975" i="1" s="1"/>
  <c r="E2717" i="1" s="1"/>
  <c r="E2051" i="1" s="1"/>
  <c r="E2647" i="1" s="1"/>
  <c r="E2143" i="1" s="1"/>
  <c r="E1702" i="1" s="1"/>
  <c r="E1520" i="1" s="1"/>
  <c r="E2090" i="1" s="1"/>
  <c r="E2338" i="1" s="1"/>
  <c r="E1489" i="1" s="1"/>
  <c r="E1991" i="1" s="1"/>
  <c r="E1647" i="1" s="1"/>
  <c r="E2261" i="1" s="1"/>
  <c r="E2681" i="1" s="1"/>
  <c r="E2344" i="1" s="1"/>
  <c r="E2219" i="1" s="1"/>
  <c r="E2410" i="1" s="1"/>
  <c r="E2048" i="1" s="1"/>
  <c r="E2184" i="1" s="1"/>
  <c r="E2486" i="1" s="1"/>
  <c r="E1188" i="1" s="1"/>
  <c r="E1503" i="1" s="1"/>
  <c r="E2584" i="1" s="1"/>
  <c r="E2413" i="1" s="1"/>
  <c r="E2464" i="1" s="1"/>
  <c r="E2202" i="1" s="1"/>
  <c r="E1368" i="1" s="1"/>
  <c r="E1885" i="1" s="1"/>
  <c r="E2726" i="1" s="1"/>
  <c r="E2451" i="1" s="1"/>
  <c r="E1688" i="1" s="1"/>
  <c r="E2008" i="1" s="1"/>
  <c r="E1567" i="1" s="1"/>
  <c r="E1118" i="1" s="1"/>
  <c r="E1735" i="1" s="1"/>
  <c r="E2073" i="1" s="1"/>
  <c r="E1995" i="1" s="1"/>
  <c r="E2108" i="1" s="1"/>
  <c r="E1836" i="1" s="1"/>
  <c r="E1854" i="1" s="1"/>
  <c r="E1156" i="1" s="1"/>
  <c r="E2100" i="1" s="1"/>
  <c r="E2329" i="1" s="1"/>
  <c r="E1339" i="1" s="1"/>
  <c r="E2297" i="1" s="1"/>
  <c r="E2397" i="1" s="1"/>
  <c r="E1577" i="1" s="1"/>
  <c r="E1499" i="1" s="1"/>
  <c r="E950" i="1" s="1"/>
  <c r="E2156" i="1" s="1"/>
  <c r="E2619" i="1" s="1"/>
  <c r="E2386" i="1" s="1"/>
  <c r="E2574" i="1" s="1"/>
  <c r="E1672" i="1" s="1"/>
  <c r="E1936" i="1" s="1"/>
  <c r="E1256" i="1" s="1"/>
  <c r="E1477" i="1" s="1"/>
  <c r="E2379" i="1" s="1"/>
  <c r="E1409" i="1" s="1"/>
  <c r="E2425" i="1" s="1"/>
  <c r="E1050" i="1" s="1"/>
  <c r="E1431" i="1" s="1"/>
  <c r="E1308" i="1" s="1"/>
  <c r="E1911" i="1" s="1"/>
  <c r="E2043" i="1" s="1"/>
  <c r="E2454" i="1" s="1"/>
  <c r="E2581" i="1" s="1"/>
  <c r="E1767" i="1" s="1"/>
  <c r="E1848" i="1" s="1"/>
  <c r="E1112" i="1" s="1"/>
  <c r="E2559" i="1" s="1"/>
  <c r="E1491" i="1" s="1"/>
  <c r="E2326" i="1" s="1"/>
  <c r="E2092" i="1" s="1"/>
  <c r="E1400" i="1" s="1"/>
  <c r="E2167" i="1" s="1"/>
  <c r="E1492" i="1" s="1"/>
  <c r="E1717" i="1" s="1"/>
  <c r="E2112" i="1" s="1"/>
  <c r="E2650" i="1" s="1"/>
  <c r="E2383" i="1" s="1"/>
  <c r="E1923" i="1" s="1"/>
  <c r="E1130" i="1" s="1"/>
  <c r="E1525" i="1" s="1"/>
  <c r="E2198" i="1" s="1"/>
  <c r="E2618" i="1" s="1"/>
  <c r="E1462" i="1" s="1"/>
  <c r="E2165" i="1" s="1"/>
  <c r="E2411" i="1" s="1"/>
  <c r="E2645" i="1" s="1"/>
  <c r="E1056" i="1" s="1"/>
  <c r="U21" i="30"/>
  <c r="U3210" i="21"/>
  <c r="U147" i="30"/>
  <c r="W22" i="23"/>
  <c r="U399" i="30"/>
  <c r="U525" i="30"/>
  <c r="U273" i="30"/>
  <c r="W652" i="23"/>
  <c r="U2619" i="21"/>
  <c r="W148" i="23"/>
  <c r="E733" i="1" l="1"/>
  <c r="E1089" i="1"/>
  <c r="E1873" i="1" s="1"/>
  <c r="E1106" i="1" s="1"/>
  <c r="E1571" i="1" s="1"/>
  <c r="E1208" i="1" s="1"/>
  <c r="E1176" i="1" s="1"/>
  <c r="E1829" i="1" s="1"/>
  <c r="E1026" i="1" s="1"/>
  <c r="E1724" i="1" s="1"/>
  <c r="E1553" i="1" s="1"/>
  <c r="E1550" i="1" s="1"/>
  <c r="E1844" i="1" s="1"/>
  <c r="E2288" i="1" s="1"/>
  <c r="E2648" i="1" s="1"/>
  <c r="E1479" i="1" s="1"/>
  <c r="E2541" i="1" s="1"/>
  <c r="E1689" i="1" s="1"/>
  <c r="E935" i="1" s="1"/>
  <c r="E2140" i="1"/>
  <c r="E2532" i="1" s="1"/>
  <c r="E1657" i="1" s="1"/>
  <c r="E1805" i="1" s="1"/>
  <c r="E2272" i="1" s="1"/>
  <c r="E2751" i="1" s="1"/>
  <c r="E1606" i="1" s="1"/>
  <c r="E1338" i="1" s="1"/>
  <c r="E2310" i="1" s="1"/>
  <c r="E2426" i="1" s="1"/>
  <c r="E2396" i="1" s="1"/>
  <c r="E1421" i="1" s="1"/>
  <c r="E1281" i="1" s="1"/>
  <c r="E2470" i="1" s="1"/>
  <c r="E2330" i="1" s="1"/>
  <c r="E2562" i="1" s="1"/>
  <c r="E1451" i="1" s="1"/>
  <c r="E1204" i="1" s="1"/>
  <c r="E2119" i="1" s="1"/>
  <c r="E2136" i="1" s="1"/>
  <c r="E2731" i="1" s="1"/>
  <c r="E2487" i="1" s="1"/>
  <c r="E1406" i="1" s="1"/>
  <c r="E2664" i="1" s="1"/>
  <c r="E2244" i="1" s="1"/>
  <c r="E2290" i="1" s="1"/>
  <c r="E2699" i="1" s="1"/>
  <c r="E2747" i="1" s="1"/>
  <c r="E2080" i="1" s="1"/>
  <c r="E1311" i="1" s="1"/>
  <c r="E1429" i="1" s="1"/>
  <c r="E1313" i="1" s="1"/>
  <c r="E1841" i="1" s="1"/>
  <c r="E1493" i="1" s="1"/>
  <c r="E2235" i="1" s="1"/>
  <c r="E2088" i="1" s="1"/>
  <c r="E1982" i="1" s="1"/>
  <c r="E1583" i="1" s="1"/>
  <c r="E2696" i="1" s="1"/>
  <c r="E1292" i="1" s="1"/>
  <c r="E1121" i="1" s="1"/>
  <c r="E622" i="1"/>
  <c r="E621" i="1" s="1"/>
  <c r="E620" i="1" s="1"/>
  <c r="E619" i="1" s="1"/>
  <c r="K2412" i="21"/>
  <c r="K2414" i="21"/>
  <c r="J2506" i="21"/>
  <c r="J2502" i="21"/>
  <c r="J2500" i="21"/>
  <c r="J2504" i="21"/>
  <c r="J2505" i="21"/>
  <c r="J2501" i="21"/>
  <c r="K2410" i="21"/>
  <c r="K2411" i="21"/>
  <c r="E2178" i="1" l="1"/>
  <c r="E1203" i="1" s="1"/>
  <c r="E1500" i="1" s="1"/>
  <c r="E1183" i="1" s="1"/>
  <c r="E2034" i="1" s="1"/>
  <c r="E1432" i="1" s="1"/>
  <c r="E2302" i="1" s="1"/>
  <c r="E1823" i="1" s="1"/>
  <c r="E2657" i="1" s="1"/>
  <c r="E1449" i="1" s="1"/>
  <c r="E2371" i="1" s="1"/>
  <c r="E1228" i="1" s="1"/>
  <c r="E2733" i="1" s="1"/>
  <c r="E1478" i="1" s="1"/>
  <c r="E2124" i="1" s="1"/>
  <c r="E1393" i="1" s="1"/>
  <c r="E1734" i="1" s="1"/>
  <c r="E1593" i="1" s="1"/>
  <c r="E2023" i="1" s="1"/>
  <c r="E2241" i="1" s="1"/>
  <c r="E1132" i="1" s="1"/>
  <c r="E1984" i="1" s="1"/>
  <c r="E1863" i="1" s="1"/>
  <c r="E1098" i="1" s="1"/>
  <c r="E1232" i="1" s="1"/>
  <c r="E1610" i="1" s="1"/>
  <c r="E1254" i="1" s="1"/>
  <c r="E1576" i="1" s="1"/>
  <c r="E2728" i="1" s="1"/>
  <c r="E1660" i="1" s="1"/>
  <c r="E1096" i="1" s="1"/>
  <c r="E1317" i="1" s="1"/>
  <c r="E1369" i="1" s="1"/>
  <c r="E1870" i="1" s="1"/>
  <c r="E2738" i="1" s="1"/>
  <c r="E1556" i="1" s="1"/>
  <c r="E1054" i="1" s="1"/>
  <c r="E1463" i="1" s="1"/>
  <c r="E2301" i="1" s="1"/>
  <c r="E1714" i="1" s="1"/>
  <c r="E2125" i="1" s="1"/>
  <c r="E1726" i="1" s="1"/>
  <c r="E2430" i="1" s="1"/>
  <c r="E2596" i="1" s="1"/>
  <c r="E1790" i="1" s="1"/>
  <c r="E2643" i="1" s="1"/>
  <c r="E1414" i="1" s="1"/>
  <c r="E1804" i="1" s="1"/>
  <c r="E1320" i="1" s="1"/>
  <c r="E2608" i="1" s="1"/>
  <c r="E1437" i="1" s="1"/>
  <c r="E1290" i="1" s="1"/>
  <c r="E2267" i="1" s="1"/>
  <c r="E2517" i="1" s="1"/>
  <c r="E2511" i="1" s="1"/>
  <c r="E1029" i="1" s="1"/>
  <c r="E2556" i="1" s="1"/>
  <c r="E2305" i="1" s="1"/>
  <c r="E1758" i="1" s="1"/>
  <c r="E2137" i="1" s="1"/>
  <c r="E2074" i="1" s="1"/>
  <c r="E1756" i="1" s="1"/>
  <c r="E1985" i="1" s="1"/>
  <c r="E2522" i="1" s="1"/>
  <c r="E2059" i="1" s="1"/>
  <c r="E2270" i="1" s="1"/>
  <c r="E2293" i="1" s="1"/>
  <c r="E2376" i="1" s="1"/>
  <c r="E1502" i="1" s="1"/>
  <c r="E1223" i="1" s="1"/>
  <c r="E2313" i="1" s="1"/>
  <c r="E1466" i="1" s="1"/>
  <c r="E2403" i="1" s="1"/>
  <c r="E1329" i="1" s="1"/>
  <c r="E1104" i="1" s="1"/>
  <c r="E1822" i="1" s="1"/>
  <c r="E1819" i="1" s="1"/>
  <c r="E2531" i="1" s="1"/>
  <c r="E1701" i="1" s="1"/>
  <c r="E1913" i="1" s="1"/>
  <c r="E1446" i="1" s="1"/>
  <c r="E2089" i="1" s="1"/>
  <c r="E1575" i="1" s="1"/>
  <c r="E1142" i="1" s="1"/>
  <c r="E2463" i="1" s="1"/>
  <c r="E1902" i="1" s="1"/>
  <c r="E2382" i="1" s="1"/>
  <c r="E2602" i="1" s="1"/>
  <c r="E2605" i="1" s="1"/>
  <c r="E1703" i="1" s="1"/>
  <c r="E2011" i="1" s="1"/>
  <c r="E1084" i="1" s="1"/>
  <c r="E2446" i="1" s="1"/>
  <c r="E2360" i="1" s="1"/>
  <c r="E2025" i="1" s="1"/>
  <c r="E1920" i="1" s="1"/>
  <c r="E1931" i="1" s="1"/>
  <c r="E2422" i="1" s="1"/>
  <c r="E1488" i="1" s="1"/>
  <c r="E1618" i="1" s="1"/>
  <c r="E1352" i="1" s="1"/>
  <c r="E2099" i="1" s="1"/>
  <c r="E1559" i="1" s="1"/>
  <c r="E2677" i="1" s="1"/>
  <c r="E2131" i="1" s="1"/>
  <c r="E1753" i="1" s="1"/>
  <c r="E1715" i="1" s="1"/>
  <c r="E1094" i="1" s="1"/>
  <c r="E1675" i="1" s="1"/>
  <c r="E2172" i="1" s="1"/>
  <c r="E1549" i="1" s="1"/>
  <c r="E1521" i="1" s="1"/>
  <c r="E2444" i="1" s="1"/>
  <c r="E2231" i="1" s="1"/>
  <c r="E1631" i="1" s="1"/>
  <c r="E1411" i="1" s="1"/>
  <c r="E2697" i="1" s="1"/>
  <c r="E2279" i="1" s="1"/>
  <c r="E2367" i="1" s="1"/>
  <c r="E2530" i="1" s="1"/>
  <c r="E2361" i="1" s="1"/>
  <c r="E2346" i="1" s="1"/>
  <c r="E1351" i="1" s="1"/>
  <c r="E2591" i="1" s="1"/>
  <c r="E2585" i="1" s="1"/>
  <c r="E1473" i="1" s="1"/>
  <c r="E2354" i="1" s="1"/>
  <c r="E1869" i="1" s="1"/>
  <c r="E1423" i="1" s="1"/>
  <c r="E2725" i="1" s="1"/>
  <c r="E1937" i="1" s="1"/>
  <c r="E1246" i="1" s="1"/>
  <c r="E1765" i="1" s="1"/>
  <c r="E1604" i="1" s="1"/>
  <c r="E1401" i="1" s="1"/>
  <c r="E1867" i="1" s="1"/>
  <c r="E1278" i="1" s="1"/>
  <c r="E2224" i="1" s="1"/>
  <c r="E1581" i="1" s="1"/>
  <c r="E2081" i="1" s="1"/>
  <c r="E1639" i="1" s="1"/>
  <c r="E1371" i="1" s="1"/>
  <c r="E2311" i="1" s="1"/>
  <c r="E2222" i="1" s="1"/>
  <c r="E2520" i="1" s="1"/>
  <c r="E1511" i="1" s="1"/>
  <c r="E2246" i="1" s="1"/>
  <c r="E1249" i="1" s="1"/>
  <c r="E1952" i="1" s="1"/>
  <c r="E1107" i="1" s="1"/>
  <c r="E1914" i="1" s="1"/>
  <c r="E2417" i="1" s="1"/>
  <c r="E1635" i="1" s="1"/>
  <c r="E2134" i="1" s="1"/>
  <c r="E2225" i="1" s="1"/>
  <c r="E1265" i="1" s="1"/>
  <c r="E1391" i="1" s="1"/>
  <c r="E2239" i="1" s="1"/>
  <c r="E1102" i="1" s="1"/>
  <c r="E1398" i="1" s="1"/>
  <c r="E1169" i="1" s="1"/>
  <c r="E2257" i="1" s="1"/>
  <c r="E2708" i="1" s="1"/>
  <c r="E1666" i="1" s="1"/>
  <c r="E1046" i="1" s="1"/>
  <c r="E1044" i="1" s="1"/>
  <c r="E1043" i="1" s="1"/>
  <c r="E1042" i="1" s="1"/>
  <c r="E618" i="1"/>
  <c r="E617" i="1" s="1"/>
  <c r="E616" i="1" s="1"/>
  <c r="E615" i="1" s="1"/>
  <c r="E614" i="1" s="1"/>
  <c r="E578" i="1" s="1"/>
  <c r="E577" i="1" s="1"/>
  <c r="E576" i="1" s="1"/>
  <c r="E575" i="1" s="1"/>
  <c r="E574" i="1" s="1"/>
  <c r="E573" i="1" s="1"/>
  <c r="E572" i="1" s="1"/>
  <c r="E566" i="1" s="1"/>
  <c r="E565" i="1" s="1"/>
  <c r="E564" i="1" s="1"/>
  <c r="E563" i="1" s="1"/>
  <c r="E562" i="1" s="1"/>
  <c r="E561" i="1" s="1"/>
  <c r="E560" i="1" s="1"/>
  <c r="E559" i="1" s="1"/>
  <c r="E558" i="1" s="1"/>
  <c r="E557" i="1" s="1"/>
  <c r="J2496" i="21"/>
  <c r="U2435" i="21"/>
  <c r="U2439" i="21" s="1"/>
  <c r="E1036" i="1" l="1"/>
  <c r="E556" i="1"/>
  <c r="E555" i="1" s="1"/>
  <c r="E554" i="1" s="1"/>
  <c r="E553" i="1" s="1"/>
  <c r="E517" i="1" s="1"/>
  <c r="E516" i="1" s="1"/>
  <c r="E515" i="1" s="1"/>
  <c r="E514" i="1" s="1"/>
  <c r="E513" i="1" s="1"/>
  <c r="E512" i="1" s="1"/>
  <c r="E511" i="1" s="1"/>
  <c r="E510" i="1" s="1"/>
  <c r="C2496" i="21"/>
  <c r="O2496" i="21"/>
  <c r="E509" i="1" l="1"/>
  <c r="E508" i="1" s="1"/>
  <c r="E507" i="1" s="1"/>
  <c r="E506" i="1"/>
  <c r="E505" i="1" s="1"/>
  <c r="E504" i="1" s="1"/>
  <c r="E503" i="1" s="1"/>
  <c r="E497" i="1" s="1"/>
  <c r="E496" i="1" s="1"/>
  <c r="E495" i="1" s="1"/>
  <c r="E494" i="1" s="1"/>
  <c r="E471" i="1" s="1"/>
  <c r="E470" i="1" s="1"/>
  <c r="E469" i="1" s="1"/>
  <c r="E468" i="1" s="1"/>
  <c r="E383" i="1" s="1"/>
  <c r="E382" i="1" s="1"/>
  <c r="E381" i="1" s="1"/>
  <c r="E380" i="1" s="1"/>
  <c r="E343" i="1" s="1"/>
  <c r="E342" i="1" s="1"/>
  <c r="E341" i="1" s="1"/>
  <c r="E340" i="1" s="1"/>
  <c r="E339" i="1" s="1"/>
  <c r="I2228" i="21"/>
  <c r="I2192" i="21"/>
  <c r="I2219" i="21"/>
  <c r="I2158" i="21"/>
  <c r="I2229" i="21"/>
  <c r="I2156" i="21"/>
  <c r="I2218" i="21"/>
  <c r="I2230" i="21"/>
  <c r="I2159" i="21"/>
  <c r="I2200" i="21"/>
  <c r="I2212" i="21"/>
  <c r="I2231" i="21"/>
  <c r="I2193" i="21"/>
  <c r="I2174" i="21"/>
  <c r="I2237" i="21"/>
  <c r="I2198" i="21"/>
  <c r="I2232" i="21"/>
  <c r="I2177" i="21"/>
  <c r="I2162" i="21"/>
  <c r="I2164" i="21"/>
  <c r="I2182" i="21"/>
  <c r="I2196" i="21"/>
  <c r="I2236" i="21"/>
  <c r="I2199" i="21"/>
  <c r="I2195" i="21"/>
  <c r="I2183" i="21"/>
  <c r="I2180" i="21"/>
  <c r="I2235" i="21"/>
  <c r="I2217" i="21"/>
  <c r="I2216" i="21"/>
  <c r="I2175" i="21"/>
  <c r="I2234" i="21"/>
  <c r="I2214" i="21"/>
  <c r="I2211" i="21"/>
  <c r="I2181" i="21"/>
  <c r="I2178" i="21"/>
  <c r="I2194" i="21"/>
  <c r="I2176" i="21"/>
  <c r="I2213" i="21"/>
  <c r="I2160" i="21"/>
  <c r="I2157" i="21"/>
  <c r="I2201" i="21"/>
  <c r="I2163" i="21"/>
  <c r="I2210" i="21"/>
  <c r="I2165" i="21"/>
  <c r="E338" i="1" l="1"/>
  <c r="E309" i="1" s="1"/>
  <c r="E308" i="1" s="1"/>
  <c r="E307" i="1" s="1"/>
  <c r="E306" i="1" s="1"/>
  <c r="E305" i="1" s="1"/>
  <c r="E304" i="1" s="1"/>
  <c r="E303" i="1" s="1"/>
  <c r="E302" i="1" s="1"/>
  <c r="E301" i="1" s="1"/>
  <c r="E300" i="1" s="1"/>
  <c r="E299" i="1" s="1"/>
  <c r="E298" i="1" s="1"/>
  <c r="E297" i="1" s="1"/>
  <c r="E233" i="1"/>
  <c r="E232" i="1" s="1"/>
  <c r="E231" i="1" s="1"/>
  <c r="E230" i="1" s="1"/>
  <c r="I2208" i="21"/>
  <c r="O2208" i="21" s="1"/>
  <c r="I2154" i="21"/>
  <c r="I2172" i="21"/>
  <c r="O2172" i="21" s="1"/>
  <c r="I2190" i="21"/>
  <c r="O2190" i="21" s="1"/>
  <c r="I2226" i="21"/>
  <c r="O2226" i="21" s="1"/>
  <c r="E272" i="1" l="1"/>
  <c r="E271" i="1" s="1"/>
  <c r="E270" i="1" s="1"/>
  <c r="E269" i="1" s="1"/>
  <c r="E268" i="1" s="1"/>
  <c r="E267" i="1" s="1"/>
  <c r="E266" i="1" s="1"/>
  <c r="E247" i="1" s="1"/>
  <c r="E246" i="1" s="1"/>
  <c r="E245" i="1" s="1"/>
  <c r="E244" i="1" s="1"/>
  <c r="E243" i="1" s="1"/>
  <c r="E242" i="1" s="1"/>
  <c r="E209" i="1"/>
  <c r="E208" i="1" s="1"/>
  <c r="E207" i="1" s="1"/>
  <c r="E206" i="1" s="1"/>
  <c r="E145" i="1"/>
  <c r="E144" i="1" s="1"/>
  <c r="E143" i="1" s="1"/>
  <c r="E142" i="1" s="1"/>
  <c r="E141" i="1" s="1"/>
  <c r="E140" i="1" s="1"/>
  <c r="O2154" i="21"/>
  <c r="C2226" i="21"/>
  <c r="E234" i="1" l="1"/>
  <c r="E157" i="1"/>
  <c r="E156" i="1" s="1"/>
  <c r="E155" i="1" s="1"/>
  <c r="E154" i="1" s="1"/>
  <c r="E153" i="1" s="1"/>
  <c r="E152" i="1" s="1"/>
  <c r="E151" i="1" s="1"/>
  <c r="E150" i="1" s="1"/>
  <c r="E149" i="1" s="1"/>
  <c r="E148" i="1" s="1"/>
  <c r="E147" i="1" s="1"/>
  <c r="E146" i="1" s="1"/>
  <c r="E136" i="1"/>
  <c r="E135" i="1" s="1"/>
  <c r="E107" i="1"/>
  <c r="E106" i="1" s="1"/>
  <c r="E105" i="1" s="1"/>
  <c r="E104" i="1" s="1"/>
  <c r="E103" i="1" s="1"/>
  <c r="E102" i="1" s="1"/>
  <c r="E101" i="1" s="1"/>
  <c r="E100" i="1" s="1"/>
  <c r="E99" i="1" s="1"/>
  <c r="E98" i="1" s="1"/>
  <c r="E97" i="1" s="1"/>
  <c r="E83" i="1" s="1"/>
  <c r="N964" i="23"/>
  <c r="M120" i="30"/>
  <c r="N33" i="30"/>
  <c r="W2526" i="21"/>
  <c r="L3269" i="21"/>
  <c r="P327" i="23"/>
  <c r="P969" i="23"/>
  <c r="L369" i="30"/>
  <c r="N64" i="23"/>
  <c r="O949" i="23"/>
  <c r="L3309" i="21"/>
  <c r="O693" i="23"/>
  <c r="N172" i="23"/>
  <c r="N3296" i="21"/>
  <c r="O970" i="23"/>
  <c r="P629" i="23"/>
  <c r="P202" i="23"/>
  <c r="O117" i="23"/>
  <c r="M2522" i="21"/>
  <c r="N895" i="23"/>
  <c r="N2247" i="21"/>
  <c r="N2561" i="21"/>
  <c r="P484" i="23"/>
  <c r="L2484" i="21"/>
  <c r="M2433" i="21"/>
  <c r="O683" i="23"/>
  <c r="M122" i="30"/>
  <c r="N3276" i="21"/>
  <c r="P250" i="23"/>
  <c r="O913" i="23"/>
  <c r="O789" i="23"/>
  <c r="P913" i="23"/>
  <c r="P861" i="23"/>
  <c r="O627" i="23"/>
  <c r="L17" i="30"/>
  <c r="M2429" i="21"/>
  <c r="N377" i="23"/>
  <c r="N913" i="23"/>
  <c r="N121" i="23"/>
  <c r="O479" i="23"/>
  <c r="P568" i="23"/>
  <c r="P972" i="23"/>
  <c r="L458" i="30"/>
  <c r="L3273" i="21"/>
  <c r="L2249" i="21"/>
  <c r="N214" i="23"/>
  <c r="L10" i="30"/>
  <c r="O713" i="23"/>
  <c r="L516" i="30"/>
  <c r="O243" i="23"/>
  <c r="P536" i="23"/>
  <c r="P449" i="23"/>
  <c r="L538" i="30"/>
  <c r="O933" i="23"/>
  <c r="L3255" i="21"/>
  <c r="M2572" i="21"/>
  <c r="P207" i="23"/>
  <c r="P519" i="23"/>
  <c r="N369" i="30"/>
  <c r="M2577" i="21"/>
  <c r="O916" i="23"/>
  <c r="L2229" i="21"/>
  <c r="O735" i="23"/>
  <c r="P753" i="23"/>
  <c r="M2160" i="21"/>
  <c r="L2447" i="21"/>
  <c r="N337" i="30"/>
  <c r="M602" i="30"/>
  <c r="L3254" i="21"/>
  <c r="P317" i="23"/>
  <c r="O622" i="23"/>
  <c r="N712" i="23"/>
  <c r="M2235" i="21"/>
  <c r="P467" i="23"/>
  <c r="P287" i="23"/>
  <c r="N473" i="23"/>
  <c r="N154" i="23"/>
  <c r="M532" i="30"/>
  <c r="N375" i="23"/>
  <c r="W2518" i="21"/>
  <c r="L116" i="30"/>
  <c r="M358" i="30"/>
  <c r="M2158" i="21"/>
  <c r="P483" i="23"/>
  <c r="N859" i="23"/>
  <c r="L2469" i="21"/>
  <c r="M118" i="30"/>
  <c r="N2158" i="21"/>
  <c r="M224" i="30"/>
  <c r="P335" i="23"/>
  <c r="N496" i="30"/>
  <c r="N503" i="30"/>
  <c r="L230" i="30"/>
  <c r="P874" i="23"/>
  <c r="O805" i="23"/>
  <c r="M245" i="30"/>
  <c r="N2434" i="21"/>
  <c r="M2535" i="21"/>
  <c r="M2463" i="21"/>
  <c r="N2248" i="21"/>
  <c r="N449" i="23"/>
  <c r="N104" i="30"/>
  <c r="P217" i="23"/>
  <c r="O787" i="23"/>
  <c r="N100" i="30"/>
  <c r="N2523" i="21"/>
  <c r="L2164" i="21"/>
  <c r="N929" i="23"/>
  <c r="O828" i="23"/>
  <c r="N2463" i="21"/>
  <c r="M314" i="30"/>
  <c r="L122" i="30"/>
  <c r="O249" i="23"/>
  <c r="N610" i="30"/>
  <c r="N9" i="23"/>
  <c r="N2499" i="21"/>
  <c r="N354" i="23"/>
  <c r="L2163" i="21"/>
  <c r="N2156" i="21"/>
  <c r="N2154" i="21" s="1"/>
  <c r="L250" i="30"/>
  <c r="P292" i="23"/>
  <c r="N480" i="30"/>
  <c r="P935" i="23"/>
  <c r="P512" i="23"/>
  <c r="O893" i="23"/>
  <c r="O892" i="23"/>
  <c r="M2462" i="21"/>
  <c r="L572" i="30"/>
  <c r="M246" i="30"/>
  <c r="N2501" i="21"/>
  <c r="N10" i="30"/>
  <c r="P516" i="23"/>
  <c r="L462" i="30"/>
  <c r="N2174" i="21"/>
  <c r="N2172" i="21" s="1"/>
  <c r="N858" i="23"/>
  <c r="P302" i="23"/>
  <c r="M2538" i="21"/>
  <c r="M342" i="30"/>
  <c r="N480" i="23"/>
  <c r="L2471" i="21"/>
  <c r="P460" i="23"/>
  <c r="N2464" i="21"/>
  <c r="P161" i="23"/>
  <c r="L2433" i="21"/>
  <c r="N754" i="23"/>
  <c r="N2210" i="21"/>
  <c r="N2208" i="21" s="1"/>
  <c r="N857" i="23"/>
  <c r="L2523" i="21"/>
  <c r="L2336" i="21"/>
  <c r="L2334" i="21" s="1"/>
  <c r="N2230" i="21"/>
  <c r="M2453" i="21"/>
  <c r="M2247" i="21"/>
  <c r="N2555" i="21"/>
  <c r="P828" i="23"/>
  <c r="P879" i="23"/>
  <c r="P461" i="23"/>
  <c r="P533" i="23"/>
  <c r="M2196" i="21"/>
  <c r="M2249" i="21"/>
  <c r="N2273" i="21"/>
  <c r="N173" i="23"/>
  <c r="L106" i="30"/>
  <c r="M2232" i="21"/>
  <c r="O480" i="23"/>
  <c r="L2175" i="21"/>
  <c r="L354" i="30"/>
  <c r="M515" i="30"/>
  <c r="N2285" i="21"/>
  <c r="L460" i="30"/>
  <c r="P521" i="23"/>
  <c r="L2543" i="21"/>
  <c r="P36" i="23"/>
  <c r="N2340" i="21"/>
  <c r="P750" i="23"/>
  <c r="M2195" i="21"/>
  <c r="M2594" i="21"/>
  <c r="O99" i="23"/>
  <c r="L2162" i="21"/>
  <c r="P179" i="23"/>
  <c r="M2210" i="21"/>
  <c r="M2208" i="21" s="1"/>
  <c r="N2201" i="21"/>
  <c r="M482" i="30"/>
  <c r="N2486" i="21"/>
  <c r="O934" i="23"/>
  <c r="P838" i="23"/>
  <c r="P877" i="23"/>
  <c r="P967" i="23"/>
  <c r="L2250" i="21"/>
  <c r="P577" i="23"/>
  <c r="O846" i="23"/>
  <c r="P125" i="23"/>
  <c r="P823" i="23"/>
  <c r="N2301" i="21"/>
  <c r="L2505" i="21"/>
  <c r="L3224" i="21"/>
  <c r="N949" i="23"/>
  <c r="N2321" i="21"/>
  <c r="P495" i="23"/>
  <c r="L2192" i="21"/>
  <c r="L2190" i="21" s="1"/>
  <c r="P502" i="23"/>
  <c r="N194" i="23"/>
  <c r="P584" i="23"/>
  <c r="N611" i="30"/>
  <c r="N126" i="23"/>
  <c r="N587" i="30"/>
  <c r="N171" i="23"/>
  <c r="N3257" i="21"/>
  <c r="O891" i="23"/>
  <c r="P322" i="23"/>
  <c r="L3290" i="21"/>
  <c r="P49" i="23"/>
  <c r="P575" i="23"/>
  <c r="P386" i="23"/>
  <c r="L2196" i="21"/>
  <c r="P64" i="23"/>
  <c r="L2517" i="21"/>
  <c r="P909" i="23"/>
  <c r="L46" i="30"/>
  <c r="L2180" i="21"/>
  <c r="L2487" i="21"/>
  <c r="L3236" i="21"/>
  <c r="N2560" i="21"/>
  <c r="L496" i="30"/>
  <c r="N838" i="23"/>
  <c r="L226" i="30"/>
  <c r="P357" i="23"/>
  <c r="M568" i="30"/>
  <c r="P574" i="23"/>
  <c r="N342" i="30"/>
  <c r="N2272" i="21"/>
  <c r="M2156" i="21"/>
  <c r="M2154" i="21" s="1"/>
  <c r="N502" i="23"/>
  <c r="M518" i="30"/>
  <c r="O377" i="23"/>
  <c r="N233" i="30"/>
  <c r="P48" i="23"/>
  <c r="W2523" i="21"/>
  <c r="L2502" i="21"/>
  <c r="M2480" i="21"/>
  <c r="L371" i="30"/>
  <c r="N3240" i="21"/>
  <c r="P225" i="23"/>
  <c r="N328" i="23"/>
  <c r="L242" i="30"/>
  <c r="L225" i="30"/>
  <c r="P738" i="23"/>
  <c r="N369" i="23"/>
  <c r="O855" i="23"/>
  <c r="P899" i="23"/>
  <c r="M2246" i="21"/>
  <c r="M2244" i="21" s="1"/>
  <c r="O702" i="23"/>
  <c r="N2462" i="21"/>
  <c r="N3203" i="21"/>
  <c r="O822" i="23"/>
  <c r="P445" i="23"/>
  <c r="M230" i="30"/>
  <c r="P177" i="23"/>
  <c r="P893" i="23"/>
  <c r="P736" i="23"/>
  <c r="N3309" i="21"/>
  <c r="P417" i="23"/>
  <c r="N3239" i="21"/>
  <c r="M593" i="30"/>
  <c r="L3239" i="21"/>
  <c r="N504" i="23"/>
  <c r="N141" i="23"/>
  <c r="P527" i="23"/>
  <c r="N484" i="30"/>
  <c r="M2163" i="21"/>
  <c r="P965" i="23"/>
  <c r="L2595" i="21"/>
  <c r="M313" i="30"/>
  <c r="L3305" i="21"/>
  <c r="P530" i="23"/>
  <c r="L2642" i="21"/>
  <c r="N377" i="30"/>
  <c r="N2199" i="21"/>
  <c r="P174" i="23"/>
  <c r="N933" i="23"/>
  <c r="M480" i="30"/>
  <c r="N792" i="23"/>
  <c r="M465" i="30"/>
  <c r="N178" i="23"/>
  <c r="M2218" i="21"/>
  <c r="M320" i="30"/>
  <c r="P581" i="23"/>
  <c r="L12" i="30"/>
  <c r="L120" i="30"/>
  <c r="O427" i="23"/>
  <c r="M461" i="30"/>
  <c r="O322" i="23"/>
  <c r="N83" i="23"/>
  <c r="P518" i="23"/>
  <c r="P541" i="23"/>
  <c r="M339" i="30"/>
  <c r="O483" i="23"/>
  <c r="L3327" i="21"/>
  <c r="L190" i="30"/>
  <c r="P580" i="23"/>
  <c r="P309" i="23"/>
  <c r="N606" i="30"/>
  <c r="O732" i="23"/>
  <c r="N610" i="23"/>
  <c r="N70" i="23"/>
  <c r="N3224" i="21"/>
  <c r="M466" i="30"/>
  <c r="N160" i="23"/>
  <c r="O372" i="23"/>
  <c r="O783" i="23"/>
  <c r="N875" i="23"/>
  <c r="O856" i="23"/>
  <c r="N608" i="30"/>
  <c r="L2156" i="21"/>
  <c r="L2154" i="21" s="1"/>
  <c r="O100" i="23"/>
  <c r="N2213" i="21"/>
  <c r="N324" i="23"/>
  <c r="P251" i="23"/>
  <c r="N219" i="23"/>
  <c r="L9" i="30"/>
  <c r="N954" i="23"/>
  <c r="N352" i="30"/>
  <c r="P269" i="23"/>
  <c r="N497" i="23"/>
  <c r="N2482" i="21"/>
  <c r="N894" i="23"/>
  <c r="P538" i="23"/>
  <c r="L2448" i="21"/>
  <c r="N190" i="30"/>
  <c r="N2392" i="21"/>
  <c r="W2528" i="21"/>
  <c r="N220" i="23"/>
  <c r="N935" i="23"/>
  <c r="L2200" i="21"/>
  <c r="L104" i="30"/>
  <c r="L536" i="30"/>
  <c r="N120" i="23"/>
  <c r="N737" i="23"/>
  <c r="P304" i="23"/>
  <c r="N479" i="23"/>
  <c r="O792" i="23"/>
  <c r="O880" i="23"/>
  <c r="N157" i="23"/>
  <c r="N244" i="30"/>
  <c r="L2193" i="21"/>
  <c r="N971" i="23"/>
  <c r="M591" i="30"/>
  <c r="M3273" i="21"/>
  <c r="N840" i="23"/>
  <c r="N3235" i="21"/>
  <c r="P964" i="23"/>
  <c r="N376" i="30"/>
  <c r="N3305" i="21"/>
  <c r="N966" i="23"/>
  <c r="N609" i="23"/>
  <c r="N372" i="23"/>
  <c r="L3272" i="21"/>
  <c r="P373" i="23"/>
  <c r="N251" i="30"/>
  <c r="L623" i="30"/>
  <c r="N2378" i="21"/>
  <c r="N3311" i="21"/>
  <c r="N2235" i="21"/>
  <c r="P525" i="23"/>
  <c r="M533" i="30"/>
  <c r="N749" i="23"/>
  <c r="P124" i="23"/>
  <c r="M2555" i="21"/>
  <c r="P929" i="23"/>
  <c r="P480" i="23"/>
  <c r="N450" i="23"/>
  <c r="L372" i="30"/>
  <c r="M2468" i="21"/>
  <c r="O895" i="23"/>
  <c r="L2486" i="21"/>
  <c r="P756" i="23"/>
  <c r="P83" i="23"/>
  <c r="L3296" i="21"/>
  <c r="N898" i="23"/>
  <c r="N498" i="23"/>
  <c r="M569" i="30"/>
  <c r="N897" i="23"/>
  <c r="P561" i="23"/>
  <c r="N805" i="23"/>
  <c r="L2231" i="21"/>
  <c r="N371" i="30"/>
  <c r="P952" i="23"/>
  <c r="L2228" i="21"/>
  <c r="L2226" i="21" s="1"/>
  <c r="P270" i="23"/>
  <c r="O320" i="23"/>
  <c r="P323" i="23"/>
  <c r="L566" i="30"/>
  <c r="O318" i="23"/>
  <c r="M2560" i="21"/>
  <c r="P371" i="23"/>
  <c r="L441" i="30"/>
  <c r="N945" i="23"/>
  <c r="N826" i="23"/>
  <c r="L3326" i="21"/>
  <c r="P329" i="23"/>
  <c r="M375" i="30"/>
  <c r="N570" i="30"/>
  <c r="N195" i="30"/>
  <c r="P503" i="23"/>
  <c r="P863" i="23"/>
  <c r="O952" i="23"/>
  <c r="P9" i="23"/>
  <c r="P219" i="23"/>
  <c r="M566" i="30"/>
  <c r="M316" i="30"/>
  <c r="N231" i="30"/>
  <c r="N88" i="23"/>
  <c r="M3057" i="21"/>
  <c r="P282" i="23"/>
  <c r="O101" i="23"/>
  <c r="P549" i="23"/>
  <c r="N2505" i="21"/>
  <c r="O495" i="23"/>
  <c r="O124" i="23"/>
  <c r="P876" i="23"/>
  <c r="P540" i="23"/>
  <c r="N2234" i="21"/>
  <c r="O963" i="23"/>
  <c r="L2159" i="21"/>
  <c r="M2426" i="21"/>
  <c r="N495" i="23"/>
  <c r="N845" i="23"/>
  <c r="L3201" i="21"/>
  <c r="N607" i="23"/>
  <c r="P895" i="23"/>
  <c r="P588" i="23"/>
  <c r="O802" i="23"/>
  <c r="N320" i="23"/>
  <c r="M228" i="30"/>
  <c r="M2589" i="21"/>
  <c r="N952" i="23"/>
  <c r="L3203" i="21"/>
  <c r="L3199" i="21"/>
  <c r="N63" i="23"/>
  <c r="N3219" i="21"/>
  <c r="L479" i="30"/>
  <c r="M2448" i="21"/>
  <c r="N405" i="23"/>
  <c r="O607" i="23"/>
  <c r="W523" i="30"/>
  <c r="L3198" i="21"/>
  <c r="P628" i="23"/>
  <c r="P100" i="23"/>
  <c r="O910" i="23"/>
  <c r="N325" i="23"/>
  <c r="O863" i="23"/>
  <c r="N327" i="23"/>
  <c r="N2469" i="21"/>
  <c r="N622" i="23"/>
  <c r="M624" i="30"/>
  <c r="N891" i="23"/>
  <c r="O784" i="23"/>
  <c r="P599" i="23"/>
  <c r="N899" i="23"/>
  <c r="M519" i="30"/>
  <c r="P515" i="23"/>
  <c r="L34" i="30"/>
  <c r="P243" i="23"/>
  <c r="N864" i="23"/>
  <c r="N17" i="23"/>
  <c r="P526" i="23"/>
  <c r="P234" i="23"/>
  <c r="N623" i="30"/>
  <c r="N175" i="23"/>
  <c r="N605" i="30"/>
  <c r="P247" i="23"/>
  <c r="P201" i="23"/>
  <c r="N2177" i="21"/>
  <c r="P949" i="23"/>
  <c r="P643" i="23"/>
  <c r="P27" i="23"/>
  <c r="O317" i="23"/>
  <c r="L2194" i="21"/>
  <c r="N3198" i="21"/>
  <c r="P627" i="23"/>
  <c r="M334" i="30"/>
  <c r="N2291" i="21"/>
  <c r="O915" i="23"/>
  <c r="O790" i="23"/>
  <c r="M2248" i="21"/>
  <c r="N3327" i="21"/>
  <c r="M2253" i="21"/>
  <c r="L2214" i="21"/>
  <c r="O107" i="23"/>
  <c r="L3251" i="21"/>
  <c r="P136" i="23"/>
  <c r="M2446" i="21"/>
  <c r="P162" i="23"/>
  <c r="L534" i="30"/>
  <c r="N2540" i="21"/>
  <c r="P310" i="23"/>
  <c r="P855" i="23"/>
  <c r="N2284" i="21"/>
  <c r="P576" i="23"/>
  <c r="L3242" i="21"/>
  <c r="N102" i="23"/>
  <c r="O897" i="23"/>
  <c r="O810" i="23"/>
  <c r="L2489" i="21"/>
  <c r="P856" i="23"/>
  <c r="O807" i="23"/>
  <c r="N225" i="23"/>
  <c r="L2434" i="21"/>
  <c r="L3289" i="21"/>
  <c r="O857" i="23"/>
  <c r="N566" i="30"/>
  <c r="N370" i="23"/>
  <c r="N2594" i="21"/>
  <c r="W2435" i="21"/>
  <c r="O948" i="23"/>
  <c r="M225" i="30"/>
  <c r="N808" i="23"/>
  <c r="L2182" i="21"/>
  <c r="M2174" i="21"/>
  <c r="M2172" i="21" s="1"/>
  <c r="P875" i="23"/>
  <c r="O328" i="23"/>
  <c r="N234" i="23"/>
  <c r="P192" i="23"/>
  <c r="P213" i="23"/>
  <c r="O118" i="23"/>
  <c r="L2234" i="21"/>
  <c r="O809" i="23"/>
  <c r="N227" i="30"/>
  <c r="P917" i="23"/>
  <c r="N2218" i="21"/>
  <c r="M2230" i="21"/>
  <c r="P316" i="23"/>
  <c r="M2464" i="21"/>
  <c r="L374" i="30"/>
  <c r="P534" i="23"/>
  <c r="N142" i="23"/>
  <c r="M2212" i="21"/>
  <c r="N3272" i="21"/>
  <c r="P597" i="23"/>
  <c r="N2336" i="21"/>
  <c r="N2334" i="21" s="1"/>
  <c r="M2183" i="21"/>
  <c r="O485" i="23"/>
  <c r="P934" i="23"/>
  <c r="P314" i="23"/>
  <c r="L459" i="30"/>
  <c r="P916" i="23"/>
  <c r="L2446" i="21"/>
  <c r="M628" i="30"/>
  <c r="N2481" i="21"/>
  <c r="P35" i="23"/>
  <c r="N2303" i="21"/>
  <c r="M2200" i="21"/>
  <c r="P857" i="23"/>
  <c r="N2559" i="21"/>
  <c r="M2578" i="21"/>
  <c r="L117" i="30"/>
  <c r="N879" i="23"/>
  <c r="N2487" i="21"/>
  <c r="O931" i="23"/>
  <c r="P297" i="23"/>
  <c r="N124" i="30"/>
  <c r="N567" i="30"/>
  <c r="M460" i="30"/>
  <c r="M629" i="30"/>
  <c r="P377" i="23"/>
  <c r="N2433" i="21"/>
  <c r="O106" i="23"/>
  <c r="N820" i="23"/>
  <c r="P951" i="23"/>
  <c r="N9" i="30"/>
  <c r="O501" i="23"/>
  <c r="N3306" i="21"/>
  <c r="N2426" i="21"/>
  <c r="P912" i="23"/>
  <c r="P593" i="23"/>
  <c r="P556" i="23"/>
  <c r="P918" i="23"/>
  <c r="L466" i="30"/>
  <c r="O785" i="23"/>
  <c r="W2426" i="21"/>
  <c r="N3331" i="21"/>
  <c r="O877" i="23"/>
  <c r="N494" i="30"/>
  <c r="M231" i="30"/>
  <c r="P441" i="23"/>
  <c r="O103" i="23"/>
  <c r="P947" i="23"/>
  <c r="W2527" i="21"/>
  <c r="L532" i="30"/>
  <c r="L11" i="30"/>
  <c r="M622" i="30"/>
  <c r="O861" i="23"/>
  <c r="L2537" i="21"/>
  <c r="N3216" i="21"/>
  <c r="P232" i="23"/>
  <c r="N3259" i="21"/>
  <c r="N2394" i="21"/>
  <c r="L2248" i="21"/>
  <c r="M2445" i="21"/>
  <c r="P442" i="23"/>
  <c r="N856" i="23"/>
  <c r="O730" i="23"/>
  <c r="O120" i="23"/>
  <c r="N590" i="30"/>
  <c r="P539" i="23"/>
  <c r="P930" i="23"/>
  <c r="M2194" i="21"/>
  <c r="P352" i="23"/>
  <c r="P954" i="23"/>
  <c r="N621" i="30"/>
  <c r="O719" i="23"/>
  <c r="N3313" i="21"/>
  <c r="M2570" i="21"/>
  <c r="P894" i="23"/>
  <c r="P69" i="23"/>
  <c r="N735" i="23"/>
  <c r="N2363" i="21"/>
  <c r="N358" i="30"/>
  <c r="P931" i="23"/>
  <c r="O820" i="23"/>
  <c r="L2594" i="21"/>
  <c r="M326" i="30"/>
  <c r="N476" i="30"/>
  <c r="N876" i="23"/>
  <c r="M479" i="30"/>
  <c r="N822" i="23"/>
  <c r="N2416" i="21"/>
  <c r="L430" i="30"/>
  <c r="O935" i="23"/>
  <c r="O351" i="23"/>
  <c r="M2470" i="21"/>
  <c r="N2541" i="21"/>
  <c r="M105" i="30"/>
  <c r="M2201" i="21"/>
  <c r="L3354" i="21"/>
  <c r="P413" i="23"/>
  <c r="O862" i="23"/>
  <c r="N497" i="30"/>
  <c r="P82" i="23"/>
  <c r="N3275" i="21"/>
  <c r="N2553" i="21"/>
  <c r="N2198" i="21"/>
  <c r="M590" i="30"/>
  <c r="O498" i="23"/>
  <c r="M570" i="30"/>
  <c r="N191" i="23"/>
  <c r="P846" i="23"/>
  <c r="P15" i="23"/>
  <c r="P264" i="23"/>
  <c r="N951" i="23"/>
  <c r="P390" i="23"/>
  <c r="P189" i="23"/>
  <c r="N2446" i="21"/>
  <c r="P585" i="23"/>
  <c r="O767" i="23"/>
  <c r="M3270" i="21"/>
  <c r="N910" i="23"/>
  <c r="O808" i="23"/>
  <c r="M627" i="30"/>
  <c r="W2438" i="21"/>
  <c r="N967" i="23"/>
  <c r="M477" i="30"/>
  <c r="W2428" i="21"/>
  <c r="N119" i="30"/>
  <c r="N415" i="23"/>
  <c r="P106" i="23"/>
  <c r="N2450" i="21"/>
  <c r="M592" i="30"/>
  <c r="L2428" i="21"/>
  <c r="P332" i="23"/>
  <c r="P478" i="23"/>
  <c r="O967" i="23"/>
  <c r="P197" i="23"/>
  <c r="N3323" i="21"/>
  <c r="N368" i="30"/>
  <c r="L2501" i="21"/>
  <c r="L3330" i="21"/>
  <c r="M2180" i="21"/>
  <c r="L249" i="30"/>
  <c r="L2482" i="21"/>
  <c r="N2254" i="21"/>
  <c r="O121" i="23"/>
  <c r="M123" i="30"/>
  <c r="O971" i="23"/>
  <c r="M116" i="30"/>
  <c r="N244" i="23"/>
  <c r="N3324" i="21"/>
  <c r="L189" i="30"/>
  <c r="O969" i="23"/>
  <c r="P347" i="23"/>
  <c r="M2234" i="21"/>
  <c r="O972" i="23"/>
  <c r="M232" i="30"/>
  <c r="P180" i="23"/>
  <c r="N2554" i="21"/>
  <c r="N3312" i="21"/>
  <c r="N946" i="23"/>
  <c r="M2519" i="21"/>
  <c r="N107" i="30"/>
  <c r="P566" i="23"/>
  <c r="P118" i="23"/>
  <c r="N881" i="23"/>
  <c r="W2429" i="21"/>
  <c r="M331" i="30"/>
  <c r="P138" i="23"/>
  <c r="L3323" i="21"/>
  <c r="N861" i="23"/>
  <c r="P562" i="23"/>
  <c r="M2523" i="21"/>
  <c r="L2538" i="21"/>
  <c r="M483" i="30"/>
  <c r="N953" i="23"/>
  <c r="O845" i="23"/>
  <c r="N137" i="23"/>
  <c r="P837" i="23"/>
  <c r="O696" i="23"/>
  <c r="N3201" i="21"/>
  <c r="P244" i="23"/>
  <c r="L3308" i="21"/>
  <c r="O873" i="23"/>
  <c r="L14" i="30"/>
  <c r="M2229" i="21"/>
  <c r="O754" i="23"/>
  <c r="N841" i="23"/>
  <c r="N3236" i="21"/>
  <c r="P900" i="23"/>
  <c r="O765" i="23"/>
  <c r="L3291" i="21"/>
  <c r="P897" i="23"/>
  <c r="O786" i="23"/>
  <c r="P552" i="23"/>
  <c r="N2320" i="21"/>
  <c r="N15" i="30"/>
  <c r="P933" i="23"/>
  <c r="N809" i="23"/>
  <c r="O827" i="23"/>
  <c r="N2183" i="21"/>
  <c r="O105" i="23"/>
  <c r="N893" i="23"/>
  <c r="P157" i="23"/>
  <c r="N621" i="23"/>
  <c r="M117" i="30"/>
  <c r="M2573" i="21"/>
  <c r="N927" i="23"/>
  <c r="O697" i="23"/>
  <c r="M2576" i="21"/>
  <c r="N467" i="30"/>
  <c r="N2570" i="21"/>
  <c r="O945" i="23"/>
  <c r="P135" i="23"/>
  <c r="P89" i="23"/>
  <c r="L2426" i="21"/>
  <c r="O425" i="23"/>
  <c r="O766" i="23"/>
  <c r="N729" i="23"/>
  <c r="L407" i="30"/>
  <c r="O876" i="23"/>
  <c r="P369" i="23"/>
  <c r="M2543" i="21"/>
  <c r="N2590" i="21"/>
  <c r="M315" i="30"/>
  <c r="M478" i="30"/>
  <c r="M3059" i="21"/>
  <c r="N230" i="30"/>
  <c r="P414" i="23"/>
  <c r="N105" i="23"/>
  <c r="N17" i="30"/>
  <c r="N250" i="23"/>
  <c r="P298" i="23"/>
  <c r="O370" i="23"/>
  <c r="M332" i="30"/>
  <c r="N2429" i="21"/>
  <c r="L192" i="30"/>
  <c r="O378" i="23"/>
  <c r="L2435" i="21"/>
  <c r="P67" i="23"/>
  <c r="P459" i="23"/>
  <c r="N738" i="23"/>
  <c r="L628" i="30"/>
  <c r="O874" i="23"/>
  <c r="O911" i="23"/>
  <c r="L2643" i="21"/>
  <c r="L467" i="30"/>
  <c r="L358" i="30"/>
  <c r="P196" i="23"/>
  <c r="N972" i="23"/>
  <c r="P101" i="23"/>
  <c r="N378" i="23"/>
  <c r="N503" i="23"/>
  <c r="P99" i="23"/>
  <c r="N2360" i="21"/>
  <c r="O918" i="23"/>
  <c r="N138" i="23"/>
  <c r="N2337" i="21"/>
  <c r="P647" i="23"/>
  <c r="O684" i="23"/>
  <c r="P594" i="23"/>
  <c r="M2228" i="21"/>
  <c r="M2226" i="21" s="1"/>
  <c r="N3332" i="21"/>
  <c r="L197" i="30"/>
  <c r="N909" i="23"/>
  <c r="L3237" i="21"/>
  <c r="W2433" i="21"/>
  <c r="N963" i="23"/>
  <c r="P353" i="23"/>
  <c r="P199" i="23"/>
  <c r="M498" i="30"/>
  <c r="N828" i="23"/>
  <c r="P858" i="23"/>
  <c r="P748" i="23"/>
  <c r="N459" i="23"/>
  <c r="O369" i="23"/>
  <c r="M357" i="30"/>
  <c r="P971" i="23"/>
  <c r="N837" i="23"/>
  <c r="N844" i="23"/>
  <c r="P730" i="23"/>
  <c r="N2536" i="21"/>
  <c r="L624" i="30"/>
  <c r="O682" i="23"/>
  <c r="N359" i="30"/>
  <c r="P607" i="23"/>
  <c r="L406" i="30"/>
  <c r="N882" i="23"/>
  <c r="M2571" i="21"/>
  <c r="O951" i="23"/>
  <c r="L495" i="30"/>
  <c r="P873" i="23"/>
  <c r="N827" i="23"/>
  <c r="L500" i="30"/>
  <c r="N916" i="23"/>
  <c r="P29" i="23"/>
  <c r="N2237" i="21"/>
  <c r="N228" i="30"/>
  <c r="O681" i="23"/>
  <c r="N245" i="30"/>
  <c r="N823" i="23"/>
  <c r="N251" i="23"/>
  <c r="L2247" i="21"/>
  <c r="N2471" i="21"/>
  <c r="O54" i="23"/>
  <c r="L3234" i="21"/>
  <c r="P325" i="23"/>
  <c r="N2231" i="21"/>
  <c r="L2536" i="21"/>
  <c r="N136" i="23"/>
  <c r="N375" i="30"/>
  <c r="O837" i="23"/>
  <c r="N3273" i="21"/>
  <c r="N2488" i="21"/>
  <c r="L440" i="30"/>
  <c r="N47" i="23"/>
  <c r="O611" i="23"/>
  <c r="W2437" i="21"/>
  <c r="O838" i="23"/>
  <c r="L3215" i="21"/>
  <c r="P289" i="23"/>
  <c r="N2324" i="21"/>
  <c r="P315" i="23"/>
  <c r="P274" i="23"/>
  <c r="N188" i="30"/>
  <c r="O733" i="23"/>
  <c r="P28" i="23"/>
  <c r="P286" i="23"/>
  <c r="N155" i="23"/>
  <c r="L478" i="30"/>
  <c r="M2434" i="21"/>
  <c r="P427" i="23"/>
  <c r="L2444" i="21"/>
  <c r="P544" i="23"/>
  <c r="M354" i="30"/>
  <c r="P355" i="23"/>
  <c r="L2498" i="21"/>
  <c r="N732" i="23"/>
  <c r="P755" i="23"/>
  <c r="L3206" i="21"/>
  <c r="N27" i="30"/>
  <c r="N2246" i="21"/>
  <c r="N2244" i="21" s="1"/>
  <c r="M2488" i="21"/>
  <c r="P558" i="23"/>
  <c r="L3258" i="21"/>
  <c r="L188" i="30"/>
  <c r="O496" i="23"/>
  <c r="M104" i="30"/>
  <c r="P466" i="23"/>
  <c r="N386" i="23"/>
  <c r="W2519" i="21"/>
  <c r="L2464" i="21"/>
  <c r="N748" i="23"/>
  <c r="O333" i="23"/>
  <c r="Y646" i="23"/>
  <c r="N3206" i="21"/>
  <c r="N3255" i="21"/>
  <c r="L2504" i="21"/>
  <c r="N2516" i="21"/>
  <c r="W19" i="30"/>
  <c r="L2195" i="21"/>
  <c r="O299" i="23"/>
  <c r="N71" i="23"/>
  <c r="O623" i="23"/>
  <c r="Y645" i="23"/>
  <c r="O355" i="23"/>
  <c r="O678" i="23"/>
  <c r="N648" i="23"/>
  <c r="L2216" i="21"/>
  <c r="L448" i="30"/>
  <c r="N417" i="23"/>
  <c r="M345" i="30"/>
  <c r="L2450" i="21"/>
  <c r="M341" i="30"/>
  <c r="O595" i="23"/>
  <c r="N406" i="23"/>
  <c r="M2592" i="21"/>
  <c r="P206" i="23"/>
  <c r="N2372" i="21"/>
  <c r="N2370" i="21" s="1"/>
  <c r="N2217" i="21"/>
  <c r="M2541" i="21"/>
  <c r="N699" i="23"/>
  <c r="N10" i="23"/>
  <c r="P411" i="23"/>
  <c r="P63" i="23"/>
  <c r="O471" i="23"/>
  <c r="N2430" i="21"/>
  <c r="W266" i="30"/>
  <c r="N12" i="23"/>
  <c r="L3252" i="21"/>
  <c r="W272" i="30"/>
  <c r="N804" i="23"/>
  <c r="N918" i="23"/>
  <c r="N3329" i="21"/>
  <c r="N747" i="23"/>
  <c r="O929" i="23"/>
  <c r="L102" i="30"/>
  <c r="N624" i="30"/>
  <c r="P612" i="23"/>
  <c r="N2465" i="21"/>
  <c r="P470" i="23"/>
  <c r="O840" i="23"/>
  <c r="P587" i="23"/>
  <c r="P88" i="23"/>
  <c r="N316" i="23"/>
  <c r="P557" i="23"/>
  <c r="P320" i="23"/>
  <c r="P175" i="23"/>
  <c r="L590" i="30"/>
  <c r="P514" i="23"/>
  <c r="P749" i="23"/>
  <c r="L2432" i="21"/>
  <c r="N629" i="30"/>
  <c r="L555" i="30"/>
  <c r="N969" i="23"/>
  <c r="L2320" i="21"/>
  <c r="P346" i="23"/>
  <c r="N3260" i="21"/>
  <c r="M2559" i="21"/>
  <c r="L2465" i="21"/>
  <c r="N82" i="23"/>
  <c r="N54" i="23"/>
  <c r="M100" i="30"/>
  <c r="O227" i="23"/>
  <c r="P485" i="23"/>
  <c r="L606" i="30"/>
  <c r="N2255" i="21"/>
  <c r="L3329" i="21"/>
  <c r="N346" i="30"/>
  <c r="P712" i="23"/>
  <c r="O769" i="23"/>
  <c r="M604" i="30"/>
  <c r="N3288" i="21"/>
  <c r="L520" i="30"/>
  <c r="M327" i="30"/>
  <c r="P305" i="23"/>
  <c r="M244" i="30"/>
  <c r="N411" i="23"/>
  <c r="N501" i="23"/>
  <c r="N105" i="30"/>
  <c r="P622" i="23"/>
  <c r="L2174" i="21"/>
  <c r="L2172" i="21" s="1"/>
  <c r="L609" i="30"/>
  <c r="P963" i="23"/>
  <c r="P822" i="23"/>
  <c r="P532" i="23"/>
  <c r="N247" i="23"/>
  <c r="L3259" i="21"/>
  <c r="N46" i="30"/>
  <c r="M321" i="30"/>
  <c r="N2506" i="21"/>
  <c r="N928" i="23"/>
  <c r="M2199" i="21"/>
  <c r="L29" i="30"/>
  <c r="L2470" i="21"/>
  <c r="P279" i="23"/>
  <c r="W522" i="30"/>
  <c r="L484" i="30"/>
  <c r="M189" i="30"/>
  <c r="N2271" i="21"/>
  <c r="L3324" i="21"/>
  <c r="W143" i="30"/>
  <c r="L501" i="30"/>
  <c r="N35" i="30"/>
  <c r="O228" i="23"/>
  <c r="M521" i="30"/>
  <c r="W2605" i="21"/>
  <c r="O102" i="23"/>
  <c r="W2436" i="21"/>
  <c r="Y135" i="23"/>
  <c r="N2175" i="21"/>
  <c r="N72" i="23"/>
  <c r="L587" i="30"/>
  <c r="P172" i="23"/>
  <c r="N3253" i="21"/>
  <c r="P10" i="23"/>
  <c r="P123" i="23"/>
  <c r="N387" i="23"/>
  <c r="N412" i="23"/>
  <c r="W2434" i="21"/>
  <c r="P154" i="23"/>
  <c r="N407" i="23"/>
  <c r="N215" i="23"/>
  <c r="N646" i="23"/>
  <c r="L33" i="30"/>
  <c r="P103" i="23"/>
  <c r="N485" i="30"/>
  <c r="L243" i="30"/>
  <c r="N418" i="23"/>
  <c r="W385" i="30"/>
  <c r="L2199" i="21"/>
  <c r="O729" i="23"/>
  <c r="P501" i="23"/>
  <c r="L3216" i="21"/>
  <c r="P659" i="23"/>
  <c r="W2522" i="21"/>
  <c r="L105" i="30"/>
  <c r="M194" i="30"/>
  <c r="P429" i="23"/>
  <c r="P911" i="23"/>
  <c r="N125" i="30"/>
  <c r="N2591" i="21"/>
  <c r="N231" i="23"/>
  <c r="N2448" i="21"/>
  <c r="P117" i="23"/>
  <c r="O736" i="23"/>
  <c r="P324" i="23"/>
  <c r="L444" i="30"/>
  <c r="P845" i="23"/>
  <c r="L568" i="30"/>
  <c r="O953" i="23"/>
  <c r="P735" i="23"/>
  <c r="N156" i="23"/>
  <c r="O756" i="23"/>
  <c r="M106" i="30"/>
  <c r="L567" i="30"/>
  <c r="P13" i="23"/>
  <c r="P665" i="23"/>
  <c r="N478" i="30"/>
  <c r="N13" i="23"/>
  <c r="O599" i="23"/>
  <c r="M2481" i="21"/>
  <c r="N335" i="30"/>
  <c r="N485" i="23"/>
  <c r="N2252" i="21"/>
  <c r="W2516" i="21"/>
  <c r="N50" i="30"/>
  <c r="L422" i="30"/>
  <c r="P53" i="23"/>
  <c r="N603" i="30"/>
  <c r="M584" i="30"/>
  <c r="N477" i="23"/>
  <c r="M250" i="30"/>
  <c r="P657" i="23"/>
  <c r="O82" i="23"/>
  <c r="N604" i="23"/>
  <c r="N180" i="23"/>
  <c r="M611" i="30"/>
  <c r="N2542" i="21"/>
  <c r="M3061" i="21"/>
  <c r="N52" i="30"/>
  <c r="M2588" i="21"/>
  <c r="N807" i="23"/>
  <c r="N3254" i="21"/>
  <c r="O825" i="23"/>
  <c r="P729" i="23"/>
  <c r="L2253" i="21"/>
  <c r="P898" i="23"/>
  <c r="L2430" i="21"/>
  <c r="O694" i="23"/>
  <c r="N2595" i="21"/>
  <c r="O858" i="23"/>
  <c r="O791" i="23"/>
  <c r="O250" i="23"/>
  <c r="P472" i="23"/>
  <c r="M621" i="30"/>
  <c r="P17" i="23"/>
  <c r="N471" i="23"/>
  <c r="N232" i="23"/>
  <c r="O360" i="23"/>
  <c r="N8" i="30"/>
  <c r="M2498" i="21"/>
  <c r="N501" i="30"/>
  <c r="N419" i="23"/>
  <c r="N350" i="30"/>
  <c r="W141" i="30"/>
  <c r="L404" i="30"/>
  <c r="L47" i="30"/>
  <c r="O287" i="23"/>
  <c r="N462" i="23"/>
  <c r="Y650" i="23"/>
  <c r="O300" i="23"/>
  <c r="N396" i="23"/>
  <c r="W388" i="30"/>
  <c r="N196" i="23"/>
  <c r="P303" i="23"/>
  <c r="N714" i="23"/>
  <c r="P370" i="23"/>
  <c r="N344" i="30"/>
  <c r="N117" i="30"/>
  <c r="N243" i="30"/>
  <c r="L3312" i="21"/>
  <c r="P555" i="23"/>
  <c r="W2520" i="21"/>
  <c r="P401" i="23"/>
  <c r="M501" i="30"/>
  <c r="P45" i="23"/>
  <c r="W519" i="30"/>
  <c r="N355" i="23"/>
  <c r="O332" i="23"/>
  <c r="N676" i="23"/>
  <c r="N392" i="23"/>
  <c r="P275" i="23"/>
  <c r="W133" i="30"/>
  <c r="N3252" i="21"/>
  <c r="P345" i="23"/>
  <c r="L2520" i="21"/>
  <c r="O839" i="23"/>
  <c r="N3287" i="21"/>
  <c r="N69" i="23"/>
  <c r="N584" i="30"/>
  <c r="P915" i="23"/>
  <c r="N2342" i="21"/>
  <c r="O712" i="23"/>
  <c r="L2232" i="21"/>
  <c r="N27" i="23"/>
  <c r="N397" i="23"/>
  <c r="M2219" i="21"/>
  <c r="O823" i="23"/>
  <c r="N2356" i="21"/>
  <c r="O606" i="23"/>
  <c r="L2453" i="21"/>
  <c r="N970" i="23"/>
  <c r="P372" i="23"/>
  <c r="P522" i="23"/>
  <c r="N736" i="23"/>
  <c r="L2542" i="21"/>
  <c r="N2355" i="21"/>
  <c r="M242" i="30"/>
  <c r="P664" i="23"/>
  <c r="N118" i="30"/>
  <c r="N135" i="23"/>
  <c r="N106" i="23"/>
  <c r="W2425" i="21"/>
  <c r="N3289" i="21"/>
  <c r="M2165" i="21"/>
  <c r="O768" i="23"/>
  <c r="M585" i="30"/>
  <c r="N550" i="23"/>
  <c r="L3253" i="21"/>
  <c r="M3060" i="21"/>
  <c r="M98" i="30"/>
  <c r="M2595" i="21"/>
  <c r="O598" i="23"/>
  <c r="O604" i="23"/>
  <c r="P661" i="23"/>
  <c r="O751" i="23"/>
  <c r="N224" i="30"/>
  <c r="O477" i="23"/>
  <c r="N2362" i="21"/>
  <c r="N333" i="30"/>
  <c r="N2579" i="21"/>
  <c r="O676" i="23"/>
  <c r="L608" i="30"/>
  <c r="L123" i="30"/>
  <c r="P970" i="23"/>
  <c r="L586" i="30"/>
  <c r="N620" i="30"/>
  <c r="P212" i="23"/>
  <c r="N821" i="23"/>
  <c r="N49" i="23"/>
  <c r="O750" i="23"/>
  <c r="N917" i="23"/>
  <c r="N947" i="23"/>
  <c r="M2444" i="21"/>
  <c r="N500" i="30"/>
  <c r="L461" i="30"/>
  <c r="M2430" i="21"/>
  <c r="M368" i="30"/>
  <c r="N177" i="23"/>
  <c r="M502" i="30"/>
  <c r="M609" i="30"/>
  <c r="M2198" i="21"/>
  <c r="N3295" i="21"/>
  <c r="P178" i="23"/>
  <c r="N248" i="30"/>
  <c r="O48" i="23"/>
  <c r="P338" i="23"/>
  <c r="P291" i="23"/>
  <c r="N400" i="23"/>
  <c r="N486" i="23"/>
  <c r="Y145" i="23"/>
  <c r="O373" i="23"/>
  <c r="L3288" i="21"/>
  <c r="Y136" i="23"/>
  <c r="N246" i="23"/>
  <c r="N2525" i="21"/>
  <c r="P713" i="23"/>
  <c r="N628" i="23"/>
  <c r="L605" i="30"/>
  <c r="N3269" i="21"/>
  <c r="N353" i="30"/>
  <c r="N48" i="30"/>
  <c r="M251" i="30"/>
  <c r="O304" i="23"/>
  <c r="N755" i="23"/>
  <c r="P221" i="23"/>
  <c r="N2592" i="21"/>
  <c r="W264" i="30"/>
  <c r="O343" i="23"/>
  <c r="P610" i="23"/>
  <c r="P660" i="23"/>
  <c r="N2250" i="21"/>
  <c r="P261" i="23"/>
  <c r="L2165" i="21"/>
  <c r="M459" i="30"/>
  <c r="P663" i="23"/>
  <c r="O699" i="23"/>
  <c r="N371" i="23"/>
  <c r="N2319" i="21"/>
  <c r="P864" i="23"/>
  <c r="M2574" i="21"/>
  <c r="P882" i="23"/>
  <c r="P300" i="23"/>
  <c r="L446" i="30"/>
  <c r="P579" i="23"/>
  <c r="M317" i="30"/>
  <c r="O966" i="23"/>
  <c r="L101" i="30"/>
  <c r="N2376" i="21"/>
  <c r="P859" i="23"/>
  <c r="P139" i="23"/>
  <c r="N3290" i="21"/>
  <c r="P891" i="23"/>
  <c r="N3277" i="21"/>
  <c r="P531" i="23"/>
  <c r="N810" i="23"/>
  <c r="N900" i="23"/>
  <c r="L2452" i="21"/>
  <c r="O947" i="23"/>
  <c r="L2468" i="21"/>
  <c r="P448" i="23"/>
  <c r="O882" i="23"/>
  <c r="M2542" i="21"/>
  <c r="N911" i="23"/>
  <c r="N81" i="23"/>
  <c r="N66" i="23"/>
  <c r="P569" i="23"/>
  <c r="N359" i="23"/>
  <c r="M3271" i="21"/>
  <c r="P928" i="23"/>
  <c r="M2157" i="21"/>
  <c r="M2520" i="21"/>
  <c r="L2645" i="21"/>
  <c r="L405" i="30"/>
  <c r="N3222" i="21"/>
  <c r="M551" i="30"/>
  <c r="W269" i="30"/>
  <c r="M2558" i="21"/>
  <c r="M2536" i="21"/>
  <c r="L2525" i="21"/>
  <c r="L550" i="30"/>
  <c r="M496" i="30"/>
  <c r="O612" i="23"/>
  <c r="N123" i="23"/>
  <c r="N2500" i="21"/>
  <c r="M3055" i="21"/>
  <c r="P604" i="23"/>
  <c r="P948" i="23"/>
  <c r="N354" i="30"/>
  <c r="N2339" i="21"/>
  <c r="L2255" i="21"/>
  <c r="P306" i="23"/>
  <c r="N948" i="23"/>
  <c r="N2338" i="21"/>
  <c r="N250" i="30"/>
  <c r="L2445" i="21"/>
  <c r="L99" i="30"/>
  <c r="L3332" i="21"/>
  <c r="L548" i="30"/>
  <c r="N228" i="23"/>
  <c r="M338" i="30"/>
  <c r="N2283" i="21"/>
  <c r="N2552" i="21"/>
  <c r="O53" i="23"/>
  <c r="N2192" i="21"/>
  <c r="N2190" i="21" s="1"/>
  <c r="N2396" i="21"/>
  <c r="P143" i="23"/>
  <c r="O964" i="23"/>
  <c r="M512" i="30"/>
  <c r="N2576" i="21"/>
  <c r="N843" i="23"/>
  <c r="N314" i="23"/>
  <c r="M2471" i="21"/>
  <c r="L377" i="30"/>
  <c r="L3311" i="21"/>
  <c r="M226" i="30"/>
  <c r="O347" i="23"/>
  <c r="N194" i="30"/>
  <c r="N197" i="30"/>
  <c r="N84" i="23"/>
  <c r="N410" i="23"/>
  <c r="L124" i="30"/>
  <c r="N2354" i="21"/>
  <c r="N2352" i="21" s="1"/>
  <c r="L513" i="30"/>
  <c r="L353" i="30"/>
  <c r="P471" i="23"/>
  <c r="M548" i="30"/>
  <c r="O292" i="23"/>
  <c r="N3234" i="21"/>
  <c r="W145" i="30"/>
  <c r="L32" i="30"/>
  <c r="N117" i="23"/>
  <c r="N3221" i="21"/>
  <c r="O247" i="23"/>
  <c r="L118" i="30"/>
  <c r="M190" i="30"/>
  <c r="P892" i="23"/>
  <c r="L119" i="30"/>
  <c r="L2500" i="21"/>
  <c r="N862" i="23"/>
  <c r="M458" i="30"/>
  <c r="O930" i="23"/>
  <c r="L2524" i="21"/>
  <c r="N791" i="23"/>
  <c r="N2216" i="21"/>
  <c r="N123" i="30"/>
  <c r="P843" i="23"/>
  <c r="N2288" i="21"/>
  <c r="M2552" i="21"/>
  <c r="M233" i="30"/>
  <c r="M3058" i="21"/>
  <c r="N592" i="30"/>
  <c r="L2219" i="21"/>
  <c r="M2534" i="21"/>
  <c r="N102" i="30"/>
  <c r="P81" i="23"/>
  <c r="N2232" i="21"/>
  <c r="N750" i="23"/>
  <c r="N374" i="30"/>
  <c r="L3235" i="21"/>
  <c r="L2319" i="21"/>
  <c r="P611" i="23"/>
  <c r="N2432" i="21"/>
  <c r="M356" i="30"/>
  <c r="L2518" i="21"/>
  <c r="O965" i="23"/>
  <c r="M538" i="30"/>
  <c r="N839" i="23"/>
  <c r="N85" i="23"/>
  <c r="P826" i="23"/>
  <c r="P51" i="23"/>
  <c r="N28" i="23"/>
  <c r="W2615" i="21"/>
  <c r="O801" i="23"/>
  <c r="L2522" i="21"/>
  <c r="N125" i="23"/>
  <c r="M125" i="30"/>
  <c r="M352" i="30"/>
  <c r="L622" i="30"/>
  <c r="P839" i="23"/>
  <c r="P34" i="23"/>
  <c r="N2391" i="21"/>
  <c r="O293" i="23"/>
  <c r="P84" i="23"/>
  <c r="N2219" i="21"/>
  <c r="N3258" i="21"/>
  <c r="M2484" i="21"/>
  <c r="N586" i="30"/>
  <c r="M2192" i="21"/>
  <c r="M2190" i="21" s="1"/>
  <c r="P639" i="23"/>
  <c r="N3197" i="21"/>
  <c r="M2216" i="21"/>
  <c r="O423" i="23"/>
  <c r="L2157" i="21"/>
  <c r="N357" i="23"/>
  <c r="P606" i="23"/>
  <c r="L3222" i="21"/>
  <c r="P160" i="23"/>
  <c r="P827" i="23"/>
  <c r="O119" i="23"/>
  <c r="L569" i="30"/>
  <c r="M2231" i="21"/>
  <c r="L530" i="30"/>
  <c r="L2519" i="21"/>
  <c r="O630" i="23"/>
  <c r="N32" i="30"/>
  <c r="M485" i="30"/>
  <c r="N2379" i="21"/>
  <c r="N3242" i="21"/>
  <c r="P936" i="23"/>
  <c r="P927" i="23"/>
  <c r="N103" i="23"/>
  <c r="N2435" i="21"/>
  <c r="M520" i="30"/>
  <c r="M2182" i="21"/>
  <c r="P285" i="23"/>
  <c r="W17" i="30"/>
  <c r="M370" i="30"/>
  <c r="N51" i="23"/>
  <c r="L232" i="30"/>
  <c r="L2481" i="21"/>
  <c r="N2249" i="21"/>
  <c r="O486" i="23"/>
  <c r="M2590" i="21"/>
  <c r="M197" i="30"/>
  <c r="P479" i="23"/>
  <c r="M2553" i="21"/>
  <c r="L557" i="30"/>
  <c r="L2338" i="21"/>
  <c r="M2524" i="21"/>
  <c r="P208" i="23"/>
  <c r="N28" i="30"/>
  <c r="P231" i="23"/>
  <c r="P358" i="23"/>
  <c r="N246" i="30"/>
  <c r="O503" i="23"/>
  <c r="L3276" i="21"/>
  <c r="N317" i="23"/>
  <c r="N3215" i="21"/>
  <c r="L503" i="30"/>
  <c r="P945" i="23"/>
  <c r="M2452" i="21"/>
  <c r="L627" i="30"/>
  <c r="L2480" i="21"/>
  <c r="P18" i="23"/>
  <c r="N2535" i="21"/>
  <c r="L519" i="30"/>
  <c r="N2322" i="21"/>
  <c r="M191" i="30"/>
  <c r="N3307" i="21"/>
  <c r="L8" i="30"/>
  <c r="L3223" i="21"/>
  <c r="N626" i="30"/>
  <c r="P333" i="23"/>
  <c r="M476" i="30"/>
  <c r="M539" i="30"/>
  <c r="N658" i="23"/>
  <c r="N202" i="23"/>
  <c r="L2534" i="21"/>
  <c r="N106" i="30"/>
  <c r="O879" i="23"/>
  <c r="M513" i="30"/>
  <c r="L464" i="30"/>
  <c r="N2574" i="21"/>
  <c r="O679" i="23"/>
  <c r="N730" i="23"/>
  <c r="P450" i="23"/>
  <c r="O899" i="23"/>
  <c r="L2198" i="21"/>
  <c r="P586" i="23"/>
  <c r="N2236" i="21"/>
  <c r="N2470" i="21"/>
  <c r="O946" i="23"/>
  <c r="O909" i="23"/>
  <c r="O126" i="23"/>
  <c r="P108" i="23"/>
  <c r="M2487" i="21"/>
  <c r="L411" i="30"/>
  <c r="N2451" i="21"/>
  <c r="Y642" i="23"/>
  <c r="L2176" i="21"/>
  <c r="P751" i="23"/>
  <c r="O233" i="23"/>
  <c r="P226" i="23"/>
  <c r="M2591" i="21"/>
  <c r="M2250" i="21"/>
  <c r="N2164" i="21"/>
  <c r="P504" i="23"/>
  <c r="L549" i="30"/>
  <c r="N3251" i="21"/>
  <c r="L3197" i="21"/>
  <c r="N2520" i="21"/>
  <c r="L191" i="30"/>
  <c r="P137" i="23"/>
  <c r="P648" i="23"/>
  <c r="P33" i="23"/>
  <c r="N2588" i="21"/>
  <c r="N99" i="30"/>
  <c r="N2345" i="21"/>
  <c r="L125" i="30"/>
  <c r="N2444" i="21"/>
  <c r="N159" i="23"/>
  <c r="L2230" i="21"/>
  <c r="P465" i="23"/>
  <c r="P299" i="23"/>
  <c r="L376" i="30"/>
  <c r="M2193" i="21"/>
  <c r="N51" i="30"/>
  <c r="N549" i="23"/>
  <c r="L2591" i="21"/>
  <c r="N912" i="23"/>
  <c r="L2644" i="21"/>
  <c r="N602" i="30"/>
  <c r="P523" i="23"/>
  <c r="P288" i="23"/>
  <c r="N198" i="23"/>
  <c r="M344" i="30"/>
  <c r="P862" i="23"/>
  <c r="O894" i="23"/>
  <c r="P375" i="23"/>
  <c r="N874" i="23"/>
  <c r="N87" i="23"/>
  <c r="O324" i="23"/>
  <c r="N45" i="30"/>
  <c r="N2160" i="21"/>
  <c r="L518" i="30"/>
  <c r="P559" i="23"/>
  <c r="N863" i="23"/>
  <c r="P47" i="23"/>
  <c r="M340" i="30"/>
  <c r="P881" i="23"/>
  <c r="M2525" i="21"/>
  <c r="L573" i="30"/>
  <c r="N873" i="23"/>
  <c r="O843" i="23"/>
  <c r="O900" i="23"/>
  <c r="L356" i="30"/>
  <c r="M227" i="30"/>
  <c r="L3270" i="21"/>
  <c r="P66" i="23"/>
  <c r="W2431" i="21"/>
  <c r="L2483" i="21"/>
  <c r="L3325" i="21"/>
  <c r="P171" i="23"/>
  <c r="N2415" i="21"/>
  <c r="N323" i="23"/>
  <c r="M530" i="30"/>
  <c r="O311" i="23"/>
  <c r="L584" i="30"/>
  <c r="P591" i="23"/>
  <c r="O252" i="23"/>
  <c r="N360" i="23"/>
  <c r="P280" i="23"/>
  <c r="N372" i="30"/>
  <c r="N53" i="30"/>
  <c r="N2519" i="21"/>
  <c r="L539" i="30"/>
  <c r="N3325" i="21"/>
  <c r="M573" i="30"/>
  <c r="P645" i="23"/>
  <c r="O472" i="23"/>
  <c r="P284" i="23"/>
  <c r="N2398" i="21"/>
  <c r="N101" i="23"/>
  <c r="O701" i="23"/>
  <c r="P432" i="23"/>
  <c r="P105" i="23"/>
  <c r="L554" i="30"/>
  <c r="O928" i="23"/>
  <c r="P946" i="23"/>
  <c r="P70" i="23"/>
  <c r="N585" i="30"/>
  <c r="O936" i="23"/>
  <c r="P880" i="23"/>
  <c r="M195" i="30"/>
  <c r="P592" i="23"/>
  <c r="L521" i="30"/>
  <c r="N934" i="23"/>
  <c r="N625" i="23"/>
  <c r="P567" i="23"/>
  <c r="P54" i="23"/>
  <c r="L196" i="30"/>
  <c r="N855" i="23"/>
  <c r="N482" i="30"/>
  <c r="N846" i="23"/>
  <c r="O954" i="23"/>
  <c r="N249" i="23"/>
  <c r="O246" i="23"/>
  <c r="N499" i="23"/>
  <c r="N825" i="23"/>
  <c r="N930" i="23"/>
  <c r="N2306" i="21"/>
  <c r="P198" i="23"/>
  <c r="M462" i="30"/>
  <c r="N2573" i="21"/>
  <c r="N408" i="23"/>
  <c r="N249" i="30"/>
  <c r="N2282" i="21"/>
  <c r="N2280" i="21" s="1"/>
  <c r="P590" i="23"/>
  <c r="M107" i="30"/>
  <c r="W2432" i="21"/>
  <c r="N2375" i="21"/>
  <c r="O881" i="23"/>
  <c r="O336" i="23"/>
  <c r="P625" i="23"/>
  <c r="M353" i="30"/>
  <c r="M350" i="30"/>
  <c r="M377" i="30"/>
  <c r="N2518" i="21"/>
  <c r="L574" i="30"/>
  <c r="N965" i="23"/>
  <c r="M554" i="30"/>
  <c r="N622" i="30"/>
  <c r="L3295" i="21"/>
  <c r="N627" i="30"/>
  <c r="N229" i="23"/>
  <c r="M3272" i="21"/>
  <c r="O470" i="23"/>
  <c r="N227" i="23"/>
  <c r="M249" i="30"/>
  <c r="N574" i="30"/>
  <c r="N3200" i="21"/>
  <c r="P841" i="23"/>
  <c r="L3314" i="21"/>
  <c r="N931" i="23"/>
  <c r="N2193" i="21"/>
  <c r="N191" i="30"/>
  <c r="N2182" i="21"/>
  <c r="L44" i="30"/>
  <c r="P16" i="23"/>
  <c r="P419" i="23"/>
  <c r="P190" i="23"/>
  <c r="L592" i="30"/>
  <c r="N217" i="23"/>
  <c r="N611" i="23"/>
  <c r="M102" i="30"/>
  <c r="M552" i="30"/>
  <c r="N2264" i="21"/>
  <c r="N2262" i="21" s="1"/>
  <c r="N2289" i="21"/>
  <c r="M531" i="30"/>
  <c r="N2427" i="21"/>
  <c r="P246" i="23"/>
  <c r="N226" i="30"/>
  <c r="N48" i="23"/>
  <c r="N448" i="23"/>
  <c r="N751" i="23"/>
  <c r="L16" i="30"/>
  <c r="M534" i="30"/>
  <c r="N2162" i="21"/>
  <c r="M2596" i="21"/>
  <c r="O609" i="23"/>
  <c r="M500" i="30"/>
  <c r="N318" i="23"/>
  <c r="N606" i="23"/>
  <c r="O912" i="23"/>
  <c r="N322" i="23"/>
  <c r="L483" i="30"/>
  <c r="M376" i="30"/>
  <c r="M3056" i="21"/>
  <c r="P464" i="23"/>
  <c r="N3204" i="21"/>
  <c r="N334" i="30"/>
  <c r="L2488" i="21"/>
  <c r="P630" i="23"/>
  <c r="N2343" i="21"/>
  <c r="W2525" i="21"/>
  <c r="L3287" i="21"/>
  <c r="O695" i="23"/>
  <c r="L3293" i="21"/>
  <c r="O624" i="23"/>
  <c r="O125" i="23"/>
  <c r="M2466" i="21"/>
  <c r="N34" i="30"/>
  <c r="P966" i="23"/>
  <c r="M2181" i="21"/>
  <c r="N345" i="30"/>
  <c r="P910" i="23"/>
  <c r="N174" i="23"/>
  <c r="N461" i="23"/>
  <c r="O859" i="23"/>
  <c r="M555" i="30"/>
  <c r="O234" i="23"/>
  <c r="M2214" i="21"/>
  <c r="L2212" i="21"/>
  <c r="O244" i="23"/>
  <c r="O826" i="23"/>
  <c r="N47" i="30"/>
  <c r="L512" i="30"/>
  <c r="P543" i="23"/>
  <c r="P266" i="23"/>
  <c r="N2466" i="21"/>
  <c r="P462" i="23"/>
  <c r="N3330" i="21"/>
  <c r="O841" i="23"/>
  <c r="O804" i="23"/>
  <c r="N477" i="30"/>
  <c r="O49" i="23"/>
  <c r="L3260" i="21"/>
  <c r="N803" i="23"/>
  <c r="N11" i="30"/>
  <c r="P360" i="23"/>
  <c r="O314" i="23"/>
  <c r="O473" i="23"/>
  <c r="L30" i="30"/>
  <c r="O426" i="23"/>
  <c r="N2211" i="21"/>
  <c r="P477" i="23"/>
  <c r="P396" i="23"/>
  <c r="P71" i="23"/>
  <c r="N756" i="23"/>
  <c r="N2228" i="21"/>
  <c r="N2226" i="21" s="1"/>
  <c r="O310" i="23"/>
  <c r="L228" i="30"/>
  <c r="N2326" i="21"/>
  <c r="M2255" i="21"/>
  <c r="N2502" i="21"/>
  <c r="P426" i="23"/>
  <c r="N3223" i="21"/>
  <c r="N3294" i="21"/>
  <c r="L227" i="30"/>
  <c r="N2522" i="21"/>
  <c r="N153" i="23"/>
  <c r="O288" i="23"/>
  <c r="L2201" i="21"/>
  <c r="N340" i="30"/>
  <c r="O226" i="23"/>
  <c r="P65" i="23"/>
  <c r="N2181" i="21"/>
  <c r="L533" i="30"/>
  <c r="L251" i="30"/>
  <c r="P598" i="23"/>
  <c r="O755" i="23"/>
  <c r="N609" i="30"/>
  <c r="P293" i="23"/>
  <c r="W3196" i="21"/>
  <c r="N122" i="30"/>
  <c r="O342" i="23"/>
  <c r="P747" i="23"/>
  <c r="P102" i="23"/>
  <c r="N2517" i="21"/>
  <c r="L591" i="30"/>
  <c r="O502" i="23"/>
  <c r="P376" i="23"/>
  <c r="P354" i="23"/>
  <c r="P624" i="23"/>
  <c r="L352" i="30"/>
  <c r="P195" i="23"/>
  <c r="W20" i="30"/>
  <c r="N2381" i="21"/>
  <c r="P142" i="23"/>
  <c r="L3275" i="21"/>
  <c r="N2165" i="21"/>
  <c r="P191" i="23"/>
  <c r="L2466" i="21"/>
  <c r="W270" i="30"/>
  <c r="O52" i="23"/>
  <c r="N196" i="30"/>
  <c r="N2390" i="21"/>
  <c r="N2388" i="21" s="1"/>
  <c r="P640" i="23"/>
  <c r="W395" i="30"/>
  <c r="M2516" i="21"/>
  <c r="N2589" i="21"/>
  <c r="W2524" i="21"/>
  <c r="N321" i="23"/>
  <c r="W2614" i="21"/>
  <c r="W262" i="30"/>
  <c r="W3209" i="21"/>
  <c r="N819" i="23"/>
  <c r="P537" i="23"/>
  <c r="N226" i="23"/>
  <c r="O753" i="23"/>
  <c r="M2469" i="21"/>
  <c r="N192" i="30"/>
  <c r="P31" i="23"/>
  <c r="O714" i="23"/>
  <c r="P754" i="23"/>
  <c r="N192" i="23"/>
  <c r="P443" i="23"/>
  <c r="O499" i="23"/>
  <c r="O231" i="23"/>
  <c r="N3326" i="21"/>
  <c r="N802" i="23"/>
  <c r="W2517" i="21"/>
  <c r="N502" i="30"/>
  <c r="M2159" i="21"/>
  <c r="P603" i="23"/>
  <c r="L425" i="30"/>
  <c r="N2489" i="21"/>
  <c r="P595" i="23"/>
  <c r="P271" i="23"/>
  <c r="N568" i="30"/>
  <c r="M2252" i="21"/>
  <c r="N3199" i="21"/>
  <c r="P844" i="23"/>
  <c r="O341" i="23"/>
  <c r="N2483" i="21"/>
  <c r="L15" i="30"/>
  <c r="W2616" i="21"/>
  <c r="N2194" i="21"/>
  <c r="O718" i="23"/>
  <c r="L502" i="30"/>
  <c r="M2177" i="21"/>
  <c r="N101" i="30"/>
  <c r="O844" i="23"/>
  <c r="L45" i="30"/>
  <c r="P141" i="23"/>
  <c r="P389" i="23"/>
  <c r="M119" i="30"/>
  <c r="N470" i="23"/>
  <c r="M2499" i="21"/>
  <c r="W2521" i="21"/>
  <c r="L27" i="30"/>
  <c r="P415" i="23"/>
  <c r="M514" i="30"/>
  <c r="M484" i="30"/>
  <c r="M243" i="30"/>
  <c r="N2157" i="21"/>
  <c r="L2506" i="21"/>
  <c r="N341" i="30"/>
  <c r="M2237" i="21"/>
  <c r="N3205" i="21"/>
  <c r="M2175" i="21"/>
  <c r="N329" i="23"/>
  <c r="L3233" i="21"/>
  <c r="L195" i="30"/>
  <c r="N124" i="23"/>
  <c r="L603" i="30"/>
  <c r="L443" i="30"/>
  <c r="N2300" i="21"/>
  <c r="N2298" i="21" s="1"/>
  <c r="L2590" i="21"/>
  <c r="O123" i="23"/>
  <c r="O376" i="23"/>
  <c r="M575" i="30"/>
  <c r="O325" i="23"/>
  <c r="O309" i="23"/>
  <c r="N199" i="23"/>
  <c r="N213" i="23"/>
  <c r="W263" i="30"/>
  <c r="L423" i="30"/>
  <c r="M2540" i="21"/>
  <c r="P249" i="23"/>
  <c r="O83" i="23"/>
  <c r="N373" i="23"/>
  <c r="N197" i="23"/>
  <c r="L2535" i="21"/>
  <c r="N376" i="23"/>
  <c r="M2435" i="21"/>
  <c r="N315" i="23"/>
  <c r="L610" i="30"/>
  <c r="N3291" i="21"/>
  <c r="P340" i="23"/>
  <c r="N2447" i="21"/>
  <c r="N604" i="30"/>
  <c r="L482" i="30"/>
  <c r="N2572" i="21"/>
  <c r="W2427" i="21"/>
  <c r="N2524" i="21"/>
  <c r="O819" i="23"/>
  <c r="O917" i="23"/>
  <c r="M574" i="30"/>
  <c r="P605" i="23"/>
  <c r="P359" i="23"/>
  <c r="L480" i="30"/>
  <c r="N331" i="30"/>
  <c r="N2200" i="21"/>
  <c r="N572" i="30"/>
  <c r="L620" i="30"/>
  <c r="N351" i="30"/>
  <c r="N120" i="30"/>
  <c r="O340" i="23"/>
  <c r="O321" i="23"/>
  <c r="O424" i="23"/>
  <c r="L551" i="30"/>
  <c r="L604" i="30"/>
  <c r="N605" i="23"/>
  <c r="O354" i="23"/>
  <c r="O629" i="23"/>
  <c r="P545" i="23"/>
  <c r="P392" i="23"/>
  <c r="N352" i="23"/>
  <c r="L476" i="30"/>
  <c r="N29" i="30"/>
  <c r="Y643" i="23"/>
  <c r="N484" i="23"/>
  <c r="N2196" i="21"/>
  <c r="L588" i="30"/>
  <c r="N2358" i="21"/>
  <c r="N2504" i="21"/>
  <c r="L2318" i="21"/>
  <c r="L2316" i="21" s="1"/>
  <c r="N338" i="30"/>
  <c r="P407" i="23"/>
  <c r="Y639" i="23"/>
  <c r="W386" i="30"/>
  <c r="M359" i="30"/>
  <c r="N2399" i="21"/>
  <c r="P203" i="23"/>
  <c r="O898" i="23"/>
  <c r="N2397" i="21"/>
  <c r="N358" i="23"/>
  <c r="N880" i="23"/>
  <c r="P263" i="23"/>
  <c r="M606" i="30"/>
  <c r="L429" i="30"/>
  <c r="N936" i="23"/>
  <c r="O497" i="23"/>
  <c r="O359" i="23"/>
  <c r="P548" i="23"/>
  <c r="L531" i="30"/>
  <c r="N472" i="23"/>
  <c r="N2537" i="21"/>
  <c r="P229" i="23"/>
  <c r="N207" i="23"/>
  <c r="N713" i="23"/>
  <c r="M2450" i="21"/>
  <c r="N2380" i="21"/>
  <c r="L3257" i="21"/>
  <c r="P12" i="23"/>
  <c r="O357" i="23"/>
  <c r="P431" i="23"/>
  <c r="N2538" i="21"/>
  <c r="N2195" i="21"/>
  <c r="P155" i="23"/>
  <c r="N3217" i="21"/>
  <c r="N575" i="30"/>
  <c r="L515" i="30"/>
  <c r="M467" i="30"/>
  <c r="O717" i="23"/>
  <c r="N139" i="23"/>
  <c r="N353" i="23"/>
  <c r="L2589" i="21"/>
  <c r="Y19" i="23"/>
  <c r="M124" i="30"/>
  <c r="P281" i="23"/>
  <c r="L224" i="30"/>
  <c r="L585" i="30"/>
  <c r="P120" i="23"/>
  <c r="N2558" i="21"/>
  <c r="P513" i="23"/>
  <c r="N11" i="23"/>
  <c r="M497" i="30"/>
  <c r="L552" i="30"/>
  <c r="N118" i="23"/>
  <c r="M623" i="30"/>
  <c r="P572" i="23"/>
  <c r="N548" i="23"/>
  <c r="L3204" i="21"/>
  <c r="L465" i="30"/>
  <c r="L2210" i="21"/>
  <c r="L2208" i="21" s="1"/>
  <c r="L28" i="30"/>
  <c r="O748" i="23"/>
  <c r="N243" i="23"/>
  <c r="N483" i="30"/>
  <c r="P273" i="23"/>
  <c r="M2483" i="21"/>
  <c r="N623" i="23"/>
  <c r="N573" i="30"/>
  <c r="P658" i="23"/>
  <c r="P188" i="23"/>
  <c r="N2180" i="21"/>
  <c r="N389" i="23"/>
  <c r="L370" i="30"/>
  <c r="P621" i="23"/>
  <c r="M322" i="30"/>
  <c r="O296" i="23"/>
  <c r="M537" i="30"/>
  <c r="N2176" i="21"/>
  <c r="M503" i="30"/>
  <c r="O353" i="23"/>
  <c r="L449" i="30"/>
  <c r="P481" i="23"/>
  <c r="P424" i="23"/>
  <c r="N203" i="23"/>
  <c r="N627" i="23"/>
  <c r="P336" i="23"/>
  <c r="Y137" i="23"/>
  <c r="M567" i="30"/>
  <c r="L194" i="30"/>
  <c r="P328" i="23"/>
  <c r="O346" i="23"/>
  <c r="P341" i="23"/>
  <c r="N664" i="23"/>
  <c r="P311" i="23"/>
  <c r="L2158" i="21"/>
  <c r="L357" i="30"/>
  <c r="P473" i="23"/>
  <c r="P334" i="23"/>
  <c r="M2579" i="21"/>
  <c r="N225" i="30"/>
  <c r="N195" i="23"/>
  <c r="M586" i="30"/>
  <c r="N12" i="30"/>
  <c r="N98" i="30"/>
  <c r="L537" i="30"/>
  <c r="P159" i="23"/>
  <c r="P46" i="23"/>
  <c r="P737" i="23"/>
  <c r="M351" i="30"/>
  <c r="O85" i="23"/>
  <c r="N390" i="23"/>
  <c r="O225" i="23"/>
  <c r="L246" i="30"/>
  <c r="P406" i="23"/>
  <c r="L3313" i="21"/>
  <c r="M550" i="30"/>
  <c r="N208" i="23"/>
  <c r="N2229" i="21"/>
  <c r="P418" i="23"/>
  <c r="L2516" i="21"/>
  <c r="N3241" i="21"/>
  <c r="P953" i="23"/>
  <c r="O875" i="23"/>
  <c r="L2561" i="21"/>
  <c r="L485" i="30"/>
  <c r="M101" i="30"/>
  <c r="N495" i="30"/>
  <c r="L408" i="30"/>
  <c r="M2176" i="21"/>
  <c r="M248" i="30"/>
  <c r="P220" i="23"/>
  <c r="N657" i="23"/>
  <c r="L2183" i="21"/>
  <c r="N370" i="30"/>
  <c r="N210" i="23"/>
  <c r="N790" i="23"/>
  <c r="N2452" i="21"/>
  <c r="N2453" i="21"/>
  <c r="M495" i="30"/>
  <c r="P387" i="23"/>
  <c r="M2427" i="21"/>
  <c r="M2518" i="21"/>
  <c r="L2218" i="21"/>
  <c r="N677" i="23"/>
  <c r="N603" i="23"/>
  <c r="P153" i="23"/>
  <c r="L350" i="30"/>
  <c r="M188" i="30"/>
  <c r="W8" i="30"/>
  <c r="M2178" i="21"/>
  <c r="N2325" i="21"/>
  <c r="O306" i="23"/>
  <c r="W392" i="30"/>
  <c r="N116" i="30"/>
  <c r="N388" i="23"/>
  <c r="N715" i="23"/>
  <c r="N2163" i="21"/>
  <c r="P307" i="23"/>
  <c r="N2361" i="21"/>
  <c r="L2462" i="21"/>
  <c r="P267" i="23"/>
  <c r="M588" i="30"/>
  <c r="L100" i="30"/>
  <c r="M323" i="30"/>
  <c r="N357" i="30"/>
  <c r="N877" i="23"/>
  <c r="N612" i="23"/>
  <c r="O232" i="23"/>
  <c r="P252" i="23"/>
  <c r="N233" i="23"/>
  <c r="L2540" i="21"/>
  <c r="M2537" i="21"/>
  <c r="L494" i="30"/>
  <c r="O371" i="23"/>
  <c r="N892" i="23"/>
  <c r="N189" i="30"/>
  <c r="N460" i="23"/>
  <c r="L602" i="30"/>
  <c r="O338" i="23"/>
  <c r="P666" i="23"/>
  <c r="P119" i="23"/>
  <c r="N2556" i="21"/>
  <c r="O323" i="23"/>
  <c r="Y20" i="23"/>
  <c r="O677" i="23"/>
  <c r="N2578" i="21"/>
  <c r="N3271" i="21"/>
  <c r="N401" i="23"/>
  <c r="L498" i="30"/>
  <c r="O307" i="23"/>
  <c r="L2181" i="21"/>
  <c r="N660" i="23"/>
  <c r="O291" i="23"/>
  <c r="L2211" i="21"/>
  <c r="M603" i="30"/>
  <c r="N242" i="30"/>
  <c r="Y139" i="23"/>
  <c r="L629" i="30"/>
  <c r="N65" i="23"/>
  <c r="N2214" i="21"/>
  <c r="P173" i="23"/>
  <c r="W268" i="30"/>
  <c r="M196" i="30"/>
  <c r="O316" i="23"/>
  <c r="M2482" i="21"/>
  <c r="N915" i="23"/>
  <c r="N67" i="23"/>
  <c r="P642" i="23"/>
  <c r="P400" i="23"/>
  <c r="P245" i="23"/>
  <c r="O864" i="23"/>
  <c r="P397" i="23"/>
  <c r="N2302" i="21"/>
  <c r="O737" i="23"/>
  <c r="P216" i="23"/>
  <c r="M374" i="30"/>
  <c r="P840" i="23"/>
  <c r="N14" i="30"/>
  <c r="N162" i="23"/>
  <c r="O315" i="23"/>
  <c r="P711" i="23"/>
  <c r="O821" i="23"/>
  <c r="P194" i="23"/>
  <c r="L3331" i="21"/>
  <c r="L2213" i="21"/>
  <c r="M2465" i="21"/>
  <c r="W144" i="30"/>
  <c r="L2177" i="21"/>
  <c r="P498" i="23"/>
  <c r="P388" i="23"/>
  <c r="W3197" i="21"/>
  <c r="N2373" i="21"/>
  <c r="P126" i="23"/>
  <c r="P405" i="23"/>
  <c r="O597" i="23"/>
  <c r="L447" i="30"/>
  <c r="N2577" i="21"/>
  <c r="N394" i="23"/>
  <c r="W137" i="30"/>
  <c r="P268" i="23"/>
  <c r="L48" i="30"/>
  <c r="L514" i="30"/>
  <c r="O84" i="23"/>
  <c r="W512" i="30"/>
  <c r="P262" i="23"/>
  <c r="N2374" i="21"/>
  <c r="O715" i="23"/>
  <c r="P486" i="23"/>
  <c r="W135" i="30"/>
  <c r="P107" i="23"/>
  <c r="N718" i="23"/>
  <c r="W2430" i="21"/>
  <c r="O297" i="23"/>
  <c r="L2588" i="21"/>
  <c r="W2515" i="21"/>
  <c r="P554" i="23"/>
  <c r="O803" i="23"/>
  <c r="N675" i="23"/>
  <c r="M192" i="30"/>
  <c r="L248" i="30"/>
  <c r="O927" i="23"/>
  <c r="N189" i="23"/>
  <c r="M464" i="30"/>
  <c r="N630" i="23"/>
  <c r="O621" i="23"/>
  <c r="N588" i="30"/>
  <c r="L351" i="30"/>
  <c r="M516" i="30"/>
  <c r="L410" i="30"/>
  <c r="N2265" i="21"/>
  <c r="Y651" i="23"/>
  <c r="P227" i="23"/>
  <c r="N569" i="30"/>
  <c r="M346" i="30"/>
  <c r="L626" i="30"/>
  <c r="P342" i="23"/>
  <c r="W390" i="30"/>
  <c r="P732" i="23"/>
  <c r="N2596" i="21"/>
  <c r="L3306" i="21"/>
  <c r="W513" i="30"/>
  <c r="N3308" i="21"/>
  <c r="N647" i="23"/>
  <c r="N2543" i="21"/>
  <c r="O335" i="23"/>
  <c r="P499" i="23"/>
  <c r="P408" i="23"/>
  <c r="L3307" i="21"/>
  <c r="Y134" i="23"/>
  <c r="P731" i="23"/>
  <c r="O329" i="23"/>
  <c r="N221" i="23"/>
  <c r="P550" i="23"/>
  <c r="L2237" i="21"/>
  <c r="W524" i="30"/>
  <c r="M494" i="30"/>
  <c r="L35" i="30"/>
  <c r="P318" i="23"/>
  <c r="N201" i="23"/>
  <c r="W398" i="30"/>
  <c r="L3241" i="21"/>
  <c r="W2617" i="21"/>
  <c r="O229" i="23"/>
  <c r="N479" i="30"/>
  <c r="M549" i="30"/>
  <c r="Y141" i="23"/>
  <c r="L2178" i="21"/>
  <c r="P410" i="23"/>
  <c r="M372" i="30"/>
  <c r="N414" i="23"/>
  <c r="N252" i="23"/>
  <c r="M587" i="30"/>
  <c r="P260" i="23"/>
  <c r="P573" i="23"/>
  <c r="N46" i="23"/>
  <c r="N30" i="30"/>
  <c r="N731" i="23"/>
  <c r="O738" i="23"/>
  <c r="L3277" i="21"/>
  <c r="N2290" i="21"/>
  <c r="N53" i="23"/>
  <c r="W391" i="30"/>
  <c r="M2428" i="21"/>
  <c r="O358" i="23"/>
  <c r="O51" i="23"/>
  <c r="N188" i="23"/>
  <c r="P278" i="23"/>
  <c r="W3207" i="21"/>
  <c r="M556" i="30"/>
  <c r="N3293" i="21"/>
  <c r="N216" i="23"/>
  <c r="L2646" i="21"/>
  <c r="W146" i="30"/>
  <c r="M620" i="30"/>
  <c r="P496" i="23"/>
  <c r="N100" i="23"/>
  <c r="M337" i="30"/>
  <c r="M2489" i="21"/>
  <c r="P563" i="23"/>
  <c r="N3218" i="21"/>
  <c r="L442" i="30"/>
  <c r="M99" i="30"/>
  <c r="N2178" i="21"/>
  <c r="L359" i="30"/>
  <c r="L556" i="30"/>
  <c r="N2318" i="21"/>
  <c r="N2316" i="21" s="1"/>
  <c r="L2160" i="21"/>
  <c r="L98" i="30"/>
  <c r="W136" i="30"/>
  <c r="M2517" i="21"/>
  <c r="P646" i="23"/>
  <c r="N2498" i="21"/>
  <c r="M2556" i="21"/>
  <c r="N179" i="23"/>
  <c r="W142" i="30"/>
  <c r="L2236" i="21"/>
  <c r="M328" i="30"/>
  <c r="N2268" i="21"/>
  <c r="N107" i="23"/>
  <c r="W2606" i="21"/>
  <c r="N3237" i="21"/>
  <c r="W3205" i="21"/>
  <c r="P214" i="23"/>
  <c r="N593" i="30"/>
  <c r="N2428" i="21"/>
  <c r="Y638" i="23"/>
  <c r="N332" i="30"/>
  <c r="N498" i="30"/>
  <c r="N232" i="30"/>
  <c r="P520" i="23"/>
  <c r="L412" i="30"/>
  <c r="L2451" i="21"/>
  <c r="N733" i="23"/>
  <c r="P423" i="23"/>
  <c r="P399" i="23"/>
  <c r="M2236" i="21"/>
  <c r="O504" i="23"/>
  <c r="L2596" i="21"/>
  <c r="L2246" i="21"/>
  <c r="L2244" i="21" s="1"/>
  <c r="N3270" i="21"/>
  <c r="M610" i="30"/>
  <c r="P321" i="23"/>
  <c r="M319" i="30"/>
  <c r="N399" i="23"/>
  <c r="W2610" i="21"/>
  <c r="N481" i="23"/>
  <c r="P52" i="23"/>
  <c r="M324" i="30"/>
  <c r="N339" i="30"/>
  <c r="O628" i="23"/>
  <c r="P609" i="23"/>
  <c r="L375" i="30"/>
  <c r="L231" i="30"/>
  <c r="N2309" i="21"/>
  <c r="N2159" i="21"/>
  <c r="M2432" i="21"/>
  <c r="Y647" i="23"/>
  <c r="P378" i="23"/>
  <c r="N89" i="23"/>
  <c r="N45" i="23"/>
  <c r="Y648" i="23"/>
  <c r="N209" i="23"/>
  <c r="L428" i="30"/>
  <c r="L477" i="30"/>
  <c r="N702" i="23"/>
  <c r="L431" i="30"/>
  <c r="N2253" i="21"/>
  <c r="O251" i="23"/>
  <c r="W265" i="30"/>
  <c r="N624" i="23"/>
  <c r="O478" i="23"/>
  <c r="O305" i="23"/>
  <c r="O610" i="23"/>
  <c r="P30" i="23"/>
  <c r="O334" i="23"/>
  <c r="M605" i="30"/>
  <c r="O302" i="23"/>
  <c r="O327" i="23"/>
  <c r="M2561" i="21"/>
  <c r="N2286" i="21"/>
  <c r="M2164" i="21"/>
  <c r="N212" i="23"/>
  <c r="L2499" i="21"/>
  <c r="W511" i="30"/>
  <c r="N2212" i="21"/>
  <c r="L593" i="30"/>
  <c r="N2304" i="21"/>
  <c r="P343" i="23"/>
  <c r="P156" i="23"/>
  <c r="P351" i="23"/>
  <c r="W18" i="30"/>
  <c r="M333" i="30"/>
  <c r="P210" i="23"/>
  <c r="N2484" i="21"/>
  <c r="N666" i="23"/>
  <c r="Y142" i="23"/>
  <c r="N717" i="23"/>
  <c r="N356" i="30"/>
  <c r="L3271" i="21"/>
  <c r="P444" i="23"/>
  <c r="P144" i="23"/>
  <c r="N496" i="23"/>
  <c r="O352" i="23"/>
  <c r="Y140" i="23"/>
  <c r="O481" i="23"/>
  <c r="O245" i="23"/>
  <c r="L233" i="30"/>
  <c r="N2480" i="21"/>
  <c r="N26" i="30"/>
  <c r="Y641" i="23"/>
  <c r="W138" i="30"/>
  <c r="Y144" i="23"/>
  <c r="N665" i="23"/>
  <c r="W3206" i="21"/>
  <c r="O711" i="23"/>
  <c r="N663" i="23"/>
  <c r="M2451" i="21"/>
  <c r="O731" i="23"/>
  <c r="N2393" i="21"/>
  <c r="L2427" i="21"/>
  <c r="W16" i="30"/>
  <c r="N483" i="23"/>
  <c r="N190" i="23"/>
  <c r="N119" i="23"/>
  <c r="O603" i="23"/>
  <c r="P233" i="23"/>
  <c r="N2307" i="21"/>
  <c r="W2611" i="21"/>
  <c r="W520" i="30"/>
  <c r="W139" i="30"/>
  <c r="W2612" i="21"/>
  <c r="W521" i="30"/>
  <c r="W260" i="30"/>
  <c r="L570" i="30"/>
  <c r="M626" i="30"/>
  <c r="L3240" i="21"/>
  <c r="M2447" i="21"/>
  <c r="N18" i="23"/>
  <c r="N2357" i="21"/>
  <c r="L2429" i="21"/>
  <c r="P87" i="23"/>
  <c r="P404" i="23"/>
  <c r="L2254" i="21"/>
  <c r="O749" i="23"/>
  <c r="Y17" i="23"/>
  <c r="P641" i="23"/>
  <c r="W396" i="30"/>
  <c r="W271" i="30"/>
  <c r="W14" i="30"/>
  <c r="L497" i="30"/>
  <c r="P825" i="23"/>
  <c r="L3200" i="21"/>
  <c r="M2213" i="21"/>
  <c r="N161" i="23"/>
  <c r="M2162" i="21"/>
  <c r="N2571" i="21"/>
  <c r="P215" i="23"/>
  <c r="L368" i="30"/>
  <c r="L575" i="30"/>
  <c r="P425" i="23"/>
  <c r="P228" i="23"/>
  <c r="N701" i="23"/>
  <c r="O108" i="23"/>
  <c r="L245" i="30"/>
  <c r="L244" i="30"/>
  <c r="N2308" i="21"/>
  <c r="W259" i="30"/>
  <c r="N2445" i="21"/>
  <c r="M608" i="30"/>
  <c r="P551" i="23"/>
  <c r="O605" i="23"/>
  <c r="P339" i="23"/>
  <c r="L2235" i="21"/>
  <c r="M2554" i="21"/>
  <c r="O484" i="23"/>
  <c r="N99" i="23"/>
  <c r="Y138" i="23"/>
  <c r="W2608" i="21"/>
  <c r="P468" i="23"/>
  <c r="N478" i="23"/>
  <c r="L3205" i="21"/>
  <c r="P85" i="23"/>
  <c r="P11" i="23"/>
  <c r="O594" i="23"/>
  <c r="N2534" i="21"/>
  <c r="P296" i="23"/>
  <c r="M2217" i="21"/>
  <c r="L2321" i="21"/>
  <c r="N144" i="23"/>
  <c r="O625" i="23"/>
  <c r="Y143" i="23"/>
  <c r="N108" i="23"/>
  <c r="P497" i="23"/>
  <c r="O303" i="23"/>
  <c r="N661" i="23"/>
  <c r="P72" i="23"/>
  <c r="M2486" i="21"/>
  <c r="N629" i="23"/>
  <c r="N659" i="23"/>
  <c r="O345" i="23"/>
  <c r="L426" i="30"/>
  <c r="N413" i="23"/>
  <c r="N753" i="23"/>
  <c r="N2270" i="21"/>
  <c r="L26" i="30"/>
  <c r="L621" i="30"/>
  <c r="M3062" i="21"/>
  <c r="W3208" i="21"/>
  <c r="O747" i="23"/>
  <c r="W261" i="30"/>
  <c r="L107" i="30"/>
  <c r="L424" i="30"/>
  <c r="W515" i="30"/>
  <c r="O700" i="23"/>
  <c r="M572" i="30"/>
  <c r="O298" i="23"/>
  <c r="N711" i="23"/>
  <c r="W516" i="30"/>
  <c r="M369" i="30"/>
  <c r="L413" i="30"/>
  <c r="N628" i="30"/>
  <c r="L2217" i="21"/>
  <c r="N16" i="23"/>
  <c r="W393" i="30"/>
  <c r="N3233" i="21"/>
  <c r="W2609" i="21"/>
  <c r="N700" i="23"/>
  <c r="P394" i="23"/>
  <c r="W517" i="30"/>
  <c r="Y18" i="23"/>
  <c r="N15" i="23"/>
  <c r="M557" i="30"/>
  <c r="W7" i="30"/>
  <c r="P121" i="23"/>
  <c r="P447" i="23"/>
  <c r="L2337" i="21"/>
  <c r="N393" i="23"/>
  <c r="M536" i="30"/>
  <c r="O339" i="23"/>
  <c r="N404" i="23"/>
  <c r="L2541" i="21"/>
  <c r="W394" i="30"/>
  <c r="P393" i="23"/>
  <c r="Y640" i="23"/>
  <c r="W389" i="30"/>
  <c r="W134" i="30"/>
  <c r="W140" i="30"/>
  <c r="W15" i="30"/>
  <c r="N245" i="23"/>
  <c r="O375" i="23"/>
  <c r="P733" i="23"/>
  <c r="M2254" i="21"/>
  <c r="Y9" i="23"/>
  <c r="W387" i="30"/>
  <c r="M335" i="30"/>
  <c r="N3314" i="21"/>
  <c r="W267" i="30"/>
  <c r="N2468" i="21"/>
  <c r="W514" i="30"/>
  <c r="W397" i="30"/>
  <c r="O675" i="23"/>
  <c r="L2252" i="21"/>
  <c r="N52" i="23"/>
  <c r="N2266" i="21"/>
  <c r="L2592" i="21"/>
  <c r="W2613" i="21"/>
  <c r="W2618" i="21"/>
  <c r="N143" i="23"/>
  <c r="L3294" i="21"/>
  <c r="L2463" i="21"/>
  <c r="W518" i="30"/>
  <c r="N591" i="30"/>
  <c r="P412" i="23"/>
  <c r="P623" i="23"/>
  <c r="Y644" i="23"/>
  <c r="W2607" i="21"/>
  <c r="N2344" i="21"/>
  <c r="N206" i="23"/>
  <c r="N351" i="23"/>
  <c r="M88" i="30"/>
  <c r="P395" i="23"/>
  <c r="Y146" i="23"/>
  <c r="L611" i="30"/>
  <c r="N16" i="30"/>
  <c r="Y21" i="23"/>
  <c r="L214" i="30"/>
  <c r="N44" i="30"/>
  <c r="P430" i="23"/>
  <c r="N395" i="23"/>
  <c r="N801" i="23"/>
  <c r="M2211" i="21"/>
  <c r="Y147" i="23"/>
  <c r="M371" i="30"/>
  <c r="N719" i="23"/>
  <c r="O289" i="23"/>
  <c r="Y649" i="23"/>
  <c r="P570" i="23"/>
  <c r="N2267" i="21"/>
  <c r="P209" i="23"/>
  <c r="O278" i="23"/>
  <c r="M3373" i="21"/>
  <c r="M261" i="30"/>
  <c r="N2411" i="21"/>
  <c r="N513" i="23"/>
  <c r="N697" i="23"/>
  <c r="N2414" i="21"/>
  <c r="N2410" i="21"/>
  <c r="M166" i="30"/>
  <c r="M2500" i="21"/>
  <c r="M3288" i="21"/>
  <c r="M2505" i="21"/>
  <c r="M2502" i="21"/>
  <c r="N2412" i="21"/>
  <c r="M2506" i="21"/>
  <c r="M160" i="30"/>
  <c r="M2504" i="21"/>
  <c r="M2501" i="21"/>
  <c r="M172" i="30"/>
  <c r="M162" i="30"/>
  <c r="M81" i="30"/>
  <c r="O467" i="23"/>
  <c r="L208" i="30"/>
  <c r="O81" i="23"/>
  <c r="M3341" i="21"/>
  <c r="K112" i="30" a="1"/>
  <c r="M436" i="23" a="1"/>
  <c r="M596" i="23" a="1"/>
  <c r="L778" i="23" a="1"/>
  <c r="I234" i="30" a="1"/>
  <c r="K704" i="23" a="1"/>
  <c r="J3166" i="21" a="1"/>
  <c r="K36" i="30" a="1"/>
  <c r="J649" i="23" a="1"/>
  <c r="K235" i="23" a="1"/>
  <c r="I2689" i="21" a="1"/>
  <c r="M165" i="23" a="1"/>
  <c r="J3246" i="21" a="1"/>
  <c r="L760" i="23" a="1"/>
  <c r="I634" i="30" a="1"/>
  <c r="J166" i="23" a="1"/>
  <c r="J428" i="23" a="1"/>
  <c r="J435" i="23" a="1"/>
  <c r="I3238" i="21" a="1"/>
  <c r="I3261" i="21" a="1"/>
  <c r="J3160" i="21" a="1"/>
  <c r="L777" i="23" a="1"/>
  <c r="K158" i="23" a="1"/>
  <c r="M771" i="23" a="1"/>
  <c r="M452" i="23" a="1"/>
  <c r="K614" i="30" a="1"/>
  <c r="M91" i="23" a="1"/>
  <c r="M75" i="23" a="1"/>
  <c r="J40" i="30" a="1"/>
  <c r="K2613" i="21" a="1"/>
  <c r="K50" i="23" a="1"/>
  <c r="M571" i="23" a="1"/>
  <c r="I2685" i="21" a="1"/>
  <c r="J475" i="30" a="1"/>
  <c r="K128" i="23" a="1"/>
  <c r="J3301" i="21" a="1"/>
  <c r="I2677" i="21" a="1"/>
  <c r="J3139" i="21" a="1"/>
  <c r="I2681" i="21" a="1"/>
  <c r="J3120" i="21" a="1"/>
  <c r="K381" i="23" a="1"/>
  <c r="M164" i="23" a="1"/>
  <c r="I3137" i="21" a="1"/>
  <c r="K2636" i="21" a="1"/>
  <c r="K774" i="23" a="1"/>
  <c r="K147" i="23" a="1"/>
  <c r="M26" i="23" a="1"/>
  <c r="L812" i="23" a="1"/>
  <c r="J2642" i="21" a="1"/>
  <c r="K3210" i="21" a="1"/>
  <c r="J602" i="23" a="1"/>
  <c r="K127" i="23" a="1"/>
  <c r="M380" i="23" a="1"/>
  <c r="J229" i="30" a="1"/>
  <c r="M112" i="23" a="1"/>
  <c r="K812" i="23" a="1"/>
  <c r="J2652" i="21" a="1"/>
  <c r="J3153" i="21" a="1"/>
  <c r="J380" i="30" a="1"/>
  <c r="K2625" i="21" a="1"/>
  <c r="I2682" i="21" a="1"/>
  <c r="M685" i="23" a="1"/>
  <c r="J256" i="23" a="1"/>
  <c r="I2609" i="21" a="1"/>
  <c r="L811" i="23" a="1"/>
  <c r="K615" i="30" a="1"/>
  <c r="J103" i="30" a="1"/>
  <c r="I238" i="30" a="1"/>
  <c r="J3282" i="21" a="1"/>
  <c r="J617" i="23" a="1"/>
  <c r="I378" i="30" a="1"/>
  <c r="M94" i="23" a="1"/>
  <c r="M759" i="23" a="1"/>
  <c r="K507" i="30" a="1"/>
  <c r="M166" i="23" a="1"/>
  <c r="K487" i="30" a="1"/>
  <c r="K3247" i="21" a="1"/>
  <c r="I616" i="30" a="1"/>
  <c r="I2662" i="21" a="1"/>
  <c r="J3317" i="21" a="1"/>
  <c r="K2669" i="21" a="1"/>
  <c r="K446" i="23" a="1"/>
  <c r="J761" i="23" a="1"/>
  <c r="K815" i="23" a="1"/>
  <c r="I382" i="30" a="1"/>
  <c r="K814" i="23" a="1"/>
  <c r="M152" i="23" a="1"/>
  <c r="K2677" i="21" a="1"/>
  <c r="J361" i="23" a="1"/>
  <c r="J3220" i="21" a="1"/>
  <c r="I3174" i="21" a="1"/>
  <c r="M649" i="23" a="1"/>
  <c r="J2656" i="21" a="1"/>
  <c r="I3301" i="21" a="1"/>
  <c r="J382" i="30" a="1"/>
  <c r="M815" i="23" a="1"/>
  <c r="K2684" i="21" a="1"/>
  <c r="K779" i="23" a="1"/>
  <c r="K771" i="23" a="1"/>
  <c r="K653" i="23" a="1"/>
  <c r="M633" i="23" a="1"/>
  <c r="I3246" i="21" a="1"/>
  <c r="I504" i="30" a="1"/>
  <c r="J760" i="23" a="1"/>
  <c r="K21" i="30" a="1"/>
  <c r="K2662" i="21" a="1"/>
  <c r="M368" i="23" a="1"/>
  <c r="K256" i="23" a="1"/>
  <c r="I3228" i="21" a="1"/>
  <c r="K2646" i="21" a="1"/>
  <c r="K3214" i="21" a="1"/>
  <c r="M146" i="23" a="1"/>
  <c r="J20" i="30" a="1"/>
  <c r="I486" i="30" a="1"/>
  <c r="J2608" i="21" a="1"/>
  <c r="M236" i="23" a="1"/>
  <c r="J3250" i="21" a="1"/>
  <c r="J163" i="23" a="1"/>
  <c r="K631" i="23" a="1"/>
  <c r="J3135" i="21" a="1"/>
  <c r="J739" i="23" a="1"/>
  <c r="I109" i="30" a="1"/>
  <c r="M32" i="23" a="1"/>
  <c r="J2643" i="21" a="1"/>
  <c r="I2630" i="21" a="1"/>
  <c r="K2655" i="21" a="1"/>
  <c r="I3283" i="21" a="1"/>
  <c r="I3250" i="21" a="1"/>
  <c r="J80" i="23" a="1"/>
  <c r="M644" i="23" a="1"/>
  <c r="M44" i="23" a="1"/>
  <c r="K620" i="23" a="1"/>
  <c r="J688" i="23" a="1"/>
  <c r="K3299" i="21" a="1"/>
  <c r="K2660" i="21" a="1"/>
  <c r="K758" i="23" a="1"/>
  <c r="J720" i="23" a="1"/>
  <c r="J235" i="23" a="1"/>
  <c r="M350" i="23" a="1"/>
  <c r="I2616" i="21" a="1"/>
  <c r="J3175" i="21" a="1"/>
  <c r="I2678" i="21" a="1"/>
  <c r="I381" i="30" a="1"/>
  <c r="K613" i="23" a="1"/>
  <c r="I3243" i="21" a="1"/>
  <c r="K40" i="30" a="1"/>
  <c r="L772" i="23" a="1"/>
  <c r="J2615" i="21" a="1"/>
  <c r="J32" i="23" a="1"/>
  <c r="K725" i="23" a="1"/>
  <c r="J2651" i="21" a="1"/>
  <c r="K116" i="23" a="1"/>
  <c r="K2685" i="21" a="1"/>
  <c r="J367" i="30" a="1"/>
  <c r="M728" i="23" a="1"/>
  <c r="J2631" i="21" a="1"/>
  <c r="M21" i="23" a="1"/>
  <c r="J631" i="23" a="1"/>
  <c r="K3280" i="21" a="1"/>
  <c r="I2650" i="21" a="1"/>
  <c r="K367" i="30" a="1"/>
  <c r="I380" i="30" a="1"/>
  <c r="K475" i="30" a="1"/>
  <c r="J3310" i="21" a="1"/>
  <c r="J2613" i="21" a="1"/>
  <c r="K778" i="23" a="1"/>
  <c r="L776" i="23" a="1"/>
  <c r="J111" i="30" a="1"/>
  <c r="I241" i="30" a="1"/>
  <c r="M382" i="23" a="1"/>
  <c r="I2656" i="21" a="1"/>
  <c r="K122" i="23" a="1"/>
  <c r="J3202" i="21" a="1"/>
  <c r="M778" i="23" a="1"/>
  <c r="J2611" i="21" a="1"/>
  <c r="K3228" i="21" a="1"/>
  <c r="M578" i="23" a="1"/>
  <c r="J3229" i="21" a="1"/>
  <c r="L739" i="23" a="1"/>
  <c r="K121" i="30" a="1"/>
  <c r="K38" i="30" a="1"/>
  <c r="K703" i="23" a="1"/>
  <c r="J2632" i="21" a="1"/>
  <c r="J39" i="30" a="1"/>
  <c r="J22" i="23" a="1"/>
  <c r="K2618" i="21" a="1"/>
  <c r="M158" i="23" a="1"/>
  <c r="J116" i="23" a="1"/>
  <c r="K2672" i="21" a="1"/>
  <c r="J2609" i="21" a="1"/>
  <c r="J241" i="30" a="1"/>
  <c r="I3166" i="21" a="1"/>
  <c r="K236" i="30" a="1"/>
  <c r="I487" i="30" a="1"/>
  <c r="K2673" i="21" a="1"/>
  <c r="M614" i="23" a="1"/>
  <c r="K667" i="23" a="1"/>
  <c r="M760" i="23" a="1"/>
  <c r="J778" i="23" a="1"/>
  <c r="K757" i="23" a="1"/>
  <c r="K131" i="23" a="1"/>
  <c r="I2613" i="21" a="1"/>
  <c r="J62" i="23" a="1"/>
  <c r="I3225" i="21" a="1"/>
  <c r="K39" i="30" a="1"/>
  <c r="M37" i="23" a="1"/>
  <c r="I25" i="30" a="1"/>
  <c r="J152" i="23" a="1"/>
  <c r="K634" i="30" a="1"/>
  <c r="J3245" i="21" a="1"/>
  <c r="I19" i="30" a="1"/>
  <c r="K759" i="23" a="1"/>
  <c r="J3238" i="21" a="1"/>
  <c r="J362" i="23" a="1"/>
  <c r="K560" i="23" a="1"/>
  <c r="K97" i="30" a="1"/>
  <c r="J2664" i="21" a="1"/>
  <c r="K108" i="30" a="1"/>
  <c r="I3292" i="21" a="1"/>
  <c r="J724" i="23" a="1"/>
  <c r="J815" i="23" a="1"/>
  <c r="K90" i="23" a="1"/>
  <c r="K38" i="23" a="1"/>
  <c r="I3229" i="21" a="1"/>
  <c r="J776" i="23" a="1"/>
  <c r="M130" i="23" a="1"/>
  <c r="I3173" i="21" a="1"/>
  <c r="K493" i="30" a="1"/>
  <c r="K508" i="30" a="1"/>
  <c r="K22" i="23" a="1"/>
  <c r="K489" i="30" a="1"/>
  <c r="J770" i="23" a="1"/>
  <c r="K775" i="23" a="1"/>
  <c r="M95" i="23" a="1"/>
  <c r="I252" i="30" a="1"/>
  <c r="J129" i="23" a="1"/>
  <c r="J705" i="23" a="1"/>
  <c r="K578" i="23" a="1"/>
  <c r="J134" i="23" a="1"/>
  <c r="J619" i="30" a="1"/>
  <c r="K59" i="23" a="1"/>
  <c r="I2624" i="21" a="1"/>
  <c r="K743" i="23" a="1"/>
  <c r="M814" i="23" a="1"/>
  <c r="M76" i="23" a="1"/>
  <c r="K3243" i="21" a="1"/>
  <c r="K3232" i="21" a="1"/>
  <c r="J147" i="23" a="1"/>
  <c r="J728" i="23" a="1"/>
  <c r="J2665" i="21" a="1"/>
  <c r="K363" i="30" a="1"/>
  <c r="J121" i="30" a="1"/>
  <c r="J158" i="23" a="1"/>
  <c r="I2688" i="21" a="1"/>
  <c r="M374" i="23" a="1"/>
  <c r="I633" i="30" a="1"/>
  <c r="K2656" i="21" a="1"/>
  <c r="M773" i="23" a="1"/>
  <c r="K110" i="23" a="1"/>
  <c r="K2635" i="21" a="1"/>
  <c r="I235" i="30" a="1"/>
  <c r="L814" i="23" a="1"/>
  <c r="K795" i="23" a="1"/>
  <c r="K2614" i="21" a="1"/>
  <c r="I40" i="30" a="1"/>
  <c r="J814" i="23" a="1"/>
  <c r="J652" i="23" a="1"/>
  <c r="K3301" i="21" a="1"/>
  <c r="M77" i="23" a="1"/>
  <c r="K2651" i="21" a="1"/>
  <c r="I2618" i="21" a="1"/>
  <c r="M758" i="23" a="1"/>
  <c r="J634" i="23" a="1"/>
  <c r="J455" i="23" a="1"/>
  <c r="I2627" i="21" a="1"/>
  <c r="K238" i="30" a="1"/>
  <c r="K22" i="30" a="1"/>
  <c r="K481" i="30" a="1"/>
  <c r="M127" i="23" a="1"/>
  <c r="J37" i="23" a="1"/>
  <c r="J2634" i="21" a="1"/>
  <c r="J55" i="23" a="1"/>
  <c r="J3174" i="21" a="1"/>
  <c r="K3256" i="21" a="1"/>
  <c r="J453" i="23" a="1"/>
  <c r="I3178" i="21" a="1"/>
  <c r="L775" i="23" a="1"/>
  <c r="I3256" i="21" a="1"/>
  <c r="I3138" i="21" a="1"/>
  <c r="J758" i="23" a="1"/>
  <c r="K247" i="30" a="1"/>
  <c r="J2628" i="21" a="1"/>
  <c r="I254" i="30" a="1"/>
  <c r="J560" i="23" a="1"/>
  <c r="J601" i="30" a="1"/>
  <c r="K3298" i="21" a="1"/>
  <c r="K607" i="30" a="1"/>
  <c r="J3280" i="21" a="1"/>
  <c r="J2616" i="21" a="1"/>
  <c r="K632" i="23" a="1"/>
  <c r="K490" i="30" a="1"/>
  <c r="K2670" i="21" a="1"/>
  <c r="K75" i="23" a="1"/>
  <c r="K68" i="23" a="1"/>
  <c r="K2688" i="21" a="1"/>
  <c r="K770" i="23" a="1"/>
  <c r="J383" i="23" a="1"/>
  <c r="M651" i="23" a="1"/>
  <c r="M224" i="23" a="1"/>
  <c r="M134" i="23" a="1"/>
  <c r="I3316" i="21" a="1"/>
  <c r="K167" i="23" a="1"/>
  <c r="I362" i="30" a="1"/>
  <c r="J110" i="30" a="1"/>
  <c r="J364" i="30" a="1"/>
  <c r="M770" i="23" a="1"/>
  <c r="J704" i="23" a="1"/>
  <c r="K3227" i="21" a="1"/>
  <c r="J635" i="23" a="1"/>
  <c r="K2643" i="21" a="1"/>
  <c r="K2629" i="21" a="1"/>
  <c r="J743" i="23" a="1"/>
  <c r="K127" i="30" a="1"/>
  <c r="M38" i="23" a="1"/>
  <c r="K616" i="23" a="1"/>
  <c r="M687" i="23" a="1"/>
  <c r="J3261" i="21" a="1"/>
  <c r="L742" i="23" a="1"/>
  <c r="M433" i="23" a="1"/>
  <c r="J3256" i="21" a="1"/>
  <c r="M653" i="23" a="1"/>
  <c r="K3225" i="21" a="1"/>
  <c r="J571" i="23" a="1"/>
  <c r="M41" i="23" a="1"/>
  <c r="M59" i="23" a="1"/>
  <c r="M147" i="23" a="1"/>
  <c r="I2661" i="21" a="1"/>
  <c r="K2663" i="21" a="1"/>
  <c r="J685" i="23" a="1"/>
  <c r="M793" i="23" a="1"/>
  <c r="J2690" i="21" a="1"/>
  <c r="M669" i="23" a="1"/>
  <c r="M73" i="23" a="1"/>
  <c r="K649" i="23" a="1"/>
  <c r="K2628" i="21" a="1"/>
  <c r="I115" i="30" a="1"/>
  <c r="J363" i="23" a="1"/>
  <c r="J2629" i="21" a="1"/>
  <c r="K2632" i="21" a="1"/>
  <c r="K2653" i="21" a="1"/>
  <c r="J2646" i="21" a="1"/>
  <c r="J127" i="30" a="1"/>
  <c r="J3106" i="21" a="1"/>
  <c r="J224" i="23" a="1"/>
  <c r="K3211" i="21" a="1"/>
  <c r="J255" i="23" a="1"/>
  <c r="J145" i="23" a="1"/>
  <c r="K223" i="30" a="1"/>
  <c r="I3142" i="21" a="1"/>
  <c r="L770" i="23" a="1"/>
  <c r="I3245" i="21" a="1"/>
  <c r="J2619" i="21" a="1"/>
  <c r="J436" i="23" a="1"/>
  <c r="J3148" i="21" a="1"/>
  <c r="I2654" i="21" a="1"/>
  <c r="M68" i="23" a="1"/>
  <c r="I2659" i="21" a="1"/>
  <c r="K615" i="23" a="1"/>
  <c r="M739" i="23" a="1"/>
  <c r="I607" i="30" a="1"/>
  <c r="K488" i="30" a="1"/>
  <c r="I2655" i="21" a="1"/>
  <c r="K2671" i="21" a="1"/>
  <c r="K772" i="23" a="1"/>
  <c r="K3318" i="21" a="1"/>
  <c r="K26" i="23" a="1"/>
  <c r="M774" i="23" a="1"/>
  <c r="M254" i="23" a="1"/>
  <c r="I2651" i="21" a="1"/>
  <c r="M116" i="23" a="1"/>
  <c r="J3316" i="21" a="1"/>
  <c r="K37" i="30" a="1"/>
  <c r="M55" i="23" a="1"/>
  <c r="I3135" i="21" a="1"/>
  <c r="M670" i="23" a="1"/>
  <c r="J2626" i="21" a="1"/>
  <c r="I2617" i="21" a="1"/>
  <c r="I3264" i="21" a="1"/>
  <c r="K2617" i="21" a="1"/>
  <c r="K652" i="23" a="1"/>
  <c r="K129" i="23" a="1"/>
  <c r="J774" i="23" a="1"/>
  <c r="M742" i="23" a="1"/>
  <c r="L741" i="23" a="1"/>
  <c r="M757" i="23" a="1"/>
  <c r="J3208" i="21" a="1"/>
  <c r="M98" i="23" a="1"/>
  <c r="I3191" i="21" a="1"/>
  <c r="J3189" i="21" a="1"/>
  <c r="I2669" i="21" a="1"/>
  <c r="M8" i="23" a="1"/>
  <c r="J38" i="30" a="1"/>
  <c r="I3172" i="21" a="1"/>
  <c r="K3196" i="21" a="1"/>
  <c r="K742" i="23" a="1"/>
  <c r="J662" i="23" a="1"/>
  <c r="M652" i="23" a="1"/>
  <c r="K58" i="23" a="1"/>
  <c r="J2677" i="21" a="1"/>
  <c r="J76" i="23" a="1"/>
  <c r="M56" i="23" a="1"/>
  <c r="K2620" i="21" a="1"/>
  <c r="J633" i="23" a="1"/>
  <c r="K91" i="23" a="1"/>
  <c r="J365" i="23" a="1"/>
  <c r="I489" i="30" a="1"/>
  <c r="K689" i="23" a="1"/>
  <c r="J788" i="23" a="1"/>
  <c r="K670" i="23" a="1"/>
  <c r="M632" i="23" a="1"/>
  <c r="I3175" i="21" a="1"/>
  <c r="M741" i="23" a="1"/>
  <c r="J2686" i="21" a="1"/>
  <c r="J2624" i="21" a="1"/>
  <c r="M356" i="23" a="1"/>
  <c r="L734" i="23" a="1"/>
  <c r="J2627" i="21" a="1"/>
  <c r="M616" i="23" a="1"/>
  <c r="I488" i="30" a="1"/>
  <c r="J3211" i="21" a="1"/>
  <c r="K707" i="23" a="1"/>
  <c r="K2626" i="21" a="1"/>
  <c r="M434" i="23" a="1"/>
  <c r="K152" i="23" a="1"/>
  <c r="K3281" i="21" a="1"/>
  <c r="I2674" i="21" a="1"/>
  <c r="K236" i="23" a="1"/>
  <c r="K3209" i="21" a="1"/>
  <c r="K382" i="23" a="1"/>
  <c r="J7" i="30" a="1"/>
  <c r="J771" i="23" a="1"/>
  <c r="I121" i="30" a="1"/>
  <c r="J721" i="23" a="1"/>
  <c r="K77" i="23" a="1"/>
  <c r="I2649" i="21" a="1"/>
  <c r="K589" i="23" a="1"/>
  <c r="I236" i="30" a="1"/>
  <c r="M705" i="23" a="1"/>
  <c r="K2609" i="21" a="1"/>
  <c r="I2686" i="21" a="1"/>
  <c r="K145" i="23" a="1"/>
  <c r="I3268" i="21" a="1"/>
  <c r="M149" i="23" a="1"/>
  <c r="K2661" i="21" a="1"/>
  <c r="K23" i="23" a="1"/>
  <c r="J632" i="30" a="1"/>
  <c r="M242" i="23" a="1"/>
  <c r="J2614" i="21" a="1"/>
  <c r="K112" i="23" a="1"/>
  <c r="J40" i="23" a="1"/>
  <c r="K361" i="30" a="1"/>
  <c r="J255" i="30" a="1"/>
  <c r="J2666" i="21" a="1"/>
  <c r="J2653" i="21" a="1"/>
  <c r="M145" i="23" a="1"/>
  <c r="K3244" i="21" a="1"/>
  <c r="M131" i="23" a="1"/>
  <c r="I3153" i="21" a="1"/>
  <c r="J508" i="30" a="1"/>
  <c r="J3210" i="21" a="1"/>
  <c r="M722" i="23" a="1"/>
  <c r="J797" i="23" a="1"/>
  <c r="J608" i="23" a="1"/>
  <c r="J2691" i="21" a="1"/>
  <c r="K2616" i="21" a="1"/>
  <c r="I2679" i="21" a="1"/>
  <c r="J2641" i="21" a="1"/>
  <c r="J26" i="23" a="1"/>
  <c r="K2641" i="21" a="1"/>
  <c r="J3188" i="21" a="1"/>
  <c r="I112" i="30" a="1"/>
  <c r="K379" i="23" a="1"/>
  <c r="I2610" i="21" a="1"/>
  <c r="J3283" i="21" a="1"/>
  <c r="K382" i="30" a="1"/>
  <c r="J253" i="30" a="1"/>
  <c r="K685" i="23" a="1"/>
  <c r="M795" i="23" a="1"/>
  <c r="K614" i="23" a="1"/>
  <c r="I127" i="30" a="1"/>
  <c r="I2673" i="21" a="1"/>
  <c r="K612" i="30" a="1"/>
  <c r="M148" i="23" a="1"/>
  <c r="J2636" i="21" a="1"/>
  <c r="J94" i="23" a="1"/>
  <c r="L797" i="23" a="1"/>
  <c r="I18" i="30" a="1"/>
  <c r="K505" i="30" a="1"/>
  <c r="K3238" i="21" a="1"/>
  <c r="J2670" i="21" a="1"/>
  <c r="J223" i="30" a="1"/>
  <c r="I31" i="30" a="1"/>
  <c r="I2647" i="21" a="1"/>
  <c r="I3315" i="21" a="1"/>
  <c r="J237" i="23" a="1"/>
  <c r="K373" i="30" a="1"/>
  <c r="I110" i="30" a="1"/>
  <c r="J3279" i="21" a="1"/>
  <c r="K741" i="23" a="1"/>
  <c r="K724" i="23" a="1"/>
  <c r="K635" i="23" a="1"/>
  <c r="M626" i="23" a="1"/>
  <c r="J3209" i="21" a="1"/>
  <c r="M615" i="23" a="1"/>
  <c r="J2661" i="21" a="1"/>
  <c r="K80" i="23" a="1"/>
  <c r="M620" i="23" a="1"/>
  <c r="M361" i="23" a="1"/>
  <c r="J381" i="30" a="1"/>
  <c r="K553" i="23" a="1"/>
  <c r="J742" i="23" a="1"/>
  <c r="M723" i="23" a="1"/>
  <c r="J2618" i="21" a="1"/>
  <c r="J129" i="30" a="1"/>
  <c r="K163" i="23" a="1"/>
  <c r="K452" i="23" a="1"/>
  <c r="M256" i="23" a="1"/>
  <c r="I3279" i="21" a="1"/>
  <c r="J2684" i="21" a="1"/>
  <c r="J14" i="23" a="1"/>
  <c r="I3202" i="21" a="1"/>
  <c r="I3247" i="21" a="1"/>
  <c r="J671" i="23" a="1"/>
  <c r="M613" i="23" a="1"/>
  <c r="J734" i="23" a="1"/>
  <c r="J38" i="23" a="1"/>
  <c r="I2623" i="21" a="1"/>
  <c r="K95" i="23" a="1"/>
  <c r="J2607" i="21" a="1"/>
  <c r="K2681" i="21" a="1"/>
  <c r="M706" i="23" a="1"/>
  <c r="I2663" i="21" a="1"/>
  <c r="K176" i="23" a="1"/>
  <c r="K242" i="23" a="1"/>
  <c r="I2632" i="21" a="1"/>
  <c r="J631" i="30" a="1"/>
  <c r="J434" i="23" a="1"/>
  <c r="K3286" i="21" a="1"/>
  <c r="J757" i="23" a="1"/>
  <c r="K55" i="23" a="1"/>
  <c r="K776" i="23" a="1"/>
  <c r="J3228" i="21" a="1"/>
  <c r="L728" i="23" a="1"/>
  <c r="J254" i="30" a="1"/>
  <c r="M776" i="23" a="1"/>
  <c r="K20" i="23" a="1"/>
  <c r="J3281" i="21" a="1"/>
  <c r="I2614" i="21" a="1"/>
  <c r="I2606" i="21" a="1"/>
  <c r="J2669" i="21" a="1"/>
  <c r="K777" i="23" a="1"/>
  <c r="J634" i="30" a="1"/>
  <c r="J247" i="30" a="1"/>
  <c r="I3220" i="21" a="1"/>
  <c r="J607" i="30" a="1"/>
  <c r="J2605" i="21" a="1"/>
  <c r="J362" i="30" a="1"/>
  <c r="M111" i="23" a="1"/>
  <c r="J126" i="30" a="1"/>
  <c r="I2683" i="21" a="1"/>
  <c r="K2679" i="21" a="1"/>
  <c r="I3118" i="21" a="1"/>
  <c r="K113" i="23" a="1"/>
  <c r="K698" i="23" a="1"/>
  <c r="I111" i="30" a="1"/>
  <c r="J242" i="23" a="1"/>
  <c r="K98" i="23" a="1"/>
  <c r="J437" i="23" a="1"/>
  <c r="J3119" i="21" a="1"/>
  <c r="K2650" i="21" a="1"/>
  <c r="I2684" i="21" a="1"/>
  <c r="J813" i="23" a="1"/>
  <c r="I3304" i="21" a="1"/>
  <c r="L743" i="23" a="1"/>
  <c r="J481" i="30" a="1"/>
  <c r="K2667" i="21" a="1"/>
  <c r="J31" i="30" a="1"/>
  <c r="J723" i="23" a="1"/>
  <c r="J146" i="23" a="1"/>
  <c r="J3264" i="21" a="1"/>
  <c r="I223" i="30" a="1"/>
  <c r="M19" i="23" a="1"/>
  <c r="J487" i="30" a="1"/>
  <c r="K2627" i="21" a="1"/>
  <c r="L746" i="23" a="1"/>
  <c r="K21" i="23" a="1"/>
  <c r="J3315" i="21" a="1"/>
  <c r="I247" i="30" a="1"/>
  <c r="I3121" i="21" a="1"/>
  <c r="J3117" i="21" a="1"/>
  <c r="J112" i="30" a="1"/>
  <c r="J239" i="23" a="1"/>
  <c r="J3263" i="21" a="1"/>
  <c r="J2663" i="21" a="1"/>
  <c r="J612" i="30" a="1"/>
  <c r="J2648" i="21" a="1"/>
  <c r="M230" i="23" a="1"/>
  <c r="I3192" i="21" a="1"/>
  <c r="M40" i="23" a="1"/>
  <c r="K126" i="30" a="1"/>
  <c r="I2687" i="21" a="1"/>
  <c r="K706" i="23" a="1"/>
  <c r="J433" i="23" a="1"/>
  <c r="I2670" i="21" a="1"/>
  <c r="I3319" i="21" a="1"/>
  <c r="K3304" i="21" a="1"/>
  <c r="J3137" i="21" a="1"/>
  <c r="K2612" i="21" a="1"/>
  <c r="I2653" i="21" a="1"/>
  <c r="K356" i="23" a="1"/>
  <c r="K499" i="30" a="1"/>
  <c r="K14" i="23" a="1"/>
  <c r="M794" i="23" a="1"/>
  <c r="I2668" i="21" a="1"/>
  <c r="M631" i="23" a="1"/>
  <c r="K3292" i="21" a="1"/>
  <c r="J3278" i="21" a="1"/>
  <c r="I3278" i="21" a="1"/>
  <c r="K794" i="23" a="1"/>
  <c r="K2654" i="21" a="1"/>
  <c r="J2620" i="21" a="1"/>
  <c r="M364" i="23" a="1"/>
  <c r="I3106" i="21" a="1"/>
  <c r="M667" i="23" a="1"/>
  <c r="M237" i="23" a="1"/>
  <c r="K3319" i="21" a="1"/>
  <c r="J36" i="30" a="1"/>
  <c r="K705" i="23" a="1"/>
  <c r="J741" i="23" a="1"/>
  <c r="K617" i="23" a="1"/>
  <c r="I360" i="30" a="1"/>
  <c r="K25" i="30" a="1"/>
  <c r="K109" i="23" a="1"/>
  <c r="M761" i="23" a="1"/>
  <c r="K364" i="23" a="1"/>
  <c r="J363" i="30" a="1"/>
  <c r="J237" i="30" a="1"/>
  <c r="K362" i="30" a="1"/>
  <c r="J653" i="23" a="1"/>
  <c r="J256" i="30" a="1"/>
  <c r="J49" i="30" a="1"/>
  <c r="J95" i="23" a="1"/>
  <c r="J3268" i="21" a="1"/>
  <c r="K688" i="23" a="1"/>
  <c r="J2617" i="21" a="1"/>
  <c r="I2641" i="21" a="1"/>
  <c r="M50" i="23" a="1"/>
  <c r="J446" i="23" a="1"/>
  <c r="K2624" i="21" a="1"/>
  <c r="M734" i="23" a="1"/>
  <c r="J3247" i="21" a="1"/>
  <c r="M140" i="23" a="1"/>
  <c r="J22" i="30" a="1"/>
  <c r="J687" i="23" a="1"/>
  <c r="J493" i="30" a="1"/>
  <c r="J2650" i="21" a="1"/>
  <c r="K634" i="23" a="1"/>
  <c r="I3171" i="21" a="1"/>
  <c r="K355" i="30" a="1"/>
  <c r="M788" i="23" a="1"/>
  <c r="K811" i="23" a="1"/>
  <c r="J3121" i="21" a="1"/>
  <c r="K93" i="23" a="1"/>
  <c r="I3262" i="21" a="1"/>
  <c r="K626" i="23" a="1"/>
  <c r="I3188" i="21" a="1"/>
  <c r="J235" i="30" a="1"/>
  <c r="K237" i="30" a="1"/>
  <c r="J58" i="23" a="1"/>
  <c r="J2660" i="21" a="1"/>
  <c r="K130" i="23" a="1"/>
  <c r="M772" i="23" a="1"/>
  <c r="K44" i="23" a="1"/>
  <c r="I3281" i="21" a="1"/>
  <c r="I3184" i="21" a="1"/>
  <c r="K454" i="23" a="1"/>
  <c r="J3155" i="21" a="1"/>
  <c r="J3190" i="21" a="1"/>
  <c r="J651" i="23" a="1"/>
  <c r="K383" i="23" a="1"/>
  <c r="K2649" i="21" a="1"/>
  <c r="K235" i="30" a="1"/>
  <c r="M235" i="23" a="1"/>
  <c r="I2611" i="21" a="1"/>
  <c r="K129" i="30" a="1"/>
  <c r="M253" i="23" a="1"/>
  <c r="I3157" i="21" a="1"/>
  <c r="L795" i="23" a="1"/>
  <c r="M553" i="23" a="1"/>
  <c r="J3171" i="21" a="1"/>
  <c r="K2606" i="21" a="1"/>
  <c r="K616" i="30" a="1"/>
  <c r="K3207" i="21" a="1"/>
  <c r="M362" i="23" a="1"/>
  <c r="J2687" i="21" a="1"/>
  <c r="J630" i="30" a="1"/>
  <c r="K760" i="23" a="1"/>
  <c r="I3227" i="21" a="1"/>
  <c r="L774" i="23" a="1"/>
  <c r="K3316" i="21" a="1"/>
  <c r="K813" i="23" a="1"/>
  <c r="K619" i="30" a="1"/>
  <c r="K111" i="30" a="1"/>
  <c r="M720" i="23" a="1"/>
  <c r="J2638" i="21" a="1"/>
  <c r="I2636" i="21" a="1"/>
  <c r="K255" i="23" a="1"/>
  <c r="K257" i="23" a="1"/>
  <c r="M80" i="23" a="1"/>
  <c r="I103" i="30" a="1"/>
  <c r="J2679" i="21" a="1"/>
  <c r="J19" i="23" a="1"/>
  <c r="I3209" i="21" a="1"/>
  <c r="L773" i="23" a="1"/>
  <c r="I2625" i="21" a="1"/>
  <c r="I505" i="30" a="1"/>
  <c r="J111" i="23" a="1"/>
  <c r="J73" i="23" a="1"/>
  <c r="I373" i="30" a="1"/>
  <c r="K434" i="23" a="1"/>
  <c r="J578" i="23" a="1"/>
  <c r="J3262" i="21" a="1"/>
  <c r="M110" i="23" a="1"/>
  <c r="J806" i="23" a="1"/>
  <c r="J668" i="23" a="1"/>
  <c r="J615" i="30" a="1"/>
  <c r="J506" i="30" a="1"/>
  <c r="J2625" i="21" a="1"/>
  <c r="J2654" i="21" a="1"/>
  <c r="J13" i="30" a="1"/>
  <c r="J3243" i="21" a="1"/>
  <c r="K2674" i="21" a="1"/>
  <c r="L758" i="23" a="1"/>
  <c r="I481" i="30" a="1"/>
  <c r="J57" i="23" a="1"/>
  <c r="J2623" i="21" a="1"/>
  <c r="I2648" i="21" a="1"/>
  <c r="J374" i="23" a="1"/>
  <c r="K255" i="30" a="1"/>
  <c r="K668" i="23" a="1"/>
  <c r="J236" i="30" a="1"/>
  <c r="I37" i="30" a="1"/>
  <c r="I2666" i="21" a="1"/>
  <c r="K378" i="30" a="1"/>
  <c r="J2683" i="21" a="1"/>
  <c r="J97" i="30" a="1"/>
  <c r="K716" i="23" a="1"/>
  <c r="K740" i="23" a="1"/>
  <c r="K166" i="23" a="1"/>
  <c r="K633" i="23" a="1"/>
  <c r="I3136" i="21" a="1"/>
  <c r="I508" i="30" a="1"/>
  <c r="J793" i="23" a="1"/>
  <c r="I499" i="30" a="1"/>
  <c r="K761" i="23" a="1"/>
  <c r="I3117" i="21" a="1"/>
  <c r="J176" i="23" a="1"/>
  <c r="J238" i="23" a="1"/>
  <c r="I363" i="30" a="1"/>
  <c r="J499" i="30" a="1"/>
  <c r="M634" i="23" a="1"/>
  <c r="K3208" i="21" a="1"/>
  <c r="K2678" i="21" a="1"/>
  <c r="J379" i="30" a="1"/>
  <c r="J740" i="23" a="1"/>
  <c r="J616" i="30" a="1"/>
  <c r="J3178" i="21" a="1"/>
  <c r="J3304" i="21" a="1"/>
  <c r="J3225" i="21" a="1"/>
  <c r="K2623" i="21" a="1"/>
  <c r="K2607" i="21" a="1"/>
  <c r="K365" i="23" a="1"/>
  <c r="L759" i="23" a="1"/>
  <c r="J3292" i="21" a="1"/>
  <c r="K253" i="23" a="1"/>
  <c r="K2642" i="21" a="1"/>
  <c r="J360" i="30" a="1"/>
  <c r="J746" i="23" a="1"/>
  <c r="J164" i="23" a="1"/>
  <c r="J131" i="23" a="1"/>
  <c r="K57" i="23" a="1"/>
  <c r="J3118" i="21" a="1"/>
  <c r="K149" i="23" a="1"/>
  <c r="M725" i="23" a="1"/>
  <c r="I3207" i="21" a="1"/>
  <c r="J2630" i="21" a="1"/>
  <c r="J812" i="23" a="1"/>
  <c r="K3283" i="21" a="1"/>
  <c r="J44" i="23" a="1"/>
  <c r="M379" i="23" a="1"/>
  <c r="J128" i="30" a="1"/>
  <c r="I3210" i="21" a="1"/>
  <c r="K680" i="23" a="1"/>
  <c r="J625" i="30" a="1"/>
  <c r="J2672" i="21" a="1"/>
  <c r="M23" i="23" a="1"/>
  <c r="I632" i="30" a="1"/>
  <c r="K455" i="23" a="1"/>
  <c r="J21" i="30" a="1"/>
  <c r="K32" i="23" a="1"/>
  <c r="K256" i="30" a="1"/>
  <c r="J19" i="30" a="1"/>
  <c r="J2681" i="21" a="1"/>
  <c r="J2674" i="21" a="1"/>
  <c r="K3310" i="21" a="1"/>
  <c r="M122" i="23" a="1"/>
  <c r="I2672" i="21" a="1"/>
  <c r="J614" i="30" a="1"/>
  <c r="M721" i="23" a="1"/>
  <c r="M635" i="23" a="1"/>
  <c r="M381" i="23" a="1"/>
  <c r="J504" i="30" a="1"/>
  <c r="K380" i="30" a="1"/>
  <c r="M668" i="23" a="1"/>
  <c r="I3282" i="21" a="1"/>
  <c r="I255" i="30" a="1"/>
  <c r="M608" i="23" a="1"/>
  <c r="K3278" i="21" a="1"/>
  <c r="J3156" i="21" a="1"/>
  <c r="K241" i="30" a="1"/>
  <c r="I361" i="30" a="1"/>
  <c r="L740" i="23" a="1"/>
  <c r="J795" i="23" a="1"/>
  <c r="K571" i="23" a="1"/>
  <c r="K433" i="23" a="1"/>
  <c r="K76" i="23" a="1"/>
  <c r="I2660" i="21" a="1"/>
  <c r="K2634" i="21" a="1"/>
  <c r="I3226" i="21" a="1"/>
  <c r="I2633" i="21" a="1"/>
  <c r="M453" i="23" a="1"/>
  <c r="J3154" i="21" a="1"/>
  <c r="K363" i="23" a="1"/>
  <c r="J2685" i="21" a="1"/>
  <c r="M129" i="23" a="1"/>
  <c r="J686" i="23" a="1"/>
  <c r="K451" i="23" a="1"/>
  <c r="J454" i="23" a="1"/>
  <c r="J90" i="23" a="1"/>
  <c r="K2652" i="21" a="1"/>
  <c r="I625" i="30" a="1"/>
  <c r="K2619" i="21" a="1"/>
  <c r="I3232" i="21" a="1"/>
  <c r="I3189" i="21" a="1"/>
  <c r="J110" i="23" a="1"/>
  <c r="J644" i="23" a="1"/>
  <c r="J253" i="23" a="1"/>
  <c r="K2666" i="21" a="1"/>
  <c r="I36" i="30" a="1"/>
  <c r="I619" i="30" a="1"/>
  <c r="J615" i="23" a="1"/>
  <c r="L793" i="23" a="1"/>
  <c r="M560" i="23" a="1"/>
  <c r="J21" i="23" a="1"/>
  <c r="J3300" i="21" a="1"/>
  <c r="J2680" i="21" a="1"/>
  <c r="K361" i="23" a="1"/>
  <c r="M797" i="23" a="1"/>
  <c r="K669" i="23" a="1"/>
  <c r="L815" i="23" a="1"/>
  <c r="J3328" i="21" a="1"/>
  <c r="J3318" i="21" a="1"/>
  <c r="K2682" i="21" a="1"/>
  <c r="I21" i="30" a="1"/>
  <c r="L794" i="23" a="1"/>
  <c r="I3286" i="21" a="1"/>
  <c r="K2608" i="21" a="1"/>
  <c r="J3136" i="21" a="1"/>
  <c r="K3317" i="21" a="1"/>
  <c r="I3130" i="21" a="1"/>
  <c r="M248" i="23" a="1"/>
  <c r="M383" i="23" a="1"/>
  <c r="M617" i="23" a="1"/>
  <c r="I3300" i="21" a="1"/>
  <c r="I2637" i="21" a="1"/>
  <c r="M752" i="23" a="1"/>
  <c r="K436" i="23" a="1"/>
  <c r="J236" i="23" a="1"/>
  <c r="K37" i="23" a="1"/>
  <c r="I38" i="30" a="1"/>
  <c r="I13" i="30" a="1"/>
  <c r="J2668" i="21" a="1"/>
  <c r="J3286" i="21" a="1"/>
  <c r="K253" i="30" a="1"/>
  <c r="J3142" i="21" a="1"/>
  <c r="K722" i="23" a="1"/>
  <c r="K631" i="30" a="1"/>
  <c r="M775" i="23" a="1"/>
  <c r="K165" i="23" a="1"/>
  <c r="K2690" i="21" a="1"/>
  <c r="K19" i="30" a="1"/>
  <c r="J759" i="23" a="1"/>
  <c r="J2606" i="21" a="1"/>
  <c r="M704" i="23" a="1"/>
  <c r="K224" i="23" a="1"/>
  <c r="I3214" i="21" a="1"/>
  <c r="J626" i="23" a="1"/>
  <c r="K229" i="30" a="1"/>
  <c r="M167" i="23" a="1"/>
  <c r="M109" i="23" a="1"/>
  <c r="J3265" i="21" a="1"/>
  <c r="K104" i="23" a="1"/>
  <c r="K115" i="30" a="1"/>
  <c r="M57" i="23" a="1"/>
  <c r="I613" i="30" a="1"/>
  <c r="J128" i="23" a="1"/>
  <c r="K164" i="23" a="1"/>
  <c r="K20" i="30" a="1"/>
  <c r="J108" i="30" a="1"/>
  <c r="M239" i="23" a="1"/>
  <c r="K134" i="23" a="1"/>
  <c r="K13" i="30" a="1"/>
  <c r="I3280" i="21" a="1"/>
  <c r="I2607" i="21" a="1"/>
  <c r="I49" i="30" a="1"/>
  <c r="J382" i="23" a="1"/>
  <c r="I3190" i="21" a="1"/>
  <c r="I630" i="30" a="1"/>
  <c r="J8" i="23" a="1"/>
  <c r="I2612" i="21" a="1"/>
  <c r="J350" i="23" a="1"/>
  <c r="I493" i="30" a="1"/>
  <c r="I3244" i="21" a="1"/>
  <c r="I2680" i="21" a="1"/>
  <c r="K3297" i="21" a="1"/>
  <c r="K793" i="23" a="1"/>
  <c r="I3120" i="21" a="1"/>
  <c r="M437" i="23" a="1"/>
  <c r="J2662" i="21" a="1"/>
  <c r="J130" i="23" a="1"/>
  <c r="K368" i="23" a="1"/>
  <c r="I355" i="30" a="1"/>
  <c r="K601" i="30" a="1"/>
  <c r="J3193" i="21" a="1"/>
  <c r="K2692" i="21" a="1"/>
  <c r="M740" i="23" a="1"/>
  <c r="K2664" i="21" a="1"/>
  <c r="K486" i="30" a="1"/>
  <c r="J680" i="23" a="1"/>
  <c r="I129" i="30" a="1"/>
  <c r="K252" i="30" a="1"/>
  <c r="K92" i="23" a="1"/>
  <c r="J794" i="23" a="1"/>
  <c r="M746" i="23" a="1"/>
  <c r="J68" i="23" a="1"/>
  <c r="I2626" i="21" a="1"/>
  <c r="I3298" i="21" a="1"/>
  <c r="I364" i="30" a="1"/>
  <c r="I2615" i="21" a="1"/>
  <c r="M446" i="23" a="1"/>
  <c r="I256" i="30" a="1"/>
  <c r="M671" i="23" a="1"/>
  <c r="J2659" i="21" a="1"/>
  <c r="J18" i="30" a="1"/>
  <c r="M39" i="23" a="1"/>
  <c r="I3310" i="21" a="1"/>
  <c r="J553" i="23" a="1"/>
  <c r="I3265" i="21" a="1"/>
  <c r="K3300" i="21" a="1"/>
  <c r="J716" i="23" a="1"/>
  <c r="J488" i="30" a="1"/>
  <c r="J632" i="23" a="1"/>
  <c r="J364" i="23" a="1"/>
  <c r="J706" i="23" a="1"/>
  <c r="J112" i="23" a="1"/>
  <c r="K2668" i="21" a="1"/>
  <c r="M238" i="23" a="1"/>
  <c r="M428" i="23" a="1"/>
  <c r="J39" i="23" a="1"/>
  <c r="K381" i="30" a="1"/>
  <c r="K3261" i="21" a="1"/>
  <c r="K130" i="30" a="1"/>
  <c r="K31" i="30" a="1"/>
  <c r="J20" i="23" a="1"/>
  <c r="J490" i="30" a="1"/>
  <c r="I2692" i="21" a="1"/>
  <c r="K360" i="30" a="1"/>
  <c r="I2628" i="21" a="1"/>
  <c r="K379" i="30" a="1"/>
  <c r="I2629" i="21" a="1"/>
  <c r="K2647" i="21" a="1"/>
  <c r="J3226" i="21" a="1"/>
  <c r="J650" i="23" a="1"/>
  <c r="K94" i="23" a="1"/>
  <c r="J486" i="30" a="1"/>
  <c r="M602" i="23" a="1"/>
  <c r="K752" i="23" a="1"/>
  <c r="J452" i="23" a="1"/>
  <c r="K2605" i="21" a="1"/>
  <c r="K2638" i="21" a="1"/>
  <c r="I3196" i="21" a="1"/>
  <c r="K437" i="23" a="1"/>
  <c r="J361" i="30" a="1"/>
  <c r="K374" i="23" a="1"/>
  <c r="M22" i="23" a="1"/>
  <c r="J148" i="23" a="1"/>
  <c r="L779" i="23" a="1"/>
  <c r="I2608" i="21" a="1"/>
  <c r="K428" i="23" a="1"/>
  <c r="J122" i="23" a="1"/>
  <c r="K721" i="23" a="1"/>
  <c r="J74" i="23" a="1"/>
  <c r="I2605" i="21" a="1"/>
  <c r="K230" i="23" a="1"/>
  <c r="I2620" i="21" a="1"/>
  <c r="K3268" i="21" a="1"/>
  <c r="I3208" i="21" a="1"/>
  <c r="I2664" i="21" a="1"/>
  <c r="K2687" i="21" a="1"/>
  <c r="J165" i="23" a="1"/>
  <c r="K103" i="30" a="1"/>
  <c r="J98" i="23" a="1"/>
  <c r="J3274" i="21" a="1"/>
  <c r="K632" i="30" a="1"/>
  <c r="I130" i="30" a="1"/>
  <c r="K380" i="23" a="1"/>
  <c r="K651" i="23" a="1"/>
  <c r="K109" i="30" a="1"/>
  <c r="M796" i="23" a="1"/>
  <c r="K3202" i="21" a="1"/>
  <c r="J25" i="30" a="1"/>
  <c r="J2645" i="21" a="1"/>
  <c r="M20" i="23" a="1"/>
  <c r="J707" i="23" a="1"/>
  <c r="J56" i="23" a="1"/>
  <c r="J349" i="30" a="1"/>
  <c r="K146" i="23" a="1"/>
  <c r="J37" i="30" a="1"/>
  <c r="I3112" i="21" a="1"/>
  <c r="I3155" i="21" a="1"/>
  <c r="K2630" i="21" a="1"/>
  <c r="M163" i="23" a="1"/>
  <c r="J670" i="23" a="1"/>
  <c r="K111" i="23" a="1"/>
  <c r="L813" i="23" a="1"/>
  <c r="I3160" i="21" a="1"/>
  <c r="J772" i="23" a="1"/>
  <c r="I3274" i="21" a="1"/>
  <c r="J3112" i="21" a="1"/>
  <c r="K788" i="23" a="1"/>
  <c r="I507" i="30" a="1"/>
  <c r="J248" i="23" a="1"/>
  <c r="K650" i="23" a="1"/>
  <c r="M62" i="23" a="1"/>
  <c r="K686" i="23" a="1"/>
  <c r="K254" i="30" a="1"/>
  <c r="K2637" i="21" a="1"/>
  <c r="J3244" i="21" a="1"/>
  <c r="I615" i="30" a="1"/>
  <c r="J3191" i="21" a="1"/>
  <c r="J2612" i="21" a="1"/>
  <c r="J3214" i="21" a="1"/>
  <c r="I612" i="30" a="1"/>
  <c r="K39" i="23" a="1"/>
  <c r="M650" i="23" a="1"/>
  <c r="M451" i="23" a="1"/>
  <c r="I2634" i="21" a="1"/>
  <c r="I3328" i="21" a="1"/>
  <c r="K3262" i="21" a="1"/>
  <c r="J3207" i="21" a="1"/>
  <c r="I349" i="30" a="1"/>
  <c r="K3246" i="21" a="1"/>
  <c r="K662" i="23" a="1"/>
  <c r="J669" i="23" a="1"/>
  <c r="J3319" i="21" a="1"/>
  <c r="K2611" i="21" a="1"/>
  <c r="J254" i="23" a="1"/>
  <c r="I22" i="30" a="1"/>
  <c r="I237" i="30" a="1"/>
  <c r="I2691" i="21" a="1"/>
  <c r="K3279" i="21" a="1"/>
  <c r="J2637" i="21" a="1"/>
  <c r="K2648" i="21" a="1"/>
  <c r="J2688" i="21" a="1"/>
  <c r="J92" i="23" a="1"/>
  <c r="I2671" i="21" a="1"/>
  <c r="K148" i="23" a="1"/>
  <c r="J167" i="23" a="1"/>
  <c r="K633" i="30" a="1"/>
  <c r="J238" i="30" a="1"/>
  <c r="K687" i="23" a="1"/>
  <c r="J613" i="23" a="1"/>
  <c r="I2635" i="21" a="1"/>
  <c r="K625" i="30" a="1"/>
  <c r="I108" i="30" a="1"/>
  <c r="K237" i="23" a="1"/>
  <c r="I506" i="30" a="1"/>
  <c r="J41" i="23" a="1"/>
  <c r="K128" i="30" a="1"/>
  <c r="I475" i="30" a="1"/>
  <c r="K254" i="23" a="1"/>
  <c r="M779" i="23" a="1"/>
  <c r="J614" i="23" a="1"/>
  <c r="I128" i="30" a="1"/>
  <c r="I3263" i="21" a="1"/>
  <c r="J698" i="23" a="1"/>
  <c r="L752" i="23" a="1"/>
  <c r="L806" i="23" a="1"/>
  <c r="J703" i="23" a="1"/>
  <c r="K773" i="23" a="1"/>
  <c r="J149" i="23" a="1"/>
  <c r="K239" i="23" a="1"/>
  <c r="J3299" i="21" a="1"/>
  <c r="I3317" i="21" a="1"/>
  <c r="J381" i="23" a="1"/>
  <c r="J3157" i="21" a="1"/>
  <c r="M703" i="23" a="1"/>
  <c r="M92" i="23" a="1"/>
  <c r="K2680" i="21" a="1"/>
  <c r="I97" i="30" a="1"/>
  <c r="L761" i="23" a="1"/>
  <c r="K350" i="23" a="1"/>
  <c r="K3315" i="21" a="1"/>
  <c r="J2633" i="21" a="1"/>
  <c r="K349" i="30" a="1"/>
  <c r="K3274" i="21" a="1"/>
  <c r="M454" i="23" a="1"/>
  <c r="I39" i="30" a="1"/>
  <c r="K435" i="23" a="1"/>
  <c r="I2665" i="21" a="1"/>
  <c r="I253" i="30" a="1"/>
  <c r="J3227" i="21" a="1"/>
  <c r="K2686" i="21" a="1"/>
  <c r="M90" i="23" a="1"/>
  <c r="K723" i="23" a="1"/>
  <c r="J752" i="23" a="1"/>
  <c r="I631" i="30" a="1"/>
  <c r="I3154" i="21" a="1"/>
  <c r="J234" i="30" a="1"/>
  <c r="J489" i="30" a="1"/>
  <c r="J127" i="23" a="1"/>
  <c r="M435" i="23" a="1"/>
  <c r="J368" i="23" a="1"/>
  <c r="I3297" i="21" a="1"/>
  <c r="K8" i="23" a="1"/>
  <c r="J379" i="23" a="1"/>
  <c r="J633" i="30" a="1"/>
  <c r="M255" i="23" a="1"/>
  <c r="J380" i="23" a="1"/>
  <c r="K644" i="23" a="1"/>
  <c r="K506" i="30" a="1"/>
  <c r="J115" i="30" a="1"/>
  <c r="J596" i="23" a="1"/>
  <c r="I2619" i="21" a="1"/>
  <c r="L796" i="23" a="1"/>
  <c r="J2647" i="21" a="1"/>
  <c r="I2631" i="21" a="1"/>
  <c r="K2615" i="21" a="1"/>
  <c r="I601" i="30" a="1"/>
  <c r="K602" i="23" a="1"/>
  <c r="J3173" i="21" a="1"/>
  <c r="M128" i="23" a="1"/>
  <c r="M14" i="23" a="1"/>
  <c r="K140" i="23" a="1"/>
  <c r="J373" i="30" a="1"/>
  <c r="K3265" i="21" a="1"/>
  <c r="I3193" i="21" a="1"/>
  <c r="J613" i="30" a="1"/>
  <c r="M365" i="23" a="1"/>
  <c r="K720" i="23" a="1"/>
  <c r="K3229" i="21" a="1"/>
  <c r="J725" i="23" a="1"/>
  <c r="M813" i="23" a="1"/>
  <c r="K608" i="23" a="1"/>
  <c r="K2691" i="21" a="1"/>
  <c r="J109" i="23" a="1"/>
  <c r="K86" i="23" a="1"/>
  <c r="J3297" i="21" a="1"/>
  <c r="K453" i="23" a="1"/>
  <c r="J93" i="23" a="1"/>
  <c r="K74" i="23" a="1"/>
  <c r="K364" i="30" a="1"/>
  <c r="M724" i="23" a="1"/>
  <c r="K3220" i="21" a="1"/>
  <c r="K746" i="23" a="1"/>
  <c r="J779" i="23" a="1"/>
  <c r="J3232" i="21" a="1"/>
  <c r="J689" i="23" a="1"/>
  <c r="J2667" i="21" a="1"/>
  <c r="K234" i="30" a="1"/>
  <c r="K2683" i="21" a="1"/>
  <c r="M257" i="23" a="1"/>
  <c r="M680" i="23" a="1"/>
  <c r="K238" i="23" a="1"/>
  <c r="M662" i="23" a="1"/>
  <c r="K613" i="30" a="1"/>
  <c r="K40" i="23" a="1"/>
  <c r="K56" i="23" a="1"/>
  <c r="K3250" i="21" a="1"/>
  <c r="K362" i="23" a="1"/>
  <c r="I3156" i="21" a="1"/>
  <c r="J2655" i="21" a="1"/>
  <c r="J3124" i="21" a="1"/>
  <c r="I614" i="30" a="1"/>
  <c r="M811" i="23" a="1"/>
  <c r="K41" i="23" a="1"/>
  <c r="J667" i="23" a="1"/>
  <c r="J257" i="23" a="1"/>
  <c r="J77" i="23" a="1"/>
  <c r="J59" i="23" a="1"/>
  <c r="M589" i="23" a="1"/>
  <c r="J2649" i="21" a="1"/>
  <c r="J104" i="23" a="1"/>
  <c r="I490" i="30" a="1"/>
  <c r="L788" i="23" a="1"/>
  <c r="K19" i="23" a="1"/>
  <c r="J2673" i="21" a="1"/>
  <c r="K797" i="23" a="1"/>
  <c r="I3139" i="21" a="1"/>
  <c r="M812" i="23" a="1"/>
  <c r="K2665" i="21" a="1"/>
  <c r="I3211" i="21" a="1"/>
  <c r="J23" i="23" a="1"/>
  <c r="J75" i="23" a="1"/>
  <c r="M689" i="23" a="1"/>
  <c r="L757" i="23" a="1"/>
  <c r="K2610" i="21" a="1"/>
  <c r="J505" i="30" a="1"/>
  <c r="J2610" i="21" a="1"/>
  <c r="J451" i="23" a="1"/>
  <c r="M743" i="23" a="1"/>
  <c r="I3124" i="21" a="1"/>
  <c r="M113" i="23" a="1"/>
  <c r="J2671" i="21" a="1"/>
  <c r="K2659" i="21" a="1"/>
  <c r="I2667" i="21" a="1"/>
  <c r="K2631" i="21" a="1"/>
  <c r="M686" i="23" a="1"/>
  <c r="K2633" i="21" a="1"/>
  <c r="J811" i="23" a="1"/>
  <c r="K2645" i="21" a="1"/>
  <c r="J2692" i="21" a="1"/>
  <c r="J230" i="23" a="1"/>
  <c r="M688" i="23" a="1"/>
  <c r="K630" i="30" a="1"/>
  <c r="K73" i="23" a="1"/>
  <c r="J773" i="23" a="1"/>
  <c r="J620" i="23" a="1"/>
  <c r="M716" i="23" a="1"/>
  <c r="K62" i="23" a="1"/>
  <c r="M74" i="23" a="1"/>
  <c r="K796" i="23" a="1"/>
  <c r="M104" i="23" a="1"/>
  <c r="I3119" i="21" a="1"/>
  <c r="L771" i="23" a="1"/>
  <c r="K2644" i="21" a="1"/>
  <c r="J2689" i="21" a="1"/>
  <c r="M93" i="23" a="1"/>
  <c r="K3263" i="21" a="1"/>
  <c r="J355" i="30" a="1"/>
  <c r="K3264" i="21" a="1"/>
  <c r="K7" i="30" a="1"/>
  <c r="K248" i="23" a="1"/>
  <c r="K3226" i="21" a="1"/>
  <c r="K3245" i="21" a="1"/>
  <c r="M707" i="23" a="1"/>
  <c r="K806" i="23" a="1"/>
  <c r="J796" i="23" a="1"/>
  <c r="M363" i="23" a="1"/>
  <c r="J2678" i="21" a="1"/>
  <c r="J50" i="23" a="1"/>
  <c r="I367" i="30" a="1"/>
  <c r="I2652" i="21" a="1"/>
  <c r="J3130" i="21" a="1"/>
  <c r="J109" i="30" a="1"/>
  <c r="K3282" i="21" a="1"/>
  <c r="J3298" i="21" a="1"/>
  <c r="M86" i="23" a="1"/>
  <c r="I2638" i="21" a="1"/>
  <c r="J2644" i="21" a="1"/>
  <c r="K504" i="30" a="1"/>
  <c r="J3196" i="21" a="1"/>
  <c r="K739" i="23" a="1"/>
  <c r="J2682" i="21" a="1"/>
  <c r="K18" i="30" a="1"/>
  <c r="M58" i="23" a="1"/>
  <c r="I2690" i="21" a="1"/>
  <c r="M698" i="23" a="1"/>
  <c r="J252" i="30" a="1"/>
  <c r="J722" i="23" a="1"/>
  <c r="J589" i="23" a="1"/>
  <c r="K734" i="23" a="1"/>
  <c r="I7" i="30" a="1"/>
  <c r="J507" i="30" a="1"/>
  <c r="J3138" i="21" a="1"/>
  <c r="I379" i="30" a="1"/>
  <c r="J91" i="23" a="1"/>
  <c r="J3192" i="21" a="1"/>
  <c r="J113" i="23" a="1"/>
  <c r="J86" i="23" a="1"/>
  <c r="K110" i="30" a="1"/>
  <c r="J378" i="30" a="1"/>
  <c r="M777" i="23" a="1"/>
  <c r="I3318" i="21" a="1"/>
  <c r="M455" i="23" a="1"/>
  <c r="J777" i="23" a="1"/>
  <c r="K671" i="23" a="1"/>
  <c r="J775" i="23" a="1"/>
  <c r="J616" i="23" a="1"/>
  <c r="K728" i="23" a="1"/>
  <c r="I126" i="30" a="1"/>
  <c r="J130" i="30" a="1"/>
  <c r="K2689" i="21" a="1"/>
  <c r="J140" i="23" a="1"/>
  <c r="J2635" i="21" a="1"/>
  <c r="J3184" i="21" a="1"/>
  <c r="J3172" i="21" a="1"/>
  <c r="I3299" i="21" a="1"/>
  <c r="I20" i="30" a="1"/>
  <c r="M806" i="23" a="1"/>
  <c r="E134" i="1" l="1"/>
  <c r="E133" i="1" s="1"/>
  <c r="E124" i="1" s="1"/>
  <c r="E123" i="1" s="1"/>
  <c r="P2154" i="21"/>
  <c r="P2208" i="21"/>
  <c r="E82" i="1"/>
  <c r="E81" i="1" s="1"/>
  <c r="P2172" i="21"/>
  <c r="P2244" i="21"/>
  <c r="O745" i="23"/>
  <c r="N799" i="23"/>
  <c r="M2496" i="21"/>
  <c r="N187" i="23"/>
  <c r="N366" i="30"/>
  <c r="N2532" i="21"/>
  <c r="L492" i="30"/>
  <c r="L96" i="30"/>
  <c r="P349" i="23"/>
  <c r="M618" i="30"/>
  <c r="N349" i="23"/>
  <c r="O673" i="23"/>
  <c r="L474" i="30"/>
  <c r="N222" i="30"/>
  <c r="M2586" i="21"/>
  <c r="M492" i="30"/>
  <c r="N817" i="23"/>
  <c r="N42" i="30"/>
  <c r="N2478" i="21"/>
  <c r="N2496" i="21"/>
  <c r="L2460" i="21"/>
  <c r="W2529" i="21"/>
  <c r="M474" i="30"/>
  <c r="L528" i="30"/>
  <c r="L366" i="30"/>
  <c r="L24" i="30"/>
  <c r="O601" i="23"/>
  <c r="L2663" i="21" s="1"/>
  <c r="N2615" i="21" s="1"/>
  <c r="L2633" i="21" s="1"/>
  <c r="N2651" i="21" s="1"/>
  <c r="N2669" i="21" s="1"/>
  <c r="L2668" i="21" s="1"/>
  <c r="N2681" i="21" s="1"/>
  <c r="L2610" i="21" s="1"/>
  <c r="L2662" i="21" s="1"/>
  <c r="M2607" i="21" s="1"/>
  <c r="M2626" i="21" s="1"/>
  <c r="L2631" i="21" s="1"/>
  <c r="L2660" i="21" s="1"/>
  <c r="M2662" i="21" s="1"/>
  <c r="N2607" i="21" s="1"/>
  <c r="M2609" i="21" s="1"/>
  <c r="N2614" i="21" s="1"/>
  <c r="M2679" i="21" s="1"/>
  <c r="N2606" i="21" s="1"/>
  <c r="L2651" i="21" s="1"/>
  <c r="L2632" i="21" s="1"/>
  <c r="L2679" i="21" s="1"/>
  <c r="M2606" i="21" s="1"/>
  <c r="M2632" i="21" s="1"/>
  <c r="N2678" i="21" s="1"/>
  <c r="K169" i="23" s="1"/>
  <c r="M2684" i="21" s="1"/>
  <c r="N2645" i="21" s="1"/>
  <c r="M2667" i="21" s="1"/>
  <c r="N2612" i="21" s="1"/>
  <c r="L2609" i="21" s="1"/>
  <c r="N2630" i="21" s="1"/>
  <c r="L2680" i="21" s="1"/>
  <c r="N2686" i="21" s="1"/>
  <c r="L2628" i="21" s="1"/>
  <c r="L2682" i="21" s="1"/>
  <c r="L2664" i="21" s="1"/>
  <c r="N2625" i="21" s="1"/>
  <c r="N2633" i="21" s="1"/>
  <c r="N2649" i="21" s="1"/>
  <c r="J169" i="23" s="1"/>
  <c r="M2682" i="21" s="1"/>
  <c r="M2668" i="21" s="1"/>
  <c r="N2631" i="21" s="1"/>
  <c r="M2666" i="21" s="1"/>
  <c r="L2612" i="21" s="1"/>
  <c r="L2624" i="21" s="1"/>
  <c r="N2644" i="21" s="1"/>
  <c r="L2667" i="21" s="1"/>
  <c r="M2613" i="21" s="1"/>
  <c r="M2642" i="21" s="1"/>
  <c r="J42" i="30" s="1"/>
  <c r="M2648" i="21" s="1"/>
  <c r="M2661" i="21" s="1"/>
  <c r="M2614" i="21" s="1"/>
  <c r="M2681" i="21" s="1"/>
  <c r="M2663" i="21" s="1"/>
  <c r="L2608" i="21" s="1"/>
  <c r="M2660" i="21" s="1"/>
  <c r="L2650" i="21" s="1"/>
  <c r="N2648" i="21" s="1"/>
  <c r="M2627" i="21" s="1"/>
  <c r="M2649" i="21" s="1"/>
  <c r="M2644" i="21" s="1"/>
  <c r="M2646" i="21" s="1"/>
  <c r="N2661" i="21" s="1"/>
  <c r="M2669" i="21" s="1"/>
  <c r="M2631" i="21" s="1"/>
  <c r="L2681" i="21" s="1"/>
  <c r="M2624" i="21" s="1"/>
  <c r="N2632" i="21" s="1"/>
  <c r="I3321" i="21" s="1"/>
  <c r="L2666" i="21" s="1"/>
  <c r="M2686" i="21" s="1"/>
  <c r="N2685" i="21" s="1"/>
  <c r="M2645" i="21" s="1"/>
  <c r="I42" i="30" s="1"/>
  <c r="L2606" i="21" s="1"/>
  <c r="N2628" i="21" s="1"/>
  <c r="L2686" i="21" s="1"/>
  <c r="M2651" i="21" s="1"/>
  <c r="M2608" i="21" s="1"/>
  <c r="L2685" i="21" s="1"/>
  <c r="M2633" i="21" s="1"/>
  <c r="N2609" i="21" s="1"/>
  <c r="N2608" i="21" s="1"/>
  <c r="L2607" i="21" s="1"/>
  <c r="M2615" i="21" s="1"/>
  <c r="N2613" i="21" s="1"/>
  <c r="N2627" i="21" s="1"/>
  <c r="L2625" i="21" s="1"/>
  <c r="N2646" i="21" s="1"/>
  <c r="L2648" i="21" s="1"/>
  <c r="L2614" i="21" s="1"/>
  <c r="K583" i="23" s="1"/>
  <c r="N2663" i="21" s="1"/>
  <c r="L2649" i="21" s="1"/>
  <c r="M2610" i="21" s="1"/>
  <c r="L2661" i="21" s="1"/>
  <c r="N2682" i="21" s="1"/>
  <c r="N2662" i="21" s="1"/>
  <c r="M2628" i="21" s="1"/>
  <c r="M2664" i="21" s="1"/>
  <c r="L2678" i="21" s="1"/>
  <c r="N2679" i="21" s="1"/>
  <c r="J3321" i="21" s="1"/>
  <c r="M2650" i="21" s="1"/>
  <c r="N2668" i="21" s="1"/>
  <c r="L2615" i="21" s="1"/>
  <c r="N2664" i="21" s="1"/>
  <c r="N2610" i="21" s="1"/>
  <c r="M2630" i="21" s="1"/>
  <c r="N2667" i="21" s="1"/>
  <c r="N2660" i="21" s="1"/>
  <c r="N2684" i="21" s="1"/>
  <c r="N2680" i="21" s="1"/>
  <c r="M2680" i="21" s="1"/>
  <c r="M2625" i="21" s="1"/>
  <c r="M2612" i="21" s="1"/>
  <c r="L2669" i="21" s="1"/>
  <c r="N2624" i="21" s="1"/>
  <c r="L2626" i="21" s="1"/>
  <c r="L2684" i="21" s="1"/>
  <c r="L2613" i="21" s="1"/>
  <c r="M2685" i="21" s="1"/>
  <c r="N2650" i="21" s="1"/>
  <c r="N2643" i="21" s="1"/>
  <c r="L2627" i="21" s="1"/>
  <c r="L2630" i="21" s="1"/>
  <c r="N2626" i="21" s="1"/>
  <c r="M2678" i="21" s="1"/>
  <c r="M2643" i="21" s="1"/>
  <c r="N2642" i="21" s="1"/>
  <c r="N2666" i="21" s="1"/>
  <c r="M83" i="30"/>
  <c r="O173" i="23"/>
  <c r="M34" i="30"/>
  <c r="O201" i="23"/>
  <c r="N696" i="23"/>
  <c r="O461" i="23"/>
  <c r="M9" i="30"/>
  <c r="O209" i="23"/>
  <c r="M3309" i="21"/>
  <c r="M219" i="30"/>
  <c r="O286" i="23"/>
  <c r="M3312" i="21"/>
  <c r="M135" i="30"/>
  <c r="O161" i="23"/>
  <c r="M3359" i="21"/>
  <c r="W12" i="30"/>
  <c r="O175" i="23"/>
  <c r="M44" i="30"/>
  <c r="M154" i="30"/>
  <c r="O153" i="23"/>
  <c r="L219" i="30"/>
  <c r="O285" i="23"/>
  <c r="O203" i="23"/>
  <c r="O195" i="23"/>
  <c r="N684" i="23"/>
  <c r="M144" i="30"/>
  <c r="M152" i="30"/>
  <c r="N679" i="23"/>
  <c r="M155" i="30"/>
  <c r="N678" i="23"/>
  <c r="M143" i="30"/>
  <c r="M146" i="30"/>
  <c r="M161" i="30"/>
  <c r="M159" i="30"/>
  <c r="N695" i="23"/>
  <c r="M151" i="30"/>
  <c r="M158" i="30"/>
  <c r="N694" i="23"/>
  <c r="N683" i="23"/>
  <c r="N682" i="23"/>
  <c r="N693" i="23"/>
  <c r="N691" i="23" s="1"/>
  <c r="M165" i="30"/>
  <c r="M164" i="30"/>
  <c r="M157" i="30"/>
  <c r="O269" i="23"/>
  <c r="O468" i="23"/>
  <c r="M64" i="30"/>
  <c r="M147" i="30"/>
  <c r="M3307" i="21"/>
  <c r="M3258" i="21"/>
  <c r="W3203" i="21"/>
  <c r="M3294" i="21"/>
  <c r="O65" i="23"/>
  <c r="M10" i="30"/>
  <c r="O71" i="23"/>
  <c r="O70" i="23"/>
  <c r="M3295" i="21"/>
  <c r="M3259" i="21"/>
  <c r="M3252" i="21"/>
  <c r="Y16" i="23"/>
  <c r="M3237" i="21"/>
  <c r="M12" i="30"/>
  <c r="O64" i="23"/>
  <c r="O87" i="23"/>
  <c r="M3257" i="21"/>
  <c r="M14" i="30"/>
  <c r="O63" i="23"/>
  <c r="M3296" i="21"/>
  <c r="W10" i="30"/>
  <c r="O88" i="23"/>
  <c r="M3255" i="21"/>
  <c r="M3291" i="21"/>
  <c r="O72" i="23"/>
  <c r="M3240" i="21"/>
  <c r="M15" i="30"/>
  <c r="O143" i="23"/>
  <c r="O66" i="23"/>
  <c r="M16" i="30"/>
  <c r="O135" i="23"/>
  <c r="O137" i="23"/>
  <c r="M8" i="30"/>
  <c r="M3234" i="21"/>
  <c r="M3269" i="21"/>
  <c r="M3260" i="21"/>
  <c r="M3251" i="21"/>
  <c r="M3222" i="21"/>
  <c r="M3233" i="21"/>
  <c r="O138" i="23"/>
  <c r="M3236" i="21"/>
  <c r="M3221" i="21"/>
  <c r="O136" i="23"/>
  <c r="M3223" i="21"/>
  <c r="M3287" i="21"/>
  <c r="O142" i="23"/>
  <c r="M3224" i="21"/>
  <c r="O67" i="23"/>
  <c r="M3241" i="21"/>
  <c r="O144" i="23"/>
  <c r="O89" i="23"/>
  <c r="M3239" i="21"/>
  <c r="M3253" i="21"/>
  <c r="M3290" i="21"/>
  <c r="L220" i="30"/>
  <c r="O284" i="23"/>
  <c r="L213" i="30"/>
  <c r="O280" i="23"/>
  <c r="O271" i="23"/>
  <c r="O279" i="23"/>
  <c r="O274" i="23"/>
  <c r="L205" i="30"/>
  <c r="L216" i="30"/>
  <c r="O268" i="23"/>
  <c r="O270" i="23"/>
  <c r="L212" i="30"/>
  <c r="O282" i="23"/>
  <c r="O281" i="23"/>
  <c r="L215" i="30"/>
  <c r="O275" i="23"/>
  <c r="O273" i="23"/>
  <c r="L211" i="30"/>
  <c r="M209" i="30"/>
  <c r="M3308" i="21"/>
  <c r="M259" i="30"/>
  <c r="O178" i="23"/>
  <c r="O139" i="23"/>
  <c r="M141" i="30"/>
  <c r="O194" i="23"/>
  <c r="M148" i="30"/>
  <c r="M3275" i="21"/>
  <c r="O264" i="23"/>
  <c r="M3254" i="21"/>
  <c r="M17" i="30"/>
  <c r="M184" i="30"/>
  <c r="M35" i="30"/>
  <c r="O260" i="23"/>
  <c r="M153" i="30"/>
  <c r="M32" i="30"/>
  <c r="L206" i="30"/>
  <c r="M142" i="30"/>
  <c r="M265" i="30"/>
  <c r="M3344" i="21"/>
  <c r="O216" i="23"/>
  <c r="O261" i="23"/>
  <c r="M3361" i="21"/>
  <c r="M87" i="30"/>
  <c r="O207" i="23"/>
  <c r="O217" i="23"/>
  <c r="M133" i="30"/>
  <c r="O214" i="23"/>
  <c r="M3367" i="21"/>
  <c r="O208" i="23"/>
  <c r="M85" i="30"/>
  <c r="O221" i="23"/>
  <c r="M3368" i="21"/>
  <c r="O210" i="23"/>
  <c r="M3372" i="21"/>
  <c r="M86" i="30"/>
  <c r="M90" i="30"/>
  <c r="M3366" i="21"/>
  <c r="M3369" i="21"/>
  <c r="M92" i="30"/>
  <c r="O215" i="23"/>
  <c r="M3362" i="21"/>
  <c r="M80" i="30"/>
  <c r="O266" i="23"/>
  <c r="M79" i="30"/>
  <c r="M93" i="30"/>
  <c r="M94" i="30"/>
  <c r="M3360" i="21"/>
  <c r="M3358" i="21"/>
  <c r="M139" i="30"/>
  <c r="O212" i="23"/>
  <c r="O262" i="23"/>
  <c r="M89" i="30"/>
  <c r="M140" i="30"/>
  <c r="M134" i="30"/>
  <c r="M3371" i="21"/>
  <c r="M137" i="30"/>
  <c r="M82" i="30"/>
  <c r="M3365" i="21"/>
  <c r="O220" i="23"/>
  <c r="O206" i="23"/>
  <c r="O219" i="23"/>
  <c r="O213" i="23"/>
  <c r="M136" i="30"/>
  <c r="O263" i="23"/>
  <c r="M3289" i="21"/>
  <c r="M3242" i="21"/>
  <c r="M3293" i="21"/>
  <c r="O155" i="23"/>
  <c r="M3235" i="21"/>
  <c r="M173" i="30"/>
  <c r="M3364" i="21"/>
  <c r="M70" i="30"/>
  <c r="M179" i="30"/>
  <c r="M180" i="30"/>
  <c r="M169" i="30"/>
  <c r="M207" i="30"/>
  <c r="M178" i="30"/>
  <c r="N519" i="23"/>
  <c r="N520" i="23"/>
  <c r="M183" i="30"/>
  <c r="M170" i="30"/>
  <c r="N518" i="23"/>
  <c r="M208" i="30"/>
  <c r="N516" i="23"/>
  <c r="M212" i="30"/>
  <c r="M176" i="30"/>
  <c r="M175" i="30"/>
  <c r="M171" i="30"/>
  <c r="M206" i="30"/>
  <c r="M177" i="30"/>
  <c r="M182" i="30"/>
  <c r="M267" i="30"/>
  <c r="M272" i="30"/>
  <c r="N514" i="23"/>
  <c r="M260" i="30"/>
  <c r="M213" i="30"/>
  <c r="M268" i="30"/>
  <c r="O465" i="23"/>
  <c r="M218" i="30"/>
  <c r="M262" i="30"/>
  <c r="M220" i="30"/>
  <c r="M270" i="30"/>
  <c r="M273" i="30"/>
  <c r="M216" i="30"/>
  <c r="O462" i="23"/>
  <c r="O466" i="23"/>
  <c r="M266" i="30"/>
  <c r="M274" i="30"/>
  <c r="N515" i="23"/>
  <c r="O464" i="23"/>
  <c r="M263" i="30"/>
  <c r="M269" i="30"/>
  <c r="M214" i="30"/>
  <c r="N512" i="23"/>
  <c r="M215" i="30"/>
  <c r="M53" i="30"/>
  <c r="M205" i="30"/>
  <c r="M11" i="30"/>
  <c r="M3331" i="21"/>
  <c r="M211" i="30"/>
  <c r="M45" i="30"/>
  <c r="O156" i="23"/>
  <c r="M3342" i="21"/>
  <c r="L209" i="30"/>
  <c r="L218" i="30"/>
  <c r="O172" i="23"/>
  <c r="M52" i="30"/>
  <c r="M46" i="30"/>
  <c r="M51" i="30"/>
  <c r="M33" i="30"/>
  <c r="M3311" i="21"/>
  <c r="M47" i="30"/>
  <c r="O191" i="23"/>
  <c r="M3355" i="21"/>
  <c r="W3204" i="21"/>
  <c r="O174" i="23"/>
  <c r="M74" i="30"/>
  <c r="M3323" i="21"/>
  <c r="O154" i="23"/>
  <c r="O198" i="23"/>
  <c r="M3346" i="21"/>
  <c r="M48" i="30"/>
  <c r="O179" i="23"/>
  <c r="M29" i="30"/>
  <c r="O190" i="23"/>
  <c r="M76" i="30"/>
  <c r="M71" i="30"/>
  <c r="M3327" i="21"/>
  <c r="O202" i="23"/>
  <c r="O160" i="23"/>
  <c r="M3313" i="21"/>
  <c r="M26" i="30"/>
  <c r="M3348" i="21"/>
  <c r="O189" i="23"/>
  <c r="M3332" i="21"/>
  <c r="M3340" i="21"/>
  <c r="M63" i="30"/>
  <c r="M3325" i="21"/>
  <c r="M72" i="30"/>
  <c r="M65" i="30"/>
  <c r="M75" i="30"/>
  <c r="M62" i="30"/>
  <c r="O159" i="23"/>
  <c r="M3354" i="21"/>
  <c r="M3343" i="21"/>
  <c r="M3349" i="21"/>
  <c r="O180" i="23"/>
  <c r="O171" i="23"/>
  <c r="M3329" i="21"/>
  <c r="M3277" i="21"/>
  <c r="M3306" i="21"/>
  <c r="O192" i="23"/>
  <c r="O199" i="23"/>
  <c r="O157" i="23"/>
  <c r="M3314" i="21"/>
  <c r="M27" i="30"/>
  <c r="O177" i="23"/>
  <c r="O197" i="23"/>
  <c r="O188" i="23"/>
  <c r="M3324" i="21"/>
  <c r="M69" i="30"/>
  <c r="M3351" i="21"/>
  <c r="M30" i="30"/>
  <c r="M3350" i="21"/>
  <c r="M67" i="30"/>
  <c r="O162" i="23"/>
  <c r="M68" i="30"/>
  <c r="M3353" i="21"/>
  <c r="M3276" i="21"/>
  <c r="M61" i="30"/>
  <c r="M28" i="30"/>
  <c r="M3347" i="21"/>
  <c r="M50" i="30"/>
  <c r="O196" i="23"/>
  <c r="M3330" i="21"/>
  <c r="O267" i="23"/>
  <c r="O141" i="23"/>
  <c r="M3305" i="21"/>
  <c r="L207" i="30"/>
  <c r="M3326" i="21"/>
  <c r="W11" i="30"/>
  <c r="O69" i="23"/>
  <c r="N681" i="23"/>
  <c r="W525" i="30"/>
  <c r="O817" i="23"/>
  <c r="P943" i="23"/>
  <c r="M582" i="30"/>
  <c r="P403" i="23"/>
  <c r="N43" i="23"/>
  <c r="L222" i="30"/>
  <c r="N133" i="23"/>
  <c r="P727" i="23"/>
  <c r="N97" i="23"/>
  <c r="N3213" i="21"/>
  <c r="N3195" i="21"/>
  <c r="P25" i="23"/>
  <c r="N871" i="23"/>
  <c r="P619" i="23"/>
  <c r="L618" i="30"/>
  <c r="L3231" i="21"/>
  <c r="P79" i="23"/>
  <c r="N925" i="23"/>
  <c r="N889" i="23"/>
  <c r="N493" i="23"/>
  <c r="P907" i="23"/>
  <c r="M2568" i="21"/>
  <c r="O313" i="23"/>
  <c r="M348" i="30"/>
  <c r="L438" i="30"/>
  <c r="N727" i="23"/>
  <c r="N907" i="23"/>
  <c r="W273" i="30"/>
  <c r="P421" i="23"/>
  <c r="L2586" i="21"/>
  <c r="M2514" i="21"/>
  <c r="M366" i="30"/>
  <c r="L3195" i="21"/>
  <c r="M3063" i="21"/>
  <c r="N169" i="23"/>
  <c r="N205" i="23"/>
  <c r="P295" i="23"/>
  <c r="N240" i="30"/>
  <c r="P169" i="23"/>
  <c r="P637" i="23"/>
  <c r="O799" i="23"/>
  <c r="M546" i="30"/>
  <c r="P889" i="23"/>
  <c r="N3267" i="21"/>
  <c r="N2514" i="21"/>
  <c r="L186" i="30"/>
  <c r="N961" i="23"/>
  <c r="P97" i="23"/>
  <c r="P367" i="23"/>
  <c r="N223" i="23"/>
  <c r="N943" i="23"/>
  <c r="N2460" i="21"/>
  <c r="P511" i="23"/>
  <c r="O619" i="23"/>
  <c r="O223" i="23"/>
  <c r="O295" i="23"/>
  <c r="N241" i="23"/>
  <c r="L3285" i="21"/>
  <c r="N600" i="30"/>
  <c r="N2586" i="21"/>
  <c r="L546" i="30"/>
  <c r="W2439" i="21"/>
  <c r="L420" i="30"/>
  <c r="N619" i="23"/>
  <c r="N492" i="30"/>
  <c r="L3249" i="21"/>
  <c r="L6" i="30"/>
  <c r="M456" i="30"/>
  <c r="M2442" i="21"/>
  <c r="O475" i="23"/>
  <c r="W147" i="30"/>
  <c r="O349" i="23"/>
  <c r="P583" i="23"/>
  <c r="O691" i="23"/>
  <c r="M222" i="30"/>
  <c r="L456" i="30"/>
  <c r="P745" i="23"/>
  <c r="N313" i="23"/>
  <c r="N79" i="23"/>
  <c r="O835" i="23"/>
  <c r="L3321" i="21"/>
  <c r="N3321" i="21"/>
  <c r="M2424" i="21"/>
  <c r="M564" i="30"/>
  <c r="O853" i="23"/>
  <c r="O925" i="23"/>
  <c r="M186" i="30"/>
  <c r="N151" i="23"/>
  <c r="P475" i="23"/>
  <c r="M2532" i="21"/>
  <c r="L402" i="30"/>
  <c r="N186" i="30"/>
  <c r="N835" i="23"/>
  <c r="L564" i="30"/>
  <c r="N367" i="23"/>
  <c r="P2190" i="21"/>
  <c r="N403" i="23"/>
  <c r="N3231" i="21"/>
  <c r="Y148" i="23"/>
  <c r="P547" i="23"/>
  <c r="P205" i="23"/>
  <c r="L2424" i="21"/>
  <c r="O871" i="23"/>
  <c r="M330" i="30"/>
  <c r="N61" i="23"/>
  <c r="O961" i="23"/>
  <c r="P7" i="23"/>
  <c r="P493" i="23"/>
  <c r="M510" i="30"/>
  <c r="M240" i="30"/>
  <c r="O331" i="23"/>
  <c r="P961" i="23"/>
  <c r="O781" i="23"/>
  <c r="P385" i="23"/>
  <c r="N24" i="30"/>
  <c r="L600" i="30"/>
  <c r="L348" i="30"/>
  <c r="P187" i="23"/>
  <c r="N330" i="30"/>
  <c r="P601" i="23"/>
  <c r="N3249" i="21"/>
  <c r="L2532" i="21"/>
  <c r="P871" i="23"/>
  <c r="O367" i="23"/>
  <c r="P133" i="23"/>
  <c r="L240" i="30"/>
  <c r="P259" i="23"/>
  <c r="P151" i="23"/>
  <c r="L2514" i="21"/>
  <c r="N96" i="30"/>
  <c r="N853" i="23"/>
  <c r="O907" i="23"/>
  <c r="L2478" i="21"/>
  <c r="N618" i="30"/>
  <c r="M96" i="30"/>
  <c r="N582" i="30"/>
  <c r="N348" i="30"/>
  <c r="P115" i="23"/>
  <c r="O727" i="23"/>
  <c r="N745" i="23"/>
  <c r="L2496" i="21"/>
  <c r="O943" i="23"/>
  <c r="M114" i="30"/>
  <c r="N474" i="30"/>
  <c r="P2226" i="21"/>
  <c r="N7" i="23"/>
  <c r="L3267" i="21"/>
  <c r="P277" i="23"/>
  <c r="N601" i="23"/>
  <c r="L510" i="30"/>
  <c r="M2550" i="21"/>
  <c r="P43" i="23"/>
  <c r="N2568" i="21"/>
  <c r="P565" i="23"/>
  <c r="P331" i="23"/>
  <c r="P853" i="23"/>
  <c r="P529" i="23"/>
  <c r="P223" i="23"/>
  <c r="M600" i="30"/>
  <c r="L582" i="30"/>
  <c r="P925" i="23"/>
  <c r="N115" i="23"/>
  <c r="N3285" i="21"/>
  <c r="W2619" i="21"/>
  <c r="P835" i="23"/>
  <c r="N2424" i="21"/>
  <c r="P313" i="23"/>
  <c r="O493" i="23"/>
  <c r="L3303" i="21"/>
  <c r="O97" i="23"/>
  <c r="L114" i="30"/>
  <c r="W399" i="30"/>
  <c r="N385" i="23"/>
  <c r="N564" i="30"/>
  <c r="P241" i="23"/>
  <c r="N3303" i="21"/>
  <c r="M312" i="30"/>
  <c r="O889" i="23"/>
  <c r="O241" i="23"/>
  <c r="O115" i="23"/>
  <c r="Y652" i="23"/>
  <c r="N114" i="30"/>
  <c r="M528" i="30"/>
  <c r="N2442" i="21"/>
  <c r="N2550" i="21"/>
  <c r="N6" i="30"/>
  <c r="N475" i="23"/>
  <c r="P61" i="23"/>
  <c r="L2442" i="21"/>
  <c r="P457" i="23"/>
  <c r="M2478" i="21"/>
  <c r="M2460" i="21"/>
  <c r="N789" i="23"/>
  <c r="O454" i="23" a="1"/>
  <c r="P455" i="23" a="1"/>
  <c r="O451" i="23" a="1"/>
  <c r="O453" i="23" a="1"/>
  <c r="O778" i="23" a="1"/>
  <c r="P774" i="23" a="1"/>
  <c r="N772" i="23" a="1"/>
  <c r="O775" i="23" a="1"/>
  <c r="N667" i="23" a="1"/>
  <c r="N771" i="23" a="1"/>
  <c r="O773" i="23" a="1"/>
  <c r="N776" i="23" a="1"/>
  <c r="N774" i="23" a="1"/>
  <c r="O671" i="23" a="1"/>
  <c r="P777" i="23" a="1"/>
  <c r="P670" i="23" a="1"/>
  <c r="P451" i="23" a="1"/>
  <c r="O667" i="23" a="1"/>
  <c r="O455" i="23" a="1"/>
  <c r="N451" i="23" a="1"/>
  <c r="N671" i="23" a="1"/>
  <c r="N669" i="23" a="1"/>
  <c r="N777" i="23" a="1"/>
  <c r="N670" i="23" a="1"/>
  <c r="O772" i="23" a="1"/>
  <c r="N455" i="23" a="1"/>
  <c r="P779" i="23" a="1"/>
  <c r="P452" i="23" a="1"/>
  <c r="P453" i="23" a="1"/>
  <c r="O670" i="23" a="1"/>
  <c r="N453" i="23" a="1"/>
  <c r="O777" i="23" a="1"/>
  <c r="N454" i="23" a="1"/>
  <c r="P667" i="23" a="1"/>
  <c r="N778" i="23" a="1"/>
  <c r="N779" i="23" a="1"/>
  <c r="O779" i="23" a="1"/>
  <c r="N720" i="23" a="1"/>
  <c r="P720" i="23" a="1"/>
  <c r="P778" i="23" a="1"/>
  <c r="O771" i="23" a="1"/>
  <c r="P671" i="23" a="1"/>
  <c r="P776" i="23" a="1"/>
  <c r="O720" i="23" a="1"/>
  <c r="O774" i="23" a="1"/>
  <c r="P773" i="23" a="1"/>
  <c r="P771" i="23" a="1"/>
  <c r="O776" i="23" a="1"/>
  <c r="P772" i="23" a="1"/>
  <c r="N773" i="23" a="1"/>
  <c r="P775" i="23" a="1"/>
  <c r="N668" i="23" a="1"/>
  <c r="P669" i="23" a="1"/>
  <c r="O668" i="23" a="1"/>
  <c r="P454" i="23" a="1"/>
  <c r="O452" i="23" a="1"/>
  <c r="P668" i="23" a="1"/>
  <c r="N452" i="23" a="1"/>
  <c r="O669" i="23" a="1"/>
  <c r="N775" i="23" a="1"/>
  <c r="R745" i="23" l="1"/>
  <c r="E122" i="1"/>
  <c r="E121" i="1" s="1"/>
  <c r="E110" i="1" s="1"/>
  <c r="E109" i="1" s="1"/>
  <c r="E108" i="1" s="1"/>
  <c r="P366" i="30"/>
  <c r="P96" i="30"/>
  <c r="P474" i="30"/>
  <c r="E80" i="1"/>
  <c r="E79" i="1" s="1"/>
  <c r="E78" i="1" s="1"/>
  <c r="E77" i="1" s="1"/>
  <c r="E76" i="1" s="1"/>
  <c r="P2532" i="21"/>
  <c r="P2496" i="21"/>
  <c r="R835" i="23"/>
  <c r="P2478" i="21"/>
  <c r="P618" i="30"/>
  <c r="R349" i="23"/>
  <c r="P582" i="30"/>
  <c r="O169" i="23"/>
  <c r="R169" i="23" s="1"/>
  <c r="N673" i="23"/>
  <c r="R223" i="23"/>
  <c r="P348" i="30"/>
  <c r="P114" i="30"/>
  <c r="R475" i="23"/>
  <c r="P2460" i="21"/>
  <c r="M24" i="30"/>
  <c r="M3267" i="21"/>
  <c r="P3267" i="21" s="1"/>
  <c r="M150" i="30"/>
  <c r="R853" i="23"/>
  <c r="O79" i="23"/>
  <c r="R79" i="23" s="1"/>
  <c r="O277" i="23"/>
  <c r="P222" i="30"/>
  <c r="D2226" i="21"/>
  <c r="O61" i="23"/>
  <c r="R61" i="23" s="1"/>
  <c r="R961" i="23"/>
  <c r="D1033" i="23" s="1"/>
  <c r="P492" i="30"/>
  <c r="R619" i="23"/>
  <c r="P564" i="30"/>
  <c r="R313" i="23"/>
  <c r="P186" i="30"/>
  <c r="P2586" i="21"/>
  <c r="M7" i="23"/>
  <c r="M61" i="23"/>
  <c r="J745" i="23"/>
  <c r="K7" i="23"/>
  <c r="K97" i="23"/>
  <c r="O42" i="30"/>
  <c r="K619" i="23"/>
  <c r="I3177" i="21"/>
  <c r="J366" i="30"/>
  <c r="M763" i="23"/>
  <c r="I24" i="30"/>
  <c r="M583" i="23"/>
  <c r="I222" i="30"/>
  <c r="M349" i="23"/>
  <c r="I3249" i="21"/>
  <c r="N2640" i="21"/>
  <c r="I2640" i="21"/>
  <c r="L781" i="23"/>
  <c r="N2622" i="21"/>
  <c r="K600" i="30"/>
  <c r="I3303" i="21"/>
  <c r="K61" i="23"/>
  <c r="M151" i="23"/>
  <c r="M241" i="23"/>
  <c r="M97" i="23"/>
  <c r="M709" i="23"/>
  <c r="J781" i="23"/>
  <c r="J222" i="30"/>
  <c r="K655" i="23"/>
  <c r="I618" i="30"/>
  <c r="K3249" i="21"/>
  <c r="I3141" i="21"/>
  <c r="N709" i="23" s="1"/>
  <c r="O709" i="23" s="1"/>
  <c r="L165" i="30"/>
  <c r="L70" i="30"/>
  <c r="L3361" i="21"/>
  <c r="L134" i="30"/>
  <c r="L88" i="30"/>
  <c r="L3365" i="21"/>
  <c r="L3372" i="21"/>
  <c r="L76" i="30"/>
  <c r="L180" i="30"/>
  <c r="L72" i="30"/>
  <c r="L3348" i="21"/>
  <c r="L67" i="30"/>
  <c r="L154" i="30"/>
  <c r="L158" i="30"/>
  <c r="W9" i="30"/>
  <c r="L151" i="30"/>
  <c r="L3373" i="21"/>
  <c r="O523" i="23"/>
  <c r="L89" i="30"/>
  <c r="L86" i="30"/>
  <c r="L90" i="30"/>
  <c r="L136" i="30"/>
  <c r="L3342" i="21"/>
  <c r="O521" i="23"/>
  <c r="O519" i="23"/>
  <c r="L3351" i="21"/>
  <c r="L141" i="30"/>
  <c r="L157" i="30"/>
  <c r="L169" i="30"/>
  <c r="L144" i="30"/>
  <c r="L62" i="30"/>
  <c r="L3353" i="21"/>
  <c r="L147" i="30"/>
  <c r="L162" i="30"/>
  <c r="L3346" i="21"/>
  <c r="L155" i="30"/>
  <c r="L152" i="30"/>
  <c r="O512" i="23"/>
  <c r="O522" i="23"/>
  <c r="L71" i="30"/>
  <c r="L182" i="30"/>
  <c r="L166" i="30"/>
  <c r="L3358" i="21"/>
  <c r="L80" i="30"/>
  <c r="L171" i="30"/>
  <c r="L173" i="30"/>
  <c r="L3362" i="21"/>
  <c r="L161" i="30"/>
  <c r="L178" i="30"/>
  <c r="L179" i="30"/>
  <c r="L63" i="30"/>
  <c r="L3360" i="21"/>
  <c r="L177" i="30"/>
  <c r="L3340" i="21"/>
  <c r="L94" i="30"/>
  <c r="L3343" i="21"/>
  <c r="L164" i="30"/>
  <c r="O518" i="23"/>
  <c r="L3368" i="21"/>
  <c r="L143" i="30"/>
  <c r="L92" i="30"/>
  <c r="L3369" i="21"/>
  <c r="N467" i="23"/>
  <c r="L79" i="30"/>
  <c r="L133" i="30"/>
  <c r="L68" i="30"/>
  <c r="L142" i="30"/>
  <c r="L176" i="30"/>
  <c r="L82" i="30"/>
  <c r="O520" i="23"/>
  <c r="L3347" i="21"/>
  <c r="L3364" i="21"/>
  <c r="O515" i="23"/>
  <c r="O514" i="23"/>
  <c r="L93" i="30"/>
  <c r="L69" i="30"/>
  <c r="L65" i="30"/>
  <c r="L52" i="30"/>
  <c r="L83" i="30"/>
  <c r="L64" i="30"/>
  <c r="L75" i="30"/>
  <c r="L3344" i="21"/>
  <c r="L3367" i="21"/>
  <c r="L170" i="30"/>
  <c r="L3359" i="21"/>
  <c r="L135" i="30"/>
  <c r="L183" i="30"/>
  <c r="L184" i="30"/>
  <c r="O525" i="23"/>
  <c r="L74" i="30"/>
  <c r="N465" i="23"/>
  <c r="L160" i="30"/>
  <c r="L3341" i="21"/>
  <c r="L87" i="30"/>
  <c r="L85" i="30"/>
  <c r="L148" i="30"/>
  <c r="L50" i="30"/>
  <c r="L3355" i="21"/>
  <c r="N464" i="23"/>
  <c r="L139" i="30"/>
  <c r="L61" i="30"/>
  <c r="L3349" i="21"/>
  <c r="L81" i="30"/>
  <c r="L140" i="30"/>
  <c r="L3366" i="21"/>
  <c r="L3371" i="21"/>
  <c r="L159" i="30"/>
  <c r="L172" i="30"/>
  <c r="L137" i="30"/>
  <c r="O513" i="23"/>
  <c r="L3350" i="21"/>
  <c r="L153" i="30"/>
  <c r="L51" i="30"/>
  <c r="L53" i="30"/>
  <c r="L146" i="30"/>
  <c r="O516" i="23"/>
  <c r="N466" i="23"/>
  <c r="L175" i="30"/>
  <c r="N468" i="23"/>
  <c r="O18" i="23"/>
  <c r="W3200" i="21"/>
  <c r="M3205" i="21"/>
  <c r="Y13" i="23"/>
  <c r="M3204" i="21"/>
  <c r="O17" i="23"/>
  <c r="M3206" i="21"/>
  <c r="O16" i="23"/>
  <c r="M449" i="30"/>
  <c r="M424" i="30"/>
  <c r="M425" i="30"/>
  <c r="M447" i="30"/>
  <c r="M429" i="30"/>
  <c r="M448" i="30"/>
  <c r="M441" i="30"/>
  <c r="M423" i="30"/>
  <c r="M428" i="30"/>
  <c r="M431" i="30"/>
  <c r="M430" i="30"/>
  <c r="M440" i="30"/>
  <c r="M446" i="30"/>
  <c r="M426" i="30"/>
  <c r="M422" i="30"/>
  <c r="M443" i="30"/>
  <c r="M442" i="30"/>
  <c r="M444" i="30"/>
  <c r="R925" i="23"/>
  <c r="O187" i="23"/>
  <c r="R187" i="23" s="1"/>
  <c r="M204" i="30"/>
  <c r="M6" i="30"/>
  <c r="P6" i="30" s="1"/>
  <c r="M42" i="30"/>
  <c r="M745" i="23"/>
  <c r="K96" i="30"/>
  <c r="M619" i="23"/>
  <c r="L763" i="23"/>
  <c r="J349" i="23"/>
  <c r="J241" i="23"/>
  <c r="J2604" i="21"/>
  <c r="M2604" i="21"/>
  <c r="J2640" i="21"/>
  <c r="K565" i="23"/>
  <c r="M655" i="23"/>
  <c r="M2676" i="21"/>
  <c r="J439" i="23"/>
  <c r="M637" i="23"/>
  <c r="M439" i="23"/>
  <c r="K348" i="30"/>
  <c r="J96" i="30"/>
  <c r="K2658" i="21"/>
  <c r="J709" i="23"/>
  <c r="N2676" i="21"/>
  <c r="K25" i="23"/>
  <c r="M3217" i="21"/>
  <c r="O29" i="23"/>
  <c r="O28" i="23"/>
  <c r="O34" i="23"/>
  <c r="Y14" i="23"/>
  <c r="M3215" i="21"/>
  <c r="O30" i="23"/>
  <c r="M3216" i="21"/>
  <c r="O33" i="23"/>
  <c r="O31" i="23"/>
  <c r="W3201" i="21"/>
  <c r="O27" i="23"/>
  <c r="R907" i="23"/>
  <c r="O133" i="23"/>
  <c r="R133" i="23" s="1"/>
  <c r="J61" i="23"/>
  <c r="I366" i="30"/>
  <c r="J2676" i="21"/>
  <c r="M781" i="23"/>
  <c r="O3321" i="21"/>
  <c r="K366" i="30"/>
  <c r="Q169" i="23"/>
  <c r="I474" i="30"/>
  <c r="J240" i="30"/>
  <c r="K114" i="30"/>
  <c r="L204" i="30"/>
  <c r="M43" i="23"/>
  <c r="K673" i="23"/>
  <c r="K115" i="23"/>
  <c r="K763" i="23"/>
  <c r="J763" i="23"/>
  <c r="K601" i="23"/>
  <c r="K3231" i="21"/>
  <c r="K727" i="23"/>
  <c r="K2622" i="21"/>
  <c r="I2622" i="21"/>
  <c r="I348" i="30"/>
  <c r="P681" i="23"/>
  <c r="P675" i="23"/>
  <c r="P676" i="23"/>
  <c r="P682" i="23"/>
  <c r="P678" i="23"/>
  <c r="P679" i="23"/>
  <c r="P677" i="23"/>
  <c r="R601" i="23"/>
  <c r="R241" i="23"/>
  <c r="R727" i="23"/>
  <c r="M3285" i="21"/>
  <c r="P3285" i="21" s="1"/>
  <c r="L727" i="23"/>
  <c r="K3267" i="21"/>
  <c r="I3231" i="21"/>
  <c r="M2622" i="21"/>
  <c r="K691" i="23"/>
  <c r="K474" i="30"/>
  <c r="K421" i="23"/>
  <c r="K6" i="30"/>
  <c r="K24" i="30"/>
  <c r="L2640" i="21"/>
  <c r="J3123" i="21"/>
  <c r="N597" i="23"/>
  <c r="L259" i="30"/>
  <c r="L262" i="30"/>
  <c r="N586" i="23"/>
  <c r="N581" i="23"/>
  <c r="N641" i="23"/>
  <c r="L266" i="30"/>
  <c r="N640" i="23"/>
  <c r="N577" i="23"/>
  <c r="L279" i="30"/>
  <c r="N592" i="23"/>
  <c r="N579" i="23"/>
  <c r="L274" i="30"/>
  <c r="L273" i="30"/>
  <c r="N591" i="23"/>
  <c r="N593" i="23"/>
  <c r="N639" i="23"/>
  <c r="N587" i="23"/>
  <c r="N598" i="23"/>
  <c r="L265" i="30"/>
  <c r="L272" i="30"/>
  <c r="N645" i="23"/>
  <c r="L263" i="30"/>
  <c r="L277" i="30"/>
  <c r="N599" i="23"/>
  <c r="L280" i="30"/>
  <c r="L281" i="30"/>
  <c r="L269" i="30"/>
  <c r="N643" i="23"/>
  <c r="N580" i="23"/>
  <c r="N585" i="23"/>
  <c r="L260" i="30"/>
  <c r="N594" i="23"/>
  <c r="L267" i="30"/>
  <c r="N590" i="23"/>
  <c r="L278" i="30"/>
  <c r="N642" i="23"/>
  <c r="N588" i="23"/>
  <c r="L270" i="30"/>
  <c r="L268" i="30"/>
  <c r="N595" i="23"/>
  <c r="L261" i="30"/>
  <c r="N584" i="23"/>
  <c r="R871" i="23"/>
  <c r="M60" i="30"/>
  <c r="I3123" i="21"/>
  <c r="M2658" i="21"/>
  <c r="J7" i="23"/>
  <c r="J727" i="23"/>
  <c r="J114" i="30"/>
  <c r="J3177" i="21"/>
  <c r="M115" i="23"/>
  <c r="J25" i="23"/>
  <c r="M799" i="23"/>
  <c r="Y11" i="23"/>
  <c r="W3198" i="21"/>
  <c r="O9" i="23"/>
  <c r="M3197" i="21"/>
  <c r="M3199" i="21"/>
  <c r="O10" i="23"/>
  <c r="O11" i="23"/>
  <c r="M3198" i="21"/>
  <c r="L392" i="30"/>
  <c r="L389" i="30"/>
  <c r="L334" i="30"/>
  <c r="L335" i="30"/>
  <c r="L344" i="30"/>
  <c r="L340" i="30"/>
  <c r="L342" i="30"/>
  <c r="L338" i="30"/>
  <c r="L388" i="30"/>
  <c r="L345" i="30"/>
  <c r="L394" i="30"/>
  <c r="L387" i="30"/>
  <c r="L339" i="30"/>
  <c r="L341" i="30"/>
  <c r="L395" i="30"/>
  <c r="L393" i="30"/>
  <c r="L386" i="30"/>
  <c r="L390" i="30"/>
  <c r="L337" i="30"/>
  <c r="L346" i="30"/>
  <c r="R115" i="23"/>
  <c r="P2424" i="21"/>
  <c r="M3357" i="21"/>
  <c r="M258" i="30"/>
  <c r="J421" i="23"/>
  <c r="J3159" i="21"/>
  <c r="M565" i="23"/>
  <c r="J474" i="30"/>
  <c r="I2676" i="21"/>
  <c r="M25" i="23"/>
  <c r="M2640" i="21"/>
  <c r="J601" i="23"/>
  <c r="K439" i="23"/>
  <c r="P805" i="23"/>
  <c r="P785" i="23"/>
  <c r="P804" i="23"/>
  <c r="P786" i="23"/>
  <c r="P784" i="23"/>
  <c r="P803" i="23"/>
  <c r="P789" i="23"/>
  <c r="P791" i="23"/>
  <c r="P802" i="23"/>
  <c r="P792" i="23"/>
  <c r="P801" i="23"/>
  <c r="P790" i="23"/>
  <c r="P787" i="23"/>
  <c r="P783" i="23"/>
  <c r="P600" i="30"/>
  <c r="M3339" i="21"/>
  <c r="K2676" i="21"/>
  <c r="K3213" i="21"/>
  <c r="J3249" i="21"/>
  <c r="M223" i="23"/>
  <c r="J3195" i="21"/>
  <c r="I492" i="30"/>
  <c r="K241" i="23"/>
  <c r="K637" i="23"/>
  <c r="P701" i="23"/>
  <c r="P694" i="23"/>
  <c r="P697" i="23"/>
  <c r="P699" i="23"/>
  <c r="P695" i="23"/>
  <c r="P700" i="23"/>
  <c r="P684" i="23"/>
  <c r="P693" i="23"/>
  <c r="P702" i="23"/>
  <c r="P683" i="23"/>
  <c r="P696" i="23"/>
  <c r="N539" i="30"/>
  <c r="O580" i="23"/>
  <c r="N444" i="30"/>
  <c r="N551" i="30"/>
  <c r="N394" i="30"/>
  <c r="O556" i="23"/>
  <c r="N443" i="30"/>
  <c r="N429" i="30"/>
  <c r="N410" i="30"/>
  <c r="N540" i="23"/>
  <c r="O568" i="23"/>
  <c r="N515" i="30"/>
  <c r="O579" i="23"/>
  <c r="N554" i="30"/>
  <c r="O537" i="23"/>
  <c r="N543" i="23"/>
  <c r="N431" i="30"/>
  <c r="O549" i="23"/>
  <c r="O544" i="23"/>
  <c r="N462" i="30"/>
  <c r="O574" i="23"/>
  <c r="N557" i="30"/>
  <c r="N556" i="30"/>
  <c r="N395" i="30"/>
  <c r="O543" i="23"/>
  <c r="N441" i="30"/>
  <c r="N519" i="30"/>
  <c r="N544" i="23"/>
  <c r="N386" i="30"/>
  <c r="O567" i="23"/>
  <c r="O554" i="23"/>
  <c r="N532" i="30"/>
  <c r="N541" i="23"/>
  <c r="N425" i="30"/>
  <c r="N550" i="30"/>
  <c r="N446" i="30"/>
  <c r="O572" i="23"/>
  <c r="N531" i="30"/>
  <c r="O540" i="23"/>
  <c r="O593" i="23"/>
  <c r="N545" i="23"/>
  <c r="N412" i="30"/>
  <c r="N388" i="30"/>
  <c r="N536" i="30"/>
  <c r="N442" i="30"/>
  <c r="O559" i="23"/>
  <c r="O569" i="23"/>
  <c r="N514" i="30"/>
  <c r="N447" i="30"/>
  <c r="N521" i="30"/>
  <c r="O570" i="23"/>
  <c r="O581" i="23"/>
  <c r="N405" i="30"/>
  <c r="O587" i="23"/>
  <c r="N538" i="30"/>
  <c r="N424" i="30"/>
  <c r="N512" i="30"/>
  <c r="O590" i="23"/>
  <c r="N411" i="30"/>
  <c r="N389" i="30"/>
  <c r="N548" i="30"/>
  <c r="N460" i="30"/>
  <c r="O545" i="23"/>
  <c r="N549" i="30"/>
  <c r="O585" i="23"/>
  <c r="O555" i="23"/>
  <c r="O566" i="23"/>
  <c r="O548" i="23"/>
  <c r="O550" i="23"/>
  <c r="O575" i="23"/>
  <c r="N428" i="30"/>
  <c r="O573" i="23"/>
  <c r="N516" i="30"/>
  <c r="N423" i="30"/>
  <c r="N440" i="30"/>
  <c r="O586" i="23"/>
  <c r="N533" i="30"/>
  <c r="N552" i="30"/>
  <c r="N466" i="30"/>
  <c r="N538" i="23"/>
  <c r="N518" i="30"/>
  <c r="N461" i="30"/>
  <c r="N537" i="23"/>
  <c r="O577" i="23"/>
  <c r="N555" i="30"/>
  <c r="O588" i="23"/>
  <c r="N426" i="30"/>
  <c r="O584" i="23"/>
  <c r="O539" i="23"/>
  <c r="N407" i="30"/>
  <c r="O538" i="23"/>
  <c r="N458" i="30"/>
  <c r="N449" i="30"/>
  <c r="O591" i="23"/>
  <c r="N393" i="30"/>
  <c r="O592" i="23"/>
  <c r="N534" i="30"/>
  <c r="N520" i="30"/>
  <c r="N539" i="23"/>
  <c r="N390" i="30"/>
  <c r="O561" i="23"/>
  <c r="N465" i="30"/>
  <c r="N530" i="30"/>
  <c r="N430" i="30"/>
  <c r="O552" i="23"/>
  <c r="O562" i="23"/>
  <c r="N408" i="30"/>
  <c r="O576" i="23"/>
  <c r="O558" i="23"/>
  <c r="N404" i="30"/>
  <c r="O551" i="23"/>
  <c r="N413" i="30"/>
  <c r="O563" i="23"/>
  <c r="N513" i="30"/>
  <c r="N406" i="30"/>
  <c r="N422" i="30"/>
  <c r="O557" i="23"/>
  <c r="N459" i="30"/>
  <c r="N387" i="30"/>
  <c r="N464" i="30"/>
  <c r="N537" i="30"/>
  <c r="N392" i="30"/>
  <c r="O541" i="23"/>
  <c r="N448" i="30"/>
  <c r="K3195" i="21"/>
  <c r="K133" i="23"/>
  <c r="I3285" i="21"/>
  <c r="L745" i="23"/>
  <c r="M133" i="23"/>
  <c r="I3195" i="21"/>
  <c r="I2658" i="21"/>
  <c r="J691" i="23"/>
  <c r="N2604" i="21"/>
  <c r="P820" i="23"/>
  <c r="P821" i="23"/>
  <c r="P819" i="23"/>
  <c r="P2442" i="21"/>
  <c r="P2514" i="21"/>
  <c r="M3321" i="21"/>
  <c r="P3321" i="21" s="1"/>
  <c r="O259" i="23"/>
  <c r="J619" i="23"/>
  <c r="J43" i="23"/>
  <c r="L2658" i="21"/>
  <c r="J24" i="30"/>
  <c r="K618" i="30"/>
  <c r="K79" i="23"/>
  <c r="K799" i="23"/>
  <c r="J3141" i="21"/>
  <c r="J583" i="23"/>
  <c r="P808" i="23"/>
  <c r="P809" i="23"/>
  <c r="P810" i="23"/>
  <c r="P807" i="23"/>
  <c r="W3199" i="21"/>
  <c r="O13" i="23"/>
  <c r="O12" i="23"/>
  <c r="M3203" i="21"/>
  <c r="O15" i="23"/>
  <c r="M3200" i="21"/>
  <c r="M3201" i="21"/>
  <c r="Y12" i="23"/>
  <c r="N572" i="23"/>
  <c r="L291" i="30"/>
  <c r="N567" i="23"/>
  <c r="L292" i="30"/>
  <c r="L301" i="30"/>
  <c r="N558" i="23"/>
  <c r="N568" i="23"/>
  <c r="L283" i="30"/>
  <c r="N573" i="23"/>
  <c r="N575" i="23"/>
  <c r="N576" i="23"/>
  <c r="L295" i="30"/>
  <c r="L298" i="30"/>
  <c r="L299" i="30"/>
  <c r="L290" i="30"/>
  <c r="L284" i="30"/>
  <c r="L302" i="30"/>
  <c r="L287" i="30"/>
  <c r="L297" i="30"/>
  <c r="L304" i="30"/>
  <c r="L303" i="30"/>
  <c r="L286" i="30"/>
  <c r="N569" i="23"/>
  <c r="N563" i="23"/>
  <c r="N566" i="23"/>
  <c r="N574" i="23"/>
  <c r="N556" i="23"/>
  <c r="N555" i="23"/>
  <c r="L306" i="30"/>
  <c r="L285" i="30"/>
  <c r="N570" i="23"/>
  <c r="L288" i="30"/>
  <c r="L305" i="30"/>
  <c r="N562" i="23"/>
  <c r="N559" i="23"/>
  <c r="N557" i="23"/>
  <c r="N561" i="23"/>
  <c r="L296" i="30"/>
  <c r="R943" i="23"/>
  <c r="M168" i="30"/>
  <c r="O205" i="23"/>
  <c r="R205" i="23" s="1"/>
  <c r="M78" i="30"/>
  <c r="M3231" i="21"/>
  <c r="P3231" i="21" s="1"/>
  <c r="M421" i="23"/>
  <c r="I3267" i="21"/>
  <c r="J223" i="23"/>
  <c r="J547" i="23"/>
  <c r="M79" i="23"/>
  <c r="M691" i="23"/>
  <c r="K223" i="23"/>
  <c r="J3303" i="21"/>
  <c r="M601" i="23"/>
  <c r="P715" i="23"/>
  <c r="P714" i="23"/>
  <c r="P719" i="23"/>
  <c r="P766" i="23"/>
  <c r="P769" i="23"/>
  <c r="P718" i="23"/>
  <c r="P717" i="23"/>
  <c r="P765" i="23"/>
  <c r="P767" i="23"/>
  <c r="P768" i="23"/>
  <c r="M3218" i="21"/>
  <c r="W3202" i="21"/>
  <c r="O45" i="23"/>
  <c r="O35" i="23"/>
  <c r="O47" i="23"/>
  <c r="Y15" i="23"/>
  <c r="Y10" i="23" s="1"/>
  <c r="O36" i="23"/>
  <c r="M3219" i="21"/>
  <c r="O46" i="23"/>
  <c r="M392" i="30"/>
  <c r="M393" i="30"/>
  <c r="M389" i="30"/>
  <c r="M387" i="30"/>
  <c r="M388" i="30"/>
  <c r="M408" i="30"/>
  <c r="M413" i="30"/>
  <c r="M386" i="30"/>
  <c r="M407" i="30"/>
  <c r="M406" i="30"/>
  <c r="M395" i="30"/>
  <c r="M405" i="30"/>
  <c r="M411" i="30"/>
  <c r="M410" i="30"/>
  <c r="M390" i="30"/>
  <c r="M412" i="30"/>
  <c r="M404" i="30"/>
  <c r="M394" i="30"/>
  <c r="R493" i="23"/>
  <c r="P24" i="30"/>
  <c r="K151" i="23"/>
  <c r="I96" i="30"/>
  <c r="I600" i="30"/>
  <c r="K349" i="23"/>
  <c r="J600" i="30"/>
  <c r="M727" i="23"/>
  <c r="I3159" i="21"/>
  <c r="J133" i="23"/>
  <c r="I240" i="30"/>
  <c r="J3267" i="21"/>
  <c r="K2640" i="21"/>
  <c r="K2604" i="21"/>
  <c r="P240" i="30"/>
  <c r="R889" i="23"/>
  <c r="R97" i="23"/>
  <c r="M3303" i="21"/>
  <c r="P3303" i="21" s="1"/>
  <c r="M132" i="30"/>
  <c r="M3249" i="21"/>
  <c r="P3249" i="21" s="1"/>
  <c r="J799" i="23"/>
  <c r="J6" i="30"/>
  <c r="J655" i="23"/>
  <c r="J673" i="23"/>
  <c r="J2658" i="21"/>
  <c r="K492" i="30"/>
  <c r="K709" i="23"/>
  <c r="J637" i="23"/>
  <c r="J618" i="30"/>
  <c r="K745" i="23"/>
  <c r="K240" i="30"/>
  <c r="M673" i="23"/>
  <c r="R367" i="23"/>
  <c r="L2676" i="21"/>
  <c r="J2622" i="21"/>
  <c r="I2604" i="21"/>
  <c r="I114" i="30"/>
  <c r="J3213" i="21"/>
  <c r="N2658" i="21"/>
  <c r="K43" i="23"/>
  <c r="M547" i="23"/>
  <c r="I6" i="30"/>
  <c r="O151" i="23"/>
  <c r="R151" i="23" s="1"/>
  <c r="J151" i="23"/>
  <c r="K222" i="30"/>
  <c r="J348" i="30"/>
  <c r="L2622" i="21"/>
  <c r="K547" i="23"/>
  <c r="L799" i="23"/>
  <c r="J3285" i="21"/>
  <c r="K3303" i="21"/>
  <c r="J97" i="23"/>
  <c r="O661" i="23"/>
  <c r="L326" i="30"/>
  <c r="L317" i="30"/>
  <c r="O660" i="23"/>
  <c r="L314" i="30"/>
  <c r="L309" i="30"/>
  <c r="O658" i="23"/>
  <c r="L310" i="30"/>
  <c r="L322" i="30"/>
  <c r="L333" i="30"/>
  <c r="L315" i="30"/>
  <c r="L332" i="30"/>
  <c r="O657" i="23"/>
  <c r="L327" i="30"/>
  <c r="O645" i="23"/>
  <c r="O642" i="23"/>
  <c r="O641" i="23"/>
  <c r="O639" i="23"/>
  <c r="L323" i="30"/>
  <c r="O663" i="23"/>
  <c r="O643" i="23"/>
  <c r="L313" i="30"/>
  <c r="L320" i="30"/>
  <c r="O666" i="23"/>
  <c r="L319" i="30"/>
  <c r="L321" i="30"/>
  <c r="O648" i="23"/>
  <c r="O664" i="23"/>
  <c r="O665" i="23"/>
  <c r="L328" i="30"/>
  <c r="O659" i="23"/>
  <c r="L331" i="30"/>
  <c r="L308" i="30"/>
  <c r="O646" i="23"/>
  <c r="L316" i="30"/>
  <c r="O640" i="23"/>
  <c r="L324" i="30"/>
  <c r="O647" i="23"/>
  <c r="J79" i="23"/>
  <c r="J492" i="30"/>
  <c r="J565" i="23"/>
  <c r="L2604" i="21"/>
  <c r="J3231" i="21"/>
  <c r="I3213" i="21"/>
  <c r="J115" i="23"/>
  <c r="K3285" i="21"/>
  <c r="K781" i="23"/>
  <c r="P770" i="23" a="1"/>
  <c r="O446" i="23" a="1"/>
  <c r="P446" i="23" a="1"/>
  <c r="N770" i="23" a="1"/>
  <c r="N446" i="23" a="1"/>
  <c r="O770" i="23" a="1"/>
  <c r="D1015" i="23" l="1"/>
  <c r="E75" i="1"/>
  <c r="E74" i="1" s="1"/>
  <c r="E73" i="1" s="1"/>
  <c r="D2496" i="21"/>
  <c r="D205" i="23"/>
  <c r="D943" i="23"/>
  <c r="P817" i="23"/>
  <c r="R817" i="23" s="1"/>
  <c r="D889" i="23" s="1"/>
  <c r="M438" i="30"/>
  <c r="P2604" i="21"/>
  <c r="Q97" i="23"/>
  <c r="P2676" i="21"/>
  <c r="O24" i="30"/>
  <c r="O222" i="30"/>
  <c r="Q583" i="23"/>
  <c r="Q61" i="23"/>
  <c r="O618" i="30"/>
  <c r="Q151" i="23"/>
  <c r="O2640" i="21"/>
  <c r="O2622" i="21"/>
  <c r="O3249" i="21"/>
  <c r="Q745" i="23"/>
  <c r="O2676" i="21"/>
  <c r="Q673" i="23"/>
  <c r="O240" i="30"/>
  <c r="C204" i="30"/>
  <c r="O3303" i="21"/>
  <c r="O366" i="30"/>
  <c r="P655" i="23"/>
  <c r="Q25" i="23"/>
  <c r="Q781" i="23"/>
  <c r="Q655" i="23"/>
  <c r="O114" i="30"/>
  <c r="Q115" i="23"/>
  <c r="O763" i="23" s="1"/>
  <c r="P439" i="23" s="1"/>
  <c r="N420" i="30"/>
  <c r="M384" i="30"/>
  <c r="L312" i="30"/>
  <c r="N546" i="30"/>
  <c r="P546" i="30" s="1"/>
  <c r="N384" i="30"/>
  <c r="P691" i="23"/>
  <c r="R691" i="23" s="1"/>
  <c r="C79" i="23"/>
  <c r="Q7" i="23"/>
  <c r="L258" i="30"/>
  <c r="N457" i="23"/>
  <c r="Q565" i="23"/>
  <c r="O43" i="23"/>
  <c r="R43" i="23" s="1"/>
  <c r="D961" i="23"/>
  <c r="N565" i="23"/>
  <c r="N456" i="30"/>
  <c r="P456" i="30" s="1"/>
  <c r="L384" i="30"/>
  <c r="N637" i="23"/>
  <c r="D925" i="23"/>
  <c r="N655" i="23"/>
  <c r="C205" i="23"/>
  <c r="Q133" i="23"/>
  <c r="C763" i="23"/>
  <c r="Q691" i="23"/>
  <c r="O2604" i="21"/>
  <c r="C2676" i="21"/>
  <c r="O3195" i="21"/>
  <c r="C3267" i="21"/>
  <c r="Q637" i="23"/>
  <c r="C709" i="23"/>
  <c r="M402" i="30"/>
  <c r="N438" i="30"/>
  <c r="P781" i="23"/>
  <c r="Q601" i="23"/>
  <c r="C3177" i="21"/>
  <c r="L42" i="30"/>
  <c r="P42" i="30" s="1"/>
  <c r="L132" i="30"/>
  <c r="P2640" i="21"/>
  <c r="L78" i="30"/>
  <c r="L150" i="30"/>
  <c r="O637" i="23"/>
  <c r="N510" i="30"/>
  <c r="P510" i="30" s="1"/>
  <c r="C781" i="23"/>
  <c r="Q709" i="23"/>
  <c r="D907" i="23"/>
  <c r="Q241" i="23"/>
  <c r="M420" i="30"/>
  <c r="O583" i="23"/>
  <c r="P799" i="23"/>
  <c r="R799" i="23" s="1"/>
  <c r="O3213" i="21"/>
  <c r="L330" i="30"/>
  <c r="P330" i="30" s="1"/>
  <c r="N528" i="30"/>
  <c r="P528" i="30" s="1"/>
  <c r="M3195" i="21"/>
  <c r="P3195" i="21" s="1"/>
  <c r="P673" i="23"/>
  <c r="R673" i="23" s="1"/>
  <c r="O25" i="23"/>
  <c r="Q349" i="23"/>
  <c r="L168" i="30"/>
  <c r="O7" i="23"/>
  <c r="R7" i="23" s="1"/>
  <c r="N583" i="23"/>
  <c r="O2658" i="21"/>
  <c r="W3210" i="21"/>
  <c r="O348" i="30"/>
  <c r="L3357" i="21"/>
  <c r="O547" i="23"/>
  <c r="C78" i="30"/>
  <c r="O6" i="30"/>
  <c r="Q421" i="23"/>
  <c r="O565" i="23"/>
  <c r="O492" i="30"/>
  <c r="L276" i="30"/>
  <c r="O3231" i="21"/>
  <c r="P709" i="23"/>
  <c r="R709" i="23" s="1"/>
  <c r="O655" i="23"/>
  <c r="P2622" i="21"/>
  <c r="Q547" i="23"/>
  <c r="P2658" i="21"/>
  <c r="O474" i="30"/>
  <c r="M3213" i="21"/>
  <c r="Q79" i="23"/>
  <c r="Q799" i="23"/>
  <c r="O600" i="30"/>
  <c r="Q223" i="23"/>
  <c r="O96" i="30"/>
  <c r="O3267" i="21"/>
  <c r="Q43" i="23"/>
  <c r="O3285" i="21"/>
  <c r="C3357" i="21"/>
  <c r="Q439" i="23"/>
  <c r="L3339" i="21"/>
  <c r="L294" i="30"/>
  <c r="Q619" i="23"/>
  <c r="Q763" i="23"/>
  <c r="L60" i="30"/>
  <c r="N402" i="30"/>
  <c r="C799" i="23"/>
  <c r="Q727" i="23"/>
  <c r="J973" i="23" a="1"/>
  <c r="J940" i="23" a="1"/>
  <c r="M920" i="23" a="1"/>
  <c r="L940" i="23" a="1"/>
  <c r="K920" i="23" a="1"/>
  <c r="J977" i="23" a="1"/>
  <c r="J920" i="23" a="1"/>
  <c r="M975" i="23" a="1"/>
  <c r="M950" i="23" a="1"/>
  <c r="L973" i="23" a="1"/>
  <c r="M941" i="23" a="1"/>
  <c r="L956" i="23" a="1"/>
  <c r="L959" i="23" a="1"/>
  <c r="M939" i="23" a="1"/>
  <c r="J956" i="23" a="1"/>
  <c r="K939" i="23" a="1"/>
  <c r="M919" i="23" a="1"/>
  <c r="L939" i="23" a="1"/>
  <c r="J974" i="23" a="1"/>
  <c r="K937" i="23" a="1"/>
  <c r="J921" i="23" a="1"/>
  <c r="K938" i="23" a="1"/>
  <c r="M968" i="23" a="1"/>
  <c r="J938" i="23" a="1"/>
  <c r="J976" i="23" a="1"/>
  <c r="M940" i="23" a="1"/>
  <c r="M914" i="23" a="1"/>
  <c r="M921" i="23" a="1"/>
  <c r="J919" i="23" a="1"/>
  <c r="M923" i="23" a="1"/>
  <c r="K956" i="23" a="1"/>
  <c r="L950" i="23" a="1"/>
  <c r="J975" i="23" a="1"/>
  <c r="K941" i="23" a="1"/>
  <c r="L955" i="23" a="1"/>
  <c r="J939" i="23" a="1"/>
  <c r="M938" i="23" a="1"/>
  <c r="K940" i="23" a="1"/>
  <c r="M974" i="23" a="1"/>
  <c r="K968" i="23" a="1"/>
  <c r="J922" i="23" a="1"/>
  <c r="J932" i="23" a="1"/>
  <c r="J958" i="23" a="1"/>
  <c r="K958" i="23" a="1"/>
  <c r="K919" i="23" a="1"/>
  <c r="J950" i="23" a="1"/>
  <c r="K957" i="23" a="1"/>
  <c r="J957" i="23" a="1"/>
  <c r="M955" i="23" a="1"/>
  <c r="M937" i="23" a="1"/>
  <c r="L932" i="23" a="1"/>
  <c r="J968" i="23" a="1"/>
  <c r="K922" i="23" a="1"/>
  <c r="J959" i="23" a="1"/>
  <c r="M956" i="23" a="1"/>
  <c r="K974" i="23" a="1"/>
  <c r="L938" i="23" a="1"/>
  <c r="M959" i="23" a="1"/>
  <c r="M958" i="23" a="1"/>
  <c r="K955" i="23" a="1"/>
  <c r="M976" i="23" a="1"/>
  <c r="K914" i="23" a="1"/>
  <c r="L974" i="23" a="1"/>
  <c r="M932" i="23" a="1"/>
  <c r="K932" i="23" a="1"/>
  <c r="J941" i="23" a="1"/>
  <c r="J955" i="23" a="1"/>
  <c r="M957" i="23" a="1"/>
  <c r="K977" i="23" a="1"/>
  <c r="L937" i="23" a="1"/>
  <c r="K921" i="23" a="1"/>
  <c r="M922" i="23" a="1"/>
  <c r="M977" i="23" a="1"/>
  <c r="M973" i="23" a="1"/>
  <c r="K923" i="23" a="1"/>
  <c r="K959" i="23" a="1"/>
  <c r="L975" i="23" a="1"/>
  <c r="J937" i="23" a="1"/>
  <c r="K975" i="23" a="1"/>
  <c r="L977" i="23" a="1"/>
  <c r="K973" i="23" a="1"/>
  <c r="L957" i="23" a="1"/>
  <c r="J923" i="23" a="1"/>
  <c r="J914" i="23" a="1"/>
  <c r="K950" i="23" a="1"/>
  <c r="L941" i="23" a="1"/>
  <c r="L968" i="23" a="1"/>
  <c r="L976" i="23" a="1"/>
  <c r="L958" i="23" a="1"/>
  <c r="K976" i="23" a="1"/>
  <c r="E72" i="1" l="1"/>
  <c r="E71" i="1" s="1"/>
  <c r="E69" i="1" s="1"/>
  <c r="E68" i="1" s="1"/>
  <c r="E67" i="1" s="1"/>
  <c r="E66" i="1" s="1"/>
  <c r="E65" i="1" s="1"/>
  <c r="E64" i="1" s="1"/>
  <c r="E63" i="1" s="1"/>
  <c r="E62" i="1" s="1"/>
  <c r="E61" i="1" s="1"/>
  <c r="E34" i="1" s="1"/>
  <c r="E33" i="1" s="1"/>
  <c r="E32" i="1" s="1"/>
  <c r="K994" i="23" a="1"/>
  <c r="K993" i="23" a="1"/>
  <c r="L992" i="23" a="1"/>
  <c r="K991" i="23" a="1"/>
  <c r="J992" i="23" a="1"/>
  <c r="J991" i="23" a="1"/>
  <c r="K980" i="23" a="1"/>
  <c r="K979" i="23" s="1"/>
  <c r="M994" i="23" a="1"/>
  <c r="J994" i="23" a="1"/>
  <c r="L993" i="23" a="1"/>
  <c r="M980" i="23" a="1"/>
  <c r="M979" i="23" s="1"/>
  <c r="L980" i="23" a="1"/>
  <c r="L979" i="23" s="1"/>
  <c r="M986" i="23" a="1"/>
  <c r="L986" i="23" a="1"/>
  <c r="K986" i="23" a="1"/>
  <c r="J986" i="23" a="1"/>
  <c r="J995" i="23" a="1"/>
  <c r="K992" i="23" a="1"/>
  <c r="L991" i="23" a="1"/>
  <c r="J980" i="23" a="1"/>
  <c r="J979" i="23" s="1"/>
  <c r="M995" i="23" a="1"/>
  <c r="L995" i="23" a="1"/>
  <c r="K995" i="23" a="1"/>
  <c r="L994" i="23" a="1"/>
  <c r="M993" i="23" a="1"/>
  <c r="J993" i="23" a="1"/>
  <c r="M992" i="23" a="1"/>
  <c r="M991" i="23" a="1"/>
  <c r="L914" i="23" a="1"/>
  <c r="L907" i="23" s="1"/>
  <c r="L923" i="23" a="1"/>
  <c r="L919" i="23" a="1"/>
  <c r="L922" i="23" a="1"/>
  <c r="L921" i="23" a="1"/>
  <c r="L920" i="23" a="1"/>
  <c r="E31" i="1"/>
  <c r="P384" i="30"/>
  <c r="P420" i="30"/>
  <c r="P438" i="30"/>
  <c r="D2676" i="21"/>
  <c r="R655" i="23"/>
  <c r="D582" i="30"/>
  <c r="R637" i="23"/>
  <c r="R565" i="23"/>
  <c r="R583" i="23"/>
  <c r="P402" i="30"/>
  <c r="P763" i="23"/>
  <c r="Q979" i="23" l="1"/>
  <c r="E30" i="1"/>
  <c r="E29" i="1" s="1"/>
  <c r="E28" i="1" s="1"/>
  <c r="E27" i="1" s="1"/>
  <c r="D456" i="30"/>
  <c r="M925" i="23"/>
  <c r="D709" i="23"/>
  <c r="J907" i="23"/>
  <c r="L943" i="23"/>
  <c r="K907" i="23"/>
  <c r="J961" i="23"/>
  <c r="J925" i="23"/>
  <c r="K925" i="23"/>
  <c r="K943" i="23"/>
  <c r="L961" i="23"/>
  <c r="M961" i="23"/>
  <c r="M943" i="23"/>
  <c r="M907" i="23"/>
  <c r="J943" i="23"/>
  <c r="K961" i="23"/>
  <c r="C2" i="23" l="1"/>
  <c r="M2304" i="21"/>
  <c r="L2284" i="21"/>
  <c r="M2285" i="21"/>
  <c r="M2264" i="21"/>
  <c r="M2262" i="21" s="1"/>
  <c r="M2284" i="21"/>
  <c r="M2289" i="21"/>
  <c r="L2271" i="21"/>
  <c r="M2265" i="21"/>
  <c r="M2307" i="21"/>
  <c r="L2272" i="21"/>
  <c r="M2291" i="21"/>
  <c r="M2272" i="21"/>
  <c r="M2288" i="21"/>
  <c r="M2306" i="21"/>
  <c r="L2273" i="21"/>
  <c r="M2266" i="21"/>
  <c r="L2267" i="21"/>
  <c r="M2273" i="21"/>
  <c r="M2308" i="21"/>
  <c r="M2283" i="21"/>
  <c r="L2283" i="21"/>
  <c r="M2270" i="21"/>
  <c r="M2268" i="21"/>
  <c r="L2282" i="21"/>
  <c r="L2280" i="21" s="1"/>
  <c r="M2271" i="21"/>
  <c r="M2282" i="21"/>
  <c r="M2280" i="21" s="1"/>
  <c r="L2285" i="21"/>
  <c r="L2268" i="21"/>
  <c r="M2309" i="21"/>
  <c r="M2300" i="21"/>
  <c r="M2298" i="21" s="1"/>
  <c r="M2301" i="21"/>
  <c r="M2290" i="21"/>
  <c r="L2264" i="21"/>
  <c r="L2262" i="21" s="1"/>
  <c r="M2302" i="21"/>
  <c r="M2267" i="21"/>
  <c r="L2265" i="21"/>
  <c r="M2286" i="21"/>
  <c r="L2266" i="21"/>
  <c r="M2303" i="21"/>
  <c r="L2270" i="21"/>
  <c r="J2302" i="21"/>
  <c r="J2264" i="21"/>
  <c r="J2271" i="21"/>
  <c r="J2300" i="21"/>
  <c r="I2284" i="21"/>
  <c r="I2285" i="21"/>
  <c r="J2291" i="21"/>
  <c r="I2264" i="21"/>
  <c r="I2267" i="21"/>
  <c r="J2267" i="21"/>
  <c r="I2268" i="21"/>
  <c r="I2282" i="21"/>
  <c r="J2309" i="21"/>
  <c r="J2307" i="21"/>
  <c r="J2272" i="21"/>
  <c r="I2272" i="21"/>
  <c r="I2271" i="21"/>
  <c r="J2288" i="21"/>
  <c r="J2304" i="21"/>
  <c r="J2308" i="21"/>
  <c r="J2284" i="21"/>
  <c r="I2270" i="21"/>
  <c r="J2285" i="21"/>
  <c r="J2303" i="21"/>
  <c r="I2265" i="21"/>
  <c r="J2273" i="21"/>
  <c r="J2290" i="21"/>
  <c r="J2282" i="21"/>
  <c r="I2283" i="21"/>
  <c r="J2266" i="21"/>
  <c r="J2265" i="21"/>
  <c r="J2306" i="21"/>
  <c r="J2268" i="21"/>
  <c r="J2301" i="21"/>
  <c r="I2266" i="21"/>
  <c r="J2283" i="21"/>
  <c r="J2270" i="21"/>
  <c r="J2289" i="21"/>
  <c r="J2286" i="21"/>
  <c r="I2273" i="21"/>
  <c r="C2" i="30"/>
  <c r="M2399" i="21"/>
  <c r="M2396" i="21"/>
  <c r="M2378" i="21"/>
  <c r="M2381" i="21"/>
  <c r="M2409" i="21"/>
  <c r="M2391" i="21"/>
  <c r="M2393" i="21"/>
  <c r="M2398" i="21"/>
  <c r="M2397" i="21"/>
  <c r="M2380" i="21"/>
  <c r="M2394" i="21"/>
  <c r="M2379" i="21"/>
  <c r="M2408" i="21"/>
  <c r="M2406" i="21" s="1"/>
  <c r="M2390" i="21"/>
  <c r="M2388" i="21" s="1"/>
  <c r="M2410" i="21"/>
  <c r="M2392" i="21"/>
  <c r="J2397" i="21"/>
  <c r="J2381" i="21"/>
  <c r="J2393" i="21"/>
  <c r="J2378" i="21"/>
  <c r="J2392" i="21"/>
  <c r="J2396" i="21"/>
  <c r="J2410" i="21"/>
  <c r="J2394" i="21"/>
  <c r="J2390" i="21"/>
  <c r="J2379" i="21"/>
  <c r="J2391" i="21"/>
  <c r="J2399" i="21"/>
  <c r="J2398" i="21"/>
  <c r="J2409" i="21"/>
  <c r="J2408" i="21"/>
  <c r="J2380" i="21"/>
  <c r="M2326" i="21"/>
  <c r="M2342" i="21"/>
  <c r="L2325" i="21"/>
  <c r="M2340" i="21"/>
  <c r="M2321" i="21"/>
  <c r="M2358" i="21"/>
  <c r="M2338" i="21"/>
  <c r="L2324" i="21"/>
  <c r="M2337" i="21"/>
  <c r="M2356" i="21"/>
  <c r="M2355" i="21"/>
  <c r="M2357" i="21"/>
  <c r="L2326" i="21"/>
  <c r="M2343" i="21"/>
  <c r="M2354" i="21"/>
  <c r="M2352" i="21" s="1"/>
  <c r="M2360" i="21"/>
  <c r="M2319" i="21"/>
  <c r="M2361" i="21"/>
  <c r="M2345" i="21"/>
  <c r="M2336" i="21"/>
  <c r="M2334" i="21" s="1"/>
  <c r="P2334" i="21" s="1"/>
  <c r="M2320" i="21"/>
  <c r="M2324" i="21"/>
  <c r="M2318" i="21"/>
  <c r="M2316" i="21" s="1"/>
  <c r="P2316" i="21" s="1"/>
  <c r="M2325" i="21"/>
  <c r="M2339" i="21"/>
  <c r="M2344" i="21"/>
  <c r="M2322" i="21"/>
  <c r="I2324" i="21"/>
  <c r="I2326" i="21"/>
  <c r="J2320" i="21"/>
  <c r="J2325" i="21"/>
  <c r="J2337" i="21"/>
  <c r="J2360" i="21"/>
  <c r="J2338" i="21"/>
  <c r="J2358" i="21"/>
  <c r="J2324" i="21"/>
  <c r="J2354" i="21"/>
  <c r="J2322" i="21"/>
  <c r="J2361" i="21"/>
  <c r="J2357" i="21"/>
  <c r="J2342" i="21"/>
  <c r="J2343" i="21"/>
  <c r="J2345" i="21"/>
  <c r="J2340" i="21"/>
  <c r="I2325" i="21"/>
  <c r="J2326" i="21"/>
  <c r="J2355" i="21"/>
  <c r="J2339" i="21"/>
  <c r="J2356" i="21"/>
  <c r="J2319" i="21"/>
  <c r="J2336" i="21"/>
  <c r="J2344" i="21"/>
  <c r="J2321" i="21"/>
  <c r="J2318" i="21"/>
  <c r="L2560" i="21"/>
  <c r="L2559" i="21"/>
  <c r="L2558" i="21"/>
  <c r="I2561" i="21"/>
  <c r="I2560" i="21"/>
  <c r="I2559" i="21"/>
  <c r="I2558" i="21"/>
  <c r="L2577" i="21"/>
  <c r="L2574" i="21"/>
  <c r="L2579" i="21"/>
  <c r="L2576" i="21"/>
  <c r="L2578" i="21"/>
  <c r="I2576" i="21"/>
  <c r="I2578" i="21"/>
  <c r="I2574" i="21"/>
  <c r="I2577" i="21"/>
  <c r="L2304" i="21"/>
  <c r="L2308" i="21"/>
  <c r="L2306" i="21"/>
  <c r="L2307" i="21"/>
  <c r="L2309" i="21"/>
  <c r="I2308" i="21"/>
  <c r="I2304" i="21"/>
  <c r="I2307" i="21"/>
  <c r="I2309" i="21"/>
  <c r="I2306" i="21"/>
  <c r="L2322" i="21"/>
  <c r="I2322" i="21"/>
  <c r="L2303" i="21"/>
  <c r="L2300" i="21"/>
  <c r="L2298" i="21" s="1"/>
  <c r="L2302" i="21"/>
  <c r="L2301" i="21"/>
  <c r="I2302" i="21"/>
  <c r="I2300" i="21"/>
  <c r="I2301" i="21"/>
  <c r="I2303" i="21"/>
  <c r="L2390" i="21"/>
  <c r="L2388" i="21" s="1"/>
  <c r="L2392" i="21"/>
  <c r="L2391" i="21"/>
  <c r="L2393" i="21"/>
  <c r="L2394" i="21"/>
  <c r="M2363" i="21"/>
  <c r="M2373" i="21"/>
  <c r="M2362" i="21"/>
  <c r="M2374" i="21"/>
  <c r="M2375" i="21"/>
  <c r="M2376" i="21"/>
  <c r="M2372" i="21"/>
  <c r="M2370" i="21" s="1"/>
  <c r="J2362" i="21"/>
  <c r="J2374" i="21"/>
  <c r="J2363" i="21"/>
  <c r="J2375" i="21"/>
  <c r="J2376" i="21"/>
  <c r="J2373" i="21"/>
  <c r="J2372" i="21"/>
  <c r="L2571" i="21"/>
  <c r="L2570" i="21"/>
  <c r="L2572" i="21"/>
  <c r="L2573" i="21"/>
  <c r="I2572" i="21"/>
  <c r="I2573" i="21"/>
  <c r="I2571" i="21"/>
  <c r="I2570" i="21"/>
  <c r="L2289" i="21"/>
  <c r="L2290" i="21"/>
  <c r="L2286" i="21"/>
  <c r="L2288" i="21"/>
  <c r="L2291" i="21"/>
  <c r="I2289" i="21"/>
  <c r="I2290" i="21"/>
  <c r="I2286" i="21"/>
  <c r="I2291" i="21"/>
  <c r="I2288" i="21"/>
  <c r="L2556" i="21"/>
  <c r="L2555" i="21"/>
  <c r="L2553" i="21"/>
  <c r="L2554" i="21"/>
  <c r="I2553" i="21"/>
  <c r="I2554" i="21"/>
  <c r="I2555" i="21"/>
  <c r="I2556" i="21"/>
  <c r="M2414" i="21"/>
  <c r="M2416" i="21"/>
  <c r="M2415" i="21"/>
  <c r="M2411" i="21"/>
  <c r="M2412" i="21"/>
  <c r="J2412" i="21"/>
  <c r="J2415" i="21"/>
  <c r="J2414" i="21"/>
  <c r="J2411" i="21"/>
  <c r="J2416" i="21"/>
  <c r="L2552" i="21"/>
  <c r="I2552" i="21"/>
  <c r="N2409" i="21"/>
  <c r="N2408" i="21"/>
  <c r="N2406" i="21" s="1"/>
  <c r="K2409" i="21"/>
  <c r="K2408" i="21"/>
  <c r="K2406" i="21" s="1"/>
  <c r="E26" i="1"/>
  <c r="E25" i="1" s="1"/>
  <c r="E24" i="1" s="1"/>
  <c r="E23" i="1" s="1"/>
  <c r="E22" i="1" s="1"/>
  <c r="E21" i="1" s="1"/>
  <c r="Q943" i="23"/>
  <c r="Q925" i="23"/>
  <c r="Q961" i="23"/>
  <c r="Q907" i="23"/>
  <c r="F2" i="23" l="1"/>
  <c r="D2" i="23"/>
  <c r="G2" i="23"/>
  <c r="I2550" i="21"/>
  <c r="O2550" i="21" s="1"/>
  <c r="P2262" i="21"/>
  <c r="J2298" i="21"/>
  <c r="L2550" i="21"/>
  <c r="P2550" i="21" s="1"/>
  <c r="G2" i="30"/>
  <c r="F2" i="30"/>
  <c r="Q2" i="30" s="1"/>
  <c r="R2" i="30" s="1"/>
  <c r="D2" i="30"/>
  <c r="E20" i="1"/>
  <c r="E19" i="1" s="1"/>
  <c r="E17" i="1" s="1"/>
  <c r="P2280" i="21"/>
  <c r="J2262" i="21"/>
  <c r="I2262" i="21"/>
  <c r="I2280" i="21"/>
  <c r="J2280" i="21"/>
  <c r="J2388" i="21"/>
  <c r="O2388" i="21" s="1"/>
  <c r="J2406" i="21"/>
  <c r="J2352" i="21"/>
  <c r="J2334" i="21"/>
  <c r="J2316" i="21"/>
  <c r="P2298" i="21"/>
  <c r="I2298" i="21"/>
  <c r="P2388" i="21"/>
  <c r="J2370" i="21"/>
  <c r="O2370" i="21" s="1"/>
  <c r="L2568" i="21"/>
  <c r="P2568" i="21" s="1"/>
  <c r="I2568" i="21"/>
  <c r="N34" i="23"/>
  <c r="N767" i="23"/>
  <c r="N765" i="23"/>
  <c r="L3219" i="21"/>
  <c r="N785" i="23"/>
  <c r="L3221" i="21"/>
  <c r="N769" i="23"/>
  <c r="N30" i="23"/>
  <c r="N786" i="23"/>
  <c r="N787" i="23"/>
  <c r="N35" i="23"/>
  <c r="N36" i="23"/>
  <c r="N784" i="23"/>
  <c r="N31" i="23"/>
  <c r="Y8" i="23"/>
  <c r="Y22" i="23" s="1"/>
  <c r="L3217" i="21"/>
  <c r="N766" i="23"/>
  <c r="L3218" i="21"/>
  <c r="N768" i="23"/>
  <c r="N783" i="23"/>
  <c r="N33" i="23"/>
  <c r="N29" i="23"/>
  <c r="S2" i="23" l="1"/>
  <c r="T2" i="23" s="1"/>
  <c r="O2298" i="21"/>
  <c r="D2586" i="21"/>
  <c r="D2316" i="21"/>
  <c r="L2358" i="21"/>
  <c r="L2356" i="21"/>
  <c r="L2357" i="21"/>
  <c r="L2354" i="21"/>
  <c r="L2352" i="21" s="1"/>
  <c r="P2352" i="21" s="1"/>
  <c r="L2355" i="21"/>
  <c r="I2357" i="21"/>
  <c r="I2354" i="21"/>
  <c r="I2355" i="21"/>
  <c r="I2356" i="21"/>
  <c r="L2410" i="21"/>
  <c r="L2414" i="21"/>
  <c r="L2415" i="21"/>
  <c r="L2412" i="21"/>
  <c r="L2411" i="21"/>
  <c r="L2416" i="21"/>
  <c r="L2409" i="21"/>
  <c r="I2319" i="21"/>
  <c r="I2320" i="21"/>
  <c r="I2321" i="21"/>
  <c r="I2414" i="21"/>
  <c r="I2416" i="21"/>
  <c r="I2415" i="21"/>
  <c r="L2381" i="21"/>
  <c r="L2379" i="21"/>
  <c r="L2380" i="21"/>
  <c r="L2378" i="21"/>
  <c r="L2408" i="21"/>
  <c r="L2406" i="21" s="1"/>
  <c r="P2406" i="21" s="1"/>
  <c r="L2398" i="21"/>
  <c r="L2396" i="21"/>
  <c r="L2397" i="21"/>
  <c r="L2399" i="21"/>
  <c r="I2318" i="21"/>
  <c r="L2343" i="21"/>
  <c r="L2340" i="21"/>
  <c r="L2342" i="21"/>
  <c r="L2345" i="21"/>
  <c r="L2339" i="21"/>
  <c r="L2344" i="21"/>
  <c r="L2362" i="21"/>
  <c r="L2361" i="21"/>
  <c r="L2360" i="21"/>
  <c r="L2363" i="21"/>
  <c r="B2" i="15"/>
  <c r="L2375" i="21"/>
  <c r="L2373" i="21"/>
  <c r="L2372" i="21"/>
  <c r="L2370" i="21" s="1"/>
  <c r="P2370" i="21" s="1"/>
  <c r="L2374" i="21"/>
  <c r="L2376" i="21"/>
  <c r="E16" i="1"/>
  <c r="E15" i="1" s="1"/>
  <c r="E14" i="1" s="1"/>
  <c r="O2262" i="21"/>
  <c r="O2334" i="21"/>
  <c r="O2280" i="21"/>
  <c r="O2568" i="21"/>
  <c r="C2586" i="21"/>
  <c r="L3213" i="21"/>
  <c r="P3213" i="21" s="1"/>
  <c r="D3267" i="21" s="1"/>
  <c r="N763" i="23"/>
  <c r="R763" i="23" s="1"/>
  <c r="D763" i="23" s="1"/>
  <c r="N25" i="23"/>
  <c r="R25" i="23" s="1"/>
  <c r="D79" i="23" s="1"/>
  <c r="N781" i="23"/>
  <c r="R781" i="23" s="1"/>
  <c r="I2316" i="21" l="1"/>
  <c r="E2" i="15"/>
  <c r="C2" i="15"/>
  <c r="F2" i="15"/>
  <c r="E13" i="1"/>
  <c r="E12" i="1" s="1"/>
  <c r="I2352" i="21"/>
  <c r="I2406" i="21"/>
  <c r="O2406" i="21" s="1"/>
  <c r="D2406" i="21"/>
  <c r="D781" i="23"/>
  <c r="D835" i="23"/>
  <c r="D817" i="23"/>
  <c r="D799" i="23"/>
  <c r="K866" i="23" a="1"/>
  <c r="K829" i="23" a="1"/>
  <c r="J832" i="23" a="1"/>
  <c r="K848" i="23" a="1"/>
  <c r="L905" i="23" a="1"/>
  <c r="J829" i="23" a="1"/>
  <c r="L901" i="23" a="1"/>
  <c r="L886" i="23" a="1"/>
  <c r="L831" i="23" a="1"/>
  <c r="M878" i="23" a="1"/>
  <c r="J885" i="23" a="1"/>
  <c r="K896" i="23" a="1"/>
  <c r="M850" i="23" a="1"/>
  <c r="K902" i="23" a="1"/>
  <c r="K905" i="23" a="1"/>
  <c r="J883" i="23" a="1"/>
  <c r="K854" i="23" a="1"/>
  <c r="J905" i="23" a="1"/>
  <c r="M902" i="23" a="1"/>
  <c r="J867" i="23" a="1"/>
  <c r="M885" i="23" a="1"/>
  <c r="K847" i="23" a="1"/>
  <c r="L884" i="23" a="1"/>
  <c r="M904" i="23" a="1"/>
  <c r="M865" i="23" a="1"/>
  <c r="L829" i="23" a="1"/>
  <c r="L824" i="23" a="1"/>
  <c r="J847" i="23" a="1"/>
  <c r="L849" i="23" a="1"/>
  <c r="L832" i="23" a="1"/>
  <c r="J887" i="23" a="1"/>
  <c r="K860" i="23" a="1"/>
  <c r="J872" i="23" a="1"/>
  <c r="M886" i="23" a="1"/>
  <c r="M887" i="23" a="1"/>
  <c r="K830" i="23" a="1"/>
  <c r="L868" i="23" a="1"/>
  <c r="J865" i="23" a="1"/>
  <c r="M896" i="23" a="1"/>
  <c r="K832" i="23" a="1"/>
  <c r="L866" i="23" a="1"/>
  <c r="K872" i="23" a="1"/>
  <c r="L830" i="23" a="1"/>
  <c r="K833" i="23" a="1"/>
  <c r="M905" i="23" a="1"/>
  <c r="J901" i="23" a="1"/>
  <c r="K885" i="23" a="1"/>
  <c r="M832" i="23" a="1"/>
  <c r="L833" i="23" a="1"/>
  <c r="L872" i="23" a="1"/>
  <c r="M866" i="23" a="1"/>
  <c r="K886" i="23" a="1"/>
  <c r="J896" i="23" a="1"/>
  <c r="L860" i="23" a="1"/>
  <c r="M867" i="23" a="1"/>
  <c r="M884" i="23" a="1"/>
  <c r="L896" i="23" a="1"/>
  <c r="L851" i="23" a="1"/>
  <c r="L865" i="23" a="1"/>
  <c r="M829" i="23" a="1"/>
  <c r="L878" i="23" a="1"/>
  <c r="L869" i="23" a="1"/>
  <c r="J866" i="23" a="1"/>
  <c r="M847" i="23" a="1"/>
  <c r="K878" i="23" a="1"/>
  <c r="J886" i="23" a="1"/>
  <c r="M860" i="23" a="1"/>
  <c r="J833" i="23" a="1"/>
  <c r="K851" i="23" a="1"/>
  <c r="K884" i="23" a="1"/>
  <c r="J842" i="23" a="1"/>
  <c r="K867" i="23" a="1"/>
  <c r="M903" i="23" a="1"/>
  <c r="M833" i="23" a="1"/>
  <c r="J902" i="23" a="1"/>
  <c r="K869" i="23" a="1"/>
  <c r="J860" i="23" a="1"/>
  <c r="K868" i="23" a="1"/>
  <c r="J848" i="23" a="1"/>
  <c r="K903" i="23" a="1"/>
  <c r="M869" i="23" a="1"/>
  <c r="K842" i="23" a="1"/>
  <c r="M854" i="23" a="1"/>
  <c r="L850" i="23" a="1"/>
  <c r="M901" i="23" a="1"/>
  <c r="J851" i="23" a="1"/>
  <c r="J850" i="23" a="1"/>
  <c r="L854" i="23" a="1"/>
  <c r="M848" i="23" a="1"/>
  <c r="M831" i="23" a="1"/>
  <c r="K865" i="23" a="1"/>
  <c r="J849" i="23" a="1"/>
  <c r="M851" i="23" a="1"/>
  <c r="J869" i="23" a="1"/>
  <c r="L847" i="23" a="1"/>
  <c r="M883" i="23" a="1"/>
  <c r="M842" i="23" a="1"/>
  <c r="J903" i="23" a="1"/>
  <c r="K887" i="23" a="1"/>
  <c r="J831" i="23" a="1"/>
  <c r="K824" i="23" a="1"/>
  <c r="M830" i="23" a="1"/>
  <c r="K883" i="23" a="1"/>
  <c r="M849" i="23" a="1"/>
  <c r="K831" i="23" a="1"/>
  <c r="M868" i="23" a="1"/>
  <c r="L903" i="23" a="1"/>
  <c r="J854" i="23" a="1"/>
  <c r="L848" i="23" a="1"/>
  <c r="L883" i="23" a="1"/>
  <c r="K850" i="23" a="1"/>
  <c r="L902" i="23" a="1"/>
  <c r="J824" i="23" a="1"/>
  <c r="L885" i="23" a="1"/>
  <c r="L904" i="23" a="1"/>
  <c r="L887" i="23" a="1"/>
  <c r="L842" i="23" a="1"/>
  <c r="M872" i="23" a="1"/>
  <c r="L867" i="23" a="1"/>
  <c r="K904" i="23" a="1"/>
  <c r="K901" i="23" a="1"/>
  <c r="J904" i="23" a="1"/>
  <c r="M824" i="23" a="1"/>
  <c r="K849" i="23" a="1"/>
  <c r="J830" i="23" a="1"/>
  <c r="J868" i="23" a="1"/>
  <c r="J884" i="23" a="1"/>
  <c r="J878" i="23" a="1"/>
  <c r="O2316" i="21" l="1"/>
  <c r="C2316" i="21"/>
  <c r="E11" i="1"/>
  <c r="E10" i="1" s="1"/>
  <c r="E9" i="1" s="1"/>
  <c r="E8" i="1" s="1"/>
  <c r="E7" i="1" s="1"/>
  <c r="E6" i="1" s="1"/>
  <c r="E5" i="1" s="1"/>
  <c r="C2406" i="21"/>
  <c r="O2352" i="21"/>
  <c r="L889" i="23"/>
  <c r="K871" i="23"/>
  <c r="J835" i="23"/>
  <c r="L871" i="23"/>
  <c r="M835" i="23"/>
  <c r="M871" i="23"/>
  <c r="K835" i="23"/>
  <c r="L835" i="23"/>
  <c r="J871" i="23"/>
  <c r="K853" i="23"/>
  <c r="M853" i="23"/>
  <c r="J817" i="23"/>
  <c r="L817" i="23"/>
  <c r="J853" i="23"/>
  <c r="K817" i="23"/>
  <c r="L853" i="23"/>
  <c r="M817" i="23"/>
  <c r="K889" i="23"/>
  <c r="M889" i="23"/>
  <c r="C2" i="21" l="1"/>
  <c r="Q871" i="23"/>
  <c r="Q889" i="23"/>
  <c r="Q835" i="23"/>
  <c r="C907" i="23"/>
  <c r="Q853" i="23"/>
  <c r="C925" i="23"/>
  <c r="Q817" i="23"/>
  <c r="C889" i="23"/>
  <c r="C835" i="23"/>
  <c r="C817" i="23"/>
  <c r="D2" i="21" l="1"/>
  <c r="G2" i="21"/>
  <c r="F2" i="21"/>
  <c r="U2" i="21" s="1"/>
  <c r="O393" i="23"/>
  <c r="N205" i="30"/>
  <c r="N176" i="30"/>
  <c r="N211" i="30"/>
  <c r="N175" i="30"/>
  <c r="N215" i="30"/>
  <c r="O387" i="23"/>
  <c r="O415" i="23"/>
  <c r="O418" i="23"/>
  <c r="O411" i="23"/>
  <c r="O394" i="23"/>
  <c r="N169" i="30"/>
  <c r="O396" i="23"/>
  <c r="N182" i="30"/>
  <c r="O408" i="23"/>
  <c r="O410" i="23"/>
  <c r="O413" i="23"/>
  <c r="N218" i="30"/>
  <c r="N170" i="30"/>
  <c r="O430" i="23"/>
  <c r="O399" i="23"/>
  <c r="O401" i="23"/>
  <c r="N214" i="30"/>
  <c r="O407" i="23"/>
  <c r="N208" i="30"/>
  <c r="O406" i="23"/>
  <c r="O414" i="23"/>
  <c r="N177" i="30"/>
  <c r="N184" i="30"/>
  <c r="O395" i="23"/>
  <c r="N209" i="30"/>
  <c r="O389" i="23"/>
  <c r="O386" i="23"/>
  <c r="N219" i="30"/>
  <c r="N173" i="30"/>
  <c r="O405" i="23"/>
  <c r="N216" i="30"/>
  <c r="N171" i="30"/>
  <c r="N179" i="30"/>
  <c r="N207" i="30"/>
  <c r="N178" i="30"/>
  <c r="O429" i="23"/>
  <c r="O417" i="23"/>
  <c r="N206" i="30"/>
  <c r="N212" i="30"/>
  <c r="O412" i="23"/>
  <c r="O388" i="23"/>
  <c r="N213" i="30"/>
  <c r="N220" i="30"/>
  <c r="O404" i="23"/>
  <c r="O397" i="23"/>
  <c r="N180" i="30"/>
  <c r="O392" i="23"/>
  <c r="O400" i="23"/>
  <c r="N172" i="30"/>
  <c r="O390" i="23"/>
  <c r="O419" i="23"/>
  <c r="N183" i="30"/>
  <c r="N309" i="23"/>
  <c r="N164" i="30"/>
  <c r="N297" i="23"/>
  <c r="N162" i="30"/>
  <c r="N153" i="30"/>
  <c r="N142" i="30"/>
  <c r="N154" i="30"/>
  <c r="N144" i="30"/>
  <c r="N346" i="23"/>
  <c r="N161" i="30"/>
  <c r="N340" i="23"/>
  <c r="N342" i="23"/>
  <c r="N306" i="23"/>
  <c r="N311" i="23"/>
  <c r="N134" i="30"/>
  <c r="N304" i="23"/>
  <c r="N343" i="23"/>
  <c r="N137" i="30"/>
  <c r="N345" i="23"/>
  <c r="N159" i="30"/>
  <c r="N136" i="30"/>
  <c r="N341" i="23"/>
  <c r="N146" i="30"/>
  <c r="N335" i="23"/>
  <c r="N336" i="23"/>
  <c r="N339" i="23"/>
  <c r="N296" i="23"/>
  <c r="N157" i="30"/>
  <c r="N152" i="30"/>
  <c r="N166" i="30"/>
  <c r="N307" i="23"/>
  <c r="N333" i="23"/>
  <c r="N140" i="30"/>
  <c r="N302" i="23"/>
  <c r="N303" i="23"/>
  <c r="N299" i="23"/>
  <c r="N310" i="23"/>
  <c r="N135" i="30"/>
  <c r="N148" i="30"/>
  <c r="N141" i="30"/>
  <c r="N338" i="23"/>
  <c r="N334" i="23"/>
  <c r="N151" i="30"/>
  <c r="N305" i="23"/>
  <c r="N155" i="30"/>
  <c r="N332" i="23"/>
  <c r="N133" i="30"/>
  <c r="N147" i="30"/>
  <c r="N158" i="30"/>
  <c r="N160" i="30"/>
  <c r="N139" i="30"/>
  <c r="N298" i="23"/>
  <c r="N347" i="23"/>
  <c r="N300" i="23"/>
  <c r="N143" i="30"/>
  <c r="N165" i="30"/>
  <c r="N288" i="30"/>
  <c r="N287" i="30"/>
  <c r="N291" i="30"/>
  <c r="N267" i="30"/>
  <c r="N260" i="30"/>
  <c r="N266" i="30"/>
  <c r="N280" i="30"/>
  <c r="N262" i="30"/>
  <c r="N265" i="30"/>
  <c r="N272" i="30"/>
  <c r="N423" i="23"/>
  <c r="N429" i="23"/>
  <c r="N259" i="30"/>
  <c r="N274" i="30"/>
  <c r="N278" i="30"/>
  <c r="N270" i="30"/>
  <c r="N426" i="23"/>
  <c r="N281" i="30"/>
  <c r="N290" i="30"/>
  <c r="N425" i="23"/>
  <c r="N427" i="23"/>
  <c r="N279" i="30"/>
  <c r="N269" i="30"/>
  <c r="N277" i="30"/>
  <c r="N430" i="23"/>
  <c r="N424" i="23"/>
  <c r="N284" i="30"/>
  <c r="N268" i="30"/>
  <c r="N263" i="30"/>
  <c r="N292" i="30"/>
  <c r="N283" i="30"/>
  <c r="N285" i="30"/>
  <c r="N286" i="30"/>
  <c r="N273" i="30"/>
  <c r="N261" i="30"/>
  <c r="O444" i="23"/>
  <c r="M296" i="30"/>
  <c r="M280" i="30"/>
  <c r="M305" i="30"/>
  <c r="M283" i="30"/>
  <c r="M279" i="30"/>
  <c r="M281" i="30"/>
  <c r="M303" i="30"/>
  <c r="M308" i="30"/>
  <c r="M277" i="30"/>
  <c r="M287" i="30"/>
  <c r="M285" i="30"/>
  <c r="N432" i="23"/>
  <c r="O460" i="23"/>
  <c r="O457" i="23" s="1"/>
  <c r="R457" i="23" s="1"/>
  <c r="M301" i="30"/>
  <c r="O448" i="23"/>
  <c r="O450" i="23"/>
  <c r="M304" i="30"/>
  <c r="M297" i="30"/>
  <c r="N442" i="23"/>
  <c r="M309" i="30"/>
  <c r="O442" i="23"/>
  <c r="O449" i="23"/>
  <c r="O443" i="23"/>
  <c r="N441" i="23"/>
  <c r="N443" i="23"/>
  <c r="M306" i="30"/>
  <c r="M278" i="30"/>
  <c r="O432" i="23"/>
  <c r="N445" i="23"/>
  <c r="O431" i="23"/>
  <c r="M292" i="30"/>
  <c r="M299" i="30"/>
  <c r="O445" i="23"/>
  <c r="M290" i="30"/>
  <c r="O447" i="23"/>
  <c r="M295" i="30"/>
  <c r="M310" i="30"/>
  <c r="N431" i="23"/>
  <c r="M302" i="30"/>
  <c r="M286" i="30"/>
  <c r="M284" i="30"/>
  <c r="M291" i="30"/>
  <c r="N447" i="23"/>
  <c r="M298" i="30"/>
  <c r="M288" i="30"/>
  <c r="N444" i="23"/>
  <c r="N308" i="30"/>
  <c r="N530" i="23"/>
  <c r="N298" i="30"/>
  <c r="N321" i="30"/>
  <c r="N296" i="30"/>
  <c r="N324" i="30"/>
  <c r="N522" i="23"/>
  <c r="N299" i="30"/>
  <c r="N328" i="30"/>
  <c r="N319" i="30"/>
  <c r="N295" i="30"/>
  <c r="N554" i="23"/>
  <c r="O532" i="23"/>
  <c r="O526" i="23"/>
  <c r="N552" i="23"/>
  <c r="N306" i="30"/>
  <c r="O533" i="23"/>
  <c r="N322" i="30"/>
  <c r="N309" i="30"/>
  <c r="N315" i="30"/>
  <c r="N323" i="30"/>
  <c r="O534" i="23"/>
  <c r="O527" i="23"/>
  <c r="N527" i="23"/>
  <c r="N304" i="30"/>
  <c r="N534" i="23"/>
  <c r="N526" i="23"/>
  <c r="N310" i="30"/>
  <c r="N303" i="30"/>
  <c r="O531" i="23"/>
  <c r="N531" i="23"/>
  <c r="N316" i="30"/>
  <c r="N326" i="30"/>
  <c r="O536" i="23"/>
  <c r="N327" i="30"/>
  <c r="N314" i="30"/>
  <c r="O530" i="23"/>
  <c r="N525" i="23"/>
  <c r="N302" i="30"/>
  <c r="N301" i="30"/>
  <c r="N305" i="30"/>
  <c r="N297" i="30"/>
  <c r="N313" i="30"/>
  <c r="N320" i="30"/>
  <c r="N536" i="23"/>
  <c r="N532" i="23"/>
  <c r="N533" i="23"/>
  <c r="N317" i="30"/>
  <c r="N521" i="23"/>
  <c r="N523" i="23"/>
  <c r="N81" i="30"/>
  <c r="N281" i="23"/>
  <c r="N92" i="30"/>
  <c r="N85" i="30"/>
  <c r="N279" i="23"/>
  <c r="N282" i="23"/>
  <c r="N275" i="23"/>
  <c r="N3367" i="21"/>
  <c r="N289" i="23"/>
  <c r="N286" i="23"/>
  <c r="N269" i="23"/>
  <c r="N83" i="30"/>
  <c r="N3343" i="21"/>
  <c r="N68" i="30"/>
  <c r="N3353" i="21"/>
  <c r="N3354" i="21"/>
  <c r="N3341" i="21"/>
  <c r="N293" i="23"/>
  <c r="N268" i="23"/>
  <c r="N3347" i="21"/>
  <c r="W13" i="30"/>
  <c r="W21" i="30" s="1"/>
  <c r="N3344" i="21"/>
  <c r="N270" i="23"/>
  <c r="N71" i="30"/>
  <c r="N264" i="23"/>
  <c r="N89" i="30"/>
  <c r="N76" i="30"/>
  <c r="N287" i="23"/>
  <c r="N266" i="23"/>
  <c r="N79" i="30"/>
  <c r="N3350" i="21"/>
  <c r="N3340" i="21"/>
  <c r="N69" i="30"/>
  <c r="N82" i="30"/>
  <c r="N62" i="30"/>
  <c r="N3369" i="21"/>
  <c r="N75" i="30"/>
  <c r="N260" i="23"/>
  <c r="N88" i="30"/>
  <c r="N273" i="23"/>
  <c r="N72" i="30"/>
  <c r="N288" i="23"/>
  <c r="N284" i="23"/>
  <c r="N274" i="23"/>
  <c r="N3364" i="21"/>
  <c r="N285" i="23"/>
  <c r="N267" i="23"/>
  <c r="N86" i="30"/>
  <c r="N263" i="23"/>
  <c r="N280" i="23"/>
  <c r="N292" i="23"/>
  <c r="N64" i="30"/>
  <c r="N291" i="23"/>
  <c r="N3372" i="21"/>
  <c r="N3348" i="21"/>
  <c r="N3351" i="21"/>
  <c r="N3368" i="21"/>
  <c r="N93" i="30"/>
  <c r="N3346" i="21"/>
  <c r="N63" i="30"/>
  <c r="N90" i="30"/>
  <c r="N3359" i="21"/>
  <c r="N94" i="30"/>
  <c r="N262" i="23"/>
  <c r="N261" i="23"/>
  <c r="N3366" i="21"/>
  <c r="N3373" i="21"/>
  <c r="N3358" i="21"/>
  <c r="N67" i="30"/>
  <c r="N70" i="30"/>
  <c r="N3361" i="21"/>
  <c r="N3365" i="21"/>
  <c r="N65" i="30"/>
  <c r="N3360" i="21"/>
  <c r="N278" i="23"/>
  <c r="N271" i="23"/>
  <c r="N3355" i="21"/>
  <c r="N3362" i="21"/>
  <c r="N3342" i="21"/>
  <c r="N3371" i="21"/>
  <c r="N74" i="30"/>
  <c r="N87" i="30"/>
  <c r="N3349" i="21"/>
  <c r="N61" i="30"/>
  <c r="N80" i="30"/>
  <c r="N294" i="30" l="1"/>
  <c r="N312" i="30"/>
  <c r="P312" i="30" s="1"/>
  <c r="N258" i="30"/>
  <c r="P258" i="30" s="1"/>
  <c r="O421" i="23"/>
  <c r="M276" i="30"/>
  <c r="N547" i="23"/>
  <c r="R547" i="23" s="1"/>
  <c r="N511" i="23"/>
  <c r="N78" i="30"/>
  <c r="P78" i="30" s="1"/>
  <c r="N3357" i="21"/>
  <c r="P3357" i="21" s="1"/>
  <c r="N132" i="30"/>
  <c r="P132" i="30" s="1"/>
  <c r="N331" i="23"/>
  <c r="R331" i="23" s="1"/>
  <c r="N439" i="23"/>
  <c r="N259" i="23"/>
  <c r="R259" i="23" s="1"/>
  <c r="N60" i="30"/>
  <c r="P60" i="30" s="1"/>
  <c r="M294" i="30"/>
  <c r="N276" i="30"/>
  <c r="O529" i="23"/>
  <c r="N3339" i="21"/>
  <c r="P3339" i="21" s="1"/>
  <c r="N529" i="23"/>
  <c r="N168" i="30"/>
  <c r="P168" i="30" s="1"/>
  <c r="N421" i="23"/>
  <c r="O439" i="23"/>
  <c r="N150" i="30"/>
  <c r="P150" i="30" s="1"/>
  <c r="O511" i="23"/>
  <c r="O403" i="23"/>
  <c r="R403" i="23" s="1"/>
  <c r="N204" i="30"/>
  <c r="P204" i="30" s="1"/>
  <c r="N295" i="23"/>
  <c r="R295" i="23" s="1"/>
  <c r="N277" i="23"/>
  <c r="R277" i="23" s="1"/>
  <c r="O385" i="23"/>
  <c r="R385" i="23" s="1"/>
  <c r="P294" i="30" l="1"/>
  <c r="R421" i="23"/>
  <c r="P276" i="30"/>
  <c r="R529" i="23"/>
  <c r="R439" i="23"/>
  <c r="D331" i="23"/>
  <c r="D204" i="30"/>
  <c r="D3357" i="21"/>
  <c r="D78" i="30"/>
  <c r="R511" i="23"/>
  <c r="D330" i="30" l="1"/>
  <c r="D457" i="23"/>
  <c r="D583" i="23"/>
  <c r="M488" i="23" l="1" a="1"/>
  <c r="K535" i="23" a="1"/>
  <c r="K529" i="23" s="1"/>
  <c r="J494" i="23" a="1"/>
  <c r="J493" i="23" s="1"/>
  <c r="J508" i="23" a="1"/>
  <c r="M471" i="23" a="1"/>
  <c r="J472" i="23" a="1"/>
  <c r="J535" i="23" a="1"/>
  <c r="J529" i="23" s="1"/>
  <c r="J489" i="23" a="1"/>
  <c r="M469" i="23" a="1"/>
  <c r="J463" i="23" a="1"/>
  <c r="J457" i="23" s="1"/>
  <c r="K471" i="23" a="1"/>
  <c r="M506" i="23" a="1"/>
  <c r="K470" i="23" a="1"/>
  <c r="J476" i="23" a="1"/>
  <c r="J475" i="23" s="1"/>
  <c r="M463" i="23" a="1"/>
  <c r="M457" i="23" s="1"/>
  <c r="M367" i="23" s="1"/>
  <c r="J524" i="23" a="1"/>
  <c r="M470" i="23" a="1"/>
  <c r="J469" i="23" a="1"/>
  <c r="J507" i="23" a="1"/>
  <c r="J500" i="23" a="1"/>
  <c r="M482" i="23" a="1"/>
  <c r="J471" i="23" a="1"/>
  <c r="K500" i="23" a="1"/>
  <c r="K507" i="23" a="1"/>
  <c r="K482" i="23" a="1"/>
  <c r="M508" i="23" a="1"/>
  <c r="J470" i="23" a="1"/>
  <c r="K505" i="23" a="1"/>
  <c r="K473" i="23" a="1"/>
  <c r="M476" i="23" a="1"/>
  <c r="M475" i="23" s="1"/>
  <c r="K476" i="23" a="1"/>
  <c r="K475" i="23" s="1"/>
  <c r="M490" i="23" a="1"/>
  <c r="M535" i="23" a="1"/>
  <c r="M529" i="23" s="1"/>
  <c r="M489" i="23" a="1"/>
  <c r="J488" i="23" a="1"/>
  <c r="M524" i="23" a="1"/>
  <c r="K490" i="23" a="1"/>
  <c r="M472" i="23" a="1"/>
  <c r="M494" i="23" a="1"/>
  <c r="M493" i="23" s="1"/>
  <c r="J473" i="23" a="1"/>
  <c r="J505" i="23" a="1"/>
  <c r="J487" i="23" a="1"/>
  <c r="K508" i="23" a="1"/>
  <c r="J506" i="23" a="1"/>
  <c r="K517" i="23" a="1"/>
  <c r="K511" i="23" s="1"/>
  <c r="K463" i="23" a="1"/>
  <c r="K457" i="23" s="1"/>
  <c r="K367" i="23" s="1"/>
  <c r="M491" i="23" a="1"/>
  <c r="K524" i="23" a="1"/>
  <c r="M509" i="23" a="1"/>
  <c r="M505" i="23" a="1"/>
  <c r="K542" i="23" a="1"/>
  <c r="M473" i="23" a="1"/>
  <c r="K491" i="23" a="1"/>
  <c r="K509" i="23" a="1"/>
  <c r="M507" i="23" a="1"/>
  <c r="M487" i="23" a="1"/>
  <c r="K488" i="23" a="1"/>
  <c r="J482" i="23" a="1"/>
  <c r="K469" i="23" a="1"/>
  <c r="K472" i="23" a="1"/>
  <c r="K506" i="23" a="1"/>
  <c r="J509" i="23" a="1"/>
  <c r="J542" i="23" a="1"/>
  <c r="K494" i="23" a="1"/>
  <c r="K493" i="23" s="1"/>
  <c r="K487" i="23" a="1"/>
  <c r="M542" i="23" a="1"/>
  <c r="K489" i="23" a="1"/>
  <c r="M500" i="23" a="1"/>
  <c r="M517" i="23" a="1"/>
  <c r="M511" i="23" s="1"/>
  <c r="J490" i="23" a="1"/>
  <c r="J517" i="23" a="1"/>
  <c r="J511" i="23" s="1"/>
  <c r="J491" i="23" a="1"/>
  <c r="Q457" i="23" l="1"/>
  <c r="J367" i="23"/>
  <c r="Q367" i="23" s="1"/>
  <c r="C457" i="23"/>
  <c r="C583" i="23"/>
  <c r="Q511" i="23"/>
  <c r="Q493" i="23"/>
  <c r="Q529" i="23"/>
  <c r="Q475"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author>
  </authors>
  <commentList>
    <comment ref="D6" authorId="0" shapeId="0" xr:uid="{C4A79D11-AA98-4550-AE56-2DB47F789F35}">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F78" authorId="0" shapeId="0" xr:uid="{B27F9140-EDC6-4DE2-9360-523C81A9D501}">
      <text>
        <r>
          <rPr>
            <b/>
            <sz val="9"/>
            <color indexed="81"/>
            <rFont val="Tahoma"/>
            <family val="2"/>
          </rPr>
          <t>Lenovo:</t>
        </r>
        <r>
          <rPr>
            <sz val="9"/>
            <color indexed="81"/>
            <rFont val="Tahoma"/>
            <family val="2"/>
          </rPr>
          <t xml:space="preserve">
Parada para SETUP, máquina de rosqueamento.
13 --&gt; 13:57h</t>
        </r>
      </text>
    </comment>
    <comment ref="F80" authorId="0" shapeId="0" xr:uid="{C8443B41-9627-445F-84C8-5FCB29E1257D}">
      <text>
        <r>
          <rPr>
            <b/>
            <sz val="9"/>
            <color indexed="81"/>
            <rFont val="Tahoma"/>
            <family val="2"/>
          </rPr>
          <t>Lenovo:</t>
        </r>
        <r>
          <rPr>
            <sz val="9"/>
            <color indexed="81"/>
            <rFont val="Tahoma"/>
            <family val="2"/>
          </rPr>
          <t xml:space="preserve">
Produção do Oitava Maravilha começou ainda na quarta-feira.
</t>
        </r>
      </text>
    </comment>
    <comment ref="G84" authorId="0" shapeId="0" xr:uid="{F41869F3-7CA1-4F3C-9BE2-46E5A6BD5EF9}">
      <text>
        <r>
          <rPr>
            <b/>
            <sz val="9"/>
            <color indexed="81"/>
            <rFont val="Tahoma"/>
            <family val="2"/>
          </rPr>
          <t>Lenovo:</t>
        </r>
        <r>
          <rPr>
            <sz val="9"/>
            <color indexed="81"/>
            <rFont val="Tahoma"/>
            <family val="2"/>
          </rPr>
          <t xml:space="preserve">
Atraso nas válvulas Miss Rôse, causando atraso no planejamento.</t>
        </r>
      </text>
    </comment>
    <comment ref="G93" authorId="0" shapeId="0" xr:uid="{07AEF4EC-9088-4DA0-9E4C-ADEC363A085F}">
      <text>
        <r>
          <rPr>
            <b/>
            <sz val="9"/>
            <color indexed="81"/>
            <rFont val="Tahoma"/>
            <family val="2"/>
          </rPr>
          <t>Lenovo:</t>
        </r>
        <r>
          <rPr>
            <sz val="9"/>
            <color indexed="81"/>
            <rFont val="Tahoma"/>
            <family val="2"/>
          </rPr>
          <t xml:space="preserve">
Retrabalho das válvulas do Luiz.
</t>
        </r>
      </text>
    </comment>
    <comment ref="F102" authorId="0" shapeId="0" xr:uid="{AADF572B-759E-4534-833E-C746BC528C35}">
      <text>
        <r>
          <rPr>
            <b/>
            <sz val="9"/>
            <color indexed="81"/>
            <rFont val="Tahoma"/>
            <family val="2"/>
          </rPr>
          <t>Lenovo:</t>
        </r>
        <r>
          <rPr>
            <sz val="9"/>
            <color indexed="81"/>
            <rFont val="Tahoma"/>
            <family val="2"/>
          </rPr>
          <t xml:space="preserve">
Envase da produção restante (cerca de 3.000 unidades) e fim do retrabalho das válvulas.
</t>
        </r>
      </text>
    </comment>
    <comment ref="F103" authorId="0" shapeId="0" xr:uid="{BADD469D-8FFB-4FA7-B095-54F418246473}">
      <text>
        <r>
          <rPr>
            <b/>
            <sz val="9"/>
            <color indexed="81"/>
            <rFont val="Tahoma"/>
            <family val="2"/>
          </rPr>
          <t>Lenovo:</t>
        </r>
        <r>
          <rPr>
            <sz val="9"/>
            <color indexed="81"/>
            <rFont val="Tahoma"/>
            <family val="2"/>
          </rPr>
          <t xml:space="preserve">
Devido ao defeito do túnel, não foi possível finalizar o retrabalho.
</t>
        </r>
      </text>
    </comment>
    <comment ref="F112" authorId="0" shapeId="0" xr:uid="{9CCDB9D0-27B8-4B43-BA0C-8F108EBF55D1}">
      <text>
        <r>
          <rPr>
            <b/>
            <sz val="9"/>
            <color indexed="81"/>
            <rFont val="Tahoma"/>
            <family val="2"/>
          </rPr>
          <t>Lenovo:</t>
        </r>
        <r>
          <rPr>
            <sz val="9"/>
            <color indexed="81"/>
            <rFont val="Tahoma"/>
            <family val="2"/>
          </rPr>
          <t xml:space="preserve">
Devido ao disjuntor do Túnel ter queimado, os produtos foram apenas envasados.
</t>
        </r>
      </text>
    </comment>
    <comment ref="G114" authorId="0" shapeId="0" xr:uid="{12A0794E-00D6-47DF-9A4B-DC87D34CD4F7}">
      <text>
        <r>
          <rPr>
            <b/>
            <sz val="9"/>
            <color indexed="81"/>
            <rFont val="Tahoma"/>
            <family val="2"/>
          </rPr>
          <t>Lenovo:</t>
        </r>
        <r>
          <rPr>
            <sz val="9"/>
            <color indexed="81"/>
            <rFont val="Tahoma"/>
            <family val="2"/>
          </rPr>
          <t xml:space="preserve">
Fim da produção do pedido moutier.
</t>
        </r>
      </text>
    </comment>
    <comment ref="G115" authorId="0" shapeId="0" xr:uid="{7E0E1EDD-28D6-46EF-8B62-880D48989272}">
      <text>
        <r>
          <rPr>
            <b/>
            <sz val="9"/>
            <color indexed="81"/>
            <rFont val="Tahoma"/>
            <family val="2"/>
          </rPr>
          <t>Lenovo:</t>
        </r>
        <r>
          <rPr>
            <sz val="9"/>
            <color indexed="81"/>
            <rFont val="Tahoma"/>
            <family val="2"/>
          </rPr>
          <t xml:space="preserve">
Apenas Envase.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E79" authorId="0" shapeId="0" xr:uid="{542C1D7C-D7E8-4713-9425-358D408923C7}">
      <text>
        <r>
          <rPr>
            <b/>
            <sz val="9"/>
            <color indexed="81"/>
            <rFont val="Tahoma"/>
            <family val="2"/>
          </rPr>
          <t>Lenovo:</t>
        </r>
        <r>
          <rPr>
            <sz val="9"/>
            <color indexed="81"/>
            <rFont val="Tahoma"/>
            <family val="2"/>
          </rPr>
          <t xml:space="preserve">
Parada para SETUP, máquina de rosqueamento.
13 --&gt; 13:57h</t>
        </r>
      </text>
    </comment>
    <comment ref="E81" authorId="0" shapeId="0" xr:uid="{42503B34-C37B-4873-A1B2-898AFB57E47A}">
      <text>
        <r>
          <rPr>
            <b/>
            <sz val="9"/>
            <color indexed="81"/>
            <rFont val="Tahoma"/>
            <family val="2"/>
          </rPr>
          <t>Lenovo:</t>
        </r>
        <r>
          <rPr>
            <sz val="9"/>
            <color indexed="81"/>
            <rFont val="Tahoma"/>
            <family val="2"/>
          </rPr>
          <t xml:space="preserve">
Produção do Oitava Maravilha começou ainda na quarta-feira.
</t>
        </r>
      </text>
    </comment>
    <comment ref="F85" authorId="0" shapeId="0" xr:uid="{D943A841-F2D7-4160-AB7A-530F58599BBE}">
      <text>
        <r>
          <rPr>
            <b/>
            <sz val="9"/>
            <color indexed="81"/>
            <rFont val="Tahoma"/>
            <family val="2"/>
          </rPr>
          <t>Lenovo:</t>
        </r>
        <r>
          <rPr>
            <sz val="9"/>
            <color indexed="81"/>
            <rFont val="Tahoma"/>
            <family val="2"/>
          </rPr>
          <t xml:space="preserve">
Atraso nas válvulas Miss Rôse, causando atraso no planejamento.</t>
        </r>
      </text>
    </comment>
    <comment ref="F94" authorId="0" shapeId="0" xr:uid="{14A5B7B7-F185-42D4-A71F-73E93F7F7547}">
      <text>
        <r>
          <rPr>
            <b/>
            <sz val="9"/>
            <color indexed="81"/>
            <rFont val="Tahoma"/>
            <family val="2"/>
          </rPr>
          <t>Lenovo:</t>
        </r>
        <r>
          <rPr>
            <sz val="9"/>
            <color indexed="81"/>
            <rFont val="Tahoma"/>
            <family val="2"/>
          </rPr>
          <t xml:space="preserve">
Retrabalho das válvulas do Luiz.
</t>
        </r>
      </text>
    </comment>
    <comment ref="E103" authorId="0" shapeId="0" xr:uid="{F12C7267-2116-48E4-97E8-DBD90D2629E6}">
      <text>
        <r>
          <rPr>
            <b/>
            <sz val="9"/>
            <color indexed="81"/>
            <rFont val="Tahoma"/>
            <family val="2"/>
          </rPr>
          <t>Lenovo:</t>
        </r>
        <r>
          <rPr>
            <sz val="9"/>
            <color indexed="81"/>
            <rFont val="Tahoma"/>
            <family val="2"/>
          </rPr>
          <t xml:space="preserve">
Envase da produção restante (cerca de 3.000 unidades) e fim do retrabalho das válvulas.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Patrick</author>
  </authors>
  <commentList>
    <comment ref="F211" authorId="0" shapeId="0" xr:uid="{DE5246DD-5412-4D8F-979C-DEAC3EBB4534}">
      <text>
        <r>
          <rPr>
            <b/>
            <sz val="9"/>
            <color indexed="81"/>
            <rFont val="Tahoma"/>
            <family val="2"/>
          </rPr>
          <t xml:space="preserve">Patrick:
Aurora Imperial, 2 lotes (25224/1 e 25224/2)
</t>
        </r>
      </text>
    </comment>
    <comment ref="F231" authorId="0" shapeId="0" xr:uid="{F9DFA350-355B-48B5-ACEF-F5ADAC8DEB7F}">
      <text>
        <r>
          <rPr>
            <b/>
            <sz val="9"/>
            <color indexed="81"/>
            <rFont val="Tahoma"/>
            <family val="2"/>
          </rPr>
          <t>Patrick:</t>
        </r>
        <r>
          <rPr>
            <sz val="9"/>
            <color indexed="81"/>
            <rFont val="Tahoma"/>
            <family val="2"/>
          </rPr>
          <t xml:space="preserve">
Antes era ROSÉ ABSOLUT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Produtos" description="Connection to the 'Produtos' query in the workbook." type="5" refreshedVersion="0" background="1" saveData="1">
    <dbPr connection="Provider=Microsoft.Mashup.OleDb.1;Data Source=$Workbook$;Location=Produtos;Extended Properties=&quot;&quot;" command="SELECT * FROM [Produt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<sst xmlns="http://schemas.openxmlformats.org/spreadsheetml/2006/main" count="27083" uniqueCount="2071">
  <si>
    <t>SKU</t>
  </si>
  <si>
    <t>Descrição do Item</t>
  </si>
  <si>
    <t>ml</t>
  </si>
  <si>
    <t>LUA &amp; NEVE</t>
  </si>
  <si>
    <t>Cliente</t>
  </si>
  <si>
    <t>BODY SPLASH AURORA IMPERIAL</t>
  </si>
  <si>
    <t>Shampoo Hubba Gum  Tutti-Frutti</t>
  </si>
  <si>
    <t>Shampoo Hubba Gum Banana</t>
  </si>
  <si>
    <t>Categoria do Produto</t>
  </si>
  <si>
    <t>Capilar</t>
  </si>
  <si>
    <t>Shampoo</t>
  </si>
  <si>
    <t>Condicionador</t>
  </si>
  <si>
    <t>Condicionador Hubba Gum Tutti-Frutti</t>
  </si>
  <si>
    <t>Tipo de Ordem</t>
  </si>
  <si>
    <t>Fabricação</t>
  </si>
  <si>
    <t>Envase</t>
  </si>
  <si>
    <t>Data de Início</t>
  </si>
  <si>
    <t>Data de Término</t>
  </si>
  <si>
    <t>Unidades</t>
  </si>
  <si>
    <t>Lote</t>
  </si>
  <si>
    <t>25148/02</t>
  </si>
  <si>
    <t>25148/03</t>
  </si>
  <si>
    <t>25148/01</t>
  </si>
  <si>
    <t>25149/05</t>
  </si>
  <si>
    <t>25149/06</t>
  </si>
  <si>
    <t>25149/04</t>
  </si>
  <si>
    <t>25149/01</t>
  </si>
  <si>
    <t>25149/02</t>
  </si>
  <si>
    <t>25149/03</t>
  </si>
  <si>
    <t>25148/06</t>
  </si>
  <si>
    <t>25148/05</t>
  </si>
  <si>
    <t>25148/04</t>
  </si>
  <si>
    <t>25079/01</t>
  </si>
  <si>
    <t>25079/02</t>
  </si>
  <si>
    <t>25079/03</t>
  </si>
  <si>
    <t>25079/04</t>
  </si>
  <si>
    <t>25079/05</t>
  </si>
  <si>
    <t>25079/06</t>
  </si>
  <si>
    <t>25078/01</t>
  </si>
  <si>
    <t>25078/02</t>
  </si>
  <si>
    <t>25078/03</t>
  </si>
  <si>
    <t>25078/04</t>
  </si>
  <si>
    <t>25078/05</t>
  </si>
  <si>
    <t>25078/06</t>
  </si>
  <si>
    <t>25075/01</t>
  </si>
  <si>
    <t>25075/02</t>
  </si>
  <si>
    <t>25075/03</t>
  </si>
  <si>
    <t>25075/04</t>
  </si>
  <si>
    <t>25075/05</t>
  </si>
  <si>
    <t>25075/06</t>
  </si>
  <si>
    <t>Observação</t>
  </si>
  <si>
    <t>Uma semana parado. Por quê?</t>
  </si>
  <si>
    <t>25075/07</t>
  </si>
  <si>
    <t>25051/06</t>
  </si>
  <si>
    <t>25051/07</t>
  </si>
  <si>
    <t>25051/08</t>
  </si>
  <si>
    <t>25051/05</t>
  </si>
  <si>
    <t>25051/01</t>
  </si>
  <si>
    <t>25051/10</t>
  </si>
  <si>
    <t>25051/09</t>
  </si>
  <si>
    <t>25051/12</t>
  </si>
  <si>
    <t>25051/11</t>
  </si>
  <si>
    <t>25051/14</t>
  </si>
  <si>
    <t>25051/15</t>
  </si>
  <si>
    <t>25051/16</t>
  </si>
  <si>
    <t>25051/13</t>
  </si>
  <si>
    <t>25051/03</t>
  </si>
  <si>
    <t>25051/02</t>
  </si>
  <si>
    <t>25051/04</t>
  </si>
  <si>
    <t>25052/06</t>
  </si>
  <si>
    <t>25052/05</t>
  </si>
  <si>
    <t>25052/04</t>
  </si>
  <si>
    <t>25052/01</t>
  </si>
  <si>
    <t>25052/03</t>
  </si>
  <si>
    <t>25052/02</t>
  </si>
  <si>
    <t>25030/01</t>
  </si>
  <si>
    <t>25027/01</t>
  </si>
  <si>
    <t>25134/05</t>
  </si>
  <si>
    <t>25134/01</t>
  </si>
  <si>
    <t>25134/02</t>
  </si>
  <si>
    <t>25134/03</t>
  </si>
  <si>
    <t>25134/04</t>
  </si>
  <si>
    <t>25134/06</t>
  </si>
  <si>
    <t>25134/07</t>
  </si>
  <si>
    <t>25140/04</t>
  </si>
  <si>
    <t>25140/02</t>
  </si>
  <si>
    <t>25140/01</t>
  </si>
  <si>
    <t>25140/03</t>
  </si>
  <si>
    <t>25101/01</t>
  </si>
  <si>
    <t>25139/02</t>
  </si>
  <si>
    <t>25139/03</t>
  </si>
  <si>
    <t>25139/01</t>
  </si>
  <si>
    <t>25136/01</t>
  </si>
  <si>
    <t>25135/02</t>
  </si>
  <si>
    <t>25135/01</t>
  </si>
  <si>
    <t>25128/06</t>
  </si>
  <si>
    <t>25128/05</t>
  </si>
  <si>
    <t>25128/02</t>
  </si>
  <si>
    <t>25128/01</t>
  </si>
  <si>
    <t>25128/03</t>
  </si>
  <si>
    <t>25128/04</t>
  </si>
  <si>
    <t>25095/16</t>
  </si>
  <si>
    <t>25119/03</t>
  </si>
  <si>
    <t>25106/01</t>
  </si>
  <si>
    <t>25106/02</t>
  </si>
  <si>
    <t>25119/02</t>
  </si>
  <si>
    <t>25113/02</t>
  </si>
  <si>
    <t>25113/01</t>
  </si>
  <si>
    <t>25121/02</t>
  </si>
  <si>
    <t>25119/01</t>
  </si>
  <si>
    <t>25116/01</t>
  </si>
  <si>
    <t>25121/01</t>
  </si>
  <si>
    <t>BODY SPLASH DEUSA DO NILO</t>
  </si>
  <si>
    <t>25095/02</t>
  </si>
  <si>
    <t>25095/03</t>
  </si>
  <si>
    <t>25095/01</t>
  </si>
  <si>
    <t>25095/04</t>
  </si>
  <si>
    <t>25095/05</t>
  </si>
  <si>
    <t>25095/06</t>
  </si>
  <si>
    <t>25095/07</t>
  </si>
  <si>
    <t>25095/08</t>
  </si>
  <si>
    <t>25095/09</t>
  </si>
  <si>
    <t>25095/10</t>
  </si>
  <si>
    <t>25095/11</t>
  </si>
  <si>
    <t>25095/12</t>
  </si>
  <si>
    <t>25095/13</t>
  </si>
  <si>
    <t>25095/14</t>
  </si>
  <si>
    <t>25095/15</t>
  </si>
  <si>
    <t>Viscosidade</t>
  </si>
  <si>
    <t>25120/01</t>
  </si>
  <si>
    <t>25120/02</t>
  </si>
  <si>
    <t>Data de Término não preenchida.</t>
  </si>
  <si>
    <t>10 dias? Por quê?</t>
  </si>
  <si>
    <t>25021/02</t>
  </si>
  <si>
    <t>25021/01</t>
  </si>
  <si>
    <t>25021/04</t>
  </si>
  <si>
    <t>25021/03</t>
  </si>
  <si>
    <t>25020/04</t>
  </si>
  <si>
    <t>25020/03</t>
  </si>
  <si>
    <t>25020/02</t>
  </si>
  <si>
    <t>25020/01</t>
  </si>
  <si>
    <t>25015/05</t>
  </si>
  <si>
    <t>25014/02</t>
  </si>
  <si>
    <t>25022/01</t>
  </si>
  <si>
    <t>25024/02</t>
  </si>
  <si>
    <t>-</t>
  </si>
  <si>
    <t>PERFUME FEMININO 10 - 212 SEXY</t>
  </si>
  <si>
    <t>PERFUME FEMININO 11 - OLYMPEA</t>
  </si>
  <si>
    <t>PERFUME FEMININO 16 - COCO MADEMOISELLE</t>
  </si>
  <si>
    <t>PERFUME FEMININO 18 - AMOR AMOR</t>
  </si>
  <si>
    <t>PERFUME FEMININO 31 - L'INTERDIT ROUGE</t>
  </si>
  <si>
    <t>PERFUME MASCULINO 103 - BOSS BOTTLED</t>
  </si>
  <si>
    <t>PERFUME MASCULINO 110 - ONE MILLION</t>
  </si>
  <si>
    <t>PERFUME MASCULINO 113 - AZZARO WANTED</t>
  </si>
  <si>
    <t>PERFUME MASCULINO 115 - BLEU DE CHANEL</t>
  </si>
  <si>
    <t>PERFUME MASCULINO 117 - INVICTUS</t>
  </si>
  <si>
    <t>Horas Úteis</t>
  </si>
  <si>
    <t>Semana</t>
  </si>
  <si>
    <t>Dia</t>
  </si>
  <si>
    <t>Horário</t>
  </si>
  <si>
    <t>Dias</t>
  </si>
  <si>
    <t>2a feira</t>
  </si>
  <si>
    <t>07:00 - 08:00</t>
  </si>
  <si>
    <t>08:00 - 09:00</t>
  </si>
  <si>
    <t>09:00 - 10:00</t>
  </si>
  <si>
    <t>10:00 - 11:00</t>
  </si>
  <si>
    <t>11:00 - 12:00</t>
  </si>
  <si>
    <t>13:00 - 14:00</t>
  </si>
  <si>
    <t>14:00 - 15:00</t>
  </si>
  <si>
    <t>15:00 - 16:00</t>
  </si>
  <si>
    <t>16:00 - 17:00</t>
  </si>
  <si>
    <t>3a feira</t>
  </si>
  <si>
    <t>4a feira</t>
  </si>
  <si>
    <t>5a feira</t>
  </si>
  <si>
    <t>6a feira</t>
  </si>
  <si>
    <t>PROGRAMAÇÃO SEMANAL - KURYOS</t>
  </si>
  <si>
    <t>BASE PARA PERFUME</t>
  </si>
  <si>
    <t>25152/01</t>
  </si>
  <si>
    <t>25152/02</t>
  </si>
  <si>
    <t>25152/03</t>
  </si>
  <si>
    <t>25152/06</t>
  </si>
  <si>
    <t>25152/05</t>
  </si>
  <si>
    <t>25152/04</t>
  </si>
  <si>
    <t>25155/01</t>
  </si>
  <si>
    <t>25155/02</t>
  </si>
  <si>
    <t>25155/03</t>
  </si>
  <si>
    <t>25155/04</t>
  </si>
  <si>
    <t>25155/05</t>
  </si>
  <si>
    <t>25155/06</t>
  </si>
  <si>
    <t>25155/07</t>
  </si>
  <si>
    <t>25155/08</t>
  </si>
  <si>
    <t>25155/09</t>
  </si>
  <si>
    <t>25156/01</t>
  </si>
  <si>
    <t>25156/02</t>
  </si>
  <si>
    <t>25156/03</t>
  </si>
  <si>
    <t>25160/01</t>
  </si>
  <si>
    <t>25160/02</t>
  </si>
  <si>
    <t>25160/03</t>
  </si>
  <si>
    <t>25160/04</t>
  </si>
  <si>
    <t>25160/05</t>
  </si>
  <si>
    <t>25160/06</t>
  </si>
  <si>
    <t>Data</t>
  </si>
  <si>
    <t>PREP1</t>
  </si>
  <si>
    <t>ROT1</t>
  </si>
  <si>
    <t>ENV1</t>
  </si>
  <si>
    <t>FIN1</t>
  </si>
  <si>
    <t>PREP2</t>
  </si>
  <si>
    <t>ROT2</t>
  </si>
  <si>
    <t>ENV2</t>
  </si>
  <si>
    <t>FIN2</t>
  </si>
  <si>
    <t>PREP3</t>
  </si>
  <si>
    <t>MRARBS01</t>
  </si>
  <si>
    <t>MRARBS05</t>
  </si>
  <si>
    <t>MRARBS02</t>
  </si>
  <si>
    <t>MRARBS03</t>
  </si>
  <si>
    <t>SAGLBS01</t>
  </si>
  <si>
    <t>SAGLBS02</t>
  </si>
  <si>
    <t>SAGLBS03</t>
  </si>
  <si>
    <t>SAMTBS01</t>
  </si>
  <si>
    <t>SAMTBS02</t>
  </si>
  <si>
    <t>SAMTBS03</t>
  </si>
  <si>
    <t>MOPFFM13</t>
  </si>
  <si>
    <t>MOPFFM01</t>
  </si>
  <si>
    <t>MOPFFM02</t>
  </si>
  <si>
    <t>MOPFFM03</t>
  </si>
  <si>
    <t>MOPFFM04</t>
  </si>
  <si>
    <t>MOPFFM05</t>
  </si>
  <si>
    <t>MOPFFM06</t>
  </si>
  <si>
    <t>MOPFFM07</t>
  </si>
  <si>
    <t>MOPFFM08</t>
  </si>
  <si>
    <t>MOPFFM09</t>
  </si>
  <si>
    <t>MOPFFM10</t>
  </si>
  <si>
    <t>MOPFFM11</t>
  </si>
  <si>
    <t>MOPFFM12</t>
  </si>
  <si>
    <t>MOPFFW09</t>
  </si>
  <si>
    <t>MOPFFW01</t>
  </si>
  <si>
    <t>MOPFFW02</t>
  </si>
  <si>
    <t>MOPFFW03</t>
  </si>
  <si>
    <t>MOPFFW04</t>
  </si>
  <si>
    <t>MOPFFW05</t>
  </si>
  <si>
    <t>MOPFFW06</t>
  </si>
  <si>
    <t>MOPFFW07</t>
  </si>
  <si>
    <t>MOPFFW08</t>
  </si>
  <si>
    <t>LNHGCN01</t>
  </si>
  <si>
    <t>LNHGCN02</t>
  </si>
  <si>
    <t>LNHGCN03</t>
  </si>
  <si>
    <t>LNHGMS01</t>
  </si>
  <si>
    <t>LNHGMS02</t>
  </si>
  <si>
    <t>LNHGMS03</t>
  </si>
  <si>
    <t>LNHGFN01</t>
  </si>
  <si>
    <t>LNHGFN02</t>
  </si>
  <si>
    <t>LNHGFN03</t>
  </si>
  <si>
    <t>LNHGSH01</t>
  </si>
  <si>
    <t>LNHGSH02</t>
  </si>
  <si>
    <t>BMKDBR01</t>
  </si>
  <si>
    <t>BMKDBR02</t>
  </si>
  <si>
    <t>BMKDBR03</t>
  </si>
  <si>
    <t>BMKDPF01</t>
  </si>
  <si>
    <t>BMKDPF02</t>
  </si>
  <si>
    <t>BMKDBR04</t>
  </si>
  <si>
    <t>BMKDPF03</t>
  </si>
  <si>
    <t>BMKDPF04</t>
  </si>
  <si>
    <t>BMKDHD04</t>
  </si>
  <si>
    <t>BMKDHD01</t>
  </si>
  <si>
    <t>BMKDHD02</t>
  </si>
  <si>
    <t>BMKDHD03</t>
  </si>
  <si>
    <t>MRARES01</t>
  </si>
  <si>
    <t>MRARES02</t>
  </si>
  <si>
    <t>SASCES01</t>
  </si>
  <si>
    <t>SASCES02</t>
  </si>
  <si>
    <t>SASCGF01</t>
  </si>
  <si>
    <t>SASCGF02</t>
  </si>
  <si>
    <t>SASCDM01</t>
  </si>
  <si>
    <t>SASCDM02</t>
  </si>
  <si>
    <t>Unidades p/ Hora</t>
  </si>
  <si>
    <t>MRARHD01</t>
  </si>
  <si>
    <t>MRARHD02</t>
  </si>
  <si>
    <t>25132/03</t>
  </si>
  <si>
    <t>25132/02</t>
  </si>
  <si>
    <t>25162/10</t>
  </si>
  <si>
    <t>25162/06</t>
  </si>
  <si>
    <t>25162/08</t>
  </si>
  <si>
    <t>25162/09</t>
  </si>
  <si>
    <t>25162/07</t>
  </si>
  <si>
    <t>25132/01</t>
  </si>
  <si>
    <t>25162/01</t>
  </si>
  <si>
    <t>25162/02</t>
  </si>
  <si>
    <t>25162/03</t>
  </si>
  <si>
    <t>25162/04</t>
  </si>
  <si>
    <t>25162/05</t>
  </si>
  <si>
    <t>25164/01</t>
  </si>
  <si>
    <t>25168/02</t>
  </si>
  <si>
    <t>25168/01</t>
  </si>
  <si>
    <t>25167/04</t>
  </si>
  <si>
    <t>25167/03</t>
  </si>
  <si>
    <t>BODY SPLASH NÉCTAR DAS TÂMARAS</t>
  </si>
  <si>
    <t>MRARBS04</t>
  </si>
  <si>
    <t>25167/02</t>
  </si>
  <si>
    <t>25167/01</t>
  </si>
  <si>
    <t>Linha de Produção</t>
  </si>
  <si>
    <t>BODY SPLASH GLOW PAIXÃO IRRESISTÍVEL</t>
  </si>
  <si>
    <t>BODY SPLASH GLOW NOITE DE GLAMOUR</t>
  </si>
  <si>
    <t>BODY SPLASH GLOW TAÇA DE CHAMPAGNE</t>
  </si>
  <si>
    <t>PERFUME MASCULINO 115 BLEU DE CHANEL</t>
  </si>
  <si>
    <t>PERFUME MASCULINO 117 INVICTUS</t>
  </si>
  <si>
    <t>PERFUME MASCULINO 118 CH BAD BOY</t>
  </si>
  <si>
    <t>PERFUME MASCULINO 119 EROS</t>
  </si>
  <si>
    <t>PERFUME MASCULINO 122 ANIMALE</t>
  </si>
  <si>
    <t>PERFUME MASCULINO 135 SCANDAL POUR HOMME</t>
  </si>
  <si>
    <t>PERFUME FEMININO 09 SCANDAL</t>
  </si>
  <si>
    <t>X</t>
  </si>
  <si>
    <t>DPSWHD01</t>
  </si>
  <si>
    <t>DPMTBS02</t>
  </si>
  <si>
    <t>DPMTBS03</t>
  </si>
  <si>
    <t>BODY SPLASH MATTE DOCE SEDUÇÃO</t>
  </si>
  <si>
    <t>BODY SPLASH MATTE SORVETE DE BAUNILHA</t>
  </si>
  <si>
    <t>BODY SPLASH MATTE OITAVA MARAVILHA</t>
  </si>
  <si>
    <t>MOPFFW10</t>
  </si>
  <si>
    <t>Visita Zé Carlos - Por isso produção começou às 9h</t>
  </si>
  <si>
    <t>25174/01</t>
  </si>
  <si>
    <t>25174/02</t>
  </si>
  <si>
    <t>25168/05</t>
  </si>
  <si>
    <t>25168/04</t>
  </si>
  <si>
    <t>25168/03</t>
  </si>
  <si>
    <t>25168/06</t>
  </si>
  <si>
    <t>25170/02</t>
  </si>
  <si>
    <t>25170/01</t>
  </si>
  <si>
    <t>25161/01</t>
  </si>
  <si>
    <t>25161/02</t>
  </si>
  <si>
    <t>25161/03</t>
  </si>
  <si>
    <t>25161/04</t>
  </si>
  <si>
    <t>25161/12</t>
  </si>
  <si>
    <t>25161/13</t>
  </si>
  <si>
    <t>25161/14</t>
  </si>
  <si>
    <t>25161/08</t>
  </si>
  <si>
    <t>25161/15</t>
  </si>
  <si>
    <t>25161/07</t>
  </si>
  <si>
    <t>25161/05</t>
  </si>
  <si>
    <t>25161/06</t>
  </si>
  <si>
    <t>25161/09</t>
  </si>
  <si>
    <t>25161/10</t>
  </si>
  <si>
    <t>25161/11</t>
  </si>
  <si>
    <t>25161/16</t>
  </si>
  <si>
    <t>25161/17</t>
  </si>
  <si>
    <t>25161/18</t>
  </si>
  <si>
    <t>25178/01</t>
  </si>
  <si>
    <t>25161/19</t>
  </si>
  <si>
    <t>25161/20</t>
  </si>
  <si>
    <t>25161/21</t>
  </si>
  <si>
    <t>25178/02</t>
  </si>
  <si>
    <t>25161/22</t>
  </si>
  <si>
    <t>25161/23</t>
  </si>
  <si>
    <r>
      <t xml:space="preserve">BODY SPLASH MATTE SORVETE DE </t>
    </r>
    <r>
      <rPr>
        <sz val="8"/>
        <color rgb="FFFFFFFF"/>
        <rFont val="Open Sans"/>
        <family val="2"/>
      </rPr>
      <t>BAUNILHA</t>
    </r>
  </si>
  <si>
    <t>Linha 1</t>
  </si>
  <si>
    <t>Linha 2</t>
  </si>
  <si>
    <t>25178/03</t>
  </si>
  <si>
    <t>25182/01</t>
  </si>
  <si>
    <t>ID do Pedido</t>
  </si>
  <si>
    <t>BASE PARA PERFUME - FINA BASE</t>
  </si>
  <si>
    <t>Perfumes Moutier</t>
  </si>
  <si>
    <t>DAPOP - Pedido 360 mil</t>
  </si>
  <si>
    <t>Miss Rôse - Hidratante</t>
  </si>
  <si>
    <t>Miss Rôse - Body Splash 1.0</t>
  </si>
  <si>
    <t>25182/02</t>
  </si>
  <si>
    <t>PERFUME FEMININO 02 - LA VIE EST BELLE</t>
  </si>
  <si>
    <t>25182/03</t>
  </si>
  <si>
    <t>25178/04</t>
  </si>
  <si>
    <t>25178/05</t>
  </si>
  <si>
    <t>25182/04</t>
  </si>
  <si>
    <t>25182/05</t>
  </si>
  <si>
    <t>BODY SPLASH ASAD</t>
  </si>
  <si>
    <t>HIDRATANTE MATTE SORVETE DE BAUNILHA</t>
  </si>
  <si>
    <t>DPMTBS01</t>
  </si>
  <si>
    <t>25188/01</t>
  </si>
  <si>
    <t>ÁGUA MICELAR 3 EM 1</t>
  </si>
  <si>
    <t>ÁGUA MICELAR CARVÃO ATIVADO</t>
  </si>
  <si>
    <t>ÁGUA MICELAR COLÁGENO</t>
  </si>
  <si>
    <t>Linha 01</t>
  </si>
  <si>
    <t>Linha 02</t>
  </si>
  <si>
    <t>RETRABALHO BODY SPLASH SORVETE DE BAUNILHA</t>
  </si>
  <si>
    <t>RETRABALHO BODY SPLASH OITAVA MARAVILHA</t>
  </si>
  <si>
    <t>RETRABALHO GLOW PAIXÃO IRRESISTÍVEL</t>
  </si>
  <si>
    <t>ÁGUA MICELAR ÁCIDO HIAULURÔNICO</t>
  </si>
  <si>
    <t>25188/02</t>
  </si>
  <si>
    <t>\</t>
  </si>
  <si>
    <t>BASE PARA PERFUME FINA BASE PREMIUM</t>
  </si>
  <si>
    <t>BODY SPLASH GOTA LOVE</t>
  </si>
  <si>
    <t>BODY SPLASH GOTA BELLE</t>
  </si>
  <si>
    <t>BODY SPLASH ESCAN DALOSA</t>
  </si>
  <si>
    <t>25175/01</t>
  </si>
  <si>
    <t>25175/02</t>
  </si>
  <si>
    <t>25175/03</t>
  </si>
  <si>
    <t>25175/04</t>
  </si>
  <si>
    <t>25175/05</t>
  </si>
  <si>
    <t>25175/06</t>
  </si>
  <si>
    <t>25175/07</t>
  </si>
  <si>
    <t>25188/06</t>
  </si>
  <si>
    <t>25188/03</t>
  </si>
  <si>
    <t>25188/04</t>
  </si>
  <si>
    <t>25188/05</t>
  </si>
  <si>
    <t>25191/01</t>
  </si>
  <si>
    <t>25191/02</t>
  </si>
  <si>
    <t>KUBPBA02</t>
  </si>
  <si>
    <t>25190/01</t>
  </si>
  <si>
    <t>DPGLBS01</t>
  </si>
  <si>
    <t>BODY SPLASH ARABYS' AMBAR</t>
  </si>
  <si>
    <t>BODY SPLASH ARABYS' FEROZ</t>
  </si>
  <si>
    <t>25190/02</t>
  </si>
  <si>
    <t>RETRABALHO BODY SPLASH MATTE DOCE SEDUÇÃO</t>
  </si>
  <si>
    <t>BODY SPLASH ECLIPSE DOURADO</t>
  </si>
  <si>
    <t>RETRABALHO BODY SPLASH MATTE SORVETE DE BAUNILHA</t>
  </si>
  <si>
    <t>ASAD</t>
  </si>
  <si>
    <t>2,4 DIAS</t>
  </si>
  <si>
    <t>ÁRABES</t>
  </si>
  <si>
    <t>1,33 DIAS</t>
  </si>
  <si>
    <t>1)</t>
  </si>
  <si>
    <t>2)</t>
  </si>
  <si>
    <t>Precisamos de mais pessoal</t>
  </si>
  <si>
    <t>3)</t>
  </si>
  <si>
    <t>Temos máquinas, só precisamos estudar quais usar</t>
  </si>
  <si>
    <t>Rotulagem seria um problema. Precisamos alinhar o recebimento da peça do Zé Carlos</t>
  </si>
  <si>
    <t>BODY SPLASH GLOW CHAMPAGNE</t>
  </si>
  <si>
    <t>25190/05</t>
  </si>
  <si>
    <t>ÁGUA MICELAR CARVÃO ATIVADO - 1</t>
  </si>
  <si>
    <t>ÁGUA MICELAR COLÁGENO - 1</t>
  </si>
  <si>
    <t>ÁGUA MICELAR ROSA MOSQUETA - 1</t>
  </si>
  <si>
    <t>ÁGUA MICELAR BABA GLOW - 1</t>
  </si>
  <si>
    <t>BODY SPLASH AURORA IMPERIAL - 1</t>
  </si>
  <si>
    <t>25196/01</t>
  </si>
  <si>
    <t>DPGLBS02</t>
  </si>
  <si>
    <t>03_06</t>
  </si>
  <si>
    <t>BODY SPLASH BIO BALM EUPHORIA PINK</t>
  </si>
  <si>
    <t>BODY SPLASH BIO BALM INFINITY ROUGE</t>
  </si>
  <si>
    <t>Pedido</t>
  </si>
  <si>
    <t>GZLBBS03</t>
  </si>
  <si>
    <t>GZLBBS01</t>
  </si>
  <si>
    <t>GZLBBS02</t>
  </si>
  <si>
    <t>Produto</t>
  </si>
  <si>
    <t>Linha 3</t>
  </si>
  <si>
    <t>GOTA ZEN - Body Slash</t>
  </si>
  <si>
    <t>25198/06</t>
  </si>
  <si>
    <t>25198/08</t>
  </si>
  <si>
    <t>25198/07</t>
  </si>
  <si>
    <t>BODY SPLASH BIO BALM ROSÉ ABSOLUT</t>
  </si>
  <si>
    <t>BODY SPLASH BIO BALM SKINLIGHT</t>
  </si>
  <si>
    <t>BODY SPLASH BIO BALM SUNRISE MUSE</t>
  </si>
  <si>
    <t>BODY SPLASH BIO BALM V DREAM</t>
  </si>
  <si>
    <t>25196/05</t>
  </si>
  <si>
    <t>BODY SPLASH AURORA IMPERIAL - 2</t>
  </si>
  <si>
    <t>Horas Prod.</t>
  </si>
  <si>
    <t>Dias Prod.</t>
  </si>
  <si>
    <t>Média / h</t>
  </si>
  <si>
    <t>Média / Dia</t>
  </si>
  <si>
    <t>GZLBBS04</t>
  </si>
  <si>
    <t>25198/09</t>
  </si>
  <si>
    <t>GZLBBS05</t>
  </si>
  <si>
    <t>25198/10</t>
  </si>
  <si>
    <t>GZLBBS06</t>
  </si>
  <si>
    <t>HIDRATANTE MATTE OITAVA MARAVILHA</t>
  </si>
  <si>
    <t>HIDRATANTE MATTE DOCE SEDUÇÃO</t>
  </si>
  <si>
    <t>HIDRATANTE GLOW NOITE DE GLAMOUR</t>
  </si>
  <si>
    <t>HIDRATANTE GLOW PAIXÃO IRRESISTÍVEL</t>
  </si>
  <si>
    <t>HIDRATANTE GLOW TAÇA DE CHAMPAGNE</t>
  </si>
  <si>
    <t>02_06</t>
  </si>
  <si>
    <t>25202/01</t>
  </si>
  <si>
    <t>DPGLBS03</t>
  </si>
  <si>
    <t>25198/11</t>
  </si>
  <si>
    <t>25196/02</t>
  </si>
  <si>
    <t>25196/03</t>
  </si>
  <si>
    <t>25196/04</t>
  </si>
  <si>
    <t>01_06</t>
  </si>
  <si>
    <t>Máquina</t>
  </si>
  <si>
    <t>Envase Linear</t>
  </si>
  <si>
    <t>Envase Rotativa</t>
  </si>
  <si>
    <t>GLMKAM02</t>
  </si>
  <si>
    <t>GLOW - Água Micelar</t>
  </si>
  <si>
    <t>Descrição da Máquina</t>
  </si>
  <si>
    <t>25206/01</t>
  </si>
  <si>
    <t>GLMKAM01</t>
  </si>
  <si>
    <t>GLMKAM03</t>
  </si>
  <si>
    <t>Envase Bico Duplo</t>
  </si>
  <si>
    <t>ÁGUA MICELAR 3 EM 1 - 2</t>
  </si>
  <si>
    <t>ÁGUA MICELAR ÁCIDO HIAULURÔNICO - 2</t>
  </si>
  <si>
    <t>ÁGUA MICELAR CARVÃO ATIVADO - 2</t>
  </si>
  <si>
    <t>ÁGUA MICELAR COLÁGENO - 2</t>
  </si>
  <si>
    <t>ÁGUA MICELAR ROSA MOSQUETA - 2</t>
  </si>
  <si>
    <t>ÁGUA MICELAR BABA GLOW - 2</t>
  </si>
  <si>
    <t>BASE PARA PERFUME FINA BASE</t>
  </si>
  <si>
    <t>GLMKAM04</t>
  </si>
  <si>
    <t xml:space="preserve"> </t>
  </si>
  <si>
    <t>ÁGUA MICELAR 3 EM 1 - 1</t>
  </si>
  <si>
    <t>25202/02</t>
  </si>
  <si>
    <t>25202/03</t>
  </si>
  <si>
    <t>25202/04</t>
  </si>
  <si>
    <t>25202/05</t>
  </si>
  <si>
    <t>25202/06</t>
  </si>
  <si>
    <t>25202/07</t>
  </si>
  <si>
    <t>25198/01</t>
  </si>
  <si>
    <t>25198/02</t>
  </si>
  <si>
    <t>25198/03</t>
  </si>
  <si>
    <t>25198/04</t>
  </si>
  <si>
    <t>25198/05</t>
  </si>
  <si>
    <t>ÁGUA MICELAR ÁCIDO HIAULURÔNICO - 1</t>
  </si>
  <si>
    <t>GLMKAM05</t>
  </si>
  <si>
    <t>GLMKAM06</t>
  </si>
  <si>
    <t>01_07</t>
  </si>
  <si>
    <t>25190/03</t>
  </si>
  <si>
    <t>25190/04</t>
  </si>
  <si>
    <t>25205/01</t>
  </si>
  <si>
    <t>25205/02</t>
  </si>
  <si>
    <t>25205/03</t>
  </si>
  <si>
    <t>25206/04</t>
  </si>
  <si>
    <t>25206/05</t>
  </si>
  <si>
    <t>25206/06</t>
  </si>
  <si>
    <t>25206/02</t>
  </si>
  <si>
    <t>25206/03</t>
  </si>
  <si>
    <t>25211/01</t>
  </si>
  <si>
    <t>25211/02</t>
  </si>
  <si>
    <t>25211/03</t>
  </si>
  <si>
    <t>25209/01</t>
  </si>
  <si>
    <t>25209/02</t>
  </si>
  <si>
    <t>25209/03</t>
  </si>
  <si>
    <t>25210/01</t>
  </si>
  <si>
    <t>25210/02</t>
  </si>
  <si>
    <t>25210/03</t>
  </si>
  <si>
    <t>25209/09</t>
  </si>
  <si>
    <t>25209/10</t>
  </si>
  <si>
    <t>25209/11</t>
  </si>
  <si>
    <t>25209/12</t>
  </si>
  <si>
    <t>25209/13</t>
  </si>
  <si>
    <t>25211/04</t>
  </si>
  <si>
    <t>25212/05</t>
  </si>
  <si>
    <t>25211/05</t>
  </si>
  <si>
    <t>2ª SEMANA</t>
  </si>
  <si>
    <t>1ª SEMANA</t>
  </si>
  <si>
    <t>3ª SEMANA</t>
  </si>
  <si>
    <t>4ª SEMANA</t>
  </si>
  <si>
    <t>DPMTHD03</t>
  </si>
  <si>
    <t>25213/06</t>
  </si>
  <si>
    <t>25213/07</t>
  </si>
  <si>
    <t>25213/08</t>
  </si>
  <si>
    <t>25213/09</t>
  </si>
  <si>
    <t>25212/01</t>
  </si>
  <si>
    <t>25212/02</t>
  </si>
  <si>
    <t>25212/03</t>
  </si>
  <si>
    <t>25212/04</t>
  </si>
  <si>
    <t>04_07</t>
  </si>
  <si>
    <t>DPMTHD02</t>
  </si>
  <si>
    <t>BODY SPLASH DEUSA DO NILO - 1</t>
  </si>
  <si>
    <t>25218/03</t>
  </si>
  <si>
    <t>25218/04</t>
  </si>
  <si>
    <t>25218/06</t>
  </si>
  <si>
    <t>25218/07</t>
  </si>
  <si>
    <t>25218/05</t>
  </si>
  <si>
    <t>25218/08</t>
  </si>
  <si>
    <t>25218/09</t>
  </si>
  <si>
    <t>Rotativa 1</t>
  </si>
  <si>
    <t>Rotativa 2</t>
  </si>
  <si>
    <t>Manutenção Necessária</t>
  </si>
  <si>
    <t xml:space="preserve">Máquina está "bamba", causando variação na altura dos rótulos. Foram feitas algumas amarrações e, também, foi acrescentado um pedaço de madeira, a fim de estabilizar a máquina. </t>
  </si>
  <si>
    <t>BODY SPLASH NÉCTAR DAS TÂMARAS*</t>
  </si>
  <si>
    <t>BODY SPLASH ASAD*</t>
  </si>
  <si>
    <t>BFBBBS01</t>
  </si>
  <si>
    <t>BFBBBS02</t>
  </si>
  <si>
    <t>BFBBBS04</t>
  </si>
  <si>
    <t>01_08</t>
  </si>
  <si>
    <t>25217/01</t>
  </si>
  <si>
    <t>25217/02</t>
  </si>
  <si>
    <t>25217/03</t>
  </si>
  <si>
    <t>25217/04</t>
  </si>
  <si>
    <t>25217/05</t>
  </si>
  <si>
    <t>25223/01</t>
  </si>
  <si>
    <t>25223/02</t>
  </si>
  <si>
    <t>06:00 - 07:00</t>
  </si>
  <si>
    <t>18:00 - 19:00</t>
  </si>
  <si>
    <t>19:00 - 20:00</t>
  </si>
  <si>
    <t>12:00 - 13:00</t>
  </si>
  <si>
    <t>GELATINA CAPILAR CHEIRINHO DE MELÂNCIA - 1</t>
  </si>
  <si>
    <t>GELATINA CAPILAR CHEIRINHO DE PISTACHE - 1</t>
  </si>
  <si>
    <t>GELATINA CAPILAR CHEIRINHO DE TUTTI-FRUTTI - 1</t>
  </si>
  <si>
    <t>Horas Programadas</t>
  </si>
  <si>
    <t>BODY SPLASH ECLIPSE DOURADO - 1</t>
  </si>
  <si>
    <t>BODY SPLASH ECLIPSE DOURADO - 2</t>
  </si>
  <si>
    <t>20:00 - 21:00</t>
  </si>
  <si>
    <t>21:00 - 22:00</t>
  </si>
  <si>
    <t>17:00 - 18:00</t>
  </si>
  <si>
    <t>ESFOLIANTE MATTE DOCE SEDUÇÃO</t>
  </si>
  <si>
    <t>ESFOLIANTE GLOW TAÇA DE CHAMPAGNE</t>
  </si>
  <si>
    <t>ESFOLIANTE MATTE SORVETE DE  BAUNILHA</t>
  </si>
  <si>
    <t>ESFOLIANTE MATTE OITAVA MARAVILHA</t>
  </si>
  <si>
    <t>ESFOLIANTE GLOW PAIXÃO IRRESISTÍVEL</t>
  </si>
  <si>
    <t>ESFOLIANTE GLOW NOITE DE GLAMOUR</t>
  </si>
  <si>
    <t>BODY SPLASH SAIND</t>
  </si>
  <si>
    <t>BODY SPLASH ALLAN</t>
  </si>
  <si>
    <t>BODY SPLASH JADE</t>
  </si>
  <si>
    <t>BODY SPLASH ÁRABE</t>
  </si>
  <si>
    <t>BODY SPLASH HABIBI</t>
  </si>
  <si>
    <t>BODY SPLASH ABDALLAH</t>
  </si>
  <si>
    <t>LOÇÃO HIDRATANTE SAIND</t>
  </si>
  <si>
    <t>LOÇÃO HIDRATANTE ALLAN</t>
  </si>
  <si>
    <t>LOÇÃO HIDRATANTE JADE</t>
  </si>
  <si>
    <t>LOÇÃO HIDRATANTE ÁRABE</t>
  </si>
  <si>
    <t>LOÇÃO HIDRATANTE HABIBI</t>
  </si>
  <si>
    <t>LOÇÃO HIDRATANTE ABDALLAH</t>
  </si>
  <si>
    <t>ESCOVA DE CHUVEIRO CHEIRINHO DE MELÂNCIA</t>
  </si>
  <si>
    <t>ESCOVA DE CHUVEIRO CHEIRINHO DE MORANGO</t>
  </si>
  <si>
    <t>ESCOVA DE CHUVEIRO CHEIRINHO DE TUTTI-FRUTTI</t>
  </si>
  <si>
    <t>ESFOLIANTE SAIND</t>
  </si>
  <si>
    <t>ESFOLIANTE ALLAN</t>
  </si>
  <si>
    <t>ESFOLIANTE JADE</t>
  </si>
  <si>
    <t>ESFOLIANTE ÁRABE</t>
  </si>
  <si>
    <t>ESFOLIANTE HABIBI</t>
  </si>
  <si>
    <t>ESFOLIANTE ABDALLAH</t>
  </si>
  <si>
    <t>BFBBBS06</t>
  </si>
  <si>
    <t>25230/03</t>
  </si>
  <si>
    <t>25230/04</t>
  </si>
  <si>
    <t>25230/05</t>
  </si>
  <si>
    <t>25230/06</t>
  </si>
  <si>
    <t>25230/01</t>
  </si>
  <si>
    <t>BFBBBS05</t>
  </si>
  <si>
    <t>25230/02</t>
  </si>
  <si>
    <t>25226/01</t>
  </si>
  <si>
    <t>25226/02</t>
  </si>
  <si>
    <t>25226/03</t>
  </si>
  <si>
    <t>25225/01</t>
  </si>
  <si>
    <t>25225/02</t>
  </si>
  <si>
    <t>25225/03</t>
  </si>
  <si>
    <t>25227/01</t>
  </si>
  <si>
    <t>25227/02</t>
  </si>
  <si>
    <t>25227/03</t>
  </si>
  <si>
    <t>25224/01</t>
  </si>
  <si>
    <t>25224/02</t>
  </si>
  <si>
    <t>25213/11</t>
  </si>
  <si>
    <t>25213/12</t>
  </si>
  <si>
    <t>25213/13</t>
  </si>
  <si>
    <t>25213/14</t>
  </si>
  <si>
    <t>DPMTHD01</t>
  </si>
  <si>
    <t>BODY SPLASH DAPOP HONEY GLOW</t>
  </si>
  <si>
    <t>PERFUME CAPILAR HONEY</t>
  </si>
  <si>
    <t>BODY SPLASH DAPOP HONEY BLOOM</t>
  </si>
  <si>
    <t>SÉRUM FACIAL HONEY</t>
  </si>
  <si>
    <t>GELÉIA CORPORAL GEL / CREME</t>
  </si>
  <si>
    <t>CREME HIDRATANTE CORPORAL AURORA IMPERIAL</t>
  </si>
  <si>
    <t>MISS RÔSE /DAPOP WEEK</t>
  </si>
  <si>
    <t>CREME HIDRATANTE CORPORAL ECLIPSE DOURADO</t>
  </si>
  <si>
    <t>BODY SPLASH AURORA IMPERIAL - 3</t>
  </si>
  <si>
    <t>25223/03</t>
  </si>
  <si>
    <t>25223/04</t>
  </si>
  <si>
    <t>ÁGUA MICELAR 3 EM 1 - 3</t>
  </si>
  <si>
    <t>Sábado</t>
  </si>
  <si>
    <t>GELATINA CAPILAR CHEIRINHO DE PISTACHE</t>
  </si>
  <si>
    <t>GELATINA CAPILAR CHEIRINHO DE MELÂNCIA</t>
  </si>
  <si>
    <t>GELATINA CAPILAR CHEIRINHO DE TUTTI-FRUTTI</t>
  </si>
  <si>
    <t>25231/01</t>
  </si>
  <si>
    <t>25231/02</t>
  </si>
  <si>
    <t>25231/03</t>
  </si>
  <si>
    <t>25239/06</t>
  </si>
  <si>
    <t>25239/05</t>
  </si>
  <si>
    <t>25239/01</t>
  </si>
  <si>
    <t>25240/18</t>
  </si>
  <si>
    <t>25240/17</t>
  </si>
  <si>
    <t>25240/16</t>
  </si>
  <si>
    <t>25239/03</t>
  </si>
  <si>
    <t>25241/01</t>
  </si>
  <si>
    <t>25241/02</t>
  </si>
  <si>
    <t>25239/02</t>
  </si>
  <si>
    <t>25244/05</t>
  </si>
  <si>
    <t>25244/04</t>
  </si>
  <si>
    <t>25244/03</t>
  </si>
  <si>
    <t>25244/02</t>
  </si>
  <si>
    <t>25244/01</t>
  </si>
  <si>
    <t>25244/06</t>
  </si>
  <si>
    <t>25244/07</t>
  </si>
  <si>
    <t>25244/08</t>
  </si>
  <si>
    <t>25244/09</t>
  </si>
  <si>
    <t>25241/08</t>
  </si>
  <si>
    <t>25241/09</t>
  </si>
  <si>
    <t>25238/04</t>
  </si>
  <si>
    <t>25238/03</t>
  </si>
  <si>
    <t>25238/05</t>
  </si>
  <si>
    <t>25240/19</t>
  </si>
  <si>
    <t>25240/21</t>
  </si>
  <si>
    <t>25240/20</t>
  </si>
  <si>
    <t>25231/04</t>
  </si>
  <si>
    <t>BFBBBS03</t>
  </si>
  <si>
    <t>25231/05</t>
  </si>
  <si>
    <t>25231/06</t>
  </si>
  <si>
    <t>25232/01</t>
  </si>
  <si>
    <t>25232/02</t>
  </si>
  <si>
    <t>25232/03</t>
  </si>
  <si>
    <t>25232/04</t>
  </si>
  <si>
    <t>25233/01</t>
  </si>
  <si>
    <t>25233/02</t>
  </si>
  <si>
    <t>25233/03</t>
  </si>
  <si>
    <t>DPGLHD03</t>
  </si>
  <si>
    <t>25233/04</t>
  </si>
  <si>
    <t>25233/05</t>
  </si>
  <si>
    <t>25233/06</t>
  </si>
  <si>
    <t>25234/01</t>
  </si>
  <si>
    <t>25234/02</t>
  </si>
  <si>
    <t>25237/01</t>
  </si>
  <si>
    <t>25237/02</t>
  </si>
  <si>
    <t>25237/03</t>
  </si>
  <si>
    <t>25237/04</t>
  </si>
  <si>
    <t>25237/05</t>
  </si>
  <si>
    <t>25237/06</t>
  </si>
  <si>
    <t>25240/04</t>
  </si>
  <si>
    <t>IBCHGC02</t>
  </si>
  <si>
    <t>25240/01</t>
  </si>
  <si>
    <t>25241/04</t>
  </si>
  <si>
    <t>25241/03</t>
  </si>
  <si>
    <t>25240/05</t>
  </si>
  <si>
    <t>03_07</t>
  </si>
  <si>
    <t>25240/02</t>
  </si>
  <si>
    <t>25240/03</t>
  </si>
  <si>
    <t>25240/08</t>
  </si>
  <si>
    <t>IBCHGC01</t>
  </si>
  <si>
    <t>25240/09</t>
  </si>
  <si>
    <t>25240/06</t>
  </si>
  <si>
    <t>25244/14</t>
  </si>
  <si>
    <t>25244/13</t>
  </si>
  <si>
    <t>25244/12</t>
  </si>
  <si>
    <t>25244/11</t>
  </si>
  <si>
    <t>25244/10</t>
  </si>
  <si>
    <t>25240/07</t>
  </si>
  <si>
    <t>25246/05</t>
  </si>
  <si>
    <t>IBCHGC03</t>
  </si>
  <si>
    <t>25240/14</t>
  </si>
  <si>
    <t>25240/13</t>
  </si>
  <si>
    <t>25240/15</t>
  </si>
  <si>
    <t>25240/11</t>
  </si>
  <si>
    <t>25240/12</t>
  </si>
  <si>
    <t>25246/02</t>
  </si>
  <si>
    <t>25246/01</t>
  </si>
  <si>
    <t>25241/05</t>
  </si>
  <si>
    <t>25241/06</t>
  </si>
  <si>
    <t>25241/07</t>
  </si>
  <si>
    <t>25246/04</t>
  </si>
  <si>
    <t>SEMANA 2 - SETEMBRO</t>
  </si>
  <si>
    <t>BASE PARA PERFUME FINA BASE PREMIUM - 1</t>
  </si>
  <si>
    <t>BASE PARA PERFUME FINA BASE - 1</t>
  </si>
  <si>
    <t>HIDRATANTE GLOW TAÇA DE CHAMPAGNE - 1</t>
  </si>
  <si>
    <t>3ª Semana - Set/25</t>
  </si>
  <si>
    <t>BODY SPLASH HABIB</t>
  </si>
  <si>
    <t>25247/03</t>
  </si>
  <si>
    <t>DPGLHD02</t>
  </si>
  <si>
    <t>25247/01</t>
  </si>
  <si>
    <t>25247/04</t>
  </si>
  <si>
    <t>25247/02</t>
  </si>
  <si>
    <t>25246/12</t>
  </si>
  <si>
    <t>25246/10</t>
  </si>
  <si>
    <t>25246/11</t>
  </si>
  <si>
    <t>25238/02</t>
  </si>
  <si>
    <t>25238/01</t>
  </si>
  <si>
    <t>DPGLHD01</t>
  </si>
  <si>
    <t>25246/09</t>
  </si>
  <si>
    <t>MOPFFW19</t>
  </si>
  <si>
    <t>25246/06</t>
  </si>
  <si>
    <t>25246/07</t>
  </si>
  <si>
    <t>25246/08</t>
  </si>
  <si>
    <t>MOPFFW18</t>
  </si>
  <si>
    <t>25248/01</t>
  </si>
  <si>
    <t>25248/02</t>
  </si>
  <si>
    <t>25259/02</t>
  </si>
  <si>
    <t>25259/03</t>
  </si>
  <si>
    <t>25258/01</t>
  </si>
  <si>
    <t>25258/02</t>
  </si>
  <si>
    <t>25254/02</t>
  </si>
  <si>
    <t>DPHNBS01</t>
  </si>
  <si>
    <t>25254/01</t>
  </si>
  <si>
    <t>25251/01</t>
  </si>
  <si>
    <t>25251/02</t>
  </si>
  <si>
    <t>25251/03</t>
  </si>
  <si>
    <t>25251/04</t>
  </si>
  <si>
    <t>Bases - Multi Lojas</t>
  </si>
  <si>
    <t xml:space="preserve">BODY SPLASH DEUSA DO NILO </t>
  </si>
  <si>
    <t>02_07</t>
  </si>
  <si>
    <t>20258/04</t>
  </si>
  <si>
    <t>25258/03</t>
  </si>
  <si>
    <t>25261/01</t>
  </si>
  <si>
    <t>25260/02</t>
  </si>
  <si>
    <t>25260/01</t>
  </si>
  <si>
    <t>25262/01</t>
  </si>
  <si>
    <t>25262/04</t>
  </si>
  <si>
    <t>25262/05</t>
  </si>
  <si>
    <t>25262/03</t>
  </si>
  <si>
    <t>25261/03</t>
  </si>
  <si>
    <t>25261/04</t>
  </si>
  <si>
    <t>25261/02</t>
  </si>
  <si>
    <t>25262/07</t>
  </si>
  <si>
    <t>25262/06</t>
  </si>
  <si>
    <t>25267/03</t>
  </si>
  <si>
    <t>25267/01</t>
  </si>
  <si>
    <t>25267/02</t>
  </si>
  <si>
    <t>25267/05</t>
  </si>
  <si>
    <t>25266/02</t>
  </si>
  <si>
    <t>25266/01</t>
  </si>
  <si>
    <t>25262/02</t>
  </si>
  <si>
    <t>25267/04</t>
  </si>
  <si>
    <t>Fabiano 22/09</t>
  </si>
  <si>
    <t>POMADA CURADERM</t>
  </si>
  <si>
    <t>Moutier 01/09</t>
  </si>
  <si>
    <t>ÓLEO CORPORAL ALGODÃO</t>
  </si>
  <si>
    <t>4ª Semana - Set/25</t>
  </si>
  <si>
    <t>1ª Semana - Out/25</t>
  </si>
  <si>
    <t>2ª Semana - Out/25</t>
  </si>
  <si>
    <t>3ª Semana - Out/25</t>
  </si>
  <si>
    <t>PERFUMES 15ML - TROCA DE CAIXINHA E INKJET</t>
  </si>
  <si>
    <t>ÁGUA MICELAR BABA GLOW - 3</t>
  </si>
  <si>
    <t xml:space="preserve">Envase </t>
  </si>
  <si>
    <t>25267/06</t>
  </si>
  <si>
    <t>25267/07</t>
  </si>
  <si>
    <t>25267/09</t>
  </si>
  <si>
    <t>25267/10</t>
  </si>
  <si>
    <t>25267/11</t>
  </si>
  <si>
    <t>25272/01</t>
  </si>
  <si>
    <t>25272/06</t>
  </si>
  <si>
    <t>25272/08</t>
  </si>
  <si>
    <t>25272/13</t>
  </si>
  <si>
    <t>25272/04</t>
  </si>
  <si>
    <t>Curaderm</t>
  </si>
  <si>
    <t>25267/08</t>
  </si>
  <si>
    <t>25272/07</t>
  </si>
  <si>
    <t>25272/14</t>
  </si>
  <si>
    <t>25272/03</t>
  </si>
  <si>
    <t>25275/07</t>
  </si>
  <si>
    <t>25272/02</t>
  </si>
  <si>
    <t>25272/10</t>
  </si>
  <si>
    <t>ANDRÉ 15/09</t>
  </si>
  <si>
    <t>25274/08</t>
  </si>
  <si>
    <t>25275/03</t>
  </si>
  <si>
    <t>25275/05</t>
  </si>
  <si>
    <t>25275/01</t>
  </si>
  <si>
    <t>25275/02</t>
  </si>
  <si>
    <t>25274/07</t>
  </si>
  <si>
    <t>25275/04</t>
  </si>
  <si>
    <t>25275/06</t>
  </si>
  <si>
    <t>25279/01</t>
  </si>
  <si>
    <t>25276/09</t>
  </si>
  <si>
    <t>25274/01</t>
  </si>
  <si>
    <t>25276/07</t>
  </si>
  <si>
    <t>25276/08</t>
  </si>
  <si>
    <t>25274/02</t>
  </si>
  <si>
    <t>25276/10</t>
  </si>
  <si>
    <t>25280/01</t>
  </si>
  <si>
    <t>25276/12</t>
  </si>
  <si>
    <t>25276/13</t>
  </si>
  <si>
    <t>25274/03</t>
  </si>
  <si>
    <t>25281/01</t>
  </si>
  <si>
    <t>25281/03</t>
  </si>
  <si>
    <t>25281/04</t>
  </si>
  <si>
    <t>25276/11</t>
  </si>
  <si>
    <t>25272/12</t>
  </si>
  <si>
    <t>25272/09</t>
  </si>
  <si>
    <t>25272/11</t>
  </si>
  <si>
    <t>BODY SPLASH ECLIPSE DOURADO - 3</t>
  </si>
  <si>
    <t>ESCOVA DE CHUVEIRO CHEIRINHO DE MELÂNCIA - 2</t>
  </si>
  <si>
    <t>ESCOVA DE CHUVEIRO CHEIRINHO DE MORANGO - 2</t>
  </si>
  <si>
    <t>25274/06</t>
  </si>
  <si>
    <t>25274/04</t>
  </si>
  <si>
    <t>25274/05</t>
  </si>
  <si>
    <t>25281/05</t>
  </si>
  <si>
    <t>25283/02</t>
  </si>
  <si>
    <t>ESFOLIANTE ARABE ECLIPSE E AURORA</t>
  </si>
  <si>
    <t>4ª Semana - Out/25</t>
  </si>
  <si>
    <t>25281/06</t>
  </si>
  <si>
    <t>25283/01</t>
  </si>
  <si>
    <t>GELEIA DE BANHO SAIND</t>
  </si>
  <si>
    <t>GELEIA DE BANHO JADE</t>
  </si>
  <si>
    <t>GELEIA DE BANHO ÁRABE</t>
  </si>
  <si>
    <t>GELEIA DE BANHO HABIB</t>
  </si>
  <si>
    <t>GELEIA DE BANHO ABDALLAH</t>
  </si>
  <si>
    <t>25286/07</t>
  </si>
  <si>
    <t>25283/04</t>
  </si>
  <si>
    <t>25283/03</t>
  </si>
  <si>
    <t>Column1</t>
  </si>
  <si>
    <t>Column2</t>
  </si>
  <si>
    <t>25213/01</t>
  </si>
  <si>
    <t>25213/02</t>
  </si>
  <si>
    <t>25213/03</t>
  </si>
  <si>
    <t>25213/04</t>
  </si>
  <si>
    <t>25213/05</t>
  </si>
  <si>
    <t>25240/10</t>
  </si>
  <si>
    <t>25272/05</t>
  </si>
  <si>
    <t>25286/03</t>
  </si>
  <si>
    <t>25286/06</t>
  </si>
  <si>
    <t>KUBPBA01</t>
  </si>
  <si>
    <t>25287/01</t>
  </si>
  <si>
    <t>IBARGB01</t>
  </si>
  <si>
    <t>25286/02</t>
  </si>
  <si>
    <t>25286/09</t>
  </si>
  <si>
    <t>25286/08</t>
  </si>
  <si>
    <t>25283/05</t>
  </si>
  <si>
    <t>5ª Semana - Out/25</t>
  </si>
  <si>
    <t>1ª Semana - Nov/25</t>
  </si>
  <si>
    <t>25288/04</t>
  </si>
  <si>
    <t>IBARGB03</t>
  </si>
  <si>
    <t>25288/03</t>
  </si>
  <si>
    <t>25288/05</t>
  </si>
  <si>
    <t>25289/01</t>
  </si>
  <si>
    <t>IBARGB04</t>
  </si>
  <si>
    <t>25289/02</t>
  </si>
  <si>
    <t>IBARGB05</t>
  </si>
  <si>
    <t>25289/03</t>
  </si>
  <si>
    <t>25289/04</t>
  </si>
  <si>
    <t>25289/05</t>
  </si>
  <si>
    <t>IBARGB06</t>
  </si>
  <si>
    <t>25276/01</t>
  </si>
  <si>
    <t>IBCHEC03</t>
  </si>
  <si>
    <t>Sassa 26/09</t>
  </si>
  <si>
    <t>25289/06</t>
  </si>
  <si>
    <t>25293/01</t>
  </si>
  <si>
    <t>DPHNPC01</t>
  </si>
  <si>
    <t>25295/02</t>
  </si>
  <si>
    <t>25295/01</t>
  </si>
  <si>
    <t>25296/02</t>
  </si>
  <si>
    <t>25296/03</t>
  </si>
  <si>
    <t>25296/01</t>
  </si>
  <si>
    <t>25297/01</t>
  </si>
  <si>
    <t>RE.BODY SPLASH DAPOP HONEY GLOW</t>
  </si>
  <si>
    <t>25297/04</t>
  </si>
  <si>
    <t>RETRAB05</t>
  </si>
  <si>
    <t>KURYOS</t>
  </si>
  <si>
    <t>2ª Semana - Nov/25</t>
  </si>
  <si>
    <t>3ª Semana - Nov/25</t>
  </si>
  <si>
    <t>4ª Semana - Nov/25</t>
  </si>
  <si>
    <t>RE.BODY SPLASH B.BALM</t>
  </si>
  <si>
    <t>25297/02</t>
  </si>
  <si>
    <t>25294/01</t>
  </si>
  <si>
    <t>25300/01</t>
  </si>
  <si>
    <t>25297/03</t>
  </si>
  <si>
    <t>ESFOLIANTE GLOW NOITE DE GLAMOUR - 1</t>
  </si>
  <si>
    <t>1ª Semana - Dez/25</t>
  </si>
  <si>
    <t>2ª Semana - Dez/25</t>
  </si>
  <si>
    <t>3ª Semana - Dez/25</t>
  </si>
  <si>
    <t>25294/02</t>
  </si>
  <si>
    <t>25301/02</t>
  </si>
  <si>
    <t>25303/01</t>
  </si>
  <si>
    <t>25303/02</t>
  </si>
  <si>
    <t>25300/02</t>
  </si>
  <si>
    <t>25303/03</t>
  </si>
  <si>
    <t>25302/01</t>
  </si>
  <si>
    <t>25303/05</t>
  </si>
  <si>
    <t>25307/01</t>
  </si>
  <si>
    <t>25303/04</t>
  </si>
  <si>
    <t>25301/01</t>
  </si>
  <si>
    <t>25302/02</t>
  </si>
  <si>
    <t>25307/03</t>
  </si>
  <si>
    <t>25307/02</t>
  </si>
  <si>
    <t>25308/01</t>
  </si>
  <si>
    <t>MAHMUD 23/10</t>
  </si>
  <si>
    <t>Fabiano 20/10</t>
  </si>
  <si>
    <t>25309/01</t>
  </si>
  <si>
    <t>25308/02</t>
  </si>
  <si>
    <t>25308/03</t>
  </si>
  <si>
    <t>RE.ESFOLIANTE ARABE ECLIPSE E AURORA</t>
  </si>
  <si>
    <t>25309/02</t>
  </si>
  <si>
    <t>25309/03</t>
  </si>
  <si>
    <t>25310/02</t>
  </si>
  <si>
    <t>25310/01</t>
  </si>
  <si>
    <t>25311/01</t>
  </si>
  <si>
    <t>25311/02</t>
  </si>
  <si>
    <t>25311/03</t>
  </si>
  <si>
    <t>25314/01</t>
  </si>
  <si>
    <t>25311/04</t>
  </si>
  <si>
    <t>25315/07</t>
  </si>
  <si>
    <t>25314/02</t>
  </si>
  <si>
    <t>FABIANO 06/11</t>
  </si>
  <si>
    <t>25315/01</t>
  </si>
  <si>
    <t>25315/02</t>
  </si>
  <si>
    <t>25315/05</t>
  </si>
  <si>
    <t>RETRABALHO</t>
  </si>
  <si>
    <t>RETRAB06</t>
  </si>
  <si>
    <t>25315/03</t>
  </si>
  <si>
    <t>25315/06</t>
  </si>
  <si>
    <t>25318/01</t>
  </si>
  <si>
    <t>FRASCO COM DEFEITO</t>
  </si>
  <si>
    <t>25315/04</t>
  </si>
  <si>
    <t>BODY MIST BOUQUET CARMIM</t>
  </si>
  <si>
    <t>ESFOLIANTE GLOW TAÇA DE CHAMPAGNE - 1</t>
  </si>
  <si>
    <t>PERFUME DALINA</t>
  </si>
  <si>
    <t>PERFUME VALENTE</t>
  </si>
  <si>
    <t>PERFUME SELVER INTENSE</t>
  </si>
  <si>
    <t>KUBPBA01 - 2</t>
  </si>
  <si>
    <t>IBARHD01</t>
  </si>
  <si>
    <t>IBARBS01</t>
  </si>
  <si>
    <t>IBARHD05</t>
  </si>
  <si>
    <t>IBARHD02</t>
  </si>
  <si>
    <t>IBARBS02</t>
  </si>
  <si>
    <t>IBARHD06</t>
  </si>
  <si>
    <t>IBARBS05</t>
  </si>
  <si>
    <t>IBARHD03</t>
  </si>
  <si>
    <t>IBARBS03</t>
  </si>
  <si>
    <t>IBARHD04</t>
  </si>
  <si>
    <t>IBARBS06</t>
  </si>
  <si>
    <t>IBARBS04</t>
  </si>
  <si>
    <t>IBCHEC01</t>
  </si>
  <si>
    <t>CRPMCR01</t>
  </si>
  <si>
    <t>IBCHEC02</t>
  </si>
  <si>
    <t>MAOEOL02</t>
  </si>
  <si>
    <t>DPHNBS02</t>
  </si>
  <si>
    <t>BODY MIST SUBLIME CEREJA</t>
  </si>
  <si>
    <t>PERFUME IRON - 1</t>
  </si>
  <si>
    <t>25318/03</t>
  </si>
  <si>
    <t>DPGLES02</t>
  </si>
  <si>
    <t>SMAYKEL 01</t>
  </si>
  <si>
    <t>25318/04</t>
  </si>
  <si>
    <t>DYPFPF02</t>
  </si>
  <si>
    <t>DYPFPF01</t>
  </si>
  <si>
    <t>25321/02</t>
  </si>
  <si>
    <t>25318/02</t>
  </si>
  <si>
    <t>25325/01</t>
  </si>
  <si>
    <t>DPMTES02</t>
  </si>
  <si>
    <t>DYPFPF04</t>
  </si>
  <si>
    <t>25321/01</t>
  </si>
  <si>
    <t>BASE PARA PERFUME FINA BASE 500ml</t>
  </si>
  <si>
    <t>BASE PARA PERFUME FINA BASE PREMIUM 1l - 1</t>
  </si>
  <si>
    <t>ESFOLIANTE MATTE SORVETE DE  BAUNILHA - 1</t>
  </si>
  <si>
    <t>ESFOLIANTE MATTE DOCE SEDUÇÃO - 1</t>
  </si>
  <si>
    <t>BASE PARA PERFUME FINA BASE 1l</t>
  </si>
  <si>
    <t>ÁGUA MICELAR HONEY</t>
  </si>
  <si>
    <t>BODY SPLASH SOL TROPICAL 61 120ml</t>
  </si>
  <si>
    <t>BODY SPLASH SOL TROPICAL 58 120ml</t>
  </si>
  <si>
    <t>BODY SPLASH LUNAR 120ml</t>
  </si>
  <si>
    <t>BODY SPLASH SOL TROPICAL 86 120ml</t>
  </si>
  <si>
    <t>BODY SPLASH ZAHRA 120ml</t>
  </si>
  <si>
    <t>BODY MIST DOCE ROSA</t>
  </si>
  <si>
    <t>BODY MIST SONHO DE PISTACHE</t>
  </si>
  <si>
    <t>CREME HIDRATANTE CORPORAL NÉCTAR DAS TÂMARAS</t>
  </si>
  <si>
    <t>CREME HIDRATANTE CORPORAL DEUSA DO NILO</t>
  </si>
  <si>
    <t>AMNCBS07</t>
  </si>
  <si>
    <t>25322/01</t>
  </si>
  <si>
    <t>25321/04</t>
  </si>
  <si>
    <t>Sabado</t>
  </si>
  <si>
    <t>Domingo</t>
  </si>
  <si>
    <t>AMNCBS08</t>
  </si>
  <si>
    <t>25322/02</t>
  </si>
  <si>
    <t>CIDA 11/11</t>
  </si>
  <si>
    <t>25330/02</t>
  </si>
  <si>
    <t>Linha 03</t>
  </si>
  <si>
    <t>25330/01</t>
  </si>
  <si>
    <t>DYPFPF03</t>
  </si>
  <si>
    <t>25321/03</t>
  </si>
  <si>
    <t>25322/03</t>
  </si>
  <si>
    <t>25331/02</t>
  </si>
  <si>
    <t>25331/01</t>
  </si>
  <si>
    <t>AMEERATI 01</t>
  </si>
  <si>
    <t>25331/03</t>
  </si>
  <si>
    <t>AMNCBS04</t>
  </si>
  <si>
    <t>AMNCBS03</t>
  </si>
  <si>
    <t>25331/04</t>
  </si>
  <si>
    <t>ANDRE 06/11</t>
  </si>
  <si>
    <t>GLMKAM07</t>
  </si>
  <si>
    <t>25335/01</t>
  </si>
  <si>
    <t>25332/02</t>
  </si>
  <si>
    <t>25323/01</t>
  </si>
  <si>
    <t>25335/02</t>
  </si>
  <si>
    <t>25335/05</t>
  </si>
  <si>
    <t>DPMTES01</t>
  </si>
  <si>
    <t>25336/04</t>
  </si>
  <si>
    <t>25335/06</t>
  </si>
  <si>
    <t>25336/05</t>
  </si>
  <si>
    <t>25336/08</t>
  </si>
  <si>
    <t>25336/09</t>
  </si>
  <si>
    <t>BODY MIST FRESCOR LICHIA - 1</t>
  </si>
  <si>
    <t>BODY MIST BAUNILHA SELVAGEM - 1</t>
  </si>
  <si>
    <t>BODY MIST VERDE SUPREMO - 1</t>
  </si>
  <si>
    <t>BODY MIST NECTAR DA PERA - 1</t>
  </si>
  <si>
    <t>BODY CREAM BAUNILHA SELVAGEM - 1</t>
  </si>
  <si>
    <t>BODY CREAM VERDE SUPREMO - 1</t>
  </si>
  <si>
    <t>BODY CREAM SONHO DE PISTACHE - 1</t>
  </si>
  <si>
    <t>BODY CREAM DOCE ROSA - 1</t>
  </si>
  <si>
    <t>BODY CREAM FRESCOR LICHIA - 1</t>
  </si>
  <si>
    <t>BODY CREAM NECTAR DA PERA - 1</t>
  </si>
  <si>
    <t>BODY CREAM BOUQUET CARMIM - 1</t>
  </si>
  <si>
    <t>BODY CREAM SUBLIME CEREJA - 1</t>
  </si>
  <si>
    <t>BRIA 01</t>
  </si>
  <si>
    <t>25335/03</t>
  </si>
  <si>
    <t>BBSJBS01-2</t>
  </si>
  <si>
    <t>25336/06</t>
  </si>
  <si>
    <t>DPMTES03</t>
  </si>
  <si>
    <t>25336/07</t>
  </si>
  <si>
    <t>25332/01</t>
  </si>
  <si>
    <t>25281/02</t>
  </si>
  <si>
    <t>25335/04</t>
  </si>
  <si>
    <t>25336/02</t>
  </si>
  <si>
    <t>MRARHD03</t>
  </si>
  <si>
    <t>25336/01</t>
  </si>
  <si>
    <t>25336/03</t>
  </si>
  <si>
    <t>25337/02</t>
  </si>
  <si>
    <t>25337/01</t>
  </si>
  <si>
    <t>BBSJBS04-2</t>
  </si>
  <si>
    <t>25337/12</t>
  </si>
  <si>
    <t>25337/13</t>
  </si>
  <si>
    <t>25337/14</t>
  </si>
  <si>
    <t>25337/03</t>
  </si>
  <si>
    <t>25337/15</t>
  </si>
  <si>
    <t>AMNCHD03</t>
  </si>
  <si>
    <t>25342/02</t>
  </si>
  <si>
    <t>25337/05</t>
  </si>
  <si>
    <t>AMNCHD01</t>
  </si>
  <si>
    <t>25342/01</t>
  </si>
  <si>
    <t>25337/04</t>
  </si>
  <si>
    <t>FABIANO 19/11</t>
  </si>
  <si>
    <t>BBSJBS02-2</t>
  </si>
  <si>
    <t>25339/01</t>
  </si>
  <si>
    <t>AMNCHD05</t>
  </si>
  <si>
    <t>25342/03</t>
  </si>
  <si>
    <t>AMNCHD02</t>
  </si>
  <si>
    <t>25342/04</t>
  </si>
  <si>
    <t>25339/03</t>
  </si>
  <si>
    <t>AMNCHD08</t>
  </si>
  <si>
    <t>25342/07</t>
  </si>
  <si>
    <t>25342/08</t>
  </si>
  <si>
    <t>AMNCHD06</t>
  </si>
  <si>
    <t>25339/02</t>
  </si>
  <si>
    <t>AMNCHD07</t>
  </si>
  <si>
    <t>25342/06</t>
  </si>
  <si>
    <t>AMNCHD04</t>
  </si>
  <si>
    <t>25342/05</t>
  </si>
  <si>
    <t>25339/04</t>
  </si>
  <si>
    <t>MRARHD04</t>
  </si>
  <si>
    <t>25337/06</t>
  </si>
  <si>
    <t>BBSJBS03-2</t>
  </si>
  <si>
    <t>25343/03</t>
  </si>
  <si>
    <t>25343/02</t>
  </si>
  <si>
    <t>25343/01</t>
  </si>
  <si>
    <t>AMNCBS06</t>
  </si>
  <si>
    <t>25342/12</t>
  </si>
  <si>
    <t>25342/11</t>
  </si>
  <si>
    <t>AMNCBS02</t>
  </si>
  <si>
    <t>AMNCBS05</t>
  </si>
  <si>
    <t>25342/09</t>
  </si>
  <si>
    <t>AMNCBS01</t>
  </si>
  <si>
    <t>25342/10</t>
  </si>
  <si>
    <t>25337/07</t>
  </si>
  <si>
    <t>25337/08</t>
  </si>
  <si>
    <t>25337/09</t>
  </si>
  <si>
    <t>25343/04</t>
  </si>
  <si>
    <t>BBSJBS05-2</t>
  </si>
  <si>
    <t>25345/01</t>
  </si>
  <si>
    <t>25337/11</t>
  </si>
  <si>
    <t>25337/10</t>
  </si>
  <si>
    <t>25343/05</t>
  </si>
  <si>
    <t>25345/04</t>
  </si>
  <si>
    <t>25345/02</t>
  </si>
  <si>
    <t>25345/05</t>
  </si>
  <si>
    <t>25345/03</t>
  </si>
  <si>
    <t>BODY MIST TESOURO DO OASIS - 1</t>
  </si>
  <si>
    <t>BODY MIST JARDINS DO ORIENTE - 1</t>
  </si>
  <si>
    <t>BODY MIST FLOR DO DESERTO - 1</t>
  </si>
  <si>
    <t>BODY MIST PEROLA DO DESERTO - 1</t>
  </si>
  <si>
    <t>BODY MIST ROSA IMPERIAL - 1</t>
  </si>
  <si>
    <t>BODY MIST ENCANTO PERSA - 1</t>
  </si>
  <si>
    <t>BODY MIST MEL DE ESPECIARIAS - 1</t>
  </si>
  <si>
    <t>BODY MIST RARO ELIXIR - 1</t>
  </si>
  <si>
    <t>25346/04</t>
  </si>
  <si>
    <t>25346/05</t>
  </si>
  <si>
    <t>25349/02</t>
  </si>
  <si>
    <t>25349/01</t>
  </si>
  <si>
    <t>25349/04</t>
  </si>
  <si>
    <t>25349/03</t>
  </si>
  <si>
    <t>25346/03</t>
  </si>
  <si>
    <t>25346/02</t>
  </si>
  <si>
    <t>25346/01</t>
  </si>
  <si>
    <t>25350/01</t>
  </si>
  <si>
    <t>AMABBS01</t>
  </si>
  <si>
    <t>25352/01</t>
  </si>
  <si>
    <t>AMABBS02</t>
  </si>
  <si>
    <t>25352/02</t>
  </si>
  <si>
    <t>25352/05</t>
  </si>
  <si>
    <t>AMABBS08</t>
  </si>
  <si>
    <t>AMABBS03</t>
  </si>
  <si>
    <t>25352/03</t>
  </si>
  <si>
    <t>25349/05</t>
  </si>
  <si>
    <t>25339/05</t>
  </si>
  <si>
    <t>25349/06</t>
  </si>
  <si>
    <t>AMABBS07</t>
  </si>
  <si>
    <t>AMABBS04</t>
  </si>
  <si>
    <t>25352/04</t>
  </si>
  <si>
    <t>25352/07</t>
  </si>
  <si>
    <t>25349/08</t>
  </si>
  <si>
    <t>AMABBS05</t>
  </si>
  <si>
    <t>25349/07</t>
  </si>
  <si>
    <t>AMABBS06</t>
  </si>
  <si>
    <t>25352/09</t>
  </si>
  <si>
    <t>AMABHD01</t>
  </si>
  <si>
    <t>25352/14</t>
  </si>
  <si>
    <t>AMABHD08</t>
  </si>
  <si>
    <t>25352/10</t>
  </si>
  <si>
    <t>AMABHD04</t>
  </si>
  <si>
    <t>AMABHD06</t>
  </si>
  <si>
    <t>25352/15</t>
  </si>
  <si>
    <t>25352/11</t>
  </si>
  <si>
    <t>AMABHD02</t>
  </si>
  <si>
    <t>25352/12</t>
  </si>
  <si>
    <t>AMABHD03</t>
  </si>
  <si>
    <t>25352/13</t>
  </si>
  <si>
    <t>AMABHD07</t>
  </si>
  <si>
    <t>1ª Semana- Jan/26</t>
  </si>
  <si>
    <t>2ª Semana- Jan/26</t>
  </si>
  <si>
    <t>Envase 1</t>
  </si>
  <si>
    <t>Envase 2</t>
  </si>
  <si>
    <t>Row Labels</t>
  </si>
  <si>
    <t>Grand Total</t>
  </si>
  <si>
    <t>AMEERATI</t>
  </si>
  <si>
    <t>BE MAGIC</t>
  </si>
  <si>
    <t>BIOFLORA</t>
  </si>
  <si>
    <t>BRIA BEAUTY</t>
  </si>
  <si>
    <t>CURADERM</t>
  </si>
  <si>
    <t>DAPOP</t>
  </si>
  <si>
    <t>DYNASTY</t>
  </si>
  <si>
    <t>GLOW MAKE UP</t>
  </si>
  <si>
    <t>GOTA ZEN</t>
  </si>
  <si>
    <t>ISA BEAUTY</t>
  </si>
  <si>
    <t>MAAKE</t>
  </si>
  <si>
    <t>MISS RÔSE</t>
  </si>
  <si>
    <t>MOUTIER</t>
  </si>
  <si>
    <t>SAFIRA</t>
  </si>
  <si>
    <t>Sum of Unidades</t>
  </si>
  <si>
    <t>BASE</t>
  </si>
  <si>
    <t>CAPILAR</t>
  </si>
  <si>
    <t>CORPORAL</t>
  </si>
  <si>
    <t>FACIAL</t>
  </si>
  <si>
    <t>MAQUIAGEM</t>
  </si>
  <si>
    <t>PERFUMARIA</t>
  </si>
  <si>
    <t>CREMOSO</t>
  </si>
  <si>
    <t>DENSO</t>
  </si>
  <si>
    <t>LÍQUIDO</t>
  </si>
  <si>
    <t>LÍQUIDO ESPESSO</t>
  </si>
  <si>
    <t>VISCOSO</t>
  </si>
  <si>
    <t># Itens por Categoria e Sub-Categoria</t>
  </si>
  <si>
    <t>% Total</t>
  </si>
  <si>
    <t>Composição do # de Itens por Cliente</t>
  </si>
  <si>
    <t>Média Un/hora vs Viscosidade</t>
  </si>
  <si>
    <t>Média de Unidades p/ Hora</t>
  </si>
  <si>
    <t>25352/16</t>
  </si>
  <si>
    <t>AMABHD05</t>
  </si>
  <si>
    <t>PERFUME CAPILAR SOL TROPICAL 61</t>
  </si>
  <si>
    <t>GEL FACIAL ANTI OLEOSIDADE VITAMINA C</t>
  </si>
  <si>
    <t>PERFUME CAPILAR SOL TROPICAL 86</t>
  </si>
  <si>
    <t>SABONETE DEMAQUILANTE PITAYA</t>
  </si>
  <si>
    <t>SABONETE DEMAQUILANTE VITAMINA C</t>
  </si>
  <si>
    <t>3° SEMANA DE JANEIRO</t>
  </si>
  <si>
    <t>PERFUME CAPILAR LUNAR</t>
  </si>
  <si>
    <t>BBSJPF01</t>
  </si>
  <si>
    <t>26009/02</t>
  </si>
  <si>
    <t>26009/01</t>
  </si>
  <si>
    <t>26012/01</t>
  </si>
  <si>
    <t>BBSJPF02</t>
  </si>
  <si>
    <t>SAFIRA 674</t>
  </si>
  <si>
    <t>26009/03</t>
  </si>
  <si>
    <t>26012/02</t>
  </si>
  <si>
    <t>26009/04</t>
  </si>
  <si>
    <t>26013/03</t>
  </si>
  <si>
    <t>BBSJPF03</t>
  </si>
  <si>
    <t>26013/02</t>
  </si>
  <si>
    <t>BODY SPLASH FLOR D AURA 200ml</t>
  </si>
  <si>
    <t>26013/01</t>
  </si>
  <si>
    <t>BODY SPLASH DESPERTAR DAS FLORES 200ml</t>
  </si>
  <si>
    <t>MRARBS12</t>
  </si>
  <si>
    <t>26014/02</t>
  </si>
  <si>
    <t>FABIANO 09/12</t>
  </si>
  <si>
    <t>26014/01</t>
  </si>
  <si>
    <t>26015/01</t>
  </si>
  <si>
    <t>26016/01</t>
  </si>
  <si>
    <t>26016/02</t>
  </si>
  <si>
    <t>26016/03</t>
  </si>
  <si>
    <t>BODY SPLASH CEU CELESTE 200ml</t>
  </si>
  <si>
    <t>BODY SPLASH CEU INFINITO 200ml</t>
  </si>
  <si>
    <t>26016/04</t>
  </si>
  <si>
    <t>26016/05</t>
  </si>
  <si>
    <t>26019/01</t>
  </si>
  <si>
    <t>MRARBS07</t>
  </si>
  <si>
    <t>26020/02</t>
  </si>
  <si>
    <t>MRARBS09</t>
  </si>
  <si>
    <t>26019/02</t>
  </si>
  <si>
    <t>BODY SPLASH LEÃO DO DESERTO BOURBON 200ml</t>
  </si>
  <si>
    <t>BODY SPLASH ROSA RAINHA 200ml</t>
  </si>
  <si>
    <t>26020/03</t>
  </si>
  <si>
    <t>MRARBS08</t>
  </si>
  <si>
    <t>MRARBS06</t>
  </si>
  <si>
    <t>26020/04</t>
  </si>
  <si>
    <t>26021/01</t>
  </si>
  <si>
    <t>MRARBS10</t>
  </si>
  <si>
    <t>26020/05</t>
  </si>
  <si>
    <t>BODY SPLASH AMBAR REAL 200 ml</t>
  </si>
  <si>
    <t>26021/02</t>
  </si>
  <si>
    <t>26021/03</t>
  </si>
  <si>
    <t>26021/05</t>
  </si>
  <si>
    <t>26021/04</t>
  </si>
  <si>
    <t>26022/02</t>
  </si>
  <si>
    <t>26020/01</t>
  </si>
  <si>
    <t>PERFUME CAPILAR LUNAR BRIÁ 60ml</t>
  </si>
  <si>
    <t>26022/01</t>
  </si>
  <si>
    <t>26023/01</t>
  </si>
  <si>
    <t>26023/02</t>
  </si>
  <si>
    <t>26026/01</t>
  </si>
  <si>
    <t>Mão de obra</t>
  </si>
  <si>
    <t>26026/02</t>
  </si>
  <si>
    <t>Mão de obra + aguardo de rotulagem</t>
  </si>
  <si>
    <t>BODY SPLASH SOL TROPICAL 61 200ml</t>
  </si>
  <si>
    <t>BODY SPLASH SOL TROPICAL 86 200ml</t>
  </si>
  <si>
    <t>BODY SPLASH LUNAR 200ml</t>
  </si>
  <si>
    <t>26027/01</t>
  </si>
  <si>
    <t>26019/03</t>
  </si>
  <si>
    <t>1° SEMANA DE FEVEREIRO</t>
  </si>
  <si>
    <t>2° SEMANA DE FEVEREIRO</t>
  </si>
  <si>
    <t>29027/02</t>
  </si>
  <si>
    <t>26027/03</t>
  </si>
  <si>
    <t>Setup</t>
  </si>
  <si>
    <t>3° SEMANA DE FEVEREIRO</t>
  </si>
  <si>
    <t>Produto Turvo Aurora imperial 2° lote</t>
  </si>
  <si>
    <t>26027/04</t>
  </si>
  <si>
    <t>26029/01</t>
  </si>
  <si>
    <t>26027/05</t>
  </si>
  <si>
    <t>Manutenção corretiva</t>
  </si>
  <si>
    <t>26029/03</t>
  </si>
  <si>
    <t>FABIANO 20/01/26</t>
  </si>
  <si>
    <t>Produto Turvo Aurora imperial 3° lote</t>
  </si>
  <si>
    <t xml:space="preserve">Manutenção </t>
  </si>
  <si>
    <t>26029/04</t>
  </si>
  <si>
    <t>BASE PARA PERFUME FINA BASE PREMIUM 1l</t>
  </si>
  <si>
    <t>BODY SPLASH DEUSA DO NILO - 2</t>
  </si>
  <si>
    <t>26030/01</t>
  </si>
  <si>
    <t>MRARBS11</t>
  </si>
  <si>
    <t>ÁGUA MICELAR BABA GLOW</t>
  </si>
  <si>
    <t>26030/02</t>
  </si>
  <si>
    <t>26033/01</t>
  </si>
  <si>
    <t>26029/05</t>
  </si>
  <si>
    <t>26033/07</t>
  </si>
  <si>
    <t>BBSJBS01</t>
  </si>
  <si>
    <t>26034/03</t>
  </si>
  <si>
    <t>26033/04</t>
  </si>
  <si>
    <t>26033/02</t>
  </si>
  <si>
    <t>26033/03</t>
  </si>
  <si>
    <t>Retrabalho Aurora Imperial</t>
  </si>
  <si>
    <t>Manuteção</t>
  </si>
  <si>
    <t>Manutenção</t>
  </si>
  <si>
    <t>26033/05</t>
  </si>
  <si>
    <t>26034/01</t>
  </si>
  <si>
    <t>26035/01</t>
  </si>
  <si>
    <t>BBSJBS02</t>
  </si>
  <si>
    <t>26033/06</t>
  </si>
  <si>
    <t>ÁGUA MICELAR ROSA MOSQUETA</t>
  </si>
  <si>
    <t>26029/02</t>
  </si>
  <si>
    <t>25035/02</t>
  </si>
  <si>
    <t>BBSJBS03</t>
  </si>
  <si>
    <t>26034/02</t>
  </si>
  <si>
    <t>26036/01</t>
  </si>
  <si>
    <t>26035/03</t>
  </si>
  <si>
    <t>BASE PARA PERFUME FINA BASE  PREMIUM 500ml</t>
  </si>
  <si>
    <t>Envase 3</t>
  </si>
  <si>
    <t>Apenas 540,00L</t>
  </si>
  <si>
    <t>26037/03</t>
  </si>
  <si>
    <t>26037/04</t>
  </si>
  <si>
    <t>CIDA 02.25</t>
  </si>
  <si>
    <t>26037/01</t>
  </si>
  <si>
    <t>26040/06</t>
  </si>
  <si>
    <t>26037/02</t>
  </si>
  <si>
    <t>26040/02</t>
  </si>
  <si>
    <t>26040/01</t>
  </si>
  <si>
    <t>4° SEMANA DE FEVEREIRO</t>
  </si>
  <si>
    <t>1° SEMANA DE MARÇO</t>
  </si>
  <si>
    <t>26042/01</t>
  </si>
  <si>
    <t>ANDRE 14/01/26</t>
  </si>
  <si>
    <t>26036/02</t>
  </si>
  <si>
    <t>26041/03</t>
  </si>
  <si>
    <t>26041/04</t>
  </si>
  <si>
    <t>26040/05</t>
  </si>
  <si>
    <t>26040/08</t>
  </si>
  <si>
    <t>26040/07</t>
  </si>
  <si>
    <t>DEUSA DO NILO</t>
  </si>
  <si>
    <t>26042/02</t>
  </si>
  <si>
    <t>26042/07</t>
  </si>
  <si>
    <t>26042/06</t>
  </si>
  <si>
    <t>26042/04</t>
  </si>
  <si>
    <t>26042/03</t>
  </si>
  <si>
    <t>FIXADOR FIX MATTE 120ml - 1</t>
  </si>
  <si>
    <t>Insumo</t>
  </si>
  <si>
    <t>26043/02</t>
  </si>
  <si>
    <t>26043/04</t>
  </si>
  <si>
    <t>26043/01</t>
  </si>
  <si>
    <t>26043/05</t>
  </si>
  <si>
    <t>26042/08</t>
  </si>
  <si>
    <t>26043/03</t>
  </si>
  <si>
    <t>26049/01</t>
  </si>
  <si>
    <t>26049/03</t>
  </si>
  <si>
    <t>26044/01</t>
  </si>
  <si>
    <t>26049/02</t>
  </si>
  <si>
    <t>26049/04</t>
  </si>
  <si>
    <t xml:space="preserve">  </t>
  </si>
  <si>
    <t>KUBPBA02 - 2</t>
  </si>
  <si>
    <t>26049/07</t>
  </si>
  <si>
    <t>26049/06</t>
  </si>
  <si>
    <t>26049/05</t>
  </si>
  <si>
    <t>26040/04</t>
  </si>
  <si>
    <t>26050/03</t>
  </si>
  <si>
    <t>26050/02</t>
  </si>
  <si>
    <t>26050/01</t>
  </si>
  <si>
    <t>26050/07</t>
  </si>
  <si>
    <t>26049/09</t>
  </si>
  <si>
    <t>26049/08</t>
  </si>
  <si>
    <t>26050/08</t>
  </si>
  <si>
    <t>26040/03</t>
  </si>
  <si>
    <t>26042/05</t>
  </si>
  <si>
    <t>26050/05</t>
  </si>
  <si>
    <t>26050/06</t>
  </si>
  <si>
    <t>26051/01</t>
  </si>
  <si>
    <t>26050/04</t>
  </si>
  <si>
    <t>26051/03</t>
  </si>
  <si>
    <t>26054/01</t>
  </si>
  <si>
    <t>26051/02</t>
  </si>
  <si>
    <t>26051/04</t>
  </si>
  <si>
    <t>26054/06</t>
  </si>
  <si>
    <t>26054/03</t>
  </si>
  <si>
    <t>26054/04</t>
  </si>
  <si>
    <t>26054/02</t>
  </si>
  <si>
    <t>26054/05</t>
  </si>
  <si>
    <t>26056/02</t>
  </si>
  <si>
    <t>26056/01</t>
  </si>
  <si>
    <t>26055/01</t>
  </si>
  <si>
    <t>PERFUME OSTINATO 100ML - 2</t>
  </si>
  <si>
    <t>PERFUME OSTINATO 100ML - 2  RETRABALHO</t>
  </si>
  <si>
    <t>ROTULAGEM A MÃO FIX MATTE</t>
  </si>
  <si>
    <t>DOBRA DE CAIXA -  FIX MATTE</t>
  </si>
  <si>
    <t>PERFUME RAFINATTO 100 ML</t>
  </si>
  <si>
    <t xml:space="preserve">INVENTÁRIO </t>
  </si>
  <si>
    <t>INVENTÁRIO</t>
  </si>
  <si>
    <t>26054/07</t>
  </si>
  <si>
    <t>26051/06</t>
  </si>
  <si>
    <t>IMEDIATT LISS PASSO 2</t>
  </si>
  <si>
    <t>IMEDIATT LISS PASSO 1</t>
  </si>
  <si>
    <t xml:space="preserve">                                                                                                                                                 </t>
  </si>
  <si>
    <t>2° SEMANA DE MARÇO</t>
  </si>
  <si>
    <t>26061/01</t>
  </si>
  <si>
    <t>FABIANO 03/02/26</t>
  </si>
  <si>
    <t>MRFX0001</t>
  </si>
  <si>
    <t>P-26061-04</t>
  </si>
  <si>
    <t>26061/03</t>
  </si>
  <si>
    <t>26061/02</t>
  </si>
  <si>
    <t>26057/01</t>
  </si>
  <si>
    <t>RET 56/01</t>
  </si>
  <si>
    <t>FBPF0002</t>
  </si>
  <si>
    <t>FBPF0001</t>
  </si>
  <si>
    <t>FILATO 02/26</t>
  </si>
  <si>
    <t>LPD Linha 1</t>
  </si>
  <si>
    <t>LPD Linha 2</t>
  </si>
  <si>
    <t>LPD Linha 3</t>
  </si>
  <si>
    <t/>
  </si>
  <si>
    <t>HIDRATANTE BISNAGA DELICADA 200g - 1</t>
  </si>
  <si>
    <t>HIDRATANTE BISNAGA IMPERIUM BOURBON 200g - 1</t>
  </si>
  <si>
    <t>HIDRATANTE BISNAGA ANGELUS 200g - 1</t>
  </si>
  <si>
    <t>HIDRATANTE BISNAGA LUX AMBER 200g - 1</t>
  </si>
  <si>
    <t>HIDRATANTE BISNAGA ROSE AURORA 200g - 1</t>
  </si>
  <si>
    <t>HIDRATANTE BISNAGA ROSA SUBLIME 200g - 1</t>
  </si>
  <si>
    <t>HIDRATANTE BISNAGA IMPERIUM 200g - 1</t>
  </si>
  <si>
    <t>HIDRATANTE BISNAGA CELESTIA 200g - 1</t>
  </si>
  <si>
    <t>Sub-categoria do Produto</t>
  </si>
  <si>
    <t>26062/03</t>
  </si>
  <si>
    <t>Meta Linha 1</t>
  </si>
  <si>
    <t>Meta Linha 2</t>
  </si>
  <si>
    <t>Meta Linha 3</t>
  </si>
  <si>
    <t>Meta Diaria</t>
  </si>
  <si>
    <t>Meta LPD</t>
  </si>
  <si>
    <t>26062/01</t>
  </si>
  <si>
    <t>26064/01</t>
  </si>
  <si>
    <t>26062/02</t>
  </si>
  <si>
    <t>26064/03</t>
  </si>
  <si>
    <t>26064/02</t>
  </si>
  <si>
    <t>HABIBI 01</t>
  </si>
  <si>
    <t>P-26062/04</t>
  </si>
  <si>
    <t>HBHD0005</t>
  </si>
  <si>
    <t>P-26063/01</t>
  </si>
  <si>
    <t>HBHD0001</t>
  </si>
  <si>
    <t>P-26063/02</t>
  </si>
  <si>
    <t>HBHD0002</t>
  </si>
  <si>
    <t>P-2664/07</t>
  </si>
  <si>
    <t>HBHD0003</t>
  </si>
  <si>
    <t>P-26064/05</t>
  </si>
  <si>
    <t>HBHD0008</t>
  </si>
  <si>
    <t>P-26064/04</t>
  </si>
  <si>
    <t>HBHD0006</t>
  </si>
  <si>
    <t>HBHD0004</t>
  </si>
  <si>
    <t>P-26064/06</t>
  </si>
  <si>
    <t>RETIRADA 2 PEÇAS: GUSTAVO E MOSTRUARIO</t>
  </si>
  <si>
    <t>P-26063/03</t>
  </si>
  <si>
    <t>HBHD0007</t>
  </si>
  <si>
    <t>26068/01</t>
  </si>
  <si>
    <t>REPOSICAO BRIA 01</t>
  </si>
  <si>
    <t>26068/03</t>
  </si>
  <si>
    <t>26068/05</t>
  </si>
  <si>
    <t>26068/04</t>
  </si>
  <si>
    <t>26068/02</t>
  </si>
  <si>
    <t>26069/04</t>
  </si>
  <si>
    <t>MARIO 09/02/26</t>
  </si>
  <si>
    <t>26069/01</t>
  </si>
  <si>
    <t>26070/02</t>
  </si>
  <si>
    <t>26070/01</t>
  </si>
  <si>
    <t>26070/03</t>
  </si>
  <si>
    <t>26069/02</t>
  </si>
  <si>
    <t>BODY MIST VERDE SUPREMO - 2</t>
  </si>
  <si>
    <t>BODY MIST FRESCOR LICHIA - 2</t>
  </si>
  <si>
    <t>26071/02</t>
  </si>
  <si>
    <t>26071/03</t>
  </si>
  <si>
    <t>26071/04</t>
  </si>
  <si>
    <t>26071/05</t>
  </si>
  <si>
    <t>26076/02</t>
  </si>
  <si>
    <t xml:space="preserve">3° SEMANA DE MARÇO </t>
  </si>
  <si>
    <t>4° SEMANA DE MARÇO</t>
  </si>
  <si>
    <t>BODY SPLASH CAMIE BEAUTY 120mL</t>
  </si>
  <si>
    <t>OLEO CAPILAR CAMIE BEAUTY 60mL</t>
  </si>
  <si>
    <t>GLOSS LABIAL CAMIE BEAUTY 4mL</t>
  </si>
  <si>
    <t>26076/03</t>
  </si>
  <si>
    <t>26076/04</t>
  </si>
  <si>
    <t>PARADA P/ROTULAGEM MANUAL</t>
  </si>
  <si>
    <t>PERFUME CAPILAR CELESTIA 60ml</t>
  </si>
  <si>
    <t>26071/07</t>
  </si>
  <si>
    <t>ÓLEO CORPORAL AMENDÔAS - 1</t>
  </si>
  <si>
    <t>26077/01</t>
  </si>
  <si>
    <t>Qtd. Total (23/03 - 27/03)</t>
  </si>
  <si>
    <t>TOTAL</t>
  </si>
  <si>
    <t>Produzido (23/03 - 27/03)</t>
  </si>
  <si>
    <t>26076/05</t>
  </si>
  <si>
    <t>26079/01</t>
  </si>
  <si>
    <t>26075/01</t>
  </si>
  <si>
    <t>26079/02</t>
  </si>
  <si>
    <t>26082/03</t>
  </si>
  <si>
    <t>PRODUTO</t>
  </si>
  <si>
    <t>META</t>
  </si>
  <si>
    <t>REAL</t>
  </si>
  <si>
    <t>DESVIO</t>
  </si>
  <si>
    <t>TOTAL DE ITENS PRODUZIDOS:</t>
  </si>
  <si>
    <t>26079/04</t>
  </si>
  <si>
    <t>26082/01</t>
  </si>
  <si>
    <t>26076/10</t>
  </si>
  <si>
    <t>LPD</t>
  </si>
  <si>
    <t>26079/03</t>
  </si>
  <si>
    <t>26083/02</t>
  </si>
  <si>
    <t>CAMIE 04/03</t>
  </si>
  <si>
    <t>26079/05</t>
  </si>
  <si>
    <t>CMGL0001</t>
  </si>
  <si>
    <t>26079/07</t>
  </si>
  <si>
    <t>CMBS0001</t>
  </si>
  <si>
    <t>26079/06</t>
  </si>
  <si>
    <t>CMOC0001</t>
  </si>
  <si>
    <t>26076/09</t>
  </si>
  <si>
    <t>26082/02</t>
  </si>
  <si>
    <t>26083/01</t>
  </si>
  <si>
    <t>26084/07</t>
  </si>
  <si>
    <t>26076/06</t>
  </si>
  <si>
    <t>26085/01</t>
  </si>
  <si>
    <t>26084/02</t>
  </si>
  <si>
    <t>26084/06</t>
  </si>
  <si>
    <t>26084/01</t>
  </si>
  <si>
    <t>26085/02</t>
  </si>
  <si>
    <t>26085/03</t>
  </si>
  <si>
    <t>26076/01</t>
  </si>
  <si>
    <t>26083/03</t>
  </si>
  <si>
    <t>26086/01</t>
  </si>
  <si>
    <t>PROG 01 25/03/26</t>
  </si>
  <si>
    <t>26086/02</t>
  </si>
  <si>
    <t>26086/03</t>
  </si>
  <si>
    <t>26089/01</t>
  </si>
  <si>
    <t>BODY MIST FRESCOR LICHIA</t>
  </si>
  <si>
    <t>BODY MIST BAUNILHA SELVAGEM - 2</t>
  </si>
  <si>
    <t>BODY MIST NECTAR DA PERA - 2</t>
  </si>
  <si>
    <t>BODY SPLASH LEAO DO DESERTO BOURBON 200ml</t>
  </si>
  <si>
    <t>1° SEMANA DE ABRIL</t>
  </si>
  <si>
    <t>26083/05</t>
  </si>
  <si>
    <t>26091/01</t>
  </si>
  <si>
    <t>BODY MIST JARDINS DO ORIENTE - 2</t>
  </si>
  <si>
    <t>BODY MIST TESOURO DO OASIS - 2</t>
  </si>
  <si>
    <t>BODY MIST RARO ELIXIR - 2</t>
  </si>
  <si>
    <t>BODY MIST MEL DE ESPECIARIAS - 2</t>
  </si>
  <si>
    <t>BODY MIST ENCANTO PERSA - 2</t>
  </si>
  <si>
    <t>BODY MIST ROSA IMPERIAL - 2</t>
  </si>
  <si>
    <t>BODY MIST PEROLA DO DESERTO - 2</t>
  </si>
  <si>
    <t>BODY MIST FLOR DO DESERTO - 2</t>
  </si>
  <si>
    <t>PERFUME RAFINATTO 100ML</t>
  </si>
  <si>
    <t>PERFUME OSTINATO 100ML</t>
  </si>
  <si>
    <t>26076/08</t>
  </si>
  <si>
    <t>26091/02</t>
  </si>
  <si>
    <t>26091/03</t>
  </si>
  <si>
    <t>26092/01</t>
  </si>
  <si>
    <t>26092/02</t>
  </si>
  <si>
    <t>26092/03</t>
  </si>
  <si>
    <t>26091/04</t>
  </si>
  <si>
    <t xml:space="preserve"> BRUMA MATTE FIX 120ml</t>
  </si>
  <si>
    <t>26092/04</t>
  </si>
  <si>
    <t>26096/01</t>
  </si>
  <si>
    <t>26096/08</t>
  </si>
  <si>
    <t>26096/02</t>
  </si>
  <si>
    <t>26096/07</t>
  </si>
  <si>
    <t>26096/03</t>
  </si>
  <si>
    <t>26096/09</t>
  </si>
  <si>
    <t>26096/04</t>
  </si>
  <si>
    <t>26096/05</t>
  </si>
  <si>
    <t>26097/03</t>
  </si>
  <si>
    <t>26097/01</t>
  </si>
  <si>
    <t>BODY MIST FLOR DO DESERTO</t>
  </si>
  <si>
    <t>26099/04</t>
  </si>
  <si>
    <t>26099/03</t>
  </si>
  <si>
    <t>26097/04</t>
  </si>
  <si>
    <t>26096/007</t>
  </si>
  <si>
    <t>26096/06</t>
  </si>
  <si>
    <t>26097/02</t>
  </si>
  <si>
    <t>PERFUME CAPILAR CELESTIA 57ml - P</t>
  </si>
  <si>
    <t>26098/06</t>
  </si>
  <si>
    <t>26100/02</t>
  </si>
  <si>
    <t>REPOSICAO 23/03</t>
  </si>
  <si>
    <t>26097/11</t>
  </si>
  <si>
    <t>26097/06</t>
  </si>
  <si>
    <t>26097/05</t>
  </si>
  <si>
    <t>26099/05</t>
  </si>
  <si>
    <t>HIDRATANTE BISNAGA IMPERIUM 200g - 2</t>
  </si>
  <si>
    <t>HIDRATANTE BISNAGA IMPERIUM BOURBON 200g - 2</t>
  </si>
  <si>
    <t>HIDRATANTE BISNAGA DELICADA 200g - 2</t>
  </si>
  <si>
    <t>HIDRATANTE BISNAGA LUX AMBER 200g - 2</t>
  </si>
  <si>
    <t>HIDRATANTE BISNAGA ROSA SUBLIME 200g - 2</t>
  </si>
  <si>
    <t>HIDRATANTE BISNAGA CELESTIA 200g - 2</t>
  </si>
  <si>
    <t>PERFUME CAPILAR CELESTIA 57ml</t>
  </si>
  <si>
    <t>BODY SPLASH FORÇA DO LEAO</t>
  </si>
  <si>
    <t>PERFUME CAPILAR ZAHRA</t>
  </si>
  <si>
    <t>BODY SPLASH AMBAR REAL 200ml</t>
  </si>
  <si>
    <t>ESFOLIANTE FACIAL PITAYA</t>
  </si>
  <si>
    <t>ESFOLIANTE FACIAL VITAMINA C</t>
  </si>
  <si>
    <t>Qtd. Total 13/04/2026 - 17/04/2026</t>
  </si>
  <si>
    <t>Produzido 13/04/2026 - 17/04/2026</t>
  </si>
  <si>
    <t>26107/02</t>
  </si>
  <si>
    <t>MRBR0001</t>
  </si>
  <si>
    <t>26104/01</t>
  </si>
  <si>
    <t>26107/01</t>
  </si>
  <si>
    <t>26106/01</t>
  </si>
  <si>
    <t>26105/01</t>
  </si>
  <si>
    <t>26107/03</t>
  </si>
  <si>
    <t>26111/06</t>
  </si>
  <si>
    <t>26111/08</t>
  </si>
  <si>
    <t>26111/11</t>
  </si>
  <si>
    <t>26100/04</t>
  </si>
  <si>
    <t>26100/03</t>
  </si>
  <si>
    <t>26113/03</t>
  </si>
  <si>
    <t>26099/02</t>
  </si>
  <si>
    <t>Segunda</t>
  </si>
  <si>
    <t>Terça</t>
  </si>
  <si>
    <t>Quarta</t>
  </si>
  <si>
    <t>Quinta</t>
  </si>
  <si>
    <t>HIDRATANTE BISNAGA ROSE AURORA 200g - 2</t>
  </si>
  <si>
    <t>HIDRATANTE BISNAGA ANGELUS 200g - 2</t>
  </si>
  <si>
    <t>26111/03</t>
  </si>
  <si>
    <t>26111/07</t>
  </si>
  <si>
    <t>26111/12</t>
  </si>
  <si>
    <t>26114/04</t>
  </si>
  <si>
    <t>26115/06</t>
  </si>
  <si>
    <t>26115/04</t>
  </si>
  <si>
    <t>26111/04</t>
  </si>
  <si>
    <t>26115/03</t>
  </si>
  <si>
    <t>26098/08</t>
  </si>
  <si>
    <t>26114/06</t>
  </si>
  <si>
    <t>26114/07</t>
  </si>
  <si>
    <t>26111/01</t>
  </si>
  <si>
    <t>26111/02</t>
  </si>
  <si>
    <t>26115/07</t>
  </si>
  <si>
    <t>26117/02</t>
  </si>
  <si>
    <t>26117/03</t>
  </si>
  <si>
    <t>26117/05</t>
  </si>
  <si>
    <t>26114/08</t>
  </si>
  <si>
    <t>26118/01</t>
  </si>
  <si>
    <t>BBPF0004</t>
  </si>
  <si>
    <t>26117/04</t>
  </si>
  <si>
    <t>P-25115/08</t>
  </si>
  <si>
    <t>26117/01</t>
  </si>
  <si>
    <t>Frascos Rotulagem</t>
  </si>
  <si>
    <t>Frascos Envase</t>
  </si>
  <si>
    <t>Rótulos Envase</t>
  </si>
  <si>
    <t>Tampas/Valvulas</t>
  </si>
  <si>
    <t>Cartuchos</t>
  </si>
  <si>
    <t>Rótulos Rotulagem</t>
  </si>
  <si>
    <t>Produto Semi Acabado Manip.</t>
  </si>
  <si>
    <t>Produto Semi Acabado Envase</t>
  </si>
  <si>
    <t>Setup Rotulagem</t>
  </si>
  <si>
    <t>Parada 1 Rot. Inicio</t>
  </si>
  <si>
    <t>Parada 1 Rot. Fim</t>
  </si>
  <si>
    <t>Parada 2 Rot. Inicio</t>
  </si>
  <si>
    <t>Parada 2 Rot. Fim</t>
  </si>
  <si>
    <t>Motivo Parada 1</t>
  </si>
  <si>
    <t>Motivo Parada 2</t>
  </si>
  <si>
    <t>Parada 3 Rot. Inicio</t>
  </si>
  <si>
    <t>Parada 3 Rot. Fim</t>
  </si>
  <si>
    <t>Motivo Parada 3</t>
  </si>
  <si>
    <t>Rotulagem</t>
  </si>
  <si>
    <t>Parada 1 Env. Inicio</t>
  </si>
  <si>
    <t>Parada 1 Env. Fim</t>
  </si>
  <si>
    <t>Motivo Parada Env. 1</t>
  </si>
  <si>
    <t>Parada 2 Env. Inicio</t>
  </si>
  <si>
    <t>Parada 2 Env. Fim</t>
  </si>
  <si>
    <t>Motivo Parada Env. 2</t>
  </si>
  <si>
    <t>Parada 3 Env. Inicio</t>
  </si>
  <si>
    <t>Parada 3 Env. Fim</t>
  </si>
  <si>
    <t>Motivo Parada Env. 3</t>
  </si>
  <si>
    <t>Percas</t>
  </si>
  <si>
    <t>26125/01</t>
  </si>
  <si>
    <t>26125/02</t>
  </si>
  <si>
    <t>26119/03</t>
  </si>
  <si>
    <t>26118/02</t>
  </si>
  <si>
    <t>26119/01</t>
  </si>
  <si>
    <t>26119/02</t>
  </si>
  <si>
    <t>26076/07</t>
  </si>
  <si>
    <t>26125/05</t>
  </si>
  <si>
    <t>WKBM0001</t>
  </si>
  <si>
    <t>FABIANO 06/02/26</t>
  </si>
  <si>
    <t>26126/02</t>
  </si>
  <si>
    <t>FALTOU FRASCO</t>
  </si>
  <si>
    <t>26115/05</t>
  </si>
  <si>
    <t>26113/01</t>
  </si>
  <si>
    <t>26112/02</t>
  </si>
  <si>
    <t>26125/03</t>
  </si>
  <si>
    <t>P-26124/03</t>
  </si>
  <si>
    <t>FALTOU PRODUTO</t>
  </si>
  <si>
    <t>26125/04</t>
  </si>
  <si>
    <t>26126/01</t>
  </si>
  <si>
    <t>26126/03</t>
  </si>
  <si>
    <t>26126/04</t>
  </si>
  <si>
    <t>26125/06</t>
  </si>
  <si>
    <t>MANUTENÇÃO DE MÁQUINAS</t>
  </si>
  <si>
    <t>26098/05</t>
  </si>
  <si>
    <t>26099/01</t>
  </si>
  <si>
    <t>26098/03</t>
  </si>
  <si>
    <t>26098/04</t>
  </si>
  <si>
    <t>HIDRATANTE BISNAGA CELESTIA 200g - 2 &gt; HABIBI 01</t>
  </si>
  <si>
    <t>HIDRATANTE BISNAGA ROSA SUBLIME 200g - 2 &gt; HABIBI 01</t>
  </si>
  <si>
    <t>BODY SPLASH CEU CELESTE 200ml &gt; REPOSICAO 23/03</t>
  </si>
  <si>
    <t>BODY CREAM BAUNILHA SELVAGEM - 2 &gt; AMEERATI 01</t>
  </si>
  <si>
    <t>BODY CREAM FRESCOR LICHIA - 2 &gt; AMEERATI 01</t>
  </si>
  <si>
    <t>BODY CREAM BOUQUET CARMIM - 2 &gt; AMEERATI 01</t>
  </si>
  <si>
    <t>BODY CREAM DOCE ROSA - 2 &gt; AMEERATI 01</t>
  </si>
  <si>
    <t>BODY CREAM ENCANTO PERSA - 2 &gt; AMEERATI 01</t>
  </si>
  <si>
    <t>BODY CREAM MEL DE ESPECIARIAS - 2 &gt; AMEERATI 01</t>
  </si>
  <si>
    <t>BODY CREAM NECTAR DA PERA - 2 &gt; AMEERATI 01</t>
  </si>
  <si>
    <t>BODY CREAM PEROLA DO DESERTO - 2 &gt; AMEERATI 01</t>
  </si>
  <si>
    <t>BODY CREAM RARO ELIXIR - 2 &gt; AMEERATI 01</t>
  </si>
  <si>
    <t>BODY CREAM TESOURO DO OASIS - 2 &gt; AMEERATI 01</t>
  </si>
  <si>
    <t>BODY CREAM FLOR DO DESERTO - 2 &gt; AMEERATI 01</t>
  </si>
  <si>
    <t>ESFOLIANTE FACIAL PITAYA &gt; 0005</t>
  </si>
  <si>
    <t>ESFOLIANTE FACIAL VITAMINA C &gt; 0005</t>
  </si>
  <si>
    <t>SABONETE DEMAQUILANTE PITAYA &gt; 0005</t>
  </si>
  <si>
    <t>SABONETE DEMAQUILANTE VITAMINA C &gt; 0005</t>
  </si>
  <si>
    <t>26075/02</t>
  </si>
  <si>
    <t>BRUMA MATTE #ENTREGOUTUDOO 120ml &gt; FABIANO 06/02/26</t>
  </si>
  <si>
    <t>26126/06</t>
  </si>
  <si>
    <t>26126/05</t>
  </si>
  <si>
    <t>26114/05</t>
  </si>
  <si>
    <t>26117/06</t>
  </si>
  <si>
    <t>SETUP</t>
  </si>
  <si>
    <t>26120/02</t>
  </si>
  <si>
    <t>26126/07</t>
  </si>
  <si>
    <t>BODY SPLASH FORÇA DO LEAO 200mL &gt; 0006</t>
  </si>
  <si>
    <t>26128/01</t>
  </si>
  <si>
    <t>26120/01</t>
  </si>
  <si>
    <t>26124/02</t>
  </si>
  <si>
    <t>0005</t>
  </si>
  <si>
    <t>BODY CREAM JARDINS DO ORIENTE - 2 &gt; AMEERATI 01</t>
  </si>
  <si>
    <t>BODY CREAM VERDE SUPREMO - 2 &gt; AMEERATI 01</t>
  </si>
  <si>
    <t>BODY SPLASH AMBER BLOOM 200ML -  &gt; 05</t>
  </si>
  <si>
    <t>BODY SPLASH OUD NIGHT 200ML -  &gt; 05</t>
  </si>
  <si>
    <t>BODY SPLASH ROSE MIRAGE 200ML -  &gt; 05</t>
  </si>
  <si>
    <t>BODY SPLASH ROUGE OUT 200ML -  &gt; 05</t>
  </si>
  <si>
    <t>BODY SPLASH CEU INFINITO 200ml &gt; 0008</t>
  </si>
  <si>
    <t>BODY SPLASH LEAO DO DESERTO BOURBON 200ml &gt; 0008</t>
  </si>
  <si>
    <t>26134/03</t>
  </si>
  <si>
    <t>Início Setup Envase</t>
  </si>
  <si>
    <t>Final Setup Envase</t>
  </si>
  <si>
    <t>26132/04</t>
  </si>
  <si>
    <t>MANUTENÇÃO DE MÁQUINA</t>
  </si>
  <si>
    <t>26124/01</t>
  </si>
  <si>
    <t>26132/03</t>
  </si>
  <si>
    <t>MANUTENÇÃO DA JET</t>
  </si>
  <si>
    <t>26132/02</t>
  </si>
  <si>
    <t>26135/01</t>
  </si>
  <si>
    <t>26135/02</t>
  </si>
  <si>
    <t>26132/01</t>
  </si>
  <si>
    <t>BODY SPLASH AURORA IMPERIAL &gt; PROG 01 25/03/26</t>
  </si>
  <si>
    <t>BODY SPLASH CEU CELESTE 200ml &gt; 0008</t>
  </si>
  <si>
    <t>BODY SPLASH ROSA RAINHA 200ml &gt; 0008</t>
  </si>
  <si>
    <t>22ª semana de 2026</t>
  </si>
  <si>
    <t>21ª  SEMANA DE 2026</t>
  </si>
  <si>
    <t>23ª SEMANA DE 2026</t>
  </si>
  <si>
    <t>BODY SPLASH DESPERTAR DAS FLORES 200ml &gt; 0008</t>
  </si>
  <si>
    <t>BODY SPLASH FLOR D AURA 200ml &gt; 0008</t>
  </si>
  <si>
    <t>24ª SEMANA DE 2026</t>
  </si>
  <si>
    <t>Qtd. Total 11/05/2026 - 15/05/2026</t>
  </si>
  <si>
    <t>Produzido 11/05/2026 - 15/05/2026</t>
  </si>
  <si>
    <t>26134/02</t>
  </si>
  <si>
    <t>26133/01</t>
  </si>
  <si>
    <t>ESPERANDO LIBERAÇÃO DE PRODUTO</t>
  </si>
  <si>
    <t>26133/03</t>
  </si>
  <si>
    <t>14;05/26 08:30</t>
  </si>
  <si>
    <t>26132/05</t>
  </si>
  <si>
    <t>26133/02</t>
  </si>
  <si>
    <t>26133/04</t>
  </si>
  <si>
    <t>26134/01</t>
  </si>
  <si>
    <t>BODY SPLASH CLAIRE 120ml &gt; FABIANO 22/01/26</t>
  </si>
  <si>
    <t>BODY SPLASH DESERTO DOURADO 120ml &gt; FABIANO 22/01/26</t>
  </si>
  <si>
    <t>BODY SPLASH IDOLA 120ml &gt; FABIANO 22/01/26</t>
  </si>
  <si>
    <t>BODY SPLASH JARDIM DO ORIENTE 120ml &gt; FABIANO 22/01/26</t>
  </si>
  <si>
    <t>BODY SPLASH LINDA VIDA 120ml &gt; FABIANO 22/01/26</t>
  </si>
  <si>
    <t>BODY SPLASH NOITE DE AMBAR 120ml &gt; FABIANO 22/01/26</t>
  </si>
  <si>
    <t>26112/01</t>
  </si>
  <si>
    <t>26135/03</t>
  </si>
  <si>
    <t>26135/04</t>
  </si>
  <si>
    <t>26135/05</t>
  </si>
  <si>
    <t>0006</t>
  </si>
  <si>
    <t>REGULAGEM DE MAQUINA</t>
  </si>
  <si>
    <t>RETRABALHO DO ROTULO</t>
  </si>
  <si>
    <t>P-26138/01</t>
  </si>
  <si>
    <t>ESPERANDO INSUMO</t>
  </si>
  <si>
    <t>LIBERAÇÃO DE PRODUTO</t>
  </si>
  <si>
    <t>05</t>
  </si>
  <si>
    <t>26134/04</t>
  </si>
  <si>
    <t>REGULAGEM DE ROSQUEADEIRA</t>
  </si>
  <si>
    <t>26139/02</t>
  </si>
  <si>
    <t>26139/03</t>
  </si>
  <si>
    <t>26098/07</t>
  </si>
  <si>
    <t>26111/05</t>
  </si>
  <si>
    <t>BODY SPLASH AMBAR REAL 200ml &gt; 0008</t>
  </si>
  <si>
    <t>5feira</t>
  </si>
  <si>
    <t>6feira</t>
  </si>
  <si>
    <t>26138/03</t>
  </si>
  <si>
    <t>AGUARDANDO FRASCO</t>
  </si>
  <si>
    <t>26138/02</t>
  </si>
  <si>
    <t>REGULAGEM DE MÁQUINA</t>
  </si>
  <si>
    <t>2feira</t>
  </si>
  <si>
    <t>4feira</t>
  </si>
  <si>
    <t>26138/04</t>
  </si>
  <si>
    <t>0008</t>
  </si>
  <si>
    <t>26128/03</t>
  </si>
  <si>
    <t>26139/05</t>
  </si>
  <si>
    <t>ESPERANDO FRASCO</t>
  </si>
  <si>
    <t>26126/10</t>
  </si>
  <si>
    <t>26140/02</t>
  </si>
  <si>
    <t>bbpf0004</t>
  </si>
  <si>
    <t>META SEMANAL 18/05 - 22/05</t>
  </si>
  <si>
    <t>BODY SPLASH LEÃO DO DESERTO BOURBOM</t>
  </si>
  <si>
    <t>QUANTIDADE:</t>
  </si>
  <si>
    <t>PRODUTO:</t>
  </si>
  <si>
    <t>BODY CREAM RARO ELIXIR</t>
  </si>
  <si>
    <t>BODY SPLASH FORÇA DO LEÃO</t>
  </si>
  <si>
    <t>BODY CREAM TESOURO DO OASIS</t>
  </si>
  <si>
    <t>BODY CREAM FLOR DO DESERTO</t>
  </si>
  <si>
    <t>BODY CREAM JARDINS DO ORIENTE</t>
  </si>
  <si>
    <t>BODY CREAM VERDE SUPREMO</t>
  </si>
  <si>
    <t>BODY SPLASH AMBER BLOOM</t>
  </si>
  <si>
    <t>BODY SPLASH ROSE MIRAGE</t>
  </si>
  <si>
    <t>BODY SPLASH OUD NIGHT</t>
  </si>
  <si>
    <t>BODY SPLASH FORÇA DO LEAO &gt; 0006</t>
  </si>
  <si>
    <t>BODY SPLASH GLOW PAIXÃO IRRESISTÍVEL &gt; 0007</t>
  </si>
  <si>
    <t>BODY SPLASH MATTE DOCE SEDUÇÃO &gt; 0007</t>
  </si>
  <si>
    <t>BODY SPLASH MATTE SORVETE DE BAUNILHA &gt; 0007</t>
  </si>
  <si>
    <t>BODY SPLASH MATTE OITAVA MARAVILHA &gt; 0007</t>
  </si>
  <si>
    <t>BODY SPLASH TORTA DE MORANGO 120ML -  &gt; 05</t>
  </si>
  <si>
    <t>HIDRATANTE TORTA DE MORANGO 120ML -  &gt; 05</t>
  </si>
  <si>
    <t>OLEO CORPORAL TORTA DE MORANGO 120ML -  &gt; 05</t>
  </si>
  <si>
    <t>BODY SPLASH GLOW TAÇA DE CHAMPAGNE &gt; 0007</t>
  </si>
  <si>
    <t>BODY SPLASH GLOW NOITE DE GLAMOUR &gt; 0007</t>
  </si>
  <si>
    <t>FIXADOR FIX MATTE 120ml - 2 &gt; FABIANO 03/02/26</t>
  </si>
  <si>
    <t>MOUSSE FACIAL TORTA DE MORANGO 150ML -  &gt; 05</t>
  </si>
  <si>
    <t>body splash arabe miss rose</t>
  </si>
  <si>
    <t>26100/01</t>
  </si>
  <si>
    <t>COMPLEMENTO PEDIDO 01/25</t>
  </si>
  <si>
    <t>26099/07</t>
  </si>
  <si>
    <t>26140/01</t>
  </si>
  <si>
    <t>AGUARDANDO LIBERAÇÃO DE PRODUTO</t>
  </si>
  <si>
    <t>P-26145/01</t>
  </si>
  <si>
    <t>FBBS0003</t>
  </si>
  <si>
    <t>FBBS0005</t>
  </si>
  <si>
    <t>26142/01</t>
  </si>
  <si>
    <t>FBBS0004</t>
  </si>
  <si>
    <t>26145/02</t>
  </si>
  <si>
    <t>FALTOU FRASCO ROTULADO</t>
  </si>
  <si>
    <t>26139/07</t>
  </si>
  <si>
    <t>AGUARDANDO LIBERAÇÃO DO PRODUTO</t>
  </si>
  <si>
    <t>26128/02</t>
  </si>
  <si>
    <t>26141/03</t>
  </si>
  <si>
    <t>Motivo Parada Env. 4</t>
  </si>
  <si>
    <t>Parada 4 Env. Inicio4</t>
  </si>
  <si>
    <t>Parada 4 Env. Fim4</t>
  </si>
  <si>
    <t>26146/01</t>
  </si>
  <si>
    <t>26147/02</t>
  </si>
  <si>
    <t>26147/04</t>
  </si>
  <si>
    <t>26141/01</t>
  </si>
  <si>
    <t>AGUARDANDO DESCER PRODUTO</t>
  </si>
  <si>
    <t>26141/02</t>
  </si>
  <si>
    <t>26146/02</t>
  </si>
  <si>
    <t>FBBS0006</t>
  </si>
  <si>
    <t>26148/01</t>
  </si>
  <si>
    <t>ROTULAGEM MANUAL</t>
  </si>
  <si>
    <t>26147/01</t>
  </si>
  <si>
    <t>26147/03</t>
  </si>
  <si>
    <t>NÃO ESTAVA SENDO FILTRADO</t>
  </si>
  <si>
    <t>26145/03</t>
  </si>
  <si>
    <t>26147/05</t>
  </si>
  <si>
    <t>26148/03</t>
  </si>
  <si>
    <t>RE.BODY SPLASH LEAO DO DESERTO BOURBON 200ml &gt; RETRAB 01.2026</t>
  </si>
  <si>
    <t>FABIANO 22/01/26</t>
  </si>
  <si>
    <t>P-26148/10</t>
  </si>
  <si>
    <t>WKBS0005</t>
  </si>
  <si>
    <t>26149/01</t>
  </si>
  <si>
    <t>Tempo total de Envase</t>
  </si>
  <si>
    <t>26148/09</t>
  </si>
  <si>
    <t>26139/04</t>
  </si>
  <si>
    <t>26148/04</t>
  </si>
  <si>
    <t>26152/01</t>
  </si>
  <si>
    <t>ARRUMAR ROTULO</t>
  </si>
  <si>
    <t>26152/03</t>
  </si>
  <si>
    <t>26152/02</t>
  </si>
  <si>
    <t>P-26061/05</t>
  </si>
  <si>
    <t>26097/07</t>
  </si>
  <si>
    <t>26097/08</t>
  </si>
  <si>
    <t>26131/01</t>
  </si>
  <si>
    <t>26149/02</t>
  </si>
  <si>
    <t>P-26154/04</t>
  </si>
  <si>
    <t>WKBS0001</t>
  </si>
  <si>
    <t>26154/01</t>
  </si>
  <si>
    <t>26098/10</t>
  </si>
  <si>
    <t>26097/10</t>
  </si>
  <si>
    <t>RETRABALHO DE PRODUTO</t>
  </si>
  <si>
    <t>26153/02</t>
  </si>
  <si>
    <t>26154/05</t>
  </si>
  <si>
    <t>26154/02</t>
  </si>
  <si>
    <t>26153/01</t>
  </si>
  <si>
    <t>26154/06</t>
  </si>
  <si>
    <t>P-26154/08</t>
  </si>
  <si>
    <t>WKBS0006</t>
  </si>
  <si>
    <t>26153/03</t>
  </si>
  <si>
    <t>26156/03</t>
  </si>
  <si>
    <t>WKBS0002</t>
  </si>
  <si>
    <t>26153/04</t>
  </si>
  <si>
    <t>LOTE ROUBADO</t>
  </si>
  <si>
    <t>3feira</t>
  </si>
  <si>
    <t>26156/04</t>
  </si>
  <si>
    <t>26162/01</t>
  </si>
  <si>
    <t>P-26156/05</t>
  </si>
  <si>
    <t>WKBS0003</t>
  </si>
  <si>
    <t>26161/01</t>
  </si>
  <si>
    <t>26162/02</t>
  </si>
  <si>
    <t>26156/07</t>
  </si>
  <si>
    <t>26156/06</t>
  </si>
  <si>
    <t>26159/04</t>
  </si>
  <si>
    <t>26162/04</t>
  </si>
  <si>
    <t>26162/03</t>
  </si>
  <si>
    <t>26160/01</t>
  </si>
  <si>
    <t>26155/02</t>
  </si>
  <si>
    <t>26166/01</t>
  </si>
  <si>
    <t>26166/04</t>
  </si>
  <si>
    <t>WKBS0004</t>
  </si>
  <si>
    <t>26163/01</t>
  </si>
  <si>
    <t>26154/03</t>
  </si>
  <si>
    <t>26166/05</t>
  </si>
  <si>
    <t>FALTA DE EMBALAGEM</t>
  </si>
  <si>
    <t>26166/07</t>
  </si>
  <si>
    <t>26166/06</t>
  </si>
  <si>
    <t>P-26160/02</t>
  </si>
  <si>
    <t>0007</t>
  </si>
  <si>
    <t>BODY SPLASH LEAO DO DESERTO BOURBON 200ml &gt; 0011</t>
  </si>
  <si>
    <t>HIDRATANTE BISNAGA ROSE AURORA 200g - 3 &gt; HABIBI 01</t>
  </si>
  <si>
    <t>HIDRATANTE BISNAGA IMPERIUM BOURBON 200g - 3 &gt; HABIBI 01</t>
  </si>
  <si>
    <t>HIDRATANTE BISNAGA DELICADA 200g - 3 &gt; HABIBI 01</t>
  </si>
  <si>
    <t>HIDRATANTE BISNAGA ROSA SUBLIME 200g - 3 &gt; HABIBI 01</t>
  </si>
  <si>
    <t>HIDRATANTE BISNAGA LUX AMBER 200g - 3 &gt; HABIBI 01</t>
  </si>
  <si>
    <t>HIDRATANTE BISNAGA IMPERIUM 200g - 3 &gt; HABIBI 01</t>
  </si>
  <si>
    <t>26168/03</t>
  </si>
  <si>
    <t>FALTA DE PRODUTO</t>
  </si>
  <si>
    <t>26160/02</t>
  </si>
  <si>
    <t>ACUMULO DE FRASCO</t>
  </si>
  <si>
    <t>26166/03</t>
  </si>
  <si>
    <t>26159/03</t>
  </si>
  <si>
    <t>26166/02</t>
  </si>
  <si>
    <t>BODY SPLASH FORÇA DO LEAO &gt; 0012</t>
  </si>
  <si>
    <t>26168/01</t>
  </si>
  <si>
    <t>26167/01</t>
  </si>
  <si>
    <t>26168/02</t>
  </si>
  <si>
    <t>26159/01</t>
  </si>
  <si>
    <t>26170/01</t>
  </si>
  <si>
    <t>Envase 4</t>
  </si>
  <si>
    <t>Meta Linha 4</t>
  </si>
  <si>
    <t>26173/04</t>
  </si>
  <si>
    <t>26174/01</t>
  </si>
  <si>
    <t>0011</t>
  </si>
  <si>
    <t>26174/03</t>
  </si>
  <si>
    <t>BODY SPLASH AMBAR REAL 200ml &gt; 0011</t>
  </si>
  <si>
    <t>26173/01</t>
  </si>
  <si>
    <t>26170/02</t>
  </si>
  <si>
    <t>26175/05</t>
  </si>
  <si>
    <t>PARADA DE SELEFONADEIRA</t>
  </si>
  <si>
    <t>26170/03</t>
  </si>
  <si>
    <t>26175/06</t>
  </si>
  <si>
    <t>26180/01</t>
  </si>
  <si>
    <t>4608</t>
  </si>
  <si>
    <t>26175/03</t>
  </si>
  <si>
    <t>26174/02</t>
  </si>
  <si>
    <t>26175/08</t>
  </si>
  <si>
    <t>26/175/07</t>
  </si>
  <si>
    <t>26176/08</t>
  </si>
  <si>
    <t>26175/04</t>
  </si>
  <si>
    <t>26175/02</t>
  </si>
  <si>
    <t>PRODUTO TURVO</t>
  </si>
  <si>
    <t>BODY SPLASH DEUSA DO NILO &gt; Miss Rôse - Body Splash 1.0</t>
  </si>
  <si>
    <t>?</t>
  </si>
  <si>
    <t>26177/03</t>
  </si>
  <si>
    <t>26176/01</t>
  </si>
  <si>
    <t>26177/04</t>
  </si>
  <si>
    <t>26180/02</t>
  </si>
  <si>
    <t>26175/01</t>
  </si>
  <si>
    <t>26176/03</t>
  </si>
  <si>
    <t>Ano</t>
  </si>
  <si>
    <t>Mês</t>
  </si>
  <si>
    <t>WIKE MAKE</t>
  </si>
  <si>
    <t>HABIBI PERFUMES</t>
  </si>
  <si>
    <t>FEBELLA BEAUTY</t>
  </si>
  <si>
    <t>CAMIE BEAUTY</t>
  </si>
  <si>
    <t>FILATO BENE</t>
  </si>
  <si>
    <t>Column Labels</t>
  </si>
  <si>
    <t>Total Sum of Unidades</t>
  </si>
  <si>
    <t>Total % Total</t>
  </si>
  <si>
    <t>Total Média de Unidades p/ Hora</t>
  </si>
  <si>
    <t>Unidades Produzidas</t>
  </si>
  <si>
    <t>Média Un/Hora</t>
  </si>
  <si>
    <t>Análises Complementares — 2025 vs 2026</t>
  </si>
  <si>
    <t>Unidades por Linha de Produção</t>
  </si>
  <si>
    <t>Média Un/Hora por Linha de Produção</t>
  </si>
  <si>
    <t>Produtividade Mensal (Média Un/Hora)</t>
  </si>
  <si>
    <t>Horas Úteis por Mês</t>
  </si>
  <si>
    <t>Clientes — Comparativo 2025 vs 2026</t>
  </si>
  <si>
    <t>Un jan–jun 2025</t>
  </si>
  <si>
    <t>Un jan–jun 2026</t>
  </si>
  <si>
    <t>Δ% jan–jun</t>
  </si>
  <si>
    <t>Total 2025</t>
  </si>
  <si>
    <t>Total 2026</t>
  </si>
  <si>
    <t>Paradas por Motivo (período completo)</t>
  </si>
  <si>
    <t>Motivo</t>
  </si>
  <si>
    <t>Ocorrências</t>
  </si>
  <si>
    <t>Horas Rotulagem</t>
  </si>
  <si>
    <t>Horas Envase</t>
  </si>
  <si>
    <t>Horas Total</t>
  </si>
  <si>
    <t>BODY SPLASH DEUSA DO NILO &gt; 0014</t>
  </si>
  <si>
    <t>HIDRATANTE SORVETE DE MORANGO 120ML -  &gt; 05</t>
  </si>
  <si>
    <t>PERFUME WHITE DRESS 100ML &gt; 0016</t>
  </si>
  <si>
    <t>MOUSSE FACIAL SORVETE DE MORANGO 150ML -  &gt; 05</t>
  </si>
  <si>
    <t>OLEO CORPORAL SORVETE DE MORANGO 120ML -  &gt; 05</t>
  </si>
  <si>
    <t>HIDRATANTE BISNAGA ANGELUS 200g - 3 &gt; HABIBI 01</t>
  </si>
  <si>
    <t>PERFUMES AFEER</t>
  </si>
  <si>
    <t>BODY SPLASH ROSA RAINHA 200ml &gt; 0011</t>
  </si>
  <si>
    <t>26179/02</t>
  </si>
  <si>
    <t>26176/02</t>
  </si>
  <si>
    <t>26180/03</t>
  </si>
  <si>
    <t>26176/09</t>
  </si>
  <si>
    <t>26177/05</t>
  </si>
  <si>
    <t>26176/05</t>
  </si>
  <si>
    <t>P-26182/03</t>
  </si>
  <si>
    <t>FBBS0002</t>
  </si>
  <si>
    <t>26182/05</t>
  </si>
  <si>
    <t>26178/01</t>
  </si>
  <si>
    <t>PARADA P/RETRABALHO</t>
  </si>
  <si>
    <t>26182/04</t>
  </si>
  <si>
    <t>26178/02</t>
  </si>
  <si>
    <t>26183/03</t>
  </si>
  <si>
    <t>26176/06</t>
  </si>
  <si>
    <t>26179/01</t>
  </si>
  <si>
    <t>26182/01</t>
  </si>
  <si>
    <t>26182/02</t>
  </si>
  <si>
    <t>26184/01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</si>
</sst>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dd/mm/yy\ hh:mm;@"/>
    <numFmt numFmtId="165" formatCode="0.0000000000"/>
    <numFmt numFmtId="166" formatCode="dd/mm/yy;@"/>
    <numFmt numFmtId="167" formatCode="#,##0&quot;/h&quot;"/>
    <numFmt numFmtId="168" formatCode="#,##0&quot; un.&quot;"/>
    <numFmt numFmtId="169" formatCode="0.0\ &quot;horas&quot;"/>
    <numFmt numFmtId="170" formatCode="#,##0&quot;/dia&quot;"/>
    <numFmt numFmtId="171" formatCode="0.0\ &quot;dia(s)&quot;"/>
    <numFmt numFmtId="172" formatCode="d/m/yy\ h:mm;@"/>
    <numFmt numFmtId="173" formatCode="0&quot;ª/53 SEMANA DE 2026&quot;"/>
    <numFmt numFmtId="174" formatCode="[h]:mm"/>
    <numFmt numFmtId="175" formatCode="0.0%"/>
    <numFmt numFmtId="176" formatCode="0.0"/>
    <numFmt numFmtId="177" formatCode="#,##0.0"/>
  </numFmts>
  <fonts count="33" x14ac:knownFonts="1">
    <font>
      <sz val="11"/>
      <color theme="1"/>
      <name val="Aptos Narrow"/>
      <family val="2"/>
      <scheme val="minor"/>
    </font>
    <font>
      <sz val="8"/>
      <name val="Aptos Narrow"/>
      <family val="2"/>
      <scheme val="minor"/>
    </font>
    <font>
      <sz val="10"/>
      <name val="Arial"/>
      <family val="2"/>
    </font>
    <font>
      <sz val="11"/>
      <color rgb="FF0000FF"/>
      <name val="Aptos Narrow"/>
      <family val="2"/>
      <scheme val="minor"/>
    </font>
    <font>
      <b/>
      <sz val="14"/>
      <color rgb="FF1E429B"/>
      <name val="Open Sans"/>
      <family val="2"/>
    </font>
    <font>
      <sz val="8"/>
      <name val="Open Sans"/>
      <family val="2"/>
    </font>
    <font>
      <b/>
      <sz val="11"/>
      <color theme="0"/>
      <name val="Open Sans"/>
      <family val="2"/>
    </font>
    <font>
      <sz val="11"/>
      <name val="Open Sans"/>
      <family val="2"/>
    </font>
    <font>
      <sz val="8"/>
      <color indexed="9"/>
      <name val="Open Sans"/>
      <family val="2"/>
    </font>
    <font>
      <sz val="11"/>
      <color theme="1"/>
      <name val="Aptos Narrow"/>
      <family val="2"/>
      <scheme val="minor"/>
    </font>
    <font>
      <b/>
      <sz val="8"/>
      <color theme="0"/>
      <name val="Open Sans"/>
      <family val="2"/>
    </font>
    <font>
      <sz val="8"/>
      <color theme="0"/>
      <name val="Open Sans"/>
      <family val="2"/>
    </font>
    <font>
      <sz val="8"/>
      <color rgb="FFFFFFFF"/>
      <name val="Open Sans"/>
      <family val="2"/>
    </font>
    <font>
      <sz val="9"/>
      <color indexed="81"/>
      <name val="Tahoma"/>
      <family val="2"/>
    </font>
    <font>
      <b/>
      <sz val="9"/>
      <color indexed="81"/>
      <name val="Tahoma"/>
      <family val="2"/>
    </font>
    <font>
      <sz val="8"/>
      <name val="Open Sans"/>
      <family val="2"/>
    </font>
    <font>
      <i/>
      <sz val="8"/>
      <name val="Open Sans"/>
      <family val="2"/>
    </font>
    <font>
      <sz val="8"/>
      <color theme="0"/>
      <name val="Open Sans"/>
      <family val="2"/>
    </font>
    <font>
      <sz val="11"/>
      <color rgb="FFFF0000"/>
      <name val="Aptos Narrow"/>
      <family val="2"/>
      <scheme val="minor"/>
    </font>
    <font>
      <b/>
      <sz val="11"/>
      <color theme="1"/>
      <name val="Aptos Narrow"/>
      <family val="2"/>
      <scheme val="minor"/>
    </font>
    <font>
      <b/>
      <sz val="8"/>
      <color rgb="FF0000FF"/>
      <name val="Open Sans"/>
      <family val="2"/>
    </font>
    <font>
      <b/>
      <sz val="8"/>
      <color theme="1"/>
      <name val="Aptos Narrow"/>
      <family val="2"/>
      <scheme val="minor"/>
    </font>
    <font>
      <sz val="8"/>
      <name val="Open Sans"/>
      <family val="2"/>
    </font>
    <font>
      <b/>
      <sz val="11"/>
      <color theme="0"/>
      <name val="Aptos Narrow"/>
      <family val="2"/>
      <scheme val="minor"/>
    </font>
    <font>
      <sz val="8"/>
      <name val="Open Sans"/>
      <family val="2"/>
    </font>
    <font>
      <sz val="11"/>
      <name val="Aptos Narrow"/>
      <family val="2"/>
      <scheme val="minor"/>
    </font>
    <font>
      <sz val="8"/>
      <color theme="0"/>
      <name val="Aptos Narrow"/>
      <family val="2"/>
      <scheme val="minor"/>
    </font>
    <font>
      <b/>
      <sz val="8"/>
      <color rgb="FF0000FF"/>
      <name val="Aptos Narrow"/>
      <family val="2"/>
      <scheme val="minor"/>
    </font>
    <font>
      <sz val="11"/>
      <color theme="0"/>
      <name val="Aptos Narrow"/>
      <family val="2"/>
      <scheme val="minor"/>
    </font>
    <font>
      <sz val="8"/>
      <color rgb="FFFF0000"/>
      <name val="Aptos Narrow"/>
      <family val="2"/>
      <scheme val="minor"/>
    </font>
    <font>
      <b/>
      <sz val="11"/>
      <name val="Aptos Narrow"/>
      <family val="2"/>
      <scheme val="minor"/>
    </font>
    <font>
      <b/>
      <sz val="11"/>
      <color rgb="FFFFFFFF"/>
      <name val="Aptos Narrow"/>
      <family val="2"/>
      <scheme val="minor"/>
    </font>
    <font>
      <b/>
      <sz val="14"/>
      <color rgb="FF101E5C"/>
      <name val="Aptos Narrow"/>
      <family val="2"/>
      <scheme val="minor"/>
    </font>
  </fonts>
  <fills count="3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9"/>
        <bgColor indexed="64"/>
      </patternFill>
    </fill>
    <fill>
      <patternFill patternType="solid">
        <fgColor rgb="FF1E429B"/>
        <bgColor indexed="64"/>
      </patternFill>
    </fill>
    <fill>
      <patternFill patternType="solid">
        <fgColor indexed="56"/>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FFD9"/>
        <bgColor indexed="64"/>
      </patternFill>
    </fill>
    <fill>
      <patternFill patternType="solid">
        <fgColor rgb="FFFFA500"/>
        <bgColor indexed="64"/>
      </patternFill>
    </fill>
    <fill>
      <patternFill patternType="solid">
        <fgColor rgb="FFC00000"/>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0"/>
        <bgColor indexed="64"/>
      </patternFill>
    </fill>
    <fill>
      <patternFill patternType="solid">
        <fgColor rgb="FF101E5C"/>
        <bgColor indexed="64"/>
      </patternFill>
    </fill>
    <fill>
      <patternFill patternType="solid">
        <fgColor theme="1" tint="0.499984740745262"/>
        <bgColor indexed="64"/>
      </patternFill>
    </fill>
    <fill>
      <patternFill patternType="solid">
        <fgColor rgb="FFFFFFD9"/>
        <bgColor rgb="FF000000"/>
      </patternFill>
    </fill>
    <fill>
      <patternFill patternType="solid">
        <fgColor rgb="FFFFFFBD"/>
        <bgColor indexed="64"/>
      </patternFill>
    </fill>
    <fill>
      <patternFill patternType="solid">
        <fgColor rgb="FFFFFFE1"/>
        <bgColor indexed="64"/>
      </patternFill>
    </fill>
    <fill>
      <patternFill patternType="solid">
        <fgColor theme="0" tint="-0.249977111117893"/>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1"/>
        <bgColor indexed="64"/>
      </patternFill>
    </fill>
    <fill>
      <patternFill patternType="solid">
        <fgColor theme="7" tint="0.79998168889431442"/>
        <bgColor theme="7" tint="0.79998168889431442"/>
      </patternFill>
    </fill>
    <fill>
      <patternFill patternType="solid">
        <fgColor theme="7" tint="0.59999389629810485"/>
        <bgColor indexed="64"/>
      </patternFill>
    </fill>
  </fills>
  <borders count="136">
    <border>
      <left/>
      <right/>
      <top/>
      <bottom/>
      <diagonal/>
    </border>
    <border>
      <left style="thin">
        <color indexed="64"/>
      </left>
      <right style="thin">
        <color indexed="64"/>
      </right>
      <top style="thin">
        <color indexed="64"/>
      </top>
      <bottom style="thin">
        <color indexed="64"/>
      </bottom>
      <diagonal/>
    </border>
    <border>
      <left/>
      <right/>
      <top/>
      <bottom style="medium">
        <color rgb="FFFFA500"/>
      </bottom>
      <diagonal/>
    </border>
    <border>
      <left style="thin">
        <color rgb="FFCCCCCC"/>
      </left>
      <right style="thin">
        <color rgb="FFCCCCCC"/>
      </right>
      <top style="thin">
        <color rgb="FFCCCCCC"/>
      </top>
      <bottom style="thin">
        <color rgb="FFCCCCCC"/>
      </bottom>
      <diagonal/>
    </border>
    <border>
      <left style="thin">
        <color indexed="64"/>
      </left>
      <right style="medium">
        <color theme="0" tint="-0.14996795556505021"/>
      </right>
      <top style="thin">
        <color indexed="64"/>
      </top>
      <bottom style="medium">
        <color theme="0" tint="-0.14996795556505021"/>
      </bottom>
      <diagonal/>
    </border>
    <border>
      <left style="medium">
        <color theme="0" tint="-0.14996795556505021"/>
      </left>
      <right style="medium">
        <color theme="0" tint="-0.14996795556505021"/>
      </right>
      <top style="thin">
        <color indexed="64"/>
      </top>
      <bottom style="medium">
        <color theme="0" tint="-0.14996795556505021"/>
      </bottom>
      <diagonal/>
    </border>
    <border>
      <left style="medium">
        <color theme="0" tint="-0.14996795556505021"/>
      </left>
      <right style="thin">
        <color indexed="64"/>
      </right>
      <top style="thin">
        <color indexed="64"/>
      </top>
      <bottom style="medium">
        <color theme="0" tint="-0.14996795556505021"/>
      </bottom>
      <diagonal/>
    </border>
    <border>
      <left style="thin">
        <color rgb="FFCCCCCC"/>
      </left>
      <right/>
      <top style="thin">
        <color rgb="FFCCCCCC"/>
      </top>
      <bottom/>
      <diagonal/>
    </border>
    <border>
      <left style="thin">
        <color rgb="FFCCCCCC"/>
      </left>
      <right style="thin">
        <color rgb="FFCCCCCC"/>
      </right>
      <top style="thin">
        <color indexed="64"/>
      </top>
      <bottom style="thin">
        <color rgb="FFCCCCCC"/>
      </bottom>
      <diagonal/>
    </border>
    <border>
      <left style="thin">
        <color rgb="FFCCCCCC"/>
      </left>
      <right style="thin">
        <color rgb="FFCCCCCC"/>
      </right>
      <top style="thin">
        <color rgb="FFCCCCCC"/>
      </top>
      <bottom style="thin">
        <color indexed="64"/>
      </bottom>
      <diagonal/>
    </border>
    <border>
      <left style="thin">
        <color indexed="64"/>
      </left>
      <right/>
      <top style="thin">
        <color rgb="FFCCCCCC"/>
      </top>
      <bottom style="thin">
        <color indexed="64"/>
      </bottom>
      <diagonal/>
    </border>
    <border>
      <left style="thin">
        <color indexed="64"/>
      </left>
      <right/>
      <top style="thin">
        <color indexed="64"/>
      </top>
      <bottom style="thin">
        <color rgb="FFCCCCCC"/>
      </bottom>
      <diagonal/>
    </border>
    <border>
      <left style="thin">
        <color indexed="64"/>
      </left>
      <right/>
      <top style="thin">
        <color rgb="FFCCCCCC"/>
      </top>
      <bottom style="thin">
        <color rgb="FFCCCCCC"/>
      </bottom>
      <diagonal/>
    </border>
    <border>
      <left style="thin">
        <color indexed="64"/>
      </left>
      <right style="thin">
        <color indexed="64"/>
      </right>
      <top style="thin">
        <color rgb="FFCCCCCC"/>
      </top>
      <bottom style="thin">
        <color rgb="FFCCCCCC"/>
      </bottom>
      <diagonal/>
    </border>
    <border>
      <left style="thin">
        <color rgb="FFCCCCCC"/>
      </left>
      <right/>
      <top style="thin">
        <color rgb="FFCCCCCC"/>
      </top>
      <bottom style="thin">
        <color rgb="FFCCCCCC"/>
      </bottom>
      <diagonal/>
    </border>
    <border>
      <left style="medium">
        <color indexed="64"/>
      </left>
      <right style="thin">
        <color rgb="FFCCCCCC"/>
      </right>
      <top style="thin">
        <color indexed="64"/>
      </top>
      <bottom style="thin">
        <color rgb="FFCCCCCC"/>
      </bottom>
      <diagonal/>
    </border>
    <border>
      <left style="thin">
        <color rgb="FFCCCCCC"/>
      </left>
      <right style="medium">
        <color indexed="64"/>
      </right>
      <top style="thin">
        <color rgb="FFCCCCCC"/>
      </top>
      <bottom style="thin">
        <color rgb="FFCCCCCC"/>
      </bottom>
      <diagonal/>
    </border>
    <border>
      <left style="medium">
        <color indexed="64"/>
      </left>
      <right style="thin">
        <color rgb="FFCCCCCC"/>
      </right>
      <top style="thin">
        <color rgb="FFCCCCCC"/>
      </top>
      <bottom style="thin">
        <color rgb="FFCCCCCC"/>
      </bottom>
      <diagonal/>
    </border>
    <border>
      <left style="thin">
        <color indexed="64"/>
      </left>
      <right style="medium">
        <color indexed="64"/>
      </right>
      <top style="thin">
        <color rgb="FFCCCCCC"/>
      </top>
      <bottom style="thin">
        <color rgb="FFCCCCCC"/>
      </bottom>
      <diagonal/>
    </border>
    <border>
      <left style="thin">
        <color indexed="64"/>
      </left>
      <right style="medium">
        <color indexed="64"/>
      </right>
      <top style="thin">
        <color rgb="FFCCCCCC"/>
      </top>
      <bottom/>
      <diagonal/>
    </border>
    <border>
      <left style="medium">
        <color indexed="64"/>
      </left>
      <right style="thin">
        <color rgb="FFCCCCCC"/>
      </right>
      <top style="thin">
        <color rgb="FFCCCCCC"/>
      </top>
      <bottom style="medium">
        <color indexed="64"/>
      </bottom>
      <diagonal/>
    </border>
    <border>
      <left style="thin">
        <color rgb="FFCCCCCC"/>
      </left>
      <right style="thin">
        <color rgb="FFCCCCCC"/>
      </right>
      <top style="thin">
        <color rgb="FFCCCCCC"/>
      </top>
      <bottom style="medium">
        <color indexed="64"/>
      </bottom>
      <diagonal/>
    </border>
    <border>
      <left style="thin">
        <color indexed="64"/>
      </left>
      <right style="thin">
        <color indexed="64"/>
      </right>
      <top style="thin">
        <color rgb="FFCCCCCC"/>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CCCCCC"/>
      </right>
      <top style="medium">
        <color indexed="64"/>
      </top>
      <bottom style="thin">
        <color rgb="FFCCCCCC"/>
      </bottom>
      <diagonal/>
    </border>
    <border>
      <left style="thin">
        <color rgb="FFCCCCCC"/>
      </left>
      <right style="thin">
        <color rgb="FFCCCCCC"/>
      </right>
      <top style="medium">
        <color indexed="64"/>
      </top>
      <bottom style="thin">
        <color rgb="FFCCCCCC"/>
      </bottom>
      <diagonal/>
    </border>
    <border>
      <left style="thin">
        <color indexed="64"/>
      </left>
      <right style="thin">
        <color indexed="64"/>
      </right>
      <top style="medium">
        <color indexed="64"/>
      </top>
      <bottom style="thin">
        <color rgb="FFCCCCCC"/>
      </bottom>
      <diagonal/>
    </border>
    <border>
      <left style="thin">
        <color indexed="64"/>
      </left>
      <right style="medium">
        <color indexed="64"/>
      </right>
      <top style="medium">
        <color indexed="64"/>
      </top>
      <bottom style="thin">
        <color rgb="FFCCCCCC"/>
      </bottom>
      <diagonal/>
    </border>
    <border>
      <left style="thin">
        <color indexed="64"/>
      </left>
      <right style="medium">
        <color indexed="64"/>
      </right>
      <top style="thin">
        <color rgb="FFCCCCCC"/>
      </top>
      <bottom style="medium">
        <color indexed="64"/>
      </bottom>
      <diagonal/>
    </border>
    <border>
      <left style="thin">
        <color rgb="FFCCCCCC"/>
      </left>
      <right/>
      <top style="medium">
        <color indexed="64"/>
      </top>
      <bottom style="thin">
        <color rgb="FFCCCCCC"/>
      </bottom>
      <diagonal/>
    </border>
    <border>
      <left style="thin">
        <color rgb="FFCCCCCC"/>
      </left>
      <right/>
      <top style="thin">
        <color rgb="FFCCCCCC"/>
      </top>
      <bottom style="medium">
        <color indexed="64"/>
      </bottom>
      <diagonal/>
    </border>
    <border>
      <left style="thin">
        <color rgb="FFCCCCCC"/>
      </left>
      <right style="medium">
        <color indexed="64"/>
      </right>
      <top style="medium">
        <color indexed="64"/>
      </top>
      <bottom style="thin">
        <color rgb="FFCCCCCC"/>
      </bottom>
      <diagonal/>
    </border>
    <border>
      <left style="thin">
        <color rgb="FFCCCCCC"/>
      </left>
      <right style="medium">
        <color indexed="64"/>
      </right>
      <top style="thin">
        <color rgb="FFCCCCCC"/>
      </top>
      <bottom style="medium">
        <color indexed="64"/>
      </bottom>
      <diagonal/>
    </border>
    <border>
      <left/>
      <right style="medium">
        <color indexed="64"/>
      </right>
      <top style="medium">
        <color indexed="64"/>
      </top>
      <bottom style="thin">
        <color rgb="FFCCCCCC"/>
      </bottom>
      <diagonal/>
    </border>
    <border>
      <left/>
      <right style="medium">
        <color indexed="64"/>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CCCCCC"/>
      </left>
      <right style="thin">
        <color indexed="64"/>
      </right>
      <top/>
      <bottom style="thin">
        <color rgb="FFCCCCCC"/>
      </bottom>
      <diagonal/>
    </border>
    <border>
      <left style="medium">
        <color indexed="64"/>
      </left>
      <right/>
      <top style="medium">
        <color indexed="64"/>
      </top>
      <bottom style="medium">
        <color indexed="64"/>
      </bottom>
      <diagonal/>
    </border>
    <border>
      <left style="thin">
        <color rgb="FFCCCCCC"/>
      </left>
      <right/>
      <top style="medium">
        <color indexed="64"/>
      </top>
      <bottom style="medium">
        <color indexed="64"/>
      </bottom>
      <diagonal/>
    </border>
    <border>
      <left style="thin">
        <color rgb="FFCCCCCC"/>
      </left>
      <right style="thin">
        <color rgb="FFCCCCCC"/>
      </right>
      <top style="medium">
        <color indexed="64"/>
      </top>
      <bottom style="medium">
        <color indexed="64"/>
      </bottom>
      <diagonal/>
    </border>
    <border>
      <left style="thin">
        <color rgb="FFCCCCCC"/>
      </left>
      <right style="medium">
        <color indexed="64"/>
      </right>
      <top style="medium">
        <color indexed="64"/>
      </top>
      <bottom style="medium">
        <color indexed="64"/>
      </bottom>
      <diagonal/>
    </border>
    <border>
      <left/>
      <right style="medium">
        <color indexed="64"/>
      </right>
      <top style="thin">
        <color rgb="FFCCCCCC"/>
      </top>
      <bottom style="medium">
        <color indexed="64"/>
      </bottom>
      <diagonal/>
    </border>
    <border>
      <left style="thin">
        <color indexed="64"/>
      </left>
      <right style="thin">
        <color indexed="64"/>
      </right>
      <top style="thin">
        <color rgb="FFCCCCCC"/>
      </top>
      <bottom/>
      <diagonal/>
    </border>
    <border>
      <left style="thin">
        <color indexed="64"/>
      </left>
      <right style="thin">
        <color indexed="64"/>
      </right>
      <top/>
      <bottom/>
      <diagonal/>
    </border>
    <border>
      <left style="medium">
        <color indexed="64"/>
      </left>
      <right style="thin">
        <color rgb="FFCCCCCC"/>
      </right>
      <top/>
      <bottom style="thin">
        <color rgb="FFCCCCCC"/>
      </bottom>
      <diagonal/>
    </border>
    <border>
      <left style="thin">
        <color rgb="FFCCCCCC"/>
      </left>
      <right style="medium">
        <color indexed="64"/>
      </right>
      <top/>
      <bottom style="thin">
        <color rgb="FFCCCCCC"/>
      </bottom>
      <diagonal/>
    </border>
    <border>
      <left style="medium">
        <color indexed="64"/>
      </left>
      <right style="thin">
        <color rgb="FFCCCCCC"/>
      </right>
      <top style="thin">
        <color rgb="FFCCCCCC"/>
      </top>
      <bottom style="thin">
        <color indexed="64"/>
      </bottom>
      <diagonal/>
    </border>
    <border>
      <left style="thin">
        <color rgb="FFCCCCCC"/>
      </left>
      <right style="medium">
        <color indexed="64"/>
      </right>
      <top style="thin">
        <color rgb="FFCCCCCC"/>
      </top>
      <bottom style="thin">
        <color indexed="64"/>
      </bottom>
      <diagonal/>
    </border>
    <border>
      <left style="medium">
        <color indexed="64"/>
      </left>
      <right/>
      <top/>
      <bottom/>
      <diagonal/>
    </border>
    <border>
      <left/>
      <right style="medium">
        <color indexed="64"/>
      </right>
      <top/>
      <bottom/>
      <diagonal/>
    </border>
    <border>
      <left style="thin">
        <color rgb="FFCCCCCC"/>
      </left>
      <right style="medium">
        <color indexed="64"/>
      </right>
      <top style="thin">
        <color indexed="64"/>
      </top>
      <bottom style="thin">
        <color rgb="FFCCCCCC"/>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top style="thin">
        <color rgb="FFCCCCCC"/>
      </top>
      <bottom style="medium">
        <color indexed="64"/>
      </bottom>
      <diagonal/>
    </border>
    <border>
      <left style="thin">
        <color rgb="FFCCCCCC"/>
      </left>
      <right style="thin">
        <color indexed="64"/>
      </right>
      <top style="thin">
        <color rgb="FFCCCCCC"/>
      </top>
      <bottom style="thin">
        <color rgb="FFCCCCCC"/>
      </bottom>
      <diagonal/>
    </border>
    <border>
      <left style="thin">
        <color rgb="FFCCCCCC"/>
      </left>
      <right style="thin">
        <color indexed="64"/>
      </right>
      <top style="medium">
        <color indexed="64"/>
      </top>
      <bottom style="thin">
        <color rgb="FFCCCCCC"/>
      </bottom>
      <diagonal/>
    </border>
    <border>
      <left style="thin">
        <color rgb="FFCCCCCC"/>
      </left>
      <right style="thin">
        <color indexed="64"/>
      </right>
      <top style="thin">
        <color rgb="FFCCCCCC"/>
      </top>
      <bottom style="medium">
        <color indexed="64"/>
      </bottom>
      <diagonal/>
    </border>
    <border>
      <left/>
      <right/>
      <top style="medium">
        <color indexed="64"/>
      </top>
      <bottom style="thin">
        <color rgb="FFCCCCCC"/>
      </bottom>
      <diagonal/>
    </border>
    <border>
      <left/>
      <right/>
      <top style="thin">
        <color rgb="FFCCCCCC"/>
      </top>
      <bottom style="thin">
        <color rgb="FFCCCCCC"/>
      </bottom>
      <diagonal/>
    </border>
    <border>
      <left/>
      <right/>
      <top style="thin">
        <color rgb="FFCCCCCC"/>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rgb="FFCCCCCC"/>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rgb="FFCCCCCC"/>
      </bottom>
      <diagonal/>
    </border>
    <border>
      <left/>
      <right/>
      <top/>
      <bottom style="thin">
        <color rgb="FFCCCCCC"/>
      </bottom>
      <diagonal/>
    </border>
    <border>
      <left style="thin">
        <color indexed="64"/>
      </left>
      <right style="medium">
        <color indexed="64"/>
      </right>
      <top/>
      <bottom style="thin">
        <color rgb="FFCCCCCC"/>
      </bottom>
      <diagonal/>
    </border>
    <border>
      <left style="thin">
        <color indexed="64"/>
      </left>
      <right style="thin">
        <color indexed="64"/>
      </right>
      <top/>
      <bottom style="thin">
        <color rgb="FFCCCCCC"/>
      </bottom>
      <diagonal/>
    </border>
    <border>
      <left/>
      <right/>
      <top style="medium">
        <color indexed="64"/>
      </top>
      <bottom/>
      <diagonal/>
    </border>
    <border>
      <left/>
      <right/>
      <top/>
      <bottom style="medium">
        <color indexed="64"/>
      </bottom>
      <diagonal/>
    </border>
    <border>
      <left/>
      <right/>
      <top style="thin">
        <color indexed="64"/>
      </top>
      <bottom/>
      <diagonal/>
    </border>
    <border>
      <left style="medium">
        <color indexed="64"/>
      </left>
      <right style="thin">
        <color rgb="FFCCCCCC"/>
      </right>
      <top style="thin">
        <color rgb="FFCCCCCC"/>
      </top>
      <bottom/>
      <diagonal/>
    </border>
    <border>
      <left style="thin">
        <color rgb="FFCCCCCC"/>
      </left>
      <right style="thin">
        <color rgb="FFCCCCCC"/>
      </right>
      <top style="thin">
        <color rgb="FFCCCCCC"/>
      </top>
      <bottom/>
      <diagonal/>
    </border>
    <border>
      <left style="thin">
        <color rgb="FFCCCCCC"/>
      </left>
      <right style="thin">
        <color indexed="64"/>
      </right>
      <top style="thin">
        <color rgb="FFCCCCCC"/>
      </top>
      <bottom/>
      <diagonal/>
    </border>
    <border>
      <left/>
      <right/>
      <top style="thin">
        <color rgb="FFCCCCCC"/>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thin">
        <color rgb="FFCCCCCC"/>
      </bottom>
      <diagonal/>
    </border>
    <border>
      <left/>
      <right style="thin">
        <color indexed="64"/>
      </right>
      <top/>
      <bottom style="thin">
        <color rgb="FFCCCCCC"/>
      </bottom>
      <diagonal/>
    </border>
    <border>
      <left/>
      <right style="thin">
        <color indexed="64"/>
      </right>
      <top style="thin">
        <color rgb="FFCCCCCC"/>
      </top>
      <bottom style="thin">
        <color rgb="FFCCCCCC"/>
      </bottom>
      <diagonal/>
    </border>
    <border>
      <left/>
      <right style="thin">
        <color indexed="64"/>
      </right>
      <top style="thin">
        <color rgb="FFCCCCCC"/>
      </top>
      <bottom style="medium">
        <color indexed="64"/>
      </bottom>
      <diagonal/>
    </border>
    <border>
      <left/>
      <right style="medium">
        <color indexed="64"/>
      </right>
      <top style="thin">
        <color rgb="FFCCCCCC"/>
      </top>
      <bottom/>
      <diagonal/>
    </border>
    <border>
      <left/>
      <right style="thin">
        <color indexed="64"/>
      </right>
      <top style="thin">
        <color rgb="FFCCCCCC"/>
      </top>
      <bottom/>
      <diagonal/>
    </border>
    <border>
      <left style="thin">
        <color rgb="FFCCCCCC"/>
      </left>
      <right/>
      <top/>
      <bottom/>
      <diagonal/>
    </border>
    <border>
      <left style="thin">
        <color rgb="FFCCCCCC"/>
      </left>
      <right/>
      <top/>
      <bottom style="thin">
        <color rgb="FFCCCCCC"/>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rgb="FFCCCCCC"/>
      </bottom>
      <diagonal/>
    </border>
    <border>
      <left style="medium">
        <color indexed="64"/>
      </left>
      <right style="medium">
        <color indexed="64"/>
      </right>
      <top style="thin">
        <color rgb="FFCCCCCC"/>
      </top>
      <bottom style="thin">
        <color rgb="FFCCCCCC"/>
      </bottom>
      <diagonal/>
    </border>
    <border>
      <left style="medium">
        <color indexed="64"/>
      </left>
      <right style="medium">
        <color indexed="64"/>
      </right>
      <top style="thin">
        <color rgb="FFCCCCCC"/>
      </top>
      <bottom style="medium">
        <color indexed="64"/>
      </bottom>
      <diagonal/>
    </border>
    <border>
      <left style="hair">
        <color indexed="64"/>
      </left>
      <right style="hair">
        <color indexed="64"/>
      </right>
      <top style="hair">
        <color indexed="64"/>
      </top>
      <bottom style="hair">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thin">
        <color theme="0" tint="-0.24994659260841701"/>
      </top>
      <bottom style="thin">
        <color rgb="FFCCCCCC"/>
      </bottom>
      <diagonal/>
    </border>
    <border>
      <left style="medium">
        <color indexed="64"/>
      </left>
      <right style="thin">
        <color rgb="FFCCCCCC"/>
      </right>
      <top style="medium">
        <color indexed="64"/>
      </top>
      <bottom/>
      <diagonal/>
    </border>
    <border>
      <left style="thin">
        <color rgb="FFCCCCCC"/>
      </left>
      <right style="thin">
        <color rgb="FFCCCCCC"/>
      </right>
      <top style="medium">
        <color indexed="64"/>
      </top>
      <bottom/>
      <diagonal/>
    </border>
    <border>
      <left style="thin">
        <color rgb="FFCCCCCC"/>
      </left>
      <right/>
      <top style="medium">
        <color indexed="64"/>
      </top>
      <bottom/>
      <diagonal/>
    </border>
    <border>
      <left style="thin">
        <color rgb="FFCCCCCC"/>
      </left>
      <right style="thin">
        <color rgb="FFCCCCCC"/>
      </right>
      <top style="thin">
        <color theme="0" tint="-0.24994659260841701"/>
      </top>
      <bottom style="thin">
        <color rgb="FFCCCCCC"/>
      </bottom>
      <diagonal/>
    </border>
    <border>
      <left style="thin">
        <color rgb="FFCCCCCC"/>
      </left>
      <right/>
      <top style="thin">
        <color theme="0" tint="-0.24994659260841701"/>
      </top>
      <bottom style="thin">
        <color rgb="FFCCCCCC"/>
      </bottom>
      <diagonal/>
    </border>
    <border>
      <left style="medium">
        <color indexed="64"/>
      </left>
      <right style="medium">
        <color indexed="64"/>
      </right>
      <top style="thin">
        <color rgb="FFCCCCCC"/>
      </top>
      <bottom/>
      <diagonal/>
    </border>
    <border>
      <left/>
      <right/>
      <top/>
      <bottom style="thin">
        <color rgb="FF101E5C"/>
      </bottom>
      <diagonal/>
    </border>
    <border>
      <left/>
      <right/>
      <top style="thin">
        <color rgb="FF101E5C"/>
      </top>
      <bottom style="thin">
        <color rgb="FF101E5C"/>
      </bottom>
      <diagonal/>
    </border>
    <border>
      <left/>
      <right/>
      <top style="thin">
        <color rgb="FF101E5C"/>
      </top>
      <bottom/>
      <diagonal/>
    </border>
    <border>
      <left style="medium">
        <color indexed="64"/>
      </left>
      <right/>
      <top style="thin">
        <color theme="0" tint="-0.24994659260841701"/>
      </top>
      <bottom style="thin">
        <color rgb="FFCCCCCC"/>
      </bottom>
      <diagonal/>
    </border>
    <border>
      <left style="medium">
        <color indexed="64"/>
      </left>
      <right/>
      <top/>
      <bottom style="thin">
        <color rgb="FFCCCCCC"/>
      </bottom>
      <diagonal/>
    </border>
    <border>
      <left style="medium">
        <color indexed="64"/>
      </left>
      <right/>
      <top style="thin">
        <color rgb="FFCCCCCC"/>
      </top>
      <bottom style="thin">
        <color rgb="FFCCCCCC"/>
      </bottom>
      <diagonal/>
    </border>
    <border>
      <left style="medium">
        <color indexed="64"/>
      </left>
      <right/>
      <top style="thin">
        <color rgb="FFCCCCCC"/>
      </top>
      <bottom style="medium">
        <color indexed="64"/>
      </bottom>
      <diagonal/>
    </border>
    <border>
      <left style="medium">
        <color indexed="64"/>
      </left>
      <right style="thin">
        <color rgb="FFCCCCCC"/>
      </right>
      <top style="medium">
        <color theme="1"/>
      </top>
      <bottom style="thin">
        <color rgb="FFCCCCCC"/>
      </bottom>
      <diagonal/>
    </border>
    <border>
      <left style="medium">
        <color indexed="64"/>
      </left>
      <right style="thin">
        <color rgb="FFCCCCCC"/>
      </right>
      <top style="thin">
        <color rgb="FFCCCCCC"/>
      </top>
      <bottom style="medium">
        <color theme="1"/>
      </bottom>
      <diagonal/>
    </border>
    <border>
      <left style="medium">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hair">
        <color indexed="64"/>
      </right>
      <top style="hair">
        <color indexed="64"/>
      </top>
      <bottom style="hair">
        <color indexed="64"/>
      </bottom>
      <diagonal/>
    </border>
    <border>
      <left style="medium">
        <color indexed="64"/>
      </left>
      <right/>
      <top style="thin">
        <color rgb="FFCCCCCC"/>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theme="0" tint="-0.24994659260841701"/>
      </top>
      <bottom style="medium">
        <color indexed="64"/>
      </bottom>
      <diagonal/>
    </border>
    <border>
      <left style="medium">
        <color indexed="64"/>
      </left>
      <right style="medium">
        <color indexed="64"/>
      </right>
      <top style="medium">
        <color indexed="64"/>
      </top>
      <bottom style="thin">
        <color rgb="FFCCCCCC"/>
      </bottom>
      <diagonal/>
    </border>
    <border>
      <left style="medium">
        <color indexed="64"/>
      </left>
      <right style="medium">
        <color indexed="64"/>
      </right>
      <top style="medium">
        <color indexed="64"/>
      </top>
      <bottom style="thin">
        <color theme="0" tint="-0.24994659260841701"/>
      </bottom>
      <diagonal/>
    </border>
  </borders>
  <cellStyleXfs count="4">
    <xf numFmtId="0" fontId="0" fillId="0" borderId="0"/>
    <xf numFmtId="0" fontId="2" fillId="0" borderId="0"/>
    <xf numFmtId="9" fontId="9" fillId="0" borderId="0" applyFont="0" applyFill="0" applyBorder="0" applyAlignment="0" applyProtection="0"/>
    <xf numFmtId="0" fontId="2" fillId="0" borderId="0"/>
  </cellStyleXfs>
  <cellXfs count="756">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14" fontId="0" fillId="0" borderId="0" xfId="0" applyNumberFormat="1" applyAlignment="1">
      <alignment horizontal="center" vertical="center"/>
    </xf>
    <xf numFmtId="3" fontId="0" fillId="0" borderId="0" xfId="0" applyNumberFormat="1" applyAlignment="1">
      <alignment horizontal="center" vertical="center"/>
    </xf>
    <xf numFmtId="14" fontId="0" fillId="2" borderId="0" xfId="0" applyNumberFormat="1" applyFill="1" applyAlignment="1">
      <alignment horizontal="center" vertical="center"/>
    </xf>
    <xf numFmtId="0" fontId="0" fillId="2" borderId="0" xfId="0" applyFill="1" applyAlignment="1">
      <alignment horizontal="center" vertical="center"/>
    </xf>
    <xf numFmtId="3" fontId="0" fillId="2" borderId="0" xfId="0" applyNumberFormat="1" applyFill="1" applyAlignment="1">
      <alignment horizontal="center" vertical="center"/>
    </xf>
    <xf numFmtId="0" fontId="0" fillId="2" borderId="0" xfId="0" applyFill="1" applyAlignment="1">
      <alignment vertical="center"/>
    </xf>
    <xf numFmtId="0" fontId="0" fillId="2" borderId="0" xfId="0" applyFill="1"/>
    <xf numFmtId="165" fontId="0" fillId="0" borderId="0" xfId="0" applyNumberFormat="1"/>
    <xf numFmtId="0" fontId="4" fillId="0" borderId="2" xfId="0" applyFont="1" applyBorder="1" applyAlignment="1">
      <alignment horizontal="left" vertical="center"/>
    </xf>
    <xf numFmtId="0" fontId="5" fillId="0" borderId="2" xfId="0" applyFont="1" applyBorder="1" applyAlignment="1">
      <alignment horizontal="center"/>
    </xf>
    <xf numFmtId="0" fontId="5" fillId="0" borderId="0" xfId="0" applyFont="1"/>
    <xf numFmtId="0" fontId="5" fillId="0" borderId="0" xfId="0" applyFont="1" applyAlignment="1">
      <alignment horizontal="center"/>
    </xf>
    <xf numFmtId="0" fontId="7" fillId="0" borderId="0" xfId="0" applyFont="1"/>
    <xf numFmtId="0" fontId="8" fillId="6"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6" xfId="0" applyFont="1" applyFill="1" applyBorder="1" applyAlignment="1">
      <alignment horizontal="center" vertical="center"/>
    </xf>
    <xf numFmtId="9" fontId="0" fillId="0" borderId="0" xfId="2" applyFont="1" applyAlignment="1">
      <alignment horizontal="center"/>
    </xf>
    <xf numFmtId="166" fontId="5" fillId="0" borderId="3" xfId="0" applyNumberFormat="1" applyFont="1" applyBorder="1" applyAlignment="1">
      <alignment horizontal="center"/>
    </xf>
    <xf numFmtId="20" fontId="5" fillId="0" borderId="3" xfId="0" applyNumberFormat="1" applyFont="1" applyBorder="1" applyAlignment="1">
      <alignment horizontal="center"/>
    </xf>
    <xf numFmtId="0" fontId="6" fillId="5" borderId="7" xfId="0" applyFont="1" applyFill="1" applyBorder="1" applyAlignment="1">
      <alignment horizontal="center"/>
    </xf>
    <xf numFmtId="166" fontId="5" fillId="0" borderId="8" xfId="0" applyNumberFormat="1" applyFont="1" applyBorder="1" applyAlignment="1">
      <alignment horizontal="center"/>
    </xf>
    <xf numFmtId="20" fontId="5" fillId="0" borderId="8" xfId="0" applyNumberFormat="1" applyFont="1" applyBorder="1" applyAlignment="1">
      <alignment horizontal="center"/>
    </xf>
    <xf numFmtId="166" fontId="5" fillId="0" borderId="9" xfId="0" applyNumberFormat="1" applyFont="1" applyBorder="1" applyAlignment="1">
      <alignment horizontal="center"/>
    </xf>
    <xf numFmtId="20" fontId="5" fillId="0" borderId="9" xfId="0" applyNumberFormat="1" applyFont="1" applyBorder="1" applyAlignment="1">
      <alignment horizontal="center"/>
    </xf>
    <xf numFmtId="0" fontId="5" fillId="0" borderId="10" xfId="0" applyFont="1" applyBorder="1" applyAlignment="1">
      <alignment horizontal="center"/>
    </xf>
    <xf numFmtId="0" fontId="5" fillId="0" borderId="11" xfId="0" applyFont="1" applyBorder="1" applyAlignment="1">
      <alignment horizontal="center"/>
    </xf>
    <xf numFmtId="0" fontId="5" fillId="0" borderId="12" xfId="0" applyFont="1" applyBorder="1" applyAlignment="1">
      <alignment horizontal="center"/>
    </xf>
    <xf numFmtId="0" fontId="11" fillId="0" borderId="0" xfId="0" applyFont="1"/>
    <xf numFmtId="0" fontId="5" fillId="7" borderId="13" xfId="0" applyFont="1" applyFill="1" applyBorder="1" applyAlignment="1">
      <alignment horizontal="center"/>
    </xf>
    <xf numFmtId="0" fontId="5" fillId="7" borderId="3" xfId="0" applyFont="1" applyFill="1" applyBorder="1" applyAlignment="1">
      <alignment horizontal="center"/>
    </xf>
    <xf numFmtId="0" fontId="5" fillId="7" borderId="9" xfId="0" applyFont="1" applyFill="1" applyBorder="1" applyAlignment="1">
      <alignment horizontal="center"/>
    </xf>
    <xf numFmtId="0" fontId="5" fillId="7" borderId="8" xfId="0" applyFont="1" applyFill="1" applyBorder="1" applyAlignment="1">
      <alignment horizontal="center"/>
    </xf>
    <xf numFmtId="20" fontId="5" fillId="0" borderId="14" xfId="0" applyNumberFormat="1" applyFont="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9" xfId="0" applyFont="1" applyFill="1" applyBorder="1" applyAlignment="1">
      <alignment horizontal="center"/>
    </xf>
    <xf numFmtId="0" fontId="5" fillId="2" borderId="13" xfId="0" applyFont="1" applyFill="1" applyBorder="1" applyAlignment="1">
      <alignment horizontal="center"/>
    </xf>
    <xf numFmtId="0" fontId="5" fillId="0" borderId="15" xfId="0" applyFont="1" applyBorder="1" applyAlignment="1">
      <alignment horizontal="center"/>
    </xf>
    <xf numFmtId="0" fontId="5" fillId="4" borderId="16" xfId="0" applyFont="1" applyFill="1" applyBorder="1" applyAlignment="1">
      <alignment horizontal="center"/>
    </xf>
    <xf numFmtId="0" fontId="5" fillId="0" borderId="17" xfId="0" applyFont="1" applyBorder="1" applyAlignment="1">
      <alignment horizontal="center"/>
    </xf>
    <xf numFmtId="0" fontId="5" fillId="7" borderId="16" xfId="0" applyFont="1" applyFill="1" applyBorder="1" applyAlignment="1">
      <alignment horizontal="center"/>
    </xf>
    <xf numFmtId="0" fontId="5" fillId="7" borderId="18" xfId="0" applyFont="1" applyFill="1" applyBorder="1" applyAlignment="1">
      <alignment horizontal="center"/>
    </xf>
    <xf numFmtId="0" fontId="5" fillId="7" borderId="19" xfId="0" applyFont="1" applyFill="1" applyBorder="1" applyAlignment="1">
      <alignment horizontal="center"/>
    </xf>
    <xf numFmtId="0" fontId="5" fillId="0" borderId="20" xfId="0" applyFont="1" applyBorder="1" applyAlignment="1">
      <alignment horizontal="center"/>
    </xf>
    <xf numFmtId="166" fontId="5" fillId="0" borderId="21" xfId="0" applyNumberFormat="1" applyFont="1" applyBorder="1" applyAlignment="1">
      <alignment horizontal="center"/>
    </xf>
    <xf numFmtId="20" fontId="5" fillId="0" borderId="21" xfId="0" applyNumberFormat="1" applyFont="1" applyBorder="1" applyAlignment="1">
      <alignment horizontal="center"/>
    </xf>
    <xf numFmtId="0" fontId="5" fillId="7" borderId="22" xfId="0" applyFont="1" applyFill="1" applyBorder="1" applyAlignment="1">
      <alignment horizontal="center"/>
    </xf>
    <xf numFmtId="0" fontId="5" fillId="4" borderId="23" xfId="0" applyFont="1" applyFill="1" applyBorder="1" applyAlignment="1">
      <alignment horizontal="center"/>
    </xf>
    <xf numFmtId="0" fontId="5" fillId="0" borderId="24" xfId="0" applyFont="1" applyBorder="1" applyAlignment="1">
      <alignment horizontal="center"/>
    </xf>
    <xf numFmtId="166" fontId="5" fillId="0" borderId="25" xfId="0" applyNumberFormat="1" applyFont="1" applyBorder="1" applyAlignment="1">
      <alignment horizontal="center"/>
    </xf>
    <xf numFmtId="20" fontId="5" fillId="0" borderId="25" xfId="0" applyNumberFormat="1" applyFont="1" applyBorder="1" applyAlignment="1">
      <alignment horizontal="center"/>
    </xf>
    <xf numFmtId="0" fontId="5" fillId="7" borderId="26" xfId="0" applyFont="1" applyFill="1" applyBorder="1" applyAlignment="1">
      <alignment horizontal="center"/>
    </xf>
    <xf numFmtId="0" fontId="5" fillId="7" borderId="27" xfId="0" applyFont="1" applyFill="1" applyBorder="1" applyAlignment="1">
      <alignment horizontal="center"/>
    </xf>
    <xf numFmtId="0" fontId="5" fillId="4" borderId="18" xfId="0" applyFont="1" applyFill="1" applyBorder="1" applyAlignment="1">
      <alignment horizontal="center"/>
    </xf>
    <xf numFmtId="0" fontId="5" fillId="7" borderId="28" xfId="0" applyFont="1" applyFill="1" applyBorder="1" applyAlignment="1">
      <alignment horizontal="center"/>
    </xf>
    <xf numFmtId="20" fontId="5" fillId="0" borderId="29" xfId="0" applyNumberFormat="1" applyFont="1" applyBorder="1" applyAlignment="1">
      <alignment horizontal="center"/>
    </xf>
    <xf numFmtId="0" fontId="5" fillId="4" borderId="26" xfId="0" applyFont="1" applyFill="1" applyBorder="1" applyAlignment="1">
      <alignment horizontal="center"/>
    </xf>
    <xf numFmtId="0" fontId="5" fillId="4" borderId="27" xfId="0" applyFont="1" applyFill="1" applyBorder="1" applyAlignment="1">
      <alignment horizontal="center"/>
    </xf>
    <xf numFmtId="20" fontId="5" fillId="0" borderId="30" xfId="0" applyNumberFormat="1" applyFont="1" applyBorder="1" applyAlignment="1">
      <alignment horizontal="center"/>
    </xf>
    <xf numFmtId="0" fontId="5" fillId="8" borderId="27" xfId="0" applyFont="1" applyFill="1" applyBorder="1" applyAlignment="1">
      <alignment horizontal="center"/>
    </xf>
    <xf numFmtId="0" fontId="5" fillId="8" borderId="18" xfId="0" applyFont="1" applyFill="1" applyBorder="1" applyAlignment="1">
      <alignment horizontal="center"/>
    </xf>
    <xf numFmtId="0" fontId="5" fillId="8" borderId="28" xfId="0" applyFont="1" applyFill="1" applyBorder="1" applyAlignment="1">
      <alignment horizontal="center"/>
    </xf>
    <xf numFmtId="0" fontId="5" fillId="4" borderId="31" xfId="0" applyFont="1" applyFill="1" applyBorder="1" applyAlignment="1">
      <alignment horizontal="center"/>
    </xf>
    <xf numFmtId="2" fontId="5" fillId="0" borderId="3" xfId="0" applyNumberFormat="1" applyFont="1" applyBorder="1" applyAlignment="1">
      <alignment horizontal="center"/>
    </xf>
    <xf numFmtId="2" fontId="0" fillId="0" borderId="0" xfId="0" applyNumberFormat="1"/>
    <xf numFmtId="2" fontId="5" fillId="0" borderId="31" xfId="0" applyNumberFormat="1" applyFont="1" applyBorder="1" applyAlignment="1">
      <alignment horizontal="center"/>
    </xf>
    <xf numFmtId="2" fontId="5" fillId="0" borderId="16" xfId="0" applyNumberFormat="1" applyFont="1" applyBorder="1" applyAlignment="1">
      <alignment horizontal="center"/>
    </xf>
    <xf numFmtId="2" fontId="5" fillId="0" borderId="25" xfId="0" applyNumberFormat="1" applyFont="1" applyBorder="1" applyAlignment="1">
      <alignment horizontal="center"/>
    </xf>
    <xf numFmtId="2" fontId="5" fillId="0" borderId="21" xfId="0" applyNumberFormat="1" applyFont="1" applyBorder="1" applyAlignment="1">
      <alignment horizontal="center"/>
    </xf>
    <xf numFmtId="2" fontId="5" fillId="0" borderId="32" xfId="0" applyNumberFormat="1" applyFont="1" applyBorder="1" applyAlignment="1">
      <alignment horizontal="center"/>
    </xf>
    <xf numFmtId="0" fontId="5" fillId="2" borderId="18" xfId="0" applyFont="1" applyFill="1" applyBorder="1" applyAlignment="1">
      <alignment horizontal="center"/>
    </xf>
    <xf numFmtId="0" fontId="5" fillId="2" borderId="28" xfId="0" applyFont="1" applyFill="1" applyBorder="1" applyAlignment="1">
      <alignment horizontal="center"/>
    </xf>
    <xf numFmtId="166" fontId="5" fillId="0" borderId="35" xfId="0" applyNumberFormat="1" applyFont="1" applyBorder="1" applyAlignment="1">
      <alignment horizontal="center"/>
    </xf>
    <xf numFmtId="20" fontId="5" fillId="0" borderId="35" xfId="0" applyNumberFormat="1" applyFont="1" applyBorder="1" applyAlignment="1">
      <alignment horizontal="center"/>
    </xf>
    <xf numFmtId="0" fontId="5" fillId="7" borderId="36" xfId="0" applyFont="1" applyFill="1" applyBorder="1" applyAlignment="1">
      <alignment horizontal="center"/>
    </xf>
    <xf numFmtId="0" fontId="6" fillId="5" borderId="37" xfId="0" applyFont="1" applyFill="1" applyBorder="1" applyAlignment="1">
      <alignment horizontal="center"/>
    </xf>
    <xf numFmtId="0" fontId="6" fillId="5" borderId="38" xfId="0" applyFont="1" applyFill="1" applyBorder="1"/>
    <xf numFmtId="0" fontId="6" fillId="5" borderId="39" xfId="0" applyFont="1" applyFill="1" applyBorder="1" applyAlignment="1">
      <alignment horizontal="center"/>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2" fontId="15" fillId="0" borderId="22" xfId="0" applyNumberFormat="1" applyFont="1" applyBorder="1" applyAlignment="1">
      <alignment horizontal="center"/>
    </xf>
    <xf numFmtId="2" fontId="15" fillId="0" borderId="26" xfId="0" applyNumberFormat="1" applyFont="1" applyBorder="1" applyAlignment="1">
      <alignment horizontal="center"/>
    </xf>
    <xf numFmtId="2" fontId="15" fillId="0" borderId="13" xfId="0" applyNumberFormat="1" applyFont="1" applyBorder="1" applyAlignment="1">
      <alignment horizontal="center"/>
    </xf>
    <xf numFmtId="20" fontId="15" fillId="0" borderId="29" xfId="0" applyNumberFormat="1" applyFont="1" applyBorder="1" applyAlignment="1">
      <alignment horizontal="center"/>
    </xf>
    <xf numFmtId="2" fontId="15" fillId="0" borderId="33" xfId="0" applyNumberFormat="1" applyFont="1" applyBorder="1" applyAlignment="1">
      <alignment horizontal="center"/>
    </xf>
    <xf numFmtId="20" fontId="15" fillId="0" borderId="14" xfId="0" applyNumberFormat="1" applyFont="1" applyBorder="1" applyAlignment="1">
      <alignment horizontal="center"/>
    </xf>
    <xf numFmtId="2" fontId="15" fillId="0" borderId="34" xfId="0" applyNumberFormat="1" applyFont="1" applyBorder="1" applyAlignment="1">
      <alignment horizontal="center"/>
    </xf>
    <xf numFmtId="20" fontId="15" fillId="0" borderId="30" xfId="0" applyNumberFormat="1" applyFont="1" applyBorder="1" applyAlignment="1">
      <alignment horizontal="center"/>
    </xf>
    <xf numFmtId="2" fontId="15" fillId="0" borderId="41" xfId="0" applyNumberFormat="1" applyFont="1" applyBorder="1" applyAlignment="1">
      <alignment horizontal="center"/>
    </xf>
    <xf numFmtId="9" fontId="0" fillId="0" borderId="0" xfId="2" applyFont="1"/>
    <xf numFmtId="2" fontId="5" fillId="9" borderId="33" xfId="0" applyNumberFormat="1" applyFont="1" applyFill="1" applyBorder="1" applyAlignment="1">
      <alignment horizontal="center"/>
    </xf>
    <xf numFmtId="2" fontId="5" fillId="9" borderId="34" xfId="0" applyNumberFormat="1" applyFont="1" applyFill="1" applyBorder="1" applyAlignment="1">
      <alignment horizontal="center"/>
    </xf>
    <xf numFmtId="2" fontId="5" fillId="9" borderId="41" xfId="0" applyNumberFormat="1" applyFont="1" applyFill="1" applyBorder="1" applyAlignment="1">
      <alignment horizontal="center"/>
    </xf>
    <xf numFmtId="0" fontId="5" fillId="0" borderId="44" xfId="0" applyFont="1" applyBorder="1" applyAlignment="1">
      <alignment horizontal="center"/>
    </xf>
    <xf numFmtId="0" fontId="5" fillId="4" borderId="45" xfId="0" applyFont="1" applyFill="1" applyBorder="1" applyAlignment="1">
      <alignment horizontal="center"/>
    </xf>
    <xf numFmtId="0" fontId="5" fillId="0" borderId="46" xfId="0" applyFont="1" applyBorder="1" applyAlignment="1">
      <alignment horizontal="center"/>
    </xf>
    <xf numFmtId="0" fontId="5" fillId="4" borderId="47" xfId="0" applyFont="1" applyFill="1" applyBorder="1" applyAlignment="1">
      <alignment horizontal="center"/>
    </xf>
    <xf numFmtId="0" fontId="0" fillId="0" borderId="48" xfId="0" applyBorder="1"/>
    <xf numFmtId="0" fontId="0" fillId="0" borderId="49" xfId="0" applyBorder="1"/>
    <xf numFmtId="0" fontId="10" fillId="5" borderId="50" xfId="0" applyFont="1" applyFill="1" applyBorder="1" applyAlignment="1">
      <alignment horizontal="center"/>
    </xf>
    <xf numFmtId="0" fontId="5" fillId="7" borderId="47" xfId="0" applyFont="1" applyFill="1" applyBorder="1" applyAlignment="1">
      <alignment horizontal="center"/>
    </xf>
    <xf numFmtId="0" fontId="5" fillId="7" borderId="50" xfId="0" applyFont="1" applyFill="1" applyBorder="1" applyAlignment="1">
      <alignment horizontal="center"/>
    </xf>
    <xf numFmtId="0" fontId="5" fillId="2" borderId="16" xfId="0" applyFont="1" applyFill="1" applyBorder="1" applyAlignment="1">
      <alignment horizontal="center"/>
    </xf>
    <xf numFmtId="0" fontId="5" fillId="2" borderId="47" xfId="0" applyFont="1" applyFill="1" applyBorder="1" applyAlignment="1">
      <alignment horizontal="center"/>
    </xf>
    <xf numFmtId="0" fontId="0" fillId="2" borderId="49" xfId="0" applyFill="1" applyBorder="1"/>
    <xf numFmtId="0" fontId="5" fillId="2" borderId="50" xfId="0" applyFont="1" applyFill="1" applyBorder="1" applyAlignment="1">
      <alignment horizontal="center"/>
    </xf>
    <xf numFmtId="2" fontId="0" fillId="0" borderId="49" xfId="0" applyNumberFormat="1" applyBorder="1"/>
    <xf numFmtId="0" fontId="0" fillId="10" borderId="0" xfId="0" applyFill="1"/>
    <xf numFmtId="0" fontId="5" fillId="10" borderId="24" xfId="0" applyFont="1" applyFill="1" applyBorder="1" applyAlignment="1">
      <alignment horizontal="center"/>
    </xf>
    <xf numFmtId="166" fontId="5" fillId="10" borderId="25" xfId="0" applyNumberFormat="1" applyFont="1" applyFill="1" applyBorder="1" applyAlignment="1">
      <alignment horizontal="center"/>
    </xf>
    <xf numFmtId="20" fontId="5" fillId="10" borderId="29" xfId="0" applyNumberFormat="1" applyFont="1" applyFill="1" applyBorder="1" applyAlignment="1">
      <alignment horizontal="center"/>
    </xf>
    <xf numFmtId="0" fontId="15" fillId="10" borderId="26" xfId="0" applyFont="1" applyFill="1" applyBorder="1" applyAlignment="1">
      <alignment horizontal="center"/>
    </xf>
    <xf numFmtId="0" fontId="5" fillId="10" borderId="17" xfId="0" applyFont="1" applyFill="1" applyBorder="1" applyAlignment="1">
      <alignment horizontal="center"/>
    </xf>
    <xf numFmtId="166" fontId="5" fillId="10" borderId="3" xfId="0" applyNumberFormat="1" applyFont="1" applyFill="1" applyBorder="1" applyAlignment="1">
      <alignment horizontal="center"/>
    </xf>
    <xf numFmtId="20" fontId="5" fillId="10" borderId="14" xfId="0" applyNumberFormat="1" applyFont="1" applyFill="1" applyBorder="1" applyAlignment="1">
      <alignment horizontal="center"/>
    </xf>
    <xf numFmtId="0" fontId="5" fillId="10" borderId="20" xfId="0" applyFont="1" applyFill="1" applyBorder="1" applyAlignment="1">
      <alignment horizontal="center"/>
    </xf>
    <xf numFmtId="166" fontId="5" fillId="10" borderId="21" xfId="0" applyNumberFormat="1" applyFont="1" applyFill="1" applyBorder="1" applyAlignment="1">
      <alignment horizontal="center"/>
    </xf>
    <xf numFmtId="20" fontId="5" fillId="10" borderId="30" xfId="0" applyNumberFormat="1" applyFont="1" applyFill="1" applyBorder="1" applyAlignment="1">
      <alignment horizontal="center"/>
    </xf>
    <xf numFmtId="2" fontId="0" fillId="10" borderId="0" xfId="0" applyNumberFormat="1" applyFill="1"/>
    <xf numFmtId="2" fontId="5" fillId="10" borderId="13" xfId="0" applyNumberFormat="1" applyFont="1" applyFill="1" applyBorder="1" applyAlignment="1">
      <alignment horizontal="center"/>
    </xf>
    <xf numFmtId="2" fontId="15" fillId="10" borderId="26" xfId="0" applyNumberFormat="1" applyFont="1" applyFill="1" applyBorder="1" applyAlignment="1">
      <alignment horizontal="center"/>
    </xf>
    <xf numFmtId="2" fontId="15" fillId="10" borderId="22" xfId="0" applyNumberFormat="1" applyFont="1" applyFill="1" applyBorder="1" applyAlignment="1">
      <alignment horizontal="center"/>
    </xf>
    <xf numFmtId="20" fontId="15" fillId="10" borderId="29" xfId="0" applyNumberFormat="1" applyFont="1" applyFill="1" applyBorder="1" applyAlignment="1">
      <alignment horizontal="center"/>
    </xf>
    <xf numFmtId="20" fontId="15" fillId="10" borderId="14" xfId="0" applyNumberFormat="1" applyFont="1" applyFill="1" applyBorder="1" applyAlignment="1">
      <alignment horizontal="center"/>
    </xf>
    <xf numFmtId="2" fontId="15" fillId="10" borderId="13" xfId="0" applyNumberFormat="1" applyFont="1" applyFill="1" applyBorder="1" applyAlignment="1">
      <alignment horizontal="center"/>
    </xf>
    <xf numFmtId="0" fontId="11" fillId="10" borderId="0" xfId="0" applyFont="1" applyFill="1"/>
    <xf numFmtId="0" fontId="15" fillId="10" borderId="33" xfId="0" applyFont="1" applyFill="1" applyBorder="1" applyAlignment="1">
      <alignment horizontal="center"/>
    </xf>
    <xf numFmtId="2" fontId="15" fillId="10" borderId="27" xfId="0" applyNumberFormat="1" applyFont="1" applyFill="1" applyBorder="1" applyAlignment="1">
      <alignment horizontal="center"/>
    </xf>
    <xf numFmtId="2" fontId="15" fillId="10" borderId="18" xfId="0" applyNumberFormat="1" applyFont="1" applyFill="1" applyBorder="1" applyAlignment="1">
      <alignment horizontal="center"/>
    </xf>
    <xf numFmtId="2" fontId="15" fillId="10" borderId="28" xfId="0" applyNumberFormat="1" applyFont="1" applyFill="1" applyBorder="1" applyAlignment="1">
      <alignment horizontal="center"/>
    </xf>
    <xf numFmtId="0" fontId="7" fillId="10" borderId="0" xfId="0" applyFont="1" applyFill="1"/>
    <xf numFmtId="0" fontId="15" fillId="2" borderId="13" xfId="0" applyFont="1" applyFill="1" applyBorder="1" applyAlignment="1">
      <alignment horizontal="center"/>
    </xf>
    <xf numFmtId="0" fontId="15" fillId="2" borderId="42" xfId="0" applyFont="1" applyFill="1" applyBorder="1" applyAlignment="1">
      <alignment horizontal="center"/>
    </xf>
    <xf numFmtId="2" fontId="15" fillId="2" borderId="43" xfId="0" applyNumberFormat="1" applyFont="1" applyFill="1" applyBorder="1" applyAlignment="1">
      <alignment horizontal="center"/>
    </xf>
    <xf numFmtId="2" fontId="15" fillId="2" borderId="51" xfId="0" applyNumberFormat="1" applyFont="1" applyFill="1" applyBorder="1" applyAlignment="1">
      <alignment horizontal="center"/>
    </xf>
    <xf numFmtId="0" fontId="5" fillId="11" borderId="20" xfId="0" applyFont="1" applyFill="1" applyBorder="1" applyAlignment="1">
      <alignment horizontal="center"/>
    </xf>
    <xf numFmtId="166" fontId="5" fillId="11" borderId="21" xfId="0" applyNumberFormat="1" applyFont="1" applyFill="1" applyBorder="1" applyAlignment="1">
      <alignment horizontal="center"/>
    </xf>
    <xf numFmtId="0" fontId="0" fillId="11" borderId="51" xfId="0" applyFill="1" applyBorder="1" applyAlignment="1">
      <alignment horizontal="center" vertical="center"/>
    </xf>
    <xf numFmtId="0" fontId="0" fillId="11" borderId="52" xfId="0" applyFill="1" applyBorder="1" applyAlignment="1">
      <alignment horizontal="center" vertical="center"/>
    </xf>
    <xf numFmtId="0" fontId="5" fillId="11" borderId="24" xfId="0" applyFont="1" applyFill="1" applyBorder="1" applyAlignment="1">
      <alignment horizontal="center"/>
    </xf>
    <xf numFmtId="166" fontId="5" fillId="11" borderId="25" xfId="0" applyNumberFormat="1" applyFont="1" applyFill="1" applyBorder="1" applyAlignment="1">
      <alignment horizontal="center"/>
    </xf>
    <xf numFmtId="0" fontId="5" fillId="11" borderId="17" xfId="0" applyFont="1" applyFill="1" applyBorder="1" applyAlignment="1">
      <alignment horizontal="center"/>
    </xf>
    <xf numFmtId="166" fontId="5" fillId="11" borderId="3" xfId="0" applyNumberFormat="1" applyFont="1" applyFill="1" applyBorder="1" applyAlignment="1">
      <alignment horizontal="center"/>
    </xf>
    <xf numFmtId="2" fontId="5" fillId="0" borderId="13" xfId="0" applyNumberFormat="1" applyFont="1" applyBorder="1" applyAlignment="1">
      <alignment horizontal="center"/>
    </xf>
    <xf numFmtId="2" fontId="5" fillId="0" borderId="22" xfId="0" applyNumberFormat="1" applyFont="1" applyBorder="1" applyAlignment="1">
      <alignment horizontal="center"/>
    </xf>
    <xf numFmtId="2" fontId="5" fillId="0" borderId="26" xfId="0" applyNumberFormat="1" applyFont="1" applyBorder="1" applyAlignment="1">
      <alignment horizontal="center"/>
    </xf>
    <xf numFmtId="2" fontId="5" fillId="0" borderId="27" xfId="0" applyNumberFormat="1" applyFont="1" applyBorder="1" applyAlignment="1">
      <alignment horizontal="center"/>
    </xf>
    <xf numFmtId="2" fontId="5" fillId="0" borderId="18" xfId="0" applyNumberFormat="1" applyFont="1" applyBorder="1" applyAlignment="1">
      <alignment horizontal="center"/>
    </xf>
    <xf numFmtId="2" fontId="5" fillId="0" borderId="28" xfId="0" applyNumberFormat="1" applyFont="1" applyBorder="1" applyAlignment="1">
      <alignment horizontal="center"/>
    </xf>
    <xf numFmtId="2" fontId="5" fillId="0" borderId="12" xfId="0" applyNumberFormat="1" applyFont="1" applyBorder="1" applyAlignment="1">
      <alignment horizontal="center"/>
    </xf>
    <xf numFmtId="2" fontId="5" fillId="0" borderId="53" xfId="0" applyNumberFormat="1" applyFont="1" applyBorder="1" applyAlignment="1">
      <alignment horizontal="center"/>
    </xf>
    <xf numFmtId="2" fontId="5" fillId="0" borderId="33" xfId="0" applyNumberFormat="1" applyFont="1" applyBorder="1" applyAlignment="1">
      <alignment horizontal="center"/>
    </xf>
    <xf numFmtId="2" fontId="5" fillId="0" borderId="34" xfId="0" applyNumberFormat="1" applyFont="1" applyBorder="1" applyAlignment="1">
      <alignment horizontal="center"/>
    </xf>
    <xf numFmtId="2" fontId="5" fillId="0" borderId="41" xfId="0" applyNumberFormat="1" applyFont="1" applyBorder="1" applyAlignment="1">
      <alignment horizontal="center"/>
    </xf>
    <xf numFmtId="0" fontId="16" fillId="9" borderId="24" xfId="0" applyFont="1" applyFill="1" applyBorder="1" applyAlignment="1">
      <alignment horizontal="center"/>
    </xf>
    <xf numFmtId="166" fontId="16" fillId="9" borderId="25" xfId="0" applyNumberFormat="1" applyFont="1" applyFill="1" applyBorder="1" applyAlignment="1">
      <alignment horizontal="center"/>
    </xf>
    <xf numFmtId="20" fontId="16" fillId="9" borderId="29" xfId="0" applyNumberFormat="1" applyFont="1" applyFill="1" applyBorder="1" applyAlignment="1">
      <alignment horizontal="center"/>
    </xf>
    <xf numFmtId="2" fontId="16" fillId="9" borderId="26" xfId="0" applyNumberFormat="1" applyFont="1" applyFill="1" applyBorder="1" applyAlignment="1">
      <alignment horizontal="center"/>
    </xf>
    <xf numFmtId="2" fontId="16" fillId="9" borderId="27" xfId="0" applyNumberFormat="1" applyFont="1" applyFill="1" applyBorder="1" applyAlignment="1">
      <alignment horizontal="center"/>
    </xf>
    <xf numFmtId="0" fontId="16" fillId="9" borderId="17" xfId="0" applyFont="1" applyFill="1" applyBorder="1" applyAlignment="1">
      <alignment horizontal="center"/>
    </xf>
    <xf numFmtId="166" fontId="16" fillId="9" borderId="3" xfId="0" applyNumberFormat="1" applyFont="1" applyFill="1" applyBorder="1" applyAlignment="1">
      <alignment horizontal="center"/>
    </xf>
    <xf numFmtId="20" fontId="16" fillId="9" borderId="14" xfId="0" applyNumberFormat="1" applyFont="1" applyFill="1" applyBorder="1" applyAlignment="1">
      <alignment horizontal="center"/>
    </xf>
    <xf numFmtId="2" fontId="16" fillId="9" borderId="13" xfId="0" applyNumberFormat="1" applyFont="1" applyFill="1" applyBorder="1" applyAlignment="1">
      <alignment horizontal="center"/>
    </xf>
    <xf numFmtId="2" fontId="16" fillId="9" borderId="18" xfId="0" applyNumberFormat="1" applyFont="1" applyFill="1" applyBorder="1" applyAlignment="1">
      <alignment horizontal="center"/>
    </xf>
    <xf numFmtId="2" fontId="16" fillId="9" borderId="34" xfId="0" applyNumberFormat="1" applyFont="1" applyFill="1" applyBorder="1" applyAlignment="1">
      <alignment horizontal="center"/>
    </xf>
    <xf numFmtId="0" fontId="16" fillId="9" borderId="20" xfId="0" applyFont="1" applyFill="1" applyBorder="1" applyAlignment="1">
      <alignment horizontal="center"/>
    </xf>
    <xf numFmtId="166" fontId="16" fillId="9" borderId="21" xfId="0" applyNumberFormat="1" applyFont="1" applyFill="1" applyBorder="1" applyAlignment="1">
      <alignment horizontal="center"/>
    </xf>
    <xf numFmtId="20" fontId="16" fillId="9" borderId="30" xfId="0" applyNumberFormat="1" applyFont="1" applyFill="1" applyBorder="1" applyAlignment="1">
      <alignment horizontal="center"/>
    </xf>
    <xf numFmtId="2" fontId="16" fillId="9" borderId="22" xfId="0" applyNumberFormat="1" applyFont="1" applyFill="1" applyBorder="1" applyAlignment="1">
      <alignment horizontal="center"/>
    </xf>
    <xf numFmtId="2" fontId="16" fillId="9" borderId="28" xfId="0" applyNumberFormat="1" applyFont="1" applyFill="1" applyBorder="1" applyAlignment="1">
      <alignment horizontal="center"/>
    </xf>
    <xf numFmtId="2" fontId="5" fillId="12" borderId="26" xfId="0" applyNumberFormat="1" applyFont="1" applyFill="1" applyBorder="1" applyAlignment="1">
      <alignment horizontal="center"/>
    </xf>
    <xf numFmtId="2" fontId="5" fillId="12" borderId="13" xfId="0" applyNumberFormat="1" applyFont="1" applyFill="1" applyBorder="1" applyAlignment="1">
      <alignment horizontal="center"/>
    </xf>
    <xf numFmtId="2" fontId="5" fillId="12" borderId="22" xfId="0" applyNumberFormat="1" applyFont="1" applyFill="1" applyBorder="1" applyAlignment="1">
      <alignment horizontal="center"/>
    </xf>
    <xf numFmtId="0" fontId="15" fillId="12" borderId="33" xfId="0" applyFont="1" applyFill="1" applyBorder="1" applyAlignment="1">
      <alignment horizontal="center"/>
    </xf>
    <xf numFmtId="0" fontId="5" fillId="12" borderId="34" xfId="0" applyFont="1" applyFill="1" applyBorder="1" applyAlignment="1">
      <alignment horizontal="center"/>
    </xf>
    <xf numFmtId="0" fontId="5" fillId="12" borderId="41" xfId="0" applyFont="1" applyFill="1" applyBorder="1" applyAlignment="1">
      <alignment horizontal="center"/>
    </xf>
    <xf numFmtId="2" fontId="5" fillId="11" borderId="33" xfId="0" applyNumberFormat="1" applyFont="1" applyFill="1" applyBorder="1" applyAlignment="1">
      <alignment horizontal="center"/>
    </xf>
    <xf numFmtId="2" fontId="5" fillId="11" borderId="34" xfId="0" applyNumberFormat="1" applyFont="1" applyFill="1" applyBorder="1" applyAlignment="1">
      <alignment horizontal="center"/>
    </xf>
    <xf numFmtId="2" fontId="5" fillId="11" borderId="41" xfId="0" applyNumberFormat="1" applyFont="1" applyFill="1" applyBorder="1" applyAlignment="1">
      <alignment horizontal="center"/>
    </xf>
    <xf numFmtId="2" fontId="5" fillId="0" borderId="57" xfId="0" applyNumberFormat="1" applyFont="1" applyBorder="1" applyAlignment="1">
      <alignment horizontal="center"/>
    </xf>
    <xf numFmtId="2" fontId="5" fillId="0" borderId="58" xfId="0" applyNumberFormat="1" applyFont="1" applyBorder="1" applyAlignment="1">
      <alignment horizontal="center"/>
    </xf>
    <xf numFmtId="2" fontId="5" fillId="0" borderId="59" xfId="0" applyNumberFormat="1" applyFont="1" applyBorder="1" applyAlignment="1">
      <alignment horizontal="center"/>
    </xf>
    <xf numFmtId="20" fontId="5" fillId="0" borderId="54" xfId="0" applyNumberFormat="1" applyFont="1" applyBorder="1" applyAlignment="1">
      <alignment horizontal="center"/>
    </xf>
    <xf numFmtId="20" fontId="5" fillId="0" borderId="55" xfId="0" applyNumberFormat="1" applyFont="1" applyBorder="1" applyAlignment="1">
      <alignment horizontal="center"/>
    </xf>
    <xf numFmtId="20" fontId="5" fillId="0" borderId="56" xfId="0" applyNumberFormat="1" applyFont="1" applyBorder="1" applyAlignment="1">
      <alignment horizontal="center"/>
    </xf>
    <xf numFmtId="0" fontId="5" fillId="0" borderId="26" xfId="0" applyFont="1" applyBorder="1" applyAlignment="1">
      <alignment horizontal="center"/>
    </xf>
    <xf numFmtId="0" fontId="5" fillId="0" borderId="13" xfId="0" applyFont="1" applyBorder="1" applyAlignment="1">
      <alignment horizontal="center"/>
    </xf>
    <xf numFmtId="2" fontId="5" fillId="0" borderId="43" xfId="0" applyNumberFormat="1" applyFont="1" applyBorder="1" applyAlignment="1">
      <alignment horizontal="center"/>
    </xf>
    <xf numFmtId="20" fontId="5" fillId="11" borderId="30" xfId="0" applyNumberFormat="1" applyFont="1" applyFill="1" applyBorder="1" applyAlignment="1">
      <alignment horizontal="center"/>
    </xf>
    <xf numFmtId="20" fontId="5" fillId="11" borderId="55" xfId="0" applyNumberFormat="1" applyFont="1" applyFill="1" applyBorder="1" applyAlignment="1">
      <alignment horizontal="center"/>
    </xf>
    <xf numFmtId="20" fontId="5" fillId="11" borderId="54" xfId="0" applyNumberFormat="1" applyFont="1" applyFill="1" applyBorder="1" applyAlignment="1">
      <alignment horizontal="center"/>
    </xf>
    <xf numFmtId="20" fontId="5" fillId="11" borderId="56" xfId="0" applyNumberFormat="1" applyFont="1" applyFill="1" applyBorder="1" applyAlignment="1">
      <alignment horizontal="center"/>
    </xf>
    <xf numFmtId="0" fontId="17" fillId="10" borderId="0" xfId="0" applyFont="1" applyFill="1"/>
    <xf numFmtId="2" fontId="5" fillId="13" borderId="26" xfId="0" applyNumberFormat="1" applyFont="1" applyFill="1" applyBorder="1" applyAlignment="1">
      <alignment horizontal="center"/>
    </xf>
    <xf numFmtId="2" fontId="5" fillId="13" borderId="13" xfId="0" applyNumberFormat="1" applyFont="1" applyFill="1" applyBorder="1" applyAlignment="1">
      <alignment horizontal="center"/>
    </xf>
    <xf numFmtId="0" fontId="18" fillId="0" borderId="60" xfId="0" applyFont="1" applyBorder="1" applyAlignment="1">
      <alignment horizontal="center"/>
    </xf>
    <xf numFmtId="0" fontId="18" fillId="0" borderId="61" xfId="0" applyFont="1" applyBorder="1" applyAlignment="1">
      <alignment horizontal="center"/>
    </xf>
    <xf numFmtId="0" fontId="19" fillId="10" borderId="0" xfId="0" applyFont="1" applyFill="1"/>
    <xf numFmtId="166" fontId="20" fillId="0" borderId="25" xfId="0" applyNumberFormat="1" applyFont="1" applyBorder="1" applyAlignment="1">
      <alignment horizontal="center"/>
    </xf>
    <xf numFmtId="167" fontId="0" fillId="0" borderId="0" xfId="0" applyNumberFormat="1" applyAlignment="1">
      <alignment horizontal="center"/>
    </xf>
    <xf numFmtId="0" fontId="21" fillId="0" borderId="0" xfId="0" applyFont="1" applyAlignment="1">
      <alignment horizontal="center" vertical="center"/>
    </xf>
    <xf numFmtId="168" fontId="3" fillId="14" borderId="0" xfId="0" applyNumberFormat="1" applyFont="1" applyFill="1" applyAlignment="1">
      <alignment horizontal="center"/>
    </xf>
    <xf numFmtId="0" fontId="22" fillId="0" borderId="24" xfId="0" applyFont="1" applyBorder="1" applyAlignment="1">
      <alignment horizontal="center"/>
    </xf>
    <xf numFmtId="166" fontId="22" fillId="0" borderId="25" xfId="0" applyNumberFormat="1" applyFont="1" applyBorder="1" applyAlignment="1">
      <alignment horizontal="center"/>
    </xf>
    <xf numFmtId="20" fontId="22" fillId="0" borderId="29" xfId="0" applyNumberFormat="1" applyFont="1" applyBorder="1" applyAlignment="1">
      <alignment horizontal="center"/>
    </xf>
    <xf numFmtId="2" fontId="22" fillId="0" borderId="26" xfId="0" applyNumberFormat="1" applyFont="1" applyBorder="1" applyAlignment="1">
      <alignment horizontal="center"/>
    </xf>
    <xf numFmtId="2" fontId="22" fillId="0" borderId="33" xfId="0" applyNumberFormat="1" applyFont="1" applyBorder="1" applyAlignment="1">
      <alignment horizontal="center"/>
    </xf>
    <xf numFmtId="0" fontId="22" fillId="0" borderId="17" xfId="0" applyFont="1" applyBorder="1" applyAlignment="1">
      <alignment horizontal="center"/>
    </xf>
    <xf numFmtId="166" fontId="22" fillId="0" borderId="3" xfId="0" applyNumberFormat="1" applyFont="1" applyBorder="1" applyAlignment="1">
      <alignment horizontal="center"/>
    </xf>
    <xf numFmtId="20" fontId="22" fillId="0" borderId="14" xfId="0" applyNumberFormat="1" applyFont="1" applyBorder="1" applyAlignment="1">
      <alignment horizontal="center"/>
    </xf>
    <xf numFmtId="2" fontId="22" fillId="0" borderId="13" xfId="0" applyNumberFormat="1" applyFont="1" applyBorder="1" applyAlignment="1">
      <alignment horizontal="center"/>
    </xf>
    <xf numFmtId="2" fontId="22" fillId="0" borderId="34" xfId="0" applyNumberFormat="1" applyFont="1" applyBorder="1" applyAlignment="1">
      <alignment horizontal="center"/>
    </xf>
    <xf numFmtId="0" fontId="22" fillId="0" borderId="20" xfId="0" applyFont="1" applyBorder="1" applyAlignment="1">
      <alignment horizontal="center"/>
    </xf>
    <xf numFmtId="166" fontId="22" fillId="0" borderId="21" xfId="0" applyNumberFormat="1" applyFont="1" applyBorder="1" applyAlignment="1">
      <alignment horizontal="center"/>
    </xf>
    <xf numFmtId="20" fontId="22" fillId="0" borderId="30" xfId="0" applyNumberFormat="1" applyFont="1" applyBorder="1" applyAlignment="1">
      <alignment horizontal="center"/>
    </xf>
    <xf numFmtId="2" fontId="22" fillId="0" borderId="22" xfId="0" applyNumberFormat="1" applyFont="1" applyBorder="1" applyAlignment="1">
      <alignment horizontal="center"/>
    </xf>
    <xf numFmtId="2" fontId="22" fillId="0" borderId="41" xfId="0" applyNumberFormat="1" applyFont="1" applyBorder="1" applyAlignment="1">
      <alignment horizontal="center"/>
    </xf>
    <xf numFmtId="2" fontId="22" fillId="0" borderId="18" xfId="0" applyNumberFormat="1" applyFont="1" applyBorder="1" applyAlignment="1">
      <alignment horizontal="center"/>
    </xf>
    <xf numFmtId="20" fontId="22" fillId="0" borderId="55" xfId="0" applyNumberFormat="1" applyFont="1" applyBorder="1" applyAlignment="1">
      <alignment horizontal="center"/>
    </xf>
    <xf numFmtId="2" fontId="22" fillId="0" borderId="57" xfId="0" applyNumberFormat="1" applyFont="1" applyBorder="1" applyAlignment="1">
      <alignment horizontal="center"/>
    </xf>
    <xf numFmtId="2" fontId="22" fillId="0" borderId="27" xfId="0" applyNumberFormat="1" applyFont="1" applyBorder="1" applyAlignment="1">
      <alignment horizontal="center"/>
    </xf>
    <xf numFmtId="20" fontId="22" fillId="0" borderId="54" xfId="0" applyNumberFormat="1" applyFont="1" applyBorder="1" applyAlignment="1">
      <alignment horizontal="center"/>
    </xf>
    <xf numFmtId="2" fontId="22" fillId="0" borderId="58" xfId="0" applyNumberFormat="1" applyFont="1" applyBorder="1" applyAlignment="1">
      <alignment horizontal="center"/>
    </xf>
    <xf numFmtId="20" fontId="22" fillId="0" borderId="56" xfId="0" applyNumberFormat="1" applyFont="1" applyBorder="1" applyAlignment="1">
      <alignment horizontal="center"/>
    </xf>
    <xf numFmtId="2" fontId="22" fillId="0" borderId="59" xfId="0" applyNumberFormat="1" applyFont="1" applyBorder="1" applyAlignment="1">
      <alignment horizontal="center"/>
    </xf>
    <xf numFmtId="2" fontId="22" fillId="0" borderId="28" xfId="0" applyNumberFormat="1" applyFont="1" applyBorder="1" applyAlignment="1">
      <alignment horizontal="center"/>
    </xf>
    <xf numFmtId="14" fontId="0" fillId="0" borderId="0" xfId="0" applyNumberFormat="1"/>
    <xf numFmtId="1" fontId="0" fillId="0" borderId="0" xfId="0" applyNumberFormat="1"/>
    <xf numFmtId="3" fontId="0" fillId="0" borderId="0" xfId="0" applyNumberFormat="1"/>
    <xf numFmtId="2" fontId="5" fillId="0" borderId="0" xfId="0" applyNumberFormat="1" applyFont="1" applyAlignment="1">
      <alignment horizontal="center"/>
    </xf>
    <xf numFmtId="169" fontId="0" fillId="0" borderId="0" xfId="0" applyNumberFormat="1" applyAlignment="1">
      <alignment horizontal="center"/>
    </xf>
    <xf numFmtId="170" fontId="0" fillId="0" borderId="0" xfId="0" applyNumberFormat="1" applyAlignment="1">
      <alignment horizontal="center"/>
    </xf>
    <xf numFmtId="2" fontId="5" fillId="7" borderId="13" xfId="0" applyNumberFormat="1" applyFont="1" applyFill="1" applyBorder="1" applyAlignment="1">
      <alignment horizontal="center"/>
    </xf>
    <xf numFmtId="2" fontId="5" fillId="7" borderId="22" xfId="0" applyNumberFormat="1" applyFont="1" applyFill="1" applyBorder="1" applyAlignment="1">
      <alignment horizontal="center"/>
    </xf>
    <xf numFmtId="0" fontId="6" fillId="5" borderId="38" xfId="0" applyFont="1" applyFill="1" applyBorder="1" applyAlignment="1">
      <alignment horizontal="center"/>
    </xf>
    <xf numFmtId="0" fontId="3" fillId="14" borderId="0" xfId="0" applyFont="1" applyFill="1" applyAlignment="1">
      <alignment horizontal="center"/>
    </xf>
    <xf numFmtId="171" fontId="0" fillId="0" borderId="0" xfId="0" applyNumberFormat="1" applyAlignment="1">
      <alignment horizontal="center"/>
    </xf>
    <xf numFmtId="2" fontId="5" fillId="7" borderId="26" xfId="0" applyNumberFormat="1" applyFont="1" applyFill="1" applyBorder="1" applyAlignment="1">
      <alignment horizontal="center"/>
    </xf>
    <xf numFmtId="2" fontId="5" fillId="7" borderId="33" xfId="0" applyNumberFormat="1" applyFont="1" applyFill="1" applyBorder="1" applyAlignment="1">
      <alignment horizontal="center"/>
    </xf>
    <xf numFmtId="2" fontId="5" fillId="7" borderId="34" xfId="0" applyNumberFormat="1" applyFont="1" applyFill="1" applyBorder="1" applyAlignment="1">
      <alignment horizontal="center"/>
    </xf>
    <xf numFmtId="2" fontId="5" fillId="7" borderId="41" xfId="0" applyNumberFormat="1" applyFont="1" applyFill="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5" fillId="0" borderId="62" xfId="0" applyFont="1" applyBorder="1" applyAlignment="1">
      <alignment horizontal="center"/>
    </xf>
    <xf numFmtId="2" fontId="5" fillId="7" borderId="57" xfId="0" applyNumberFormat="1" applyFont="1" applyFill="1" applyBorder="1" applyAlignment="1">
      <alignment horizontal="center"/>
    </xf>
    <xf numFmtId="2" fontId="5" fillId="7" borderId="58" xfId="0" applyNumberFormat="1" applyFont="1" applyFill="1" applyBorder="1" applyAlignment="1">
      <alignment horizontal="center"/>
    </xf>
    <xf numFmtId="2" fontId="5" fillId="7" borderId="59" xfId="0" applyNumberFormat="1" applyFont="1" applyFill="1" applyBorder="1" applyAlignment="1">
      <alignment horizontal="center"/>
    </xf>
    <xf numFmtId="2" fontId="22" fillId="7" borderId="57" xfId="0" applyNumberFormat="1" applyFont="1" applyFill="1" applyBorder="1" applyAlignment="1">
      <alignment horizontal="center"/>
    </xf>
    <xf numFmtId="2" fontId="22" fillId="7" borderId="58" xfId="0" applyNumberFormat="1" applyFont="1" applyFill="1" applyBorder="1" applyAlignment="1">
      <alignment horizontal="center"/>
    </xf>
    <xf numFmtId="2" fontId="22" fillId="7" borderId="59" xfId="0" applyNumberFormat="1" applyFont="1" applyFill="1" applyBorder="1" applyAlignment="1">
      <alignment horizontal="center"/>
    </xf>
    <xf numFmtId="2" fontId="5" fillId="13" borderId="58" xfId="0" applyNumberFormat="1" applyFont="1" applyFill="1" applyBorder="1" applyAlignment="1">
      <alignment horizontal="center"/>
    </xf>
    <xf numFmtId="2" fontId="22" fillId="13" borderId="57" xfId="0" applyNumberFormat="1" applyFont="1" applyFill="1" applyBorder="1" applyAlignment="1">
      <alignment horizontal="center"/>
    </xf>
    <xf numFmtId="2" fontId="5" fillId="7" borderId="27" xfId="0" applyNumberFormat="1" applyFont="1" applyFill="1" applyBorder="1" applyAlignment="1">
      <alignment horizontal="center"/>
    </xf>
    <xf numFmtId="2" fontId="5" fillId="7" borderId="18" xfId="0" applyNumberFormat="1" applyFont="1" applyFill="1" applyBorder="1" applyAlignment="1">
      <alignment horizontal="center"/>
    </xf>
    <xf numFmtId="2" fontId="5" fillId="7" borderId="28" xfId="0" applyNumberFormat="1" applyFont="1" applyFill="1" applyBorder="1" applyAlignment="1">
      <alignment horizontal="center"/>
    </xf>
    <xf numFmtId="2" fontId="22" fillId="7" borderId="18" xfId="0" applyNumberFormat="1" applyFont="1" applyFill="1" applyBorder="1" applyAlignment="1">
      <alignment horizontal="center"/>
    </xf>
    <xf numFmtId="2" fontId="22" fillId="7" borderId="28" xfId="0" applyNumberFormat="1" applyFont="1" applyFill="1" applyBorder="1" applyAlignment="1">
      <alignment horizontal="center"/>
    </xf>
    <xf numFmtId="2" fontId="22" fillId="7" borderId="27" xfId="0" applyNumberFormat="1" applyFont="1" applyFill="1" applyBorder="1" applyAlignment="1">
      <alignment horizontal="center"/>
    </xf>
    <xf numFmtId="0" fontId="19" fillId="0" borderId="0" xfId="0" applyFont="1"/>
    <xf numFmtId="164" fontId="3" fillId="0" borderId="1" xfId="0" applyNumberFormat="1" applyFont="1" applyBorder="1" applyAlignment="1">
      <alignment horizontal="center" vertical="center"/>
    </xf>
    <xf numFmtId="2" fontId="0" fillId="0" borderId="1" xfId="0" applyNumberFormat="1" applyBorder="1" applyAlignment="1">
      <alignment horizontal="center" vertical="center"/>
    </xf>
    <xf numFmtId="1" fontId="0" fillId="0" borderId="1" xfId="0" applyNumberFormat="1" applyBorder="1" applyAlignment="1">
      <alignment horizontal="center" vertical="center"/>
    </xf>
    <xf numFmtId="14" fontId="3" fillId="0" borderId="1" xfId="0" applyNumberFormat="1" applyFont="1" applyBorder="1" applyAlignment="1">
      <alignment horizontal="center" vertical="center"/>
    </xf>
    <xf numFmtId="49" fontId="3" fillId="0" borderId="1" xfId="0" applyNumberFormat="1" applyFont="1" applyBorder="1" applyAlignment="1">
      <alignment horizontal="center" vertical="center"/>
    </xf>
    <xf numFmtId="3"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xf>
    <xf numFmtId="0" fontId="22" fillId="7" borderId="24" xfId="0" applyFont="1" applyFill="1" applyBorder="1" applyAlignment="1">
      <alignment horizontal="center"/>
    </xf>
    <xf numFmtId="166" fontId="22" fillId="7" borderId="25" xfId="0" applyNumberFormat="1" applyFont="1" applyFill="1" applyBorder="1" applyAlignment="1">
      <alignment horizontal="center"/>
    </xf>
    <xf numFmtId="20" fontId="22" fillId="7" borderId="55" xfId="0" applyNumberFormat="1" applyFont="1" applyFill="1" applyBorder="1" applyAlignment="1">
      <alignment horizontal="center"/>
    </xf>
    <xf numFmtId="0" fontId="5" fillId="7" borderId="17" xfId="0" applyFont="1" applyFill="1" applyBorder="1" applyAlignment="1">
      <alignment horizontal="center"/>
    </xf>
    <xf numFmtId="166" fontId="5" fillId="7" borderId="3" xfId="0" applyNumberFormat="1" applyFont="1" applyFill="1" applyBorder="1" applyAlignment="1">
      <alignment horizontal="center"/>
    </xf>
    <xf numFmtId="20" fontId="5" fillId="7" borderId="54" xfId="0" applyNumberFormat="1" applyFont="1" applyFill="1" applyBorder="1" applyAlignment="1">
      <alignment horizontal="center"/>
    </xf>
    <xf numFmtId="0" fontId="22" fillId="7" borderId="17" xfId="0" applyFont="1" applyFill="1" applyBorder="1" applyAlignment="1">
      <alignment horizontal="center"/>
    </xf>
    <xf numFmtId="166" fontId="22" fillId="7" borderId="3" xfId="0" applyNumberFormat="1" applyFont="1" applyFill="1" applyBorder="1" applyAlignment="1">
      <alignment horizontal="center"/>
    </xf>
    <xf numFmtId="20" fontId="22" fillId="7" borderId="54" xfId="0" applyNumberFormat="1" applyFont="1" applyFill="1" applyBorder="1" applyAlignment="1">
      <alignment horizontal="center"/>
    </xf>
    <xf numFmtId="0" fontId="5" fillId="7" borderId="20" xfId="0" applyFont="1" applyFill="1" applyBorder="1" applyAlignment="1">
      <alignment horizontal="center"/>
    </xf>
    <xf numFmtId="166" fontId="5" fillId="7" borderId="21" xfId="0" applyNumberFormat="1" applyFont="1" applyFill="1" applyBorder="1" applyAlignment="1">
      <alignment horizontal="center"/>
    </xf>
    <xf numFmtId="20" fontId="5" fillId="7" borderId="56" xfId="0" applyNumberFormat="1" applyFont="1" applyFill="1" applyBorder="1" applyAlignment="1">
      <alignment horizontal="center"/>
    </xf>
    <xf numFmtId="20" fontId="5" fillId="10" borderId="55" xfId="0" applyNumberFormat="1" applyFont="1" applyFill="1" applyBorder="1" applyAlignment="1">
      <alignment horizontal="center"/>
    </xf>
    <xf numFmtId="2" fontId="5" fillId="10" borderId="57" xfId="0" applyNumberFormat="1" applyFont="1" applyFill="1" applyBorder="1" applyAlignment="1">
      <alignment horizontal="center"/>
    </xf>
    <xf numFmtId="20" fontId="5" fillId="10" borderId="54" xfId="0" applyNumberFormat="1" applyFont="1" applyFill="1" applyBorder="1" applyAlignment="1">
      <alignment horizontal="center"/>
    </xf>
    <xf numFmtId="2" fontId="5" fillId="10" borderId="58" xfId="0" applyNumberFormat="1" applyFont="1" applyFill="1" applyBorder="1" applyAlignment="1">
      <alignment horizontal="center"/>
    </xf>
    <xf numFmtId="20" fontId="5" fillId="10" borderId="56" xfId="0" applyNumberFormat="1" applyFont="1" applyFill="1" applyBorder="1" applyAlignment="1">
      <alignment horizontal="center"/>
    </xf>
    <xf numFmtId="2" fontId="5" fillId="10" borderId="59" xfId="0" applyNumberFormat="1" applyFont="1" applyFill="1" applyBorder="1" applyAlignment="1">
      <alignment horizontal="center"/>
    </xf>
    <xf numFmtId="0" fontId="22" fillId="10" borderId="24" xfId="0" applyFont="1" applyFill="1" applyBorder="1" applyAlignment="1">
      <alignment horizontal="center"/>
    </xf>
    <xf numFmtId="166" fontId="22" fillId="10" borderId="25" xfId="0" applyNumberFormat="1" applyFont="1" applyFill="1" applyBorder="1" applyAlignment="1">
      <alignment horizontal="center"/>
    </xf>
    <xf numFmtId="20" fontId="22" fillId="10" borderId="55" xfId="0" applyNumberFormat="1" applyFont="1" applyFill="1" applyBorder="1" applyAlignment="1">
      <alignment horizontal="center"/>
    </xf>
    <xf numFmtId="2" fontId="22" fillId="10" borderId="27" xfId="0" applyNumberFormat="1" applyFont="1" applyFill="1" applyBorder="1" applyAlignment="1">
      <alignment horizontal="center"/>
    </xf>
    <xf numFmtId="0" fontId="22" fillId="10" borderId="17" xfId="0" applyFont="1" applyFill="1" applyBorder="1" applyAlignment="1">
      <alignment horizontal="center"/>
    </xf>
    <xf numFmtId="166" fontId="22" fillId="10" borderId="3" xfId="0" applyNumberFormat="1" applyFont="1" applyFill="1" applyBorder="1" applyAlignment="1">
      <alignment horizontal="center"/>
    </xf>
    <xf numFmtId="20" fontId="22" fillId="10" borderId="54" xfId="0" applyNumberFormat="1" applyFont="1" applyFill="1" applyBorder="1" applyAlignment="1">
      <alignment horizontal="center"/>
    </xf>
    <xf numFmtId="2" fontId="22" fillId="10" borderId="58" xfId="0" applyNumberFormat="1" applyFont="1" applyFill="1" applyBorder="1" applyAlignment="1">
      <alignment horizontal="center"/>
    </xf>
    <xf numFmtId="0" fontId="22" fillId="10" borderId="20" xfId="0" applyFont="1" applyFill="1" applyBorder="1" applyAlignment="1">
      <alignment horizontal="center"/>
    </xf>
    <xf numFmtId="166" fontId="22" fillId="10" borderId="21" xfId="0" applyNumberFormat="1" applyFont="1" applyFill="1" applyBorder="1" applyAlignment="1">
      <alignment horizontal="center"/>
    </xf>
    <xf numFmtId="20" fontId="22" fillId="10" borderId="56" xfId="0" applyNumberFormat="1" applyFont="1" applyFill="1" applyBorder="1" applyAlignment="1">
      <alignment horizontal="center"/>
    </xf>
    <xf numFmtId="2" fontId="5" fillId="0" borderId="65" xfId="0" applyNumberFormat="1" applyFont="1" applyBorder="1" applyAlignment="1">
      <alignment horizontal="center"/>
    </xf>
    <xf numFmtId="2" fontId="5" fillId="15" borderId="57" xfId="0" applyNumberFormat="1" applyFont="1" applyFill="1" applyBorder="1" applyAlignment="1">
      <alignment horizontal="center"/>
    </xf>
    <xf numFmtId="2" fontId="5" fillId="15" borderId="58" xfId="0" applyNumberFormat="1" applyFont="1" applyFill="1" applyBorder="1" applyAlignment="1">
      <alignment horizontal="center"/>
    </xf>
    <xf numFmtId="2" fontId="22" fillId="15" borderId="58" xfId="0" applyNumberFormat="1" applyFont="1" applyFill="1" applyBorder="1" applyAlignment="1">
      <alignment horizontal="center"/>
    </xf>
    <xf numFmtId="2" fontId="22" fillId="13" borderId="58" xfId="0" applyNumberFormat="1" applyFont="1" applyFill="1" applyBorder="1" applyAlignment="1">
      <alignment horizontal="center"/>
    </xf>
    <xf numFmtId="2" fontId="22" fillId="15" borderId="59" xfId="0" applyNumberFormat="1" applyFont="1" applyFill="1" applyBorder="1" applyAlignment="1">
      <alignment horizontal="center"/>
    </xf>
    <xf numFmtId="2" fontId="5" fillId="15" borderId="18" xfId="0" applyNumberFormat="1" applyFont="1" applyFill="1" applyBorder="1" applyAlignment="1">
      <alignment horizontal="center"/>
    </xf>
    <xf numFmtId="2" fontId="22" fillId="15" borderId="18" xfId="0" applyNumberFormat="1" applyFont="1" applyFill="1" applyBorder="1" applyAlignment="1">
      <alignment horizontal="center"/>
    </xf>
    <xf numFmtId="2" fontId="5" fillId="13" borderId="57" xfId="0" applyNumberFormat="1" applyFont="1" applyFill="1" applyBorder="1" applyAlignment="1">
      <alignment horizontal="center"/>
    </xf>
    <xf numFmtId="0" fontId="5" fillId="7" borderId="24" xfId="0" applyFont="1" applyFill="1" applyBorder="1" applyAlignment="1">
      <alignment horizontal="center"/>
    </xf>
    <xf numFmtId="166" fontId="5" fillId="7" borderId="25" xfId="0" applyNumberFormat="1" applyFont="1" applyFill="1" applyBorder="1" applyAlignment="1">
      <alignment horizontal="center"/>
    </xf>
    <xf numFmtId="20" fontId="5" fillId="7" borderId="55" xfId="0" applyNumberFormat="1" applyFont="1" applyFill="1" applyBorder="1" applyAlignment="1">
      <alignment horizontal="center"/>
    </xf>
    <xf numFmtId="2" fontId="5" fillId="15" borderId="59" xfId="0" applyNumberFormat="1" applyFont="1" applyFill="1" applyBorder="1" applyAlignment="1">
      <alignment horizontal="center"/>
    </xf>
    <xf numFmtId="2" fontId="5" fillId="10" borderId="27" xfId="0" applyNumberFormat="1" applyFont="1" applyFill="1" applyBorder="1" applyAlignment="1">
      <alignment horizontal="center"/>
    </xf>
    <xf numFmtId="2" fontId="22" fillId="10" borderId="57" xfId="0" applyNumberFormat="1" applyFont="1" applyFill="1" applyBorder="1" applyAlignment="1">
      <alignment horizontal="center"/>
    </xf>
    <xf numFmtId="2" fontId="5" fillId="10" borderId="18" xfId="0" applyNumberFormat="1" applyFont="1" applyFill="1" applyBorder="1" applyAlignment="1">
      <alignment horizontal="center"/>
    </xf>
    <xf numFmtId="2" fontId="22" fillId="10" borderId="18" xfId="0" applyNumberFormat="1" applyFont="1" applyFill="1" applyBorder="1" applyAlignment="1">
      <alignment horizontal="center"/>
    </xf>
    <xf numFmtId="2" fontId="22" fillId="7" borderId="65" xfId="0" applyNumberFormat="1" applyFont="1" applyFill="1" applyBorder="1" applyAlignment="1">
      <alignment horizontal="center"/>
    </xf>
    <xf numFmtId="2" fontId="5" fillId="7" borderId="12" xfId="0" applyNumberFormat="1" applyFont="1" applyFill="1" applyBorder="1" applyAlignment="1">
      <alignment horizontal="center"/>
    </xf>
    <xf numFmtId="2" fontId="22" fillId="7" borderId="12" xfId="0" applyNumberFormat="1" applyFont="1" applyFill="1" applyBorder="1" applyAlignment="1">
      <alignment horizontal="center"/>
    </xf>
    <xf numFmtId="2" fontId="22" fillId="7" borderId="53" xfId="0" applyNumberFormat="1" applyFont="1" applyFill="1" applyBorder="1" applyAlignment="1">
      <alignment horizontal="center"/>
    </xf>
    <xf numFmtId="2" fontId="22" fillId="2" borderId="57" xfId="0" applyNumberFormat="1" applyFont="1" applyFill="1" applyBorder="1" applyAlignment="1">
      <alignment horizontal="center"/>
    </xf>
    <xf numFmtId="2" fontId="5" fillId="2" borderId="58" xfId="0" applyNumberFormat="1" applyFont="1" applyFill="1" applyBorder="1" applyAlignment="1">
      <alignment horizontal="center"/>
    </xf>
    <xf numFmtId="2" fontId="22" fillId="2" borderId="58" xfId="0" applyNumberFormat="1" applyFont="1" applyFill="1" applyBorder="1" applyAlignment="1">
      <alignment horizontal="center"/>
    </xf>
    <xf numFmtId="2" fontId="22" fillId="2" borderId="59" xfId="0" applyNumberFormat="1" applyFont="1" applyFill="1" applyBorder="1" applyAlignment="1">
      <alignment horizontal="center"/>
    </xf>
    <xf numFmtId="2" fontId="22" fillId="12" borderId="65" xfId="0" applyNumberFormat="1" applyFont="1" applyFill="1" applyBorder="1" applyAlignment="1">
      <alignment horizontal="center"/>
    </xf>
    <xf numFmtId="2" fontId="5" fillId="12" borderId="12" xfId="0" applyNumberFormat="1" applyFont="1" applyFill="1" applyBorder="1" applyAlignment="1">
      <alignment horizontal="center"/>
    </xf>
    <xf numFmtId="2" fontId="22" fillId="12" borderId="12" xfId="0" applyNumberFormat="1" applyFont="1" applyFill="1" applyBorder="1" applyAlignment="1">
      <alignment horizontal="center"/>
    </xf>
    <xf numFmtId="2" fontId="22" fillId="12" borderId="53" xfId="0" applyNumberFormat="1" applyFont="1" applyFill="1" applyBorder="1" applyAlignment="1">
      <alignment horizontal="center"/>
    </xf>
    <xf numFmtId="2" fontId="0" fillId="0" borderId="1" xfId="0" applyNumberFormat="1" applyBorder="1" applyAlignment="1">
      <alignment horizontal="center" wrapText="1"/>
    </xf>
    <xf numFmtId="2" fontId="5" fillId="12" borderId="57" xfId="0" applyNumberFormat="1" applyFont="1" applyFill="1" applyBorder="1" applyAlignment="1">
      <alignment horizontal="center"/>
    </xf>
    <xf numFmtId="2" fontId="5" fillId="12" borderId="53" xfId="0" applyNumberFormat="1" applyFont="1" applyFill="1" applyBorder="1" applyAlignment="1">
      <alignment horizontal="center"/>
    </xf>
    <xf numFmtId="0" fontId="22" fillId="10" borderId="44" xfId="0" applyFont="1" applyFill="1" applyBorder="1" applyAlignment="1">
      <alignment horizontal="center"/>
    </xf>
    <xf numFmtId="166" fontId="22" fillId="10" borderId="35" xfId="0" applyNumberFormat="1" applyFont="1" applyFill="1" applyBorder="1" applyAlignment="1">
      <alignment horizontal="center"/>
    </xf>
    <xf numFmtId="20" fontId="22" fillId="10" borderId="36" xfId="0" applyNumberFormat="1" applyFont="1" applyFill="1" applyBorder="1" applyAlignment="1">
      <alignment horizontal="center"/>
    </xf>
    <xf numFmtId="2" fontId="22" fillId="10" borderId="66" xfId="0" applyNumberFormat="1" applyFont="1" applyFill="1" applyBorder="1" applyAlignment="1">
      <alignment horizontal="center"/>
    </xf>
    <xf numFmtId="0" fontId="24" fillId="10" borderId="44" xfId="0" applyFont="1" applyFill="1" applyBorder="1" applyAlignment="1">
      <alignment horizontal="center"/>
    </xf>
    <xf numFmtId="20" fontId="24" fillId="10" borderId="36" xfId="0" applyNumberFormat="1" applyFont="1" applyFill="1" applyBorder="1" applyAlignment="1">
      <alignment horizontal="center"/>
    </xf>
    <xf numFmtId="2" fontId="24" fillId="10" borderId="66" xfId="0" applyNumberFormat="1" applyFont="1" applyFill="1" applyBorder="1" applyAlignment="1">
      <alignment horizontal="center"/>
    </xf>
    <xf numFmtId="2" fontId="24" fillId="10" borderId="67" xfId="0" applyNumberFormat="1" applyFont="1" applyFill="1" applyBorder="1" applyAlignment="1">
      <alignment horizontal="center"/>
    </xf>
    <xf numFmtId="0" fontId="24" fillId="10" borderId="17" xfId="0" applyFont="1" applyFill="1" applyBorder="1" applyAlignment="1">
      <alignment horizontal="center"/>
    </xf>
    <xf numFmtId="166" fontId="24" fillId="10" borderId="3" xfId="0" applyNumberFormat="1" applyFont="1" applyFill="1" applyBorder="1" applyAlignment="1">
      <alignment horizontal="center"/>
    </xf>
    <xf numFmtId="20" fontId="24" fillId="10" borderId="54" xfId="0" applyNumberFormat="1" applyFont="1" applyFill="1" applyBorder="1" applyAlignment="1">
      <alignment horizontal="center"/>
    </xf>
    <xf numFmtId="2" fontId="24" fillId="10" borderId="58" xfId="0" applyNumberFormat="1" applyFont="1" applyFill="1" applyBorder="1" applyAlignment="1">
      <alignment horizontal="center"/>
    </xf>
    <xf numFmtId="2" fontId="24" fillId="10" borderId="18" xfId="0" applyNumberFormat="1" applyFont="1" applyFill="1" applyBorder="1" applyAlignment="1">
      <alignment horizontal="center"/>
    </xf>
    <xf numFmtId="0" fontId="0" fillId="11" borderId="0" xfId="0" applyFill="1"/>
    <xf numFmtId="0" fontId="24" fillId="15" borderId="24" xfId="0" applyFont="1" applyFill="1" applyBorder="1" applyAlignment="1">
      <alignment horizontal="center"/>
    </xf>
    <xf numFmtId="166" fontId="24" fillId="15" borderId="25" xfId="0" applyNumberFormat="1" applyFont="1" applyFill="1" applyBorder="1" applyAlignment="1">
      <alignment horizontal="center"/>
    </xf>
    <xf numFmtId="20" fontId="24" fillId="15" borderId="55" xfId="0" applyNumberFormat="1" applyFont="1" applyFill="1" applyBorder="1" applyAlignment="1">
      <alignment horizontal="center"/>
    </xf>
    <xf numFmtId="2" fontId="24" fillId="15" borderId="57" xfId="0" applyNumberFormat="1" applyFont="1" applyFill="1" applyBorder="1" applyAlignment="1">
      <alignment horizontal="center"/>
    </xf>
    <xf numFmtId="2" fontId="24" fillId="15" borderId="27" xfId="0" applyNumberFormat="1" applyFont="1" applyFill="1" applyBorder="1" applyAlignment="1">
      <alignment horizontal="center"/>
    </xf>
    <xf numFmtId="0" fontId="5" fillId="15" borderId="17" xfId="0" applyFont="1" applyFill="1" applyBorder="1" applyAlignment="1">
      <alignment horizontal="center"/>
    </xf>
    <xf numFmtId="20" fontId="5" fillId="15" borderId="54" xfId="0" applyNumberFormat="1" applyFont="1" applyFill="1" applyBorder="1" applyAlignment="1">
      <alignment horizontal="center"/>
    </xf>
    <xf numFmtId="0" fontId="22" fillId="15" borderId="20" xfId="0" applyFont="1" applyFill="1" applyBorder="1" applyAlignment="1">
      <alignment horizontal="center"/>
    </xf>
    <xf numFmtId="20" fontId="24" fillId="15" borderId="56" xfId="0" applyNumberFormat="1" applyFont="1" applyFill="1" applyBorder="1" applyAlignment="1">
      <alignment horizontal="center"/>
    </xf>
    <xf numFmtId="2" fontId="22" fillId="15" borderId="28" xfId="0" applyNumberFormat="1" applyFont="1" applyFill="1" applyBorder="1" applyAlignment="1">
      <alignment horizontal="center"/>
    </xf>
    <xf numFmtId="0" fontId="22" fillId="15" borderId="24" xfId="0" applyFont="1" applyFill="1" applyBorder="1" applyAlignment="1">
      <alignment horizontal="center"/>
    </xf>
    <xf numFmtId="166" fontId="22" fillId="15" borderId="25" xfId="0" applyNumberFormat="1" applyFont="1" applyFill="1" applyBorder="1" applyAlignment="1">
      <alignment horizontal="center"/>
    </xf>
    <xf numFmtId="20" fontId="22" fillId="15" borderId="55" xfId="0" applyNumberFormat="1" applyFont="1" applyFill="1" applyBorder="1" applyAlignment="1">
      <alignment horizontal="center"/>
    </xf>
    <xf numFmtId="2" fontId="22" fillId="15" borderId="57" xfId="0" applyNumberFormat="1" applyFont="1" applyFill="1" applyBorder="1" applyAlignment="1">
      <alignment horizontal="center"/>
    </xf>
    <xf numFmtId="2" fontId="22" fillId="15" borderId="27" xfId="0" applyNumberFormat="1" applyFont="1" applyFill="1" applyBorder="1" applyAlignment="1">
      <alignment horizontal="center"/>
    </xf>
    <xf numFmtId="0" fontId="24" fillId="15" borderId="17" xfId="0" applyFont="1" applyFill="1" applyBorder="1" applyAlignment="1">
      <alignment horizontal="center"/>
    </xf>
    <xf numFmtId="166" fontId="24" fillId="15" borderId="3" xfId="0" applyNumberFormat="1" applyFont="1" applyFill="1" applyBorder="1" applyAlignment="1">
      <alignment horizontal="center"/>
    </xf>
    <xf numFmtId="20" fontId="24" fillId="15" borderId="54" xfId="0" applyNumberFormat="1" applyFont="1" applyFill="1" applyBorder="1" applyAlignment="1">
      <alignment horizontal="center"/>
    </xf>
    <xf numFmtId="2" fontId="24" fillId="15" borderId="58" xfId="0" applyNumberFormat="1" applyFont="1" applyFill="1" applyBorder="1" applyAlignment="1">
      <alignment horizontal="center"/>
    </xf>
    <xf numFmtId="2" fontId="24" fillId="15" borderId="18" xfId="0" applyNumberFormat="1" applyFont="1" applyFill="1" applyBorder="1" applyAlignment="1">
      <alignment horizontal="center"/>
    </xf>
    <xf numFmtId="0" fontId="24" fillId="15" borderId="20" xfId="0" applyFont="1" applyFill="1" applyBorder="1" applyAlignment="1">
      <alignment horizontal="center"/>
    </xf>
    <xf numFmtId="166" fontId="24" fillId="15" borderId="21" xfId="0" applyNumberFormat="1" applyFont="1" applyFill="1" applyBorder="1" applyAlignment="1">
      <alignment horizontal="center"/>
    </xf>
    <xf numFmtId="2" fontId="24" fillId="15" borderId="59" xfId="0" applyNumberFormat="1" applyFont="1" applyFill="1" applyBorder="1" applyAlignment="1">
      <alignment horizontal="center"/>
    </xf>
    <xf numFmtId="2" fontId="24" fillId="15" borderId="28" xfId="0" applyNumberFormat="1" applyFont="1" applyFill="1" applyBorder="1" applyAlignment="1">
      <alignment horizontal="center"/>
    </xf>
    <xf numFmtId="2" fontId="5" fillId="15" borderId="13" xfId="0" applyNumberFormat="1" applyFont="1" applyFill="1" applyBorder="1" applyAlignment="1">
      <alignment horizontal="center"/>
    </xf>
    <xf numFmtId="0" fontId="5" fillId="15" borderId="20" xfId="0" applyFont="1" applyFill="1" applyBorder="1" applyAlignment="1">
      <alignment horizontal="center"/>
    </xf>
    <xf numFmtId="20" fontId="5" fillId="15" borderId="56" xfId="0" applyNumberFormat="1" applyFont="1" applyFill="1" applyBorder="1" applyAlignment="1">
      <alignment horizontal="center"/>
    </xf>
    <xf numFmtId="2" fontId="5" fillId="15" borderId="22" xfId="0" applyNumberFormat="1" applyFont="1" applyFill="1" applyBorder="1" applyAlignment="1">
      <alignment horizontal="center"/>
    </xf>
    <xf numFmtId="2" fontId="5" fillId="15" borderId="28" xfId="0" applyNumberFormat="1" applyFont="1" applyFill="1" applyBorder="1" applyAlignment="1">
      <alignment horizontal="center"/>
    </xf>
    <xf numFmtId="0" fontId="5" fillId="10" borderId="44" xfId="0" applyFont="1" applyFill="1" applyBorder="1" applyAlignment="1">
      <alignment horizontal="center"/>
    </xf>
    <xf numFmtId="20" fontId="5" fillId="10" borderId="36" xfId="0" applyNumberFormat="1" applyFont="1" applyFill="1" applyBorder="1" applyAlignment="1">
      <alignment horizontal="center"/>
    </xf>
    <xf numFmtId="2" fontId="5" fillId="15" borderId="27" xfId="0" applyNumberFormat="1" applyFont="1" applyFill="1" applyBorder="1" applyAlignment="1">
      <alignment horizontal="center"/>
    </xf>
    <xf numFmtId="2" fontId="5" fillId="10" borderId="67" xfId="0" applyNumberFormat="1" applyFont="1" applyFill="1" applyBorder="1" applyAlignment="1">
      <alignment horizontal="center"/>
    </xf>
    <xf numFmtId="0" fontId="0" fillId="11" borderId="69" xfId="0" applyFill="1" applyBorder="1"/>
    <xf numFmtId="0" fontId="0" fillId="11" borderId="70" xfId="0" applyFill="1" applyBorder="1"/>
    <xf numFmtId="0" fontId="23" fillId="5" borderId="69" xfId="0" applyFont="1" applyFill="1" applyBorder="1" applyAlignment="1">
      <alignment vertical="center" textRotation="180"/>
    </xf>
    <xf numFmtId="0" fontId="23" fillId="5" borderId="0" xfId="0" applyFont="1" applyFill="1" applyAlignment="1">
      <alignment vertical="center" textRotation="180"/>
    </xf>
    <xf numFmtId="2" fontId="24" fillId="7" borderId="18" xfId="0" applyNumberFormat="1" applyFont="1" applyFill="1" applyBorder="1" applyAlignment="1">
      <alignment horizontal="center"/>
    </xf>
    <xf numFmtId="2" fontId="22" fillId="7" borderId="67" xfId="0" applyNumberFormat="1" applyFont="1" applyFill="1" applyBorder="1" applyAlignment="1">
      <alignment horizontal="center"/>
    </xf>
    <xf numFmtId="2" fontId="5" fillId="7" borderId="65" xfId="0" applyNumberFormat="1" applyFont="1" applyFill="1" applyBorder="1" applyAlignment="1">
      <alignment horizontal="center"/>
    </xf>
    <xf numFmtId="2" fontId="24" fillId="7" borderId="58" xfId="0" applyNumberFormat="1" applyFont="1" applyFill="1" applyBorder="1" applyAlignment="1">
      <alignment horizontal="center"/>
    </xf>
    <xf numFmtId="2" fontId="22" fillId="12" borderId="58" xfId="0" applyNumberFormat="1" applyFont="1" applyFill="1" applyBorder="1" applyAlignment="1">
      <alignment horizontal="center"/>
    </xf>
    <xf numFmtId="2" fontId="5" fillId="12" borderId="58" xfId="0" applyNumberFormat="1" applyFont="1" applyFill="1" applyBorder="1" applyAlignment="1">
      <alignment horizontal="center"/>
    </xf>
    <xf numFmtId="2" fontId="24" fillId="15" borderId="13" xfId="0" applyNumberFormat="1" applyFont="1" applyFill="1" applyBorder="1" applyAlignment="1">
      <alignment horizontal="center"/>
    </xf>
    <xf numFmtId="0" fontId="24" fillId="15" borderId="72" xfId="0" applyFont="1" applyFill="1" applyBorder="1" applyAlignment="1">
      <alignment horizontal="center"/>
    </xf>
    <xf numFmtId="166" fontId="24" fillId="15" borderId="73" xfId="0" applyNumberFormat="1" applyFont="1" applyFill="1" applyBorder="1" applyAlignment="1">
      <alignment horizontal="center"/>
    </xf>
    <xf numFmtId="20" fontId="24" fillId="15" borderId="74" xfId="0" applyNumberFormat="1" applyFont="1" applyFill="1" applyBorder="1" applyAlignment="1">
      <alignment horizontal="center"/>
    </xf>
    <xf numFmtId="2" fontId="24" fillId="15" borderId="75" xfId="0" applyNumberFormat="1" applyFont="1" applyFill="1" applyBorder="1" applyAlignment="1">
      <alignment horizontal="center"/>
    </xf>
    <xf numFmtId="2" fontId="24" fillId="15" borderId="19" xfId="0" applyNumberFormat="1" applyFont="1" applyFill="1" applyBorder="1" applyAlignment="1">
      <alignment horizontal="center"/>
    </xf>
    <xf numFmtId="2" fontId="24" fillId="10" borderId="34" xfId="0" applyNumberFormat="1" applyFont="1" applyFill="1" applyBorder="1" applyAlignment="1">
      <alignment horizontal="center"/>
    </xf>
    <xf numFmtId="166" fontId="24" fillId="10" borderId="35" xfId="0" applyNumberFormat="1" applyFont="1" applyFill="1" applyBorder="1" applyAlignment="1">
      <alignment horizontal="center"/>
    </xf>
    <xf numFmtId="0" fontId="24" fillId="15" borderId="76" xfId="0" applyFont="1" applyFill="1" applyBorder="1" applyAlignment="1">
      <alignment horizontal="center"/>
    </xf>
    <xf numFmtId="166" fontId="24" fillId="15" borderId="69" xfId="0" applyNumberFormat="1" applyFont="1" applyFill="1" applyBorder="1" applyAlignment="1">
      <alignment horizontal="center"/>
    </xf>
    <xf numFmtId="20" fontId="24" fillId="15" borderId="69" xfId="0" applyNumberFormat="1" applyFont="1" applyFill="1" applyBorder="1" applyAlignment="1">
      <alignment horizontal="center"/>
    </xf>
    <xf numFmtId="2" fontId="24" fillId="15" borderId="77" xfId="0" applyNumberFormat="1" applyFont="1" applyFill="1" applyBorder="1" applyAlignment="1">
      <alignment horizontal="center"/>
    </xf>
    <xf numFmtId="2" fontId="24" fillId="10" borderId="78" xfId="0" applyNumberFormat="1" applyFont="1" applyFill="1" applyBorder="1" applyAlignment="1">
      <alignment horizontal="center"/>
    </xf>
    <xf numFmtId="2" fontId="5" fillId="10" borderId="34" xfId="0" applyNumberFormat="1" applyFont="1" applyFill="1" applyBorder="1" applyAlignment="1">
      <alignment horizontal="center"/>
    </xf>
    <xf numFmtId="2" fontId="24" fillId="15" borderId="41" xfId="0" applyNumberFormat="1" applyFont="1" applyFill="1" applyBorder="1" applyAlignment="1">
      <alignment horizontal="center"/>
    </xf>
    <xf numFmtId="2" fontId="24" fillId="10" borderId="79" xfId="0" applyNumberFormat="1" applyFont="1" applyFill="1" applyBorder="1" applyAlignment="1">
      <alignment horizontal="center"/>
    </xf>
    <xf numFmtId="2" fontId="24" fillId="10" borderId="80" xfId="0" applyNumberFormat="1" applyFont="1" applyFill="1" applyBorder="1" applyAlignment="1">
      <alignment horizontal="center"/>
    </xf>
    <xf numFmtId="2" fontId="24" fillId="15" borderId="80" xfId="0" applyNumberFormat="1" applyFont="1" applyFill="1" applyBorder="1" applyAlignment="1">
      <alignment horizontal="center"/>
    </xf>
    <xf numFmtId="2" fontId="24" fillId="15" borderId="81" xfId="0" applyNumberFormat="1" applyFont="1" applyFill="1" applyBorder="1" applyAlignment="1">
      <alignment horizontal="center"/>
    </xf>
    <xf numFmtId="20" fontId="24" fillId="15" borderId="7" xfId="0" applyNumberFormat="1" applyFont="1" applyFill="1" applyBorder="1" applyAlignment="1">
      <alignment horizontal="center"/>
    </xf>
    <xf numFmtId="2" fontId="24" fillId="15" borderId="82" xfId="0" applyNumberFormat="1" applyFont="1" applyFill="1" applyBorder="1" applyAlignment="1">
      <alignment horizontal="center"/>
    </xf>
    <xf numFmtId="2" fontId="24" fillId="15" borderId="70" xfId="0" applyNumberFormat="1" applyFont="1" applyFill="1" applyBorder="1" applyAlignment="1">
      <alignment horizontal="center"/>
    </xf>
    <xf numFmtId="2" fontId="24" fillId="15" borderId="83" xfId="0" applyNumberFormat="1" applyFont="1" applyFill="1" applyBorder="1" applyAlignment="1">
      <alignment horizontal="center"/>
    </xf>
    <xf numFmtId="20" fontId="24" fillId="15" borderId="84" xfId="0" applyNumberFormat="1" applyFont="1" applyFill="1" applyBorder="1" applyAlignment="1">
      <alignment horizontal="center"/>
    </xf>
    <xf numFmtId="0" fontId="5" fillId="15" borderId="24" xfId="0" applyFont="1" applyFill="1" applyBorder="1" applyAlignment="1">
      <alignment horizontal="center"/>
    </xf>
    <xf numFmtId="20" fontId="5" fillId="15" borderId="55" xfId="0" applyNumberFormat="1" applyFont="1" applyFill="1" applyBorder="1" applyAlignment="1">
      <alignment horizontal="center"/>
    </xf>
    <xf numFmtId="2" fontId="24" fillId="10" borderId="12" xfId="0" applyNumberFormat="1" applyFont="1" applyFill="1" applyBorder="1" applyAlignment="1">
      <alignment horizontal="center"/>
    </xf>
    <xf numFmtId="2" fontId="24" fillId="10" borderId="26" xfId="0" applyNumberFormat="1" applyFont="1" applyFill="1" applyBorder="1" applyAlignment="1">
      <alignment horizontal="center"/>
    </xf>
    <xf numFmtId="2" fontId="22" fillId="7" borderId="68" xfId="0" applyNumberFormat="1" applyFont="1" applyFill="1" applyBorder="1" applyAlignment="1">
      <alignment horizontal="center"/>
    </xf>
    <xf numFmtId="2" fontId="22" fillId="7" borderId="13" xfId="0" applyNumberFormat="1" applyFont="1" applyFill="1" applyBorder="1" applyAlignment="1">
      <alignment horizontal="center"/>
    </xf>
    <xf numFmtId="3" fontId="0" fillId="0" borderId="0" xfId="0" applyNumberFormat="1" applyAlignment="1">
      <alignment horizontal="center"/>
    </xf>
    <xf numFmtId="2" fontId="24" fillId="10" borderId="13" xfId="0" applyNumberFormat="1" applyFont="1" applyFill="1" applyBorder="1" applyAlignment="1">
      <alignment horizontal="center"/>
    </xf>
    <xf numFmtId="2" fontId="24" fillId="10" borderId="27" xfId="0" applyNumberFormat="1" applyFont="1" applyFill="1" applyBorder="1" applyAlignment="1">
      <alignment horizontal="center"/>
    </xf>
    <xf numFmtId="2" fontId="24" fillId="15" borderId="0" xfId="0" applyNumberFormat="1" applyFont="1" applyFill="1" applyAlignment="1">
      <alignment horizontal="center"/>
    </xf>
    <xf numFmtId="2" fontId="24" fillId="12" borderId="18" xfId="0" applyNumberFormat="1" applyFont="1" applyFill="1" applyBorder="1" applyAlignment="1">
      <alignment horizontal="center"/>
    </xf>
    <xf numFmtId="20" fontId="24" fillId="10" borderId="85" xfId="0" applyNumberFormat="1" applyFont="1" applyFill="1" applyBorder="1" applyAlignment="1">
      <alignment horizontal="center"/>
    </xf>
    <xf numFmtId="2" fontId="24" fillId="15" borderId="69" xfId="0" applyNumberFormat="1" applyFont="1" applyFill="1" applyBorder="1" applyAlignment="1">
      <alignment horizontal="center"/>
    </xf>
    <xf numFmtId="2" fontId="24" fillId="15" borderId="1" xfId="0" applyNumberFormat="1" applyFont="1" applyFill="1" applyBorder="1" applyAlignment="1">
      <alignment horizontal="center"/>
    </xf>
    <xf numFmtId="2" fontId="24" fillId="10" borderId="0" xfId="0" applyNumberFormat="1" applyFont="1" applyFill="1" applyAlignment="1">
      <alignment horizontal="center"/>
    </xf>
    <xf numFmtId="2" fontId="24" fillId="15" borderId="33" xfId="0" applyNumberFormat="1" applyFont="1" applyFill="1" applyBorder="1" applyAlignment="1">
      <alignment horizontal="center"/>
    </xf>
    <xf numFmtId="0" fontId="0" fillId="16" borderId="37" xfId="0" applyFill="1" applyBorder="1" applyAlignment="1">
      <alignment horizontal="centerContinuous"/>
    </xf>
    <xf numFmtId="0" fontId="0" fillId="16" borderId="86" xfId="0" applyFill="1" applyBorder="1" applyAlignment="1">
      <alignment horizontal="centerContinuous"/>
    </xf>
    <xf numFmtId="0" fontId="0" fillId="16" borderId="87" xfId="0" applyFill="1" applyBorder="1" applyAlignment="1">
      <alignment horizontal="centerContinuous"/>
    </xf>
    <xf numFmtId="2" fontId="24" fillId="15" borderId="88" xfId="0" applyNumberFormat="1" applyFont="1" applyFill="1" applyBorder="1" applyAlignment="1">
      <alignment horizontal="center"/>
    </xf>
    <xf numFmtId="2" fontId="5" fillId="15" borderId="89" xfId="0" applyNumberFormat="1" applyFont="1" applyFill="1" applyBorder="1" applyAlignment="1">
      <alignment horizontal="center"/>
    </xf>
    <xf numFmtId="2" fontId="5" fillId="15" borderId="19" xfId="0" applyNumberFormat="1" applyFont="1" applyFill="1" applyBorder="1" applyAlignment="1">
      <alignment horizontal="center"/>
    </xf>
    <xf numFmtId="2" fontId="5" fillId="7" borderId="66" xfId="0" applyNumberFormat="1" applyFont="1" applyFill="1" applyBorder="1" applyAlignment="1">
      <alignment horizontal="center"/>
    </xf>
    <xf numFmtId="2" fontId="5" fillId="7" borderId="67" xfId="0" applyNumberFormat="1" applyFont="1" applyFill="1" applyBorder="1" applyAlignment="1">
      <alignment horizontal="center"/>
    </xf>
    <xf numFmtId="2" fontId="5" fillId="17" borderId="66" xfId="0" applyNumberFormat="1" applyFont="1" applyFill="1" applyBorder="1" applyAlignment="1">
      <alignment horizontal="center"/>
    </xf>
    <xf numFmtId="164" fontId="3" fillId="2" borderId="1" xfId="0" applyNumberFormat="1" applyFont="1" applyFill="1" applyBorder="1" applyAlignment="1">
      <alignment horizontal="center" vertical="center"/>
    </xf>
    <xf numFmtId="2" fontId="18" fillId="0" borderId="1" xfId="0" applyNumberFormat="1" applyFont="1" applyBorder="1" applyAlignment="1">
      <alignment horizontal="center" vertical="center"/>
    </xf>
    <xf numFmtId="2" fontId="25" fillId="0" borderId="1" xfId="0" applyNumberFormat="1" applyFont="1" applyBorder="1" applyAlignment="1">
      <alignment horizontal="center" vertical="center"/>
    </xf>
    <xf numFmtId="0" fontId="26" fillId="10" borderId="0" xfId="0" applyFont="1" applyFill="1"/>
    <xf numFmtId="0" fontId="25" fillId="10" borderId="0" xfId="0" applyFont="1" applyFill="1"/>
    <xf numFmtId="0" fontId="23" fillId="5" borderId="7" xfId="0" applyFont="1" applyFill="1" applyBorder="1" applyAlignment="1">
      <alignment horizontal="center"/>
    </xf>
    <xf numFmtId="0" fontId="25" fillId="0" borderId="0" xfId="0" applyFont="1"/>
    <xf numFmtId="0" fontId="1" fillId="10" borderId="24" xfId="0" applyFont="1" applyFill="1" applyBorder="1" applyAlignment="1">
      <alignment horizontal="center"/>
    </xf>
    <xf numFmtId="166" fontId="1" fillId="10" borderId="25" xfId="0" applyNumberFormat="1" applyFont="1" applyFill="1" applyBorder="1" applyAlignment="1">
      <alignment horizontal="center"/>
    </xf>
    <xf numFmtId="0" fontId="1" fillId="10" borderId="17" xfId="0" applyFont="1" applyFill="1" applyBorder="1" applyAlignment="1">
      <alignment horizontal="center"/>
    </xf>
    <xf numFmtId="166" fontId="1" fillId="10" borderId="3" xfId="0" applyNumberFormat="1" applyFont="1" applyFill="1" applyBorder="1" applyAlignment="1">
      <alignment horizontal="center"/>
    </xf>
    <xf numFmtId="0" fontId="1" fillId="10" borderId="20" xfId="0" applyFont="1" applyFill="1" applyBorder="1" applyAlignment="1">
      <alignment horizontal="center"/>
    </xf>
    <xf numFmtId="166" fontId="1" fillId="10" borderId="21" xfId="0" applyNumberFormat="1" applyFont="1" applyFill="1" applyBorder="1" applyAlignment="1">
      <alignment horizontal="center"/>
    </xf>
    <xf numFmtId="0" fontId="1" fillId="10" borderId="44" xfId="0" applyFont="1" applyFill="1" applyBorder="1" applyAlignment="1">
      <alignment horizontal="center"/>
    </xf>
    <xf numFmtId="166" fontId="1" fillId="10" borderId="35" xfId="0" applyNumberFormat="1" applyFont="1" applyFill="1" applyBorder="1" applyAlignment="1">
      <alignment horizontal="center"/>
    </xf>
    <xf numFmtId="20" fontId="1" fillId="10" borderId="85" xfId="0" applyNumberFormat="1" applyFont="1" applyFill="1" applyBorder="1" applyAlignment="1">
      <alignment horizontal="center"/>
    </xf>
    <xf numFmtId="20" fontId="1" fillId="10" borderId="14" xfId="0" applyNumberFormat="1" applyFont="1" applyFill="1" applyBorder="1" applyAlignment="1">
      <alignment horizontal="center"/>
    </xf>
    <xf numFmtId="0" fontId="19" fillId="0" borderId="1" xfId="0" applyFont="1" applyBorder="1" applyAlignment="1">
      <alignment horizontal="center"/>
    </xf>
    <xf numFmtId="164" fontId="3" fillId="19" borderId="1" xfId="0" applyNumberFormat="1" applyFont="1" applyFill="1" applyBorder="1" applyAlignment="1">
      <alignment horizontal="center" vertical="center"/>
    </xf>
    <xf numFmtId="1" fontId="0" fillId="19" borderId="1" xfId="0" applyNumberFormat="1" applyFill="1" applyBorder="1" applyAlignment="1">
      <alignment horizontal="center" vertical="center"/>
    </xf>
    <xf numFmtId="20" fontId="1" fillId="10" borderId="30" xfId="0" applyNumberFormat="1" applyFont="1" applyFill="1" applyBorder="1" applyAlignment="1">
      <alignment horizontal="center"/>
    </xf>
    <xf numFmtId="2" fontId="1" fillId="0" borderId="92" xfId="0" applyNumberFormat="1" applyFont="1" applyBorder="1" applyAlignment="1">
      <alignment horizontal="center"/>
    </xf>
    <xf numFmtId="2" fontId="1" fillId="0" borderId="93" xfId="0" applyNumberFormat="1" applyFont="1" applyBorder="1" applyAlignment="1">
      <alignment horizontal="center"/>
    </xf>
    <xf numFmtId="0" fontId="23" fillId="20" borderId="37" xfId="0" applyFont="1" applyFill="1" applyBorder="1" applyAlignment="1">
      <alignment horizontal="center"/>
    </xf>
    <xf numFmtId="0" fontId="23" fillId="20" borderId="38" xfId="0" applyFont="1" applyFill="1" applyBorder="1" applyAlignment="1">
      <alignment horizontal="center"/>
    </xf>
    <xf numFmtId="0" fontId="23" fillId="20" borderId="39" xfId="0" applyFont="1" applyFill="1" applyBorder="1" applyAlignment="1">
      <alignment horizontal="center"/>
    </xf>
    <xf numFmtId="0" fontId="23" fillId="20" borderId="39" xfId="0" applyFont="1" applyFill="1" applyBorder="1" applyAlignment="1">
      <alignment horizontal="center" vertical="center"/>
    </xf>
    <xf numFmtId="1" fontId="3" fillId="0" borderId="1" xfId="0" applyNumberFormat="1" applyFont="1" applyBorder="1" applyAlignment="1">
      <alignment horizontal="center" vertical="center"/>
    </xf>
    <xf numFmtId="0" fontId="3" fillId="0" borderId="1" xfId="1" applyFont="1" applyBorder="1" applyAlignment="1">
      <alignment horizontal="center" vertical="center" wrapText="1"/>
    </xf>
    <xf numFmtId="2" fontId="3" fillId="0" borderId="1" xfId="0" applyNumberFormat="1" applyFont="1" applyBorder="1" applyAlignment="1">
      <alignment horizontal="center" vertical="center"/>
    </xf>
    <xf numFmtId="3" fontId="3" fillId="2" borderId="1" xfId="0" applyNumberFormat="1" applyFont="1" applyFill="1" applyBorder="1" applyAlignment="1">
      <alignment horizontal="center" vertical="center"/>
    </xf>
    <xf numFmtId="164" fontId="3" fillId="0" borderId="61" xfId="0" applyNumberFormat="1" applyFont="1" applyBorder="1" applyAlignment="1">
      <alignment horizontal="center" vertical="center"/>
    </xf>
    <xf numFmtId="164" fontId="3" fillId="2" borderId="61" xfId="0" applyNumberFormat="1" applyFont="1" applyFill="1" applyBorder="1" applyAlignment="1">
      <alignment horizontal="center" vertical="center"/>
    </xf>
    <xf numFmtId="164" fontId="3" fillId="19" borderId="61" xfId="0" applyNumberFormat="1" applyFont="1" applyFill="1" applyBorder="1" applyAlignment="1">
      <alignment horizontal="center" vertical="center"/>
    </xf>
    <xf numFmtId="0" fontId="3" fillId="0" borderId="60" xfId="0" applyFont="1" applyBorder="1" applyAlignment="1">
      <alignment horizontal="center"/>
    </xf>
    <xf numFmtId="9" fontId="3" fillId="0" borderId="60" xfId="2" applyFont="1" applyFill="1" applyBorder="1" applyAlignment="1">
      <alignment horizontal="center"/>
    </xf>
    <xf numFmtId="9" fontId="3" fillId="0" borderId="60" xfId="2" applyFont="1" applyBorder="1" applyAlignment="1">
      <alignment horizontal="center"/>
    </xf>
    <xf numFmtId="164" fontId="3" fillId="0" borderId="60" xfId="0" applyNumberFormat="1" applyFont="1" applyBorder="1" applyAlignment="1">
      <alignment horizontal="center" vertical="center"/>
    </xf>
    <xf numFmtId="2" fontId="0" fillId="0" borderId="63" xfId="0" applyNumberFormat="1" applyBorder="1" applyAlignment="1">
      <alignment horizontal="center" vertical="center"/>
    </xf>
    <xf numFmtId="1" fontId="0" fillId="0" borderId="63" xfId="0" applyNumberFormat="1" applyBorder="1" applyAlignment="1">
      <alignment horizontal="center" vertical="center"/>
    </xf>
    <xf numFmtId="14" fontId="3" fillId="0" borderId="63" xfId="0" applyNumberFormat="1" applyFont="1" applyBorder="1" applyAlignment="1">
      <alignment horizontal="center" vertical="center"/>
    </xf>
    <xf numFmtId="0" fontId="3" fillId="0" borderId="63" xfId="0" applyFont="1" applyBorder="1" applyAlignment="1">
      <alignment horizontal="center" vertical="center"/>
    </xf>
    <xf numFmtId="49" fontId="3" fillId="0" borderId="63" xfId="0" applyNumberFormat="1" applyFont="1" applyBorder="1" applyAlignment="1">
      <alignment horizontal="center" vertical="center"/>
    </xf>
    <xf numFmtId="3" fontId="3" fillId="0" borderId="63" xfId="0" applyNumberFormat="1" applyFont="1" applyBorder="1" applyAlignment="1">
      <alignment horizontal="center" vertical="center"/>
    </xf>
    <xf numFmtId="0" fontId="0" fillId="0" borderId="63" xfId="0" applyBorder="1" applyAlignment="1">
      <alignment horizontal="center" vertical="center"/>
    </xf>
    <xf numFmtId="9" fontId="3" fillId="0" borderId="99" xfId="2" applyFont="1" applyBorder="1" applyAlignment="1">
      <alignment horizontal="center"/>
    </xf>
    <xf numFmtId="0" fontId="0" fillId="20" borderId="96" xfId="0" applyFill="1" applyBorder="1" applyAlignment="1">
      <alignment horizontal="center"/>
    </xf>
    <xf numFmtId="0" fontId="0" fillId="20" borderId="64" xfId="0" applyFill="1" applyBorder="1" applyAlignment="1">
      <alignment horizontal="center"/>
    </xf>
    <xf numFmtId="0" fontId="0" fillId="20" borderId="64" xfId="0" applyFill="1" applyBorder="1" applyAlignment="1">
      <alignment horizontal="center" vertical="center"/>
    </xf>
    <xf numFmtId="9" fontId="0" fillId="20" borderId="97" xfId="2" applyFont="1" applyFill="1" applyBorder="1" applyAlignment="1">
      <alignment horizontal="center"/>
    </xf>
    <xf numFmtId="164" fontId="3" fillId="0" borderId="98" xfId="0" applyNumberFormat="1" applyFont="1" applyBorder="1" applyAlignment="1">
      <alignment horizontal="center" vertical="center"/>
    </xf>
    <xf numFmtId="164" fontId="3" fillId="0" borderId="63" xfId="0" applyNumberFormat="1" applyFont="1" applyBorder="1" applyAlignment="1">
      <alignment horizontal="center" vertical="center"/>
    </xf>
    <xf numFmtId="164" fontId="0" fillId="0" borderId="63" xfId="0" applyNumberFormat="1" applyBorder="1" applyAlignment="1">
      <alignment horizontal="center" vertical="center"/>
    </xf>
    <xf numFmtId="164" fontId="3" fillId="0" borderId="0" xfId="0" applyNumberFormat="1" applyFont="1" applyAlignment="1">
      <alignment horizontal="center" vertical="center"/>
    </xf>
    <xf numFmtId="2" fontId="1" fillId="18" borderId="94" xfId="0" applyNumberFormat="1" applyFont="1" applyFill="1" applyBorder="1" applyAlignment="1">
      <alignment horizontal="center"/>
    </xf>
    <xf numFmtId="49" fontId="3" fillId="0" borderId="99" xfId="0" applyNumberFormat="1" applyFont="1" applyBorder="1" applyAlignment="1">
      <alignment horizontal="center" vertical="center"/>
    </xf>
    <xf numFmtId="0" fontId="3" fillId="0" borderId="98" xfId="0" applyFont="1" applyBorder="1" applyAlignment="1">
      <alignment horizontal="center" vertical="center"/>
    </xf>
    <xf numFmtId="0" fontId="1" fillId="10" borderId="101" xfId="0" applyFont="1" applyFill="1" applyBorder="1" applyAlignment="1">
      <alignment horizontal="center"/>
    </xf>
    <xf numFmtId="166" fontId="1" fillId="10" borderId="102" xfId="0" applyNumberFormat="1" applyFont="1" applyFill="1" applyBorder="1" applyAlignment="1">
      <alignment horizontal="center"/>
    </xf>
    <xf numFmtId="20" fontId="1" fillId="10" borderId="103" xfId="0" applyNumberFormat="1" applyFont="1" applyFill="1" applyBorder="1" applyAlignment="1">
      <alignment horizontal="center"/>
    </xf>
    <xf numFmtId="166" fontId="1" fillId="10" borderId="104" xfId="0" applyNumberFormat="1" applyFont="1" applyFill="1" applyBorder="1" applyAlignment="1">
      <alignment horizontal="center"/>
    </xf>
    <xf numFmtId="20" fontId="1" fillId="10" borderId="105" xfId="0" applyNumberFormat="1" applyFont="1" applyFill="1" applyBorder="1" applyAlignment="1">
      <alignment horizontal="center"/>
    </xf>
    <xf numFmtId="2" fontId="1" fillId="0" borderId="100" xfId="0" applyNumberFormat="1" applyFont="1" applyBorder="1" applyAlignment="1">
      <alignment horizontal="center"/>
    </xf>
    <xf numFmtId="166" fontId="1" fillId="10" borderId="73" xfId="0" applyNumberFormat="1" applyFont="1" applyFill="1" applyBorder="1" applyAlignment="1">
      <alignment horizontal="center"/>
    </xf>
    <xf numFmtId="20" fontId="1" fillId="10" borderId="7" xfId="0" applyNumberFormat="1" applyFont="1" applyFill="1" applyBorder="1" applyAlignment="1">
      <alignment horizontal="center"/>
    </xf>
    <xf numFmtId="2" fontId="1" fillId="0" borderId="106" xfId="0" applyNumberFormat="1" applyFont="1" applyBorder="1" applyAlignment="1">
      <alignment horizontal="center"/>
    </xf>
    <xf numFmtId="2" fontId="1" fillId="18" borderId="92" xfId="0" applyNumberFormat="1" applyFont="1" applyFill="1" applyBorder="1" applyAlignment="1">
      <alignment horizontal="center"/>
    </xf>
    <xf numFmtId="2" fontId="1" fillId="18" borderId="106" xfId="0" applyNumberFormat="1" applyFont="1" applyFill="1" applyBorder="1" applyAlignment="1">
      <alignment horizontal="center"/>
    </xf>
    <xf numFmtId="166" fontId="27" fillId="14" borderId="25" xfId="0" applyNumberFormat="1" applyFont="1" applyFill="1" applyBorder="1" applyAlignment="1">
      <alignment horizontal="center"/>
    </xf>
    <xf numFmtId="168" fontId="25" fillId="0" borderId="0" xfId="0" applyNumberFormat="1" applyFont="1" applyAlignment="1">
      <alignment horizontal="center"/>
    </xf>
    <xf numFmtId="3" fontId="19" fillId="0" borderId="0" xfId="0" applyNumberFormat="1" applyFont="1" applyAlignment="1">
      <alignment horizontal="center"/>
    </xf>
    <xf numFmtId="3" fontId="0" fillId="0" borderId="1" xfId="0" applyNumberFormat="1" applyBorder="1" applyAlignment="1">
      <alignment horizontal="center" vertical="center"/>
    </xf>
    <xf numFmtId="3" fontId="0" fillId="0" borderId="63" xfId="0" applyNumberFormat="1" applyBorder="1" applyAlignment="1">
      <alignment horizontal="center" vertical="center"/>
    </xf>
    <xf numFmtId="2" fontId="1" fillId="21" borderId="92" xfId="0" applyNumberFormat="1" applyFont="1" applyFill="1" applyBorder="1" applyAlignment="1">
      <alignment horizontal="center"/>
    </xf>
    <xf numFmtId="2" fontId="1" fillId="21" borderId="94" xfId="0" applyNumberFormat="1" applyFont="1" applyFill="1" applyBorder="1" applyAlignment="1">
      <alignment horizontal="center"/>
    </xf>
    <xf numFmtId="2" fontId="1" fillId="18" borderId="90" xfId="0" applyNumberFormat="1" applyFont="1" applyFill="1" applyBorder="1" applyAlignment="1">
      <alignment horizontal="center"/>
    </xf>
    <xf numFmtId="2" fontId="1" fillId="21" borderId="90" xfId="0" applyNumberFormat="1" applyFont="1" applyFill="1" applyBorder="1" applyAlignment="1">
      <alignment horizontal="center"/>
    </xf>
    <xf numFmtId="2" fontId="1" fillId="21" borderId="106" xfId="0" applyNumberFormat="1" applyFont="1" applyFill="1" applyBorder="1" applyAlignment="1">
      <alignment horizontal="center"/>
    </xf>
    <xf numFmtId="2" fontId="1" fillId="21" borderId="93" xfId="0" applyNumberFormat="1" applyFont="1" applyFill="1" applyBorder="1" applyAlignment="1">
      <alignment horizontal="center"/>
    </xf>
    <xf numFmtId="0" fontId="3" fillId="0" borderId="98" xfId="0" applyFont="1" applyBorder="1" applyAlignment="1">
      <alignment horizontal="center"/>
    </xf>
    <xf numFmtId="0" fontId="0" fillId="0" borderId="0" xfId="0" applyAlignment="1">
      <alignment horizontal="left"/>
    </xf>
    <xf numFmtId="0" fontId="0" fillId="0" borderId="108" xfId="0" applyBorder="1" applyAlignment="1">
      <alignment horizontal="left"/>
    </xf>
    <xf numFmtId="3" fontId="0" fillId="0" borderId="108" xfId="0" applyNumberFormat="1" applyBorder="1"/>
    <xf numFmtId="0" fontId="28" fillId="20" borderId="0" xfId="0" applyFont="1" applyFill="1" applyAlignment="1">
      <alignment horizontal="centerContinuous"/>
    </xf>
    <xf numFmtId="0" fontId="23" fillId="20" borderId="0" xfId="0" applyFont="1" applyFill="1" applyAlignment="1">
      <alignment horizontal="centerContinuous"/>
    </xf>
    <xf numFmtId="10" fontId="0" fillId="0" borderId="0" xfId="0" applyNumberFormat="1"/>
    <xf numFmtId="0" fontId="1" fillId="10" borderId="110" xfId="0" applyFont="1" applyFill="1" applyBorder="1" applyAlignment="1">
      <alignment horizontal="center"/>
    </xf>
    <xf numFmtId="0" fontId="1" fillId="10" borderId="111" xfId="0" applyFont="1" applyFill="1" applyBorder="1" applyAlignment="1">
      <alignment horizontal="center"/>
    </xf>
    <xf numFmtId="0" fontId="1" fillId="10" borderId="112" xfId="0" applyFont="1" applyFill="1" applyBorder="1" applyAlignment="1">
      <alignment horizontal="center"/>
    </xf>
    <xf numFmtId="0" fontId="1" fillId="10" borderId="113" xfId="0" applyFont="1" applyFill="1" applyBorder="1" applyAlignment="1">
      <alignment horizontal="center"/>
    </xf>
    <xf numFmtId="0" fontId="1" fillId="10" borderId="114" xfId="0" applyFont="1" applyFill="1" applyBorder="1" applyAlignment="1">
      <alignment horizontal="center"/>
    </xf>
    <xf numFmtId="0" fontId="1" fillId="10" borderId="115" xfId="0" applyFont="1" applyFill="1" applyBorder="1" applyAlignment="1">
      <alignment horizontal="center"/>
    </xf>
    <xf numFmtId="14" fontId="3" fillId="0" borderId="0" xfId="0" applyNumberFormat="1" applyFont="1" applyAlignment="1">
      <alignment horizontal="center" vertical="center"/>
    </xf>
    <xf numFmtId="9" fontId="3" fillId="0" borderId="0" xfId="2" applyFont="1" applyBorder="1" applyAlignment="1">
      <alignment horizontal="center"/>
    </xf>
    <xf numFmtId="164" fontId="3" fillId="0" borderId="99" xfId="0" applyNumberFormat="1" applyFont="1" applyBorder="1" applyAlignment="1">
      <alignment horizontal="center"/>
    </xf>
    <xf numFmtId="0" fontId="3" fillId="0" borderId="0" xfId="0" applyFont="1" applyAlignment="1">
      <alignment horizontal="center" vertical="center" wrapText="1"/>
    </xf>
    <xf numFmtId="0" fontId="3" fillId="22" borderId="95" xfId="0" applyFont="1" applyFill="1" applyBorder="1" applyAlignment="1">
      <alignment horizontal="center" vertical="center" wrapText="1"/>
    </xf>
    <xf numFmtId="3" fontId="3" fillId="0" borderId="98" xfId="0" applyNumberFormat="1" applyFont="1" applyBorder="1" applyAlignment="1">
      <alignment horizontal="center" vertical="center"/>
    </xf>
    <xf numFmtId="2" fontId="1" fillId="21" borderId="91" xfId="0" applyNumberFormat="1" applyFont="1" applyFill="1" applyBorder="1" applyAlignment="1">
      <alignment horizontal="center"/>
    </xf>
    <xf numFmtId="0" fontId="0" fillId="11" borderId="37" xfId="0" applyFill="1" applyBorder="1"/>
    <xf numFmtId="0" fontId="0" fillId="11" borderId="86" xfId="0" applyFill="1" applyBorder="1"/>
    <xf numFmtId="1" fontId="1" fillId="0" borderId="100" xfId="0" applyNumberFormat="1" applyFont="1" applyBorder="1" applyAlignment="1">
      <alignment horizontal="center"/>
    </xf>
    <xf numFmtId="1" fontId="1" fillId="18" borderId="92" xfId="0" quotePrefix="1" applyNumberFormat="1" applyFont="1" applyFill="1" applyBorder="1" applyAlignment="1">
      <alignment horizontal="center"/>
    </xf>
    <xf numFmtId="3" fontId="0" fillId="0" borderId="86" xfId="0" applyNumberFormat="1" applyBorder="1" applyAlignment="1">
      <alignment horizontal="center"/>
    </xf>
    <xf numFmtId="3" fontId="0" fillId="0" borderId="37" xfId="0" applyNumberFormat="1" applyBorder="1" applyAlignment="1">
      <alignment horizontal="center"/>
    </xf>
    <xf numFmtId="3" fontId="0" fillId="0" borderId="87" xfId="0" applyNumberFormat="1" applyBorder="1" applyAlignment="1">
      <alignment horizontal="center"/>
    </xf>
    <xf numFmtId="1" fontId="29" fillId="0" borderId="100" xfId="0" applyNumberFormat="1" applyFont="1" applyBorder="1" applyAlignment="1">
      <alignment horizontal="center"/>
    </xf>
    <xf numFmtId="3" fontId="30" fillId="0" borderId="37" xfId="0" applyNumberFormat="1" applyFont="1" applyBorder="1" applyAlignment="1">
      <alignment horizontal="center"/>
    </xf>
    <xf numFmtId="3" fontId="30" fillId="14" borderId="116" xfId="0" applyNumberFormat="1" applyFont="1" applyFill="1" applyBorder="1" applyAlignment="1">
      <alignment horizontal="center"/>
    </xf>
    <xf numFmtId="3" fontId="19" fillId="0" borderId="116" xfId="0" applyNumberFormat="1" applyFont="1" applyBorder="1" applyAlignment="1">
      <alignment horizontal="center"/>
    </xf>
    <xf numFmtId="3" fontId="19" fillId="23" borderId="116" xfId="0" applyNumberFormat="1" applyFont="1" applyFill="1" applyBorder="1" applyAlignment="1">
      <alignment horizontal="center"/>
    </xf>
    <xf numFmtId="0" fontId="23" fillId="20" borderId="38" xfId="0" applyFont="1" applyFill="1" applyBorder="1" applyAlignment="1">
      <alignment horizontal="center" vertical="center"/>
    </xf>
    <xf numFmtId="0" fontId="30" fillId="0" borderId="116" xfId="0" applyFont="1" applyBorder="1"/>
    <xf numFmtId="164" fontId="3" fillId="0" borderId="95" xfId="0" applyNumberFormat="1" applyFont="1" applyBorder="1" applyAlignment="1">
      <alignment horizontal="center" vertical="center"/>
    </xf>
    <xf numFmtId="9" fontId="3" fillId="0" borderId="99" xfId="2" applyFont="1" applyFill="1" applyBorder="1" applyAlignment="1">
      <alignment horizontal="center"/>
    </xf>
    <xf numFmtId="1" fontId="1" fillId="18" borderId="92" xfId="0" applyNumberFormat="1" applyFont="1" applyFill="1" applyBorder="1" applyAlignment="1">
      <alignment horizontal="center"/>
    </xf>
    <xf numFmtId="4" fontId="1" fillId="0" borderId="100" xfId="0" applyNumberFormat="1" applyFont="1" applyBorder="1" applyAlignment="1">
      <alignment horizontal="center"/>
    </xf>
    <xf numFmtId="4" fontId="1" fillId="18" borderId="92" xfId="0" applyNumberFormat="1" applyFont="1" applyFill="1" applyBorder="1" applyAlignment="1">
      <alignment horizontal="center"/>
    </xf>
    <xf numFmtId="4" fontId="1" fillId="21" borderId="106" xfId="0" applyNumberFormat="1" applyFont="1" applyFill="1" applyBorder="1" applyAlignment="1">
      <alignment horizontal="center"/>
    </xf>
    <xf numFmtId="4" fontId="1" fillId="21" borderId="94" xfId="0" applyNumberFormat="1" applyFont="1" applyFill="1" applyBorder="1" applyAlignment="1">
      <alignment horizontal="center"/>
    </xf>
    <xf numFmtId="4" fontId="0" fillId="0" borderId="0" xfId="0" applyNumberFormat="1"/>
    <xf numFmtId="4" fontId="0" fillId="23" borderId="117" xfId="0" applyNumberFormat="1" applyFill="1" applyBorder="1" applyAlignment="1">
      <alignment horizontal="center"/>
    </xf>
    <xf numFmtId="4" fontId="0" fillId="23" borderId="118" xfId="0" applyNumberFormat="1" applyFill="1" applyBorder="1" applyAlignment="1">
      <alignment horizontal="center"/>
    </xf>
    <xf numFmtId="4" fontId="0" fillId="23" borderId="119" xfId="0" applyNumberFormat="1" applyFill="1" applyBorder="1" applyAlignment="1">
      <alignment horizontal="center"/>
    </xf>
    <xf numFmtId="4" fontId="1" fillId="21" borderId="90" xfId="0" applyNumberFormat="1" applyFont="1" applyFill="1" applyBorder="1" applyAlignment="1">
      <alignment horizontal="center"/>
    </xf>
    <xf numFmtId="4" fontId="1" fillId="0" borderId="92" xfId="0" applyNumberFormat="1" applyFont="1" applyBorder="1" applyAlignment="1">
      <alignment horizontal="center"/>
    </xf>
    <xf numFmtId="4" fontId="1" fillId="0" borderId="93" xfId="0" applyNumberFormat="1" applyFont="1" applyBorder="1" applyAlignment="1">
      <alignment horizontal="center"/>
    </xf>
    <xf numFmtId="4" fontId="1" fillId="0" borderId="106" xfId="0" applyNumberFormat="1" applyFont="1" applyBorder="1" applyAlignment="1">
      <alignment horizontal="center"/>
    </xf>
    <xf numFmtId="14" fontId="3" fillId="0" borderId="60" xfId="0" applyNumberFormat="1" applyFont="1" applyBorder="1" applyAlignment="1">
      <alignment horizontal="center" vertical="center"/>
    </xf>
    <xf numFmtId="14" fontId="3" fillId="0" borderId="99" xfId="0" applyNumberFormat="1" applyFont="1" applyBorder="1" applyAlignment="1">
      <alignment horizontal="center" vertical="center"/>
    </xf>
    <xf numFmtId="2" fontId="1" fillId="9" borderId="92" xfId="0" applyNumberFormat="1" applyFont="1" applyFill="1" applyBorder="1" applyAlignment="1">
      <alignment horizontal="center"/>
    </xf>
    <xf numFmtId="0" fontId="23" fillId="20" borderId="99" xfId="0" applyFont="1" applyFill="1" applyBorder="1" applyAlignment="1">
      <alignment horizontal="center"/>
    </xf>
    <xf numFmtId="0" fontId="23" fillId="20" borderId="71" xfId="0" applyFont="1" applyFill="1" applyBorder="1" applyAlignment="1">
      <alignment horizontal="center"/>
    </xf>
    <xf numFmtId="0" fontId="23" fillId="20" borderId="98" xfId="0" applyFont="1" applyFill="1" applyBorder="1" applyAlignment="1">
      <alignment horizontal="center"/>
    </xf>
    <xf numFmtId="0" fontId="23" fillId="20" borderId="97" xfId="0" applyFont="1" applyFill="1" applyBorder="1"/>
    <xf numFmtId="3" fontId="23" fillId="20" borderId="120" xfId="0" applyNumberFormat="1" applyFont="1" applyFill="1" applyBorder="1" applyAlignment="1">
      <alignment horizontal="center"/>
    </xf>
    <xf numFmtId="0" fontId="0" fillId="0" borderId="121" xfId="0" applyBorder="1"/>
    <xf numFmtId="3" fontId="0" fillId="0" borderId="122" xfId="0" applyNumberFormat="1" applyBorder="1" applyAlignment="1">
      <alignment horizontal="center"/>
    </xf>
    <xf numFmtId="0" fontId="0" fillId="0" borderId="124" xfId="0" applyBorder="1"/>
    <xf numFmtId="3" fontId="0" fillId="0" borderId="125" xfId="0" applyNumberFormat="1" applyBorder="1" applyAlignment="1">
      <alignment horizontal="center"/>
    </xf>
    <xf numFmtId="0" fontId="0" fillId="0" borderId="127" xfId="0" applyBorder="1"/>
    <xf numFmtId="3" fontId="0" fillId="0" borderId="128" xfId="0" applyNumberFormat="1" applyBorder="1" applyAlignment="1">
      <alignment horizontal="center"/>
    </xf>
    <xf numFmtId="4" fontId="0" fillId="0" borderId="123" xfId="0" applyNumberFormat="1" applyBorder="1" applyAlignment="1">
      <alignment horizontal="center"/>
    </xf>
    <xf numFmtId="4" fontId="0" fillId="0" borderId="126" xfId="0" applyNumberFormat="1" applyBorder="1" applyAlignment="1">
      <alignment horizontal="center"/>
    </xf>
    <xf numFmtId="4" fontId="0" fillId="0" borderId="129" xfId="0" applyNumberFormat="1" applyBorder="1" applyAlignment="1">
      <alignment horizontal="center"/>
    </xf>
    <xf numFmtId="4" fontId="23" fillId="20" borderId="96" xfId="0" applyNumberFormat="1" applyFont="1" applyFill="1" applyBorder="1" applyAlignment="1">
      <alignment horizontal="center"/>
    </xf>
    <xf numFmtId="3" fontId="3" fillId="0" borderId="122" xfId="0" applyNumberFormat="1" applyFont="1" applyBorder="1" applyAlignment="1">
      <alignment horizontal="center"/>
    </xf>
    <xf numFmtId="3" fontId="3" fillId="0" borderId="125" xfId="0" applyNumberFormat="1" applyFont="1" applyBorder="1" applyAlignment="1">
      <alignment horizontal="center"/>
    </xf>
    <xf numFmtId="3" fontId="3" fillId="0" borderId="128" xfId="0" applyNumberFormat="1" applyFont="1" applyBorder="1" applyAlignment="1">
      <alignment horizontal="center"/>
    </xf>
    <xf numFmtId="0" fontId="3" fillId="0" borderId="121" xfId="0" applyFont="1" applyBorder="1"/>
    <xf numFmtId="0" fontId="3" fillId="0" borderId="124" xfId="0" applyFont="1" applyBorder="1"/>
    <xf numFmtId="0" fontId="3" fillId="0" borderId="127" xfId="0" applyFont="1" applyBorder="1"/>
    <xf numFmtId="0" fontId="25" fillId="0" borderId="121" xfId="0" applyFont="1" applyBorder="1"/>
    <xf numFmtId="0" fontId="25" fillId="0" borderId="124" xfId="0" applyFont="1" applyBorder="1"/>
    <xf numFmtId="0" fontId="0" fillId="11" borderId="37" xfId="0" applyFill="1" applyBorder="1" applyAlignment="1">
      <alignment vertical="center"/>
    </xf>
    <xf numFmtId="0" fontId="0" fillId="11" borderId="86" xfId="0" applyFill="1" applyBorder="1" applyAlignment="1">
      <alignment vertical="center"/>
    </xf>
    <xf numFmtId="3" fontId="0" fillId="0" borderId="86" xfId="0" applyNumberFormat="1" applyBorder="1" applyAlignment="1">
      <alignment horizontal="center" vertical="center"/>
    </xf>
    <xf numFmtId="4" fontId="0" fillId="23" borderId="117" xfId="0" applyNumberFormat="1" applyFill="1" applyBorder="1" applyAlignment="1">
      <alignment horizontal="center" vertical="center"/>
    </xf>
    <xf numFmtId="4" fontId="0" fillId="23" borderId="118" xfId="0" applyNumberFormat="1" applyFill="1" applyBorder="1" applyAlignment="1">
      <alignment horizontal="center" vertical="center"/>
    </xf>
    <xf numFmtId="4" fontId="0" fillId="23" borderId="119" xfId="0" applyNumberFormat="1" applyFill="1" applyBorder="1" applyAlignment="1">
      <alignment horizontal="center" vertical="center"/>
    </xf>
    <xf numFmtId="3" fontId="19" fillId="0" borderId="116" xfId="0" applyNumberFormat="1" applyFont="1" applyBorder="1" applyAlignment="1">
      <alignment horizontal="center" vertical="center"/>
    </xf>
    <xf numFmtId="3" fontId="19" fillId="23" borderId="116" xfId="0" applyNumberFormat="1" applyFont="1" applyFill="1" applyBorder="1" applyAlignment="1">
      <alignment horizontal="center" vertical="center"/>
    </xf>
    <xf numFmtId="0" fontId="23" fillId="20" borderId="99" xfId="0" applyFont="1" applyFill="1" applyBorder="1" applyAlignment="1">
      <alignment horizontal="center" vertical="center"/>
    </xf>
    <xf numFmtId="0" fontId="23" fillId="20" borderId="71" xfId="0" applyFont="1" applyFill="1" applyBorder="1" applyAlignment="1">
      <alignment horizontal="center" vertical="center" wrapText="1"/>
    </xf>
    <xf numFmtId="0" fontId="23" fillId="20" borderId="98" xfId="0" applyFont="1" applyFill="1" applyBorder="1" applyAlignment="1">
      <alignment horizontal="center" vertical="center"/>
    </xf>
    <xf numFmtId="3" fontId="25" fillId="0" borderId="37" xfId="0" applyNumberFormat="1" applyFont="1" applyBorder="1" applyAlignment="1">
      <alignment horizontal="center" vertical="center"/>
    </xf>
    <xf numFmtId="3" fontId="25" fillId="0" borderId="86" xfId="0" applyNumberFormat="1" applyFont="1" applyBorder="1" applyAlignment="1">
      <alignment horizontal="center" vertical="center"/>
    </xf>
    <xf numFmtId="3" fontId="25" fillId="0" borderId="37" xfId="0" applyNumberFormat="1" applyFont="1" applyBorder="1" applyAlignment="1">
      <alignment horizontal="center"/>
    </xf>
    <xf numFmtId="3" fontId="25" fillId="0" borderId="86" xfId="0" applyNumberFormat="1" applyFont="1" applyBorder="1" applyAlignment="1">
      <alignment horizontal="center"/>
    </xf>
    <xf numFmtId="3" fontId="25" fillId="0" borderId="0" xfId="0" applyNumberFormat="1" applyFont="1" applyAlignment="1">
      <alignment horizontal="center"/>
    </xf>
    <xf numFmtId="1" fontId="1" fillId="24" borderId="100" xfId="0" applyNumberFormat="1" applyFont="1" applyFill="1" applyBorder="1" applyAlignment="1">
      <alignment horizontal="center"/>
    </xf>
    <xf numFmtId="0" fontId="3" fillId="0" borderId="61" xfId="0" applyFont="1" applyBorder="1" applyAlignment="1">
      <alignment horizontal="center" vertical="center"/>
    </xf>
    <xf numFmtId="2" fontId="1" fillId="25" borderId="92" xfId="0" applyNumberFormat="1" applyFont="1" applyFill="1" applyBorder="1" applyAlignment="1">
      <alignment horizontal="center"/>
    </xf>
    <xf numFmtId="2" fontId="1" fillId="25" borderId="93" xfId="0" applyNumberFormat="1" applyFont="1" applyFill="1" applyBorder="1" applyAlignment="1">
      <alignment horizontal="center"/>
    </xf>
    <xf numFmtId="2" fontId="1" fillId="0" borderId="92" xfId="0" quotePrefix="1" applyNumberFormat="1" applyFont="1" applyBorder="1" applyAlignment="1">
      <alignment horizontal="center"/>
    </xf>
    <xf numFmtId="0" fontId="0" fillId="19" borderId="1" xfId="0" applyFill="1" applyBorder="1" applyAlignment="1">
      <alignment horizontal="center" vertical="center"/>
    </xf>
    <xf numFmtId="0" fontId="0" fillId="0" borderId="64" xfId="0" applyBorder="1" applyAlignment="1">
      <alignment horizontal="center" vertical="center"/>
    </xf>
    <xf numFmtId="9" fontId="3" fillId="0" borderId="1" xfId="2" applyFont="1" applyBorder="1" applyAlignment="1">
      <alignment horizontal="center" vertical="center"/>
    </xf>
    <xf numFmtId="0" fontId="0" fillId="26" borderId="0" xfId="0" applyFill="1" applyAlignment="1">
      <alignment horizontal="centerContinuous"/>
    </xf>
    <xf numFmtId="0" fontId="30" fillId="27" borderId="0" xfId="0" applyFont="1" applyFill="1" applyAlignment="1">
      <alignment horizontal="centerContinuous"/>
    </xf>
    <xf numFmtId="0" fontId="25" fillId="27" borderId="0" xfId="0" applyFont="1" applyFill="1" applyAlignment="1">
      <alignment horizontal="centerContinuous"/>
    </xf>
    <xf numFmtId="0" fontId="0" fillId="28" borderId="0" xfId="0" applyFill="1" applyAlignment="1">
      <alignment horizontal="centerContinuous"/>
    </xf>
    <xf numFmtId="0" fontId="23" fillId="28" borderId="0" xfId="0" applyFont="1" applyFill="1" applyAlignment="1">
      <alignment horizontal="centerContinuous"/>
    </xf>
    <xf numFmtId="22" fontId="0" fillId="0" borderId="63" xfId="0" applyNumberFormat="1" applyBorder="1" applyAlignment="1">
      <alignment horizontal="center" vertical="center"/>
    </xf>
    <xf numFmtId="2" fontId="1" fillId="0" borderId="0" xfId="0" applyNumberFormat="1" applyFont="1" applyAlignment="1">
      <alignment horizontal="center"/>
    </xf>
    <xf numFmtId="2" fontId="0" fillId="0" borderId="99" xfId="0" applyNumberFormat="1" applyBorder="1" applyAlignment="1">
      <alignment horizontal="center" vertical="center"/>
    </xf>
    <xf numFmtId="9" fontId="3" fillId="0" borderId="63" xfId="2" applyFont="1" applyBorder="1" applyAlignment="1">
      <alignment horizontal="center"/>
    </xf>
    <xf numFmtId="14" fontId="3" fillId="29" borderId="1" xfId="0" applyNumberFormat="1" applyFont="1" applyFill="1" applyBorder="1" applyAlignment="1">
      <alignment horizontal="center" vertical="center"/>
    </xf>
    <xf numFmtId="0" fontId="31" fillId="20" borderId="1" xfId="0" applyFont="1" applyFill="1" applyBorder="1" applyAlignment="1">
      <alignment horizontal="center"/>
    </xf>
    <xf numFmtId="0" fontId="0" fillId="0" borderId="1" xfId="0" applyBorder="1"/>
    <xf numFmtId="3" fontId="3" fillId="0" borderId="1" xfId="0" applyNumberFormat="1" applyFont="1" applyBorder="1" applyAlignment="1">
      <alignment horizontal="center"/>
    </xf>
    <xf numFmtId="4" fontId="0" fillId="0" borderId="1" xfId="0" applyNumberFormat="1" applyBorder="1" applyAlignment="1">
      <alignment horizontal="center"/>
    </xf>
    <xf numFmtId="2" fontId="31" fillId="20" borderId="1" xfId="0" applyNumberFormat="1" applyFont="1" applyFill="1" applyBorder="1" applyAlignment="1">
      <alignment horizontal="center"/>
    </xf>
    <xf numFmtId="164" fontId="3" fillId="3" borderId="1" xfId="0" applyNumberFormat="1" applyFont="1" applyFill="1" applyBorder="1" applyAlignment="1">
      <alignment horizontal="center" vertical="center"/>
    </xf>
    <xf numFmtId="164" fontId="3" fillId="3" borderId="63" xfId="0" applyNumberFormat="1" applyFont="1" applyFill="1" applyBorder="1" applyAlignment="1">
      <alignment horizontal="center" vertical="center"/>
    </xf>
    <xf numFmtId="2" fontId="1" fillId="18" borderId="111" xfId="0" applyNumberFormat="1" applyFont="1" applyFill="1" applyBorder="1" applyAlignment="1">
      <alignment horizontal="center"/>
    </xf>
    <xf numFmtId="2" fontId="1" fillId="18" borderId="131" xfId="0" applyNumberFormat="1" applyFont="1" applyFill="1" applyBorder="1" applyAlignment="1">
      <alignment horizontal="center"/>
    </xf>
    <xf numFmtId="2" fontId="1" fillId="18" borderId="113" xfId="0" applyNumberFormat="1" applyFont="1" applyFill="1" applyBorder="1" applyAlignment="1">
      <alignment horizontal="center"/>
    </xf>
    <xf numFmtId="0" fontId="31" fillId="20" borderId="63" xfId="0" applyFont="1" applyFill="1" applyBorder="1"/>
    <xf numFmtId="3" fontId="31" fillId="20" borderId="63" xfId="0" applyNumberFormat="1" applyFont="1" applyFill="1" applyBorder="1" applyAlignment="1">
      <alignment horizontal="center"/>
    </xf>
    <xf numFmtId="4" fontId="31" fillId="20" borderId="63" xfId="0" applyNumberFormat="1" applyFont="1" applyFill="1" applyBorder="1" applyAlignment="1">
      <alignment horizontal="center"/>
    </xf>
    <xf numFmtId="3" fontId="3" fillId="0" borderId="0" xfId="0" applyNumberFormat="1" applyFont="1" applyAlignment="1">
      <alignment horizontal="center"/>
    </xf>
    <xf numFmtId="4" fontId="0" fillId="0" borderId="0" xfId="0" applyNumberFormat="1" applyAlignment="1">
      <alignment horizontal="center"/>
    </xf>
    <xf numFmtId="0" fontId="23" fillId="0" borderId="0" xfId="0" applyFont="1"/>
    <xf numFmtId="3" fontId="23" fillId="0" borderId="0" xfId="0" applyNumberFormat="1" applyFont="1" applyAlignment="1">
      <alignment horizontal="center"/>
    </xf>
    <xf numFmtId="4" fontId="23" fillId="0" borderId="0" xfId="0" applyNumberFormat="1" applyFont="1" applyAlignment="1">
      <alignment horizontal="center"/>
    </xf>
    <xf numFmtId="0" fontId="0" fillId="29" borderId="1" xfId="0" applyFill="1" applyBorder="1" applyAlignment="1">
      <alignment horizontal="center" vertical="center"/>
    </xf>
    <xf numFmtId="3" fontId="3" fillId="0" borderId="0" xfId="0" applyNumberFormat="1" applyFont="1" applyAlignment="1">
      <alignment horizontal="center" vertical="center"/>
    </xf>
    <xf numFmtId="0" fontId="3" fillId="0" borderId="0" xfId="0" applyFont="1" applyAlignment="1">
      <alignment horizontal="center" vertical="center"/>
    </xf>
    <xf numFmtId="0" fontId="3" fillId="2" borderId="1" xfId="0" applyFont="1" applyFill="1" applyBorder="1" applyAlignment="1">
      <alignment horizontal="center" vertical="center"/>
    </xf>
    <xf numFmtId="164" fontId="3" fillId="2" borderId="98" xfId="0" applyNumberFormat="1" applyFont="1" applyFill="1" applyBorder="1" applyAlignment="1">
      <alignment horizontal="center" vertical="center"/>
    </xf>
    <xf numFmtId="164" fontId="3" fillId="2" borderId="63" xfId="0" applyNumberFormat="1" applyFont="1" applyFill="1" applyBorder="1" applyAlignment="1">
      <alignment horizontal="center" vertical="center"/>
    </xf>
    <xf numFmtId="14" fontId="3" fillId="29" borderId="63" xfId="0" applyNumberFormat="1" applyFont="1" applyFill="1" applyBorder="1" applyAlignment="1">
      <alignment horizontal="center" vertical="center"/>
    </xf>
    <xf numFmtId="49" fontId="3" fillId="2" borderId="63" xfId="0" applyNumberFormat="1" applyFont="1" applyFill="1" applyBorder="1" applyAlignment="1">
      <alignment horizontal="center" vertical="center"/>
    </xf>
    <xf numFmtId="2" fontId="0" fillId="29" borderId="63" xfId="0" applyNumberFormat="1" applyFill="1" applyBorder="1" applyAlignment="1">
      <alignment horizontal="center" vertical="center"/>
    </xf>
    <xf numFmtId="1" fontId="0" fillId="29" borderId="63" xfId="0" applyNumberFormat="1" applyFill="1" applyBorder="1" applyAlignment="1">
      <alignment horizontal="center" vertical="center"/>
    </xf>
    <xf numFmtId="14" fontId="3" fillId="0" borderId="1" xfId="0" applyNumberFormat="1" applyFont="1" applyBorder="1" applyAlignment="1">
      <alignment horizontal="center" vertical="center" wrapText="1"/>
    </xf>
    <xf numFmtId="14" fontId="3" fillId="0" borderId="130" xfId="0" applyNumberFormat="1" applyFont="1" applyBorder="1" applyAlignment="1">
      <alignment horizontal="center" vertical="center"/>
    </xf>
    <xf numFmtId="49" fontId="3" fillId="29" borderId="63" xfId="0" applyNumberFormat="1" applyFont="1" applyFill="1" applyBorder="1" applyAlignment="1">
      <alignment horizontal="center" vertical="center"/>
    </xf>
    <xf numFmtId="0" fontId="25" fillId="30" borderId="1" xfId="0" applyFont="1" applyFill="1" applyBorder="1" applyAlignment="1">
      <alignment horizontal="center"/>
    </xf>
    <xf numFmtId="0" fontId="3" fillId="0" borderId="60" xfId="0" applyFont="1" applyBorder="1" applyAlignment="1">
      <alignment horizontal="center" vertical="center"/>
    </xf>
    <xf numFmtId="3" fontId="0" fillId="29" borderId="63" xfId="0" applyNumberFormat="1" applyFill="1" applyBorder="1" applyAlignment="1">
      <alignment horizontal="center" vertical="center"/>
    </xf>
    <xf numFmtId="0" fontId="0" fillId="29" borderId="63" xfId="0" applyFill="1" applyBorder="1" applyAlignment="1">
      <alignment horizontal="center" vertical="center"/>
    </xf>
    <xf numFmtId="1" fontId="1" fillId="0" borderId="100" xfId="0" quotePrefix="1" applyNumberFormat="1" applyFont="1" applyBorder="1" applyAlignment="1">
      <alignment horizontal="center"/>
    </xf>
    <xf numFmtId="172" fontId="0" fillId="0" borderId="1" xfId="0" applyNumberFormat="1" applyBorder="1" applyAlignment="1">
      <alignment horizontal="center" vertical="center"/>
    </xf>
    <xf numFmtId="172" fontId="23" fillId="26" borderId="0" xfId="0" applyNumberFormat="1" applyFont="1" applyFill="1" applyAlignment="1">
      <alignment horizontal="centerContinuous"/>
    </xf>
    <xf numFmtId="172" fontId="0" fillId="26" borderId="0" xfId="0" applyNumberFormat="1" applyFill="1" applyAlignment="1">
      <alignment horizontal="centerContinuous"/>
    </xf>
    <xf numFmtId="172" fontId="0" fillId="20" borderId="64" xfId="0" applyNumberFormat="1" applyFill="1" applyBorder="1" applyAlignment="1">
      <alignment horizontal="center"/>
    </xf>
    <xf numFmtId="172" fontId="0" fillId="0" borderId="64" xfId="0" applyNumberFormat="1" applyBorder="1" applyAlignment="1">
      <alignment horizontal="center" vertical="center"/>
    </xf>
    <xf numFmtId="172" fontId="0" fillId="19" borderId="1" xfId="0" applyNumberFormat="1" applyFill="1" applyBorder="1" applyAlignment="1">
      <alignment horizontal="center" vertical="center"/>
    </xf>
    <xf numFmtId="172" fontId="3" fillId="0" borderId="1" xfId="0" applyNumberFormat="1" applyFont="1" applyBorder="1" applyAlignment="1">
      <alignment horizontal="center" vertical="center"/>
    </xf>
    <xf numFmtId="172" fontId="0" fillId="0" borderId="63" xfId="0" applyNumberFormat="1" applyBorder="1" applyAlignment="1">
      <alignment horizontal="center" vertical="center"/>
    </xf>
    <xf numFmtId="172" fontId="0" fillId="29" borderId="63" xfId="0" applyNumberFormat="1" applyFill="1" applyBorder="1" applyAlignment="1">
      <alignment horizontal="center" vertical="center"/>
    </xf>
    <xf numFmtId="14" fontId="3" fillId="0" borderId="130" xfId="0" applyNumberFormat="1" applyFont="1" applyBorder="1" applyAlignment="1">
      <alignment horizontal="center" vertical="center" wrapText="1"/>
    </xf>
    <xf numFmtId="14" fontId="3" fillId="0" borderId="130" xfId="0" quotePrefix="1" applyNumberFormat="1" applyFont="1" applyBorder="1" applyAlignment="1">
      <alignment horizontal="center" vertical="center" wrapText="1"/>
    </xf>
    <xf numFmtId="22" fontId="0" fillId="0" borderId="1" xfId="0" applyNumberFormat="1" applyBorder="1" applyAlignment="1">
      <alignment horizontal="center" vertical="center"/>
    </xf>
    <xf numFmtId="1" fontId="3" fillId="0" borderId="130" xfId="0" quotePrefix="1" applyNumberFormat="1" applyFont="1" applyBorder="1" applyAlignment="1">
      <alignment horizontal="center" vertical="center" wrapText="1"/>
    </xf>
    <xf numFmtId="0" fontId="19" fillId="0" borderId="116" xfId="0" applyFont="1" applyBorder="1" applyAlignment="1">
      <alignment horizontal="center"/>
    </xf>
    <xf numFmtId="0" fontId="0" fillId="0" borderId="116" xfId="0" applyBorder="1"/>
    <xf numFmtId="0" fontId="0" fillId="0" borderId="116" xfId="0" applyBorder="1" applyAlignment="1">
      <alignment horizontal="center" vertical="center"/>
    </xf>
    <xf numFmtId="1" fontId="1" fillId="0" borderId="92" xfId="0" applyNumberFormat="1" applyFont="1" applyBorder="1" applyAlignment="1">
      <alignment horizontal="center"/>
    </xf>
    <xf numFmtId="2" fontId="1" fillId="0" borderId="94" xfId="0" applyNumberFormat="1" applyFont="1" applyBorder="1" applyAlignment="1">
      <alignment horizontal="center"/>
    </xf>
    <xf numFmtId="2" fontId="1" fillId="0" borderId="135" xfId="0" applyNumberFormat="1" applyFont="1" applyBorder="1" applyAlignment="1">
      <alignment horizontal="center"/>
    </xf>
    <xf numFmtId="1" fontId="1" fillId="21" borderId="100" xfId="0" applyNumberFormat="1" applyFont="1" applyFill="1" applyBorder="1" applyAlignment="1">
      <alignment horizontal="center"/>
    </xf>
    <xf numFmtId="1" fontId="1" fillId="0" borderId="91" xfId="0" applyNumberFormat="1" applyFont="1" applyBorder="1" applyAlignment="1">
      <alignment horizontal="center"/>
    </xf>
    <xf numFmtId="1" fontId="1" fillId="0" borderId="106" xfId="0" applyNumberFormat="1" applyFont="1" applyBorder="1" applyAlignment="1">
      <alignment horizontal="center"/>
    </xf>
    <xf numFmtId="1" fontId="1" fillId="21" borderId="106" xfId="0" applyNumberFormat="1" applyFont="1" applyFill="1" applyBorder="1" applyAlignment="1">
      <alignment horizontal="center"/>
    </xf>
    <xf numFmtId="1" fontId="1" fillId="0" borderId="94" xfId="0" applyNumberFormat="1" applyFont="1" applyBorder="1" applyAlignment="1">
      <alignment horizontal="center"/>
    </xf>
    <xf numFmtId="4" fontId="1" fillId="21" borderId="100" xfId="0" applyNumberFormat="1" applyFont="1" applyFill="1" applyBorder="1" applyAlignment="1">
      <alignment horizontal="center"/>
    </xf>
    <xf numFmtId="4" fontId="1" fillId="0" borderId="134" xfId="0" applyNumberFormat="1" applyFont="1" applyBorder="1" applyAlignment="1">
      <alignment horizontal="center"/>
    </xf>
    <xf numFmtId="4" fontId="1" fillId="0" borderId="133" xfId="0" applyNumberFormat="1" applyFont="1" applyBorder="1" applyAlignment="1">
      <alignment horizontal="center"/>
    </xf>
    <xf numFmtId="4" fontId="1" fillId="0" borderId="132" xfId="0" applyNumberFormat="1" applyFont="1" applyBorder="1" applyAlignment="1">
      <alignment horizontal="center"/>
    </xf>
    <xf numFmtId="2" fontId="1" fillId="21" borderId="135" xfId="0" applyNumberFormat="1" applyFont="1" applyFill="1" applyBorder="1" applyAlignment="1">
      <alignment horizontal="center"/>
    </xf>
    <xf numFmtId="1" fontId="29" fillId="21" borderId="100" xfId="0" applyNumberFormat="1" applyFont="1" applyFill="1" applyBorder="1" applyAlignment="1">
      <alignment horizontal="center"/>
    </xf>
    <xf numFmtId="1" fontId="1" fillId="21" borderId="92" xfId="0" applyNumberFormat="1" applyFont="1" applyFill="1" applyBorder="1" applyAlignment="1">
      <alignment horizontal="center"/>
    </xf>
    <xf numFmtId="0" fontId="23" fillId="20" borderId="1" xfId="0" applyFont="1" applyFill="1" applyBorder="1" applyAlignment="1">
      <alignment horizontal="center"/>
    </xf>
    <xf numFmtId="4" fontId="1" fillId="0" borderId="90" xfId="0" applyNumberFormat="1" applyFont="1" applyBorder="1" applyAlignment="1">
      <alignment horizontal="center"/>
    </xf>
    <xf numFmtId="4" fontId="1" fillId="0" borderId="94" xfId="0" applyNumberFormat="1" applyFont="1" applyBorder="1" applyAlignment="1">
      <alignment horizontal="center"/>
    </xf>
    <xf numFmtId="1" fontId="0" fillId="29" borderId="1" xfId="0" applyNumberFormat="1" applyFill="1" applyBorder="1" applyAlignment="1">
      <alignment horizontal="center" vertical="center"/>
    </xf>
    <xf numFmtId="14" fontId="3" fillId="0" borderId="1" xfId="0" quotePrefix="1" applyNumberFormat="1" applyFont="1" applyBorder="1" applyAlignment="1">
      <alignment horizontal="center" vertical="center" wrapText="1"/>
    </xf>
    <xf numFmtId="1" fontId="3" fillId="0" borderId="1" xfId="0" quotePrefix="1" applyNumberFormat="1" applyFont="1" applyBorder="1" applyAlignment="1">
      <alignment horizontal="center" vertical="center" wrapText="1"/>
    </xf>
    <xf numFmtId="49" fontId="3" fillId="29" borderId="1" xfId="0" applyNumberFormat="1" applyFont="1" applyFill="1" applyBorder="1" applyAlignment="1">
      <alignment horizontal="center" vertical="center"/>
    </xf>
    <xf numFmtId="9" fontId="3" fillId="29" borderId="99" xfId="2" applyFont="1" applyFill="1" applyBorder="1" applyAlignment="1">
      <alignment horizontal="center"/>
    </xf>
    <xf numFmtId="1" fontId="1" fillId="2" borderId="91" xfId="0" applyNumberFormat="1" applyFont="1" applyFill="1" applyBorder="1" applyAlignment="1">
      <alignment horizontal="center"/>
    </xf>
    <xf numFmtId="1" fontId="1" fillId="2" borderId="100" xfId="0" applyNumberFormat="1" applyFont="1" applyFill="1" applyBorder="1" applyAlignment="1">
      <alignment horizontal="center"/>
    </xf>
    <xf numFmtId="1" fontId="1" fillId="2" borderId="92" xfId="0" applyNumberFormat="1" applyFont="1" applyFill="1" applyBorder="1" applyAlignment="1">
      <alignment horizontal="center"/>
    </xf>
    <xf numFmtId="1" fontId="1" fillId="2" borderId="106" xfId="0" applyNumberFormat="1" applyFont="1" applyFill="1" applyBorder="1" applyAlignment="1">
      <alignment horizontal="center"/>
    </xf>
    <xf numFmtId="1" fontId="1" fillId="2" borderId="94" xfId="0" applyNumberFormat="1" applyFont="1" applyFill="1" applyBorder="1" applyAlignment="1">
      <alignment horizontal="center"/>
    </xf>
    <xf numFmtId="174" fontId="0" fillId="0" borderId="64" xfId="0" applyNumberFormat="1" applyBorder="1" applyAlignment="1">
      <alignment horizontal="center" vertical="center"/>
    </xf>
    <xf numFmtId="174" fontId="0" fillId="0" borderId="1" xfId="0" applyNumberFormat="1" applyBorder="1" applyAlignment="1">
      <alignment horizontal="center" vertical="center"/>
    </xf>
    <xf numFmtId="174" fontId="0" fillId="19" borderId="1" xfId="0" applyNumberFormat="1" applyFill="1" applyBorder="1" applyAlignment="1">
      <alignment horizontal="center" vertical="center"/>
    </xf>
    <xf numFmtId="174" fontId="3" fillId="0" borderId="1" xfId="0" applyNumberFormat="1" applyFont="1" applyBorder="1" applyAlignment="1">
      <alignment horizontal="center" vertical="center"/>
    </xf>
    <xf numFmtId="174" fontId="0" fillId="0" borderId="63" xfId="0" applyNumberFormat="1" applyBorder="1" applyAlignment="1">
      <alignment horizontal="center" vertical="center"/>
    </xf>
    <xf numFmtId="174" fontId="0" fillId="29" borderId="63" xfId="0" applyNumberFormat="1" applyFill="1" applyBorder="1" applyAlignment="1">
      <alignment horizontal="center" vertical="center"/>
    </xf>
    <xf numFmtId="0" fontId="25" fillId="0" borderId="95" xfId="1" applyFont="1" applyBorder="1" applyAlignment="1">
      <alignment horizontal="center" vertical="center" wrapText="1"/>
    </xf>
    <xf numFmtId="1" fontId="1" fillId="0" borderId="133" xfId="0" applyNumberFormat="1" applyFont="1" applyBorder="1" applyAlignment="1">
      <alignment horizontal="center"/>
    </xf>
    <xf numFmtId="4" fontId="0" fillId="0" borderId="86" xfId="0" applyNumberFormat="1" applyBorder="1"/>
    <xf numFmtId="0" fontId="25" fillId="0" borderId="86" xfId="0" applyFont="1" applyBorder="1"/>
    <xf numFmtId="0" fontId="0" fillId="0" borderId="76" xfId="0" applyBorder="1"/>
    <xf numFmtId="0" fontId="0" fillId="0" borderId="69" xfId="0" applyBorder="1"/>
    <xf numFmtId="0" fontId="0" fillId="0" borderId="77" xfId="0" applyBorder="1"/>
    <xf numFmtId="0" fontId="0" fillId="11" borderId="87" xfId="0" applyFill="1" applyBorder="1"/>
    <xf numFmtId="0" fontId="25" fillId="0" borderId="37" xfId="0" applyFont="1" applyBorder="1"/>
    <xf numFmtId="0" fontId="0" fillId="0" borderId="86" xfId="0" applyBorder="1"/>
    <xf numFmtId="0" fontId="25" fillId="0" borderId="0" xfId="1" applyFont="1" applyAlignment="1">
      <alignment horizontal="center" vertical="center" wrapText="1"/>
    </xf>
    <xf numFmtId="2" fontId="1" fillId="18" borderId="91" xfId="0" applyNumberFormat="1" applyFont="1" applyFill="1" applyBorder="1" applyAlignment="1">
      <alignment horizontal="center"/>
    </xf>
    <xf numFmtId="2" fontId="1" fillId="0" borderId="91" xfId="0" applyNumberFormat="1" applyFont="1" applyBorder="1" applyAlignment="1">
      <alignment horizontal="center"/>
    </xf>
    <xf numFmtId="2" fontId="1" fillId="0" borderId="132" xfId="0" applyNumberFormat="1" applyFont="1" applyBorder="1" applyAlignment="1">
      <alignment horizontal="center"/>
    </xf>
    <xf numFmtId="1" fontId="1" fillId="0" borderId="0" xfId="0" applyNumberFormat="1" applyFont="1" applyAlignment="1">
      <alignment horizontal="center"/>
    </xf>
    <xf numFmtId="1" fontId="1" fillId="0" borderId="132" xfId="0" applyNumberFormat="1" applyFont="1" applyBorder="1" applyAlignment="1">
      <alignment horizontal="center"/>
    </xf>
    <xf numFmtId="0" fontId="3" fillId="0" borderId="130" xfId="0" applyFont="1" applyBorder="1" applyAlignment="1">
      <alignment horizontal="center" vertical="center" wrapText="1"/>
    </xf>
    <xf numFmtId="0" fontId="3" fillId="0" borderId="1" xfId="2" applyNumberFormat="1" applyFont="1" applyBorder="1" applyAlignment="1">
      <alignment horizontal="center" vertical="center"/>
    </xf>
    <xf numFmtId="0" fontId="32" fillId="0" borderId="0" xfId="0" applyFont="1"/>
    <xf numFmtId="0" fontId="31" fillId="20" borderId="0" xfId="0" applyFont="1" applyFill="1"/>
    <xf numFmtId="175" fontId="0" fillId="0" borderId="0" xfId="0" applyNumberFormat="1"/>
    <xf numFmtId="176" fontId="0" fillId="0" borderId="0" xfId="0" applyNumberFormat="1"/>
    <xf numFmtId="177" fontId="0" fillId="0" borderId="0" xfId="0" applyNumberFormat="1"/>
    <xf numFmtId="0" fontId="31" fillId="20" borderId="0" xfId="0" applyFont="1" applyFill="1" applyAlignment="1">
      <alignment horizontal="left"/>
    </xf>
    <xf numFmtId="3" fontId="31" fillId="20" borderId="0" xfId="0" applyNumberFormat="1" applyFont="1" applyFill="1"/>
    <xf numFmtId="177" fontId="31" fillId="20" borderId="0" xfId="0" applyNumberFormat="1" applyFont="1" applyFill="1"/>
    <xf numFmtId="0" fontId="31" fillId="20" borderId="107" xfId="0" applyFont="1" applyFill="1" applyBorder="1"/>
    <xf numFmtId="0" fontId="31" fillId="20" borderId="108" xfId="0" applyFont="1" applyFill="1" applyBorder="1"/>
    <xf numFmtId="0" fontId="31" fillId="20" borderId="109" xfId="0" applyFont="1" applyFill="1" applyBorder="1" applyAlignment="1">
      <alignment horizontal="left"/>
    </xf>
    <xf numFmtId="3" fontId="31" fillId="20" borderId="109" xfId="0" applyNumberFormat="1" applyFont="1" applyFill="1" applyBorder="1"/>
    <xf numFmtId="0" fontId="31" fillId="20" borderId="0" xfId="0" applyFont="1" applyFill="1" applyAlignment="1">
      <alignment horizontal="center"/>
    </xf>
    <xf numFmtId="10" fontId="31" fillId="20" borderId="0" xfId="0" applyNumberFormat="1" applyFont="1" applyFill="1"/>
    <xf numFmtId="2" fontId="0" fillId="0" borderId="60" xfId="0" applyNumberFormat="1" applyBorder="1" applyAlignment="1">
      <alignment horizontal="center" vertical="center"/>
    </xf>
    <xf numFmtId="0" fontId="23" fillId="5" borderId="63" xfId="0" applyFont="1" applyFill="1" applyBorder="1" applyAlignment="1">
      <alignment horizontal="center" vertical="center" textRotation="180"/>
    </xf>
    <xf numFmtId="0" fontId="23" fillId="5" borderId="71" xfId="0" applyFont="1" applyFill="1" applyBorder="1" applyAlignment="1">
      <alignment horizontal="center" vertical="center" textRotation="180"/>
    </xf>
    <xf numFmtId="0" fontId="23" fillId="5" borderId="69" xfId="0" applyFont="1" applyFill="1" applyBorder="1" applyAlignment="1">
      <alignment horizontal="center" vertical="center" textRotation="180"/>
    </xf>
    <xf numFmtId="0" fontId="23" fillId="5" borderId="0" xfId="0" applyFont="1" applyFill="1" applyAlignment="1">
      <alignment horizontal="center" vertical="center" textRotation="180"/>
    </xf>
    <xf numFmtId="0" fontId="23" fillId="5" borderId="43" xfId="0" applyFont="1" applyFill="1" applyBorder="1" applyAlignment="1">
      <alignment horizontal="center" vertical="center" textRotation="180"/>
    </xf>
    <xf numFmtId="0" fontId="23" fillId="5" borderId="64" xfId="0" applyFont="1" applyFill="1" applyBorder="1" applyAlignment="1">
      <alignment horizontal="center" vertical="center" textRotation="180"/>
    </xf>
    <xf numFmtId="173" fontId="23" fillId="20" borderId="0" xfId="0" applyNumberFormat="1" applyFont="1" applyFill="1" applyAlignment="1">
      <alignment horizontal="center" vertical="center" textRotation="90"/>
    </xf>
    <xf numFmtId="0" fontId="23" fillId="20" borderId="0" xfId="0" applyFont="1" applyFill="1" applyAlignment="1">
      <alignment horizontal="center" vertical="center" textRotation="90"/>
    </xf>
    <xf numFmtId="0" fontId="19" fillId="0" borderId="116" xfId="0" applyFont="1" applyBorder="1" applyAlignment="1">
      <alignment horizontal="center"/>
    </xf>
    <xf numFmtId="2" fontId="1" fillId="18" borderId="106" xfId="0" quotePrefix="1" applyNumberFormat="1" applyFont="1" applyFill="1" applyBorder="1" applyAlignment="1">
      <alignment horizontal="center"/>
    </xf>
  </cellXfs>
  <cellStyles count="4">
    <cellStyle name="Normal" xfId="0" builtinId="0"/>
    <cellStyle name="Normal 2" xfId="1" xr:uid="{CA7B0E5B-40BA-4585-BFDD-7BDB375CB6FF}"/>
    <cellStyle name="Normal 2 2" xfId="3" xr:uid="{2AD05619-9982-4044-A615-8A5E6E18272E}"/>
    <cellStyle name="Percent" xfId="2" builtinId="5"/>
  </cellStyles>
  <dxfs count="2625">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numFmt numFmtId="177" formatCode="#,##0.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FF0000"/>
      </font>
      <fill>
        <patternFill patternType="solid">
          <fgColor indexed="64"/>
          <bgColor rgb="FFFFE0E0"/>
        </patternFill>
      </fill>
    </dxf>
    <dxf>
      <font>
        <color rgb="FF9C0006"/>
      </font>
      <fill>
        <patternFill patternType="solid">
          <fgColor indexed="64"/>
          <bgColor rgb="FFFFC7CE"/>
        </patternFill>
      </fill>
    </dxf>
    <dxf>
      <font>
        <color rgb="FF006100"/>
      </font>
      <fill>
        <patternFill patternType="solid">
          <fgColor indexed="64"/>
          <bgColor rgb="FFC6EFCE"/>
        </patternFill>
      </fill>
    </dxf>
    <dxf>
      <fill>
        <patternFill patternType="solid">
          <fgColor indexed="64"/>
          <bgColor rgb="FFBFBFBF"/>
        </patternFill>
      </fill>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i val="0"/>
        <condense val="0"/>
        <extend val="0"/>
        <color indexed="9"/>
      </font>
      <fill>
        <patternFill>
          <bgColor rgb="FF1E429B"/>
        </patternFill>
      </fill>
    </dxf>
    <dxf>
      <font>
        <color auto="1"/>
        <name val="Calibri Light"/>
        <family val="2"/>
        <scheme val="none"/>
      </font>
      <fill>
        <patternFill>
          <bgColor theme="0" tint="-0.14996795556505021"/>
        </patternFill>
      </fill>
      <border>
        <left style="thin">
          <color theme="0" tint="-4.9989318521683403E-2"/>
        </left>
        <right style="thin">
          <color theme="0" tint="-4.9989318521683403E-2"/>
        </right>
        <top style="thin">
          <color theme="0" tint="-4.9989318521683403E-2"/>
        </top>
        <bottom style="thin">
          <color theme="0" tint="-4.9989318521683403E-2"/>
        </bottom>
      </border>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horizontal style="thin">
          <color rgb="FF101E5C"/>
        </horizontal>
      </border>
    </dxf>
    <dxf>
      <border>
        <horizontal style="thin">
          <color rgb="FF101E5C"/>
        </horizontal>
      </border>
    </dxf>
    <dxf>
      <border>
        <horizontal style="thin">
          <color rgb="FF101E5C"/>
        </horizontal>
      </border>
    </dxf>
    <dxf>
      <border>
        <horizontal style="thin">
          <color rgb="FF101E5C"/>
        </horizontal>
      </border>
    </dxf>
    <dxf>
      <font>
        <color theme="0"/>
      </font>
    </dxf>
    <dxf>
      <fill>
        <patternFill patternType="solid">
          <bgColor rgb="FF101E5C"/>
        </patternFill>
      </fill>
    </dxf>
    <dxf>
      <font>
        <color theme="0"/>
      </font>
    </dxf>
    <dxf>
      <fill>
        <patternFill patternType="solid">
          <bgColor rgb="FF101E5C"/>
        </patternFill>
      </fill>
    </dxf>
    <dxf>
      <numFmt numFmtId="3" formatCode="#,##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center"/>
    </dxf>
    <dxf>
      <font>
        <color theme="0"/>
      </font>
    </dxf>
    <dxf>
      <font>
        <color theme="0"/>
      </font>
    </dxf>
    <dxf>
      <fill>
        <patternFill patternType="solid">
          <bgColor rgb="FF101E5C"/>
        </patternFill>
      </fill>
    </dxf>
    <dxf>
      <fill>
        <patternFill patternType="solid">
          <bgColor rgb="FF101E5C"/>
        </patternFill>
      </fill>
    </dxf>
    <dxf>
      <font>
        <color theme="0"/>
      </font>
    </dxf>
    <dxf>
      <font>
        <color theme="0"/>
      </font>
    </dxf>
    <dxf>
      <fill>
        <patternFill patternType="solid">
          <bgColor rgb="FF101E5C"/>
        </patternFill>
      </fill>
    </dxf>
    <dxf>
      <fill>
        <patternFill patternType="solid">
          <bgColor rgb="FF101E5C"/>
        </patternFill>
      </fill>
    </dxf>
    <dxf>
      <numFmt numFmtId="14" formatCode="0.00%"/>
    </dxf>
    <dxf>
      <numFmt numFmtId="3" formatCode="#,##0"/>
    </dxf>
    <dxf>
      <numFmt numFmtId="3" formatCode="#,##0"/>
    </dxf>
    <dxf>
      <font>
        <b/>
      </font>
    </dxf>
    <dxf>
      <font>
        <b/>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ont>
        <b/>
      </font>
    </dxf>
    <dxf>
      <font>
        <b/>
      </font>
    </dxf>
    <dxf>
      <font>
        <b/>
      </font>
    </dxf>
    <dxf>
      <font>
        <b/>
      </font>
    </dxf>
    <dxf>
      <font>
        <b/>
      </font>
    </dxf>
    <dxf>
      <font>
        <b/>
      </font>
    </dxf>
    <dxf>
      <font>
        <color rgb="FFFFFFFF"/>
      </font>
    </dxf>
    <dxf>
      <font>
        <color rgb="FFFFFFFF"/>
      </font>
    </dxf>
    <dxf>
      <font>
        <color rgb="FFFFFFFF"/>
      </font>
    </dxf>
    <dxf>
      <font>
        <color rgb="FFFFFFFF"/>
      </font>
    </dxf>
    <dxf>
      <font>
        <color rgb="FFFFFFFF"/>
      </font>
    </dxf>
    <dxf>
      <font>
        <color rgb="FFFFFFFF"/>
      </font>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fill>
        <patternFill patternType="solid">
          <fgColor indexed="64"/>
          <bgColor rgb="FF101E5C"/>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color theme="0"/>
      </font>
    </dxf>
    <dxf>
      <fill>
        <patternFill patternType="solid">
          <bgColor rgb="FF101E5C"/>
        </patternFill>
      </fill>
    </dxf>
    <dxf>
      <font>
        <color theme="0"/>
      </font>
    </dxf>
    <dxf>
      <font>
        <color theme="0"/>
      </font>
    </dxf>
    <dxf>
      <fill>
        <patternFill patternType="solid">
          <bgColor rgb="FF101E5C"/>
        </patternFill>
      </fill>
    </dxf>
    <dxf>
      <fill>
        <patternFill patternType="solid">
          <bgColor rgb="FF101E5C"/>
        </patternFill>
      </fill>
    </dxf>
    <dxf>
      <alignment horizontal="center" vertical="center" textRotation="0" wrapText="0" indent="0" justifyLastLine="0" shrinkToFit="0" readingOrder="0"/>
      <border diagonalUp="0" diagonalDown="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72" formatCode="d/m/yy\ 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72" formatCode="d/m/yy\ 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74" formatCode="[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72" formatCode="d/m/yy\ h:mm;@"/>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72" formatCode="d/m/yy\ 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numFmt numFmtId="0" formatCode="Genera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rgb="FF0000FF"/>
        <name val="Aptos Narrow"/>
        <family val="2"/>
        <scheme val="minor"/>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3" formatCode="#,##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30" formatCode="@"/>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bottom/>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164" formatCode="dd/mm/yy\ hh:mm;@"/>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FF"/>
        <name val="Aptos Narrow"/>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rgb="FF0000FF"/>
        <name val="Aptos Narrow"/>
        <family val="2"/>
        <scheme val="minor"/>
      </font>
      <numFmt numFmtId="164" formatCode="dd/mm/yy\ hh:mm;@"/>
      <fill>
        <patternFill patternType="solid">
          <fgColor indexed="64"/>
          <bgColor rgb="FFFFFF00"/>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ill>
        <patternFill patternType="solid">
          <fgColor indexed="64"/>
          <bgColor rgb="FF101E5C"/>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E1"/>
      <color rgb="FF1E429B"/>
      <color rgb="FF0000FF"/>
      <color rgb="FF101E5C"/>
      <color rgb="FFFFA500"/>
      <color rgb="FF8A6B5A"/>
      <color rgb="FFFFFF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externalLink" Target="externalLinks/externalLink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externalLink" Target="externalLinks/externalLink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9.xml"/><Relationship Id="rId19" Type="http://schemas.openxmlformats.org/officeDocument/2006/relationships/pivotCacheDefinition" Target="pivotCache/pivotCacheDefinition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worksheet" Target="worksheets/sheet13.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de Produção.xlsm]Graficos!PivotTable2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de Itens Produzidos - 2025 vs 2026</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01E5C"/>
          </a:solidFill>
          <a:ln>
            <a:noFill/>
          </a:ln>
          <a:effectLst/>
        </c:spPr>
        <c:marker>
          <c:symbol val="none"/>
        </c:marker>
        <c:dLbl>
          <c:idx val="0"/>
          <c:spPr>
            <a:solidFill>
              <a:srgbClr val="101E5C"/>
            </a:solid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
              <c:y val="-3.7323965827710567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3.0120767819868091E-17"/>
              <c:y val="-2.6445298328327649E-2"/>
            </c:manualLayout>
          </c:layout>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4B3E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FFFFFF"/>
                  </a:solidFill>
                  <a:latin typeface="Aptos Narrow"/>
                  <a:ea typeface="Aptos Narrow"/>
                  <a:cs typeface="Aptos Narrow"/>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Graficos!$B$3:$B$4</c:f>
              <c:strCache>
                <c:ptCount val="1"/>
                <c:pt idx="0">
                  <c:v>2025</c:v>
                </c:pt>
              </c:strCache>
            </c:strRef>
          </c:tx>
          <c:spPr>
            <a:solidFill>
              <a:srgbClr val="101E5C"/>
            </a:solidFill>
            <a:ln>
              <a:noFill/>
            </a:ln>
            <a:effectLst/>
          </c:spPr>
          <c:invertIfNegative val="0"/>
          <c:dLbls>
            <c:spPr>
              <a:solidFill>
                <a:srgbClr val="101E5C"/>
              </a:solid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Graficos!$A$5:$A$17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Graficos!$B$5:$B$17</c:f>
              <c:numCache>
                <c:formatCode>#,##0</c:formatCode>
                <c:ptCount val="12"/>
                <c:pt idx="0">
                  <c:v>34014</c:v>
                </c:pt>
                <c:pt idx="2">
                  <c:v>80755</c:v>
                </c:pt>
                <c:pt idx="3">
                  <c:v>86387</c:v>
                </c:pt>
                <c:pt idx="4">
                  <c:v>104860</c:v>
                </c:pt>
                <c:pt idx="5">
                  <c:v>139426</c:v>
                </c:pt>
                <c:pt idx="6">
                  <c:v>201537</c:v>
                </c:pt>
                <c:pt idx="7">
                  <c:v>247434</c:v>
                </c:pt>
                <c:pt idx="8">
                  <c:v>194402</c:v>
                </c:pt>
                <c:pt idx="9">
                  <c:v>220840</c:v>
                </c:pt>
                <c:pt idx="10">
                  <c:v>128668</c:v>
                </c:pt>
                <c:pt idx="11">
                  <c:v>200749</c:v>
                </c:pt>
              </c:numCache>
            </c:numRef>
          </c:val>
          <c:extLst>
            <c:ext xmlns:c16="http://schemas.microsoft.com/office/drawing/2014/chart" uri="{C3380CC4-5D6E-409C-BE32-E72D297353CC}">
              <c16:uniqueId val="{00000000-8024-4FF4-9B84-946915EE3CC3}"/>
            </c:ext>
          </c:extLst>
        </c:ser>
        <c:ser>
          <c:idx val="1"/>
          <c:order val="1"/>
          <c:tx>
            <c:strRef>
              <c:f>Graficos!$C$3:$C$4</c:f>
              <c:strCache>
                <c:ptCount val="1"/>
                <c:pt idx="0">
                  <c:v>2026</c:v>
                </c:pt>
              </c:strCache>
            </c:strRef>
          </c:tx>
          <c:spPr>
            <a:solidFill>
              <a:srgbClr val="44B3E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FFFFFF"/>
                    </a:solidFill>
                    <a:latin typeface="Aptos Narrow"/>
                    <a:ea typeface="Aptos Narrow"/>
                    <a:cs typeface="Aptos Narrow"/>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Graficos!$A$5:$A$17</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Graficos!$C$5:$C$17</c:f>
              <c:numCache>
                <c:formatCode>#,##0</c:formatCode>
                <c:ptCount val="12"/>
                <c:pt idx="0">
                  <c:v>173870</c:v>
                </c:pt>
                <c:pt idx="1">
                  <c:v>146109</c:v>
                </c:pt>
                <c:pt idx="2">
                  <c:v>197323</c:v>
                </c:pt>
                <c:pt idx="3">
                  <c:v>195594</c:v>
                </c:pt>
                <c:pt idx="4">
                  <c:v>197802</c:v>
                </c:pt>
                <c:pt idx="5">
                  <c:v>260944</c:v>
                </c:pt>
              </c:numCache>
            </c:numRef>
          </c:val>
          <c:extLst>
            <c:ext xmlns:c16="http://schemas.microsoft.com/office/drawing/2014/chart" uri="{C3380CC4-5D6E-409C-BE32-E72D297353CC}">
              <c16:uniqueId val="{00000000-E9F2-4918-B7F1-E775D487B23B}"/>
            </c:ext>
          </c:extLst>
        </c:ser>
        <c:dLbls>
          <c:dLblPos val="inEnd"/>
          <c:showLegendKey val="0"/>
          <c:showVal val="1"/>
          <c:showCatName val="0"/>
          <c:showSerName val="0"/>
          <c:showPercent val="0"/>
          <c:showBubbleSize val="0"/>
        </c:dLbls>
        <c:gapWidth val="150"/>
        <c:axId val="636823631"/>
        <c:axId val="636825071"/>
      </c:barChart>
      <c:catAx>
        <c:axId val="636823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825071"/>
        <c:crosses val="autoZero"/>
        <c:auto val="1"/>
        <c:lblAlgn val="ctr"/>
        <c:lblOffset val="100"/>
        <c:noMultiLvlLbl val="0"/>
      </c:catAx>
      <c:valAx>
        <c:axId val="6368250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8236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'Previsão Envase'!$J$277</c:f>
              <c:strCache>
                <c:ptCount val="1"/>
                <c:pt idx="0">
                  <c:v>10.000</c:v>
                </c:pt>
              </c:strCache>
            </c:strRef>
          </c:tx>
          <c:spPr>
            <a:solidFill>
              <a:schemeClr val="accent1"/>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Envase'!$J$278:$J$293</c:f>
              <c:numCache>
                <c:formatCode>0</c:formatCode>
                <c:ptCount val="16"/>
                <c:pt idx="0">
                  <c:v>714.28571428571433</c:v>
                </c:pt>
                <c:pt idx="1">
                  <c:v>714.28571428571433</c:v>
                </c:pt>
                <c:pt idx="2">
                  <c:v>714.28571428571433</c:v>
                </c:pt>
                <c:pt idx="3">
                  <c:v>714.28571428571433</c:v>
                </c:pt>
                <c:pt idx="4">
                  <c:v>714.28571428571433</c:v>
                </c:pt>
                <c:pt idx="6">
                  <c:v>714.28571428571433</c:v>
                </c:pt>
                <c:pt idx="7">
                  <c:v>714.28571428571433</c:v>
                </c:pt>
                <c:pt idx="8">
                  <c:v>714.28571428571433</c:v>
                </c:pt>
                <c:pt idx="9">
                  <c:v>714.28571428571433</c:v>
                </c:pt>
                <c:pt idx="10">
                  <c:v>714.28571428571433</c:v>
                </c:pt>
                <c:pt idx="11">
                  <c:v>714.28571428571433</c:v>
                </c:pt>
                <c:pt idx="13">
                  <c:v>714.28571428571433</c:v>
                </c:pt>
                <c:pt idx="14">
                  <c:v>714.28571428571433</c:v>
                </c:pt>
                <c:pt idx="15">
                  <c:v>714.28571428571433</c:v>
                </c:pt>
              </c:numCache>
            </c:numRef>
          </c:val>
          <c:extLst>
            <c:ext xmlns:c16="http://schemas.microsoft.com/office/drawing/2014/chart" uri="{C3380CC4-5D6E-409C-BE32-E72D297353CC}">
              <c16:uniqueId val="{00000000-C66A-4665-A305-91FBAABA1086}"/>
            </c:ext>
          </c:extLst>
        </c:ser>
        <c:ser>
          <c:idx val="1"/>
          <c:order val="1"/>
          <c:tx>
            <c:strRef>
              <c:f>'Previsão Envase'!$K$277</c:f>
              <c:strCache>
                <c:ptCount val="1"/>
                <c:pt idx="0">
                  <c:v>10.367</c:v>
                </c:pt>
              </c:strCache>
            </c:strRef>
          </c:tx>
          <c:spPr>
            <a:solidFill>
              <a:schemeClr val="accent2"/>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Envase'!$K$278:$K$293</c:f>
              <c:numCache>
                <c:formatCode>0</c:formatCode>
                <c:ptCount val="16"/>
                <c:pt idx="0">
                  <c:v>733.33333333333337</c:v>
                </c:pt>
                <c:pt idx="1">
                  <c:v>733.33333333333337</c:v>
                </c:pt>
                <c:pt idx="2">
                  <c:v>733.33333333333337</c:v>
                </c:pt>
                <c:pt idx="3">
                  <c:v>733.33333333333337</c:v>
                </c:pt>
                <c:pt idx="4">
                  <c:v>733.33333333333337</c:v>
                </c:pt>
                <c:pt idx="6">
                  <c:v>733.33333333333337</c:v>
                </c:pt>
                <c:pt idx="7">
                  <c:v>733.33333333333337</c:v>
                </c:pt>
                <c:pt idx="8">
                  <c:v>733.33333333333337</c:v>
                </c:pt>
                <c:pt idx="9">
                  <c:v>750</c:v>
                </c:pt>
                <c:pt idx="10">
                  <c:v>750</c:v>
                </c:pt>
                <c:pt idx="11">
                  <c:v>750</c:v>
                </c:pt>
                <c:pt idx="13">
                  <c:v>750</c:v>
                </c:pt>
                <c:pt idx="14">
                  <c:v>750</c:v>
                </c:pt>
                <c:pt idx="15">
                  <c:v>750</c:v>
                </c:pt>
              </c:numCache>
            </c:numRef>
          </c:val>
          <c:extLst>
            <c:ext xmlns:c16="http://schemas.microsoft.com/office/drawing/2014/chart" uri="{C3380CC4-5D6E-409C-BE32-E72D297353CC}">
              <c16:uniqueId val="{00000001-C66A-4665-A305-91FBAABA1086}"/>
            </c:ext>
          </c:extLst>
        </c:ser>
        <c:ser>
          <c:idx val="2"/>
          <c:order val="2"/>
          <c:tx>
            <c:strRef>
              <c:f>'Previsão Envase'!$M$277</c:f>
              <c:strCache>
                <c:ptCount val="1"/>
              </c:strCache>
            </c:strRef>
          </c:tx>
          <c:spPr>
            <a:solidFill>
              <a:schemeClr val="accent3"/>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Envase'!$M$278:$M$293</c:f>
              <c:numCache>
                <c:formatCode>0</c:formatCode>
                <c:ptCount val="16"/>
              </c:numCache>
            </c:numRef>
          </c:val>
          <c:extLst>
            <c:ext xmlns:c16="http://schemas.microsoft.com/office/drawing/2014/chart" uri="{C3380CC4-5D6E-409C-BE32-E72D297353CC}">
              <c16:uniqueId val="{00000002-C66A-4665-A305-91FBAABA1086}"/>
            </c:ext>
          </c:extLst>
        </c:ser>
        <c:ser>
          <c:idx val="3"/>
          <c:order val="3"/>
          <c:tx>
            <c:strRef>
              <c:f>'Previsão Envase'!$N$277</c:f>
              <c:strCache>
                <c:ptCount val="1"/>
                <c:pt idx="0">
                  <c:v>5.500,00</c:v>
                </c:pt>
              </c:strCache>
            </c:strRef>
          </c:tx>
          <c:spPr>
            <a:solidFill>
              <a:schemeClr val="accent4"/>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Envase'!$N$278:$N$293</c:f>
              <c:numCache>
                <c:formatCode>#,##0.00</c:formatCode>
                <c:ptCount val="16"/>
                <c:pt idx="0">
                  <c:v>392.85714285714289</c:v>
                </c:pt>
                <c:pt idx="1">
                  <c:v>392.85714285714289</c:v>
                </c:pt>
                <c:pt idx="2">
                  <c:v>392.85714285714289</c:v>
                </c:pt>
                <c:pt idx="3">
                  <c:v>392.85714285714289</c:v>
                </c:pt>
                <c:pt idx="4">
                  <c:v>392.85714285714289</c:v>
                </c:pt>
                <c:pt idx="6">
                  <c:v>392.85714285714289</c:v>
                </c:pt>
                <c:pt idx="7">
                  <c:v>392.85714285714289</c:v>
                </c:pt>
                <c:pt idx="8">
                  <c:v>392.85714285714289</c:v>
                </c:pt>
                <c:pt idx="9">
                  <c:v>392.85714285714289</c:v>
                </c:pt>
                <c:pt idx="10">
                  <c:v>392.85714285714289</c:v>
                </c:pt>
                <c:pt idx="11">
                  <c:v>392.85714285714289</c:v>
                </c:pt>
                <c:pt idx="13">
                  <c:v>392.85714285714289</c:v>
                </c:pt>
                <c:pt idx="14">
                  <c:v>392.85714285714289</c:v>
                </c:pt>
                <c:pt idx="15">
                  <c:v>392.85714285714289</c:v>
                </c:pt>
              </c:numCache>
            </c:numRef>
          </c:val>
          <c:extLst>
            <c:ext xmlns:c16="http://schemas.microsoft.com/office/drawing/2014/chart" uri="{C3380CC4-5D6E-409C-BE32-E72D297353CC}">
              <c16:uniqueId val="{00000003-C66A-4665-A305-91FBAABA1086}"/>
            </c:ext>
          </c:extLst>
        </c:ser>
        <c:ser>
          <c:idx val="4"/>
          <c:order val="4"/>
          <c:tx>
            <c:strRef>
              <c:f>'Previsão Envase'!$O$277</c:f>
              <c:strCache>
                <c:ptCount val="1"/>
                <c:pt idx="0">
                  <c:v>4.986,67</c:v>
                </c:pt>
              </c:strCache>
            </c:strRef>
          </c:tx>
          <c:spPr>
            <a:solidFill>
              <a:schemeClr val="accent5"/>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Envase'!$O$278:$O$293</c:f>
              <c:numCache>
                <c:formatCode>#,##0.00</c:formatCode>
                <c:ptCount val="16"/>
                <c:pt idx="0">
                  <c:v>623.33333333333337</c:v>
                </c:pt>
                <c:pt idx="1">
                  <c:v>623.33333333333337</c:v>
                </c:pt>
                <c:pt idx="2">
                  <c:v>623.33333333333337</c:v>
                </c:pt>
                <c:pt idx="3">
                  <c:v>623.33333333333337</c:v>
                </c:pt>
                <c:pt idx="4">
                  <c:v>623.33333333333337</c:v>
                </c:pt>
                <c:pt idx="6">
                  <c:v>623.33333333333337</c:v>
                </c:pt>
                <c:pt idx="7">
                  <c:v>623.33333333333337</c:v>
                </c:pt>
                <c:pt idx="8">
                  <c:v>623.33333333333337</c:v>
                </c:pt>
                <c:pt idx="9">
                  <c:v>#N/A</c:v>
                </c:pt>
                <c:pt idx="10">
                  <c:v>#N/A</c:v>
                </c:pt>
                <c:pt idx="11">
                  <c:v>#N/A</c:v>
                </c:pt>
                <c:pt idx="13">
                  <c:v>#N/A</c:v>
                </c:pt>
                <c:pt idx="14">
                  <c:v>#N/A</c:v>
                </c:pt>
                <c:pt idx="15">
                  <c:v>#N/A</c:v>
                </c:pt>
              </c:numCache>
            </c:numRef>
          </c:val>
          <c:extLst>
            <c:ext xmlns:c16="http://schemas.microsoft.com/office/drawing/2014/chart" uri="{C3380CC4-5D6E-409C-BE32-E72D297353CC}">
              <c16:uniqueId val="{00000004-C66A-4665-A305-91FBAABA1086}"/>
            </c:ext>
          </c:extLst>
        </c:ser>
        <c:ser>
          <c:idx val="5"/>
          <c:order val="5"/>
          <c:tx>
            <c:strRef>
              <c:f>'Previsão Envase'!$P$277</c:f>
              <c:strCache>
                <c:ptCount val="1"/>
                <c:pt idx="0">
                  <c:v>0,00</c:v>
                </c:pt>
              </c:strCache>
            </c:strRef>
          </c:tx>
          <c:spPr>
            <a:solidFill>
              <a:schemeClr val="accent6"/>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Envase'!$P$278:$P$293</c:f>
              <c:numCache>
                <c:formatCode>#,##0.00</c:formatCode>
                <c:ptCount val="16"/>
                <c:pt idx="0">
                  <c:v>#N/A</c:v>
                </c:pt>
                <c:pt idx="1">
                  <c:v>#N/A</c:v>
                </c:pt>
                <c:pt idx="2">
                  <c:v>#N/A</c:v>
                </c:pt>
                <c:pt idx="3">
                  <c:v>#N/A</c:v>
                </c:pt>
                <c:pt idx="4">
                  <c:v>#N/A</c:v>
                </c:pt>
                <c:pt idx="6">
                  <c:v>#N/A</c:v>
                </c:pt>
                <c:pt idx="7">
                  <c:v>#N/A</c:v>
                </c:pt>
                <c:pt idx="8">
                  <c:v>#N/A</c:v>
                </c:pt>
                <c:pt idx="9">
                  <c:v>#N/A</c:v>
                </c:pt>
                <c:pt idx="10">
                  <c:v>#N/A</c:v>
                </c:pt>
                <c:pt idx="11">
                  <c:v>#N/A</c:v>
                </c:pt>
                <c:pt idx="13">
                  <c:v>#N/A</c:v>
                </c:pt>
                <c:pt idx="14">
                  <c:v>#N/A</c:v>
                </c:pt>
                <c:pt idx="15">
                  <c:v>#N/A</c:v>
                </c:pt>
              </c:numCache>
            </c:numRef>
          </c:val>
          <c:extLst>
            <c:ext xmlns:c16="http://schemas.microsoft.com/office/drawing/2014/chart" uri="{C3380CC4-5D6E-409C-BE32-E72D297353CC}">
              <c16:uniqueId val="{00000005-C66A-4665-A305-91FBAABA1086}"/>
            </c:ext>
          </c:extLst>
        </c:ser>
        <c:ser>
          <c:idx val="6"/>
          <c:order val="6"/>
          <c:tx>
            <c:strRef>
              <c:f>'Previsão Envase'!$Q$277</c:f>
              <c:strCache>
                <c:ptCount val="1"/>
                <c:pt idx="0">
                  <c:v>20.367</c:v>
                </c:pt>
              </c:strCache>
            </c:strRef>
          </c:tx>
          <c:spPr>
            <a:solidFill>
              <a:schemeClr val="accent1">
                <a:lumMod val="60000"/>
              </a:schemeClr>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Envase'!$Q$278:$Q$293</c:f>
              <c:numCache>
                <c:formatCode>General</c:formatCode>
                <c:ptCount val="16"/>
              </c:numCache>
            </c:numRef>
          </c:val>
          <c:extLst>
            <c:ext xmlns:c16="http://schemas.microsoft.com/office/drawing/2014/chart" uri="{C3380CC4-5D6E-409C-BE32-E72D297353CC}">
              <c16:uniqueId val="{00000006-C66A-4665-A305-91FBAABA1086}"/>
            </c:ext>
          </c:extLst>
        </c:ser>
        <c:ser>
          <c:idx val="7"/>
          <c:order val="7"/>
          <c:tx>
            <c:strRef>
              <c:f>'Previsão Envase'!$R$277</c:f>
              <c:strCache>
                <c:ptCount val="1"/>
                <c:pt idx="0">
                  <c:v>10.487</c:v>
                </c:pt>
              </c:strCache>
            </c:strRef>
          </c:tx>
          <c:spPr>
            <a:solidFill>
              <a:schemeClr val="accent2">
                <a:lumMod val="60000"/>
              </a:schemeClr>
            </a:solidFill>
            <a:ln>
              <a:noFill/>
            </a:ln>
            <a:effectLst/>
          </c:spPr>
          <c:invertIfNegative val="0"/>
          <c:cat>
            <c:strRef>
              <c:f>'Previsão Envase'!$G$278:$H$293</c:f>
              <c:strCache>
                <c:ptCount val="9"/>
                <c:pt idx="0">
                  <c:v>BODY SPLASH CEU CELESTE 200ml &gt; 0008</c:v>
                </c:pt>
                <c:pt idx="1">
                  <c:v>BODY SPLASH CEU CELESTE 200ml &gt; 0008</c:v>
                </c:pt>
                <c:pt idx="2">
                  <c:v>BODY SPLASH CEU CELESTE 200ml &gt; 0008</c:v>
                </c:pt>
                <c:pt idx="3">
                  <c:v>BODY SPLASH CEU CELESTE 200ml &gt; 0008</c:v>
                </c:pt>
                <c:pt idx="4">
                  <c:v>BODY SPLASH CEU CELESTE 200ml &gt; 0008</c:v>
                </c:pt>
                <c:pt idx="6">
                  <c:v>BODY SPLASH CEU CELESTE 200ml &gt; 0008</c:v>
                </c:pt>
                <c:pt idx="7">
                  <c:v>BODY SPLASH CEU CELESTE 200ml &gt; 0008</c:v>
                </c:pt>
                <c:pt idx="8">
                  <c:v>BODY SPLASH CEU CELESTE 200ml &gt; 0008</c:v>
                </c:pt>
              </c:strCache>
            </c:strRef>
          </c:cat>
          <c:val>
            <c:numRef>
              <c:f>'Previsão Envase'!$R$278:$R$293</c:f>
              <c:numCache>
                <c:formatCode>General</c:formatCode>
                <c:ptCount val="16"/>
              </c:numCache>
            </c:numRef>
          </c:val>
          <c:extLst>
            <c:ext xmlns:c16="http://schemas.microsoft.com/office/drawing/2014/chart" uri="{C3380CC4-5D6E-409C-BE32-E72D297353CC}">
              <c16:uniqueId val="{00000007-C66A-4665-A305-91FBAABA1086}"/>
            </c:ext>
          </c:extLst>
        </c:ser>
        <c:dLbls>
          <c:showLegendKey val="0"/>
          <c:showVal val="0"/>
          <c:showCatName val="0"/>
          <c:showSerName val="0"/>
          <c:showPercent val="0"/>
          <c:showBubbleSize val="0"/>
        </c:dLbls>
        <c:gapWidth val="219"/>
        <c:overlap val="-27"/>
        <c:axId val="1250547808"/>
        <c:axId val="1250547328"/>
      </c:barChart>
      <c:catAx>
        <c:axId val="125054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547328"/>
        <c:crosses val="autoZero"/>
        <c:auto val="1"/>
        <c:lblAlgn val="ctr"/>
        <c:lblOffset val="100"/>
        <c:noMultiLvlLbl val="0"/>
      </c:catAx>
      <c:valAx>
        <c:axId val="1250547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0547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de Produção.xlsm]Análises!PProdMes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Produtividade Mensal (Un/Hora) - 2025 vs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Análises!$G$4:$G$5</c:f>
              <c:strCache>
                <c:ptCount val="1"/>
                <c:pt idx="0">
                  <c:v>2025</c:v>
                </c:pt>
              </c:strCache>
            </c:strRef>
          </c:tx>
          <c:spPr>
            <a:ln w="28575" cap="rnd">
              <a:solidFill>
                <a:schemeClr val="accent1"/>
              </a:solidFill>
              <a:round/>
            </a:ln>
            <a:effectLst/>
          </c:spPr>
          <c:marker>
            <c:symbol val="none"/>
          </c:marker>
          <c:cat>
            <c:strRef>
              <c:f>Análises!$F$6:$F$18</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Análises!$G$6:$G$18</c:f>
              <c:numCache>
                <c:formatCode>#,##0</c:formatCode>
                <c:ptCount val="12"/>
                <c:pt idx="0">
                  <c:v>824.2807715498185</c:v>
                </c:pt>
                <c:pt idx="2">
                  <c:v>987.20716965250222</c:v>
                </c:pt>
                <c:pt idx="3">
                  <c:v>936.65780686558492</c:v>
                </c:pt>
                <c:pt idx="4">
                  <c:v>711.15265116652597</c:v>
                </c:pt>
                <c:pt idx="5">
                  <c:v>732.56682024821976</c:v>
                </c:pt>
                <c:pt idx="6">
                  <c:v>783.786998210815</c:v>
                </c:pt>
                <c:pt idx="7">
                  <c:v>766.4512026020077</c:v>
                </c:pt>
                <c:pt idx="8">
                  <c:v>718.12555723786454</c:v>
                </c:pt>
                <c:pt idx="9">
                  <c:v>746.20942043841706</c:v>
                </c:pt>
                <c:pt idx="10">
                  <c:v>713.3656763211053</c:v>
                </c:pt>
                <c:pt idx="11">
                  <c:v>783.2055627571682</c:v>
                </c:pt>
              </c:numCache>
            </c:numRef>
          </c:val>
          <c:smooth val="0"/>
          <c:extLst>
            <c:ext xmlns:c16="http://schemas.microsoft.com/office/drawing/2014/chart" uri="{C3380CC4-5D6E-409C-BE32-E72D297353CC}">
              <c16:uniqueId val="{00000000-942F-4906-BC4C-EAAEF5981493}"/>
            </c:ext>
          </c:extLst>
        </c:ser>
        <c:ser>
          <c:idx val="1"/>
          <c:order val="1"/>
          <c:tx>
            <c:strRef>
              <c:f>Análises!$H$4:$H$5</c:f>
              <c:strCache>
                <c:ptCount val="1"/>
                <c:pt idx="0">
                  <c:v>2026</c:v>
                </c:pt>
              </c:strCache>
            </c:strRef>
          </c:tx>
          <c:spPr>
            <a:ln w="28575" cap="rnd">
              <a:solidFill>
                <a:schemeClr val="accent2"/>
              </a:solidFill>
              <a:round/>
            </a:ln>
            <a:effectLst/>
          </c:spPr>
          <c:marker>
            <c:symbol val="none"/>
          </c:marker>
          <c:cat>
            <c:strRef>
              <c:f>Análises!$F$6:$F$18</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Análises!$H$6:$H$18</c:f>
              <c:numCache>
                <c:formatCode>#,##0</c:formatCode>
                <c:ptCount val="12"/>
                <c:pt idx="0">
                  <c:v>779.78648768632149</c:v>
                </c:pt>
                <c:pt idx="1">
                  <c:v>697.3542679385713</c:v>
                </c:pt>
                <c:pt idx="2">
                  <c:v>663.30984179281211</c:v>
                </c:pt>
                <c:pt idx="3">
                  <c:v>661.87150856113249</c:v>
                </c:pt>
                <c:pt idx="4">
                  <c:v>716.10290454812764</c:v>
                </c:pt>
                <c:pt idx="5">
                  <c:v>881.3906134021513</c:v>
                </c:pt>
              </c:numCache>
            </c:numRef>
          </c:val>
          <c:smooth val="0"/>
          <c:extLst>
            <c:ext xmlns:c16="http://schemas.microsoft.com/office/drawing/2014/chart" uri="{C3380CC4-5D6E-409C-BE32-E72D297353CC}">
              <c16:uniqueId val="{00000001-942F-4906-BC4C-EAAEF5981493}"/>
            </c:ext>
          </c:extLst>
        </c:ser>
        <c:dLbls>
          <c:showLegendKey val="0"/>
          <c:showVal val="0"/>
          <c:showCatName val="0"/>
          <c:showSerName val="0"/>
          <c:showPercent val="0"/>
          <c:showBubbleSize val="0"/>
        </c:dLbls>
        <c:smooth val="0"/>
        <c:axId val="2104273775"/>
        <c:axId val="746766960"/>
      </c:lineChart>
      <c:catAx>
        <c:axId val="2104273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6766960"/>
        <c:crosses val="autoZero"/>
        <c:auto val="1"/>
        <c:lblAlgn val="ctr"/>
        <c:lblOffset val="100"/>
        <c:noMultiLvlLbl val="0"/>
      </c:catAx>
      <c:valAx>
        <c:axId val="746766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04273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de Produção.xlsm]Análises!PHorasMes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Horas Úteis por Mês - 2025 vs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Análises!$L$4:$L$5</c:f>
              <c:strCache>
                <c:ptCount val="1"/>
                <c:pt idx="0">
                  <c:v>2025</c:v>
                </c:pt>
              </c:strCache>
            </c:strRef>
          </c:tx>
          <c:spPr>
            <a:solidFill>
              <a:schemeClr val="accent1"/>
            </a:solidFill>
            <a:ln>
              <a:noFill/>
            </a:ln>
            <a:effectLst/>
          </c:spPr>
          <c:invertIfNegative val="0"/>
          <c:cat>
            <c:strRef>
              <c:f>Análises!$K$6:$K$18</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Análises!$L$6:$L$18</c:f>
              <c:numCache>
                <c:formatCode>#,##0.0</c:formatCode>
                <c:ptCount val="12"/>
                <c:pt idx="0">
                  <c:v>34.066666667000391</c:v>
                </c:pt>
                <c:pt idx="2">
                  <c:v>78.183333334280178</c:v>
                </c:pt>
                <c:pt idx="3">
                  <c:v>155.96666666836245</c:v>
                </c:pt>
                <c:pt idx="4">
                  <c:v>172.15000000171131</c:v>
                </c:pt>
                <c:pt idx="5">
                  <c:v>199.11666666908422</c:v>
                </c:pt>
                <c:pt idx="6">
                  <c:v>266.76666666922392</c:v>
                </c:pt>
                <c:pt idx="7">
                  <c:v>402.63333333813353</c:v>
                </c:pt>
                <c:pt idx="8">
                  <c:v>297.30000000167638</c:v>
                </c:pt>
                <c:pt idx="9">
                  <c:v>354.21666667074896</c:v>
                </c:pt>
                <c:pt idx="10">
                  <c:v>235.73333333607297</c:v>
                </c:pt>
                <c:pt idx="11">
                  <c:v>318.05000000132713</c:v>
                </c:pt>
              </c:numCache>
            </c:numRef>
          </c:val>
          <c:extLst>
            <c:ext xmlns:c16="http://schemas.microsoft.com/office/drawing/2014/chart" uri="{C3380CC4-5D6E-409C-BE32-E72D297353CC}">
              <c16:uniqueId val="{00000000-EF5C-4F35-A7E1-ABF2EF24F611}"/>
            </c:ext>
          </c:extLst>
        </c:ser>
        <c:ser>
          <c:idx val="1"/>
          <c:order val="1"/>
          <c:tx>
            <c:strRef>
              <c:f>Análises!$M$4:$M$5</c:f>
              <c:strCache>
                <c:ptCount val="1"/>
                <c:pt idx="0">
                  <c:v>2026</c:v>
                </c:pt>
              </c:strCache>
            </c:strRef>
          </c:tx>
          <c:spPr>
            <a:solidFill>
              <a:schemeClr val="accent2"/>
            </a:solidFill>
            <a:ln>
              <a:noFill/>
            </a:ln>
            <a:effectLst/>
          </c:spPr>
          <c:invertIfNegative val="0"/>
          <c:cat>
            <c:strRef>
              <c:f>Análises!$K$6:$K$18</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Análises!$M$6:$M$18</c:f>
              <c:numCache>
                <c:formatCode>#,##0.0</c:formatCode>
                <c:ptCount val="12"/>
                <c:pt idx="0">
                  <c:v>240.28333333577029</c:v>
                </c:pt>
                <c:pt idx="1">
                  <c:v>241.66500000242377</c:v>
                </c:pt>
                <c:pt idx="2">
                  <c:v>322.03333333681803</c:v>
                </c:pt>
                <c:pt idx="3">
                  <c:v>415.65000000380678</c:v>
                </c:pt>
                <c:pt idx="4">
                  <c:v>313.23333333537448</c:v>
                </c:pt>
                <c:pt idx="5">
                  <c:v>328.58333333651535</c:v>
                </c:pt>
              </c:numCache>
            </c:numRef>
          </c:val>
          <c:extLst>
            <c:ext xmlns:c16="http://schemas.microsoft.com/office/drawing/2014/chart" uri="{C3380CC4-5D6E-409C-BE32-E72D297353CC}">
              <c16:uniqueId val="{00000001-EF5C-4F35-A7E1-ABF2EF24F611}"/>
            </c:ext>
          </c:extLst>
        </c:ser>
        <c:dLbls>
          <c:showLegendKey val="0"/>
          <c:showVal val="0"/>
          <c:showCatName val="0"/>
          <c:showSerName val="0"/>
          <c:showPercent val="0"/>
          <c:showBubbleSize val="0"/>
        </c:dLbls>
        <c:gapWidth val="219"/>
        <c:overlap val="-27"/>
        <c:axId val="2104323423"/>
        <c:axId val="746802000"/>
      </c:barChart>
      <c:catAx>
        <c:axId val="2104323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6802000"/>
        <c:crosses val="autoZero"/>
        <c:auto val="1"/>
        <c:lblAlgn val="ctr"/>
        <c:lblOffset val="100"/>
        <c:noMultiLvlLbl val="0"/>
      </c:catAx>
      <c:valAx>
        <c:axId val="7468020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043234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[Controle de Produção.xlsm]Análises!PLinhaVol</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Unidades por Linha de Produção - 2025 vs 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Análises!$B$4:$B$5</c:f>
              <c:strCache>
                <c:ptCount val="1"/>
                <c:pt idx="0">
                  <c:v>2025</c:v>
                </c:pt>
              </c:strCache>
            </c:strRef>
          </c:tx>
          <c:spPr>
            <a:solidFill>
              <a:schemeClr val="accent1"/>
            </a:solidFill>
            <a:ln>
              <a:noFill/>
            </a:ln>
            <a:effectLst/>
          </c:spPr>
          <c:invertIfNegative val="0"/>
          <c:cat>
            <c:strRef>
              <c:f>Análises!$A$6:$A$9</c:f>
              <c:strCache>
                <c:ptCount val="3"/>
                <c:pt idx="0">
                  <c:v>Linha 01</c:v>
                </c:pt>
                <c:pt idx="1">
                  <c:v>Linha 02</c:v>
                </c:pt>
                <c:pt idx="2">
                  <c:v>Linha 03</c:v>
                </c:pt>
              </c:strCache>
            </c:strRef>
          </c:cat>
          <c:val>
            <c:numRef>
              <c:f>Análises!$B$6:$B$9</c:f>
              <c:numCache>
                <c:formatCode>#,##0</c:formatCode>
                <c:ptCount val="3"/>
                <c:pt idx="0">
                  <c:v>636168</c:v>
                </c:pt>
                <c:pt idx="1">
                  <c:v>642337</c:v>
                </c:pt>
                <c:pt idx="2">
                  <c:v>4025</c:v>
                </c:pt>
              </c:numCache>
            </c:numRef>
          </c:val>
          <c:extLst>
            <c:ext xmlns:c16="http://schemas.microsoft.com/office/drawing/2014/chart" uri="{C3380CC4-5D6E-409C-BE32-E72D297353CC}">
              <c16:uniqueId val="{00000000-D2F6-428B-A572-0500886FE505}"/>
            </c:ext>
          </c:extLst>
        </c:ser>
        <c:ser>
          <c:idx val="1"/>
          <c:order val="1"/>
          <c:tx>
            <c:strRef>
              <c:f>Análises!$C$4:$C$5</c:f>
              <c:strCache>
                <c:ptCount val="1"/>
                <c:pt idx="0">
                  <c:v>2026</c:v>
                </c:pt>
              </c:strCache>
            </c:strRef>
          </c:tx>
          <c:spPr>
            <a:solidFill>
              <a:schemeClr val="accent2"/>
            </a:solidFill>
            <a:ln>
              <a:noFill/>
            </a:ln>
            <a:effectLst/>
          </c:spPr>
          <c:invertIfNegative val="0"/>
          <c:cat>
            <c:strRef>
              <c:f>Análises!$A$6:$A$9</c:f>
              <c:strCache>
                <c:ptCount val="3"/>
                <c:pt idx="0">
                  <c:v>Linha 01</c:v>
                </c:pt>
                <c:pt idx="1">
                  <c:v>Linha 02</c:v>
                </c:pt>
                <c:pt idx="2">
                  <c:v>Linha 03</c:v>
                </c:pt>
              </c:strCache>
            </c:strRef>
          </c:cat>
          <c:val>
            <c:numRef>
              <c:f>Análises!$C$6:$C$9</c:f>
              <c:numCache>
                <c:formatCode>#,##0</c:formatCode>
                <c:ptCount val="3"/>
                <c:pt idx="0">
                  <c:v>630924</c:v>
                </c:pt>
                <c:pt idx="1">
                  <c:v>503068</c:v>
                </c:pt>
                <c:pt idx="2">
                  <c:v>33507</c:v>
                </c:pt>
              </c:numCache>
            </c:numRef>
          </c:val>
          <c:extLst>
            <c:ext xmlns:c16="http://schemas.microsoft.com/office/drawing/2014/chart" uri="{C3380CC4-5D6E-409C-BE32-E72D297353CC}">
              <c16:uniqueId val="{00000001-D2F6-428B-A572-0500886FE505}"/>
            </c:ext>
          </c:extLst>
        </c:ser>
        <c:dLbls>
          <c:showLegendKey val="0"/>
          <c:showVal val="0"/>
          <c:showCatName val="0"/>
          <c:showSerName val="0"/>
          <c:showPercent val="0"/>
          <c:showBubbleSize val="0"/>
        </c:dLbls>
        <c:gapWidth val="182"/>
        <c:axId val="2104277951"/>
        <c:axId val="746824080"/>
      </c:barChart>
      <c:catAx>
        <c:axId val="2104277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46824080"/>
        <c:crosses val="autoZero"/>
        <c:auto val="1"/>
        <c:lblAlgn val="ctr"/>
        <c:lblOffset val="100"/>
        <c:noMultiLvlLbl val="0"/>
      </c:catAx>
      <c:valAx>
        <c:axId val="74682408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04277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16F12CD-BAC3-43C0-8E78-8EABE5FFD5B3}">
  <sheetPr/>
  <sheetViews>
    <sheetView zoomScale="86"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110336</xdr:colOff>
      <xdr:row>1</xdr:row>
      <xdr:rowOff>91198</xdr:rowOff>
    </xdr:from>
    <xdr:to>
      <xdr:col>10</xdr:col>
      <xdr:colOff>537882</xdr:colOff>
      <xdr:row>20</xdr:row>
      <xdr:rowOff>179293</xdr:rowOff>
    </xdr:to>
    <xdr:graphicFrame macro="">
      <xdr:nvGraphicFramePr>
        <xdr:cNvPr id="2" name="Chart 1">
          <a:extLst>
            <a:ext uri="{FF2B5EF4-FFF2-40B4-BE49-F238E27FC236}">
              <a16:creationId xmlns:a16="http://schemas.microsoft.com/office/drawing/2014/main" id="{9644743A-5A8B-17F5-C413-B12EFD4E30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9314564" cy="6080494"/>
    <xdr:graphicFrame macro="">
      <xdr:nvGraphicFramePr>
        <xdr:cNvPr id="2" name="Chart 1">
          <a:extLst>
            <a:ext uri="{FF2B5EF4-FFF2-40B4-BE49-F238E27FC236}">
              <a16:creationId xmlns:a16="http://schemas.microsoft.com/office/drawing/2014/main" id="{118F5727-E5FB-02E0-3B11-FA16BB33D5E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0</xdr:col>
      <xdr:colOff>127000</xdr:colOff>
      <xdr:row>21</xdr:row>
      <xdr:rowOff>142875</xdr:rowOff>
    </xdr:from>
    <xdr:to>
      <xdr:col>4</xdr:col>
      <xdr:colOff>127000</xdr:colOff>
      <xdr:row>37</xdr:row>
      <xdr:rowOff>15875</xdr:rowOff>
    </xdr:to>
    <xdr:graphicFrame macro="">
      <xdr:nvGraphicFramePr>
        <xdr:cNvPr id="2" name="Chart 1">
          <a:extLst>
            <a:ext uri="{FF2B5EF4-FFF2-40B4-BE49-F238E27FC236}">
              <a16:creationId xmlns:a16="http://schemas.microsoft.com/office/drawing/2014/main" id="{6F1BABAA-B647-92CE-6CB5-449F36EFB4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21</xdr:row>
      <xdr:rowOff>142875</xdr:rowOff>
    </xdr:from>
    <xdr:to>
      <xdr:col>8</xdr:col>
      <xdr:colOff>381000</xdr:colOff>
      <xdr:row>37</xdr:row>
      <xdr:rowOff>15875</xdr:rowOff>
    </xdr:to>
    <xdr:graphicFrame macro="">
      <xdr:nvGraphicFramePr>
        <xdr:cNvPr id="3" name="Chart 2">
          <a:extLst>
            <a:ext uri="{FF2B5EF4-FFF2-40B4-BE49-F238E27FC236}">
              <a16:creationId xmlns:a16="http://schemas.microsoft.com/office/drawing/2014/main" id="{D85C67C4-3DEB-F738-CF8A-655EB64779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635000</xdr:colOff>
      <xdr:row>21</xdr:row>
      <xdr:rowOff>142875</xdr:rowOff>
    </xdr:from>
    <xdr:to>
      <xdr:col>12</xdr:col>
      <xdr:colOff>635000</xdr:colOff>
      <xdr:row>37</xdr:row>
      <xdr:rowOff>15875</xdr:rowOff>
    </xdr:to>
    <xdr:graphicFrame macro="">
      <xdr:nvGraphicFramePr>
        <xdr:cNvPr id="4" name="Chart 3">
          <a:extLst>
            <a:ext uri="{FF2B5EF4-FFF2-40B4-BE49-F238E27FC236}">
              <a16:creationId xmlns:a16="http://schemas.microsoft.com/office/drawing/2014/main" id="{5A9EA849-C7B3-D9F5-F776-DC9372CFBD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8.%20Logistica%20e%20Armazenamento/00.%20Logistica/Controle%20de%20Produtos.xlsx" TargetMode="External"/><Relationship Id="rId2" Type="http://schemas.openxmlformats.org/officeDocument/2006/relationships/externalLinkPath" Target="https://kuryos.sharepoint.com/sites/ServidorKuryos/Shared%20Documents/08.%20Logistica%20e%20Armazenamento/00.%20Logistica/Controle%20de%20Produtos.xlsx" TargetMode="External"/><Relationship Id="rId1" Type="http://schemas.openxmlformats.org/officeDocument/2006/relationships/externalLinkPath" Target="/sites/ServidorKuryos/Shared%20Documents/08.%20Logistica%20e%20Armazenamento/00.%20Logistica/Controle%20de%20Produto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kuryos.sharepoint.com/sites/ServidorKuryos/Shared%20Documents/04.%20Design%20de%20Produtos%20e%20PCP/1.%20PCP/Controle%20de%20Insumos%20e%20Pedidos.xlsm" TargetMode="External"/><Relationship Id="rId1" Type="http://schemas.openxmlformats.org/officeDocument/2006/relationships/externalLinkPath" Target="Controle%20de%20Insumos%20e%20Pedid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y-tXxwIStUOuTRlCGEMWNtPrtsVQ9HBOtnFl2noHyRcEjoDIjaTsRKqihKs8SpeJ" itemId="017DPLXKN5TVGG4PFJPRCIQ5U5UAI22H5B">
      <xxl21:absoluteUrl r:id="rId2"/>
      <xxl21:relativeUrl r:id="rId3"/>
    </xxl21:alternateUrls>
    <sheetNames>
      <sheetName val="Gerador de SKU"/>
      <sheetName val="Produtos"/>
      <sheetName val="Sheet2"/>
      <sheetName val="MPs"/>
      <sheetName val="Insumos"/>
      <sheetName val="Sheet1"/>
      <sheetName val="TAB_FORMAS"/>
      <sheetName val="TAB_CLIENTES"/>
    </sheetNames>
    <sheetDataSet>
      <sheetData sheetId="0"/>
      <sheetData sheetId="1">
        <row r="2">
          <cell r="B2" t="str">
            <v>SKU</v>
          </cell>
          <cell r="C2" t="str">
            <v>Descrição do Item</v>
          </cell>
          <cell r="G2" t="str">
            <v>Cliente</v>
          </cell>
          <cell r="H2" t="str">
            <v>Categoria do Produto</v>
          </cell>
          <cell r="I2" t="str">
            <v>Sub. do Produto</v>
          </cell>
          <cell r="J2" t="str">
            <v>Viscosidade</v>
          </cell>
          <cell r="L2" t="str">
            <v>Prod. Viscosidade</v>
          </cell>
        </row>
        <row r="3">
          <cell r="B3" t="str">
            <v>-</v>
          </cell>
          <cell r="C3" t="str">
            <v>DESODORANTE ROLLON ALGODÃO</v>
          </cell>
          <cell r="E3" t="str">
            <v>-</v>
          </cell>
          <cell r="F3" t="str">
            <v>-</v>
          </cell>
          <cell r="G3" t="str">
            <v>-</v>
          </cell>
          <cell r="H3" t="str">
            <v>CORPORAL</v>
          </cell>
          <cell r="I3" t="str">
            <v>DESODORANTE</v>
          </cell>
          <cell r="J3" t="str">
            <v>VISCOSO</v>
          </cell>
          <cell r="L3">
            <v>802.46872213014433</v>
          </cell>
        </row>
        <row r="4">
          <cell r="B4" t="str">
            <v>-</v>
          </cell>
          <cell r="C4" t="str">
            <v>DESODORANTE ROLLON LAVANDA</v>
          </cell>
          <cell r="E4" t="str">
            <v>-</v>
          </cell>
          <cell r="F4" t="str">
            <v>-</v>
          </cell>
          <cell r="G4" t="str">
            <v>-</v>
          </cell>
          <cell r="H4" t="str">
            <v>CORPORAL</v>
          </cell>
          <cell r="I4" t="str">
            <v>DESODORANTE</v>
          </cell>
          <cell r="J4" t="str">
            <v>VISCOSO</v>
          </cell>
          <cell r="L4">
            <v>802.46872213014433</v>
          </cell>
        </row>
        <row r="5">
          <cell r="B5" t="str">
            <v>-</v>
          </cell>
          <cell r="C5" t="str">
            <v>GEL BRILHO AMARELO</v>
          </cell>
          <cell r="E5">
            <v>30</v>
          </cell>
          <cell r="F5" t="str">
            <v>ml</v>
          </cell>
          <cell r="G5" t="str">
            <v>BE MAGIC</v>
          </cell>
          <cell r="H5" t="str">
            <v>-</v>
          </cell>
          <cell r="I5" t="str">
            <v>GEL</v>
          </cell>
          <cell r="J5" t="str">
            <v>CREMOSO</v>
          </cell>
          <cell r="L5">
            <v>519.13260484234854</v>
          </cell>
        </row>
        <row r="6">
          <cell r="B6" t="str">
            <v>-</v>
          </cell>
          <cell r="C6" t="str">
            <v>GEL BRILHO ROSA</v>
          </cell>
          <cell r="E6">
            <v>30</v>
          </cell>
          <cell r="F6" t="str">
            <v>ml</v>
          </cell>
          <cell r="G6" t="str">
            <v>BE MAGIC</v>
          </cell>
          <cell r="H6" t="str">
            <v>-</v>
          </cell>
          <cell r="I6" t="str">
            <v>GEL</v>
          </cell>
          <cell r="J6" t="str">
            <v>CREMOSO</v>
          </cell>
          <cell r="L6">
            <v>519.13260484234854</v>
          </cell>
        </row>
        <row r="7">
          <cell r="B7" t="str">
            <v>-</v>
          </cell>
          <cell r="C7" t="str">
            <v>GEL BRILHO ROXO</v>
          </cell>
          <cell r="E7">
            <v>30</v>
          </cell>
          <cell r="F7" t="str">
            <v>ml</v>
          </cell>
          <cell r="G7" t="str">
            <v>BE MAGIC</v>
          </cell>
          <cell r="H7" t="str">
            <v>-</v>
          </cell>
          <cell r="I7" t="str">
            <v>GEL</v>
          </cell>
          <cell r="J7" t="str">
            <v>CREMOSO</v>
          </cell>
          <cell r="L7">
            <v>519.13260484234854</v>
          </cell>
        </row>
        <row r="8">
          <cell r="B8" t="str">
            <v>-</v>
          </cell>
          <cell r="C8" t="str">
            <v>GEL BRILHO VERMELHO</v>
          </cell>
          <cell r="E8">
            <v>30</v>
          </cell>
          <cell r="F8" t="str">
            <v>ml</v>
          </cell>
          <cell r="G8" t="str">
            <v>BE MAGIC</v>
          </cell>
          <cell r="H8" t="str">
            <v>-</v>
          </cell>
          <cell r="I8" t="str">
            <v>GEL</v>
          </cell>
          <cell r="J8" t="str">
            <v>CREMOSO</v>
          </cell>
          <cell r="L8">
            <v>519.13260484234854</v>
          </cell>
        </row>
        <row r="9">
          <cell r="B9" t="str">
            <v>-</v>
          </cell>
          <cell r="C9" t="str">
            <v>IMEDIATT LISS PASSO 1</v>
          </cell>
          <cell r="E9">
            <v>1000</v>
          </cell>
          <cell r="F9" t="str">
            <v>ml</v>
          </cell>
          <cell r="G9" t="str">
            <v>PRO STYLE</v>
          </cell>
          <cell r="H9" t="str">
            <v>CAPILAR</v>
          </cell>
          <cell r="I9" t="str">
            <v>FINALIZADOR</v>
          </cell>
          <cell r="J9" t="str">
            <v>CREMOSO</v>
          </cell>
          <cell r="L9">
            <v>571.39859273161176</v>
          </cell>
        </row>
        <row r="10">
          <cell r="B10" t="str">
            <v>-</v>
          </cell>
          <cell r="C10" t="str">
            <v>IMEDIATT LISS PASSO 2</v>
          </cell>
          <cell r="E10">
            <v>1000</v>
          </cell>
          <cell r="F10" t="str">
            <v>ml</v>
          </cell>
          <cell r="G10" t="str">
            <v>PRO STYLE</v>
          </cell>
          <cell r="H10" t="str">
            <v>CAPILAR</v>
          </cell>
          <cell r="I10" t="str">
            <v>ESCOVA PROGRESSIVA</v>
          </cell>
          <cell r="J10" t="str">
            <v>CREMOSO</v>
          </cell>
          <cell r="L10">
            <v>0</v>
          </cell>
        </row>
        <row r="11">
          <cell r="B11" t="str">
            <v>AMABBS01</v>
          </cell>
          <cell r="C11" t="str">
            <v>BODY MIST TESOURO DO OASIS</v>
          </cell>
          <cell r="E11">
            <v>250</v>
          </cell>
          <cell r="F11" t="str">
            <v>ml</v>
          </cell>
          <cell r="G11" t="str">
            <v>AMEERATI</v>
          </cell>
          <cell r="H11" t="str">
            <v>PERFUMARIA</v>
          </cell>
          <cell r="I11" t="str">
            <v>BODY SPLASH</v>
          </cell>
          <cell r="J11" t="str">
            <v>LÍQUIDO</v>
          </cell>
          <cell r="L11">
            <v>843.58780095852239</v>
          </cell>
        </row>
        <row r="12">
          <cell r="B12" t="str">
            <v>AMABBS02</v>
          </cell>
          <cell r="C12" t="str">
            <v>BODY MIST JARDINS DO ORIENTE</v>
          </cell>
          <cell r="E12">
            <v>250</v>
          </cell>
          <cell r="F12" t="str">
            <v>ml</v>
          </cell>
          <cell r="G12" t="str">
            <v>AMEERATI</v>
          </cell>
          <cell r="H12" t="str">
            <v>PERFUMARIA</v>
          </cell>
          <cell r="I12" t="str">
            <v>BODY SPLASH</v>
          </cell>
          <cell r="J12" t="str">
            <v>LÍQUIDO</v>
          </cell>
          <cell r="L12">
            <v>843.58780095852239</v>
          </cell>
        </row>
        <row r="13">
          <cell r="B13" t="str">
            <v>AMABBS03</v>
          </cell>
          <cell r="C13" t="str">
            <v>BODY MIST FLOR DO DESERTO</v>
          </cell>
          <cell r="E13">
            <v>250</v>
          </cell>
          <cell r="F13" t="str">
            <v>ml</v>
          </cell>
          <cell r="G13" t="str">
            <v>AMEERATI</v>
          </cell>
          <cell r="H13" t="str">
            <v>PERFUMARIA</v>
          </cell>
          <cell r="I13" t="str">
            <v>BODY SPLASH</v>
          </cell>
          <cell r="J13" t="str">
            <v>LÍQUIDO</v>
          </cell>
          <cell r="L13">
            <v>843.58780095852239</v>
          </cell>
        </row>
        <row r="14">
          <cell r="B14" t="str">
            <v>AMABBS04</v>
          </cell>
          <cell r="C14" t="str">
            <v>BODY MIST PEROLA DO DESERTO</v>
          </cell>
          <cell r="E14">
            <v>250</v>
          </cell>
          <cell r="F14" t="str">
            <v>ml</v>
          </cell>
          <cell r="G14" t="str">
            <v>AMEERATI</v>
          </cell>
          <cell r="H14" t="str">
            <v>PERFUMARIA</v>
          </cell>
          <cell r="I14" t="str">
            <v>BODY SPLASH</v>
          </cell>
          <cell r="J14" t="str">
            <v>LÍQUIDO</v>
          </cell>
          <cell r="L14">
            <v>843.58780095852239</v>
          </cell>
        </row>
        <row r="15">
          <cell r="B15" t="str">
            <v>AMABBS05</v>
          </cell>
          <cell r="C15" t="str">
            <v>BODY MIST ROSA IMPERIAL</v>
          </cell>
          <cell r="E15">
            <v>250</v>
          </cell>
          <cell r="F15" t="str">
            <v>ml</v>
          </cell>
          <cell r="G15" t="str">
            <v>AMEERATI</v>
          </cell>
          <cell r="H15" t="str">
            <v>PERFUMARIA</v>
          </cell>
          <cell r="I15" t="str">
            <v>BODY SPLASH</v>
          </cell>
          <cell r="J15" t="str">
            <v>LÍQUIDO</v>
          </cell>
          <cell r="L15">
            <v>843.58780095852239</v>
          </cell>
        </row>
        <row r="16">
          <cell r="B16" t="str">
            <v>AMABBS06</v>
          </cell>
          <cell r="C16" t="str">
            <v>BODY MIST ENCANTO PERSA</v>
          </cell>
          <cell r="E16">
            <v>250</v>
          </cell>
          <cell r="F16" t="str">
            <v>ml</v>
          </cell>
          <cell r="G16" t="str">
            <v>AMEERATI</v>
          </cell>
          <cell r="H16" t="str">
            <v>PERFUMARIA</v>
          </cell>
          <cell r="I16" t="str">
            <v>BODY SPLASH</v>
          </cell>
          <cell r="J16" t="str">
            <v>LÍQUIDO</v>
          </cell>
          <cell r="L16">
            <v>843.58780095852239</v>
          </cell>
        </row>
        <row r="17">
          <cell r="B17" t="str">
            <v>AMABBS07</v>
          </cell>
          <cell r="C17" t="str">
            <v>BODY MIST MEL DE ESPECIARIAS</v>
          </cell>
          <cell r="E17">
            <v>250</v>
          </cell>
          <cell r="F17" t="str">
            <v>ml</v>
          </cell>
          <cell r="G17" t="str">
            <v>AMEERATI</v>
          </cell>
          <cell r="H17" t="str">
            <v>PERFUMARIA</v>
          </cell>
          <cell r="I17" t="str">
            <v>BODY SPLASH</v>
          </cell>
          <cell r="J17" t="str">
            <v>LÍQUIDO</v>
          </cell>
          <cell r="L17">
            <v>843.58780095852239</v>
          </cell>
        </row>
        <row r="18">
          <cell r="B18" t="str">
            <v>AMABBS08</v>
          </cell>
          <cell r="C18" t="str">
            <v>BODY MIST RARO ELIXIR</v>
          </cell>
          <cell r="E18">
            <v>250</v>
          </cell>
          <cell r="F18" t="str">
            <v>ml</v>
          </cell>
          <cell r="G18" t="str">
            <v>AMEERATI</v>
          </cell>
          <cell r="H18" t="str">
            <v>PERFUMARIA</v>
          </cell>
          <cell r="I18" t="str">
            <v>BODY SPLASH</v>
          </cell>
          <cell r="J18" t="str">
            <v>LÍQUIDO</v>
          </cell>
          <cell r="L18">
            <v>843.58780095852239</v>
          </cell>
        </row>
        <row r="19">
          <cell r="B19" t="str">
            <v>AMABHD01</v>
          </cell>
          <cell r="C19" t="str">
            <v>BODY CREAM TESOURO DO OASIS</v>
          </cell>
          <cell r="E19">
            <v>240</v>
          </cell>
          <cell r="F19" t="str">
            <v>ml</v>
          </cell>
          <cell r="G19" t="str">
            <v>AMEERATI</v>
          </cell>
          <cell r="H19" t="str">
            <v>CORPORAL</v>
          </cell>
          <cell r="I19" t="str">
            <v>CREME HIDRATANTE</v>
          </cell>
          <cell r="J19" t="str">
            <v>CREMOSO</v>
          </cell>
          <cell r="L19">
            <v>613.39886035164977</v>
          </cell>
        </row>
        <row r="20">
          <cell r="B20" t="str">
            <v>AMABHD02</v>
          </cell>
          <cell r="C20" t="str">
            <v>BODY CREAM JARDINS DO ORIENTE</v>
          </cell>
          <cell r="E20">
            <v>240</v>
          </cell>
          <cell r="F20" t="str">
            <v>ml</v>
          </cell>
          <cell r="G20" t="str">
            <v>AMEERATI</v>
          </cell>
          <cell r="H20" t="str">
            <v>CORPORAL</v>
          </cell>
          <cell r="I20" t="str">
            <v>CREME HIDRATANTE</v>
          </cell>
          <cell r="J20" t="str">
            <v>CREMOSO</v>
          </cell>
          <cell r="L20">
            <v>613.39886035164977</v>
          </cell>
        </row>
        <row r="21">
          <cell r="B21" t="str">
            <v>AMABHD03</v>
          </cell>
          <cell r="C21" t="str">
            <v>BODY CREAM FLOR DO DESERTO</v>
          </cell>
          <cell r="E21">
            <v>240</v>
          </cell>
          <cell r="F21" t="str">
            <v>ml</v>
          </cell>
          <cell r="G21" t="str">
            <v>AMEERATI</v>
          </cell>
          <cell r="H21" t="str">
            <v>CORPORAL</v>
          </cell>
          <cell r="I21" t="str">
            <v>CREME HIDRATANTE</v>
          </cell>
          <cell r="J21" t="str">
            <v>CREMOSO</v>
          </cell>
          <cell r="L21">
            <v>613.39886035164977</v>
          </cell>
        </row>
        <row r="22">
          <cell r="B22" t="str">
            <v>AMABHD04</v>
          </cell>
          <cell r="C22" t="str">
            <v>BODY CREAM PEROLA DO DESERTO</v>
          </cell>
          <cell r="E22">
            <v>240</v>
          </cell>
          <cell r="F22" t="str">
            <v>ml</v>
          </cell>
          <cell r="G22" t="str">
            <v>AMEERATI</v>
          </cell>
          <cell r="H22" t="str">
            <v>CORPORAL</v>
          </cell>
          <cell r="I22" t="str">
            <v>CREME HIDRATANTE</v>
          </cell>
          <cell r="J22" t="str">
            <v>CREMOSO</v>
          </cell>
          <cell r="L22">
            <v>613.39886035164977</v>
          </cell>
        </row>
        <row r="23">
          <cell r="B23" t="str">
            <v>AMABHD05</v>
          </cell>
          <cell r="C23" t="str">
            <v>BODY CREAM ROSA IMPERIAL</v>
          </cell>
          <cell r="E23">
            <v>240</v>
          </cell>
          <cell r="F23" t="str">
            <v>ml</v>
          </cell>
          <cell r="G23" t="str">
            <v>AMEERATI</v>
          </cell>
          <cell r="H23" t="str">
            <v>CORPORAL</v>
          </cell>
          <cell r="I23" t="str">
            <v>CREME HIDRATANTE</v>
          </cell>
          <cell r="J23" t="str">
            <v>CREMOSO</v>
          </cell>
          <cell r="L23">
            <v>613.39886035164977</v>
          </cell>
        </row>
        <row r="24">
          <cell r="B24" t="str">
            <v>AMABHD06</v>
          </cell>
          <cell r="C24" t="str">
            <v>BODY CREAM ENCANTO PERSA</v>
          </cell>
          <cell r="E24">
            <v>240</v>
          </cell>
          <cell r="F24" t="str">
            <v>ml</v>
          </cell>
          <cell r="G24" t="str">
            <v>AMEERATI</v>
          </cell>
          <cell r="H24" t="str">
            <v>CORPORAL</v>
          </cell>
          <cell r="I24" t="str">
            <v>CREME HIDRATANTE</v>
          </cell>
          <cell r="J24" t="str">
            <v>CREMOSO</v>
          </cell>
          <cell r="L24">
            <v>613.39886035164977</v>
          </cell>
        </row>
        <row r="25">
          <cell r="B25" t="str">
            <v>AMABHD07</v>
          </cell>
          <cell r="C25" t="str">
            <v>BODY CREAM MEL DE ESPECIARIAS</v>
          </cell>
          <cell r="E25">
            <v>240</v>
          </cell>
          <cell r="F25" t="str">
            <v>ml</v>
          </cell>
          <cell r="G25" t="str">
            <v>AMEERATI</v>
          </cell>
          <cell r="H25" t="str">
            <v>CORPORAL</v>
          </cell>
          <cell r="I25" t="str">
            <v>CREME HIDRATANTE</v>
          </cell>
          <cell r="J25" t="str">
            <v>CREMOSO</v>
          </cell>
          <cell r="L25">
            <v>613.39886035164977</v>
          </cell>
        </row>
        <row r="26">
          <cell r="B26" t="str">
            <v>AMABHD08</v>
          </cell>
          <cell r="C26" t="str">
            <v>BODY CREAM RARO ELIXIR</v>
          </cell>
          <cell r="E26">
            <v>240</v>
          </cell>
          <cell r="F26" t="str">
            <v>ml</v>
          </cell>
          <cell r="G26" t="str">
            <v>AMEERATI</v>
          </cell>
          <cell r="H26" t="str">
            <v>CORPORAL</v>
          </cell>
          <cell r="I26" t="str">
            <v>CREME HIDRATANTE</v>
          </cell>
          <cell r="J26" t="str">
            <v>CREMOSO</v>
          </cell>
          <cell r="L26">
            <v>613.39886035164977</v>
          </cell>
        </row>
        <row r="27">
          <cell r="B27" t="str">
            <v>AMCLBS01</v>
          </cell>
          <cell r="C27" t="str">
            <v>BODY MIST BELISSIMA ESSENZA</v>
          </cell>
          <cell r="E27">
            <v>250</v>
          </cell>
          <cell r="F27" t="str">
            <v>ml</v>
          </cell>
          <cell r="G27" t="str">
            <v>AMEERATI</v>
          </cell>
          <cell r="H27" t="str">
            <v>PERFUMARIA</v>
          </cell>
          <cell r="I27" t="str">
            <v>BODY SPLASH</v>
          </cell>
          <cell r="J27" t="str">
            <v>LÍQUIDO</v>
          </cell>
          <cell r="L27">
            <v>843.58780095852239</v>
          </cell>
        </row>
        <row r="28">
          <cell r="B28" t="str">
            <v>AMCLBS02</v>
          </cell>
          <cell r="C28" t="str">
            <v>BODY MIST CHARME FATAL</v>
          </cell>
          <cell r="E28">
            <v>250</v>
          </cell>
          <cell r="F28" t="str">
            <v>ml</v>
          </cell>
          <cell r="G28" t="str">
            <v>AMEERATI</v>
          </cell>
          <cell r="H28" t="str">
            <v>PERFUMARIA</v>
          </cell>
          <cell r="I28" t="str">
            <v>BODY SPLASH</v>
          </cell>
          <cell r="J28" t="str">
            <v>LÍQUIDO</v>
          </cell>
          <cell r="L28">
            <v>843.58780095852239</v>
          </cell>
        </row>
        <row r="29">
          <cell r="B29" t="str">
            <v>AMCLBS03</v>
          </cell>
          <cell r="C29" t="str">
            <v>BODY MIST DOCE BRISA</v>
          </cell>
          <cell r="E29">
            <v>250</v>
          </cell>
          <cell r="F29" t="str">
            <v>ml</v>
          </cell>
          <cell r="G29" t="str">
            <v>AMEERATI</v>
          </cell>
          <cell r="H29" t="str">
            <v>PERFUMARIA</v>
          </cell>
          <cell r="I29" t="str">
            <v>BODY SPLASH</v>
          </cell>
          <cell r="J29" t="str">
            <v>LÍQUIDO</v>
          </cell>
          <cell r="L29">
            <v>843.58780095852239</v>
          </cell>
        </row>
        <row r="30">
          <cell r="B30" t="str">
            <v>AMCLBS04</v>
          </cell>
          <cell r="C30" t="str">
            <v>BODY MIST MISTERIO INFINITO</v>
          </cell>
          <cell r="E30">
            <v>250</v>
          </cell>
          <cell r="F30" t="str">
            <v>ml</v>
          </cell>
          <cell r="G30" t="str">
            <v>AMEERATI</v>
          </cell>
          <cell r="H30" t="str">
            <v>PERFUMARIA</v>
          </cell>
          <cell r="I30" t="str">
            <v>BODY SPLASH</v>
          </cell>
          <cell r="J30" t="str">
            <v>LÍQUIDO</v>
          </cell>
          <cell r="L30">
            <v>843.58780095852239</v>
          </cell>
        </row>
        <row r="31">
          <cell r="B31" t="str">
            <v>AMCLBS05</v>
          </cell>
          <cell r="C31" t="str">
            <v>BODY MIST NEVOA ENCANTADA</v>
          </cell>
          <cell r="E31">
            <v>250</v>
          </cell>
          <cell r="F31" t="str">
            <v>ml</v>
          </cell>
          <cell r="G31" t="str">
            <v>AMEERATI</v>
          </cell>
          <cell r="H31" t="str">
            <v>PERFUMARIA</v>
          </cell>
          <cell r="I31" t="str">
            <v>BODY SPLASH</v>
          </cell>
          <cell r="J31" t="str">
            <v>LÍQUIDO</v>
          </cell>
          <cell r="L31">
            <v>843.58780095852239</v>
          </cell>
        </row>
        <row r="32">
          <cell r="B32" t="str">
            <v>AMCLBS06</v>
          </cell>
          <cell r="C32" t="str">
            <v>BODY MIST INTENSA PAIXAO</v>
          </cell>
          <cell r="E32">
            <v>250</v>
          </cell>
          <cell r="F32" t="str">
            <v>ml</v>
          </cell>
          <cell r="G32" t="str">
            <v>AMEERATI</v>
          </cell>
          <cell r="H32" t="str">
            <v>PERFUMARIA</v>
          </cell>
          <cell r="I32" t="str">
            <v>BODY SPLASH</v>
          </cell>
          <cell r="J32" t="str">
            <v>LÍQUIDO</v>
          </cell>
          <cell r="L32">
            <v>843.58780095852239</v>
          </cell>
        </row>
        <row r="33">
          <cell r="B33" t="str">
            <v>AMCLBS07</v>
          </cell>
          <cell r="C33" t="str">
            <v>BODY MIST FLOR DE CRISTAL</v>
          </cell>
          <cell r="E33">
            <v>250</v>
          </cell>
          <cell r="F33" t="str">
            <v>ml</v>
          </cell>
          <cell r="G33" t="str">
            <v>AMEERATI</v>
          </cell>
          <cell r="H33" t="str">
            <v>PERFUMARIA</v>
          </cell>
          <cell r="I33" t="str">
            <v>BODY SPLASH</v>
          </cell>
          <cell r="J33" t="str">
            <v>LÍQUIDO</v>
          </cell>
          <cell r="L33">
            <v>843.58780095852239</v>
          </cell>
        </row>
        <row r="34">
          <cell r="B34" t="str">
            <v>AMCLBS08</v>
          </cell>
          <cell r="C34" t="str">
            <v>BODY MIST ESTRELA RADIANTE</v>
          </cell>
          <cell r="E34">
            <v>250</v>
          </cell>
          <cell r="F34" t="str">
            <v>ml</v>
          </cell>
          <cell r="G34" t="str">
            <v>AMEERATI</v>
          </cell>
          <cell r="H34" t="str">
            <v>PERFUMARIA</v>
          </cell>
          <cell r="I34" t="str">
            <v>BODY SPLASH</v>
          </cell>
          <cell r="J34" t="str">
            <v>LÍQUIDO</v>
          </cell>
          <cell r="L34">
            <v>843.58780095852239</v>
          </cell>
        </row>
        <row r="35">
          <cell r="B35" t="str">
            <v>AMCLHD01</v>
          </cell>
          <cell r="C35" t="str">
            <v>BODY CREAM BELISSIMA ESSENZA</v>
          </cell>
          <cell r="E35">
            <v>240</v>
          </cell>
          <cell r="F35" t="str">
            <v>ml</v>
          </cell>
          <cell r="G35" t="str">
            <v>AMEERATI</v>
          </cell>
          <cell r="H35" t="str">
            <v>CORPORAL</v>
          </cell>
          <cell r="I35" t="str">
            <v>CREME HIDRATANTE</v>
          </cell>
          <cell r="J35" t="str">
            <v>CREMOSO</v>
          </cell>
          <cell r="L35">
            <v>613.39886035164977</v>
          </cell>
        </row>
        <row r="36">
          <cell r="B36" t="str">
            <v>AMCLHD02</v>
          </cell>
          <cell r="C36" t="str">
            <v>BODY CREAM CHARME FATAL</v>
          </cell>
          <cell r="E36">
            <v>240</v>
          </cell>
          <cell r="F36" t="str">
            <v>ml</v>
          </cell>
          <cell r="G36" t="str">
            <v>AMEERATI</v>
          </cell>
          <cell r="H36" t="str">
            <v>CORPORAL</v>
          </cell>
          <cell r="I36" t="str">
            <v>CREME HIDRATANTE</v>
          </cell>
          <cell r="J36" t="str">
            <v>CREMOSO</v>
          </cell>
          <cell r="L36">
            <v>613.39886035164977</v>
          </cell>
        </row>
        <row r="37">
          <cell r="B37" t="str">
            <v>AMCLHD03</v>
          </cell>
          <cell r="C37" t="str">
            <v>BODY CREAM DOCE BRISA</v>
          </cell>
          <cell r="E37">
            <v>240</v>
          </cell>
          <cell r="F37" t="str">
            <v>ml</v>
          </cell>
          <cell r="G37" t="str">
            <v>AMEERATI</v>
          </cell>
          <cell r="H37" t="str">
            <v>CORPORAL</v>
          </cell>
          <cell r="I37" t="str">
            <v>CREME HIDRATANTE</v>
          </cell>
          <cell r="J37" t="str">
            <v>CREMOSO</v>
          </cell>
          <cell r="L37">
            <v>613.39886035164977</v>
          </cell>
        </row>
        <row r="38">
          <cell r="B38" t="str">
            <v>AMCLHD04</v>
          </cell>
          <cell r="C38" t="str">
            <v>BODY CREAM MISTERIO INFINITO</v>
          </cell>
          <cell r="E38">
            <v>240</v>
          </cell>
          <cell r="F38" t="str">
            <v>ml</v>
          </cell>
          <cell r="G38" t="str">
            <v>AMEERATI</v>
          </cell>
          <cell r="H38" t="str">
            <v>CORPORAL</v>
          </cell>
          <cell r="I38" t="str">
            <v>CREME HIDRATANTE</v>
          </cell>
          <cell r="J38" t="str">
            <v>CREMOSO</v>
          </cell>
          <cell r="L38">
            <v>613.39886035164977</v>
          </cell>
        </row>
        <row r="39">
          <cell r="B39" t="str">
            <v>AMCLHD05</v>
          </cell>
          <cell r="C39" t="str">
            <v>BODY CREAM NEVOA ENCANTADA</v>
          </cell>
          <cell r="E39">
            <v>240</v>
          </cell>
          <cell r="F39" t="str">
            <v>ml</v>
          </cell>
          <cell r="G39" t="str">
            <v>AMEERATI</v>
          </cell>
          <cell r="H39" t="str">
            <v>CORPORAL</v>
          </cell>
          <cell r="I39" t="str">
            <v>CREME HIDRATANTE</v>
          </cell>
          <cell r="J39" t="str">
            <v>CREMOSO</v>
          </cell>
          <cell r="L39">
            <v>613.39886035164977</v>
          </cell>
        </row>
        <row r="40">
          <cell r="B40" t="str">
            <v>AMCLHD06</v>
          </cell>
          <cell r="C40" t="str">
            <v>BODY CREAM  INTENSA PAIXAO</v>
          </cell>
          <cell r="E40">
            <v>240</v>
          </cell>
          <cell r="F40" t="str">
            <v>ml</v>
          </cell>
          <cell r="G40" t="str">
            <v>AMEERATI</v>
          </cell>
          <cell r="H40" t="str">
            <v>CORPORAL</v>
          </cell>
          <cell r="I40" t="str">
            <v>CREME HIDRATANTE</v>
          </cell>
          <cell r="J40" t="str">
            <v>CREMOSO</v>
          </cell>
          <cell r="L40">
            <v>613.39886035164977</v>
          </cell>
        </row>
        <row r="41">
          <cell r="B41" t="str">
            <v>AMCLHD07</v>
          </cell>
          <cell r="C41" t="str">
            <v>BODY CREAM FLOR DE CRISTAL</v>
          </cell>
          <cell r="E41">
            <v>240</v>
          </cell>
          <cell r="F41" t="str">
            <v>ml</v>
          </cell>
          <cell r="G41" t="str">
            <v>AMEERATI</v>
          </cell>
          <cell r="H41" t="str">
            <v>CORPORAL</v>
          </cell>
          <cell r="I41" t="str">
            <v>CREME HIDRATANTE</v>
          </cell>
          <cell r="J41" t="str">
            <v>CREMOSO</v>
          </cell>
          <cell r="L41">
            <v>613.39886035164977</v>
          </cell>
        </row>
        <row r="42">
          <cell r="B42" t="str">
            <v>AMCLHD08</v>
          </cell>
          <cell r="C42" t="str">
            <v>BODY CREAM ESTRELA RADIANTE</v>
          </cell>
          <cell r="E42">
            <v>240</v>
          </cell>
          <cell r="F42" t="str">
            <v>ml</v>
          </cell>
          <cell r="G42" t="str">
            <v>AMEERATI</v>
          </cell>
          <cell r="H42" t="str">
            <v>CORPORAL</v>
          </cell>
          <cell r="I42" t="str">
            <v>CREME HIDRATANTE</v>
          </cell>
          <cell r="J42" t="str">
            <v>CREMOSO</v>
          </cell>
          <cell r="L42">
            <v>613.39886035164977</v>
          </cell>
        </row>
        <row r="43">
          <cell r="B43" t="str">
            <v>AMNCBS01</v>
          </cell>
          <cell r="C43" t="str">
            <v>BODY MIST BAUNILHA SELVAGEM</v>
          </cell>
          <cell r="E43">
            <v>250</v>
          </cell>
          <cell r="F43" t="str">
            <v>ml</v>
          </cell>
          <cell r="G43" t="str">
            <v>AMEERATI</v>
          </cell>
          <cell r="H43" t="str">
            <v>PERFUMARIA</v>
          </cell>
          <cell r="I43" t="str">
            <v>BODY SPLASH</v>
          </cell>
          <cell r="J43" t="str">
            <v>LÍQUIDO</v>
          </cell>
          <cell r="L43">
            <v>843.58780095852239</v>
          </cell>
        </row>
        <row r="44">
          <cell r="B44" t="str">
            <v>AMNCBS02</v>
          </cell>
          <cell r="C44" t="str">
            <v>BODY MIST VERDE SUPREMO</v>
          </cell>
          <cell r="E44">
            <v>250</v>
          </cell>
          <cell r="F44" t="str">
            <v>ml</v>
          </cell>
          <cell r="G44" t="str">
            <v>AMEERATI</v>
          </cell>
          <cell r="H44" t="str">
            <v>PERFUMARIA</v>
          </cell>
          <cell r="I44" t="str">
            <v>BODY SPLASH</v>
          </cell>
          <cell r="J44" t="str">
            <v>LÍQUIDO</v>
          </cell>
          <cell r="L44">
            <v>843.58780095852239</v>
          </cell>
        </row>
        <row r="45">
          <cell r="B45" t="str">
            <v>AMNCBS03</v>
          </cell>
          <cell r="C45" t="str">
            <v>BODY MIST SONHO DE PISTACHE</v>
          </cell>
          <cell r="E45">
            <v>250</v>
          </cell>
          <cell r="F45" t="str">
            <v>ml</v>
          </cell>
          <cell r="G45" t="str">
            <v>AMEERATI</v>
          </cell>
          <cell r="H45" t="str">
            <v>PERFUMARIA</v>
          </cell>
          <cell r="I45" t="str">
            <v>BODY SPLASH</v>
          </cell>
          <cell r="J45" t="str">
            <v>LÍQUIDO</v>
          </cell>
          <cell r="L45">
            <v>843.58780095852239</v>
          </cell>
        </row>
        <row r="46">
          <cell r="B46" t="str">
            <v>AMNCBS04</v>
          </cell>
          <cell r="C46" t="str">
            <v>BODY MIST DOCE ROSA</v>
          </cell>
          <cell r="E46">
            <v>250</v>
          </cell>
          <cell r="F46" t="str">
            <v>ml</v>
          </cell>
          <cell r="G46" t="str">
            <v>AMEERATI</v>
          </cell>
          <cell r="H46" t="str">
            <v>PERFUMARIA</v>
          </cell>
          <cell r="I46" t="str">
            <v>BODY SPLASH</v>
          </cell>
          <cell r="J46" t="str">
            <v>LÍQUIDO</v>
          </cell>
          <cell r="L46">
            <v>843.58780095852239</v>
          </cell>
        </row>
        <row r="47">
          <cell r="B47" t="str">
            <v>AMNCBS05</v>
          </cell>
          <cell r="C47" t="str">
            <v>BODY MIST FRESCOR LICHIA</v>
          </cell>
          <cell r="E47">
            <v>250</v>
          </cell>
          <cell r="F47" t="str">
            <v>ml</v>
          </cell>
          <cell r="G47" t="str">
            <v>AMEERATI</v>
          </cell>
          <cell r="H47" t="str">
            <v>PERFUMARIA</v>
          </cell>
          <cell r="I47" t="str">
            <v>BODY SPLASH</v>
          </cell>
          <cell r="J47" t="str">
            <v>LÍQUIDO</v>
          </cell>
          <cell r="L47">
            <v>843.58780095852239</v>
          </cell>
        </row>
        <row r="48">
          <cell r="B48" t="str">
            <v>AMNCBS06</v>
          </cell>
          <cell r="C48" t="str">
            <v>BODY MIST NECTAR DA PERA</v>
          </cell>
          <cell r="E48">
            <v>250</v>
          </cell>
          <cell r="F48" t="str">
            <v>ml</v>
          </cell>
          <cell r="G48" t="str">
            <v>AMEERATI</v>
          </cell>
          <cell r="H48" t="str">
            <v>PERFUMARIA</v>
          </cell>
          <cell r="I48" t="str">
            <v>BODY SPLASH</v>
          </cell>
          <cell r="J48" t="str">
            <v>LÍQUIDO</v>
          </cell>
          <cell r="L48">
            <v>843.58780095852239</v>
          </cell>
        </row>
        <row r="49">
          <cell r="B49" t="str">
            <v>AMNCBS07</v>
          </cell>
          <cell r="C49" t="str">
            <v>BODY MIST BOUQUET CARMIM</v>
          </cell>
          <cell r="E49">
            <v>250</v>
          </cell>
          <cell r="F49" t="str">
            <v>ml</v>
          </cell>
          <cell r="G49" t="str">
            <v>AMEERATI</v>
          </cell>
          <cell r="H49" t="str">
            <v>PERFUMARIA</v>
          </cell>
          <cell r="I49" t="str">
            <v>BODY SPLASH</v>
          </cell>
          <cell r="J49" t="str">
            <v>LÍQUIDO</v>
          </cell>
          <cell r="L49">
            <v>843.58780095852239</v>
          </cell>
        </row>
        <row r="50">
          <cell r="B50" t="str">
            <v>AMNCBS08</v>
          </cell>
          <cell r="C50" t="str">
            <v>BODY MIST SUBLIME CEREJA</v>
          </cell>
          <cell r="E50">
            <v>250</v>
          </cell>
          <cell r="F50" t="str">
            <v>ml</v>
          </cell>
          <cell r="G50" t="str">
            <v>AMEERATI</v>
          </cell>
          <cell r="H50" t="str">
            <v>PERFUMARIA</v>
          </cell>
          <cell r="I50" t="str">
            <v>BODY SPLASH</v>
          </cell>
          <cell r="J50" t="str">
            <v>LÍQUIDO</v>
          </cell>
          <cell r="L50">
            <v>843.58780095852239</v>
          </cell>
        </row>
        <row r="51">
          <cell r="B51" t="str">
            <v>AMNCHD01</v>
          </cell>
          <cell r="C51" t="str">
            <v>BODY CREAM BAUNILHA SELVAGEM</v>
          </cell>
          <cell r="E51">
            <v>240</v>
          </cell>
          <cell r="F51" t="str">
            <v>ml</v>
          </cell>
          <cell r="G51" t="str">
            <v>AMEERATI</v>
          </cell>
          <cell r="H51" t="str">
            <v>CORPORAL</v>
          </cell>
          <cell r="I51" t="str">
            <v>CREME HIDRATANTE</v>
          </cell>
          <cell r="J51" t="str">
            <v>CREMOSO</v>
          </cell>
          <cell r="L51">
            <v>613.39886035164977</v>
          </cell>
        </row>
        <row r="52">
          <cell r="B52" t="str">
            <v>AMNCHD02</v>
          </cell>
          <cell r="C52" t="str">
            <v>BODY CREAM VERDE SUPREMO</v>
          </cell>
          <cell r="E52">
            <v>240</v>
          </cell>
          <cell r="F52" t="str">
            <v>ml</v>
          </cell>
          <cell r="G52" t="str">
            <v>AMEERATI</v>
          </cell>
          <cell r="H52" t="str">
            <v>CORPORAL</v>
          </cell>
          <cell r="I52" t="str">
            <v>CREME HIDRATANTE</v>
          </cell>
          <cell r="J52" t="str">
            <v>CREMOSO</v>
          </cell>
          <cell r="L52">
            <v>613.39886035164977</v>
          </cell>
        </row>
        <row r="53">
          <cell r="B53" t="str">
            <v>AMNCHD03</v>
          </cell>
          <cell r="C53" t="str">
            <v>BODY CREAM SONHO DE PISTACHE</v>
          </cell>
          <cell r="E53">
            <v>240</v>
          </cell>
          <cell r="F53" t="str">
            <v>ml</v>
          </cell>
          <cell r="G53" t="str">
            <v>AMEERATI</v>
          </cell>
          <cell r="H53" t="str">
            <v>CORPORAL</v>
          </cell>
          <cell r="I53" t="str">
            <v>CREME HIDRATANTE</v>
          </cell>
          <cell r="J53" t="str">
            <v>CREMOSO</v>
          </cell>
          <cell r="L53">
            <v>613.39886035164977</v>
          </cell>
        </row>
        <row r="54">
          <cell r="B54" t="str">
            <v>AMNCHD04</v>
          </cell>
          <cell r="C54" t="str">
            <v>BODY CREAM DOCE ROSA</v>
          </cell>
          <cell r="E54">
            <v>240</v>
          </cell>
          <cell r="F54" t="str">
            <v>ml</v>
          </cell>
          <cell r="G54" t="str">
            <v>AMEERATI</v>
          </cell>
          <cell r="H54" t="str">
            <v>CORPORAL</v>
          </cell>
          <cell r="I54" t="str">
            <v>CREME HIDRATANTE</v>
          </cell>
          <cell r="J54" t="str">
            <v>CREMOSO</v>
          </cell>
          <cell r="L54">
            <v>613.39886035164977</v>
          </cell>
        </row>
        <row r="55">
          <cell r="B55" t="str">
            <v>AMNCHD05</v>
          </cell>
          <cell r="C55" t="str">
            <v>BODY CREAM FRESCOR LICHIA</v>
          </cell>
          <cell r="E55">
            <v>240</v>
          </cell>
          <cell r="F55" t="str">
            <v>ml</v>
          </cell>
          <cell r="G55" t="str">
            <v>AMEERATI</v>
          </cell>
          <cell r="H55" t="str">
            <v>CORPORAL</v>
          </cell>
          <cell r="I55" t="str">
            <v>CREME HIDRATANTE</v>
          </cell>
          <cell r="J55" t="str">
            <v>CREMOSO</v>
          </cell>
          <cell r="L55">
            <v>613.39886035164977</v>
          </cell>
        </row>
        <row r="56">
          <cell r="B56" t="str">
            <v>AMNCHD06</v>
          </cell>
          <cell r="C56" t="str">
            <v>BODY CREAM NECTAR DA PERA</v>
          </cell>
          <cell r="E56">
            <v>240</v>
          </cell>
          <cell r="F56" t="str">
            <v>ml</v>
          </cell>
          <cell r="G56" t="str">
            <v>AMEERATI</v>
          </cell>
          <cell r="H56" t="str">
            <v>CORPORAL</v>
          </cell>
          <cell r="I56" t="str">
            <v>CREME HIDRATANTE</v>
          </cell>
          <cell r="J56" t="str">
            <v>CREMOSO</v>
          </cell>
          <cell r="L56">
            <v>613.39886035164977</v>
          </cell>
        </row>
        <row r="57">
          <cell r="B57" t="str">
            <v>AMNCHD07</v>
          </cell>
          <cell r="C57" t="str">
            <v>BODY CREAM BOUQUET CARMIM</v>
          </cell>
          <cell r="E57">
            <v>240</v>
          </cell>
          <cell r="F57" t="str">
            <v>ml</v>
          </cell>
          <cell r="G57" t="str">
            <v>AMEERATI</v>
          </cell>
          <cell r="H57" t="str">
            <v>CORPORAL</v>
          </cell>
          <cell r="I57" t="str">
            <v>CREME HIDRATANTE</v>
          </cell>
          <cell r="J57" t="str">
            <v>CREMOSO</v>
          </cell>
          <cell r="L57">
            <v>613.39886035164977</v>
          </cell>
        </row>
        <row r="58">
          <cell r="B58" t="str">
            <v>AMNCHD08</v>
          </cell>
          <cell r="C58" t="str">
            <v>BODY CREAM SUBLIME CEREJA</v>
          </cell>
          <cell r="E58">
            <v>240</v>
          </cell>
          <cell r="F58" t="str">
            <v>ml</v>
          </cell>
          <cell r="G58" t="str">
            <v>AMEERATI</v>
          </cell>
          <cell r="H58" t="str">
            <v>CORPORAL</v>
          </cell>
          <cell r="I58" t="str">
            <v>CREME HIDRATANTE</v>
          </cell>
          <cell r="J58" t="str">
            <v>CREMOSO</v>
          </cell>
          <cell r="L58">
            <v>613.39886035164977</v>
          </cell>
        </row>
        <row r="59">
          <cell r="B59" t="str">
            <v>BBPF0004</v>
          </cell>
          <cell r="C59" t="str">
            <v>PERFUME CAPILAR ZAHRA</v>
          </cell>
          <cell r="E59">
            <v>60</v>
          </cell>
          <cell r="F59" t="str">
            <v>ml</v>
          </cell>
          <cell r="G59" t="str">
            <v>BRIA BEAUTY</v>
          </cell>
          <cell r="H59" t="str">
            <v>PERFUMARIA</v>
          </cell>
          <cell r="I59" t="str">
            <v>PERFUME CAPILAR</v>
          </cell>
          <cell r="J59" t="str">
            <v>LÍQUIDO ESPESSO</v>
          </cell>
          <cell r="L59">
            <v>674.69639400444999</v>
          </cell>
        </row>
        <row r="60">
          <cell r="B60" t="str">
            <v>BBSJBS01</v>
          </cell>
          <cell r="C60" t="str">
            <v>BODY SPLASH SOL TROPICAL 61 200ml</v>
          </cell>
          <cell r="E60">
            <v>200</v>
          </cell>
          <cell r="F60" t="str">
            <v>ml</v>
          </cell>
          <cell r="G60" t="str">
            <v>BRIA BEAUTY</v>
          </cell>
          <cell r="H60" t="str">
            <v>PERFUMARIA</v>
          </cell>
          <cell r="I60" t="str">
            <v>BODY SPLASH</v>
          </cell>
          <cell r="J60" t="str">
            <v>LÍQUIDO</v>
          </cell>
          <cell r="L60">
            <v>843.58780095852239</v>
          </cell>
        </row>
        <row r="61">
          <cell r="B61" t="str">
            <v>BBSJBS01-2</v>
          </cell>
          <cell r="C61" t="str">
            <v>BODY SPLASH SOL TROPICAL 61 120ml</v>
          </cell>
          <cell r="E61">
            <v>120</v>
          </cell>
          <cell r="F61" t="str">
            <v>ml</v>
          </cell>
          <cell r="G61" t="str">
            <v>BRIA BEAUTY</v>
          </cell>
          <cell r="H61" t="str">
            <v>PERFUMARIA</v>
          </cell>
          <cell r="I61" t="str">
            <v>BODY SPLASH</v>
          </cell>
          <cell r="J61" t="str">
            <v>LÍQUIDO</v>
          </cell>
          <cell r="L61">
            <v>843.58780095852239</v>
          </cell>
        </row>
        <row r="62">
          <cell r="B62" t="str">
            <v>BBSJBS02</v>
          </cell>
          <cell r="C62" t="str">
            <v>BODY SPLASH SOL TROPICAL 86 200ml</v>
          </cell>
          <cell r="E62">
            <v>200</v>
          </cell>
          <cell r="F62" t="str">
            <v>ml</v>
          </cell>
          <cell r="G62" t="str">
            <v>BRIA BEAUTY</v>
          </cell>
          <cell r="H62" t="str">
            <v>PERFUMARIA</v>
          </cell>
          <cell r="I62" t="str">
            <v>BODY SPLASH</v>
          </cell>
          <cell r="J62" t="str">
            <v>LÍQUIDO</v>
          </cell>
          <cell r="L62">
            <v>843.58780095852239</v>
          </cell>
        </row>
        <row r="63">
          <cell r="B63" t="str">
            <v>BBSJBS02-2</v>
          </cell>
          <cell r="C63" t="str">
            <v>BODY SPLASH SOL TROPICAL 86 120ml</v>
          </cell>
          <cell r="E63">
            <v>120</v>
          </cell>
          <cell r="F63" t="str">
            <v>ml</v>
          </cell>
          <cell r="G63" t="str">
            <v>BRIA BEAUTY</v>
          </cell>
          <cell r="H63" t="str">
            <v>PERFUMARIA</v>
          </cell>
          <cell r="I63" t="str">
            <v>BODY SPLASH</v>
          </cell>
          <cell r="J63" t="str">
            <v>LÍQUIDO</v>
          </cell>
          <cell r="L63">
            <v>843.58780095852239</v>
          </cell>
        </row>
        <row r="64">
          <cell r="B64" t="str">
            <v>BBSJBS03</v>
          </cell>
          <cell r="C64" t="str">
            <v>BODY SPLASH LUNAR 200ml</v>
          </cell>
          <cell r="E64">
            <v>200</v>
          </cell>
          <cell r="F64" t="str">
            <v>ml</v>
          </cell>
          <cell r="G64" t="str">
            <v>BRIA BEAUTY</v>
          </cell>
          <cell r="H64" t="str">
            <v>PERFUMARIA</v>
          </cell>
          <cell r="I64" t="str">
            <v>BODY SPLASH</v>
          </cell>
          <cell r="J64" t="str">
            <v>LÍQUIDO</v>
          </cell>
          <cell r="L64">
            <v>843.58780095852239</v>
          </cell>
        </row>
        <row r="65">
          <cell r="B65" t="str">
            <v>BBSJBS03-2</v>
          </cell>
          <cell r="C65" t="str">
            <v>BODY SPLASH LUNAR 120ml</v>
          </cell>
          <cell r="E65">
            <v>120</v>
          </cell>
          <cell r="F65" t="str">
            <v>ml</v>
          </cell>
          <cell r="G65" t="str">
            <v>BRIA BEAUTY</v>
          </cell>
          <cell r="H65" t="str">
            <v>PERFUMARIA</v>
          </cell>
          <cell r="I65" t="str">
            <v>BODY SPLASH</v>
          </cell>
          <cell r="J65" t="str">
            <v>LÍQUIDO</v>
          </cell>
          <cell r="L65">
            <v>843.58780095852239</v>
          </cell>
        </row>
        <row r="66">
          <cell r="B66" t="str">
            <v>BBSJBS04-2</v>
          </cell>
          <cell r="C66" t="str">
            <v>BODY SPLASH SOL TROPICAL 58 120ml</v>
          </cell>
          <cell r="E66">
            <v>120</v>
          </cell>
          <cell r="F66" t="str">
            <v>ml</v>
          </cell>
          <cell r="G66" t="str">
            <v>BRIA BEAUTY</v>
          </cell>
          <cell r="H66" t="str">
            <v>PERFUMARIA</v>
          </cell>
          <cell r="I66" t="str">
            <v>BODY SPLASH</v>
          </cell>
          <cell r="J66" t="str">
            <v>LÍQUIDO</v>
          </cell>
          <cell r="L66">
            <v>843.58780095852239</v>
          </cell>
        </row>
        <row r="67">
          <cell r="B67" t="str">
            <v>BBSJBS05-2</v>
          </cell>
          <cell r="C67" t="str">
            <v>BODY SPLASH ZAHRA 120ml</v>
          </cell>
          <cell r="E67">
            <v>120</v>
          </cell>
          <cell r="F67" t="str">
            <v>ml</v>
          </cell>
          <cell r="G67" t="str">
            <v>BRIA BEAUTY</v>
          </cell>
          <cell r="H67" t="str">
            <v>PERFUMARIA</v>
          </cell>
          <cell r="I67" t="str">
            <v>BODY SPLASH</v>
          </cell>
          <cell r="J67" t="str">
            <v>LÍQUIDO</v>
          </cell>
          <cell r="L67">
            <v>843.58780095852239</v>
          </cell>
        </row>
        <row r="68">
          <cell r="B68" t="str">
            <v>BBSJPF01</v>
          </cell>
          <cell r="C68" t="str">
            <v>PERFUME CAPILAR SOL TROPICAL 61</v>
          </cell>
          <cell r="E68">
            <v>60</v>
          </cell>
          <cell r="F68" t="str">
            <v>ml</v>
          </cell>
          <cell r="G68" t="str">
            <v>BRIA BEAUTY</v>
          </cell>
          <cell r="H68" t="str">
            <v>PERFUMARIA</v>
          </cell>
          <cell r="I68" t="str">
            <v>PERFUME CAPILAR</v>
          </cell>
          <cell r="J68" t="str">
            <v>LÍQUIDO ESPESSO</v>
          </cell>
          <cell r="L68">
            <v>674.69639400444999</v>
          </cell>
        </row>
        <row r="69">
          <cell r="B69" t="str">
            <v>BBSJPF02</v>
          </cell>
          <cell r="C69" t="str">
            <v>PERFUME CAPILAR SOL TROPICAL 86</v>
          </cell>
          <cell r="E69">
            <v>60</v>
          </cell>
          <cell r="F69" t="str">
            <v>ml</v>
          </cell>
          <cell r="G69" t="str">
            <v>BRIA BEAUTY</v>
          </cell>
          <cell r="H69" t="str">
            <v>PERFUMARIA</v>
          </cell>
          <cell r="I69" t="str">
            <v>PERFUME CAPILAR</v>
          </cell>
          <cell r="J69" t="str">
            <v>LÍQUIDO ESPESSO</v>
          </cell>
          <cell r="L69">
            <v>674.69639400444999</v>
          </cell>
        </row>
        <row r="70">
          <cell r="B70" t="str">
            <v>BBSJPF03</v>
          </cell>
          <cell r="C70" t="str">
            <v>PERFUME CAPILAR LUNAR</v>
          </cell>
          <cell r="E70">
            <v>60</v>
          </cell>
          <cell r="F70" t="str">
            <v>ml</v>
          </cell>
          <cell r="G70" t="str">
            <v>BRIA BEAUTY</v>
          </cell>
          <cell r="H70" t="str">
            <v>PERFUMARIA</v>
          </cell>
          <cell r="I70" t="str">
            <v>PERFUME CAPILAR</v>
          </cell>
          <cell r="J70" t="str">
            <v>LÍQUIDO ESPESSO</v>
          </cell>
          <cell r="L70">
            <v>674.69639400444999</v>
          </cell>
        </row>
        <row r="71">
          <cell r="B71" t="str">
            <v>BFBBBS01</v>
          </cell>
          <cell r="C71" t="str">
            <v>BODY SPLASH BIO BALM EUPHORIA PINK</v>
          </cell>
          <cell r="E71">
            <v>200</v>
          </cell>
          <cell r="F71" t="str">
            <v>ml</v>
          </cell>
          <cell r="G71" t="str">
            <v>BIOFLORA</v>
          </cell>
          <cell r="H71" t="str">
            <v>PERFUMARIA</v>
          </cell>
          <cell r="I71" t="str">
            <v>BODY SPLASH</v>
          </cell>
          <cell r="J71" t="str">
            <v>LÍQUIDO</v>
          </cell>
          <cell r="L71">
            <v>843.58780095852239</v>
          </cell>
        </row>
        <row r="72">
          <cell r="B72" t="str">
            <v>BFBBBS02</v>
          </cell>
          <cell r="C72" t="str">
            <v>BODY SPLASH BIO BALM INFINITY ROUGE</v>
          </cell>
          <cell r="E72">
            <v>200</v>
          </cell>
          <cell r="F72" t="str">
            <v>ml</v>
          </cell>
          <cell r="G72" t="str">
            <v>BIOFLORA</v>
          </cell>
          <cell r="H72" t="str">
            <v>PERFUMARIA</v>
          </cell>
          <cell r="I72" t="str">
            <v>BODY SPLASH</v>
          </cell>
          <cell r="J72" t="str">
            <v>LÍQUIDO</v>
          </cell>
          <cell r="L72">
            <v>843.58780095852239</v>
          </cell>
        </row>
        <row r="73">
          <cell r="B73" t="str">
            <v>BFBBBS03</v>
          </cell>
          <cell r="C73" t="str">
            <v>BODY SPLASH BIO BALM ROSÉ ABSOLUT</v>
          </cell>
          <cell r="E73">
            <v>200</v>
          </cell>
          <cell r="F73" t="str">
            <v>ml</v>
          </cell>
          <cell r="G73" t="str">
            <v>BIOFLORA</v>
          </cell>
          <cell r="H73" t="str">
            <v>PERFUMARIA</v>
          </cell>
          <cell r="I73" t="str">
            <v>BODY SPLASH</v>
          </cell>
          <cell r="J73" t="str">
            <v>LÍQUIDO</v>
          </cell>
          <cell r="L73">
            <v>843.58780095852239</v>
          </cell>
        </row>
        <row r="74">
          <cell r="B74" t="str">
            <v>BFBBBS04</v>
          </cell>
          <cell r="C74" t="str">
            <v>BODY SPLASH BIO BALM SKINLIGHT</v>
          </cell>
          <cell r="E74">
            <v>200</v>
          </cell>
          <cell r="F74" t="str">
            <v>ml</v>
          </cell>
          <cell r="G74" t="str">
            <v>BIOFLORA</v>
          </cell>
          <cell r="H74" t="str">
            <v>PERFUMARIA</v>
          </cell>
          <cell r="I74" t="str">
            <v>BODY SPLASH</v>
          </cell>
          <cell r="J74" t="str">
            <v>LÍQUIDO</v>
          </cell>
          <cell r="L74">
            <v>843.58780095852239</v>
          </cell>
        </row>
        <row r="75">
          <cell r="B75" t="str">
            <v>BFBBBS05</v>
          </cell>
          <cell r="C75" t="str">
            <v>BODY SPLASH BIO BALM SUNRISE MUSE</v>
          </cell>
          <cell r="E75">
            <v>200</v>
          </cell>
          <cell r="F75" t="str">
            <v>ml</v>
          </cell>
          <cell r="G75" t="str">
            <v>BIOFLORA</v>
          </cell>
          <cell r="H75" t="str">
            <v>PERFUMARIA</v>
          </cell>
          <cell r="I75" t="str">
            <v>BODY SPLASH</v>
          </cell>
          <cell r="J75" t="str">
            <v>LÍQUIDO</v>
          </cell>
          <cell r="L75">
            <v>843.58780095852239</v>
          </cell>
        </row>
        <row r="76">
          <cell r="B76" t="str">
            <v>BFBBBS06</v>
          </cell>
          <cell r="C76" t="str">
            <v>BODY SPLASH BIO BALM V DREAM</v>
          </cell>
          <cell r="E76">
            <v>200</v>
          </cell>
          <cell r="F76" t="str">
            <v>ml</v>
          </cell>
          <cell r="G76" t="str">
            <v>BIOFLORA</v>
          </cell>
          <cell r="H76" t="str">
            <v>PERFUMARIA</v>
          </cell>
          <cell r="I76" t="str">
            <v>BODY SPLASH</v>
          </cell>
          <cell r="J76" t="str">
            <v>LÍQUIDO</v>
          </cell>
          <cell r="L76">
            <v>843.58780095852239</v>
          </cell>
        </row>
        <row r="77">
          <cell r="B77" t="str">
            <v>BMKDBR01</v>
          </cell>
          <cell r="C77" t="str">
            <v>BRUMA KIDS AMARELA</v>
          </cell>
          <cell r="E77">
            <v>30</v>
          </cell>
          <cell r="F77" t="str">
            <v>ml</v>
          </cell>
          <cell r="G77" t="str">
            <v>BE MAGIC</v>
          </cell>
          <cell r="H77" t="str">
            <v>CORPORAL</v>
          </cell>
          <cell r="I77" t="str">
            <v>BRUMA</v>
          </cell>
          <cell r="J77" t="str">
            <v>LÍQUIDO</v>
          </cell>
          <cell r="L77">
            <v>699.29256292632215</v>
          </cell>
        </row>
        <row r="78">
          <cell r="B78" t="str">
            <v>BMKDBR02</v>
          </cell>
          <cell r="C78" t="str">
            <v>BRUMA KIDS ROSA</v>
          </cell>
          <cell r="E78">
            <v>30</v>
          </cell>
          <cell r="F78" t="str">
            <v>ml</v>
          </cell>
          <cell r="G78" t="str">
            <v>BE MAGIC</v>
          </cell>
          <cell r="H78" t="str">
            <v>CORPORAL</v>
          </cell>
          <cell r="I78" t="str">
            <v>BRUMA</v>
          </cell>
          <cell r="J78" t="str">
            <v>LÍQUIDO</v>
          </cell>
          <cell r="L78">
            <v>699.29256292632215</v>
          </cell>
        </row>
        <row r="79">
          <cell r="B79" t="str">
            <v>BMKDBR03</v>
          </cell>
          <cell r="C79" t="str">
            <v>BRUMA KIDS ROXA</v>
          </cell>
          <cell r="E79">
            <v>30</v>
          </cell>
          <cell r="F79" t="str">
            <v>ml</v>
          </cell>
          <cell r="G79" t="str">
            <v>BE MAGIC</v>
          </cell>
          <cell r="H79" t="str">
            <v>CORPORAL</v>
          </cell>
          <cell r="I79" t="str">
            <v>BRUMA</v>
          </cell>
          <cell r="J79" t="str">
            <v>LÍQUIDO</v>
          </cell>
          <cell r="L79">
            <v>699.29256292632215</v>
          </cell>
        </row>
        <row r="80">
          <cell r="B80" t="str">
            <v>BMKDBR04</v>
          </cell>
          <cell r="C80" t="str">
            <v>BRUMA KIDS VERMELHA</v>
          </cell>
          <cell r="E80">
            <v>30</v>
          </cell>
          <cell r="F80" t="str">
            <v>ml</v>
          </cell>
          <cell r="G80" t="str">
            <v>BE MAGIC</v>
          </cell>
          <cell r="H80" t="str">
            <v>CORPORAL</v>
          </cell>
          <cell r="I80" t="str">
            <v>BRUMA</v>
          </cell>
          <cell r="J80" t="str">
            <v>LÍQUIDO</v>
          </cell>
          <cell r="L80">
            <v>699.29256292632215</v>
          </cell>
        </row>
        <row r="81">
          <cell r="B81" t="str">
            <v>BMKDHD01</v>
          </cell>
          <cell r="C81" t="str">
            <v>CREME HIDRATANTE AMARELO</v>
          </cell>
          <cell r="E81">
            <v>30</v>
          </cell>
          <cell r="F81" t="str">
            <v>ml</v>
          </cell>
          <cell r="G81" t="str">
            <v>BE MAGIC</v>
          </cell>
          <cell r="H81" t="str">
            <v>CORPORAL</v>
          </cell>
          <cell r="I81" t="str">
            <v>CREME HIDRATANTE</v>
          </cell>
          <cell r="J81" t="str">
            <v>CREMOSO</v>
          </cell>
          <cell r="L81">
            <v>613.39886035164977</v>
          </cell>
        </row>
        <row r="82">
          <cell r="B82" t="str">
            <v>BMKDHD02</v>
          </cell>
          <cell r="C82" t="str">
            <v>CREME HIDRATANTE ROSA</v>
          </cell>
          <cell r="E82">
            <v>30</v>
          </cell>
          <cell r="F82" t="str">
            <v>ml</v>
          </cell>
          <cell r="G82" t="str">
            <v>BE MAGIC</v>
          </cell>
          <cell r="H82" t="str">
            <v>CORPORAL</v>
          </cell>
          <cell r="I82" t="str">
            <v>CREME HIDRATANTE</v>
          </cell>
          <cell r="J82" t="str">
            <v>CREMOSO</v>
          </cell>
          <cell r="L82">
            <v>613.39886035164977</v>
          </cell>
        </row>
        <row r="83">
          <cell r="B83" t="str">
            <v>BMKDHD03</v>
          </cell>
          <cell r="C83" t="str">
            <v>CREME HIDRATANTE ROXO</v>
          </cell>
          <cell r="E83">
            <v>30</v>
          </cell>
          <cell r="F83" t="str">
            <v>ml</v>
          </cell>
          <cell r="G83" t="str">
            <v>BE MAGIC</v>
          </cell>
          <cell r="H83" t="str">
            <v>CORPORAL</v>
          </cell>
          <cell r="I83" t="str">
            <v>CREME HIDRATANTE</v>
          </cell>
          <cell r="J83" t="str">
            <v>CREMOSO</v>
          </cell>
          <cell r="L83">
            <v>613.39886035164977</v>
          </cell>
        </row>
        <row r="84">
          <cell r="B84" t="str">
            <v>BMKDHD04</v>
          </cell>
          <cell r="C84" t="str">
            <v>CREME HIDRATANTE VERMELHO</v>
          </cell>
          <cell r="E84">
            <v>30</v>
          </cell>
          <cell r="F84" t="str">
            <v>ml</v>
          </cell>
          <cell r="G84" t="str">
            <v>BE MAGIC</v>
          </cell>
          <cell r="H84" t="str">
            <v>CORPORAL</v>
          </cell>
          <cell r="I84" t="str">
            <v>CREME HIDRATANTE</v>
          </cell>
          <cell r="J84" t="str">
            <v>CREMOSO</v>
          </cell>
          <cell r="L84">
            <v>613.39886035164977</v>
          </cell>
        </row>
        <row r="85">
          <cell r="B85" t="str">
            <v>BMKDPF01</v>
          </cell>
          <cell r="C85" t="str">
            <v>COLÔNIA KIDS AMARELO</v>
          </cell>
          <cell r="E85">
            <v>40</v>
          </cell>
          <cell r="F85" t="str">
            <v>ml</v>
          </cell>
          <cell r="G85" t="str">
            <v>BE MAGIC</v>
          </cell>
          <cell r="H85" t="str">
            <v>PERFUMARIA</v>
          </cell>
          <cell r="I85" t="str">
            <v>COLÔNIA</v>
          </cell>
          <cell r="J85" t="str">
            <v>LÍQUIDO</v>
          </cell>
          <cell r="L85">
            <v>901.21933622008146</v>
          </cell>
        </row>
        <row r="86">
          <cell r="B86" t="str">
            <v>BMKDPF02</v>
          </cell>
          <cell r="C86" t="str">
            <v>COLÔNIA KIDS ROSA</v>
          </cell>
          <cell r="E86">
            <v>40</v>
          </cell>
          <cell r="F86" t="str">
            <v>ml</v>
          </cell>
          <cell r="G86" t="str">
            <v>BE MAGIC</v>
          </cell>
          <cell r="H86" t="str">
            <v>PERFUMARIA</v>
          </cell>
          <cell r="I86" t="str">
            <v>COLÔNIA</v>
          </cell>
          <cell r="J86" t="str">
            <v>LÍQUIDO</v>
          </cell>
          <cell r="L86">
            <v>901.21933622008146</v>
          </cell>
        </row>
        <row r="87">
          <cell r="B87" t="str">
            <v>BMKDPF03</v>
          </cell>
          <cell r="C87" t="str">
            <v>COLÔNIA KIDS ROXO</v>
          </cell>
          <cell r="E87">
            <v>40</v>
          </cell>
          <cell r="F87" t="str">
            <v>ml</v>
          </cell>
          <cell r="G87" t="str">
            <v>BE MAGIC</v>
          </cell>
          <cell r="H87" t="str">
            <v>PERFUMARIA</v>
          </cell>
          <cell r="I87" t="str">
            <v>COLÔNIA</v>
          </cell>
          <cell r="J87" t="str">
            <v>LÍQUIDO</v>
          </cell>
          <cell r="L87">
            <v>901.21933622008146</v>
          </cell>
        </row>
        <row r="88">
          <cell r="B88" t="str">
            <v>BMKDPF04</v>
          </cell>
          <cell r="C88" t="str">
            <v>COLÔNIA KIDS VERMELHO</v>
          </cell>
          <cell r="E88">
            <v>40</v>
          </cell>
          <cell r="F88" t="str">
            <v>ml</v>
          </cell>
          <cell r="G88" t="str">
            <v>BE MAGIC</v>
          </cell>
          <cell r="H88" t="str">
            <v>PERFUMARIA</v>
          </cell>
          <cell r="I88" t="str">
            <v>COLÔNIA</v>
          </cell>
          <cell r="J88" t="str">
            <v>LÍQUIDO</v>
          </cell>
          <cell r="L88">
            <v>901.21933622008146</v>
          </cell>
        </row>
        <row r="89">
          <cell r="B89" t="str">
            <v>CMBS0001</v>
          </cell>
          <cell r="C89" t="str">
            <v>BODY SPLASH CAMIE BEAUTY 120mL</v>
          </cell>
          <cell r="E89">
            <v>120</v>
          </cell>
          <cell r="F89" t="str">
            <v>ml</v>
          </cell>
          <cell r="G89" t="str">
            <v>CAMIE BEAUTY</v>
          </cell>
          <cell r="H89" t="str">
            <v>PERFUMARIA</v>
          </cell>
          <cell r="I89" t="str">
            <v>BODY SPLASH</v>
          </cell>
          <cell r="J89" t="str">
            <v>LÍQUIDO</v>
          </cell>
          <cell r="L89">
            <v>843.58780095852239</v>
          </cell>
        </row>
        <row r="90">
          <cell r="B90" t="str">
            <v>CMGL0001</v>
          </cell>
          <cell r="C90" t="str">
            <v>GLOSS LABIAL CAMIE BEAUTY 4mL</v>
          </cell>
          <cell r="E90">
            <v>4</v>
          </cell>
          <cell r="F90" t="str">
            <v>ml</v>
          </cell>
          <cell r="G90" t="str">
            <v>CAMIE BEAUTY</v>
          </cell>
          <cell r="H90" t="str">
            <v>MAQUIAGEM</v>
          </cell>
          <cell r="I90" t="str">
            <v>LABIAL</v>
          </cell>
          <cell r="J90" t="str">
            <v>VISCOSO</v>
          </cell>
          <cell r="L90">
            <v>115.98675496465188</v>
          </cell>
        </row>
        <row r="91">
          <cell r="B91" t="str">
            <v>CMOC0001</v>
          </cell>
          <cell r="C91" t="str">
            <v>OLEO CAPILAR CAMIE BEAUTY 60mL</v>
          </cell>
          <cell r="E91">
            <v>60</v>
          </cell>
          <cell r="F91" t="str">
            <v>ml</v>
          </cell>
          <cell r="G91" t="str">
            <v>CAMIE BEAUTY</v>
          </cell>
          <cell r="H91" t="str">
            <v>CAPILAR</v>
          </cell>
          <cell r="I91" t="str">
            <v>OLEO CAPILAR</v>
          </cell>
          <cell r="J91" t="str">
            <v>VISCOSO</v>
          </cell>
          <cell r="L91">
            <v>609.77777776200276</v>
          </cell>
        </row>
        <row r="92">
          <cell r="B92" t="str">
            <v>CRPMCR01</v>
          </cell>
          <cell r="C92" t="str">
            <v>POMADA CURADERM</v>
          </cell>
          <cell r="E92">
            <v>30</v>
          </cell>
          <cell r="F92" t="str">
            <v>ml</v>
          </cell>
          <cell r="G92" t="str">
            <v>CURADERM</v>
          </cell>
          <cell r="H92" t="str">
            <v>CORPORAL</v>
          </cell>
          <cell r="I92" t="str">
            <v>POMADA</v>
          </cell>
          <cell r="J92" t="str">
            <v>DENSO</v>
          </cell>
          <cell r="L92">
            <v>739.66666668101811</v>
          </cell>
        </row>
        <row r="93">
          <cell r="B93" t="str">
            <v>DPGLBS01</v>
          </cell>
          <cell r="C93" t="str">
            <v>BODY SPLASH GLOW PAIXÃO IRRESISTÍVEL</v>
          </cell>
          <cell r="E93">
            <v>120</v>
          </cell>
          <cell r="F93" t="str">
            <v>ml</v>
          </cell>
          <cell r="G93" t="str">
            <v>DAPOP</v>
          </cell>
          <cell r="H93" t="str">
            <v>PERFUMARIA</v>
          </cell>
          <cell r="I93" t="str">
            <v>BODY SPLASH</v>
          </cell>
          <cell r="J93" t="str">
            <v>LÍQUIDO ESPESSO</v>
          </cell>
          <cell r="L93">
            <v>888.79597492569974</v>
          </cell>
        </row>
        <row r="94">
          <cell r="B94" t="str">
            <v>DPGLBS02</v>
          </cell>
          <cell r="C94" t="str">
            <v>BODY SPLASH GLOW TAÇA DE CHAMPAGNE</v>
          </cell>
          <cell r="E94">
            <v>120</v>
          </cell>
          <cell r="F94" t="str">
            <v>ml</v>
          </cell>
          <cell r="G94" t="str">
            <v>DAPOP</v>
          </cell>
          <cell r="H94" t="str">
            <v>PERFUMARIA</v>
          </cell>
          <cell r="I94" t="str">
            <v>BODY SPLASH</v>
          </cell>
          <cell r="J94" t="str">
            <v>LÍQUIDO ESPESSO</v>
          </cell>
          <cell r="L94">
            <v>888.79597492569974</v>
          </cell>
        </row>
        <row r="95">
          <cell r="B95" t="str">
            <v>DPGLBS03</v>
          </cell>
          <cell r="C95" t="str">
            <v>BODY SPLASH GLOW NOITE DE GLAMOUR</v>
          </cell>
          <cell r="E95">
            <v>120</v>
          </cell>
          <cell r="F95" t="str">
            <v>ml</v>
          </cell>
          <cell r="G95" t="str">
            <v>DAPOP</v>
          </cell>
          <cell r="H95" t="str">
            <v>PERFUMARIA</v>
          </cell>
          <cell r="I95" t="str">
            <v>BODY SPLASH</v>
          </cell>
          <cell r="J95" t="str">
            <v>LÍQUIDO ESPESSO</v>
          </cell>
          <cell r="L95">
            <v>888.79597492569974</v>
          </cell>
        </row>
        <row r="96">
          <cell r="B96" t="str">
            <v>DPGLES01</v>
          </cell>
          <cell r="C96" t="str">
            <v>ESFOLIANTE GLOW PAIXÃO IRRESISTIVEL</v>
          </cell>
          <cell r="E96">
            <v>150</v>
          </cell>
          <cell r="F96" t="str">
            <v>g</v>
          </cell>
          <cell r="G96" t="str">
            <v>DAPOP</v>
          </cell>
          <cell r="H96" t="str">
            <v>CORPORAL</v>
          </cell>
          <cell r="I96" t="str">
            <v>ESFOLIANTE</v>
          </cell>
          <cell r="J96" t="str">
            <v>VISCOSO</v>
          </cell>
          <cell r="L96">
            <v>721.11737989561891</v>
          </cell>
        </row>
        <row r="97">
          <cell r="B97" t="str">
            <v>DPGLES02</v>
          </cell>
          <cell r="C97" t="str">
            <v>ESFOLIANTE GLOW TAÇA DE CHAMPAGNE</v>
          </cell>
          <cell r="E97">
            <v>150</v>
          </cell>
          <cell r="F97" t="str">
            <v>g</v>
          </cell>
          <cell r="G97" t="str">
            <v>DAPOP</v>
          </cell>
          <cell r="H97" t="str">
            <v>CORPORAL</v>
          </cell>
          <cell r="I97" t="str">
            <v>ESFOLIANTE</v>
          </cell>
          <cell r="J97" t="str">
            <v>VISCOSO</v>
          </cell>
          <cell r="L97">
            <v>721.11737989561891</v>
          </cell>
        </row>
        <row r="98">
          <cell r="B98" t="str">
            <v>DPGLES03</v>
          </cell>
          <cell r="C98" t="str">
            <v>ESFOLIANTE GLOW NOITE DE GLAMOUR</v>
          </cell>
          <cell r="E98">
            <v>150</v>
          </cell>
          <cell r="F98" t="str">
            <v>g</v>
          </cell>
          <cell r="G98" t="str">
            <v>DAPOP</v>
          </cell>
          <cell r="H98" t="str">
            <v>CORPORAL</v>
          </cell>
          <cell r="I98" t="str">
            <v>ESFOLIANTE</v>
          </cell>
          <cell r="J98" t="str">
            <v>VISCOSO</v>
          </cell>
          <cell r="L98">
            <v>721.11737989561891</v>
          </cell>
        </row>
        <row r="99">
          <cell r="B99" t="str">
            <v>DPGLHD01</v>
          </cell>
          <cell r="C99" t="str">
            <v>HIDRATANTE GLOW PAIXÃO IRRESISTÍVEL</v>
          </cell>
          <cell r="E99">
            <v>120</v>
          </cell>
          <cell r="F99" t="str">
            <v>ml</v>
          </cell>
          <cell r="G99" t="str">
            <v>DAPOP</v>
          </cell>
          <cell r="H99" t="str">
            <v>CORPORAL</v>
          </cell>
          <cell r="I99" t="str">
            <v>CREME HIDRATANTE</v>
          </cell>
          <cell r="J99" t="str">
            <v>CREMOSO</v>
          </cell>
          <cell r="L99">
            <v>613.39886035164977</v>
          </cell>
        </row>
        <row r="100">
          <cell r="B100" t="str">
            <v>DPGLHD02</v>
          </cell>
          <cell r="C100" t="str">
            <v>HIDRATANTE GLOW TAÇA DE CHAMPAGNE</v>
          </cell>
          <cell r="E100">
            <v>120</v>
          </cell>
          <cell r="F100" t="str">
            <v>ml</v>
          </cell>
          <cell r="G100" t="str">
            <v>DAPOP</v>
          </cell>
          <cell r="H100" t="str">
            <v>CORPORAL</v>
          </cell>
          <cell r="I100" t="str">
            <v>CREME HIDRATANTE</v>
          </cell>
          <cell r="J100" t="str">
            <v>CREMOSO</v>
          </cell>
          <cell r="L100">
            <v>613.39886035164977</v>
          </cell>
        </row>
        <row r="101">
          <cell r="B101" t="str">
            <v>DPGLHD03</v>
          </cell>
          <cell r="C101" t="str">
            <v>HIDRATANTE GLOW NOITE DE GLAMOUR</v>
          </cell>
          <cell r="E101">
            <v>120</v>
          </cell>
          <cell r="F101" t="str">
            <v>ml</v>
          </cell>
          <cell r="G101" t="str">
            <v>DAPOP</v>
          </cell>
          <cell r="H101" t="str">
            <v>CORPORAL</v>
          </cell>
          <cell r="I101" t="str">
            <v>CREME HIDRATANTE</v>
          </cell>
          <cell r="J101" t="str">
            <v>CREMOSO</v>
          </cell>
          <cell r="L101">
            <v>613.39886035164977</v>
          </cell>
        </row>
        <row r="102">
          <cell r="B102" t="str">
            <v>DPHNBS01</v>
          </cell>
          <cell r="C102" t="str">
            <v>BODY SPLASH DAPOP HONEY BLOOM</v>
          </cell>
          <cell r="E102">
            <v>120</v>
          </cell>
          <cell r="F102" t="str">
            <v>ml</v>
          </cell>
          <cell r="G102" t="str">
            <v>DAPOP</v>
          </cell>
          <cell r="H102" t="str">
            <v>PERFUMARIA</v>
          </cell>
          <cell r="I102" t="str">
            <v>BODY SPLASH</v>
          </cell>
          <cell r="J102" t="str">
            <v>LÍQUIDO</v>
          </cell>
          <cell r="L102">
            <v>843.58780095852239</v>
          </cell>
        </row>
        <row r="103">
          <cell r="B103" t="str">
            <v>DPHNBS02</v>
          </cell>
          <cell r="C103" t="str">
            <v>BODY SPLASH DAPOP HONEY GLOW</v>
          </cell>
          <cell r="E103">
            <v>120</v>
          </cell>
          <cell r="F103" t="str">
            <v>ml</v>
          </cell>
          <cell r="G103" t="str">
            <v>DAPOP</v>
          </cell>
          <cell r="H103" t="str">
            <v>PERFUMARIA</v>
          </cell>
          <cell r="I103" t="str">
            <v>BODY SPLASH</v>
          </cell>
          <cell r="J103" t="str">
            <v>LÍQUIDO ESPESSO</v>
          </cell>
          <cell r="L103">
            <v>888.79597492569974</v>
          </cell>
        </row>
        <row r="104">
          <cell r="B104" t="str">
            <v>DPHNPC01</v>
          </cell>
          <cell r="C104" t="str">
            <v>PERFUME CAPILAR HONEY</v>
          </cell>
          <cell r="E104">
            <v>60</v>
          </cell>
          <cell r="F104" t="str">
            <v>ml</v>
          </cell>
          <cell r="G104" t="str">
            <v>DAPOP</v>
          </cell>
          <cell r="H104" t="str">
            <v>PERFUMARIA</v>
          </cell>
          <cell r="I104" t="str">
            <v>PERFUME CAPILAR</v>
          </cell>
          <cell r="J104" t="str">
            <v>LÍQUIDO ESPESSO</v>
          </cell>
          <cell r="L104">
            <v>674.69639400444999</v>
          </cell>
        </row>
        <row r="105">
          <cell r="B105" t="str">
            <v>DPHNSR01</v>
          </cell>
          <cell r="C105" t="str">
            <v>SÉRUM FACIAL HONEY</v>
          </cell>
          <cell r="E105">
            <v>60</v>
          </cell>
          <cell r="F105" t="str">
            <v>ml</v>
          </cell>
          <cell r="G105" t="str">
            <v>DAPOP</v>
          </cell>
          <cell r="H105" t="str">
            <v>FACIAL</v>
          </cell>
          <cell r="I105" t="str">
            <v>SÉRUM</v>
          </cell>
          <cell r="J105" t="str">
            <v>VISCOSO</v>
          </cell>
          <cell r="L105">
            <v>0</v>
          </cell>
        </row>
        <row r="106">
          <cell r="B106" t="str">
            <v>DPMTBS01</v>
          </cell>
          <cell r="C106" t="str">
            <v>BODY SPLASH MATTE DOCE SEDUÇÃO</v>
          </cell>
          <cell r="E106">
            <v>120</v>
          </cell>
          <cell r="F106" t="str">
            <v>ml</v>
          </cell>
          <cell r="G106" t="str">
            <v>DAPOP</v>
          </cell>
          <cell r="H106" t="str">
            <v>PERFUMARIA</v>
          </cell>
          <cell r="I106" t="str">
            <v>BODY SPLASH</v>
          </cell>
          <cell r="J106" t="str">
            <v>LÍQUIDO</v>
          </cell>
          <cell r="L106">
            <v>843.58780095852239</v>
          </cell>
        </row>
        <row r="107">
          <cell r="B107" t="str">
            <v>DPMTBS02</v>
          </cell>
          <cell r="C107" t="str">
            <v>BODY SPLASH MATTE SORVETE DE BAUNILHA</v>
          </cell>
          <cell r="E107">
            <v>120</v>
          </cell>
          <cell r="F107" t="str">
            <v>ml</v>
          </cell>
          <cell r="G107" t="str">
            <v>DAPOP</v>
          </cell>
          <cell r="H107" t="str">
            <v>PERFUMARIA</v>
          </cell>
          <cell r="I107" t="str">
            <v>BODY SPLASH</v>
          </cell>
          <cell r="J107" t="str">
            <v>LÍQUIDO</v>
          </cell>
          <cell r="L107">
            <v>843.58780095852239</v>
          </cell>
        </row>
        <row r="108">
          <cell r="B108" t="str">
            <v>DPMTBS03</v>
          </cell>
          <cell r="C108" t="str">
            <v>BODY SPLASH MATTE OITAVA MARAVILHA</v>
          </cell>
          <cell r="E108">
            <v>120</v>
          </cell>
          <cell r="F108" t="str">
            <v>ml</v>
          </cell>
          <cell r="G108" t="str">
            <v>DAPOP</v>
          </cell>
          <cell r="H108" t="str">
            <v>PERFUMARIA</v>
          </cell>
          <cell r="I108" t="str">
            <v>BODY SPLASH</v>
          </cell>
          <cell r="J108" t="str">
            <v>LÍQUIDO</v>
          </cell>
          <cell r="L108">
            <v>843.58780095852239</v>
          </cell>
        </row>
        <row r="109">
          <cell r="B109" t="str">
            <v>DPMTES01</v>
          </cell>
          <cell r="C109" t="str">
            <v>ESFOLIANTE MATTE DOCE SEDUÇÃO</v>
          </cell>
          <cell r="E109">
            <v>150</v>
          </cell>
          <cell r="F109" t="str">
            <v>g</v>
          </cell>
          <cell r="G109" t="str">
            <v>DAPOP</v>
          </cell>
          <cell r="H109" t="str">
            <v>CORPORAL</v>
          </cell>
          <cell r="I109" t="str">
            <v>ESFOLIANTE</v>
          </cell>
          <cell r="J109" t="str">
            <v>VISCOSO</v>
          </cell>
          <cell r="L109">
            <v>721.11737989561891</v>
          </cell>
        </row>
        <row r="110">
          <cell r="B110" t="str">
            <v>DPMTES02</v>
          </cell>
          <cell r="C110" t="str">
            <v>ESFOLIANTE MATTE SORVETE DE  BAUNILHA</v>
          </cell>
          <cell r="E110">
            <v>150</v>
          </cell>
          <cell r="F110" t="str">
            <v>g</v>
          </cell>
          <cell r="G110" t="str">
            <v>DAPOP</v>
          </cell>
          <cell r="H110" t="str">
            <v>CORPORAL</v>
          </cell>
          <cell r="I110" t="str">
            <v>ESFOLIANTE</v>
          </cell>
          <cell r="J110" t="str">
            <v>VISCOSO</v>
          </cell>
          <cell r="L110">
            <v>721.11737989561891</v>
          </cell>
        </row>
        <row r="111">
          <cell r="B111" t="str">
            <v>DPMTES03</v>
          </cell>
          <cell r="C111" t="str">
            <v>ESFOLIANTE MATTE OITAVA MARAVILHA</v>
          </cell>
          <cell r="E111">
            <v>150</v>
          </cell>
          <cell r="F111" t="str">
            <v>g</v>
          </cell>
          <cell r="G111" t="str">
            <v>DAPOP</v>
          </cell>
          <cell r="H111" t="str">
            <v>CORPORAL</v>
          </cell>
          <cell r="I111" t="str">
            <v>ESFOLIANTE</v>
          </cell>
          <cell r="J111" t="str">
            <v>VISCOSO</v>
          </cell>
          <cell r="L111">
            <v>721.11737989561891</v>
          </cell>
        </row>
        <row r="112">
          <cell r="B112" t="str">
            <v>DPMTHD01</v>
          </cell>
          <cell r="C112" t="str">
            <v>HIDRATANTE MATTE DOCE SEDUÇÃO</v>
          </cell>
          <cell r="E112">
            <v>120</v>
          </cell>
          <cell r="F112" t="str">
            <v>ml</v>
          </cell>
          <cell r="G112" t="str">
            <v>DAPOP</v>
          </cell>
          <cell r="H112" t="str">
            <v>CORPORAL</v>
          </cell>
          <cell r="I112" t="str">
            <v>CREME HIDRATANTE</v>
          </cell>
          <cell r="J112" t="str">
            <v>CREMOSO</v>
          </cell>
          <cell r="L112">
            <v>613.39886035164977</v>
          </cell>
        </row>
        <row r="113">
          <cell r="B113" t="str">
            <v>DPMTHD02</v>
          </cell>
          <cell r="C113" t="str">
            <v>HIDRATANTE MATTE SORVETE DE BAUNILHA</v>
          </cell>
          <cell r="E113">
            <v>120</v>
          </cell>
          <cell r="F113" t="str">
            <v>ml</v>
          </cell>
          <cell r="G113" t="str">
            <v>DAPOP</v>
          </cell>
          <cell r="H113" t="str">
            <v>CORPORAL</v>
          </cell>
          <cell r="I113" t="str">
            <v>CREME HIDRATANTE</v>
          </cell>
          <cell r="J113" t="str">
            <v>CREMOSO</v>
          </cell>
          <cell r="L113">
            <v>613.39886035164977</v>
          </cell>
        </row>
        <row r="114">
          <cell r="B114" t="str">
            <v>DPMTHD03</v>
          </cell>
          <cell r="C114" t="str">
            <v>HIDRATANTE MATTE OITAVA MARAVILHA</v>
          </cell>
          <cell r="E114">
            <v>120</v>
          </cell>
          <cell r="F114" t="str">
            <v>ml</v>
          </cell>
          <cell r="G114" t="str">
            <v>DAPOP</v>
          </cell>
          <cell r="H114" t="str">
            <v>CORPORAL</v>
          </cell>
          <cell r="I114" t="str">
            <v>CREME HIDRATANTE</v>
          </cell>
          <cell r="J114" t="str">
            <v>CREMOSO</v>
          </cell>
          <cell r="L114">
            <v>613.39886035164977</v>
          </cell>
        </row>
        <row r="115">
          <cell r="B115" t="str">
            <v>DPSWHD01</v>
          </cell>
          <cell r="C115" t="str">
            <v>GEL CREME BEIJAVEL HIDRATANTE 2X1</v>
          </cell>
          <cell r="E115">
            <v>120</v>
          </cell>
          <cell r="F115" t="str">
            <v>ml</v>
          </cell>
          <cell r="G115" t="str">
            <v>DAPOP</v>
          </cell>
          <cell r="H115" t="str">
            <v>CORPORAL</v>
          </cell>
          <cell r="I115" t="str">
            <v>GEL CREME HIDRATANTE</v>
          </cell>
          <cell r="J115" t="str">
            <v>CREMOSO</v>
          </cell>
          <cell r="L115">
            <v>525.69944893312152</v>
          </cell>
        </row>
        <row r="116">
          <cell r="B116" t="str">
            <v>DPSWHD02</v>
          </cell>
          <cell r="C116" t="str">
            <v>GELÉIA CORPORAL GEL / CREME</v>
          </cell>
          <cell r="E116">
            <v>150</v>
          </cell>
          <cell r="F116" t="str">
            <v>g</v>
          </cell>
          <cell r="G116" t="str">
            <v>DAPOP</v>
          </cell>
          <cell r="H116" t="str">
            <v>CORPORAL</v>
          </cell>
          <cell r="I116" t="str">
            <v>GEL CREME HIDRATANTE</v>
          </cell>
          <cell r="J116" t="str">
            <v>CREMOSO</v>
          </cell>
          <cell r="L116">
            <v>525.69944893312152</v>
          </cell>
        </row>
        <row r="117">
          <cell r="B117" t="str">
            <v>DYPFPF01</v>
          </cell>
          <cell r="C117" t="str">
            <v>PERFUME DALINA</v>
          </cell>
          <cell r="E117">
            <v>57</v>
          </cell>
          <cell r="F117" t="str">
            <v>ml</v>
          </cell>
          <cell r="G117" t="str">
            <v>DYNASTY</v>
          </cell>
          <cell r="H117" t="str">
            <v>PERFUMARIA</v>
          </cell>
          <cell r="I117" t="str">
            <v>PERFUME</v>
          </cell>
          <cell r="J117" t="str">
            <v>LÍQUIDO</v>
          </cell>
          <cell r="L117">
            <v>175.26407181919058</v>
          </cell>
        </row>
        <row r="118">
          <cell r="B118" t="str">
            <v>DYPFPF02</v>
          </cell>
          <cell r="C118" t="str">
            <v>PERFUME SELVER INTENSE</v>
          </cell>
          <cell r="E118">
            <v>57</v>
          </cell>
          <cell r="F118" t="str">
            <v>ml</v>
          </cell>
          <cell r="G118" t="str">
            <v>DYNASTY</v>
          </cell>
          <cell r="H118" t="str">
            <v>PERFUMARIA</v>
          </cell>
          <cell r="I118" t="str">
            <v>PERFUME</v>
          </cell>
          <cell r="J118" t="str">
            <v>LÍQUIDO</v>
          </cell>
          <cell r="L118">
            <v>175.26407181919058</v>
          </cell>
        </row>
        <row r="119">
          <cell r="B119" t="str">
            <v>DYPFPF03</v>
          </cell>
          <cell r="C119" t="str">
            <v>PERFUME IRON</v>
          </cell>
          <cell r="E119">
            <v>50</v>
          </cell>
          <cell r="F119" t="str">
            <v>ml</v>
          </cell>
          <cell r="G119" t="str">
            <v>DYNASTY</v>
          </cell>
          <cell r="H119" t="str">
            <v>PERFUMARIA</v>
          </cell>
          <cell r="I119" t="str">
            <v>PERFUME</v>
          </cell>
          <cell r="J119" t="str">
            <v>LÍQUIDO</v>
          </cell>
          <cell r="L119">
            <v>175.26407181919058</v>
          </cell>
        </row>
        <row r="120">
          <cell r="B120" t="str">
            <v>DYPFPF04</v>
          </cell>
          <cell r="C120" t="str">
            <v>PERFUME VALENTE</v>
          </cell>
          <cell r="E120">
            <v>57</v>
          </cell>
          <cell r="F120" t="str">
            <v>ml</v>
          </cell>
          <cell r="G120" t="str">
            <v>DYNASTY</v>
          </cell>
          <cell r="H120" t="str">
            <v>PERFUMARIA</v>
          </cell>
          <cell r="I120" t="str">
            <v>PERFUME</v>
          </cell>
          <cell r="J120" t="str">
            <v>LÍQUIDO</v>
          </cell>
          <cell r="L120">
            <v>175.26407181919058</v>
          </cell>
        </row>
        <row r="121">
          <cell r="B121" t="str">
            <v>FBBS0001</v>
          </cell>
          <cell r="C121" t="str">
            <v>BODY SPLASH DOCE DE LEITE 120ML</v>
          </cell>
          <cell r="E121">
            <v>120</v>
          </cell>
          <cell r="F121" t="str">
            <v>ml</v>
          </cell>
          <cell r="G121" t="str">
            <v>FEBELLA BEAUTY</v>
          </cell>
          <cell r="H121" t="str">
            <v>PERFUMARIA</v>
          </cell>
          <cell r="I121" t="str">
            <v>BODY SPLASH</v>
          </cell>
          <cell r="J121" t="str">
            <v>LÍQUIDO</v>
          </cell>
          <cell r="L121">
            <v>843.58780095852239</v>
          </cell>
        </row>
        <row r="122">
          <cell r="B122" t="str">
            <v>FBBS0002</v>
          </cell>
          <cell r="C122" t="str">
            <v>BODY SPLASH SORVETE DE MORANGO 120ML</v>
          </cell>
          <cell r="E122">
            <v>120</v>
          </cell>
          <cell r="F122" t="str">
            <v>ml</v>
          </cell>
          <cell r="G122" t="str">
            <v>FEBELLA BEAUTY</v>
          </cell>
          <cell r="H122" t="str">
            <v>PERFUMARIA</v>
          </cell>
          <cell r="I122" t="str">
            <v>BODY SPLASH</v>
          </cell>
          <cell r="J122" t="str">
            <v>LÍQUIDO</v>
          </cell>
          <cell r="L122">
            <v>843.58780095852239</v>
          </cell>
        </row>
        <row r="123">
          <cell r="B123" t="str">
            <v>FBBS0003</v>
          </cell>
          <cell r="C123" t="str">
            <v>BODY SPLASH AMBER BLOOM 200ML</v>
          </cell>
          <cell r="E123">
            <v>200</v>
          </cell>
          <cell r="F123" t="str">
            <v>ml</v>
          </cell>
          <cell r="G123" t="str">
            <v>FEBELLA BEAUTY</v>
          </cell>
          <cell r="H123" t="str">
            <v>PERFUMARIA</v>
          </cell>
          <cell r="I123" t="str">
            <v>BODY SPLASH</v>
          </cell>
          <cell r="J123" t="str">
            <v>LÍQUIDO</v>
          </cell>
          <cell r="L123">
            <v>843.58780095852239</v>
          </cell>
        </row>
        <row r="124">
          <cell r="B124" t="str">
            <v>FBBS0004</v>
          </cell>
          <cell r="C124" t="str">
            <v>BODY SPLASH OUD NIGHT 200ML</v>
          </cell>
          <cell r="E124">
            <v>200</v>
          </cell>
          <cell r="F124" t="str">
            <v>ml</v>
          </cell>
          <cell r="G124" t="str">
            <v>FEBELLA BEAUTY</v>
          </cell>
          <cell r="H124" t="str">
            <v>PERFUMARIA</v>
          </cell>
          <cell r="I124" t="str">
            <v>BODY SPLASH</v>
          </cell>
          <cell r="J124" t="str">
            <v>LÍQUIDO</v>
          </cell>
          <cell r="L124">
            <v>843.58780095852239</v>
          </cell>
        </row>
        <row r="125">
          <cell r="B125" t="str">
            <v>FBBS0005</v>
          </cell>
          <cell r="C125" t="str">
            <v>BODY SPLASH ROSE MIRAGE 200ML</v>
          </cell>
          <cell r="E125">
            <v>200</v>
          </cell>
          <cell r="F125" t="str">
            <v>ml</v>
          </cell>
          <cell r="G125" t="str">
            <v>FEBELLA BEAUTY</v>
          </cell>
          <cell r="H125" t="str">
            <v>PERFUMARIA</v>
          </cell>
          <cell r="I125" t="str">
            <v>BODY SPLASH</v>
          </cell>
          <cell r="J125" t="str">
            <v>LÍQUIDO</v>
          </cell>
          <cell r="L125">
            <v>843.58780095852239</v>
          </cell>
        </row>
        <row r="126">
          <cell r="B126" t="str">
            <v>FBBS0006</v>
          </cell>
          <cell r="C126" t="str">
            <v>BODY SPLASH ROUGE OUT 200ML</v>
          </cell>
          <cell r="E126">
            <v>200</v>
          </cell>
          <cell r="F126" t="str">
            <v>ml</v>
          </cell>
          <cell r="G126" t="str">
            <v>FEBELLA BEAUTY</v>
          </cell>
          <cell r="H126" t="str">
            <v>PERFUMARIA</v>
          </cell>
          <cell r="I126" t="str">
            <v>BODY SPLASH</v>
          </cell>
          <cell r="J126" t="str">
            <v>LÍQUIDO</v>
          </cell>
          <cell r="L126">
            <v>843.58780095852239</v>
          </cell>
        </row>
        <row r="127">
          <cell r="B127" t="str">
            <v>FBHD0001</v>
          </cell>
          <cell r="C127" t="str">
            <v>HIDRATANTE DOCE DE LEITE 120ML</v>
          </cell>
          <cell r="E127">
            <v>120</v>
          </cell>
          <cell r="F127" t="str">
            <v>ml</v>
          </cell>
          <cell r="G127" t="str">
            <v>FEBELLA BEAUTY</v>
          </cell>
          <cell r="H127" t="str">
            <v>CORPORAL</v>
          </cell>
          <cell r="I127" t="str">
            <v>CREME HIDRATANTE</v>
          </cell>
          <cell r="J127" t="str">
            <v>CREMOSO</v>
          </cell>
          <cell r="L127">
            <v>613.39886035164977</v>
          </cell>
        </row>
        <row r="128">
          <cell r="B128" t="str">
            <v>FBHD0002</v>
          </cell>
          <cell r="C128" t="str">
            <v>HIDRATANTE SORVETE DE MORANGO 120ML</v>
          </cell>
          <cell r="E128">
            <v>120</v>
          </cell>
          <cell r="F128" t="str">
            <v>ml</v>
          </cell>
          <cell r="G128" t="str">
            <v>FEBELLA BEAUTY</v>
          </cell>
          <cell r="H128" t="str">
            <v>CORPORAL</v>
          </cell>
          <cell r="I128" t="str">
            <v>CREME HIDRATANTE</v>
          </cell>
          <cell r="J128" t="str">
            <v>CREMOSO</v>
          </cell>
          <cell r="L128">
            <v>613.39886035164977</v>
          </cell>
        </row>
        <row r="129">
          <cell r="B129" t="str">
            <v>FBMF0001</v>
          </cell>
          <cell r="C129" t="str">
            <v>MOUSSE FACIAL DOCE DE LEITE 150ML</v>
          </cell>
          <cell r="E129">
            <v>150</v>
          </cell>
          <cell r="F129" t="str">
            <v>ml</v>
          </cell>
          <cell r="G129" t="str">
            <v>FEBELLA BEAUTY</v>
          </cell>
          <cell r="H129" t="str">
            <v>FACIAL</v>
          </cell>
          <cell r="I129" t="str">
            <v>MOUSSE</v>
          </cell>
          <cell r="J129" t="str">
            <v>LÍQUIDO</v>
          </cell>
          <cell r="L129">
            <v>0</v>
          </cell>
        </row>
        <row r="130">
          <cell r="B130" t="str">
            <v>FBMF0002</v>
          </cell>
          <cell r="C130" t="str">
            <v>MOUSSE FACIAL SORVETE DE MORANGO 150ML</v>
          </cell>
          <cell r="E130">
            <v>150</v>
          </cell>
          <cell r="F130" t="str">
            <v>ml</v>
          </cell>
          <cell r="G130" t="str">
            <v>FEBELLA BEAUTY</v>
          </cell>
          <cell r="H130" t="str">
            <v>FACIAL</v>
          </cell>
          <cell r="I130" t="str">
            <v>MOUSSE</v>
          </cell>
          <cell r="J130" t="str">
            <v>LÍQUIDO</v>
          </cell>
          <cell r="L130">
            <v>0</v>
          </cell>
        </row>
        <row r="131">
          <cell r="B131" t="str">
            <v>FBOC0001</v>
          </cell>
          <cell r="C131" t="str">
            <v>OLEO CORPORAL DOCE DE LEITE 120ML</v>
          </cell>
          <cell r="E131">
            <v>120</v>
          </cell>
          <cell r="F131" t="str">
            <v>ml</v>
          </cell>
          <cell r="G131" t="str">
            <v>FEBELLA BEAUTY</v>
          </cell>
          <cell r="H131" t="str">
            <v>CORPORAL</v>
          </cell>
          <cell r="I131" t="str">
            <v>OLEO CORPORAL</v>
          </cell>
          <cell r="J131" t="str">
            <v>LÍQUIDO ESPESSO</v>
          </cell>
          <cell r="L131">
            <v>635.22144280095847</v>
          </cell>
        </row>
        <row r="132">
          <cell r="B132" t="str">
            <v>FBOC0002</v>
          </cell>
          <cell r="C132" t="str">
            <v>OLEO CORPORAL SORVETE DE MORANGO 120ML</v>
          </cell>
          <cell r="E132">
            <v>120</v>
          </cell>
          <cell r="F132" t="str">
            <v>ml</v>
          </cell>
          <cell r="G132" t="str">
            <v>FEBELLA BEAUTY</v>
          </cell>
          <cell r="H132" t="str">
            <v>CORPORAL</v>
          </cell>
          <cell r="I132" t="str">
            <v>OLEO CORPORAL</v>
          </cell>
          <cell r="J132" t="str">
            <v>LÍQUIDO ESPESSO</v>
          </cell>
          <cell r="L132">
            <v>635.22144280095847</v>
          </cell>
        </row>
        <row r="133">
          <cell r="B133" t="str">
            <v>FBPF0001</v>
          </cell>
          <cell r="C133" t="str">
            <v>PERFUME RAFINATTO 100ML</v>
          </cell>
          <cell r="E133">
            <v>100</v>
          </cell>
          <cell r="F133" t="str">
            <v>ml</v>
          </cell>
          <cell r="G133" t="str">
            <v>FILATO BENE</v>
          </cell>
          <cell r="H133" t="str">
            <v>PERFUMARIA</v>
          </cell>
          <cell r="I133" t="str">
            <v>PERFUME</v>
          </cell>
          <cell r="J133" t="str">
            <v>LÍQUIDO</v>
          </cell>
          <cell r="L133">
            <v>175.26407181919058</v>
          </cell>
        </row>
        <row r="134">
          <cell r="B134" t="str">
            <v>FBPF0002</v>
          </cell>
          <cell r="C134" t="str">
            <v>PERFUME OSTINATO 100ML</v>
          </cell>
          <cell r="E134">
            <v>100</v>
          </cell>
          <cell r="F134" t="str">
            <v>ml</v>
          </cell>
          <cell r="G134" t="str">
            <v>FILATO BENE</v>
          </cell>
          <cell r="H134" t="str">
            <v>PERFUMARIA</v>
          </cell>
          <cell r="I134" t="str">
            <v>PERFUME</v>
          </cell>
          <cell r="J134" t="str">
            <v>LÍQUIDO</v>
          </cell>
          <cell r="L134">
            <v>175.26407181919058</v>
          </cell>
        </row>
        <row r="135">
          <cell r="B135" t="str">
            <v>GLMKAM01</v>
          </cell>
          <cell r="C135" t="str">
            <v>ÁGUA MICELAR 3 EM 1</v>
          </cell>
          <cell r="E135">
            <v>325</v>
          </cell>
          <cell r="F135" t="str">
            <v>ml</v>
          </cell>
          <cell r="G135" t="str">
            <v>GLOW MAKE UP</v>
          </cell>
          <cell r="H135" t="str">
            <v>MAQUIAGEM</v>
          </cell>
          <cell r="I135" t="str">
            <v>ÁGUA MICELAR</v>
          </cell>
          <cell r="J135" t="str">
            <v>LÍQUIDO</v>
          </cell>
          <cell r="L135">
            <v>809.87848196512618</v>
          </cell>
        </row>
        <row r="136">
          <cell r="B136" t="str">
            <v>GLMKAM02</v>
          </cell>
          <cell r="C136" t="str">
            <v>ÁGUA MICELAR ÁCIDO HIAULURÔNICO</v>
          </cell>
          <cell r="E136">
            <v>325</v>
          </cell>
          <cell r="F136" t="str">
            <v>ml</v>
          </cell>
          <cell r="G136" t="str">
            <v>GLOW MAKE UP</v>
          </cell>
          <cell r="H136" t="str">
            <v>MAQUIAGEM</v>
          </cell>
          <cell r="I136" t="str">
            <v>ÁGUA MICELAR</v>
          </cell>
          <cell r="J136" t="str">
            <v>LÍQUIDO</v>
          </cell>
          <cell r="L136">
            <v>809.87848196512618</v>
          </cell>
        </row>
        <row r="137">
          <cell r="B137" t="str">
            <v>GLMKAM03</v>
          </cell>
          <cell r="C137" t="str">
            <v>ÁGUA MICELAR CARVÃO ATIVADO</v>
          </cell>
          <cell r="E137">
            <v>325</v>
          </cell>
          <cell r="F137" t="str">
            <v>ml</v>
          </cell>
          <cell r="G137" t="str">
            <v>GLOW MAKE UP</v>
          </cell>
          <cell r="H137" t="str">
            <v>MAQUIAGEM</v>
          </cell>
          <cell r="I137" t="str">
            <v>ÁGUA MICELAR</v>
          </cell>
          <cell r="J137" t="str">
            <v>LÍQUIDO</v>
          </cell>
          <cell r="L137">
            <v>809.87848196512618</v>
          </cell>
        </row>
        <row r="138">
          <cell r="B138" t="str">
            <v>GLMKAM04</v>
          </cell>
          <cell r="C138" t="str">
            <v>ÁGUA MICELAR COLÁGENO</v>
          </cell>
          <cell r="E138">
            <v>325</v>
          </cell>
          <cell r="F138" t="str">
            <v>ml</v>
          </cell>
          <cell r="G138" t="str">
            <v>GLOW MAKE UP</v>
          </cell>
          <cell r="H138" t="str">
            <v>MAQUIAGEM</v>
          </cell>
          <cell r="I138" t="str">
            <v>ÁGUA MICELAR</v>
          </cell>
          <cell r="J138" t="str">
            <v>LÍQUIDO</v>
          </cell>
          <cell r="L138">
            <v>809.87848196512618</v>
          </cell>
        </row>
        <row r="139">
          <cell r="B139" t="str">
            <v>GLMKAM05</v>
          </cell>
          <cell r="C139" t="str">
            <v>ÁGUA MICELAR ROSA MOSQUETA</v>
          </cell>
          <cell r="E139">
            <v>325</v>
          </cell>
          <cell r="F139" t="str">
            <v>ml</v>
          </cell>
          <cell r="G139" t="str">
            <v>GLOW MAKE UP</v>
          </cell>
          <cell r="H139" t="str">
            <v>MAQUIAGEM</v>
          </cell>
          <cell r="I139" t="str">
            <v>ÁGUA MICELAR</v>
          </cell>
          <cell r="J139" t="str">
            <v>LÍQUIDO</v>
          </cell>
          <cell r="L139">
            <v>809.87848196512618</v>
          </cell>
        </row>
        <row r="140">
          <cell r="B140" t="str">
            <v>GLMKAM06</v>
          </cell>
          <cell r="C140" t="str">
            <v>ÁGUA MICELAR BABA GLOW</v>
          </cell>
          <cell r="E140">
            <v>325</v>
          </cell>
          <cell r="F140" t="str">
            <v>ml</v>
          </cell>
          <cell r="G140" t="str">
            <v>GLOW MAKE UP</v>
          </cell>
          <cell r="H140" t="str">
            <v>MAQUIAGEM</v>
          </cell>
          <cell r="I140" t="str">
            <v>ÁGUA MICELAR</v>
          </cell>
          <cell r="J140" t="str">
            <v>LÍQUIDO</v>
          </cell>
          <cell r="L140">
            <v>809.87848196512618</v>
          </cell>
        </row>
        <row r="141">
          <cell r="B141" t="str">
            <v>GLMKAM07</v>
          </cell>
          <cell r="C141" t="str">
            <v>ÁGUA MICELAR HONEY</v>
          </cell>
          <cell r="E141">
            <v>325</v>
          </cell>
          <cell r="F141" t="str">
            <v>ml</v>
          </cell>
          <cell r="G141" t="str">
            <v>GLOW MAKE UP</v>
          </cell>
          <cell r="H141" t="str">
            <v>MAQUIAGEM</v>
          </cell>
          <cell r="I141" t="str">
            <v>ÁGUA MICELAR</v>
          </cell>
          <cell r="J141" t="str">
            <v>LÍQUIDO</v>
          </cell>
          <cell r="L141">
            <v>809.87848196512618</v>
          </cell>
        </row>
        <row r="142">
          <cell r="B142" t="str">
            <v>GZLBBS01</v>
          </cell>
          <cell r="C142" t="str">
            <v>BODY SPLASH GOTA LOVE</v>
          </cell>
          <cell r="E142">
            <v>210</v>
          </cell>
          <cell r="F142" t="str">
            <v>ml</v>
          </cell>
          <cell r="G142" t="str">
            <v>GOTA ZEN</v>
          </cell>
          <cell r="H142" t="str">
            <v>PERFUMARIA</v>
          </cell>
          <cell r="I142" t="str">
            <v>BODY SPLASH</v>
          </cell>
          <cell r="J142" t="str">
            <v>LÍQUIDO</v>
          </cell>
          <cell r="L142">
            <v>843.58780095852239</v>
          </cell>
        </row>
        <row r="143">
          <cell r="B143" t="str">
            <v>GZLBBS02</v>
          </cell>
          <cell r="C143" t="str">
            <v>BODY SPLASH ARABYS' AMBAR</v>
          </cell>
          <cell r="E143">
            <v>210</v>
          </cell>
          <cell r="F143" t="str">
            <v>ml</v>
          </cell>
          <cell r="G143" t="str">
            <v>GOTA ZEN</v>
          </cell>
          <cell r="H143" t="str">
            <v>PERFUMARIA</v>
          </cell>
          <cell r="I143" t="str">
            <v>BODY SPLASH</v>
          </cell>
          <cell r="J143" t="str">
            <v>LÍQUIDO</v>
          </cell>
          <cell r="L143">
            <v>843.58780095852239</v>
          </cell>
        </row>
        <row r="144">
          <cell r="B144" t="str">
            <v>GZLBBS03</v>
          </cell>
          <cell r="C144" t="str">
            <v>BODY SPLASH GOTA BELLE</v>
          </cell>
          <cell r="E144">
            <v>210</v>
          </cell>
          <cell r="F144" t="str">
            <v>ml</v>
          </cell>
          <cell r="G144" t="str">
            <v>GOTA ZEN</v>
          </cell>
          <cell r="H144" t="str">
            <v>PERFUMARIA</v>
          </cell>
          <cell r="I144" t="str">
            <v>BODY SPLASH</v>
          </cell>
          <cell r="J144" t="str">
            <v>LÍQUIDO</v>
          </cell>
          <cell r="L144">
            <v>843.58780095852239</v>
          </cell>
        </row>
        <row r="145">
          <cell r="B145" t="str">
            <v>GZLBBS04</v>
          </cell>
          <cell r="C145" t="str">
            <v>BODY SPLASH ARABYS' FEROZ</v>
          </cell>
          <cell r="E145">
            <v>210</v>
          </cell>
          <cell r="F145" t="str">
            <v>ml</v>
          </cell>
          <cell r="G145" t="str">
            <v>GOTA ZEN</v>
          </cell>
          <cell r="H145" t="str">
            <v>PERFUMARIA</v>
          </cell>
          <cell r="I145" t="str">
            <v>BODY SPLASH</v>
          </cell>
          <cell r="J145" t="str">
            <v>LÍQUIDO</v>
          </cell>
          <cell r="L145">
            <v>843.58780095852239</v>
          </cell>
        </row>
        <row r="146">
          <cell r="B146" t="str">
            <v>GZLBBS05</v>
          </cell>
          <cell r="C146" t="str">
            <v>BODY SPLASH GLOW CHAMPAGNE</v>
          </cell>
          <cell r="E146">
            <v>210</v>
          </cell>
          <cell r="F146" t="str">
            <v>ml</v>
          </cell>
          <cell r="G146" t="str">
            <v>GOTA ZEN</v>
          </cell>
          <cell r="H146" t="str">
            <v>PERFUMARIA</v>
          </cell>
          <cell r="I146" t="str">
            <v>BODY SPLASH</v>
          </cell>
          <cell r="J146" t="str">
            <v>LÍQUIDO</v>
          </cell>
          <cell r="L146">
            <v>843.58780095852239</v>
          </cell>
        </row>
        <row r="147">
          <cell r="B147" t="str">
            <v>GZLBBS06</v>
          </cell>
          <cell r="C147" t="str">
            <v>BODY SPLASH ESCAN DALOSA</v>
          </cell>
          <cell r="E147">
            <v>210</v>
          </cell>
          <cell r="F147" t="str">
            <v>ml</v>
          </cell>
          <cell r="G147" t="str">
            <v>GOTA ZEN</v>
          </cell>
          <cell r="H147" t="str">
            <v>PERFUMARIA</v>
          </cell>
          <cell r="I147" t="str">
            <v>BODY SPLASH</v>
          </cell>
          <cell r="J147" t="str">
            <v>LÍQUIDO</v>
          </cell>
          <cell r="L147">
            <v>843.58780095852239</v>
          </cell>
        </row>
        <row r="148">
          <cell r="B148" t="str">
            <v>HBHD0001</v>
          </cell>
          <cell r="C148" t="str">
            <v>HIDRATANTE BISNAGA CELESTIA 200g</v>
          </cell>
          <cell r="E148">
            <v>200</v>
          </cell>
          <cell r="F148" t="str">
            <v>g</v>
          </cell>
          <cell r="G148" t="str">
            <v>HABIBI PERFUMES</v>
          </cell>
          <cell r="H148" t="str">
            <v>CORPORAL</v>
          </cell>
          <cell r="I148" t="str">
            <v>CREME HIDRATANTE</v>
          </cell>
          <cell r="J148" t="str">
            <v>CREMOSO</v>
          </cell>
          <cell r="L148">
            <v>613.39886035164977</v>
          </cell>
        </row>
        <row r="149">
          <cell r="B149" t="str">
            <v>HBHD0002</v>
          </cell>
          <cell r="C149" t="str">
            <v>HIDRATANTE BISNAGA IMPERIUM 200g</v>
          </cell>
          <cell r="E149">
            <v>200</v>
          </cell>
          <cell r="F149" t="str">
            <v>g</v>
          </cell>
          <cell r="G149" t="str">
            <v>HABIBI PERFUMES</v>
          </cell>
          <cell r="H149" t="str">
            <v>CORPORAL</v>
          </cell>
          <cell r="I149" t="str">
            <v>CREME HIDRATANTE</v>
          </cell>
          <cell r="J149" t="str">
            <v>CREMOSO</v>
          </cell>
          <cell r="L149">
            <v>613.39886035164977</v>
          </cell>
        </row>
        <row r="150">
          <cell r="B150" t="str">
            <v>HBHD0003</v>
          </cell>
          <cell r="C150" t="str">
            <v>HIDRATANTE BISNAGA ROSA SUBLIME 200g</v>
          </cell>
          <cell r="E150">
            <v>200</v>
          </cell>
          <cell r="F150" t="str">
            <v>g</v>
          </cell>
          <cell r="G150" t="str">
            <v>HABIBI PERFUMES</v>
          </cell>
          <cell r="H150" t="str">
            <v>CORPORAL</v>
          </cell>
          <cell r="I150" t="str">
            <v>CREME HIDRATANTE</v>
          </cell>
          <cell r="J150" t="str">
            <v>CREMOSO</v>
          </cell>
          <cell r="L150">
            <v>613.39886035164977</v>
          </cell>
        </row>
        <row r="151">
          <cell r="B151" t="str">
            <v>HBHD0004</v>
          </cell>
          <cell r="C151" t="str">
            <v>HIDRATANTE BISNAGA ROSE AURORA 200g</v>
          </cell>
          <cell r="E151">
            <v>200</v>
          </cell>
          <cell r="F151" t="str">
            <v>g</v>
          </cell>
          <cell r="G151" t="str">
            <v>HABIBI PERFUMES</v>
          </cell>
          <cell r="H151" t="str">
            <v>CORPORAL</v>
          </cell>
          <cell r="I151" t="str">
            <v>CREME HIDRATANTE</v>
          </cell>
          <cell r="J151" t="str">
            <v>CREMOSO</v>
          </cell>
          <cell r="L151">
            <v>613.39886035164977</v>
          </cell>
        </row>
        <row r="152">
          <cell r="B152" t="str">
            <v>HBHD0005</v>
          </cell>
          <cell r="C152" t="str">
            <v>HIDRATANTE BISNAGA LUX AMBER 200g</v>
          </cell>
          <cell r="E152">
            <v>200</v>
          </cell>
          <cell r="F152" t="str">
            <v>g</v>
          </cell>
          <cell r="G152" t="str">
            <v>HABIBI PERFUMES</v>
          </cell>
          <cell r="H152" t="str">
            <v>CORPORAL</v>
          </cell>
          <cell r="I152" t="str">
            <v>CREME HIDRATANTE</v>
          </cell>
          <cell r="J152" t="str">
            <v>CREMOSO</v>
          </cell>
          <cell r="L152">
            <v>613.39886035164977</v>
          </cell>
        </row>
        <row r="153">
          <cell r="B153" t="str">
            <v>HBHD0006</v>
          </cell>
          <cell r="C153" t="str">
            <v>HIDRATANTE BISNAGA ANGELUS 200g</v>
          </cell>
          <cell r="E153">
            <v>200</v>
          </cell>
          <cell r="F153" t="str">
            <v>g</v>
          </cell>
          <cell r="G153" t="str">
            <v>HABIBI PERFUMES</v>
          </cell>
          <cell r="H153" t="str">
            <v>CORPORAL</v>
          </cell>
          <cell r="I153" t="str">
            <v>CREME HIDRATANTE</v>
          </cell>
          <cell r="J153" t="str">
            <v>CREMOSO</v>
          </cell>
          <cell r="L153">
            <v>613.39886035164977</v>
          </cell>
        </row>
        <row r="154">
          <cell r="B154" t="str">
            <v>HBHD0007</v>
          </cell>
          <cell r="C154" t="str">
            <v>HIDRATANTE BISNAGA IMPERIUM BOURBON 200g</v>
          </cell>
          <cell r="E154">
            <v>200</v>
          </cell>
          <cell r="F154" t="str">
            <v>g</v>
          </cell>
          <cell r="G154" t="str">
            <v>HABIBI PERFUMES</v>
          </cell>
          <cell r="H154" t="str">
            <v>CORPORAL</v>
          </cell>
          <cell r="I154" t="str">
            <v>CREME HIDRATANTE</v>
          </cell>
          <cell r="J154" t="str">
            <v>CREMOSO</v>
          </cell>
          <cell r="L154">
            <v>613.39886035164977</v>
          </cell>
        </row>
        <row r="155">
          <cell r="B155" t="str">
            <v>HBHD0008</v>
          </cell>
          <cell r="C155" t="str">
            <v>HIDRATANTE BISNAGA DELICADA 200g</v>
          </cell>
          <cell r="E155">
            <v>200</v>
          </cell>
          <cell r="F155" t="str">
            <v>g</v>
          </cell>
          <cell r="G155" t="str">
            <v>HABIBI PERFUMES</v>
          </cell>
          <cell r="H155" t="str">
            <v>CORPORAL</v>
          </cell>
          <cell r="I155" t="str">
            <v>CREME HIDRATANTE</v>
          </cell>
          <cell r="J155" t="str">
            <v>CREMOSO</v>
          </cell>
          <cell r="L155">
            <v>613.39886035164977</v>
          </cell>
        </row>
        <row r="156">
          <cell r="B156" t="str">
            <v>HBPC0001</v>
          </cell>
          <cell r="C156" t="str">
            <v>PERFUME CAPILAR CELESTIA 57ml</v>
          </cell>
          <cell r="E156">
            <v>57</v>
          </cell>
          <cell r="F156" t="str">
            <v>ml</v>
          </cell>
          <cell r="G156" t="str">
            <v>HABIBI PERFUMES</v>
          </cell>
          <cell r="H156" t="str">
            <v>PERFUMARIA</v>
          </cell>
          <cell r="I156" t="str">
            <v>PERFUME CAPILAR</v>
          </cell>
          <cell r="J156" t="str">
            <v>LÍQUIDO</v>
          </cell>
          <cell r="L156">
            <v>0</v>
          </cell>
        </row>
        <row r="157">
          <cell r="B157" t="str">
            <v>IBARBS01</v>
          </cell>
          <cell r="C157" t="str">
            <v>BODY SPLASH SAIND</v>
          </cell>
          <cell r="E157">
            <v>120</v>
          </cell>
          <cell r="F157" t="str">
            <v>ml</v>
          </cell>
          <cell r="G157" t="str">
            <v>ISA BEAUTY</v>
          </cell>
          <cell r="H157" t="str">
            <v>PERFUMARIA</v>
          </cell>
          <cell r="I157" t="str">
            <v>BODY SPLASH</v>
          </cell>
          <cell r="J157" t="str">
            <v>LÍQUIDO</v>
          </cell>
          <cell r="L157">
            <v>843.58780095852239</v>
          </cell>
        </row>
        <row r="158">
          <cell r="B158" t="str">
            <v>IBARBS02</v>
          </cell>
          <cell r="C158" t="str">
            <v>BODY SPLASH ALLAN</v>
          </cell>
          <cell r="E158">
            <v>120</v>
          </cell>
          <cell r="F158" t="str">
            <v>ml</v>
          </cell>
          <cell r="G158" t="str">
            <v>ISA BEAUTY</v>
          </cell>
          <cell r="H158" t="str">
            <v>PERFUMARIA</v>
          </cell>
          <cell r="I158" t="str">
            <v>BODY SPLASH</v>
          </cell>
          <cell r="J158" t="str">
            <v>LÍQUIDO</v>
          </cell>
          <cell r="L158">
            <v>843.58780095852239</v>
          </cell>
        </row>
        <row r="159">
          <cell r="B159" t="str">
            <v>IBARBS03</v>
          </cell>
          <cell r="C159" t="str">
            <v>BODY SPLASH JADE</v>
          </cell>
          <cell r="E159">
            <v>120</v>
          </cell>
          <cell r="F159" t="str">
            <v>ml</v>
          </cell>
          <cell r="G159" t="str">
            <v>ISA BEAUTY</v>
          </cell>
          <cell r="H159" t="str">
            <v>PERFUMARIA</v>
          </cell>
          <cell r="I159" t="str">
            <v>BODY SPLASH</v>
          </cell>
          <cell r="J159" t="str">
            <v>LÍQUIDO</v>
          </cell>
          <cell r="L159">
            <v>843.58780095852239</v>
          </cell>
        </row>
        <row r="160">
          <cell r="B160" t="str">
            <v>IBARBS04</v>
          </cell>
          <cell r="C160" t="str">
            <v>BODY SPLASH ÁRABE</v>
          </cell>
          <cell r="E160">
            <v>120</v>
          </cell>
          <cell r="F160" t="str">
            <v>ml</v>
          </cell>
          <cell r="G160" t="str">
            <v>ISA BEAUTY</v>
          </cell>
          <cell r="H160" t="str">
            <v>PERFUMARIA</v>
          </cell>
          <cell r="I160" t="str">
            <v>BODY SPLASH</v>
          </cell>
          <cell r="J160" t="str">
            <v>LÍQUIDO</v>
          </cell>
          <cell r="L160">
            <v>843.58780095852239</v>
          </cell>
        </row>
        <row r="161">
          <cell r="B161" t="str">
            <v>IBARBS05</v>
          </cell>
          <cell r="C161" t="str">
            <v>BODY SPLASH HABIB</v>
          </cell>
          <cell r="E161">
            <v>120</v>
          </cell>
          <cell r="F161" t="str">
            <v>ml</v>
          </cell>
          <cell r="G161" t="str">
            <v>ISA BEAUTY</v>
          </cell>
          <cell r="H161" t="str">
            <v>PERFUMARIA</v>
          </cell>
          <cell r="I161" t="str">
            <v>BODY SPLASH</v>
          </cell>
          <cell r="J161" t="str">
            <v>LÍQUIDO</v>
          </cell>
          <cell r="L161">
            <v>843.58780095852239</v>
          </cell>
        </row>
        <row r="162">
          <cell r="B162" t="str">
            <v>IBARBS06</v>
          </cell>
          <cell r="C162" t="str">
            <v>BODY SPLASH ABDALLAH</v>
          </cell>
          <cell r="E162">
            <v>120</v>
          </cell>
          <cell r="F162" t="str">
            <v>ml</v>
          </cell>
          <cell r="G162" t="str">
            <v>ISA BEAUTY</v>
          </cell>
          <cell r="H162" t="str">
            <v>PERFUMARIA</v>
          </cell>
          <cell r="I162" t="str">
            <v>BODY SPLASH</v>
          </cell>
          <cell r="J162" t="str">
            <v>LÍQUIDO</v>
          </cell>
          <cell r="L162">
            <v>843.58780095852239</v>
          </cell>
        </row>
        <row r="163">
          <cell r="B163" t="str">
            <v>IBARGB01</v>
          </cell>
          <cell r="C163" t="str">
            <v>GELEIA DE BANHO SAIND</v>
          </cell>
          <cell r="E163">
            <v>190</v>
          </cell>
          <cell r="F163" t="str">
            <v>ml</v>
          </cell>
          <cell r="G163" t="str">
            <v>ISA BEAUTY</v>
          </cell>
          <cell r="H163" t="str">
            <v>CORPORAL</v>
          </cell>
          <cell r="I163" t="str">
            <v>SABONETE</v>
          </cell>
          <cell r="J163" t="str">
            <v>VISCOSO</v>
          </cell>
          <cell r="L163">
            <v>732.04943503841741</v>
          </cell>
        </row>
        <row r="164">
          <cell r="B164" t="str">
            <v>IBARGB02</v>
          </cell>
          <cell r="C164" t="str">
            <v>GELEIA DE BANHO ALLAN</v>
          </cell>
          <cell r="E164">
            <v>190</v>
          </cell>
          <cell r="F164" t="str">
            <v>ml</v>
          </cell>
          <cell r="G164" t="str">
            <v>ISA BEAUTY</v>
          </cell>
          <cell r="H164" t="str">
            <v>CORPORAL</v>
          </cell>
          <cell r="I164" t="str">
            <v>SABONETE</v>
          </cell>
          <cell r="J164" t="str">
            <v>VISCOSO</v>
          </cell>
          <cell r="L164">
            <v>732.04943503841741</v>
          </cell>
        </row>
        <row r="165">
          <cell r="B165" t="str">
            <v>IBARGB03</v>
          </cell>
          <cell r="C165" t="str">
            <v>GELEIA DE BANHO JADE</v>
          </cell>
          <cell r="E165">
            <v>190</v>
          </cell>
          <cell r="F165" t="str">
            <v>ml</v>
          </cell>
          <cell r="G165" t="str">
            <v>ISA BEAUTY</v>
          </cell>
          <cell r="H165" t="str">
            <v>CORPORAL</v>
          </cell>
          <cell r="I165" t="str">
            <v>SABONETE</v>
          </cell>
          <cell r="J165" t="str">
            <v>VISCOSO</v>
          </cell>
          <cell r="L165">
            <v>732.04943503841741</v>
          </cell>
        </row>
        <row r="166">
          <cell r="B166" t="str">
            <v>IBARGB04</v>
          </cell>
          <cell r="C166" t="str">
            <v>GELEIA DE BANHO ÁRABE</v>
          </cell>
          <cell r="E166">
            <v>190</v>
          </cell>
          <cell r="F166" t="str">
            <v>ml</v>
          </cell>
          <cell r="G166" t="str">
            <v>ISA BEAUTY</v>
          </cell>
          <cell r="H166" t="str">
            <v>CORPORAL</v>
          </cell>
          <cell r="I166" t="str">
            <v>SABONETE</v>
          </cell>
          <cell r="J166" t="str">
            <v>VISCOSO</v>
          </cell>
          <cell r="L166">
            <v>732.04943503841741</v>
          </cell>
        </row>
        <row r="167">
          <cell r="B167" t="str">
            <v>IBARGB05</v>
          </cell>
          <cell r="C167" t="str">
            <v>GELEIA DE BANHO HABIB</v>
          </cell>
          <cell r="E167">
            <v>190</v>
          </cell>
          <cell r="F167" t="str">
            <v>ml</v>
          </cell>
          <cell r="G167" t="str">
            <v>ISA BEAUTY</v>
          </cell>
          <cell r="H167" t="str">
            <v>CORPORAL</v>
          </cell>
          <cell r="I167" t="str">
            <v>SABONETE</v>
          </cell>
          <cell r="J167" t="str">
            <v>VISCOSO</v>
          </cell>
          <cell r="L167">
            <v>732.04943503841741</v>
          </cell>
        </row>
        <row r="168">
          <cell r="B168" t="str">
            <v>IBARGB06</v>
          </cell>
          <cell r="C168" t="str">
            <v>GELEIA DE BANHO ABDALLAH</v>
          </cell>
          <cell r="E168">
            <v>190</v>
          </cell>
          <cell r="F168" t="str">
            <v>ml</v>
          </cell>
          <cell r="G168" t="str">
            <v>ISA BEAUTY</v>
          </cell>
          <cell r="H168" t="str">
            <v>CORPORAL</v>
          </cell>
          <cell r="I168" t="str">
            <v>SABONETE</v>
          </cell>
          <cell r="J168" t="str">
            <v>VISCOSO</v>
          </cell>
          <cell r="L168">
            <v>732.04943503841741</v>
          </cell>
        </row>
        <row r="169">
          <cell r="B169" t="str">
            <v>IBARGE01</v>
          </cell>
          <cell r="C169" t="str">
            <v>GEL ESFOLIANTE SAIND</v>
          </cell>
          <cell r="E169">
            <v>180</v>
          </cell>
          <cell r="F169" t="str">
            <v>ml</v>
          </cell>
          <cell r="G169" t="str">
            <v>ISA BEAUTY</v>
          </cell>
          <cell r="H169" t="str">
            <v>CORPORAL</v>
          </cell>
          <cell r="I169" t="str">
            <v>ESFOLIANTE</v>
          </cell>
          <cell r="J169" t="str">
            <v>CREMOSO</v>
          </cell>
          <cell r="L169">
            <v>0</v>
          </cell>
        </row>
        <row r="170">
          <cell r="B170" t="str">
            <v>IBARGE02</v>
          </cell>
          <cell r="C170" t="str">
            <v>GEL ESFOLIANTE ALLAN</v>
          </cell>
          <cell r="E170">
            <v>180</v>
          </cell>
          <cell r="F170" t="str">
            <v>ml</v>
          </cell>
          <cell r="G170" t="str">
            <v>ISA BEAUTY</v>
          </cell>
          <cell r="H170" t="str">
            <v>CORPORAL</v>
          </cell>
          <cell r="I170" t="str">
            <v>ESFOLIANTE</v>
          </cell>
          <cell r="J170" t="str">
            <v>CREMOSO</v>
          </cell>
          <cell r="L170">
            <v>0</v>
          </cell>
        </row>
        <row r="171">
          <cell r="B171" t="str">
            <v>IBARGE03</v>
          </cell>
          <cell r="C171" t="str">
            <v>GEL ESFOLIANTE JADE</v>
          </cell>
          <cell r="E171">
            <v>180</v>
          </cell>
          <cell r="F171" t="str">
            <v>ml</v>
          </cell>
          <cell r="G171" t="str">
            <v>ISA BEAUTY</v>
          </cell>
          <cell r="H171" t="str">
            <v>CORPORAL</v>
          </cell>
          <cell r="I171" t="str">
            <v>ESFOLIANTE</v>
          </cell>
          <cell r="J171" t="str">
            <v>CREMOSO</v>
          </cell>
          <cell r="L171">
            <v>0</v>
          </cell>
        </row>
        <row r="172">
          <cell r="B172" t="str">
            <v>IBARGE04</v>
          </cell>
          <cell r="C172" t="str">
            <v>GEL ESFOLIANTE ÁRABE</v>
          </cell>
          <cell r="E172">
            <v>180</v>
          </cell>
          <cell r="F172" t="str">
            <v>ml</v>
          </cell>
          <cell r="G172" t="str">
            <v>ISA BEAUTY</v>
          </cell>
          <cell r="H172" t="str">
            <v>CORPORAL</v>
          </cell>
          <cell r="I172" t="str">
            <v>ESFOLIANTE</v>
          </cell>
          <cell r="J172" t="str">
            <v>CREMOSO</v>
          </cell>
          <cell r="L172">
            <v>0</v>
          </cell>
        </row>
        <row r="173">
          <cell r="B173" t="str">
            <v>IBARGE05</v>
          </cell>
          <cell r="C173" t="str">
            <v>GEL ESFOLIANTE HABIB</v>
          </cell>
          <cell r="E173">
            <v>180</v>
          </cell>
          <cell r="F173" t="str">
            <v>ml</v>
          </cell>
          <cell r="G173" t="str">
            <v>ISA BEAUTY</v>
          </cell>
          <cell r="H173" t="str">
            <v>CORPORAL</v>
          </cell>
          <cell r="I173" t="str">
            <v>ESFOLIANTE</v>
          </cell>
          <cell r="J173" t="str">
            <v>CREMOSO</v>
          </cell>
          <cell r="L173">
            <v>0</v>
          </cell>
        </row>
        <row r="174">
          <cell r="B174" t="str">
            <v>IBARGE06</v>
          </cell>
          <cell r="C174" t="str">
            <v>GEL ESFOLIANTE ABDALLAH</v>
          </cell>
          <cell r="E174">
            <v>180</v>
          </cell>
          <cell r="F174" t="str">
            <v>ml</v>
          </cell>
          <cell r="G174" t="str">
            <v>ISA BEAUTY</v>
          </cell>
          <cell r="H174" t="str">
            <v>CORPORAL</v>
          </cell>
          <cell r="I174" t="str">
            <v>ESFOLIANTE</v>
          </cell>
          <cell r="J174" t="str">
            <v>CREMOSO</v>
          </cell>
          <cell r="L174">
            <v>0</v>
          </cell>
        </row>
        <row r="175">
          <cell r="B175" t="str">
            <v>IBARHD01</v>
          </cell>
          <cell r="C175" t="str">
            <v>LOÇÃO HIDRATANTE SAIND</v>
          </cell>
          <cell r="E175">
            <v>180</v>
          </cell>
          <cell r="F175" t="str">
            <v>ml</v>
          </cell>
          <cell r="G175" t="str">
            <v>ISA BEAUTY</v>
          </cell>
          <cell r="H175" t="str">
            <v>CORPORAL</v>
          </cell>
          <cell r="I175" t="str">
            <v>CREME HIDRATANTE</v>
          </cell>
          <cell r="J175" t="str">
            <v>CREMOSO</v>
          </cell>
          <cell r="L175">
            <v>613.39886035164977</v>
          </cell>
        </row>
        <row r="176">
          <cell r="B176" t="str">
            <v>IBARHD02</v>
          </cell>
          <cell r="C176" t="str">
            <v>LOÇÃO HIDRATANTE ALLAN</v>
          </cell>
          <cell r="E176">
            <v>180</v>
          </cell>
          <cell r="F176" t="str">
            <v>ml</v>
          </cell>
          <cell r="G176" t="str">
            <v>ISA BEAUTY</v>
          </cell>
          <cell r="H176" t="str">
            <v>CORPORAL</v>
          </cell>
          <cell r="I176" t="str">
            <v>CREME HIDRATANTE</v>
          </cell>
          <cell r="J176" t="str">
            <v>CREMOSO</v>
          </cell>
          <cell r="L176">
            <v>613.39886035164977</v>
          </cell>
        </row>
        <row r="177">
          <cell r="B177" t="str">
            <v>IBARHD03</v>
          </cell>
          <cell r="C177" t="str">
            <v>LOÇÃO HIDRATANTE JADE</v>
          </cell>
          <cell r="E177">
            <v>180</v>
          </cell>
          <cell r="F177" t="str">
            <v>ml</v>
          </cell>
          <cell r="G177" t="str">
            <v>ISA BEAUTY</v>
          </cell>
          <cell r="H177" t="str">
            <v>CORPORAL</v>
          </cell>
          <cell r="I177" t="str">
            <v>CREME HIDRATANTE</v>
          </cell>
          <cell r="J177" t="str">
            <v>CREMOSO</v>
          </cell>
          <cell r="L177">
            <v>613.39886035164977</v>
          </cell>
        </row>
        <row r="178">
          <cell r="B178" t="str">
            <v>IBARHD04</v>
          </cell>
          <cell r="C178" t="str">
            <v>LOÇÃO HIDRATANTE ÁRABE</v>
          </cell>
          <cell r="E178">
            <v>180</v>
          </cell>
          <cell r="F178" t="str">
            <v>ml</v>
          </cell>
          <cell r="G178" t="str">
            <v>ISA BEAUTY</v>
          </cell>
          <cell r="H178" t="str">
            <v>CORPORAL</v>
          </cell>
          <cell r="I178" t="str">
            <v>CREME HIDRATANTE</v>
          </cell>
          <cell r="J178" t="str">
            <v>CREMOSO</v>
          </cell>
          <cell r="L178">
            <v>613.39886035164977</v>
          </cell>
        </row>
        <row r="179">
          <cell r="B179" t="str">
            <v>IBARHD05</v>
          </cell>
          <cell r="C179" t="str">
            <v>LOÇÃO HIDRATANTE HABIB</v>
          </cell>
          <cell r="E179">
            <v>180</v>
          </cell>
          <cell r="F179" t="str">
            <v>ml</v>
          </cell>
          <cell r="G179" t="str">
            <v>ISA BEAUTY</v>
          </cell>
          <cell r="H179" t="str">
            <v>CORPORAL</v>
          </cell>
          <cell r="I179" t="str">
            <v>CREME HIDRATANTE</v>
          </cell>
          <cell r="J179" t="str">
            <v>CREMOSO</v>
          </cell>
          <cell r="L179">
            <v>613.39886035164977</v>
          </cell>
        </row>
        <row r="180">
          <cell r="B180" t="str">
            <v>IBARHD06</v>
          </cell>
          <cell r="C180" t="str">
            <v>LOÇÃO HIDRATANTE ABDALLAH</v>
          </cell>
          <cell r="E180">
            <v>180</v>
          </cell>
          <cell r="F180" t="str">
            <v>ml</v>
          </cell>
          <cell r="G180" t="str">
            <v>ISA BEAUTY</v>
          </cell>
          <cell r="H180" t="str">
            <v>CORPORAL</v>
          </cell>
          <cell r="I180" t="str">
            <v>CREME HIDRATANTE</v>
          </cell>
          <cell r="J180" t="str">
            <v>CREMOSO</v>
          </cell>
          <cell r="L180">
            <v>613.39886035164977</v>
          </cell>
        </row>
        <row r="181">
          <cell r="B181" t="str">
            <v>IBCHEC01</v>
          </cell>
          <cell r="C181" t="str">
            <v>ESCOVA DE CHUVEIRO CHEIRINHO DE MELÂNCIA</v>
          </cell>
          <cell r="E181">
            <v>100</v>
          </cell>
          <cell r="F181" t="str">
            <v>ml</v>
          </cell>
          <cell r="G181" t="str">
            <v>ISA BEAUTY</v>
          </cell>
          <cell r="H181" t="str">
            <v>CAPILAR</v>
          </cell>
          <cell r="I181" t="str">
            <v>ESCOVA PROGRESSIVA</v>
          </cell>
          <cell r="J181" t="str">
            <v>LÍQUIDO ESPESSO</v>
          </cell>
          <cell r="L181">
            <v>1014.0280751673542</v>
          </cell>
        </row>
        <row r="182">
          <cell r="B182" t="str">
            <v>IBCHEC02</v>
          </cell>
          <cell r="C182" t="str">
            <v>ESCOVA DE CHUVEIRO CHEIRINHO DE MORANGO</v>
          </cell>
          <cell r="E182">
            <v>100</v>
          </cell>
          <cell r="F182" t="str">
            <v>ml</v>
          </cell>
          <cell r="G182" t="str">
            <v>ISA BEAUTY</v>
          </cell>
          <cell r="H182" t="str">
            <v>CAPILAR</v>
          </cell>
          <cell r="I182" t="str">
            <v>ESCOVA PROGRESSIVA</v>
          </cell>
          <cell r="J182" t="str">
            <v>LÍQUIDO ESPESSO</v>
          </cell>
          <cell r="L182">
            <v>1014.0280751673542</v>
          </cell>
        </row>
        <row r="183">
          <cell r="B183" t="str">
            <v>IBCHEC03</v>
          </cell>
          <cell r="C183" t="str">
            <v>ESCOVA DE CHUVEIRO CHEIRINHO DE TUTTI-FRUTTI</v>
          </cell>
          <cell r="E183">
            <v>100</v>
          </cell>
          <cell r="F183" t="str">
            <v>ml</v>
          </cell>
          <cell r="G183" t="str">
            <v>ISA BEAUTY</v>
          </cell>
          <cell r="H183" t="str">
            <v>CAPILAR</v>
          </cell>
          <cell r="I183" t="str">
            <v>ESCOVA PROGRESSIVA</v>
          </cell>
          <cell r="J183" t="str">
            <v>LÍQUIDO ESPESSO</v>
          </cell>
          <cell r="L183">
            <v>1014.0280751673542</v>
          </cell>
        </row>
        <row r="184">
          <cell r="B184" t="str">
            <v>IBCHGC01</v>
          </cell>
          <cell r="C184" t="str">
            <v>GELATINA CAPILAR CHEIRINHO DE MELÂNCIA</v>
          </cell>
          <cell r="E184">
            <v>500</v>
          </cell>
          <cell r="F184" t="str">
            <v>ml</v>
          </cell>
          <cell r="G184" t="str">
            <v>ISA BEAUTY</v>
          </cell>
          <cell r="H184" t="str">
            <v>CAPILAR</v>
          </cell>
          <cell r="I184" t="str">
            <v>GEL</v>
          </cell>
          <cell r="J184" t="str">
            <v>CREMOSO</v>
          </cell>
          <cell r="L184">
            <v>519.13260484234854</v>
          </cell>
        </row>
        <row r="185">
          <cell r="B185" t="str">
            <v>IBCHGC02</v>
          </cell>
          <cell r="C185" t="str">
            <v>GELATINA CAPILAR CHEIRINHO DE PISTACHE</v>
          </cell>
          <cell r="E185">
            <v>500</v>
          </cell>
          <cell r="F185" t="str">
            <v>ml</v>
          </cell>
          <cell r="G185" t="str">
            <v>ISA BEAUTY</v>
          </cell>
          <cell r="H185" t="str">
            <v>CAPILAR</v>
          </cell>
          <cell r="I185" t="str">
            <v>GEL</v>
          </cell>
          <cell r="J185" t="str">
            <v>CREMOSO</v>
          </cell>
          <cell r="L185">
            <v>519.13260484234854</v>
          </cell>
        </row>
        <row r="186">
          <cell r="B186" t="str">
            <v>IBCHGC03</v>
          </cell>
          <cell r="C186" t="str">
            <v>GELATINA CAPILAR CHEIRINHO DE TUTTI-FRUTTI</v>
          </cell>
          <cell r="E186">
            <v>500</v>
          </cell>
          <cell r="F186" t="str">
            <v>ml</v>
          </cell>
          <cell r="G186" t="str">
            <v>ISA BEAUTY</v>
          </cell>
          <cell r="H186" t="str">
            <v>CAPILAR</v>
          </cell>
          <cell r="I186" t="str">
            <v>GEL</v>
          </cell>
          <cell r="J186" t="str">
            <v>CREMOSO</v>
          </cell>
          <cell r="L186">
            <v>519.13260484234854</v>
          </cell>
        </row>
        <row r="187">
          <cell r="B187" t="str">
            <v>KUBPBA01</v>
          </cell>
          <cell r="C187" t="str">
            <v>BASE PARA PERFUME FINA BASE 1l</v>
          </cell>
          <cell r="E187">
            <v>1000</v>
          </cell>
          <cell r="F187" t="str">
            <v>ml</v>
          </cell>
          <cell r="G187" t="str">
            <v>KURYOS</v>
          </cell>
          <cell r="H187" t="str">
            <v>BASE</v>
          </cell>
          <cell r="I187" t="str">
            <v>BASE</v>
          </cell>
          <cell r="J187" t="str">
            <v>LÍQUIDO</v>
          </cell>
          <cell r="L187">
            <v>235.57716351767166</v>
          </cell>
        </row>
        <row r="188">
          <cell r="B188" t="str">
            <v>KUBPBA01 - 2</v>
          </cell>
          <cell r="C188" t="str">
            <v>BASE PARA PERFUME FINA BASE 500ml</v>
          </cell>
          <cell r="E188">
            <v>500</v>
          </cell>
          <cell r="F188" t="str">
            <v>ml</v>
          </cell>
          <cell r="G188" t="str">
            <v>KURYOS</v>
          </cell>
          <cell r="H188" t="str">
            <v>BASE</v>
          </cell>
          <cell r="I188" t="str">
            <v>BASE</v>
          </cell>
          <cell r="J188" t="str">
            <v>LÍQUIDO</v>
          </cell>
          <cell r="L188">
            <v>235.57716351767166</v>
          </cell>
        </row>
        <row r="189">
          <cell r="B189" t="str">
            <v>KUBPBA02</v>
          </cell>
          <cell r="C189" t="str">
            <v>BASE PARA PERFUME FINA BASE PREMIUM 1l</v>
          </cell>
          <cell r="E189">
            <v>1000</v>
          </cell>
          <cell r="F189" t="str">
            <v>ml</v>
          </cell>
          <cell r="G189" t="str">
            <v>KURYOS</v>
          </cell>
          <cell r="H189" t="str">
            <v>BASE</v>
          </cell>
          <cell r="I189" t="str">
            <v>BASE</v>
          </cell>
          <cell r="J189" t="str">
            <v>LÍQUIDO</v>
          </cell>
          <cell r="L189">
            <v>235.57716351767166</v>
          </cell>
        </row>
        <row r="190">
          <cell r="B190" t="str">
            <v>KUBPBA02 - 2</v>
          </cell>
          <cell r="C190" t="str">
            <v>BASE PARA PERFUME FINA BASE PREMIUM 500ml</v>
          </cell>
          <cell r="E190">
            <v>500</v>
          </cell>
          <cell r="F190" t="str">
            <v>ml</v>
          </cell>
          <cell r="G190" t="str">
            <v>KURYOS</v>
          </cell>
          <cell r="H190" t="str">
            <v>BASE</v>
          </cell>
          <cell r="I190" t="str">
            <v>BASE</v>
          </cell>
          <cell r="J190" t="str">
            <v>LÍQUIDO</v>
          </cell>
          <cell r="L190">
            <v>235.57716351767166</v>
          </cell>
        </row>
        <row r="191">
          <cell r="B191" t="str">
            <v>LNHGCN01</v>
          </cell>
          <cell r="C191" t="str">
            <v>CONDICIONADOR HUBBA GUM BANANA</v>
          </cell>
          <cell r="E191">
            <v>300</v>
          </cell>
          <cell r="F191" t="str">
            <v>ml</v>
          </cell>
          <cell r="G191" t="str">
            <v>LUA &amp; NEVE</v>
          </cell>
          <cell r="H191" t="str">
            <v>CAPILAR</v>
          </cell>
          <cell r="I191" t="str">
            <v>CONDICIONADOR</v>
          </cell>
          <cell r="J191" t="str">
            <v>DENSO</v>
          </cell>
          <cell r="L191">
            <v>566.55014016892869</v>
          </cell>
        </row>
        <row r="192">
          <cell r="B192" t="str">
            <v>LNHGCN02</v>
          </cell>
          <cell r="C192" t="str">
            <v>CONDICIONADOR HUBBA GUM TUTTI-FRUTTI</v>
          </cell>
          <cell r="E192">
            <v>300</v>
          </cell>
          <cell r="F192" t="str">
            <v>ml</v>
          </cell>
          <cell r="G192" t="str">
            <v>LUA &amp; NEVE</v>
          </cell>
          <cell r="H192" t="str">
            <v>CAPILAR</v>
          </cell>
          <cell r="I192" t="str">
            <v>CONDICIONADOR</v>
          </cell>
          <cell r="J192" t="str">
            <v>DENSO</v>
          </cell>
          <cell r="L192">
            <v>566.55014016892869</v>
          </cell>
        </row>
        <row r="193">
          <cell r="B193" t="str">
            <v>LNHGCN03</v>
          </cell>
          <cell r="C193" t="str">
            <v>CONDICIONADOR HUBBA GUM UVA</v>
          </cell>
          <cell r="E193">
            <v>300</v>
          </cell>
          <cell r="F193" t="str">
            <v>ml</v>
          </cell>
          <cell r="G193" t="str">
            <v>LUA &amp; NEVE</v>
          </cell>
          <cell r="H193" t="str">
            <v>CAPILAR</v>
          </cell>
          <cell r="I193" t="str">
            <v>CONDICIONADOR</v>
          </cell>
          <cell r="J193" t="str">
            <v>DENSO</v>
          </cell>
          <cell r="L193">
            <v>566.55014016892869</v>
          </cell>
        </row>
        <row r="194">
          <cell r="B194" t="str">
            <v>LNHGFN01</v>
          </cell>
          <cell r="C194" t="str">
            <v>FINALIZADOR HUBBA GUM BANANA</v>
          </cell>
          <cell r="E194">
            <v>250</v>
          </cell>
          <cell r="F194" t="str">
            <v>ml</v>
          </cell>
          <cell r="G194" t="str">
            <v>LUA &amp; NEVE</v>
          </cell>
          <cell r="H194" t="str">
            <v>CAPILAR</v>
          </cell>
          <cell r="I194" t="str">
            <v>FINALIZADOR</v>
          </cell>
          <cell r="J194" t="str">
            <v>CREMOSO</v>
          </cell>
          <cell r="L194">
            <v>571.39859273161176</v>
          </cell>
        </row>
        <row r="195">
          <cell r="B195" t="str">
            <v>LNHGFN02</v>
          </cell>
          <cell r="C195" t="str">
            <v>FINALIZADOR HUBBA GUM TUTTI-FRUTTI</v>
          </cell>
          <cell r="E195">
            <v>250</v>
          </cell>
          <cell r="F195" t="str">
            <v>ml</v>
          </cell>
          <cell r="G195" t="str">
            <v>LUA &amp; NEVE</v>
          </cell>
          <cell r="H195" t="str">
            <v>CAPILAR</v>
          </cell>
          <cell r="I195" t="str">
            <v>FINALIZADOR</v>
          </cell>
          <cell r="J195" t="str">
            <v>CREMOSO</v>
          </cell>
          <cell r="L195">
            <v>571.39859273161176</v>
          </cell>
        </row>
        <row r="196">
          <cell r="B196" t="str">
            <v>LNHGFN03</v>
          </cell>
          <cell r="C196" t="str">
            <v>FINALIZADOR HUBBA GUM UVA</v>
          </cell>
          <cell r="E196">
            <v>250</v>
          </cell>
          <cell r="F196" t="str">
            <v>ml</v>
          </cell>
          <cell r="G196" t="str">
            <v>LUA &amp; NEVE</v>
          </cell>
          <cell r="H196" t="str">
            <v>CAPILAR</v>
          </cell>
          <cell r="I196" t="str">
            <v>FINALIZADOR</v>
          </cell>
          <cell r="J196" t="str">
            <v>CREMOSO</v>
          </cell>
          <cell r="L196">
            <v>571.39859273161176</v>
          </cell>
        </row>
        <row r="197">
          <cell r="B197" t="str">
            <v>LNHGMS01</v>
          </cell>
          <cell r="C197" t="str">
            <v>MÁSCARA HUBBA GUM BANANA</v>
          </cell>
          <cell r="E197">
            <v>250</v>
          </cell>
          <cell r="F197" t="str">
            <v>g</v>
          </cell>
          <cell r="G197" t="str">
            <v>LUA &amp; NEVE</v>
          </cell>
          <cell r="H197" t="str">
            <v>CAPILAR</v>
          </cell>
          <cell r="I197" t="str">
            <v>MÁSCARA</v>
          </cell>
          <cell r="J197" t="str">
            <v>CREMOSO</v>
          </cell>
          <cell r="L197">
            <v>860.16297133346836</v>
          </cell>
        </row>
        <row r="198">
          <cell r="B198" t="str">
            <v>LNHGMS02</v>
          </cell>
          <cell r="C198" t="str">
            <v>MÁSCARA HUBBA GUM TUTTI-FRUTTI</v>
          </cell>
          <cell r="E198">
            <v>250</v>
          </cell>
          <cell r="F198" t="str">
            <v>g</v>
          </cell>
          <cell r="G198" t="str">
            <v>LUA &amp; NEVE</v>
          </cell>
          <cell r="H198" t="str">
            <v>CAPILAR</v>
          </cell>
          <cell r="I198" t="str">
            <v>MÁSCARA</v>
          </cell>
          <cell r="J198" t="str">
            <v>CREMOSO</v>
          </cell>
          <cell r="L198">
            <v>860.16297133346836</v>
          </cell>
        </row>
        <row r="199">
          <cell r="B199" t="str">
            <v>LNHGMS03</v>
          </cell>
          <cell r="C199" t="str">
            <v>MÁSCARA HUBBA GUM UVA</v>
          </cell>
          <cell r="E199">
            <v>250</v>
          </cell>
          <cell r="F199" t="str">
            <v>g</v>
          </cell>
          <cell r="G199" t="str">
            <v>LUA &amp; NEVE</v>
          </cell>
          <cell r="H199" t="str">
            <v>CAPILAR</v>
          </cell>
          <cell r="I199" t="str">
            <v>MÁSCARA</v>
          </cell>
          <cell r="J199" t="str">
            <v>CREMOSO</v>
          </cell>
          <cell r="L199">
            <v>860.16297133346836</v>
          </cell>
        </row>
        <row r="200">
          <cell r="B200" t="str">
            <v>LNHGSH01</v>
          </cell>
          <cell r="C200" t="str">
            <v>SHAMPOO HUBBA GUM BANANA</v>
          </cell>
          <cell r="E200">
            <v>300</v>
          </cell>
          <cell r="F200" t="str">
            <v>ml</v>
          </cell>
          <cell r="G200" t="str">
            <v>LUA &amp; NEVE</v>
          </cell>
          <cell r="H200" t="str">
            <v>CAPILAR</v>
          </cell>
          <cell r="I200" t="str">
            <v>SHAMPOO</v>
          </cell>
          <cell r="J200" t="str">
            <v>VISCOSO</v>
          </cell>
          <cell r="L200">
            <v>682.70218347916432</v>
          </cell>
        </row>
        <row r="201">
          <cell r="B201" t="str">
            <v>LNHGSH02</v>
          </cell>
          <cell r="C201" t="str">
            <v>SHAMPOO HUBBA GUM TUTTI-FRUTTI</v>
          </cell>
          <cell r="E201">
            <v>300</v>
          </cell>
          <cell r="F201" t="str">
            <v>ml</v>
          </cell>
          <cell r="G201" t="str">
            <v>LUA &amp; NEVE</v>
          </cell>
          <cell r="H201" t="str">
            <v>CAPILAR</v>
          </cell>
          <cell r="I201" t="str">
            <v>SHAMPOO</v>
          </cell>
          <cell r="J201" t="str">
            <v>VISCOSO</v>
          </cell>
          <cell r="L201">
            <v>682.70218347916432</v>
          </cell>
        </row>
        <row r="202">
          <cell r="B202" t="str">
            <v>LNHGSH03</v>
          </cell>
          <cell r="C202" t="str">
            <v>SHAMPOO HUBBA GUM UVA</v>
          </cell>
          <cell r="E202">
            <v>300</v>
          </cell>
          <cell r="F202" t="str">
            <v>ml</v>
          </cell>
          <cell r="G202" t="str">
            <v>LUA &amp; NEVE</v>
          </cell>
          <cell r="H202" t="str">
            <v>CAPILAR</v>
          </cell>
          <cell r="I202" t="str">
            <v>SHAMPOO</v>
          </cell>
          <cell r="J202" t="str">
            <v>VISCOSO</v>
          </cell>
          <cell r="L202">
            <v>682.70218347916432</v>
          </cell>
        </row>
        <row r="203">
          <cell r="B203" t="str">
            <v>LNINBS01</v>
          </cell>
          <cell r="C203" t="str">
            <v>BODY SPLASH AMBAR CRUSH</v>
          </cell>
          <cell r="E203">
            <v>200</v>
          </cell>
          <cell r="F203" t="str">
            <v>ml</v>
          </cell>
          <cell r="G203" t="str">
            <v>LUA &amp; NEVE</v>
          </cell>
          <cell r="H203" t="str">
            <v>PERFUMARIA</v>
          </cell>
          <cell r="I203" t="str">
            <v>BODY SPLASH</v>
          </cell>
          <cell r="J203" t="str">
            <v>LÍQUIDO</v>
          </cell>
          <cell r="L203">
            <v>843.58780095852239</v>
          </cell>
        </row>
        <row r="204">
          <cell r="B204" t="str">
            <v>LNINBS02</v>
          </cell>
          <cell r="C204" t="str">
            <v>BODY SPLASH AQUA VIBE</v>
          </cell>
          <cell r="E204">
            <v>200</v>
          </cell>
          <cell r="F204" t="str">
            <v>ml</v>
          </cell>
          <cell r="G204" t="str">
            <v>LUA &amp; NEVE</v>
          </cell>
          <cell r="H204" t="str">
            <v>PERFUMARIA</v>
          </cell>
          <cell r="I204" t="str">
            <v>BODY SPLASH</v>
          </cell>
          <cell r="J204" t="str">
            <v>LÍQUIDO</v>
          </cell>
          <cell r="L204">
            <v>843.58780095852239</v>
          </cell>
        </row>
        <row r="205">
          <cell r="B205" t="str">
            <v>LNINBS03</v>
          </cell>
          <cell r="C205" t="str">
            <v>BODY SPLASH INTENSE RED</v>
          </cell>
          <cell r="E205">
            <v>200</v>
          </cell>
          <cell r="F205" t="str">
            <v>ml</v>
          </cell>
          <cell r="G205" t="str">
            <v>LUA &amp; NEVE</v>
          </cell>
          <cell r="H205" t="str">
            <v>PERFUMARIA</v>
          </cell>
          <cell r="I205" t="str">
            <v>BODY SPLASH</v>
          </cell>
          <cell r="J205" t="str">
            <v>LÍQUIDO</v>
          </cell>
          <cell r="L205">
            <v>843.58780095852239</v>
          </cell>
        </row>
        <row r="206">
          <cell r="B206" t="str">
            <v>LNINBS04</v>
          </cell>
          <cell r="C206" t="str">
            <v>BODY SPLASH MYSTIC SPILL</v>
          </cell>
          <cell r="E206">
            <v>200</v>
          </cell>
          <cell r="F206" t="str">
            <v>ml</v>
          </cell>
          <cell r="G206" t="str">
            <v>LUA &amp; NEVE</v>
          </cell>
          <cell r="H206" t="str">
            <v>PERFUMARIA</v>
          </cell>
          <cell r="I206" t="str">
            <v>BODY SPLASH</v>
          </cell>
          <cell r="J206" t="str">
            <v>LÍQUIDO</v>
          </cell>
          <cell r="L206">
            <v>843.58780095852239</v>
          </cell>
        </row>
        <row r="207">
          <cell r="B207" t="str">
            <v>LNINBS05</v>
          </cell>
          <cell r="C207" t="str">
            <v>BODY SPLASH PINK SEDUCTION</v>
          </cell>
          <cell r="E207">
            <v>200</v>
          </cell>
          <cell r="F207" t="str">
            <v>ml</v>
          </cell>
          <cell r="G207" t="str">
            <v>LUA &amp; NEVE</v>
          </cell>
          <cell r="H207" t="str">
            <v>PERFUMARIA</v>
          </cell>
          <cell r="I207" t="str">
            <v>BODY SPLASH</v>
          </cell>
          <cell r="J207" t="str">
            <v>LÍQUIDO</v>
          </cell>
          <cell r="L207">
            <v>843.58780095852239</v>
          </cell>
        </row>
        <row r="208">
          <cell r="B208" t="str">
            <v>LNINBS06</v>
          </cell>
          <cell r="C208" t="str">
            <v>BODY SPLASH PURE VANILLA</v>
          </cell>
          <cell r="E208">
            <v>200</v>
          </cell>
          <cell r="F208" t="str">
            <v>ml</v>
          </cell>
          <cell r="G208" t="str">
            <v>LUA &amp; NEVE</v>
          </cell>
          <cell r="H208" t="str">
            <v>PERFUMARIA</v>
          </cell>
          <cell r="I208" t="str">
            <v>BODY SPLASH</v>
          </cell>
          <cell r="J208" t="str">
            <v>LÍQUIDO</v>
          </cell>
          <cell r="L208">
            <v>843.58780095852239</v>
          </cell>
        </row>
        <row r="209">
          <cell r="B209" t="str">
            <v>LNINBS07</v>
          </cell>
          <cell r="C209" t="str">
            <v>BODY SPLASH VELVET ROSE</v>
          </cell>
          <cell r="E209">
            <v>200</v>
          </cell>
          <cell r="F209" t="str">
            <v>ml</v>
          </cell>
          <cell r="G209" t="str">
            <v>LUA &amp; NEVE</v>
          </cell>
          <cell r="H209" t="str">
            <v>PERFUMARIA</v>
          </cell>
          <cell r="I209" t="str">
            <v>BODY SPLASH</v>
          </cell>
          <cell r="J209" t="str">
            <v>LÍQUIDO</v>
          </cell>
          <cell r="L209">
            <v>843.58780095852239</v>
          </cell>
        </row>
        <row r="210">
          <cell r="B210" t="str">
            <v>MAOEOL01</v>
          </cell>
          <cell r="C210" t="str">
            <v>ÓLEO CORPORAL AMENDÔAS</v>
          </cell>
          <cell r="E210">
            <v>150</v>
          </cell>
          <cell r="F210" t="str">
            <v>ml</v>
          </cell>
          <cell r="G210" t="str">
            <v>MAAKE</v>
          </cell>
          <cell r="H210" t="str">
            <v>CORPORAL</v>
          </cell>
          <cell r="I210" t="str">
            <v>OLEO CORPORAL</v>
          </cell>
          <cell r="J210" t="str">
            <v>LÍQUIDO ESPESSO</v>
          </cell>
          <cell r="L210">
            <v>635.22144280095847</v>
          </cell>
        </row>
        <row r="211">
          <cell r="B211" t="str">
            <v>MAOEOL02</v>
          </cell>
          <cell r="C211" t="str">
            <v>ÓLEO CORPORAL ALGODÃO</v>
          </cell>
          <cell r="E211">
            <v>150</v>
          </cell>
          <cell r="F211" t="str">
            <v>ml</v>
          </cell>
          <cell r="G211" t="str">
            <v>MAAKE</v>
          </cell>
          <cell r="H211" t="str">
            <v>CORPORAL</v>
          </cell>
          <cell r="I211" t="str">
            <v>OLEO CORPORAL</v>
          </cell>
          <cell r="J211" t="str">
            <v>LÍQUIDO ESPESSO</v>
          </cell>
          <cell r="L211">
            <v>635.22144280095847</v>
          </cell>
        </row>
        <row r="212">
          <cell r="B212" t="str">
            <v>MOPFFM01</v>
          </cell>
          <cell r="C212" t="str">
            <v>PERFUME MASCULINO 102 VIP BLACK</v>
          </cell>
          <cell r="E212">
            <v>50</v>
          </cell>
          <cell r="F212" t="str">
            <v>ml</v>
          </cell>
          <cell r="G212" t="str">
            <v>MOUTIER</v>
          </cell>
          <cell r="H212" t="str">
            <v>PERFUMARIA</v>
          </cell>
          <cell r="I212" t="str">
            <v>PERFUME</v>
          </cell>
          <cell r="J212" t="str">
            <v>LÍQUIDO</v>
          </cell>
          <cell r="L212">
            <v>175.26407181919058</v>
          </cell>
        </row>
        <row r="213">
          <cell r="B213" t="str">
            <v>MOPFFM02</v>
          </cell>
          <cell r="C213" t="str">
            <v>PERFUME MASCULINO 103 BOSS BOTTLED</v>
          </cell>
          <cell r="E213">
            <v>50</v>
          </cell>
          <cell r="F213" t="str">
            <v>ml</v>
          </cell>
          <cell r="G213" t="str">
            <v>MOUTIER</v>
          </cell>
          <cell r="H213" t="str">
            <v>PERFUMARIA</v>
          </cell>
          <cell r="I213" t="str">
            <v>PERFUME</v>
          </cell>
          <cell r="J213" t="str">
            <v>LÍQUIDO</v>
          </cell>
          <cell r="L213">
            <v>175.26407181919058</v>
          </cell>
        </row>
        <row r="214">
          <cell r="B214" t="str">
            <v>MOPFFM03</v>
          </cell>
          <cell r="C214" t="str">
            <v>PERFUME MASCULINO 104 FERRARI BLACK</v>
          </cell>
          <cell r="E214">
            <v>50</v>
          </cell>
          <cell r="F214" t="str">
            <v>ml</v>
          </cell>
          <cell r="G214" t="str">
            <v>MOUTIER</v>
          </cell>
          <cell r="H214" t="str">
            <v>PERFUMARIA</v>
          </cell>
          <cell r="I214" t="str">
            <v>PERFUME</v>
          </cell>
          <cell r="J214" t="str">
            <v>LÍQUIDO</v>
          </cell>
          <cell r="L214">
            <v>175.26407181919058</v>
          </cell>
        </row>
        <row r="215">
          <cell r="B215" t="str">
            <v>MOPFFM04</v>
          </cell>
          <cell r="C215" t="str">
            <v>PERFUME MASCULINO 105 SAUVAGE</v>
          </cell>
          <cell r="E215">
            <v>50</v>
          </cell>
          <cell r="F215" t="str">
            <v>ml</v>
          </cell>
          <cell r="G215" t="str">
            <v>MOUTIER</v>
          </cell>
          <cell r="H215" t="str">
            <v>PERFUMARIA</v>
          </cell>
          <cell r="I215" t="str">
            <v>PERFUME</v>
          </cell>
          <cell r="J215" t="str">
            <v>LÍQUIDO</v>
          </cell>
          <cell r="L215">
            <v>175.26407181919058</v>
          </cell>
        </row>
        <row r="216">
          <cell r="B216" t="str">
            <v>MOPFFM05</v>
          </cell>
          <cell r="C216" t="str">
            <v>PERFUME MASCULINO 110 ONE MILLION</v>
          </cell>
          <cell r="E216">
            <v>50</v>
          </cell>
          <cell r="F216" t="str">
            <v>ml</v>
          </cell>
          <cell r="G216" t="str">
            <v>MOUTIER</v>
          </cell>
          <cell r="H216" t="str">
            <v>PERFUMARIA</v>
          </cell>
          <cell r="I216" t="str">
            <v>PERFUME</v>
          </cell>
          <cell r="J216" t="str">
            <v>LÍQUIDO</v>
          </cell>
          <cell r="L216">
            <v>175.26407181919058</v>
          </cell>
        </row>
        <row r="217">
          <cell r="B217" t="str">
            <v>MOPFFM06</v>
          </cell>
          <cell r="C217" t="str">
            <v>PERFUME MASCULINO 113 AZZARO WANTED</v>
          </cell>
          <cell r="E217">
            <v>50</v>
          </cell>
          <cell r="F217" t="str">
            <v>ml</v>
          </cell>
          <cell r="G217" t="str">
            <v>MOUTIER</v>
          </cell>
          <cell r="H217" t="str">
            <v>PERFUMARIA</v>
          </cell>
          <cell r="I217" t="str">
            <v>PERFUME</v>
          </cell>
          <cell r="J217" t="str">
            <v>LÍQUIDO</v>
          </cell>
          <cell r="L217">
            <v>175.26407181919058</v>
          </cell>
        </row>
        <row r="218">
          <cell r="B218" t="str">
            <v>MOPFFM07</v>
          </cell>
          <cell r="C218" t="str">
            <v>PERFUME MASCULINO 115 BLEU DE CHANEL</v>
          </cell>
          <cell r="E218">
            <v>50</v>
          </cell>
          <cell r="F218" t="str">
            <v>ml</v>
          </cell>
          <cell r="G218" t="str">
            <v>MOUTIER</v>
          </cell>
          <cell r="H218" t="str">
            <v>PERFUMARIA</v>
          </cell>
          <cell r="I218" t="str">
            <v>PERFUME</v>
          </cell>
          <cell r="J218" t="str">
            <v>LÍQUIDO</v>
          </cell>
          <cell r="L218">
            <v>175.26407181919058</v>
          </cell>
        </row>
        <row r="219">
          <cell r="B219" t="str">
            <v>MOPFFM08</v>
          </cell>
          <cell r="C219" t="str">
            <v>PERFUME MASCULINO 117 INVICTUS</v>
          </cell>
          <cell r="E219">
            <v>50</v>
          </cell>
          <cell r="F219" t="str">
            <v>ml</v>
          </cell>
          <cell r="G219" t="str">
            <v>MOUTIER</v>
          </cell>
          <cell r="H219" t="str">
            <v>PERFUMARIA</v>
          </cell>
          <cell r="I219" t="str">
            <v>PERFUME</v>
          </cell>
          <cell r="J219" t="str">
            <v>LÍQUIDO</v>
          </cell>
          <cell r="L219">
            <v>175.26407181919058</v>
          </cell>
        </row>
        <row r="220">
          <cell r="B220" t="str">
            <v>MOPFFM09</v>
          </cell>
          <cell r="C220" t="str">
            <v>PERFUME MASCULINO 118 CH BAD BOY</v>
          </cell>
          <cell r="E220">
            <v>50</v>
          </cell>
          <cell r="F220" t="str">
            <v>ml</v>
          </cell>
          <cell r="G220" t="str">
            <v>MOUTIER</v>
          </cell>
          <cell r="H220" t="str">
            <v>PERFUMARIA</v>
          </cell>
          <cell r="I220" t="str">
            <v>PERFUME</v>
          </cell>
          <cell r="J220" t="str">
            <v>LÍQUIDO</v>
          </cell>
          <cell r="L220">
            <v>175.26407181919058</v>
          </cell>
        </row>
        <row r="221">
          <cell r="B221" t="str">
            <v>MOPFFM10</v>
          </cell>
          <cell r="C221" t="str">
            <v>PERFUME MASCULINO 119 EROS VERSACE</v>
          </cell>
          <cell r="E221">
            <v>50</v>
          </cell>
          <cell r="F221" t="str">
            <v>ml</v>
          </cell>
          <cell r="G221" t="str">
            <v>MOUTIER</v>
          </cell>
          <cell r="H221" t="str">
            <v>PERFUMARIA</v>
          </cell>
          <cell r="I221" t="str">
            <v>PERFUME</v>
          </cell>
          <cell r="J221" t="str">
            <v>LÍQUIDO</v>
          </cell>
          <cell r="L221">
            <v>175.26407181919058</v>
          </cell>
        </row>
        <row r="222">
          <cell r="B222" t="str">
            <v>MOPFFM11</v>
          </cell>
          <cell r="C222" t="str">
            <v>PERFUME MASCULINO 122 ANIMALE</v>
          </cell>
          <cell r="E222">
            <v>50</v>
          </cell>
          <cell r="F222" t="str">
            <v>ml</v>
          </cell>
          <cell r="G222" t="str">
            <v>MOUTIER</v>
          </cell>
          <cell r="H222" t="str">
            <v>PERFUMARIA</v>
          </cell>
          <cell r="I222" t="str">
            <v>PERFUME</v>
          </cell>
          <cell r="J222" t="str">
            <v>LÍQUIDO</v>
          </cell>
          <cell r="L222">
            <v>175.26407181919058</v>
          </cell>
        </row>
        <row r="223">
          <cell r="B223" t="str">
            <v>MOPFFM12</v>
          </cell>
          <cell r="C223" t="str">
            <v>PERFUME MASCULINO 135 SCANDAL POUR HOMME</v>
          </cell>
          <cell r="E223">
            <v>50</v>
          </cell>
          <cell r="F223" t="str">
            <v>ml</v>
          </cell>
          <cell r="G223" t="str">
            <v>MOUTIER</v>
          </cell>
          <cell r="H223" t="str">
            <v>PERFUMARIA</v>
          </cell>
          <cell r="I223" t="str">
            <v>PERFUME</v>
          </cell>
          <cell r="J223" t="str">
            <v>LÍQUIDO</v>
          </cell>
          <cell r="L223">
            <v>175.26407181919058</v>
          </cell>
        </row>
        <row r="224">
          <cell r="B224" t="str">
            <v>MOPFFM13</v>
          </cell>
          <cell r="C224" t="str">
            <v>PERFUME MASCULINO 100 SILVER SCENT</v>
          </cell>
          <cell r="E224">
            <v>50</v>
          </cell>
          <cell r="F224" t="str">
            <v>ml</v>
          </cell>
          <cell r="G224" t="str">
            <v>MOUTIER</v>
          </cell>
          <cell r="H224" t="str">
            <v>PERFUMARIA</v>
          </cell>
          <cell r="I224" t="str">
            <v>PERFUME</v>
          </cell>
          <cell r="J224" t="str">
            <v>LÍQUIDO</v>
          </cell>
          <cell r="L224">
            <v>175.26407181919058</v>
          </cell>
        </row>
        <row r="225">
          <cell r="B225" t="str">
            <v>MOPFFM14</v>
          </cell>
          <cell r="C225" t="str">
            <v>PERFUME MASCULINO 101 AZZARRO</v>
          </cell>
          <cell r="E225">
            <v>50</v>
          </cell>
          <cell r="F225" t="str">
            <v>ml</v>
          </cell>
          <cell r="G225" t="str">
            <v>MOUTIER</v>
          </cell>
          <cell r="H225" t="str">
            <v>PERFUMARIA</v>
          </cell>
          <cell r="I225" t="str">
            <v>PERFUME</v>
          </cell>
          <cell r="J225" t="str">
            <v>LÍQUIDO</v>
          </cell>
          <cell r="L225">
            <v>175.26407181919058</v>
          </cell>
        </row>
        <row r="226">
          <cell r="B226" t="str">
            <v>MOPFFM15</v>
          </cell>
          <cell r="C226" t="str">
            <v>PERFUME MASCULINO 106 POLO BLUE</v>
          </cell>
          <cell r="E226">
            <v>50</v>
          </cell>
          <cell r="F226" t="str">
            <v>ml</v>
          </cell>
          <cell r="G226" t="str">
            <v>MOUTIER</v>
          </cell>
          <cell r="H226" t="str">
            <v>PERFUMARIA</v>
          </cell>
          <cell r="I226" t="str">
            <v>PERFUME</v>
          </cell>
          <cell r="J226" t="str">
            <v>LÍQUIDO</v>
          </cell>
          <cell r="L226">
            <v>175.26407181919058</v>
          </cell>
        </row>
        <row r="227">
          <cell r="B227" t="str">
            <v>MOPFFM16</v>
          </cell>
          <cell r="C227" t="str">
            <v>PERFUME MASCULINO 112 POLO</v>
          </cell>
          <cell r="E227">
            <v>50</v>
          </cell>
          <cell r="F227" t="str">
            <v>ml</v>
          </cell>
          <cell r="G227" t="str">
            <v>MOUTIER</v>
          </cell>
          <cell r="H227" t="str">
            <v>PERFUMARIA</v>
          </cell>
          <cell r="I227" t="str">
            <v>PERFUME</v>
          </cell>
          <cell r="J227" t="str">
            <v>LÍQUIDO</v>
          </cell>
          <cell r="L227">
            <v>175.26407181919058</v>
          </cell>
        </row>
        <row r="228">
          <cell r="B228" t="str">
            <v>MOPFFM17</v>
          </cell>
          <cell r="C228" t="str">
            <v>PERFUME MASCULINO 114 212 FOR MEN</v>
          </cell>
          <cell r="E228">
            <v>50</v>
          </cell>
          <cell r="F228" t="str">
            <v>ml</v>
          </cell>
          <cell r="G228" t="str">
            <v>MOUTIER</v>
          </cell>
          <cell r="H228" t="str">
            <v>PERFUMARIA</v>
          </cell>
          <cell r="I228" t="str">
            <v>PERFUME</v>
          </cell>
          <cell r="J228" t="str">
            <v>LÍQUIDO</v>
          </cell>
          <cell r="L228">
            <v>175.26407181919058</v>
          </cell>
        </row>
        <row r="229">
          <cell r="B229" t="str">
            <v>MOPFFM18</v>
          </cell>
          <cell r="C229" t="str">
            <v>PERFUME MASCULINO 120 ISSEY MIYAKE</v>
          </cell>
          <cell r="E229">
            <v>50</v>
          </cell>
          <cell r="F229" t="str">
            <v>ml</v>
          </cell>
          <cell r="G229" t="str">
            <v>MOUTIER</v>
          </cell>
          <cell r="H229" t="str">
            <v>PERFUMARIA</v>
          </cell>
          <cell r="I229" t="str">
            <v>PERFUME</v>
          </cell>
          <cell r="J229" t="str">
            <v>LÍQUIDO</v>
          </cell>
          <cell r="L229">
            <v>175.26407181919058</v>
          </cell>
        </row>
        <row r="230">
          <cell r="B230" t="str">
            <v>MOPFFM19</v>
          </cell>
          <cell r="C230" t="str">
            <v>PERFUME MASCULINO 121 212 VIP MEN</v>
          </cell>
          <cell r="E230">
            <v>50</v>
          </cell>
          <cell r="F230" t="str">
            <v>ml</v>
          </cell>
          <cell r="G230" t="str">
            <v>MOUTIER</v>
          </cell>
          <cell r="H230" t="str">
            <v>PERFUMARIA</v>
          </cell>
          <cell r="I230" t="str">
            <v>PERFUME</v>
          </cell>
          <cell r="J230" t="str">
            <v>LÍQUIDO</v>
          </cell>
          <cell r="L230">
            <v>175.26407181919058</v>
          </cell>
        </row>
        <row r="231">
          <cell r="B231" t="str">
            <v>MOPFFM20</v>
          </cell>
          <cell r="C231" t="str">
            <v>PERFUME MASCULINO 134 MARLY ALTHAIR</v>
          </cell>
          <cell r="E231">
            <v>50</v>
          </cell>
          <cell r="F231" t="str">
            <v>ml</v>
          </cell>
          <cell r="G231" t="str">
            <v>MOUTIER</v>
          </cell>
          <cell r="H231" t="str">
            <v>PERFUMARIA</v>
          </cell>
          <cell r="I231" t="str">
            <v>PERFUME</v>
          </cell>
          <cell r="J231" t="str">
            <v>LÍQUIDO</v>
          </cell>
          <cell r="L231">
            <v>175.26407181919058</v>
          </cell>
        </row>
        <row r="232">
          <cell r="B232" t="str">
            <v>MOPFFW01</v>
          </cell>
          <cell r="C232" t="str">
            <v>PERFUME FEMININO 08 DIOR J'ADORE</v>
          </cell>
          <cell r="E232">
            <v>50</v>
          </cell>
          <cell r="F232" t="str">
            <v>ml</v>
          </cell>
          <cell r="G232" t="str">
            <v>MOUTIER</v>
          </cell>
          <cell r="H232" t="str">
            <v>PERFUMARIA</v>
          </cell>
          <cell r="I232" t="str">
            <v>PERFUME</v>
          </cell>
          <cell r="J232" t="str">
            <v>LÍQUIDO</v>
          </cell>
          <cell r="L232">
            <v>175.26407181919058</v>
          </cell>
        </row>
        <row r="233">
          <cell r="B233" t="str">
            <v>SRM-SENR-0001</v>
          </cell>
          <cell r="C233" t="str">
            <v>SERUM FACIAL 30ML</v>
          </cell>
          <cell r="E233">
            <v>30</v>
          </cell>
          <cell r="F233" t="str">
            <v>ml</v>
          </cell>
          <cell r="G233" t="str">
            <v>SEUNOURA</v>
          </cell>
        </row>
        <row r="234">
          <cell r="C234" t="str">
            <v>FIRMADOR 200ML</v>
          </cell>
          <cell r="E234">
            <v>200</v>
          </cell>
          <cell r="F234" t="str">
            <v>ml</v>
          </cell>
          <cell r="G234" t="str">
            <v>SEUNOURA</v>
          </cell>
        </row>
        <row r="235">
          <cell r="C235" t="str">
            <v>ESPUMA DE LIMPEZA FACIAL 100ML</v>
          </cell>
          <cell r="E235">
            <v>100</v>
          </cell>
          <cell r="F235" t="str">
            <v>ml</v>
          </cell>
          <cell r="G235" t="str">
            <v>SEUNOURA</v>
          </cell>
        </row>
        <row r="236">
          <cell r="C236" t="str">
            <v>HIDRATANTE FACIAL 50G</v>
          </cell>
          <cell r="E236">
            <v>50</v>
          </cell>
          <cell r="F236" t="str">
            <v>g</v>
          </cell>
          <cell r="G236" t="str">
            <v>SEUNOURA</v>
          </cell>
        </row>
        <row r="237">
          <cell r="C237" t="str">
            <v>BODY SPLASH SOLAR GLOW MIST 150ML</v>
          </cell>
          <cell r="E237">
            <v>150</v>
          </cell>
          <cell r="F237" t="str">
            <v>ml</v>
          </cell>
          <cell r="G237" t="str">
            <v>SEUNOURA</v>
          </cell>
        </row>
        <row r="238">
          <cell r="C238" t="str">
            <v>AGUA DE BELEZA 100ML</v>
          </cell>
          <cell r="E238">
            <v>100</v>
          </cell>
          <cell r="F238" t="str">
            <v>ml</v>
          </cell>
          <cell r="G238" t="str">
            <v>SEUNOURA</v>
          </cell>
        </row>
        <row r="239">
          <cell r="B239" t="str">
            <v>MOPFFW02</v>
          </cell>
          <cell r="C239" t="str">
            <v>PERFUME FEMININO 09 SCANDAL</v>
          </cell>
          <cell r="E239">
            <v>50</v>
          </cell>
          <cell r="F239" t="str">
            <v>ml</v>
          </cell>
          <cell r="G239" t="str">
            <v>MOUTIER</v>
          </cell>
          <cell r="H239" t="str">
            <v>PERFUMARIA</v>
          </cell>
          <cell r="I239" t="str">
            <v>PERFUME</v>
          </cell>
          <cell r="J239" t="str">
            <v>LÍQUIDO</v>
          </cell>
          <cell r="L239">
            <v>175.26407181919058</v>
          </cell>
        </row>
        <row r="240">
          <cell r="B240" t="str">
            <v>MOPFFW03</v>
          </cell>
          <cell r="C240" t="str">
            <v>PERFUME FEMININO 10 212 SEXY</v>
          </cell>
          <cell r="E240">
            <v>50</v>
          </cell>
          <cell r="F240" t="str">
            <v>ml</v>
          </cell>
          <cell r="G240" t="str">
            <v>MOUTIER</v>
          </cell>
          <cell r="H240" t="str">
            <v>PERFUMARIA</v>
          </cell>
          <cell r="I240" t="str">
            <v>PERFUME</v>
          </cell>
          <cell r="J240" t="str">
            <v>LÍQUIDO</v>
          </cell>
          <cell r="L240">
            <v>175.26407181919058</v>
          </cell>
        </row>
        <row r="241">
          <cell r="B241" t="str">
            <v>MOPFFW04</v>
          </cell>
          <cell r="C241" t="str">
            <v>PERFUME FEMININO 11 OLYMPEA</v>
          </cell>
          <cell r="E241">
            <v>50</v>
          </cell>
          <cell r="F241" t="str">
            <v>ml</v>
          </cell>
          <cell r="G241" t="str">
            <v>MOUTIER</v>
          </cell>
          <cell r="H241" t="str">
            <v>PERFUMARIA</v>
          </cell>
          <cell r="I241" t="str">
            <v>PERFUME</v>
          </cell>
          <cell r="J241" t="str">
            <v>LÍQUIDO</v>
          </cell>
          <cell r="L241">
            <v>175.26407181919058</v>
          </cell>
        </row>
        <row r="242">
          <cell r="B242" t="str">
            <v>MOPFFW05</v>
          </cell>
          <cell r="C242" t="str">
            <v>PERFUME FEMININO 12 LADY MILLION</v>
          </cell>
          <cell r="E242">
            <v>50</v>
          </cell>
          <cell r="F242" t="str">
            <v>ml</v>
          </cell>
          <cell r="G242" t="str">
            <v>MOUTIER</v>
          </cell>
          <cell r="H242" t="str">
            <v>PERFUMARIA</v>
          </cell>
          <cell r="I242" t="str">
            <v>PERFUME</v>
          </cell>
          <cell r="J242" t="str">
            <v>LÍQUIDO</v>
          </cell>
          <cell r="L242">
            <v>175.26407181919058</v>
          </cell>
        </row>
        <row r="243">
          <cell r="B243" t="str">
            <v>MOPFFW06</v>
          </cell>
          <cell r="C243" t="str">
            <v>PERFUME FEMININO 16 COCO MADEMOISELLE</v>
          </cell>
          <cell r="E243">
            <v>50</v>
          </cell>
          <cell r="F243" t="str">
            <v>ml</v>
          </cell>
          <cell r="G243" t="str">
            <v>MOUTIER</v>
          </cell>
          <cell r="H243" t="str">
            <v>PERFUMARIA</v>
          </cell>
          <cell r="I243" t="str">
            <v>PERFUME</v>
          </cell>
          <cell r="J243" t="str">
            <v>LÍQUIDO</v>
          </cell>
          <cell r="L243">
            <v>175.26407181919058</v>
          </cell>
        </row>
        <row r="244">
          <cell r="B244" t="str">
            <v>MOPFFW07</v>
          </cell>
          <cell r="C244" t="str">
            <v>PERFUME FEMININO 18 AMOR AMOR</v>
          </cell>
          <cell r="E244">
            <v>50</v>
          </cell>
          <cell r="F244" t="str">
            <v>ml</v>
          </cell>
          <cell r="G244" t="str">
            <v>MOUTIER</v>
          </cell>
          <cell r="H244" t="str">
            <v>PERFUMARIA</v>
          </cell>
          <cell r="I244" t="str">
            <v>PERFUME</v>
          </cell>
          <cell r="J244" t="str">
            <v>LÍQUIDO</v>
          </cell>
          <cell r="L244">
            <v>175.26407181919058</v>
          </cell>
        </row>
        <row r="245">
          <cell r="B245" t="str">
            <v>MOPFFW08</v>
          </cell>
          <cell r="C245" t="str">
            <v>PERFUME FEMININO 31 L'INTERDIT ROUGE</v>
          </cell>
          <cell r="E245">
            <v>50</v>
          </cell>
          <cell r="F245" t="str">
            <v>ml</v>
          </cell>
          <cell r="G245" t="str">
            <v>MOUTIER</v>
          </cell>
          <cell r="H245" t="str">
            <v>PERFUMARIA</v>
          </cell>
          <cell r="I245" t="str">
            <v>PERFUME</v>
          </cell>
          <cell r="J245" t="str">
            <v>LÍQUIDO</v>
          </cell>
          <cell r="L245">
            <v>175.26407181919058</v>
          </cell>
        </row>
        <row r="246">
          <cell r="B246" t="str">
            <v>MOPFFW09</v>
          </cell>
          <cell r="C246" t="str">
            <v>PERFUME FEMININO 02 LA VIE EST BELLE</v>
          </cell>
          <cell r="E246">
            <v>50</v>
          </cell>
          <cell r="F246" t="str">
            <v>ml</v>
          </cell>
          <cell r="G246" t="str">
            <v>MOUTIER</v>
          </cell>
          <cell r="H246" t="str">
            <v>PERFUMARIA</v>
          </cell>
          <cell r="I246" t="str">
            <v>PERFUME</v>
          </cell>
          <cell r="J246" t="str">
            <v>LÍQUIDO</v>
          </cell>
          <cell r="L246">
            <v>175.26407181919058</v>
          </cell>
        </row>
        <row r="247">
          <cell r="B247" t="str">
            <v>MOPFFW10</v>
          </cell>
          <cell r="C247" t="str">
            <v>PERFUME FEMININO 03 GOOD GIRL</v>
          </cell>
          <cell r="E247">
            <v>50</v>
          </cell>
          <cell r="F247" t="str">
            <v>ml</v>
          </cell>
          <cell r="G247" t="str">
            <v>MOUTIER</v>
          </cell>
          <cell r="H247" t="str">
            <v>PERFUMARIA</v>
          </cell>
          <cell r="I247" t="str">
            <v>PERFUME</v>
          </cell>
          <cell r="J247" t="str">
            <v>LÍQUIDO</v>
          </cell>
          <cell r="L247">
            <v>175.26407181919058</v>
          </cell>
        </row>
        <row r="248">
          <cell r="B248" t="str">
            <v>MOPFFW11</v>
          </cell>
          <cell r="C248" t="str">
            <v>PERFUME FEMININO 04 IDÔLE</v>
          </cell>
          <cell r="E248">
            <v>50</v>
          </cell>
          <cell r="F248" t="str">
            <v>ml</v>
          </cell>
          <cell r="G248" t="str">
            <v>MOUTIER</v>
          </cell>
          <cell r="H248" t="str">
            <v>PERFUMARIA</v>
          </cell>
          <cell r="I248" t="str">
            <v>PERFUME</v>
          </cell>
          <cell r="J248" t="str">
            <v>LÍQUIDO</v>
          </cell>
          <cell r="L248">
            <v>175.26407181919058</v>
          </cell>
        </row>
        <row r="249">
          <cell r="B249" t="str">
            <v>MOPFFW12</v>
          </cell>
          <cell r="C249" t="str">
            <v>PERFUME FEMININO 05 ANGEL</v>
          </cell>
          <cell r="E249">
            <v>50</v>
          </cell>
          <cell r="F249" t="str">
            <v>ml</v>
          </cell>
          <cell r="G249" t="str">
            <v>MOUTIER</v>
          </cell>
          <cell r="H249" t="str">
            <v>PERFUMARIA</v>
          </cell>
          <cell r="I249" t="str">
            <v>PERFUME</v>
          </cell>
          <cell r="J249" t="str">
            <v>LÍQUIDO</v>
          </cell>
          <cell r="L249">
            <v>175.26407181919058</v>
          </cell>
        </row>
        <row r="250">
          <cell r="B250" t="str">
            <v>MOPFFW13</v>
          </cell>
          <cell r="C250" t="str">
            <v>PERFUME FEMININO 13 212 VIP</v>
          </cell>
          <cell r="E250">
            <v>50</v>
          </cell>
          <cell r="F250" t="str">
            <v>ml</v>
          </cell>
          <cell r="G250" t="str">
            <v>MOUTIER</v>
          </cell>
          <cell r="H250" t="str">
            <v>PERFUMARIA</v>
          </cell>
          <cell r="I250" t="str">
            <v>PERFUME</v>
          </cell>
          <cell r="J250" t="str">
            <v>LÍQUIDO</v>
          </cell>
          <cell r="L250">
            <v>175.26407181919058</v>
          </cell>
        </row>
        <row r="251">
          <cell r="B251" t="str">
            <v>MOPFFW14</v>
          </cell>
          <cell r="C251" t="str">
            <v>PERFUME FEMININO 14 CH 212</v>
          </cell>
          <cell r="E251">
            <v>50</v>
          </cell>
          <cell r="F251" t="str">
            <v>ml</v>
          </cell>
          <cell r="G251" t="str">
            <v>MOUTIER</v>
          </cell>
          <cell r="H251" t="str">
            <v>PERFUMARIA</v>
          </cell>
          <cell r="I251" t="str">
            <v>PERFUME</v>
          </cell>
          <cell r="J251" t="str">
            <v>LÍQUIDO</v>
          </cell>
          <cell r="L251">
            <v>175.26407181919058</v>
          </cell>
        </row>
        <row r="252">
          <cell r="B252" t="str">
            <v>MOPFFW15</v>
          </cell>
          <cell r="C252" t="str">
            <v>PERFUME FEMININO 21 SO SCANDAL</v>
          </cell>
          <cell r="E252">
            <v>50</v>
          </cell>
          <cell r="F252" t="str">
            <v>ml</v>
          </cell>
          <cell r="G252" t="str">
            <v>MOUTIER</v>
          </cell>
          <cell r="H252" t="str">
            <v>PERFUMARIA</v>
          </cell>
          <cell r="I252" t="str">
            <v>PERFUME</v>
          </cell>
          <cell r="J252" t="str">
            <v>LÍQUIDO</v>
          </cell>
          <cell r="L252">
            <v>175.26407181919058</v>
          </cell>
        </row>
        <row r="253">
          <cell r="B253" t="str">
            <v>MOPFFW16</v>
          </cell>
          <cell r="C253" t="str">
            <v>PERFUME FEMININO 25 MISS DIOR</v>
          </cell>
          <cell r="E253">
            <v>50</v>
          </cell>
          <cell r="F253" t="str">
            <v>ml</v>
          </cell>
          <cell r="G253" t="str">
            <v>MOUTIER</v>
          </cell>
          <cell r="H253" t="str">
            <v>PERFUMARIA</v>
          </cell>
          <cell r="I253" t="str">
            <v>PERFUME</v>
          </cell>
          <cell r="J253" t="str">
            <v>LÍQUIDO</v>
          </cell>
          <cell r="L253">
            <v>175.26407181919058</v>
          </cell>
        </row>
        <row r="254">
          <cell r="B254" t="str">
            <v>MOPFFW17</v>
          </cell>
          <cell r="C254" t="str">
            <v>PERFUME FEMININO 27 MY WAY</v>
          </cell>
          <cell r="E254">
            <v>50</v>
          </cell>
          <cell r="F254" t="str">
            <v>ml</v>
          </cell>
          <cell r="G254" t="str">
            <v>MOUTIER</v>
          </cell>
          <cell r="H254" t="str">
            <v>PERFUMARIA</v>
          </cell>
          <cell r="I254" t="str">
            <v>PERFUME</v>
          </cell>
          <cell r="J254" t="str">
            <v>LÍQUIDO</v>
          </cell>
          <cell r="L254">
            <v>175.26407181919058</v>
          </cell>
        </row>
        <row r="255">
          <cell r="B255" t="str">
            <v>MOPFFW18</v>
          </cell>
          <cell r="C255" t="str">
            <v>PERFUME FEMININO 28 212 VIP ROSÉ</v>
          </cell>
          <cell r="E255">
            <v>50</v>
          </cell>
          <cell r="F255" t="str">
            <v>ml</v>
          </cell>
          <cell r="G255" t="str">
            <v>MOUTIER</v>
          </cell>
          <cell r="H255" t="str">
            <v>PERFUMARIA</v>
          </cell>
          <cell r="I255" t="str">
            <v>PERFUME</v>
          </cell>
          <cell r="J255" t="str">
            <v>LÍQUIDO</v>
          </cell>
          <cell r="L255">
            <v>175.26407181919058</v>
          </cell>
        </row>
        <row r="256">
          <cell r="B256" t="str">
            <v>MOPFFW19</v>
          </cell>
          <cell r="C256" t="str">
            <v>PERFUME FEMININO 30 FANTASY</v>
          </cell>
          <cell r="E256">
            <v>50</v>
          </cell>
          <cell r="F256" t="str">
            <v>ml</v>
          </cell>
          <cell r="G256" t="str">
            <v>MOUTIER</v>
          </cell>
          <cell r="H256" t="str">
            <v>PERFUMARIA</v>
          </cell>
          <cell r="I256" t="str">
            <v>PERFUME</v>
          </cell>
          <cell r="J256" t="str">
            <v>LÍQUIDO</v>
          </cell>
          <cell r="L256">
            <v>175.26407181919058</v>
          </cell>
        </row>
        <row r="257">
          <cell r="B257" t="str">
            <v>MOPFFW20</v>
          </cell>
          <cell r="C257" t="str">
            <v>PERFUME FEMININO 32 LIGHT BLUE</v>
          </cell>
          <cell r="E257">
            <v>50</v>
          </cell>
          <cell r="F257" t="str">
            <v>ml</v>
          </cell>
          <cell r="G257" t="str">
            <v>MOUTIER</v>
          </cell>
          <cell r="H257" t="str">
            <v>PERFUMARIA</v>
          </cell>
          <cell r="I257" t="str">
            <v>PERFUME</v>
          </cell>
          <cell r="J257" t="str">
            <v>LÍQUIDO</v>
          </cell>
          <cell r="L257">
            <v>175.26407181919058</v>
          </cell>
        </row>
        <row r="258">
          <cell r="B258" t="str">
            <v>MRARBS01</v>
          </cell>
          <cell r="C258" t="str">
            <v>BODY SPLASH AURORA IMPERIAL</v>
          </cell>
          <cell r="E258">
            <v>220</v>
          </cell>
          <cell r="F258" t="str">
            <v>ml</v>
          </cell>
          <cell r="G258" t="str">
            <v>MISS RÔSE</v>
          </cell>
          <cell r="H258" t="str">
            <v>PERFUMARIA</v>
          </cell>
          <cell r="I258" t="str">
            <v>BODY SPLASH</v>
          </cell>
          <cell r="J258" t="str">
            <v>LÍQUIDO</v>
          </cell>
          <cell r="L258">
            <v>843.58780095852239</v>
          </cell>
        </row>
        <row r="259">
          <cell r="B259" t="str">
            <v>MRARBS02</v>
          </cell>
          <cell r="C259" t="str">
            <v>BODY SPLASH DEUSA DO NILO</v>
          </cell>
          <cell r="E259">
            <v>220</v>
          </cell>
          <cell r="F259" t="str">
            <v>ml</v>
          </cell>
          <cell r="G259" t="str">
            <v>MISS RÔSE</v>
          </cell>
          <cell r="H259" t="str">
            <v>PERFUMARIA</v>
          </cell>
          <cell r="I259" t="str">
            <v>BODY SPLASH</v>
          </cell>
          <cell r="J259" t="str">
            <v>LÍQUIDO</v>
          </cell>
          <cell r="L259">
            <v>843.58780095852239</v>
          </cell>
        </row>
        <row r="260">
          <cell r="B260" t="str">
            <v>MRARBS03</v>
          </cell>
          <cell r="C260" t="str">
            <v>BODY SPLASH ECLIPSE DOURADO</v>
          </cell>
          <cell r="E260">
            <v>220</v>
          </cell>
          <cell r="F260" t="str">
            <v>ml</v>
          </cell>
          <cell r="G260" t="str">
            <v>MISS RÔSE</v>
          </cell>
          <cell r="H260" t="str">
            <v>PERFUMARIA</v>
          </cell>
          <cell r="I260" t="str">
            <v>BODY SPLASH</v>
          </cell>
          <cell r="J260" t="str">
            <v>LÍQUIDO</v>
          </cell>
          <cell r="L260">
            <v>843.58780095852239</v>
          </cell>
        </row>
        <row r="261">
          <cell r="B261" t="str">
            <v>MRARBS04</v>
          </cell>
          <cell r="C261" t="str">
            <v>BODY SPLASH NÉCTAR DAS TAMARAS</v>
          </cell>
          <cell r="E261">
            <v>220</v>
          </cell>
          <cell r="F261" t="str">
            <v>ml</v>
          </cell>
          <cell r="G261" t="str">
            <v>MISS RÔSE</v>
          </cell>
          <cell r="H261" t="str">
            <v>PERFUMARIA</v>
          </cell>
          <cell r="I261" t="str">
            <v>BODY SPLASH</v>
          </cell>
          <cell r="J261" t="str">
            <v>LÍQUIDO</v>
          </cell>
          <cell r="L261">
            <v>843.58780095852239</v>
          </cell>
        </row>
        <row r="262">
          <cell r="B262" t="str">
            <v>MRARBS05</v>
          </cell>
          <cell r="C262" t="str">
            <v>BODY SPLASH FORÇA DO LEAO</v>
          </cell>
          <cell r="E262">
            <v>220</v>
          </cell>
          <cell r="F262" t="str">
            <v>ml</v>
          </cell>
          <cell r="G262" t="str">
            <v>MISS RÔSE</v>
          </cell>
          <cell r="H262" t="str">
            <v>PERFUMARIA</v>
          </cell>
          <cell r="I262" t="str">
            <v>BODY SPLASH</v>
          </cell>
          <cell r="J262" t="str">
            <v>LÍQUIDO</v>
          </cell>
          <cell r="L262">
            <v>843.58780095852239</v>
          </cell>
        </row>
        <row r="263">
          <cell r="B263" t="str">
            <v>MRARBS06</v>
          </cell>
          <cell r="C263" t="str">
            <v>BODY SPLASH CEU INFINITO 200ml</v>
          </cell>
          <cell r="E263">
            <v>215</v>
          </cell>
          <cell r="F263" t="str">
            <v>ml</v>
          </cell>
          <cell r="G263" t="str">
            <v>MISS RÔSE</v>
          </cell>
          <cell r="H263" t="str">
            <v>PERFUMARIA</v>
          </cell>
          <cell r="I263" t="str">
            <v>BODY SPLASH</v>
          </cell>
          <cell r="J263" t="str">
            <v>LÍQUIDO</v>
          </cell>
          <cell r="L263">
            <v>843.58780095852239</v>
          </cell>
        </row>
        <row r="264">
          <cell r="B264" t="str">
            <v>MRARBS07</v>
          </cell>
          <cell r="C264" t="str">
            <v>BODY SPLASH LEAO DO DESERTO BOURBON 200ml</v>
          </cell>
          <cell r="E264">
            <v>215</v>
          </cell>
          <cell r="F264" t="str">
            <v>ml</v>
          </cell>
          <cell r="G264" t="str">
            <v>MISS RÔSE</v>
          </cell>
          <cell r="H264" t="str">
            <v>PERFUMARIA</v>
          </cell>
          <cell r="I264" t="str">
            <v>BODY SPLASH</v>
          </cell>
          <cell r="J264" t="str">
            <v>LÍQUIDO</v>
          </cell>
          <cell r="L264">
            <v>843.58780095852239</v>
          </cell>
        </row>
        <row r="265">
          <cell r="B265" t="str">
            <v>MRARBS08</v>
          </cell>
          <cell r="C265" t="str">
            <v>BODY SPLASH CEU CELESTE 200ml</v>
          </cell>
          <cell r="E265">
            <v>215</v>
          </cell>
          <cell r="F265" t="str">
            <v>ml</v>
          </cell>
          <cell r="G265" t="str">
            <v>MISS RÔSE</v>
          </cell>
          <cell r="H265" t="str">
            <v>PERFUMARIA</v>
          </cell>
          <cell r="I265" t="str">
            <v>BODY SPLASH</v>
          </cell>
          <cell r="J265" t="str">
            <v>LÍQUIDO</v>
          </cell>
          <cell r="L265">
            <v>843.58780095852239</v>
          </cell>
        </row>
        <row r="266">
          <cell r="B266" t="str">
            <v>MRARBS09</v>
          </cell>
          <cell r="C266" t="str">
            <v>BODY SPLASH DESPERTAR DAS FLORES 200ml</v>
          </cell>
          <cell r="E266">
            <v>215</v>
          </cell>
          <cell r="F266" t="str">
            <v>ml</v>
          </cell>
          <cell r="G266" t="str">
            <v>MISS RÔSE</v>
          </cell>
          <cell r="H266" t="str">
            <v>PERFUMARIA</v>
          </cell>
          <cell r="I266" t="str">
            <v>BODY SPLASH</v>
          </cell>
          <cell r="J266" t="str">
            <v>LÍQUIDO</v>
          </cell>
          <cell r="L266">
            <v>843.58780095852239</v>
          </cell>
        </row>
        <row r="267">
          <cell r="B267" t="str">
            <v>MRARBS10</v>
          </cell>
          <cell r="C267" t="str">
            <v>BODY SPLASH AMBAR REAL 200ml</v>
          </cell>
          <cell r="E267">
            <v>215</v>
          </cell>
          <cell r="F267" t="str">
            <v>ml</v>
          </cell>
          <cell r="G267" t="str">
            <v>MISS RÔSE</v>
          </cell>
          <cell r="H267" t="str">
            <v>PERFUMARIA</v>
          </cell>
          <cell r="I267" t="str">
            <v>BODY SPLASH</v>
          </cell>
          <cell r="J267" t="str">
            <v>LÍQUIDO</v>
          </cell>
          <cell r="L267">
            <v>843.58780095852239</v>
          </cell>
        </row>
        <row r="268">
          <cell r="B268" t="str">
            <v>MRARBS11</v>
          </cell>
          <cell r="C268" t="str">
            <v>BODY SPLASH ROSA RAINHA 200ml</v>
          </cell>
          <cell r="E268">
            <v>215</v>
          </cell>
          <cell r="F268" t="str">
            <v>ml</v>
          </cell>
          <cell r="G268" t="str">
            <v>MISS RÔSE</v>
          </cell>
          <cell r="H268" t="str">
            <v>PERFUMARIA</v>
          </cell>
          <cell r="I268" t="str">
            <v>BODY SPLASH</v>
          </cell>
          <cell r="J268" t="str">
            <v>LÍQUIDO</v>
          </cell>
          <cell r="L268">
            <v>843.58780095852239</v>
          </cell>
        </row>
        <row r="269">
          <cell r="B269" t="str">
            <v>MRARBS12</v>
          </cell>
          <cell r="C269" t="str">
            <v>BODY SPLASH FLOR D AURA 200ml</v>
          </cell>
          <cell r="E269">
            <v>215</v>
          </cell>
          <cell r="F269" t="str">
            <v>ml</v>
          </cell>
          <cell r="G269" t="str">
            <v>MISS RÔSE</v>
          </cell>
          <cell r="H269" t="str">
            <v>PERFUMARIA</v>
          </cell>
          <cell r="I269" t="str">
            <v>BODY SPLASH</v>
          </cell>
          <cell r="J269" t="str">
            <v>LÍQUIDO</v>
          </cell>
          <cell r="L269">
            <v>843.58780095852239</v>
          </cell>
        </row>
        <row r="270">
          <cell r="B270" t="str">
            <v>MRARES01</v>
          </cell>
          <cell r="C270" t="str">
            <v>ESFOLIANTE AURORA IMPERIAL</v>
          </cell>
          <cell r="E270">
            <v>250</v>
          </cell>
          <cell r="F270" t="str">
            <v>g</v>
          </cell>
          <cell r="G270" t="str">
            <v>MISS RÔSE</v>
          </cell>
          <cell r="H270" t="str">
            <v>CORPORAL</v>
          </cell>
          <cell r="I270" t="str">
            <v>ESFOLIANTE</v>
          </cell>
          <cell r="J270" t="str">
            <v>VISCOSO</v>
          </cell>
          <cell r="L270">
            <v>721.11737989561891</v>
          </cell>
        </row>
        <row r="271">
          <cell r="B271" t="str">
            <v>MRARES02</v>
          </cell>
          <cell r="C271" t="str">
            <v>ESFOLIANTE DEUSA DO NILO</v>
          </cell>
          <cell r="E271">
            <v>250</v>
          </cell>
          <cell r="F271" t="str">
            <v>g</v>
          </cell>
          <cell r="G271" t="str">
            <v>MISS RÔSE</v>
          </cell>
          <cell r="H271" t="str">
            <v>CORPORAL</v>
          </cell>
          <cell r="I271" t="str">
            <v>ESFOLIANTE</v>
          </cell>
          <cell r="J271" t="str">
            <v>VISCOSO</v>
          </cell>
          <cell r="L271">
            <v>721.11737989561891</v>
          </cell>
        </row>
        <row r="272">
          <cell r="B272" t="str">
            <v>MRARHD01</v>
          </cell>
          <cell r="C272" t="str">
            <v>CREME HIDRATANTE CORPORAL AURORA IMPERIAL</v>
          </cell>
          <cell r="E272">
            <v>200</v>
          </cell>
          <cell r="F272" t="str">
            <v>ml</v>
          </cell>
          <cell r="G272" t="str">
            <v>MISS RÔSE</v>
          </cell>
          <cell r="H272" t="str">
            <v>CORPORAL</v>
          </cell>
          <cell r="I272" t="str">
            <v>CREME HIDRATANTE</v>
          </cell>
          <cell r="J272" t="str">
            <v>CREMOSO</v>
          </cell>
          <cell r="L272">
            <v>613.39886035164977</v>
          </cell>
        </row>
        <row r="273">
          <cell r="B273" t="str">
            <v>MRARHD02</v>
          </cell>
          <cell r="C273" t="str">
            <v>CREME HIDRATANTE CORPORAL DEUSA DO NILO</v>
          </cell>
          <cell r="E273">
            <v>200</v>
          </cell>
          <cell r="F273" t="str">
            <v>ml</v>
          </cell>
          <cell r="G273" t="str">
            <v>MISS RÔSE</v>
          </cell>
          <cell r="H273" t="str">
            <v>CORPORAL</v>
          </cell>
          <cell r="I273" t="str">
            <v>CREME HIDRATANTE</v>
          </cell>
          <cell r="J273" t="str">
            <v>CREMOSO</v>
          </cell>
          <cell r="L273">
            <v>613.39886035164977</v>
          </cell>
        </row>
        <row r="274">
          <cell r="B274" t="str">
            <v>MRARHD03</v>
          </cell>
          <cell r="C274" t="str">
            <v>CREME HIDRATANTE CORPORAL ECLIPSE DOURADO</v>
          </cell>
          <cell r="E274">
            <v>200</v>
          </cell>
          <cell r="F274" t="str">
            <v>ml</v>
          </cell>
          <cell r="G274" t="str">
            <v>MISS RÔSE</v>
          </cell>
          <cell r="H274" t="str">
            <v>CORPORAL</v>
          </cell>
          <cell r="I274" t="str">
            <v>CREME HIDRATANTE</v>
          </cell>
          <cell r="J274" t="str">
            <v>CREMOSO</v>
          </cell>
          <cell r="L274">
            <v>613.39886035164977</v>
          </cell>
        </row>
        <row r="275">
          <cell r="B275" t="str">
            <v>MRARHD04</v>
          </cell>
          <cell r="C275" t="str">
            <v>CREME HIDRATANTE CORPORAL NÉCTAR DAS TÂMARAS</v>
          </cell>
          <cell r="E275">
            <v>200</v>
          </cell>
          <cell r="F275" t="str">
            <v>ml</v>
          </cell>
          <cell r="G275" t="str">
            <v>MISS RÔSE</v>
          </cell>
          <cell r="H275" t="str">
            <v>CORPORAL</v>
          </cell>
          <cell r="I275" t="str">
            <v>CREME HIDRATANTE</v>
          </cell>
          <cell r="J275" t="str">
            <v>CREMOSO</v>
          </cell>
          <cell r="L275">
            <v>613.39886035164977</v>
          </cell>
        </row>
        <row r="276">
          <cell r="B276" t="str">
            <v>MRBR0001</v>
          </cell>
          <cell r="C276" t="str">
            <v xml:space="preserve"> BRUMA MATTE FIX 120ml</v>
          </cell>
          <cell r="E276">
            <v>120</v>
          </cell>
          <cell r="F276" t="str">
            <v>ml</v>
          </cell>
          <cell r="G276" t="str">
            <v>MISS RÔSE</v>
          </cell>
          <cell r="H276" t="str">
            <v>MAQUIAGEM</v>
          </cell>
          <cell r="I276" t="str">
            <v>BRUMA</v>
          </cell>
          <cell r="J276" t="str">
            <v>LÍQUIDO</v>
          </cell>
          <cell r="L276">
            <v>699.29256292632215</v>
          </cell>
        </row>
        <row r="277">
          <cell r="B277" t="str">
            <v>MRFX0001</v>
          </cell>
          <cell r="C277" t="str">
            <v>FIXADOR FIX MATTE 120ml</v>
          </cell>
          <cell r="E277">
            <v>120</v>
          </cell>
          <cell r="F277" t="str">
            <v>ml</v>
          </cell>
          <cell r="G277" t="str">
            <v>MISS RÔSE</v>
          </cell>
          <cell r="H277" t="str">
            <v>MAQUIAGEM</v>
          </cell>
          <cell r="I277" t="str">
            <v>FIXADOR</v>
          </cell>
          <cell r="J277" t="str">
            <v>LÍQUIDO</v>
          </cell>
          <cell r="L277">
            <v>785.51665461857374</v>
          </cell>
        </row>
        <row r="278">
          <cell r="B278" t="str">
            <v>PEDECR01</v>
          </cell>
          <cell r="C278" t="str">
            <v>DESODORANTE CREME CALM</v>
          </cell>
          <cell r="E278">
            <v>55</v>
          </cell>
          <cell r="F278" t="str">
            <v>g</v>
          </cell>
          <cell r="G278" t="str">
            <v>PURO EU</v>
          </cell>
          <cell r="H278" t="str">
            <v>CORPORAL</v>
          </cell>
          <cell r="I278" t="str">
            <v>DESODORANTE</v>
          </cell>
          <cell r="J278" t="str">
            <v>CREMOSO</v>
          </cell>
          <cell r="L278">
            <v>0</v>
          </cell>
        </row>
        <row r="279">
          <cell r="B279" t="str">
            <v>PEDECR02</v>
          </cell>
          <cell r="C279" t="str">
            <v>DESODORANTE CREME FRESH</v>
          </cell>
          <cell r="E279">
            <v>55</v>
          </cell>
          <cell r="F279" t="str">
            <v>g</v>
          </cell>
          <cell r="G279" t="str">
            <v>PURO EU</v>
          </cell>
          <cell r="H279" t="str">
            <v>CORPORAL</v>
          </cell>
          <cell r="I279" t="str">
            <v>DESODORANTE</v>
          </cell>
          <cell r="J279" t="str">
            <v>CREMOSO</v>
          </cell>
          <cell r="L279">
            <v>0</v>
          </cell>
        </row>
        <row r="280">
          <cell r="B280" t="str">
            <v>PEDECR03</v>
          </cell>
          <cell r="C280" t="str">
            <v>DESODORANTE CREME RELAX</v>
          </cell>
          <cell r="E280">
            <v>55</v>
          </cell>
          <cell r="F280" t="str">
            <v>g</v>
          </cell>
          <cell r="G280" t="str">
            <v>PURO EU</v>
          </cell>
          <cell r="H280" t="str">
            <v>CORPORAL</v>
          </cell>
          <cell r="I280" t="str">
            <v>DESODORANTE</v>
          </cell>
          <cell r="J280" t="str">
            <v>CREMOSO</v>
          </cell>
          <cell r="L280">
            <v>0</v>
          </cell>
        </row>
        <row r="281">
          <cell r="B281" t="str">
            <v>PEDECR04</v>
          </cell>
          <cell r="C281" t="str">
            <v>DESODORANTE CREME SEM PERFUME</v>
          </cell>
          <cell r="E281">
            <v>55</v>
          </cell>
          <cell r="F281" t="str">
            <v>g</v>
          </cell>
          <cell r="G281" t="str">
            <v>PURO EU</v>
          </cell>
          <cell r="H281" t="str">
            <v>CORPORAL</v>
          </cell>
          <cell r="I281" t="str">
            <v>DESODORANTE</v>
          </cell>
          <cell r="J281" t="str">
            <v>CREMOSO</v>
          </cell>
          <cell r="L281">
            <v>0</v>
          </cell>
        </row>
        <row r="282">
          <cell r="B282" t="str">
            <v>PEDECR05</v>
          </cell>
          <cell r="C282" t="str">
            <v>DESODORANTE CREME SENSITIVE</v>
          </cell>
          <cell r="E282">
            <v>55</v>
          </cell>
          <cell r="F282" t="str">
            <v>g</v>
          </cell>
          <cell r="G282" t="str">
            <v>PURO EU</v>
          </cell>
          <cell r="H282" t="str">
            <v>CORPORAL</v>
          </cell>
          <cell r="I282" t="str">
            <v>DESODORANTE</v>
          </cell>
          <cell r="J282" t="str">
            <v>CREMOSO</v>
          </cell>
          <cell r="L282">
            <v>0</v>
          </cell>
        </row>
        <row r="283">
          <cell r="B283" t="str">
            <v>PEDERL01</v>
          </cell>
          <cell r="C283" t="str">
            <v>DESODORANTE ROLLON CALM</v>
          </cell>
          <cell r="E283">
            <v>55</v>
          </cell>
          <cell r="F283" t="str">
            <v>ml</v>
          </cell>
          <cell r="G283" t="str">
            <v>PURO EU</v>
          </cell>
          <cell r="H283" t="str">
            <v>CORPORAL</v>
          </cell>
          <cell r="I283" t="str">
            <v>DESODORANTE</v>
          </cell>
          <cell r="J283" t="str">
            <v>VISCOSO</v>
          </cell>
          <cell r="L283">
            <v>802.46872213014433</v>
          </cell>
        </row>
        <row r="284">
          <cell r="B284" t="str">
            <v>PEDERL02</v>
          </cell>
          <cell r="C284" t="str">
            <v>DESODORANTE ROLLON FRESH</v>
          </cell>
          <cell r="E284">
            <v>55</v>
          </cell>
          <cell r="F284" t="str">
            <v>ml</v>
          </cell>
          <cell r="G284" t="str">
            <v>PURO EU</v>
          </cell>
          <cell r="H284" t="str">
            <v>CORPORAL</v>
          </cell>
          <cell r="I284" t="str">
            <v>DESODORANTE</v>
          </cell>
          <cell r="J284" t="str">
            <v>VISCOSO</v>
          </cell>
          <cell r="L284">
            <v>802.46872213014433</v>
          </cell>
        </row>
        <row r="285">
          <cell r="B285" t="str">
            <v>PEDERL03</v>
          </cell>
          <cell r="C285" t="str">
            <v>DESODORANTE ROLLON RELAX</v>
          </cell>
          <cell r="E285">
            <v>55</v>
          </cell>
          <cell r="F285" t="str">
            <v>ml</v>
          </cell>
          <cell r="G285" t="str">
            <v>PURO EU</v>
          </cell>
          <cell r="H285" t="str">
            <v>CORPORAL</v>
          </cell>
          <cell r="I285" t="str">
            <v>DESODORANTE</v>
          </cell>
          <cell r="J285" t="str">
            <v>VISCOSO</v>
          </cell>
          <cell r="L285">
            <v>802.46872213014433</v>
          </cell>
        </row>
        <row r="286">
          <cell r="B286" t="str">
            <v>PEDERL04</v>
          </cell>
          <cell r="C286" t="str">
            <v>DESODORANTE ROLLON SEM PERFUME</v>
          </cell>
          <cell r="E286">
            <v>55</v>
          </cell>
          <cell r="F286" t="str">
            <v>ml</v>
          </cell>
          <cell r="G286" t="str">
            <v>PURO EU</v>
          </cell>
          <cell r="H286" t="str">
            <v>CORPORAL</v>
          </cell>
          <cell r="I286" t="str">
            <v>DESODORANTE</v>
          </cell>
          <cell r="J286" t="str">
            <v>VISCOSO</v>
          </cell>
          <cell r="L286">
            <v>802.46872213014433</v>
          </cell>
        </row>
        <row r="287">
          <cell r="B287" t="str">
            <v>PEDERL05</v>
          </cell>
          <cell r="C287" t="str">
            <v>DESODORANTE ROLLON SENSITIVE</v>
          </cell>
          <cell r="E287">
            <v>55</v>
          </cell>
          <cell r="F287" t="str">
            <v>ml</v>
          </cell>
          <cell r="G287" t="str">
            <v>PURO EU</v>
          </cell>
          <cell r="H287" t="str">
            <v>CORPORAL</v>
          </cell>
          <cell r="I287" t="str">
            <v>DESODORANTE</v>
          </cell>
          <cell r="J287" t="str">
            <v>VISCOSO</v>
          </cell>
          <cell r="L287">
            <v>802.46872213014433</v>
          </cell>
        </row>
        <row r="288">
          <cell r="B288" t="str">
            <v>PRF-AFEE-0001</v>
          </cell>
          <cell r="C288" t="str">
            <v>PERFUME NUIT ROYALE INTENSE MAN 30ML</v>
          </cell>
          <cell r="E288">
            <v>30</v>
          </cell>
          <cell r="F288" t="str">
            <v>ml</v>
          </cell>
          <cell r="G288" t="str">
            <v>AFEER OF ARABIAN</v>
          </cell>
          <cell r="H288" t="str">
            <v>PERFUMARIA</v>
          </cell>
          <cell r="I288" t="str">
            <v>PERFUME</v>
          </cell>
          <cell r="J288" t="str">
            <v>LIQUIDO</v>
          </cell>
          <cell r="L288">
            <v>0</v>
          </cell>
        </row>
        <row r="289">
          <cell r="B289" t="str">
            <v>PRF-AFEE-0002</v>
          </cell>
          <cell r="C289" t="str">
            <v>PERFUME FAKHAR BLACK 30ML</v>
          </cell>
          <cell r="E289">
            <v>30</v>
          </cell>
          <cell r="F289" t="str">
            <v>ml</v>
          </cell>
          <cell r="G289" t="str">
            <v>AFEER OF ARABIAN</v>
          </cell>
          <cell r="H289" t="str">
            <v>PERFUMARIA</v>
          </cell>
          <cell r="I289" t="str">
            <v>PERFUME</v>
          </cell>
          <cell r="J289" t="str">
            <v>LIQUIDO</v>
          </cell>
          <cell r="L289">
            <v>0</v>
          </cell>
        </row>
        <row r="290">
          <cell r="B290" t="str">
            <v>PRF-AFEE-0003</v>
          </cell>
          <cell r="C290" t="str">
            <v>PERFUME ASAD AFEER 30ML</v>
          </cell>
          <cell r="E290">
            <v>30</v>
          </cell>
          <cell r="F290" t="str">
            <v>ml</v>
          </cell>
          <cell r="G290" t="str">
            <v>AFEER OF ARABIAN</v>
          </cell>
          <cell r="H290" t="str">
            <v>PERFUMARIA</v>
          </cell>
          <cell r="I290" t="str">
            <v>PERFUME</v>
          </cell>
          <cell r="J290" t="str">
            <v>LIQUIDO</v>
          </cell>
          <cell r="L290">
            <v>0</v>
          </cell>
        </row>
        <row r="291">
          <cell r="B291" t="str">
            <v>PRF-AFEE-0004</v>
          </cell>
          <cell r="C291" t="str">
            <v>PERFUME ASAD ELIXIR 30ML</v>
          </cell>
          <cell r="E291">
            <v>30</v>
          </cell>
          <cell r="F291" t="str">
            <v>ml</v>
          </cell>
          <cell r="G291" t="str">
            <v>AFEER OF ARABIAN</v>
          </cell>
          <cell r="H291" t="str">
            <v>PERFUMARIA</v>
          </cell>
          <cell r="I291" t="str">
            <v>PERFUME</v>
          </cell>
          <cell r="J291" t="str">
            <v>LIQUIDO</v>
          </cell>
          <cell r="L291">
            <v>0</v>
          </cell>
        </row>
        <row r="292">
          <cell r="B292" t="str">
            <v>PRF-AFEE-0005</v>
          </cell>
          <cell r="C292" t="str">
            <v>PERFUME N 1 VIP MAN BLACK 30ML</v>
          </cell>
          <cell r="E292">
            <v>30</v>
          </cell>
          <cell r="F292" t="str">
            <v>ml</v>
          </cell>
          <cell r="G292" t="str">
            <v>AFEER OF ARABIAN</v>
          </cell>
          <cell r="H292" t="str">
            <v>PERFUMARIA</v>
          </cell>
          <cell r="I292" t="str">
            <v>PERFUME</v>
          </cell>
          <cell r="J292" t="str">
            <v>LIQUIDO</v>
          </cell>
          <cell r="L292">
            <v>0</v>
          </cell>
        </row>
        <row r="293">
          <cell r="B293" t="str">
            <v>PRF-AFEE-0006</v>
          </cell>
          <cell r="C293" t="str">
            <v>PERFUME BAD ANGEL 30ML</v>
          </cell>
          <cell r="E293">
            <v>30</v>
          </cell>
          <cell r="F293" t="str">
            <v>ml</v>
          </cell>
          <cell r="G293" t="str">
            <v>AFEER OF ARABIAN</v>
          </cell>
          <cell r="H293" t="str">
            <v>PERFUMARIA</v>
          </cell>
          <cell r="I293" t="str">
            <v>PERFUME</v>
          </cell>
          <cell r="J293" t="str">
            <v>LIQUIDO</v>
          </cell>
          <cell r="L293">
            <v>0</v>
          </cell>
        </row>
        <row r="294">
          <cell r="B294" t="str">
            <v>PRF-AFEE-0007</v>
          </cell>
          <cell r="C294" t="str">
            <v>PERFUME BLEU AFEER 30ML</v>
          </cell>
          <cell r="E294">
            <v>30</v>
          </cell>
          <cell r="F294" t="str">
            <v>ml</v>
          </cell>
          <cell r="G294" t="str">
            <v>AFEER OF ARABIAN</v>
          </cell>
          <cell r="H294" t="str">
            <v>PERFUMARIA</v>
          </cell>
          <cell r="I294" t="str">
            <v>PERFUME</v>
          </cell>
          <cell r="J294" t="str">
            <v>LIQUIDO</v>
          </cell>
          <cell r="L294">
            <v>0</v>
          </cell>
        </row>
        <row r="295">
          <cell r="B295" t="str">
            <v>PRF-AFEE-0008</v>
          </cell>
          <cell r="C295" t="str">
            <v>PERFUME SHARIS 30ML</v>
          </cell>
          <cell r="E295">
            <v>30</v>
          </cell>
          <cell r="F295" t="str">
            <v>ml</v>
          </cell>
          <cell r="G295" t="str">
            <v>AFEER OF ARABIAN</v>
          </cell>
          <cell r="H295" t="str">
            <v>PERFUMARIA</v>
          </cell>
          <cell r="I295" t="str">
            <v>PERFUME</v>
          </cell>
          <cell r="J295" t="str">
            <v>LIQUIDO</v>
          </cell>
          <cell r="L295">
            <v>0</v>
          </cell>
        </row>
        <row r="296">
          <cell r="B296" t="str">
            <v>PRF-AFEE-0009</v>
          </cell>
          <cell r="C296" t="str">
            <v>PERFUME ALTAR AL WESAL 30ML</v>
          </cell>
          <cell r="E296">
            <v>30</v>
          </cell>
          <cell r="F296" t="str">
            <v>ml</v>
          </cell>
          <cell r="G296" t="str">
            <v>AFEER OF ARABIAN</v>
          </cell>
          <cell r="H296" t="str">
            <v>PERFUMARIA</v>
          </cell>
          <cell r="I296" t="str">
            <v>PERFUME</v>
          </cell>
          <cell r="J296" t="str">
            <v>LIQUIDO</v>
          </cell>
          <cell r="L296">
            <v>0</v>
          </cell>
        </row>
        <row r="297">
          <cell r="B297" t="str">
            <v>PRF-AFEE-0010</v>
          </cell>
          <cell r="C297" t="str">
            <v>PERFUME FAKHAR ROSE 30ML</v>
          </cell>
          <cell r="E297">
            <v>30</v>
          </cell>
          <cell r="F297" t="str">
            <v>ml</v>
          </cell>
          <cell r="G297" t="str">
            <v>AFEER OF ARABIAN</v>
          </cell>
          <cell r="H297" t="str">
            <v>PERFUMARIA</v>
          </cell>
          <cell r="I297" t="str">
            <v>PERFUME</v>
          </cell>
          <cell r="J297" t="str">
            <v>LIQUIDO</v>
          </cell>
          <cell r="L297">
            <v>0</v>
          </cell>
        </row>
        <row r="298">
          <cell r="B298" t="str">
            <v>PRF-AFEE-0011</v>
          </cell>
          <cell r="C298" t="str">
            <v>PERFUME YARA MOI 30ML</v>
          </cell>
          <cell r="E298">
            <v>30</v>
          </cell>
          <cell r="F298" t="str">
            <v>ml</v>
          </cell>
          <cell r="G298" t="str">
            <v>AFEER OF ARABIAN</v>
          </cell>
          <cell r="H298" t="str">
            <v>PERFUMARIA</v>
          </cell>
          <cell r="I298" t="str">
            <v>PERFUME</v>
          </cell>
          <cell r="J298" t="str">
            <v>LIQUIDO</v>
          </cell>
          <cell r="L298">
            <v>0</v>
          </cell>
        </row>
        <row r="299">
          <cell r="B299" t="str">
            <v>PRF-AFEE-0012</v>
          </cell>
          <cell r="C299" t="str">
            <v>PERFUME ANGEL 30ML</v>
          </cell>
          <cell r="E299">
            <v>30</v>
          </cell>
          <cell r="F299" t="str">
            <v>ml</v>
          </cell>
          <cell r="G299" t="str">
            <v>AFEER OF ARABIAN</v>
          </cell>
          <cell r="H299" t="str">
            <v>PERFUMARIA</v>
          </cell>
          <cell r="I299" t="str">
            <v>PERFUME</v>
          </cell>
          <cell r="J299" t="str">
            <v>LIQUIDO</v>
          </cell>
          <cell r="L299">
            <v>0</v>
          </cell>
        </row>
        <row r="300">
          <cell r="B300" t="str">
            <v>PRF-AFEE-0013</v>
          </cell>
          <cell r="C300" t="str">
            <v>PERFUME NIGHT BLUE 30ML</v>
          </cell>
          <cell r="E300">
            <v>30</v>
          </cell>
          <cell r="F300" t="str">
            <v>ml</v>
          </cell>
          <cell r="G300" t="str">
            <v>AFEER OF ARABIAN</v>
          </cell>
          <cell r="H300" t="str">
            <v>PERFUMARIA</v>
          </cell>
          <cell r="I300" t="str">
            <v>PERFUME</v>
          </cell>
          <cell r="J300" t="str">
            <v>LIQUIDO</v>
          </cell>
          <cell r="L300">
            <v>0</v>
          </cell>
        </row>
        <row r="301">
          <cell r="B301" t="str">
            <v>PRF-AFEE-0014</v>
          </cell>
          <cell r="C301" t="str">
            <v>PERFUME ZAFIYR 30ML</v>
          </cell>
          <cell r="E301">
            <v>30</v>
          </cell>
          <cell r="F301" t="str">
            <v>ml</v>
          </cell>
          <cell r="G301" t="str">
            <v>AFEER OF ARABIAN</v>
          </cell>
          <cell r="H301" t="str">
            <v>PERFUMARIA</v>
          </cell>
          <cell r="I301" t="str">
            <v>PERFUME</v>
          </cell>
          <cell r="J301" t="str">
            <v>LIQUIDO</v>
          </cell>
          <cell r="L301">
            <v>0</v>
          </cell>
        </row>
        <row r="302">
          <cell r="B302" t="str">
            <v>PRF-AFEE-0015</v>
          </cell>
          <cell r="C302" t="str">
            <v>PERFUME DELILAH 30ML</v>
          </cell>
          <cell r="E302">
            <v>30</v>
          </cell>
          <cell r="F302" t="str">
            <v>ml</v>
          </cell>
          <cell r="G302" t="str">
            <v>AFEER OF ARABIAN</v>
          </cell>
          <cell r="H302" t="str">
            <v>PERFUMARIA</v>
          </cell>
          <cell r="I302" t="str">
            <v>PERFUME</v>
          </cell>
          <cell r="J302" t="str">
            <v>LIQUIDO</v>
          </cell>
          <cell r="L302">
            <v>0</v>
          </cell>
        </row>
        <row r="303">
          <cell r="B303" t="str">
            <v>PRF-AFEE-0016</v>
          </cell>
          <cell r="C303" t="str">
            <v>PERFUME YARA 30ML</v>
          </cell>
          <cell r="E303">
            <v>30</v>
          </cell>
          <cell r="F303" t="str">
            <v>ml</v>
          </cell>
          <cell r="G303" t="str">
            <v>AFEER OF ARABIAN</v>
          </cell>
          <cell r="H303" t="str">
            <v>PERFUMARIA</v>
          </cell>
          <cell r="I303" t="str">
            <v>PERFUME</v>
          </cell>
          <cell r="J303" t="str">
            <v>LIQUIDO</v>
          </cell>
          <cell r="L303">
            <v>0</v>
          </cell>
        </row>
        <row r="304">
          <cell r="B304" t="str">
            <v>PRF-AFEE-0017</v>
          </cell>
          <cell r="C304" t="str">
            <v>PERFUME YARA ELIXIR 30ML</v>
          </cell>
          <cell r="E304">
            <v>30</v>
          </cell>
          <cell r="F304" t="str">
            <v>ml</v>
          </cell>
          <cell r="G304" t="str">
            <v>AFEER OF ARABIAN</v>
          </cell>
          <cell r="H304" t="str">
            <v>PERFUMARIA</v>
          </cell>
          <cell r="I304" t="str">
            <v>PERFUME</v>
          </cell>
          <cell r="J304" t="str">
            <v>LIQUIDO</v>
          </cell>
          <cell r="L304">
            <v>0</v>
          </cell>
        </row>
        <row r="305">
          <cell r="B305" t="str">
            <v>PRF-AFEE-0018</v>
          </cell>
          <cell r="C305" t="str">
            <v>PERFUME SABAH SUGAR 30ML</v>
          </cell>
          <cell r="E305">
            <v>30</v>
          </cell>
          <cell r="F305" t="str">
            <v>ml</v>
          </cell>
          <cell r="G305" t="str">
            <v>AFEER OF ARABIAN</v>
          </cell>
          <cell r="H305" t="str">
            <v>PERFUMARIA</v>
          </cell>
          <cell r="I305" t="str">
            <v>PERFUME</v>
          </cell>
          <cell r="J305" t="str">
            <v>LIQUIDO</v>
          </cell>
          <cell r="L305">
            <v>0</v>
          </cell>
        </row>
        <row r="306">
          <cell r="B306" t="str">
            <v>PRF-AFEE-0019</v>
          </cell>
          <cell r="C306" t="str">
            <v>PERFUME SABAH AL WARD 30ML</v>
          </cell>
          <cell r="E306">
            <v>30</v>
          </cell>
          <cell r="F306" t="str">
            <v>ml</v>
          </cell>
          <cell r="G306" t="str">
            <v>AFEER OF ARABIAN</v>
          </cell>
          <cell r="H306" t="str">
            <v>PERFUMARIA</v>
          </cell>
          <cell r="I306" t="str">
            <v>PERFUME</v>
          </cell>
          <cell r="J306" t="str">
            <v>LIQUIDO</v>
          </cell>
          <cell r="L306">
            <v>0</v>
          </cell>
        </row>
        <row r="307">
          <cell r="B307" t="str">
            <v>PRF-AFEE-0020</v>
          </cell>
          <cell r="C307" t="str">
            <v>PERFUME MISSDANCE 16 30ML</v>
          </cell>
          <cell r="E307">
            <v>30</v>
          </cell>
          <cell r="F307" t="str">
            <v>ml</v>
          </cell>
          <cell r="G307" t="str">
            <v>AFEER OF ARABIAN</v>
          </cell>
          <cell r="H307" t="str">
            <v>PERFUMARIA</v>
          </cell>
          <cell r="I307" t="str">
            <v>PERFUME</v>
          </cell>
          <cell r="J307" t="str">
            <v>LIQUIDO</v>
          </cell>
          <cell r="L307">
            <v>0</v>
          </cell>
        </row>
        <row r="308">
          <cell r="B308" t="str">
            <v>PRF-AFEE-0021</v>
          </cell>
          <cell r="C308" t="str">
            <v>PERFUME IZAAH 30ML</v>
          </cell>
          <cell r="E308">
            <v>30</v>
          </cell>
          <cell r="F308" t="str">
            <v>ml</v>
          </cell>
          <cell r="G308" t="str">
            <v>AFEER OF ARABIAN</v>
          </cell>
          <cell r="H308" t="str">
            <v>PERFUMARIA</v>
          </cell>
          <cell r="I308" t="str">
            <v>PERFUME</v>
          </cell>
          <cell r="J308" t="str">
            <v>LIQUIDO</v>
          </cell>
          <cell r="L308">
            <v>0</v>
          </cell>
        </row>
        <row r="309">
          <cell r="B309" t="str">
            <v>PRF-AFEE-0022</v>
          </cell>
          <cell r="C309" t="str">
            <v>PERFUME NUIT ROYALE WOMAN 30ML</v>
          </cell>
          <cell r="E309">
            <v>30</v>
          </cell>
          <cell r="F309" t="str">
            <v>ml</v>
          </cell>
          <cell r="G309" t="str">
            <v>AFEER OF ARABIAN</v>
          </cell>
          <cell r="H309" t="str">
            <v>PERFUMARIA</v>
          </cell>
          <cell r="I309" t="str">
            <v>PERFUME</v>
          </cell>
          <cell r="J309" t="str">
            <v>LIQUIDO</v>
          </cell>
          <cell r="L309">
            <v>0</v>
          </cell>
        </row>
        <row r="310">
          <cell r="B310" t="str">
            <v>PRF-AFEE-0023</v>
          </cell>
          <cell r="C310" t="str">
            <v>PERFUME N 1 VIP ROSE 30ML</v>
          </cell>
          <cell r="E310">
            <v>30</v>
          </cell>
          <cell r="F310" t="str">
            <v>ml</v>
          </cell>
          <cell r="G310" t="str">
            <v>AFEER OF ARABIAN</v>
          </cell>
          <cell r="H310" t="str">
            <v>PERFUMARIA</v>
          </cell>
          <cell r="I310" t="str">
            <v>PERFUME</v>
          </cell>
          <cell r="J310" t="str">
            <v>LIQUIDO</v>
          </cell>
          <cell r="L310">
            <v>0</v>
          </cell>
        </row>
        <row r="311">
          <cell r="B311" t="str">
            <v>PRF-AFEE-0024</v>
          </cell>
          <cell r="C311" t="str">
            <v>PERFUME AL NOBLE 30ML</v>
          </cell>
          <cell r="E311">
            <v>30</v>
          </cell>
          <cell r="F311" t="str">
            <v>ml</v>
          </cell>
          <cell r="G311" t="str">
            <v>AFEER OF ARABIAN</v>
          </cell>
          <cell r="H311" t="str">
            <v>PERFUMARIA</v>
          </cell>
          <cell r="I311" t="str">
            <v>PERFUME</v>
          </cell>
          <cell r="J311" t="str">
            <v>LIQUIDO</v>
          </cell>
          <cell r="L311">
            <v>0</v>
          </cell>
        </row>
        <row r="312">
          <cell r="B312" t="str">
            <v>PRF-AFEE-0025</v>
          </cell>
          <cell r="C312" t="str">
            <v>PERFUME ASAD BOURBON 30ML</v>
          </cell>
          <cell r="E312">
            <v>30</v>
          </cell>
          <cell r="F312" t="str">
            <v>ml</v>
          </cell>
          <cell r="G312" t="str">
            <v>AFEER OF ARABIAN</v>
          </cell>
          <cell r="H312" t="str">
            <v>PERFUMARIA</v>
          </cell>
          <cell r="I312" t="str">
            <v>PERFUME</v>
          </cell>
          <cell r="J312" t="str">
            <v>LIQUIDO</v>
          </cell>
          <cell r="L312">
            <v>0</v>
          </cell>
        </row>
        <row r="313">
          <cell r="B313" t="str">
            <v>PRF-AFEE-0026</v>
          </cell>
          <cell r="C313" t="str">
            <v>PERFUME ROYAL AMBER 30ML</v>
          </cell>
          <cell r="E313">
            <v>30</v>
          </cell>
          <cell r="F313" t="str">
            <v>ml</v>
          </cell>
          <cell r="G313" t="str">
            <v>AFEER OF ARABIAN</v>
          </cell>
          <cell r="H313" t="str">
            <v>PERFUMARIA</v>
          </cell>
          <cell r="I313" t="str">
            <v>PERFUME</v>
          </cell>
          <cell r="J313" t="str">
            <v>LIQUIDO</v>
          </cell>
          <cell r="L313">
            <v>0</v>
          </cell>
        </row>
        <row r="314">
          <cell r="B314" t="str">
            <v>PRF-AFEE-0027</v>
          </cell>
          <cell r="C314" t="str">
            <v>PERFUME MUSAMAM 30ML</v>
          </cell>
          <cell r="E314">
            <v>30</v>
          </cell>
          <cell r="F314" t="str">
            <v>ml</v>
          </cell>
          <cell r="G314" t="str">
            <v>AFEER OF ARABIAN</v>
          </cell>
          <cell r="H314" t="str">
            <v>PERFUMARIA</v>
          </cell>
          <cell r="I314" t="str">
            <v>PERFUME</v>
          </cell>
          <cell r="J314" t="str">
            <v>LIQUIDO</v>
          </cell>
          <cell r="L314">
            <v>0</v>
          </cell>
        </row>
        <row r="315">
          <cell r="B315" t="str">
            <v>PRF-AFEE-0028</v>
          </cell>
          <cell r="C315" t="str">
            <v>PERFUME ZANZIBAR 30ML</v>
          </cell>
          <cell r="E315">
            <v>30</v>
          </cell>
          <cell r="F315" t="str">
            <v>ml</v>
          </cell>
          <cell r="G315" t="str">
            <v>AFEER OF ARABIAN</v>
          </cell>
          <cell r="H315" t="str">
            <v>PERFUMARIA</v>
          </cell>
          <cell r="I315" t="str">
            <v>PERFUME</v>
          </cell>
          <cell r="J315" t="str">
            <v>LIQUIDO</v>
          </cell>
          <cell r="L315">
            <v>0</v>
          </cell>
        </row>
        <row r="316">
          <cell r="B316" t="str">
            <v>PRF-AFEE-0029</v>
          </cell>
          <cell r="C316" t="str">
            <v>PERFUME SIDORE 30ML</v>
          </cell>
          <cell r="E316">
            <v>30</v>
          </cell>
          <cell r="F316" t="str">
            <v>ml</v>
          </cell>
          <cell r="G316" t="str">
            <v>AFEER OF ARABIAN</v>
          </cell>
          <cell r="H316" t="str">
            <v>PERFUMARIA</v>
          </cell>
          <cell r="I316" t="str">
            <v>PERFUME</v>
          </cell>
          <cell r="J316" t="str">
            <v>LIQUIDO</v>
          </cell>
          <cell r="L316">
            <v>0</v>
          </cell>
        </row>
        <row r="317">
          <cell r="B317" t="str">
            <v>PRF-AFEE-0030</v>
          </cell>
          <cell r="C317" t="str">
            <v>PERFUME T-GOLD 30ML</v>
          </cell>
          <cell r="E317">
            <v>30</v>
          </cell>
          <cell r="F317" t="str">
            <v>ml</v>
          </cell>
          <cell r="G317" t="str">
            <v>AFEER OF ARABIAN</v>
          </cell>
          <cell r="H317" t="str">
            <v>PERFUMARIA</v>
          </cell>
          <cell r="I317" t="str">
            <v>PERFUME</v>
          </cell>
          <cell r="J317" t="str">
            <v>LIQUIDO</v>
          </cell>
          <cell r="L317">
            <v>0</v>
          </cell>
        </row>
        <row r="318">
          <cell r="B318" t="str">
            <v>PRF-AFEE-0031</v>
          </cell>
          <cell r="C318" t="str">
            <v>PERFUME ABELHINHA 30ML</v>
          </cell>
          <cell r="E318">
            <v>30</v>
          </cell>
          <cell r="F318" t="str">
            <v>ml</v>
          </cell>
          <cell r="G318" t="str">
            <v>AFEER OF ARABIAN</v>
          </cell>
          <cell r="H318" t="str">
            <v>PERFUMARIA</v>
          </cell>
          <cell r="I318" t="str">
            <v>PERFUME</v>
          </cell>
          <cell r="J318" t="str">
            <v>LIQUIDO</v>
          </cell>
          <cell r="L318">
            <v>0</v>
          </cell>
        </row>
        <row r="319">
          <cell r="B319" t="str">
            <v>PRF-AFEE-0032</v>
          </cell>
          <cell r="C319" t="str">
            <v>PERFUME TAWUS 30ML</v>
          </cell>
          <cell r="E319">
            <v>30</v>
          </cell>
          <cell r="F319" t="str">
            <v>ml</v>
          </cell>
          <cell r="G319" t="str">
            <v>AFEER OF ARABIAN</v>
          </cell>
          <cell r="H319" t="str">
            <v>PERFUMARIA</v>
          </cell>
          <cell r="I319" t="str">
            <v>PERFUME</v>
          </cell>
          <cell r="J319" t="str">
            <v>LIQUIDO</v>
          </cell>
          <cell r="L319">
            <v>0</v>
          </cell>
        </row>
        <row r="320">
          <cell r="B320" t="str">
            <v>PRF-AFEE-0033</v>
          </cell>
          <cell r="C320" t="str">
            <v>PERFUME LEA 30ML</v>
          </cell>
          <cell r="E320">
            <v>30</v>
          </cell>
          <cell r="F320" t="str">
            <v>ml</v>
          </cell>
          <cell r="G320" t="str">
            <v>AFEER OF ARABIAN</v>
          </cell>
          <cell r="H320" t="str">
            <v>PERFUMARIA</v>
          </cell>
          <cell r="I320" t="str">
            <v>PERFUME</v>
          </cell>
          <cell r="J320" t="str">
            <v>LIQUIDO</v>
          </cell>
          <cell r="L320">
            <v>0</v>
          </cell>
        </row>
        <row r="321">
          <cell r="B321" t="str">
            <v>PRF-AFEE-0034</v>
          </cell>
          <cell r="C321" t="str">
            <v>PERFUME DALAL 30ML</v>
          </cell>
          <cell r="E321">
            <v>30</v>
          </cell>
          <cell r="F321" t="str">
            <v>ml</v>
          </cell>
          <cell r="G321" t="str">
            <v>AFEER OF ARABIAN</v>
          </cell>
          <cell r="H321" t="str">
            <v>PERFUMARIA</v>
          </cell>
          <cell r="I321" t="str">
            <v>PERFUME</v>
          </cell>
          <cell r="J321" t="str">
            <v>LIQUIDO</v>
          </cell>
          <cell r="L321">
            <v>0</v>
          </cell>
        </row>
        <row r="322">
          <cell r="B322" t="str">
            <v>PRF-AFEE-0035</v>
          </cell>
          <cell r="C322" t="str">
            <v>PERFUME SUPREMACY 30ML</v>
          </cell>
          <cell r="E322">
            <v>30</v>
          </cell>
          <cell r="F322" t="str">
            <v>ml</v>
          </cell>
          <cell r="G322" t="str">
            <v>AFEER OF ARABIAN</v>
          </cell>
          <cell r="H322" t="str">
            <v>PERFUMARIA</v>
          </cell>
          <cell r="I322" t="str">
            <v>PERFUME</v>
          </cell>
          <cell r="J322" t="str">
            <v>LIQUIDO</v>
          </cell>
          <cell r="L322">
            <v>0</v>
          </cell>
        </row>
        <row r="323">
          <cell r="B323" t="str">
            <v>PRF-MENE-0001</v>
          </cell>
          <cell r="C323" t="str">
            <v>PERFUME WHITE DRESS 100ML</v>
          </cell>
          <cell r="E323">
            <v>100</v>
          </cell>
          <cell r="F323" t="str">
            <v>ml</v>
          </cell>
          <cell r="G323" t="str">
            <v>MENELA</v>
          </cell>
          <cell r="H323" t="str">
            <v>PERFUMARIA</v>
          </cell>
          <cell r="I323" t="str">
            <v>PERFUME</v>
          </cell>
          <cell r="J323" t="str">
            <v>LÍQUIDO</v>
          </cell>
          <cell r="L323">
            <v>175.26407181919058</v>
          </cell>
        </row>
        <row r="324">
          <cell r="B324" t="str">
            <v>PRF-ROSA-0001</v>
          </cell>
          <cell r="C324" t="str">
            <v>PERFUME FEMININO GOOD GIRL 50ML</v>
          </cell>
          <cell r="E324">
            <v>50</v>
          </cell>
          <cell r="F324" t="str">
            <v>ml</v>
          </cell>
          <cell r="G324" t="str">
            <v>ROSA RAINHA</v>
          </cell>
          <cell r="H324" t="str">
            <v>PERFUMARIA</v>
          </cell>
          <cell r="I324" t="str">
            <v>PERFUME</v>
          </cell>
          <cell r="J324" t="str">
            <v>LÍQUIDO</v>
          </cell>
          <cell r="L324">
            <v>175.26407181919058</v>
          </cell>
        </row>
        <row r="325">
          <cell r="B325" t="str">
            <v>PRF-ROSA-0002</v>
          </cell>
          <cell r="C325" t="str">
            <v>PERFUME MASCULINO ONE MILLION 50ML</v>
          </cell>
          <cell r="E325">
            <v>50</v>
          </cell>
          <cell r="F325" t="str">
            <v>ml</v>
          </cell>
          <cell r="G325" t="str">
            <v>ROSA RAINHA</v>
          </cell>
          <cell r="H325" t="str">
            <v>PERFUMARIA</v>
          </cell>
          <cell r="I325" t="str">
            <v>PERFUME</v>
          </cell>
          <cell r="J325" t="str">
            <v>LÍQUIDO</v>
          </cell>
          <cell r="L325">
            <v>175.26407181919058</v>
          </cell>
        </row>
        <row r="326">
          <cell r="B326" t="str">
            <v>PRF-ROSA-0003</v>
          </cell>
          <cell r="C326" t="str">
            <v>PERFUME MASCULINO 212 VIP BLACK 50ML</v>
          </cell>
          <cell r="E326">
            <v>50</v>
          </cell>
          <cell r="F326" t="str">
            <v>ml</v>
          </cell>
          <cell r="G326" t="str">
            <v>ROSA RAINHA</v>
          </cell>
          <cell r="H326" t="str">
            <v>PERFUMARIA</v>
          </cell>
          <cell r="I326" t="str">
            <v>PERFUME</v>
          </cell>
          <cell r="J326" t="str">
            <v>LÍQUIDO</v>
          </cell>
          <cell r="L326">
            <v>175.26407181919058</v>
          </cell>
        </row>
        <row r="327">
          <cell r="B327" t="str">
            <v>PRF-ROSA-0004</v>
          </cell>
          <cell r="C327" t="str">
            <v>PERFUME FEMININO FANTASY 50ML</v>
          </cell>
          <cell r="E327">
            <v>50</v>
          </cell>
          <cell r="F327" t="str">
            <v>ml</v>
          </cell>
          <cell r="G327" t="str">
            <v>ROSA RAINHA</v>
          </cell>
          <cell r="H327" t="str">
            <v>PERFUMARIA</v>
          </cell>
          <cell r="I327" t="str">
            <v>PERFUME</v>
          </cell>
          <cell r="J327" t="str">
            <v>LÍQUIDO</v>
          </cell>
          <cell r="L327">
            <v>175.26407181919058</v>
          </cell>
        </row>
        <row r="328">
          <cell r="B328" t="str">
            <v>PRF-ROSA-0005</v>
          </cell>
          <cell r="C328" t="str">
            <v>PERFUME FEMININO SCANDAL 50ML</v>
          </cell>
          <cell r="E328">
            <v>50</v>
          </cell>
          <cell r="F328" t="str">
            <v>ml</v>
          </cell>
          <cell r="G328" t="str">
            <v>ROSA RAINHA</v>
          </cell>
          <cell r="H328" t="str">
            <v>PERFUMARIA</v>
          </cell>
          <cell r="I328" t="str">
            <v>PERFUME</v>
          </cell>
          <cell r="J328" t="str">
            <v>LÍQUIDO</v>
          </cell>
          <cell r="L328">
            <v>175.26407181919058</v>
          </cell>
        </row>
        <row r="329">
          <cell r="B329" t="str">
            <v>PRF-VELL-0001</v>
          </cell>
          <cell r="C329" t="str">
            <v>PERFUME SALVOH 15 ML</v>
          </cell>
          <cell r="E329">
            <v>15</v>
          </cell>
          <cell r="F329" t="str">
            <v>ml</v>
          </cell>
          <cell r="G329" t="str">
            <v>VELLARIS ESSENCE</v>
          </cell>
          <cell r="H329" t="str">
            <v>PERFUMARIA</v>
          </cell>
          <cell r="I329" t="str">
            <v>PERFUME</v>
          </cell>
          <cell r="J329" t="str">
            <v>LÍQUIDO</v>
          </cell>
          <cell r="L329">
            <v>175.26407181919058</v>
          </cell>
        </row>
        <row r="330">
          <cell r="B330" t="str">
            <v>PRF-VELL-0002</v>
          </cell>
          <cell r="C330" t="str">
            <v>PERFUME YARAH 15 ML</v>
          </cell>
          <cell r="E330">
            <v>15</v>
          </cell>
          <cell r="F330" t="str">
            <v>ml</v>
          </cell>
          <cell r="G330" t="str">
            <v>VELLARIS ESSENCE</v>
          </cell>
          <cell r="H330" t="str">
            <v>PERFUMARIA</v>
          </cell>
          <cell r="I330" t="str">
            <v>PERFUME</v>
          </cell>
          <cell r="J330" t="str">
            <v>LÍQUIDO</v>
          </cell>
          <cell r="L330">
            <v>175.26407181919058</v>
          </cell>
        </row>
        <row r="331">
          <cell r="B331" t="str">
            <v>PRF-VELL-0003</v>
          </cell>
          <cell r="C331" t="str">
            <v>PERFUME SABAAH 15 ML</v>
          </cell>
          <cell r="E331">
            <v>15</v>
          </cell>
          <cell r="F331" t="str">
            <v>ml</v>
          </cell>
          <cell r="G331" t="str">
            <v>VELLARIS ESSENCE</v>
          </cell>
          <cell r="H331" t="str">
            <v>PERFUMARIA</v>
          </cell>
          <cell r="I331" t="str">
            <v>PERFUME</v>
          </cell>
          <cell r="J331" t="str">
            <v>LÍQUIDO</v>
          </cell>
          <cell r="L331">
            <v>175.26407181919058</v>
          </cell>
        </row>
        <row r="332">
          <cell r="B332" t="str">
            <v>PRF-VELL-0004</v>
          </cell>
          <cell r="C332" t="str">
            <v>PERFUME FAAKAR ROSEÉ 15 ML</v>
          </cell>
          <cell r="E332">
            <v>15</v>
          </cell>
          <cell r="F332" t="str">
            <v>ml</v>
          </cell>
          <cell r="G332" t="str">
            <v>VELLARIS ESSENCE</v>
          </cell>
          <cell r="H332" t="str">
            <v>PERFUMARIA</v>
          </cell>
          <cell r="I332" t="str">
            <v>PERFUME</v>
          </cell>
          <cell r="J332" t="str">
            <v>LÍQUIDO</v>
          </cell>
          <cell r="L332">
            <v>175.26407181919058</v>
          </cell>
        </row>
        <row r="333">
          <cell r="B333" t="str">
            <v>PRF-VELL-0005</v>
          </cell>
          <cell r="C333" t="str">
            <v>PERFUME ATEERH 15 ML</v>
          </cell>
          <cell r="E333">
            <v>15</v>
          </cell>
          <cell r="F333" t="str">
            <v>ml</v>
          </cell>
          <cell r="G333" t="str">
            <v>VELLARIS ESSENCE</v>
          </cell>
          <cell r="H333" t="str">
            <v>PERFUMARIA</v>
          </cell>
          <cell r="I333" t="str">
            <v>PERFUME</v>
          </cell>
          <cell r="J333" t="str">
            <v>LÍQUIDO</v>
          </cell>
          <cell r="L333">
            <v>175.26407181919058</v>
          </cell>
        </row>
        <row r="334">
          <cell r="B334" t="str">
            <v>PRF-VELL-0006</v>
          </cell>
          <cell r="C334" t="str">
            <v>PERFUME CLUB NUITÈ 15 ML</v>
          </cell>
          <cell r="E334">
            <v>15</v>
          </cell>
          <cell r="F334" t="str">
            <v>ml</v>
          </cell>
          <cell r="G334" t="str">
            <v>VELLARIS ESSENCE</v>
          </cell>
          <cell r="H334" t="str">
            <v>PERFUMARIA</v>
          </cell>
          <cell r="I334" t="str">
            <v>PERFUME</v>
          </cell>
          <cell r="J334" t="str">
            <v>LÍQUIDO</v>
          </cell>
          <cell r="L334">
            <v>175.26407181919058</v>
          </cell>
        </row>
        <row r="335">
          <cell r="B335" t="str">
            <v>PRF-VELL-0007</v>
          </cell>
          <cell r="C335" t="str">
            <v>PERFUME L'ÉCLAIRE 15 ML</v>
          </cell>
          <cell r="E335">
            <v>15</v>
          </cell>
          <cell r="F335" t="str">
            <v>ml</v>
          </cell>
          <cell r="G335" t="str">
            <v>VELLARIS ESSENCE</v>
          </cell>
          <cell r="H335" t="str">
            <v>PERFUMARIA</v>
          </cell>
          <cell r="I335" t="str">
            <v>PERFUME</v>
          </cell>
          <cell r="J335" t="str">
            <v>LÍQUIDO</v>
          </cell>
          <cell r="L335">
            <v>175.26407181919058</v>
          </cell>
        </row>
        <row r="336">
          <cell r="B336" t="str">
            <v>PRF-VELL-0008</v>
          </cell>
          <cell r="C336" t="str">
            <v>PERFUME MUZZAMAN 15 ML</v>
          </cell>
          <cell r="E336">
            <v>15</v>
          </cell>
          <cell r="F336" t="str">
            <v>ml</v>
          </cell>
          <cell r="G336" t="str">
            <v>VELLARIS ESSENCE</v>
          </cell>
          <cell r="H336" t="str">
            <v>PERFUMARIA</v>
          </cell>
          <cell r="I336" t="str">
            <v>PERFUME</v>
          </cell>
          <cell r="J336" t="str">
            <v>LÍQUIDO</v>
          </cell>
          <cell r="L336">
            <v>175.26407181919058</v>
          </cell>
        </row>
        <row r="337">
          <cell r="B337" t="str">
            <v>PRF-VELL-0009</v>
          </cell>
          <cell r="C337" t="str">
            <v>PERFUME AZUUR FANTASIS 15 ML</v>
          </cell>
          <cell r="E337">
            <v>15</v>
          </cell>
          <cell r="F337" t="str">
            <v>ml</v>
          </cell>
          <cell r="G337" t="str">
            <v>VELLARIS ESSENCE</v>
          </cell>
          <cell r="H337" t="str">
            <v>PERFUMARIA</v>
          </cell>
          <cell r="I337" t="str">
            <v>PERFUME</v>
          </cell>
          <cell r="J337" t="str">
            <v>LÍQUIDO</v>
          </cell>
          <cell r="L337">
            <v>175.26407181919058</v>
          </cell>
        </row>
        <row r="338">
          <cell r="B338" t="str">
            <v>PRF-VELL-0010</v>
          </cell>
          <cell r="C338" t="str">
            <v>PERFUME ASAAD 15 ML</v>
          </cell>
          <cell r="E338">
            <v>15</v>
          </cell>
          <cell r="F338" t="str">
            <v>ml</v>
          </cell>
          <cell r="G338" t="str">
            <v>VELLARIS ESSENCE</v>
          </cell>
          <cell r="H338" t="str">
            <v>PERFUMARIA</v>
          </cell>
          <cell r="I338" t="str">
            <v>PERFUME</v>
          </cell>
          <cell r="J338" t="str">
            <v>LÍQUIDO</v>
          </cell>
          <cell r="L338">
            <v>175.26407181919058</v>
          </cell>
        </row>
        <row r="339">
          <cell r="B339" t="str">
            <v>RETRAB01</v>
          </cell>
          <cell r="C339" t="str">
            <v>RE.PERFUMES 15ML - TROCA DE CAIXINHA E INKJET</v>
          </cell>
          <cell r="E339">
            <v>15</v>
          </cell>
          <cell r="F339" t="str">
            <v>ml</v>
          </cell>
          <cell r="G339" t="str">
            <v>LUCROSS</v>
          </cell>
          <cell r="H339" t="str">
            <v>PERFUMARIA</v>
          </cell>
          <cell r="I339" t="str">
            <v>PERFUME</v>
          </cell>
          <cell r="J339" t="str">
            <v>LÍQUIDO</v>
          </cell>
          <cell r="L339">
            <v>175.26407181919058</v>
          </cell>
        </row>
        <row r="340">
          <cell r="B340" t="str">
            <v>RETRAB02</v>
          </cell>
          <cell r="C340" t="str">
            <v>RE.ESFOLIANTE ARABE ECLIPSE E AURORA</v>
          </cell>
          <cell r="E340">
            <v>200</v>
          </cell>
          <cell r="F340" t="str">
            <v>g</v>
          </cell>
          <cell r="G340" t="str">
            <v>MISS RÔSE</v>
          </cell>
          <cell r="H340" t="str">
            <v>CORPORAL</v>
          </cell>
          <cell r="I340" t="str">
            <v>ESFOLIANTE</v>
          </cell>
          <cell r="J340" t="str">
            <v>VISCOSO</v>
          </cell>
          <cell r="L340">
            <v>721.11737989561891</v>
          </cell>
        </row>
        <row r="341">
          <cell r="B341" t="str">
            <v>RETRAB03</v>
          </cell>
          <cell r="C341" t="str">
            <v>RE.BODY SPLASH B.BALM</v>
          </cell>
          <cell r="E341">
            <v>250</v>
          </cell>
          <cell r="F341" t="str">
            <v>ml</v>
          </cell>
          <cell r="G341" t="str">
            <v>BIOFLORA</v>
          </cell>
          <cell r="H341" t="str">
            <v>PERFUMARIA</v>
          </cell>
          <cell r="I341" t="str">
            <v>BODY SPLASH</v>
          </cell>
          <cell r="J341" t="str">
            <v>LÍQUIDO</v>
          </cell>
          <cell r="L341">
            <v>843.58780095852239</v>
          </cell>
        </row>
        <row r="342">
          <cell r="B342" t="str">
            <v>RETRAB04</v>
          </cell>
          <cell r="C342" t="str">
            <v>RE.SHAMPOO PASSO 1</v>
          </cell>
          <cell r="E342">
            <v>1000</v>
          </cell>
          <cell r="F342" t="str">
            <v>ml</v>
          </cell>
          <cell r="G342" t="str">
            <v>KURYOS</v>
          </cell>
          <cell r="H342" t="str">
            <v>CAPILAR</v>
          </cell>
          <cell r="I342" t="str">
            <v>SHAMPOO</v>
          </cell>
          <cell r="J342" t="str">
            <v>VISCOSO</v>
          </cell>
          <cell r="L342">
            <v>682.70218347916432</v>
          </cell>
        </row>
        <row r="343">
          <cell r="B343" t="str">
            <v>RETRAB05</v>
          </cell>
          <cell r="C343" t="str">
            <v>RE.PROGRESSIVA PASSO 2</v>
          </cell>
          <cell r="E343">
            <v>1000</v>
          </cell>
          <cell r="F343" t="str">
            <v>ml</v>
          </cell>
          <cell r="G343" t="str">
            <v>KURYOS</v>
          </cell>
          <cell r="H343" t="str">
            <v>CAPILAR</v>
          </cell>
          <cell r="I343" t="str">
            <v>PROGRESSIVA</v>
          </cell>
          <cell r="J343" t="str">
            <v>DENSO</v>
          </cell>
          <cell r="L343">
            <v>25.000000000363798</v>
          </cell>
        </row>
        <row r="344">
          <cell r="B344" t="str">
            <v>RETRAB06</v>
          </cell>
          <cell r="C344" t="str">
            <v>RE.BODY SPLASH DAPOP HONEY GLOW</v>
          </cell>
          <cell r="E344">
            <v>120</v>
          </cell>
          <cell r="F344" t="str">
            <v>ml</v>
          </cell>
          <cell r="G344" t="str">
            <v>DAPOP</v>
          </cell>
          <cell r="H344" t="str">
            <v>PERFUMARIA</v>
          </cell>
          <cell r="I344" t="str">
            <v>BODY SPLASH</v>
          </cell>
          <cell r="J344" t="str">
            <v>LÍQUIDO ESPESSO</v>
          </cell>
          <cell r="L344">
            <v>888.79597492569974</v>
          </cell>
        </row>
        <row r="345">
          <cell r="B345" t="str">
            <v>RETRAB07</v>
          </cell>
          <cell r="C345" t="str">
            <v>RE.BODY SPLASH LEAO DO DESERTO BOURBON 200ml</v>
          </cell>
          <cell r="E345">
            <v>215</v>
          </cell>
          <cell r="F345" t="str">
            <v>ml</v>
          </cell>
          <cell r="G345" t="str">
            <v>MISS RÔSE</v>
          </cell>
          <cell r="H345" t="str">
            <v>PERFUMARIA</v>
          </cell>
          <cell r="I345" t="str">
            <v>BODY SPLASH</v>
          </cell>
          <cell r="J345" t="str">
            <v>LÍQUIDO</v>
          </cell>
          <cell r="L345">
            <v>843.58780095852239</v>
          </cell>
        </row>
        <row r="346">
          <cell r="B346" t="str">
            <v>SAGLBS01</v>
          </cell>
          <cell r="C346" t="str">
            <v>BODY SPLASH BAUNILHA COM COCO BRONZE GLOW</v>
          </cell>
          <cell r="E346">
            <v>100</v>
          </cell>
          <cell r="F346" t="str">
            <v>ml</v>
          </cell>
          <cell r="G346" t="str">
            <v>SAFIRA</v>
          </cell>
          <cell r="H346" t="str">
            <v>PERFUMARIA</v>
          </cell>
          <cell r="I346" t="str">
            <v>BODY SPLASH</v>
          </cell>
          <cell r="J346" t="str">
            <v>LÍQUIDO ESPESSO</v>
          </cell>
          <cell r="L346">
            <v>888.79597492569974</v>
          </cell>
        </row>
        <row r="347">
          <cell r="B347" t="str">
            <v>SAGLBS02</v>
          </cell>
          <cell r="C347" t="str">
            <v>BODY SPLASH DAMASCO COM COCO BRONZE GLOW</v>
          </cell>
          <cell r="E347">
            <v>100</v>
          </cell>
          <cell r="F347" t="str">
            <v>ml</v>
          </cell>
          <cell r="G347" t="str">
            <v>SAFIRA</v>
          </cell>
          <cell r="H347" t="str">
            <v>PERFUMARIA</v>
          </cell>
          <cell r="I347" t="str">
            <v>BODY SPLASH</v>
          </cell>
          <cell r="J347" t="str">
            <v>LÍQUIDO ESPESSO</v>
          </cell>
          <cell r="L347">
            <v>888.79597492569974</v>
          </cell>
        </row>
        <row r="348">
          <cell r="B348" t="str">
            <v>SAGLBS03</v>
          </cell>
          <cell r="C348" t="str">
            <v>BODY SPLASH MANGA GOLD SHINE GLOW</v>
          </cell>
          <cell r="E348">
            <v>100</v>
          </cell>
          <cell r="F348" t="str">
            <v>ml</v>
          </cell>
          <cell r="G348" t="str">
            <v>SAFIRA</v>
          </cell>
          <cell r="H348" t="str">
            <v>PERFUMARIA</v>
          </cell>
          <cell r="I348" t="str">
            <v>BODY SPLASH</v>
          </cell>
          <cell r="J348" t="str">
            <v>LÍQUIDO ESPESSO</v>
          </cell>
          <cell r="L348">
            <v>888.79597492569974</v>
          </cell>
        </row>
        <row r="349">
          <cell r="B349" t="str">
            <v>SAMTBS01</v>
          </cell>
          <cell r="C349" t="str">
            <v>BODY SPLASH MATTE BAUNILHA TROPICAL</v>
          </cell>
          <cell r="E349">
            <v>100</v>
          </cell>
          <cell r="F349" t="str">
            <v>ml</v>
          </cell>
          <cell r="G349" t="str">
            <v>SAFIRA</v>
          </cell>
          <cell r="H349" t="str">
            <v>PERFUMARIA</v>
          </cell>
          <cell r="I349" t="str">
            <v>BODY SPLASH</v>
          </cell>
          <cell r="J349" t="str">
            <v>LÍQUIDO</v>
          </cell>
          <cell r="L349">
            <v>843.58780095852239</v>
          </cell>
        </row>
        <row r="350">
          <cell r="B350" t="str">
            <v>SAMTBS02</v>
          </cell>
          <cell r="C350" t="str">
            <v>BODY SPLASH MATTE PÊSSEGO</v>
          </cell>
          <cell r="E350">
            <v>100</v>
          </cell>
          <cell r="F350" t="str">
            <v>ml</v>
          </cell>
          <cell r="G350" t="str">
            <v>SAFIRA</v>
          </cell>
          <cell r="H350" t="str">
            <v>PERFUMARIA</v>
          </cell>
          <cell r="I350" t="str">
            <v>BODY SPLASH</v>
          </cell>
          <cell r="J350" t="str">
            <v>LÍQUIDO</v>
          </cell>
          <cell r="L350">
            <v>843.58780095852239</v>
          </cell>
        </row>
        <row r="351">
          <cell r="B351" t="str">
            <v>SAMTBS03</v>
          </cell>
          <cell r="C351" t="str">
            <v>BODY SPLASH MATTE PITAYA</v>
          </cell>
          <cell r="E351">
            <v>100</v>
          </cell>
          <cell r="F351" t="str">
            <v>ml</v>
          </cell>
          <cell r="G351" t="str">
            <v>SAFIRA</v>
          </cell>
          <cell r="H351" t="str">
            <v>PERFUMARIA</v>
          </cell>
          <cell r="I351" t="str">
            <v>BODY SPLASH</v>
          </cell>
          <cell r="J351" t="str">
            <v>LÍQUIDO</v>
          </cell>
          <cell r="L351">
            <v>843.58780095852239</v>
          </cell>
        </row>
        <row r="352">
          <cell r="B352" t="str">
            <v>SASCDM01</v>
          </cell>
          <cell r="C352" t="str">
            <v>SABONETE DEMAQUILANTE PITAYA</v>
          </cell>
          <cell r="E352">
            <v>100</v>
          </cell>
          <cell r="F352" t="str">
            <v>ml</v>
          </cell>
          <cell r="G352" t="str">
            <v>SAFIRA</v>
          </cell>
          <cell r="H352" t="str">
            <v>MAQUIAGEM</v>
          </cell>
          <cell r="I352" t="str">
            <v>SABONETE</v>
          </cell>
          <cell r="J352" t="str">
            <v>VISCOSO</v>
          </cell>
          <cell r="L352">
            <v>732.04943503841741</v>
          </cell>
        </row>
        <row r="353">
          <cell r="B353" t="str">
            <v>SASCDM02</v>
          </cell>
          <cell r="C353" t="str">
            <v>SABONETE DEMAQUILANTE VITAMINA C</v>
          </cell>
          <cell r="E353">
            <v>100</v>
          </cell>
          <cell r="F353" t="str">
            <v>ml</v>
          </cell>
          <cell r="G353" t="str">
            <v>SAFIRA</v>
          </cell>
          <cell r="H353" t="str">
            <v>MAQUIAGEM</v>
          </cell>
          <cell r="I353" t="str">
            <v>SABONETE</v>
          </cell>
          <cell r="J353" t="str">
            <v>VISCOSO</v>
          </cell>
          <cell r="L353">
            <v>732.04943503841741</v>
          </cell>
        </row>
        <row r="354">
          <cell r="B354" t="str">
            <v>SASCES01</v>
          </cell>
          <cell r="C354" t="str">
            <v>ESFOLIANTE FACIAL PITAYA</v>
          </cell>
          <cell r="E354">
            <v>100</v>
          </cell>
          <cell r="F354" t="str">
            <v>ml</v>
          </cell>
          <cell r="G354" t="str">
            <v>SAFIRA</v>
          </cell>
          <cell r="H354" t="str">
            <v>FACIAL</v>
          </cell>
          <cell r="I354" t="str">
            <v>ESFOLIANTE</v>
          </cell>
          <cell r="J354" t="str">
            <v>VISCOSO</v>
          </cell>
          <cell r="L354">
            <v>721.11737989561891</v>
          </cell>
        </row>
        <row r="355">
          <cell r="B355" t="str">
            <v>SASCES02</v>
          </cell>
          <cell r="C355" t="str">
            <v>ESFOLIANTE FACIAL VITAMINA C</v>
          </cell>
          <cell r="E355">
            <v>100</v>
          </cell>
          <cell r="F355" t="str">
            <v>ml</v>
          </cell>
          <cell r="G355" t="str">
            <v>SAFIRA</v>
          </cell>
          <cell r="H355" t="str">
            <v>FACIAL</v>
          </cell>
          <cell r="I355" t="str">
            <v>ESFOLIANTE</v>
          </cell>
          <cell r="J355" t="str">
            <v>VISCOSO</v>
          </cell>
          <cell r="L355">
            <v>721.11737989561891</v>
          </cell>
        </row>
        <row r="356">
          <cell r="B356" t="str">
            <v>SASCGF01</v>
          </cell>
          <cell r="C356" t="str">
            <v>GEL FACIAL ANTI OLEOSIDADE PITAYA</v>
          </cell>
          <cell r="E356">
            <v>100</v>
          </cell>
          <cell r="F356" t="str">
            <v>ml</v>
          </cell>
          <cell r="G356" t="str">
            <v>SAFIRA</v>
          </cell>
          <cell r="H356" t="str">
            <v>FACIAL</v>
          </cell>
          <cell r="I356" t="str">
            <v>GEL</v>
          </cell>
          <cell r="J356" t="str">
            <v>CREMOSO</v>
          </cell>
          <cell r="L356">
            <v>519.13260484234854</v>
          </cell>
        </row>
        <row r="357">
          <cell r="B357" t="str">
            <v>SASCGF02</v>
          </cell>
          <cell r="C357" t="str">
            <v>GEL FACIAL ANTI OLEOSIDADE VITAMINA C</v>
          </cell>
          <cell r="E357">
            <v>100</v>
          </cell>
          <cell r="F357" t="str">
            <v>ml</v>
          </cell>
          <cell r="G357" t="str">
            <v>SAFIRA</v>
          </cell>
          <cell r="H357" t="str">
            <v>FACIAL</v>
          </cell>
          <cell r="I357" t="str">
            <v>GEL</v>
          </cell>
          <cell r="J357" t="str">
            <v>CREMOSO</v>
          </cell>
          <cell r="L357">
            <v>519.13260484234854</v>
          </cell>
        </row>
        <row r="358">
          <cell r="B358" t="str">
            <v>WKBM0001</v>
          </cell>
          <cell r="C358" t="str">
            <v>BRUMA MATTE #ENTREGOUTUDOO 120ml</v>
          </cell>
          <cell r="E358">
            <v>120</v>
          </cell>
          <cell r="F358" t="str">
            <v>ml</v>
          </cell>
          <cell r="G358" t="str">
            <v>WIKE MAKE</v>
          </cell>
          <cell r="H358" t="str">
            <v>MAQUIAGEM</v>
          </cell>
          <cell r="I358" t="str">
            <v>BRUMA</v>
          </cell>
          <cell r="J358" t="str">
            <v>LÍQUIDO</v>
          </cell>
          <cell r="L358">
            <v>699.29256292632215</v>
          </cell>
        </row>
        <row r="359">
          <cell r="B359" t="str">
            <v>WKBS0001</v>
          </cell>
          <cell r="C359" t="str">
            <v>BODY SPLASH DESERTO DOURADO 120ml</v>
          </cell>
          <cell r="E359">
            <v>120</v>
          </cell>
          <cell r="F359" t="str">
            <v>ml</v>
          </cell>
          <cell r="G359" t="str">
            <v>WIKE MAKE</v>
          </cell>
          <cell r="H359" t="str">
            <v>PERFUMARIA</v>
          </cell>
          <cell r="I359" t="str">
            <v>BODY SPLASH</v>
          </cell>
          <cell r="J359" t="str">
            <v>LÍQUIDO</v>
          </cell>
          <cell r="L359">
            <v>843.58780095852239</v>
          </cell>
        </row>
        <row r="360">
          <cell r="B360" t="str">
            <v>WKBS0002</v>
          </cell>
          <cell r="C360" t="str">
            <v>BODY SPLASH JARDIM DO ORIENTE 120ml</v>
          </cell>
          <cell r="E360">
            <v>120</v>
          </cell>
          <cell r="F360" t="str">
            <v>ml</v>
          </cell>
          <cell r="G360" t="str">
            <v>WIKE MAKE</v>
          </cell>
          <cell r="H360" t="str">
            <v>PERFUMARIA</v>
          </cell>
          <cell r="I360" t="str">
            <v>BODY SPLASH</v>
          </cell>
          <cell r="J360" t="str">
            <v>LÍQUIDO</v>
          </cell>
          <cell r="L360">
            <v>843.58780095852239</v>
          </cell>
        </row>
        <row r="361">
          <cell r="B361" t="str">
            <v>WKBS0003</v>
          </cell>
          <cell r="C361" t="str">
            <v>BODY SPLASH NOITE DE AMBAR 120ml</v>
          </cell>
          <cell r="E361">
            <v>120</v>
          </cell>
          <cell r="F361" t="str">
            <v>ml</v>
          </cell>
          <cell r="G361" t="str">
            <v>WIKE MAKE</v>
          </cell>
          <cell r="H361" t="str">
            <v>PERFUMARIA</v>
          </cell>
          <cell r="I361" t="str">
            <v>BODY SPLASH</v>
          </cell>
          <cell r="J361" t="str">
            <v>LÍQUIDO</v>
          </cell>
          <cell r="L361">
            <v>843.58780095852239</v>
          </cell>
        </row>
        <row r="362">
          <cell r="B362" t="str">
            <v>WKBS0004</v>
          </cell>
          <cell r="C362" t="str">
            <v>BODY SPLASH LINDA VIDA 120ml</v>
          </cell>
          <cell r="E362">
            <v>120</v>
          </cell>
          <cell r="F362" t="str">
            <v>ml</v>
          </cell>
          <cell r="G362" t="str">
            <v>WIKE MAKE</v>
          </cell>
          <cell r="H362" t="str">
            <v>PERFUMARIA</v>
          </cell>
          <cell r="I362" t="str">
            <v>BODY SPLASH</v>
          </cell>
          <cell r="J362" t="str">
            <v>LÍQUIDO</v>
          </cell>
          <cell r="L362">
            <v>843.58780095852239</v>
          </cell>
        </row>
        <row r="363">
          <cell r="B363" t="str">
            <v>WKBS0005</v>
          </cell>
          <cell r="C363" t="str">
            <v>BODY SPLASH CLAIRE 120ml</v>
          </cell>
          <cell r="E363">
            <v>120</v>
          </cell>
          <cell r="F363" t="str">
            <v>ml</v>
          </cell>
          <cell r="G363" t="str">
            <v>WIKE MAKE</v>
          </cell>
          <cell r="H363" t="str">
            <v>PERFUMARIA</v>
          </cell>
          <cell r="I363" t="str">
            <v>BODY SPLASH</v>
          </cell>
          <cell r="J363" t="str">
            <v>LÍQUIDO</v>
          </cell>
          <cell r="L363">
            <v>843.58780095852239</v>
          </cell>
        </row>
        <row r="364">
          <cell r="B364" t="str">
            <v>WKBS0006</v>
          </cell>
          <cell r="C364" t="str">
            <v>BODY SPLASH IDOLA 120ml</v>
          </cell>
          <cell r="E364">
            <v>120</v>
          </cell>
          <cell r="F364" t="str">
            <v>ml</v>
          </cell>
          <cell r="G364" t="str">
            <v>WIKE MAKE</v>
          </cell>
          <cell r="H364" t="str">
            <v>PERFUMARIA</v>
          </cell>
          <cell r="I364" t="str">
            <v>BODY SPLASH</v>
          </cell>
          <cell r="J364" t="str">
            <v>LÍQUIDO</v>
          </cell>
          <cell r="L364">
            <v>843.58780095852239</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edidos"/>
      <sheetName val="Pedidos Concluídos"/>
      <sheetName val="Feriados"/>
    </sheetNames>
    <sheetDataSet>
      <sheetData sheetId="0">
        <row r="1">
          <cell r="E1">
            <v>5</v>
          </cell>
          <cell r="G1">
            <v>7</v>
          </cell>
          <cell r="H1">
            <v>8</v>
          </cell>
          <cell r="Q1">
            <v>17</v>
          </cell>
          <cell r="V1">
            <v>22</v>
          </cell>
          <cell r="W1">
            <v>23</v>
          </cell>
        </row>
        <row r="4">
          <cell r="E4" t="str">
            <v>Produto</v>
          </cell>
          <cell r="G4" t="str">
            <v>Data do Pedido</v>
          </cell>
          <cell r="H4" t="str">
            <v>Qtd.</v>
          </cell>
          <cell r="Q4" t="str">
            <v>LPD</v>
          </cell>
          <cell r="V4" t="str">
            <v xml:space="preserve"> Prod. OPs</v>
          </cell>
          <cell r="W4" t="str">
            <v>Prod. Stk</v>
          </cell>
        </row>
        <row r="5">
          <cell r="E5" t="str">
            <v>BODY SPLASH AURORA IMPERIAL &gt; PROG 01 25/03/26</v>
          </cell>
          <cell r="G5">
            <v>46106</v>
          </cell>
          <cell r="H5">
            <v>30000</v>
          </cell>
          <cell r="Q5">
            <v>0.51</v>
          </cell>
          <cell r="V5">
            <v>0</v>
          </cell>
          <cell r="W5" t="str">
            <v/>
          </cell>
        </row>
        <row r="6">
          <cell r="E6" t="str">
            <v>BODY SPLASH AMBER BLOOM 200ML -  &gt; 05</v>
          </cell>
          <cell r="G6">
            <v>46142</v>
          </cell>
          <cell r="H6">
            <v>10000</v>
          </cell>
          <cell r="Q6">
            <v>1.2</v>
          </cell>
          <cell r="V6">
            <v>0</v>
          </cell>
          <cell r="W6" t="str">
            <v/>
          </cell>
        </row>
        <row r="7">
          <cell r="E7" t="str">
            <v>BODY SPLASH LEAO DO DESERTO BOURBON 200ml &gt; 0008</v>
          </cell>
          <cell r="G7">
            <v>46149</v>
          </cell>
          <cell r="H7">
            <v>20000</v>
          </cell>
          <cell r="Q7">
            <v>0.85</v>
          </cell>
          <cell r="V7">
            <v>0</v>
          </cell>
          <cell r="W7" t="str">
            <v/>
          </cell>
        </row>
        <row r="8">
          <cell r="E8" t="str">
            <v>BODY SPLASH CEU INFINITO 200ml &gt; 0008</v>
          </cell>
          <cell r="G8">
            <v>46149</v>
          </cell>
          <cell r="H8">
            <v>16000</v>
          </cell>
          <cell r="Q8">
            <v>0.85</v>
          </cell>
          <cell r="V8">
            <v>0</v>
          </cell>
          <cell r="W8" t="str">
            <v/>
          </cell>
        </row>
        <row r="9">
          <cell r="E9" t="str">
            <v>BODY SPLASH AMBAR REAL 200ml &gt; 0008</v>
          </cell>
          <cell r="G9">
            <v>46149</v>
          </cell>
          <cell r="H9">
            <v>16000</v>
          </cell>
          <cell r="Q9">
            <v>0.85</v>
          </cell>
          <cell r="V9">
            <v>0</v>
          </cell>
          <cell r="W9" t="str">
            <v/>
          </cell>
        </row>
        <row r="10">
          <cell r="E10" t="str">
            <v>BODY SPLASH CLAIRE 120ml &gt; FABIANO 22/01/26</v>
          </cell>
          <cell r="G10">
            <v>46044</v>
          </cell>
          <cell r="H10">
            <v>20000</v>
          </cell>
          <cell r="Q10">
            <v>0.55000000000000004</v>
          </cell>
          <cell r="V10">
            <v>0</v>
          </cell>
          <cell r="W10" t="str">
            <v/>
          </cell>
        </row>
        <row r="11">
          <cell r="E11" t="str">
            <v>BODY SPLASH CEU CELESTE 200ml &gt; 0008</v>
          </cell>
          <cell r="G11">
            <v>46149</v>
          </cell>
          <cell r="H11">
            <v>11000</v>
          </cell>
          <cell r="Q11">
            <v>0.85</v>
          </cell>
          <cell r="V11">
            <v>0</v>
          </cell>
          <cell r="W11" t="str">
            <v/>
          </cell>
        </row>
        <row r="12">
          <cell r="E12" t="str">
            <v>BODY SPLASH DESERTO DOURADO 120ml &gt; FABIANO 22/01/26</v>
          </cell>
          <cell r="G12">
            <v>46044</v>
          </cell>
          <cell r="H12">
            <v>19000</v>
          </cell>
          <cell r="Q12">
            <v>0.55000000000000004</v>
          </cell>
          <cell r="V12">
            <v>0</v>
          </cell>
          <cell r="W12" t="str">
            <v/>
          </cell>
        </row>
        <row r="13">
          <cell r="E13" t="str">
            <v>RE.BODY SPLASH LEAO DO DESERTO BOURBON 200ml &gt; RETRAB 01.2026</v>
          </cell>
          <cell r="G13">
            <v>46044</v>
          </cell>
          <cell r="H13">
            <v>9201</v>
          </cell>
          <cell r="Q13">
            <v>0.85</v>
          </cell>
          <cell r="V13">
            <v>0</v>
          </cell>
          <cell r="W13" t="str">
            <v/>
          </cell>
        </row>
        <row r="14">
          <cell r="E14" t="str">
            <v>BODY SPLASH IDOLA 120ml &gt; FABIANO 22/01/26</v>
          </cell>
          <cell r="G14">
            <v>46044</v>
          </cell>
          <cell r="H14">
            <v>19000</v>
          </cell>
          <cell r="Q14">
            <v>0.55000000000000004</v>
          </cell>
          <cell r="V14">
            <v>0</v>
          </cell>
          <cell r="W14" t="str">
            <v/>
          </cell>
        </row>
        <row r="15">
          <cell r="E15" t="str">
            <v>BODY SPLASH JARDIM DO ORIENTE 120ml &gt; FABIANO 22/01/26</v>
          </cell>
          <cell r="G15">
            <v>46044</v>
          </cell>
          <cell r="H15">
            <v>20000</v>
          </cell>
          <cell r="Q15">
            <v>0.55000000000000004</v>
          </cell>
          <cell r="V15">
            <v>0</v>
          </cell>
          <cell r="W15" t="str">
            <v/>
          </cell>
        </row>
        <row r="16">
          <cell r="E16" t="str">
            <v>BODY SPLASH NOITE DE AMBAR 120ml &gt; FABIANO 22/01/26</v>
          </cell>
          <cell r="G16">
            <v>46044</v>
          </cell>
          <cell r="H16">
            <v>20000</v>
          </cell>
          <cell r="Q16">
            <v>0.55000000000000004</v>
          </cell>
          <cell r="V16">
            <v>0</v>
          </cell>
          <cell r="W16" t="str">
            <v/>
          </cell>
        </row>
        <row r="17">
          <cell r="E17" t="str">
            <v>BODY SPLASH FORÇA DO LEAO &gt; 0006</v>
          </cell>
          <cell r="G17">
            <v>46128</v>
          </cell>
          <cell r="H17">
            <v>60000</v>
          </cell>
          <cell r="Q17">
            <v>1.1000000000000001</v>
          </cell>
          <cell r="V17">
            <v>0</v>
          </cell>
          <cell r="W17" t="str">
            <v/>
          </cell>
        </row>
        <row r="18">
          <cell r="E18" t="str">
            <v>BODY SPLASH DESPERTAR DAS FLORES 200ml &gt; 0008</v>
          </cell>
          <cell r="G18">
            <v>46149</v>
          </cell>
          <cell r="H18">
            <v>15000</v>
          </cell>
          <cell r="Q18">
            <v>0.85000000000000009</v>
          </cell>
          <cell r="V18">
            <v>0</v>
          </cell>
          <cell r="W18" t="str">
            <v/>
          </cell>
        </row>
        <row r="19">
          <cell r="E19" t="str">
            <v>BODY SPLASH LINDA VIDA 120ml &gt; FABIANO 22/01/26</v>
          </cell>
          <cell r="G19">
            <v>46044</v>
          </cell>
          <cell r="H19">
            <v>20000</v>
          </cell>
          <cell r="Q19">
            <v>0.55000000000000004</v>
          </cell>
          <cell r="V19">
            <v>0</v>
          </cell>
          <cell r="W19" t="str">
            <v/>
          </cell>
        </row>
        <row r="20">
          <cell r="E20" t="str">
            <v>BODY SPLASH FLOR D AURA 200ml &gt; 0008</v>
          </cell>
          <cell r="G20">
            <v>46149</v>
          </cell>
          <cell r="H20">
            <v>15000</v>
          </cell>
          <cell r="Q20">
            <v>0.85</v>
          </cell>
          <cell r="V20">
            <v>0</v>
          </cell>
          <cell r="W20" t="str">
            <v/>
          </cell>
        </row>
        <row r="21">
          <cell r="E21" t="str">
            <v>FIXADOR FIX MATTE 120ml - 2 &gt; FABIANO 03/02/26</v>
          </cell>
          <cell r="G21">
            <v>46115</v>
          </cell>
          <cell r="H21">
            <v>48000</v>
          </cell>
          <cell r="Q21">
            <v>0.55000000000000004</v>
          </cell>
          <cell r="V21">
            <v>0</v>
          </cell>
          <cell r="W21" t="str">
            <v/>
          </cell>
        </row>
        <row r="22">
          <cell r="E22" t="str">
            <v>BODY SPLASH MATTE SORVETE DE BAUNILHA &gt; 0007</v>
          </cell>
          <cell r="G22">
            <v>46013</v>
          </cell>
          <cell r="H22">
            <v>14400</v>
          </cell>
          <cell r="Q22">
            <v>0</v>
          </cell>
          <cell r="V22">
            <v>0</v>
          </cell>
          <cell r="W22" t="str">
            <v/>
          </cell>
        </row>
        <row r="23">
          <cell r="E23" t="str">
            <v>BODY SPLASH MATTE DOCE SEDUÇÃO &gt; 0007</v>
          </cell>
          <cell r="G23">
            <v>46013</v>
          </cell>
          <cell r="H23">
            <v>14400</v>
          </cell>
          <cell r="Q23">
            <v>0</v>
          </cell>
          <cell r="V23">
            <v>0</v>
          </cell>
          <cell r="W23" t="str">
            <v/>
          </cell>
        </row>
        <row r="24">
          <cell r="E24" t="str">
            <v>BODY SPLASH FORÇA DO LEAO &gt; 0012</v>
          </cell>
          <cell r="G24">
            <v>46168</v>
          </cell>
          <cell r="H24">
            <v>60000</v>
          </cell>
          <cell r="Q24">
            <v>1.1000000000000001</v>
          </cell>
          <cell r="V24">
            <v>0</v>
          </cell>
          <cell r="W24" t="str">
            <v/>
          </cell>
        </row>
        <row r="25">
          <cell r="E25" t="str">
            <v>BODY SPLASH MATTE OITAVA MARAVILHA &gt; 0007</v>
          </cell>
          <cell r="G25">
            <v>46013</v>
          </cell>
          <cell r="H25">
            <v>14400</v>
          </cell>
          <cell r="Q25">
            <v>0</v>
          </cell>
          <cell r="V25">
            <v>0</v>
          </cell>
          <cell r="W25" t="str">
            <v/>
          </cell>
        </row>
        <row r="26">
          <cell r="E26" t="str">
            <v>BODY SPLASH LEAO DO DESERTO BOURBON 200ml &gt; 0011</v>
          </cell>
          <cell r="G26">
            <v>46169</v>
          </cell>
          <cell r="H26">
            <v>60000</v>
          </cell>
          <cell r="Q26">
            <v>0.85</v>
          </cell>
          <cell r="V26">
            <v>0</v>
          </cell>
          <cell r="W26" t="str">
            <v/>
          </cell>
        </row>
        <row r="27">
          <cell r="E27" t="str">
            <v>BODY SPLASH ROSA RAINHA 200ml &gt; 0008</v>
          </cell>
          <cell r="G27">
            <v>46149</v>
          </cell>
          <cell r="H27">
            <v>15000</v>
          </cell>
          <cell r="Q27">
            <v>0.85</v>
          </cell>
          <cell r="V27">
            <v>0</v>
          </cell>
          <cell r="W27" t="str">
            <v/>
          </cell>
        </row>
        <row r="28">
          <cell r="E28" t="str">
            <v>HIDRATANTE BISNAGA IMPERIUM 200g - 3 &gt; HABIBI 01</v>
          </cell>
          <cell r="G28">
            <v>46160</v>
          </cell>
          <cell r="H28">
            <v>4000</v>
          </cell>
          <cell r="Q28">
            <v>2</v>
          </cell>
          <cell r="V28">
            <v>0</v>
          </cell>
          <cell r="W28" t="str">
            <v/>
          </cell>
        </row>
        <row r="29">
          <cell r="E29" t="str">
            <v>HIDRATANTE BISNAGA ROSE AURORA 200g - 3 &gt; HABIBI 01</v>
          </cell>
          <cell r="G29">
            <v>46160</v>
          </cell>
          <cell r="H29">
            <v>4000</v>
          </cell>
          <cell r="Q29">
            <v>2</v>
          </cell>
          <cell r="V29">
            <v>0</v>
          </cell>
          <cell r="W29" t="str">
            <v/>
          </cell>
        </row>
        <row r="30">
          <cell r="E30" t="str">
            <v>HIDRATANTE BISNAGA ROSA SUBLIME 200g - 2 &gt; HABIBI 01</v>
          </cell>
          <cell r="G30">
            <v>46127</v>
          </cell>
          <cell r="H30">
            <v>4000</v>
          </cell>
          <cell r="Q30">
            <v>2</v>
          </cell>
          <cell r="V30">
            <v>0</v>
          </cell>
          <cell r="W30" t="str">
            <v/>
          </cell>
        </row>
        <row r="31">
          <cell r="E31" t="str">
            <v>HIDRATANTE BISNAGA ROSA SUBLIME 200g - 3 &gt; HABIBI 01</v>
          </cell>
          <cell r="G31">
            <v>46160</v>
          </cell>
          <cell r="H31">
            <v>4000</v>
          </cell>
          <cell r="Q31">
            <v>2</v>
          </cell>
          <cell r="V31">
            <v>0</v>
          </cell>
          <cell r="W31" t="str">
            <v/>
          </cell>
        </row>
        <row r="32">
          <cell r="E32" t="str">
            <v>BODY SPLASH DEUSA DO NILO &gt; Miss Rôse - Body Splash 1.0</v>
          </cell>
          <cell r="G32">
            <v>45809</v>
          </cell>
          <cell r="H32">
            <v>10000</v>
          </cell>
          <cell r="Q32">
            <v>0.51</v>
          </cell>
          <cell r="V32">
            <v>0</v>
          </cell>
          <cell r="W32" t="str">
            <v/>
          </cell>
        </row>
        <row r="33">
          <cell r="E33" t="str">
            <v>HIDRATANTE BISNAGA DELICADA 200g - 3 &gt; HABIBI 01</v>
          </cell>
          <cell r="G33">
            <v>46160</v>
          </cell>
          <cell r="H33">
            <v>4000</v>
          </cell>
          <cell r="Q33">
            <v>2</v>
          </cell>
          <cell r="V33">
            <v>0</v>
          </cell>
          <cell r="W33" t="str">
            <v/>
          </cell>
        </row>
        <row r="34">
          <cell r="E34" t="str">
            <v>HIDRATANTE BISNAGA LUX AMBER 200g - 3 &gt; HABIBI 01</v>
          </cell>
          <cell r="G34">
            <v>46160</v>
          </cell>
          <cell r="H34">
            <v>4000</v>
          </cell>
          <cell r="Q34">
            <v>2</v>
          </cell>
          <cell r="V34">
            <v>0</v>
          </cell>
          <cell r="W34" t="str">
            <v/>
          </cell>
        </row>
        <row r="35">
          <cell r="E35" t="str">
            <v>PERFUME WHITE DRESS 100ML &gt; 0016</v>
          </cell>
          <cell r="G35">
            <v>46196</v>
          </cell>
          <cell r="H35">
            <v>3500</v>
          </cell>
          <cell r="Q35">
            <v>0</v>
          </cell>
          <cell r="V35">
            <v>0</v>
          </cell>
          <cell r="W35" t="str">
            <v/>
          </cell>
        </row>
        <row r="36">
          <cell r="E36" t="str">
            <v>BODY SPLASH AMBAR REAL 200ml &gt; 0011</v>
          </cell>
          <cell r="G36">
            <v>46169</v>
          </cell>
          <cell r="H36">
            <v>30000</v>
          </cell>
          <cell r="Q36">
            <v>0.85</v>
          </cell>
          <cell r="V36">
            <v>0</v>
          </cell>
          <cell r="W36" t="str">
            <v/>
          </cell>
        </row>
        <row r="37">
          <cell r="E37" t="str">
            <v>HIDRATANTE BISNAGA IMPERIUM BOURBON 200g - 3 &gt; HABIBI 01</v>
          </cell>
          <cell r="G37">
            <v>46160</v>
          </cell>
          <cell r="H37">
            <v>4000</v>
          </cell>
          <cell r="Q37">
            <v>2</v>
          </cell>
          <cell r="V37">
            <v>0</v>
          </cell>
          <cell r="W37" t="str">
            <v/>
          </cell>
        </row>
        <row r="38">
          <cell r="E38" t="str">
            <v>BODY SPLASH DEUSA DO NILO &gt; 0014</v>
          </cell>
          <cell r="G38">
            <v>46196</v>
          </cell>
          <cell r="H38">
            <v>20000</v>
          </cell>
          <cell r="Q38">
            <v>0.51</v>
          </cell>
          <cell r="V38">
            <v>0</v>
          </cell>
          <cell r="W38" t="str">
            <v/>
          </cell>
        </row>
        <row r="39">
          <cell r="E39" t="str">
            <v>HIDRATANTE BISNAGA ANGELUS 200g - 3 &gt; HABIBI 01</v>
          </cell>
          <cell r="G39">
            <v>46160</v>
          </cell>
          <cell r="H39">
            <v>4000</v>
          </cell>
          <cell r="Q39">
            <v>2</v>
          </cell>
          <cell r="V39">
            <v>0</v>
          </cell>
          <cell r="W39" t="str">
            <v/>
          </cell>
        </row>
        <row r="40">
          <cell r="E40" t="str">
            <v>BODY SPLASH ROSA RAINHA 200ml &gt; 0011</v>
          </cell>
          <cell r="G40">
            <v>46169</v>
          </cell>
          <cell r="H40">
            <v>30000</v>
          </cell>
          <cell r="Q40">
            <v>0.85</v>
          </cell>
          <cell r="V40">
            <v>0</v>
          </cell>
          <cell r="W40" t="str">
            <v/>
          </cell>
        </row>
        <row r="41">
          <cell r="E41" t="str">
            <v>BODY MIST BAUNILHA SELVAGEM - 2 &gt; AMEERATI 01</v>
          </cell>
          <cell r="G41">
            <v>46013</v>
          </cell>
          <cell r="H41">
            <v>2520</v>
          </cell>
          <cell r="Q41">
            <v>1.35</v>
          </cell>
          <cell r="V41">
            <v>0</v>
          </cell>
          <cell r="W41" t="str">
            <v/>
          </cell>
        </row>
        <row r="42">
          <cell r="E42" t="str">
            <v>BODY MIST ENCANTO PERSA - 1 &gt; AMEERATI 01</v>
          </cell>
          <cell r="G42">
            <v>45959</v>
          </cell>
          <cell r="H42">
            <v>840</v>
          </cell>
          <cell r="Q42">
            <v>1.35</v>
          </cell>
          <cell r="V42">
            <v>0</v>
          </cell>
          <cell r="W42" t="str">
            <v/>
          </cell>
        </row>
        <row r="43">
          <cell r="E43" t="str">
            <v>BODY MIST ENCANTO PERSA - 2 &gt; AMEERATI 01</v>
          </cell>
          <cell r="G43">
            <v>46013</v>
          </cell>
          <cell r="H43">
            <v>2520</v>
          </cell>
          <cell r="Q43">
            <v>1.35</v>
          </cell>
          <cell r="V43">
            <v>0</v>
          </cell>
          <cell r="W43" t="str">
            <v/>
          </cell>
        </row>
        <row r="44">
          <cell r="E44" t="str">
            <v>BODY MIST FLOR DO DESERTO - 1 &gt; AMEERATI 01</v>
          </cell>
          <cell r="G44">
            <v>45959</v>
          </cell>
          <cell r="H44">
            <v>840</v>
          </cell>
          <cell r="Q44">
            <v>1.35</v>
          </cell>
          <cell r="V44">
            <v>0</v>
          </cell>
          <cell r="W44" t="str">
            <v/>
          </cell>
        </row>
        <row r="45">
          <cell r="E45" t="str">
            <v>BODY MIST FLOR DO DESERTO - 2 &gt; AMEERATI 01</v>
          </cell>
          <cell r="G45">
            <v>46013</v>
          </cell>
          <cell r="H45">
            <v>2520</v>
          </cell>
          <cell r="Q45">
            <v>1.35</v>
          </cell>
          <cell r="V45">
            <v>0</v>
          </cell>
          <cell r="W45" t="str">
            <v/>
          </cell>
        </row>
        <row r="46">
          <cell r="E46" t="str">
            <v>BODY MIST FRESCOR LICHIA - 2 &gt; AMEERATI 01</v>
          </cell>
          <cell r="G46">
            <v>46013</v>
          </cell>
          <cell r="H46">
            <v>2520</v>
          </cell>
          <cell r="Q46">
            <v>1.35</v>
          </cell>
          <cell r="V46">
            <v>0</v>
          </cell>
          <cell r="W46" t="str">
            <v/>
          </cell>
        </row>
        <row r="47">
          <cell r="E47" t="str">
            <v>BODY MIST JARDINS DO ORIENTE - 2 &gt; AMEERATI 01</v>
          </cell>
          <cell r="G47">
            <v>46013</v>
          </cell>
          <cell r="H47">
            <v>2520</v>
          </cell>
          <cell r="Q47">
            <v>1.35</v>
          </cell>
          <cell r="V47">
            <v>0</v>
          </cell>
          <cell r="W47" t="str">
            <v/>
          </cell>
        </row>
        <row r="48">
          <cell r="E48" t="str">
            <v>BODY MIST MEL DE ESPECIARIAS - 1 &gt; AMEERATI 01</v>
          </cell>
          <cell r="G48">
            <v>45959</v>
          </cell>
          <cell r="H48">
            <v>840</v>
          </cell>
          <cell r="Q48">
            <v>1.35</v>
          </cell>
          <cell r="V48">
            <v>0</v>
          </cell>
          <cell r="W48" t="str">
            <v/>
          </cell>
        </row>
        <row r="49">
          <cell r="E49" t="str">
            <v>BODY MIST MEL DE ESPECIARIAS - 2 &gt; AMEERATI 01</v>
          </cell>
          <cell r="G49">
            <v>46013</v>
          </cell>
          <cell r="H49">
            <v>2520</v>
          </cell>
          <cell r="Q49">
            <v>1.35</v>
          </cell>
          <cell r="V49">
            <v>0</v>
          </cell>
          <cell r="W49" t="str">
            <v/>
          </cell>
        </row>
        <row r="50">
          <cell r="E50" t="str">
            <v>BODY MIST NECTAR DA PERA - 2 &gt; AMEERATI 01</v>
          </cell>
          <cell r="G50">
            <v>46013</v>
          </cell>
          <cell r="H50">
            <v>2520</v>
          </cell>
          <cell r="Q50">
            <v>1.35</v>
          </cell>
          <cell r="V50">
            <v>0</v>
          </cell>
          <cell r="W50" t="str">
            <v/>
          </cell>
        </row>
        <row r="51">
          <cell r="E51" t="str">
            <v>BODY MIST PEROLA DO DESERTO - 1 &gt; AMEERATI 01</v>
          </cell>
          <cell r="G51">
            <v>45959</v>
          </cell>
          <cell r="H51">
            <v>840</v>
          </cell>
          <cell r="Q51">
            <v>1.35</v>
          </cell>
          <cell r="V51">
            <v>0</v>
          </cell>
          <cell r="W51" t="str">
            <v/>
          </cell>
        </row>
        <row r="52">
          <cell r="E52" t="str">
            <v>BODY MIST PEROLA DO DESERTO - 2 &gt; AMEERATI 01</v>
          </cell>
          <cell r="G52">
            <v>46013</v>
          </cell>
          <cell r="H52">
            <v>2520</v>
          </cell>
          <cell r="Q52">
            <v>1.35</v>
          </cell>
          <cell r="V52">
            <v>0</v>
          </cell>
          <cell r="W52" t="str">
            <v/>
          </cell>
        </row>
        <row r="53">
          <cell r="E53" t="str">
            <v>BODY MIST RARO ELIXIR - 1 &gt; AMEERATI 01</v>
          </cell>
          <cell r="G53">
            <v>45959</v>
          </cell>
          <cell r="H53">
            <v>840</v>
          </cell>
          <cell r="Q53">
            <v>1.35</v>
          </cell>
          <cell r="V53">
            <v>0</v>
          </cell>
          <cell r="W53" t="str">
            <v/>
          </cell>
        </row>
        <row r="54">
          <cell r="E54" t="str">
            <v>BODY MIST RARO ELIXIR - 2 &gt; AMEERATI 01</v>
          </cell>
          <cell r="G54">
            <v>46013</v>
          </cell>
          <cell r="H54">
            <v>2520</v>
          </cell>
          <cell r="Q54">
            <v>1.35</v>
          </cell>
          <cell r="V54">
            <v>0</v>
          </cell>
          <cell r="W54" t="str">
            <v/>
          </cell>
        </row>
        <row r="55">
          <cell r="E55" t="str">
            <v>BODY MIST ROSA IMPERIAL - 1 &gt; AMEERATI 01</v>
          </cell>
          <cell r="G55">
            <v>45959</v>
          </cell>
          <cell r="H55">
            <v>840</v>
          </cell>
          <cell r="Q55">
            <v>1.35</v>
          </cell>
          <cell r="V55">
            <v>0</v>
          </cell>
          <cell r="W55" t="str">
            <v/>
          </cell>
        </row>
        <row r="56">
          <cell r="E56" t="str">
            <v>BODY MIST ROSA IMPERIAL - 2 &gt; AMEERATI 01</v>
          </cell>
          <cell r="G56">
            <v>46013</v>
          </cell>
          <cell r="H56">
            <v>2520</v>
          </cell>
          <cell r="Q56">
            <v>1.35</v>
          </cell>
          <cell r="V56">
            <v>0</v>
          </cell>
          <cell r="W56" t="str">
            <v/>
          </cell>
        </row>
        <row r="57">
          <cell r="E57" t="str">
            <v>BODY MIST TESOURO DO OASIS - 2 &gt; AMEERATI 01</v>
          </cell>
          <cell r="G57">
            <v>46013</v>
          </cell>
          <cell r="H57">
            <v>2520</v>
          </cell>
          <cell r="Q57">
            <v>1.35</v>
          </cell>
          <cell r="V57">
            <v>0</v>
          </cell>
          <cell r="W57" t="str">
            <v/>
          </cell>
        </row>
        <row r="58">
          <cell r="E58" t="str">
            <v>BODY MIST VERDE SUPREMO - 2 &gt; AMEERATI 01</v>
          </cell>
          <cell r="G58">
            <v>46013</v>
          </cell>
          <cell r="H58">
            <v>2520</v>
          </cell>
          <cell r="Q58">
            <v>1.35</v>
          </cell>
          <cell r="V58">
            <v>0</v>
          </cell>
          <cell r="W58" t="str">
            <v/>
          </cell>
        </row>
        <row r="59">
          <cell r="E59" t="str">
            <v>BODY CREAM BAUNILHA SELVAGEM - 1 &gt; AMEERATI 01</v>
          </cell>
          <cell r="G59">
            <v>45959</v>
          </cell>
          <cell r="H59">
            <v>840</v>
          </cell>
          <cell r="Q59">
            <v>1.48</v>
          </cell>
          <cell r="V59">
            <v>0</v>
          </cell>
          <cell r="W59" t="str">
            <v/>
          </cell>
        </row>
        <row r="60">
          <cell r="E60" t="str">
            <v>BODY CREAM SONHO DE PISTACHE - 1 &gt; AMEERATI 01</v>
          </cell>
          <cell r="G60">
            <v>45959</v>
          </cell>
          <cell r="H60">
            <v>840</v>
          </cell>
          <cell r="Q60">
            <v>1.48</v>
          </cell>
          <cell r="V60">
            <v>0</v>
          </cell>
          <cell r="W60" t="str">
            <v/>
          </cell>
        </row>
        <row r="61">
          <cell r="E61" t="str">
            <v>BODY CREAM VERDE SUPREMO - 1 &gt; AMEERATI 01</v>
          </cell>
          <cell r="G61">
            <v>45959</v>
          </cell>
          <cell r="H61">
            <v>840</v>
          </cell>
          <cell r="Q61">
            <v>1.48</v>
          </cell>
          <cell r="V61">
            <v>0</v>
          </cell>
          <cell r="W61" t="str">
            <v/>
          </cell>
        </row>
        <row r="62">
          <cell r="E62" t="str">
            <v>BODY MIST BAUNILHA SELVAGEM - 1 &gt; AMEERATI 01</v>
          </cell>
          <cell r="G62">
            <v>45959</v>
          </cell>
          <cell r="H62">
            <v>840</v>
          </cell>
          <cell r="Q62">
            <v>1.35</v>
          </cell>
          <cell r="V62">
            <v>0</v>
          </cell>
          <cell r="W62" t="str">
            <v/>
          </cell>
        </row>
        <row r="63">
          <cell r="E63" t="str">
            <v>BODY MIST DOCE ROSA &gt; AMEERATI 01</v>
          </cell>
          <cell r="G63">
            <v>45959</v>
          </cell>
          <cell r="H63">
            <v>3360</v>
          </cell>
          <cell r="Q63">
            <v>1.35</v>
          </cell>
          <cell r="V63">
            <v>0</v>
          </cell>
          <cell r="W63" t="str">
            <v/>
          </cell>
        </row>
        <row r="64">
          <cell r="E64" t="str">
            <v>BODY MIST FRESCOR LICHIA - 1 &gt; AMEERATI 01</v>
          </cell>
          <cell r="G64">
            <v>45959</v>
          </cell>
          <cell r="H64">
            <v>840</v>
          </cell>
          <cell r="Q64">
            <v>1.35</v>
          </cell>
          <cell r="V64">
            <v>0</v>
          </cell>
          <cell r="W64" t="str">
            <v/>
          </cell>
        </row>
        <row r="65">
          <cell r="E65" t="str">
            <v>BODY MIST NECTAR DA PERA - 1 &gt; AMEERATI 01</v>
          </cell>
          <cell r="G65">
            <v>45959</v>
          </cell>
          <cell r="H65">
            <v>840</v>
          </cell>
          <cell r="Q65">
            <v>1.35</v>
          </cell>
          <cell r="V65">
            <v>0</v>
          </cell>
          <cell r="W65" t="str">
            <v/>
          </cell>
        </row>
        <row r="66">
          <cell r="E66" t="str">
            <v>BODY MIST SONHO DE PISTACHE &gt; AMEERATI 01</v>
          </cell>
          <cell r="G66">
            <v>45959</v>
          </cell>
          <cell r="H66">
            <v>3360</v>
          </cell>
          <cell r="Q66">
            <v>1.35</v>
          </cell>
          <cell r="V66">
            <v>0</v>
          </cell>
          <cell r="W66" t="str">
            <v/>
          </cell>
        </row>
        <row r="67">
          <cell r="E67" t="str">
            <v>BODY MIST VERDE SUPREMO - 1 &gt; AMEERATI 01</v>
          </cell>
          <cell r="G67">
            <v>45959</v>
          </cell>
          <cell r="H67">
            <v>840</v>
          </cell>
          <cell r="Q67">
            <v>1.35</v>
          </cell>
          <cell r="V67">
            <v>0</v>
          </cell>
          <cell r="W67" t="str">
            <v/>
          </cell>
        </row>
        <row r="68">
          <cell r="E68" t="str">
            <v>PERFUME CAPILAR SOL TROPICAL 61 &gt; BRIA 01</v>
          </cell>
          <cell r="G68">
            <v>45934</v>
          </cell>
          <cell r="H68">
            <v>15000</v>
          </cell>
          <cell r="Q68">
            <v>1.5699999999999998</v>
          </cell>
          <cell r="V68">
            <v>0</v>
          </cell>
          <cell r="W68" t="str">
            <v/>
          </cell>
        </row>
        <row r="69">
          <cell r="E69" t="str">
            <v>BODY SPLASH SOL TROPICAL 61 200ml &gt; BRIA 01</v>
          </cell>
          <cell r="G69">
            <v>45934</v>
          </cell>
          <cell r="H69">
            <v>10000</v>
          </cell>
          <cell r="Q69">
            <v>1.4699999999999998</v>
          </cell>
          <cell r="V69">
            <v>0</v>
          </cell>
          <cell r="W69" t="str">
            <v/>
          </cell>
        </row>
        <row r="70">
          <cell r="E70" t="str">
            <v>BODY SPLASH ZAHRA 120ml &gt; REPOSICAO BRIA 01</v>
          </cell>
          <cell r="G70">
            <v>46052</v>
          </cell>
          <cell r="H70">
            <v>27440</v>
          </cell>
          <cell r="Q70">
            <v>1.08</v>
          </cell>
          <cell r="V70">
            <v>0</v>
          </cell>
          <cell r="W70" t="str">
            <v/>
          </cell>
        </row>
        <row r="71">
          <cell r="E71" t="str">
            <v>HIDRATANTE GLOW PAIXÃO IRRESISTÍVEL - 1 &gt; DAPOP - Pedido 360 mil</v>
          </cell>
          <cell r="G71">
            <v>45828</v>
          </cell>
          <cell r="H71">
            <v>14434</v>
          </cell>
          <cell r="Q71">
            <v>0</v>
          </cell>
          <cell r="V71">
            <v>0</v>
          </cell>
          <cell r="W71" t="str">
            <v/>
          </cell>
        </row>
        <row r="72">
          <cell r="E72" t="str">
            <v>HIDRATANTE GLOW TAÇA DE CHAMPAGNE - 1 &gt; DAPOP - Pedido 360 mil</v>
          </cell>
          <cell r="G72">
            <v>45828</v>
          </cell>
          <cell r="H72">
            <v>20000</v>
          </cell>
          <cell r="Q72">
            <v>0</v>
          </cell>
          <cell r="V72">
            <v>0</v>
          </cell>
          <cell r="W72" t="str">
            <v/>
          </cell>
        </row>
        <row r="73">
          <cell r="E73" t="str">
            <v>HIDRATANTE MATTE OITAVA MARAVILHA &gt; DAPOP - Pedido 360 mil</v>
          </cell>
          <cell r="G73">
            <v>45828</v>
          </cell>
          <cell r="H73">
            <v>20000</v>
          </cell>
          <cell r="Q73">
            <v>0</v>
          </cell>
          <cell r="V73">
            <v>0</v>
          </cell>
          <cell r="W73" t="str">
            <v/>
          </cell>
        </row>
        <row r="74">
          <cell r="E74" t="str">
            <v>ÁGUA MICELAR ROSA MOSQUETA - 1 &gt; GLOW - Água Micelar</v>
          </cell>
          <cell r="G74">
            <v>45824</v>
          </cell>
          <cell r="H74">
            <v>5000</v>
          </cell>
          <cell r="Q74">
            <v>0</v>
          </cell>
          <cell r="V74">
            <v>0</v>
          </cell>
          <cell r="W74" t="str">
            <v/>
          </cell>
        </row>
        <row r="75">
          <cell r="E75" t="str">
            <v>ÁGUA MICELAR 3 EM 1 - 2 &gt; GLOW - Água Micelar</v>
          </cell>
          <cell r="G75">
            <v>45870</v>
          </cell>
          <cell r="H75">
            <v>15000</v>
          </cell>
          <cell r="Q75">
            <v>0</v>
          </cell>
          <cell r="V75">
            <v>0</v>
          </cell>
          <cell r="W75" t="str">
            <v/>
          </cell>
        </row>
        <row r="76">
          <cell r="E76" t="str">
            <v>ÁGUA MICELAR ÁCIDO HIAULURÔNICO - 2 &gt; GLOW - Água Micelar</v>
          </cell>
          <cell r="G76">
            <v>45870</v>
          </cell>
          <cell r="H76">
            <v>15000</v>
          </cell>
          <cell r="Q76">
            <v>0</v>
          </cell>
          <cell r="V76">
            <v>0</v>
          </cell>
          <cell r="W76" t="str">
            <v/>
          </cell>
        </row>
        <row r="77">
          <cell r="E77" t="str">
            <v>ÁGUA MICELAR CARVÃO ATIVADO - 2 &gt; GLOW - Água Micelar</v>
          </cell>
          <cell r="G77">
            <v>45870</v>
          </cell>
          <cell r="H77">
            <v>15000</v>
          </cell>
          <cell r="Q77">
            <v>0</v>
          </cell>
          <cell r="V77">
            <v>0</v>
          </cell>
          <cell r="W77" t="str">
            <v/>
          </cell>
        </row>
        <row r="78">
          <cell r="E78" t="str">
            <v>ÁGUA MICELAR COLÁGENO - 2 &gt; GLOW - Água Micelar</v>
          </cell>
          <cell r="G78">
            <v>45870</v>
          </cell>
          <cell r="H78">
            <v>15000</v>
          </cell>
          <cell r="Q78">
            <v>0</v>
          </cell>
          <cell r="V78">
            <v>0</v>
          </cell>
          <cell r="W78" t="str">
            <v/>
          </cell>
        </row>
        <row r="79">
          <cell r="E79" t="str">
            <v>ÁGUA MICELAR ROSA MOSQUETA - 2 &gt; GLOW - Água Micelar</v>
          </cell>
          <cell r="G79">
            <v>45870</v>
          </cell>
          <cell r="H79">
            <v>15000</v>
          </cell>
          <cell r="Q79">
            <v>0</v>
          </cell>
          <cell r="V79">
            <v>0</v>
          </cell>
          <cell r="W79" t="str">
            <v/>
          </cell>
        </row>
        <row r="80">
          <cell r="E80" t="str">
            <v>ÁGUA MICELAR ÁCIDO HIAULURÔNICO - 1 &gt; GLOW - Água Micelar</v>
          </cell>
          <cell r="G80">
            <v>45809</v>
          </cell>
          <cell r="H80">
            <v>5000</v>
          </cell>
          <cell r="Q80">
            <v>0</v>
          </cell>
          <cell r="V80">
            <v>0</v>
          </cell>
          <cell r="W80" t="str">
            <v/>
          </cell>
        </row>
        <row r="81">
          <cell r="E81" t="str">
            <v>ÁGUA MICELAR BABA GLOW - 1 &gt; GLOW - Água Micelar</v>
          </cell>
          <cell r="G81">
            <v>45824</v>
          </cell>
          <cell r="H81">
            <v>5000</v>
          </cell>
          <cell r="Q81">
            <v>0.85999999999999988</v>
          </cell>
          <cell r="V81">
            <v>0</v>
          </cell>
          <cell r="W81" t="str">
            <v/>
          </cell>
        </row>
        <row r="82">
          <cell r="E82" t="str">
            <v>BODY SPLASH ESCAN DALOSA &gt; GOTA ZEN - Body Slash</v>
          </cell>
          <cell r="G82">
            <v>45778</v>
          </cell>
          <cell r="H82">
            <v>2000</v>
          </cell>
          <cell r="Q82">
            <v>2.0200000000000005</v>
          </cell>
          <cell r="V82">
            <v>0</v>
          </cell>
          <cell r="W82" t="str">
            <v/>
          </cell>
        </row>
        <row r="83">
          <cell r="E83" t="str">
            <v>BODY SPLASH ARABYS' AMBAR &gt; GOTA ZEN - Body Slash</v>
          </cell>
          <cell r="G83">
            <v>45778</v>
          </cell>
          <cell r="H83">
            <v>2000</v>
          </cell>
          <cell r="Q83">
            <v>2.0200000000000005</v>
          </cell>
          <cell r="V83">
            <v>0</v>
          </cell>
          <cell r="W83" t="str">
            <v/>
          </cell>
        </row>
        <row r="84">
          <cell r="E84" t="str">
            <v>BODY SPLASH ARABYS' FEROZ &gt; GOTA ZEN - Body Slash</v>
          </cell>
          <cell r="G84">
            <v>45778</v>
          </cell>
          <cell r="H84">
            <v>2000</v>
          </cell>
          <cell r="Q84">
            <v>2.0200000000000005</v>
          </cell>
          <cell r="V84">
            <v>0</v>
          </cell>
          <cell r="W84" t="str">
            <v/>
          </cell>
        </row>
        <row r="85">
          <cell r="E85" t="str">
            <v>BODY SPLASH GLOW CHAMPAGNE &gt; GOTA ZEN - Body Slash</v>
          </cell>
          <cell r="G85">
            <v>45778</v>
          </cell>
          <cell r="H85">
            <v>2000</v>
          </cell>
          <cell r="Q85">
            <v>2.0200000000000005</v>
          </cell>
          <cell r="V85">
            <v>0</v>
          </cell>
          <cell r="W85" t="str">
            <v/>
          </cell>
        </row>
        <row r="86">
          <cell r="E86" t="str">
            <v>BODY SPLASH GOTA LOVE &gt; GOTA ZEN - Body Slash</v>
          </cell>
          <cell r="G86">
            <v>45778</v>
          </cell>
          <cell r="H86">
            <v>2000</v>
          </cell>
          <cell r="Q86">
            <v>2.0200000000000005</v>
          </cell>
          <cell r="V86">
            <v>0</v>
          </cell>
          <cell r="W86" t="str">
            <v/>
          </cell>
        </row>
        <row r="87">
          <cell r="E87" t="str">
            <v>BODY SPLASH GOTA BELLE &gt; MARIO 09/02/26</v>
          </cell>
          <cell r="G87">
            <v>46009</v>
          </cell>
          <cell r="H87">
            <v>2800</v>
          </cell>
          <cell r="Q87">
            <v>2.0200000000000005</v>
          </cell>
          <cell r="V87">
            <v>0</v>
          </cell>
          <cell r="W87" t="str">
            <v/>
          </cell>
        </row>
        <row r="88">
          <cell r="E88" t="str">
            <v>BODY SPLASH GOTA LOVE &gt; MARIO 09/02/26</v>
          </cell>
          <cell r="G88">
            <v>46009</v>
          </cell>
          <cell r="H88">
            <v>2800</v>
          </cell>
          <cell r="Q88">
            <v>2.0200000000000005</v>
          </cell>
          <cell r="V88">
            <v>0</v>
          </cell>
          <cell r="W88" t="str">
            <v/>
          </cell>
        </row>
        <row r="89">
          <cell r="E89" t="str">
            <v>BODY SPLASH GLOW CHAMPAGNE &gt; MARIO 09/02/26</v>
          </cell>
          <cell r="G89">
            <v>46009</v>
          </cell>
          <cell r="H89">
            <v>2800</v>
          </cell>
          <cell r="Q89">
            <v>2.0200000000000005</v>
          </cell>
          <cell r="V89">
            <v>0</v>
          </cell>
          <cell r="W89" t="str">
            <v/>
          </cell>
        </row>
        <row r="90">
          <cell r="E90" t="str">
            <v>HIDRATANTE BISNAGA ANGELUS 200g - 1 &gt; HABIBI 01</v>
          </cell>
          <cell r="G90">
            <v>46009</v>
          </cell>
          <cell r="H90">
            <v>2000</v>
          </cell>
          <cell r="Q90">
            <v>2</v>
          </cell>
          <cell r="V90">
            <v>0</v>
          </cell>
          <cell r="W90" t="str">
            <v/>
          </cell>
        </row>
        <row r="91">
          <cell r="E91" t="str">
            <v>GELATINA CAPILAR CHEIRINHO DE TUTTI-FRUTTI &gt; 03_07</v>
          </cell>
          <cell r="G91">
            <v>45862</v>
          </cell>
          <cell r="H91">
            <v>10000</v>
          </cell>
          <cell r="Q91">
            <v>0</v>
          </cell>
          <cell r="V91">
            <v>0</v>
          </cell>
          <cell r="W91" t="str">
            <v/>
          </cell>
        </row>
        <row r="92">
          <cell r="E92" t="str">
            <v>GELEIA DE BANHO ABDALLAH &gt; 03_07</v>
          </cell>
          <cell r="G92">
            <v>45862</v>
          </cell>
          <cell r="H92">
            <v>5000</v>
          </cell>
          <cell r="Q92">
            <v>0</v>
          </cell>
          <cell r="V92">
            <v>0</v>
          </cell>
          <cell r="W92" t="str">
            <v/>
          </cell>
        </row>
        <row r="93">
          <cell r="E93" t="str">
            <v>GELEIA DE BANHO ÁRABE &gt; 03_07</v>
          </cell>
          <cell r="G93">
            <v>45862</v>
          </cell>
          <cell r="H93">
            <v>5000</v>
          </cell>
          <cell r="Q93">
            <v>0</v>
          </cell>
          <cell r="V93">
            <v>0</v>
          </cell>
          <cell r="W93" t="str">
            <v/>
          </cell>
        </row>
        <row r="94">
          <cell r="E94" t="str">
            <v>BASE PARA PERFUME FINA BASE 500ml &gt; 03_06</v>
          </cell>
          <cell r="G94">
            <v>45841</v>
          </cell>
          <cell r="H94">
            <v>400</v>
          </cell>
          <cell r="Q94">
            <v>0</v>
          </cell>
          <cell r="V94">
            <v>0</v>
          </cell>
          <cell r="W94" t="str">
            <v/>
          </cell>
        </row>
        <row r="95">
          <cell r="E95" t="str">
            <v>BASE PARA PERFUME FINA BASE PREMIUM 1l &gt; 03_06</v>
          </cell>
          <cell r="G95">
            <v>45841</v>
          </cell>
          <cell r="H95">
            <v>100</v>
          </cell>
          <cell r="Q95">
            <v>0</v>
          </cell>
          <cell r="V95">
            <v>0</v>
          </cell>
          <cell r="W95" t="str">
            <v/>
          </cell>
        </row>
        <row r="96">
          <cell r="E96" t="str">
            <v>BASE PARA PERFUME FINA BASE 500ml &gt; 04_07</v>
          </cell>
          <cell r="G96">
            <v>45866</v>
          </cell>
          <cell r="H96">
            <v>2520</v>
          </cell>
          <cell r="Q96">
            <v>0</v>
          </cell>
          <cell r="V96">
            <v>0</v>
          </cell>
          <cell r="W96" t="str">
            <v/>
          </cell>
        </row>
        <row r="97">
          <cell r="E97" t="str">
            <v>BODY SPLASH AURORA IMPERIAL - 1 &gt; 01_06</v>
          </cell>
          <cell r="G97">
            <v>45824</v>
          </cell>
          <cell r="H97">
            <v>40000</v>
          </cell>
          <cell r="Q97">
            <v>0.51</v>
          </cell>
          <cell r="V97">
            <v>0</v>
          </cell>
          <cell r="W97" t="str">
            <v/>
          </cell>
        </row>
        <row r="98">
          <cell r="E98" t="str">
            <v>BODY SPLASH DEUSA DO NILO &gt; 01_07</v>
          </cell>
          <cell r="G98">
            <v>45852</v>
          </cell>
          <cell r="H98">
            <v>10000</v>
          </cell>
          <cell r="Q98">
            <v>0.51</v>
          </cell>
          <cell r="V98">
            <v>0</v>
          </cell>
          <cell r="W98" t="str">
            <v/>
          </cell>
        </row>
        <row r="99">
          <cell r="E99" t="str">
            <v>BODY SPLASH ECLIPSE DOURADO &gt; 01_07</v>
          </cell>
          <cell r="G99">
            <v>45852</v>
          </cell>
          <cell r="H99">
            <v>10000</v>
          </cell>
          <cell r="Q99">
            <v>0.51</v>
          </cell>
          <cell r="V99">
            <v>0</v>
          </cell>
          <cell r="W99" t="str">
            <v/>
          </cell>
        </row>
        <row r="100">
          <cell r="E100" t="str">
            <v>ÓLEO CORPORAL ALGODÃO &gt; ANDRÉ 15/09</v>
          </cell>
          <cell r="G100">
            <v>45915</v>
          </cell>
          <cell r="H100">
            <v>5000</v>
          </cell>
          <cell r="Q100">
            <v>1</v>
          </cell>
          <cell r="V100">
            <v>0</v>
          </cell>
          <cell r="W100" t="str">
            <v/>
          </cell>
        </row>
        <row r="101">
          <cell r="E101" t="str">
            <v xml:space="preserve"> BRUMA MATTE FIX 120ml &gt; FABIANO 03/02/26</v>
          </cell>
          <cell r="G101">
            <v>46056</v>
          </cell>
          <cell r="H101">
            <v>48000</v>
          </cell>
          <cell r="Q101">
            <v>0.55000000000000004</v>
          </cell>
          <cell r="V101">
            <v>0</v>
          </cell>
          <cell r="W101" t="str">
            <v/>
          </cell>
        </row>
        <row r="102">
          <cell r="E102" t="str">
            <v xml:space="preserve"> BRUMA MATTE FIX 120ml - 2 &gt; FABIANO 03/02/26</v>
          </cell>
          <cell r="G102">
            <v>46056</v>
          </cell>
          <cell r="H102">
            <v>48000</v>
          </cell>
          <cell r="Q102">
            <v>0.55000000000000004</v>
          </cell>
          <cell r="V102">
            <v>0</v>
          </cell>
          <cell r="W102" t="str">
            <v/>
          </cell>
        </row>
        <row r="103">
          <cell r="E103" t="str">
            <v>BODY SPLASH DEUSA DO NILO &gt; FABIANO 06/11</v>
          </cell>
          <cell r="G103">
            <v>45967</v>
          </cell>
          <cell r="H103">
            <v>17000</v>
          </cell>
          <cell r="Q103">
            <v>0.51</v>
          </cell>
          <cell r="V103">
            <v>0</v>
          </cell>
          <cell r="W103" t="str">
            <v/>
          </cell>
        </row>
        <row r="104">
          <cell r="E104" t="str">
            <v>BODY SPLASH LEAO DO DESERTO BOURBON 200ml &gt; FABIANO 09/12</v>
          </cell>
          <cell r="G104">
            <v>46000</v>
          </cell>
          <cell r="H104">
            <v>15000</v>
          </cell>
          <cell r="Q104">
            <v>0.85</v>
          </cell>
          <cell r="V104">
            <v>0</v>
          </cell>
          <cell r="W104" t="str">
            <v/>
          </cell>
        </row>
        <row r="105">
          <cell r="E105" t="str">
            <v>BODY SPLASH DEUSA DO NILO - 1 &gt; FABIANO 19/11</v>
          </cell>
          <cell r="G105">
            <v>45968</v>
          </cell>
          <cell r="H105">
            <v>13000</v>
          </cell>
          <cell r="Q105">
            <v>0.51</v>
          </cell>
          <cell r="V105">
            <v>0</v>
          </cell>
          <cell r="W105" t="str">
            <v/>
          </cell>
        </row>
        <row r="106">
          <cell r="E106" t="str">
            <v>BODY SPLASH DEUSA DO NILO - 2 &gt; FABIANO 19/11</v>
          </cell>
          <cell r="G106">
            <v>46008</v>
          </cell>
          <cell r="H106">
            <v>15000</v>
          </cell>
          <cell r="Q106">
            <v>0.51</v>
          </cell>
          <cell r="V106">
            <v>0</v>
          </cell>
          <cell r="W106" t="str">
            <v/>
          </cell>
        </row>
        <row r="107">
          <cell r="E107" t="str">
            <v>BODY SPLASH AURORA IMPERIAL &gt; FABIANO 20/01/26</v>
          </cell>
          <cell r="G107">
            <v>46042</v>
          </cell>
          <cell r="H107">
            <v>20000</v>
          </cell>
          <cell r="Q107">
            <v>0.51</v>
          </cell>
          <cell r="V107">
            <v>0</v>
          </cell>
          <cell r="W107" t="str">
            <v/>
          </cell>
        </row>
        <row r="108">
          <cell r="E108" t="str">
            <v>BODY SPLASH AURORA IMPERIAL &gt; Fabiano 20/10</v>
          </cell>
          <cell r="G108">
            <v>45950</v>
          </cell>
          <cell r="H108">
            <v>24500</v>
          </cell>
          <cell r="Q108">
            <v>0.51</v>
          </cell>
          <cell r="V108">
            <v>0</v>
          </cell>
          <cell r="W108" t="str">
            <v/>
          </cell>
        </row>
        <row r="109">
          <cell r="E109" t="str">
            <v>BODY SPLASH ECLIPSE DOURADO - 2 &gt; Fabiano 22/09</v>
          </cell>
          <cell r="G109">
            <v>45933</v>
          </cell>
          <cell r="H109">
            <v>5000</v>
          </cell>
          <cell r="Q109">
            <v>0.51</v>
          </cell>
          <cell r="V109">
            <v>0</v>
          </cell>
          <cell r="W109" t="str">
            <v/>
          </cell>
        </row>
        <row r="110">
          <cell r="E110" t="str">
            <v>BODY SPLASH ECLIPSE DOURADO - 3 &gt; Fabiano 22/09</v>
          </cell>
          <cell r="G110">
            <v>45940</v>
          </cell>
          <cell r="H110">
            <v>6500</v>
          </cell>
          <cell r="Q110">
            <v>0.51</v>
          </cell>
          <cell r="V110">
            <v>0</v>
          </cell>
          <cell r="W110" t="str">
            <v/>
          </cell>
        </row>
        <row r="111">
          <cell r="E111" t="str">
            <v>BODY SPLASH DEUSA DO NILO &gt; Fabiano 22/09</v>
          </cell>
          <cell r="G111">
            <v>45922</v>
          </cell>
          <cell r="H111">
            <v>3500</v>
          </cell>
          <cell r="Q111">
            <v>0.51</v>
          </cell>
          <cell r="V111">
            <v>0</v>
          </cell>
          <cell r="W111" t="str">
            <v/>
          </cell>
        </row>
        <row r="112">
          <cell r="E112" t="str">
            <v>BODY SPLASH FORÇA DO LEAO &gt; MAHMUD 23/10</v>
          </cell>
          <cell r="G112">
            <v>45957</v>
          </cell>
          <cell r="H112">
            <v>61000</v>
          </cell>
          <cell r="Q112">
            <v>1.1000000000000001</v>
          </cell>
          <cell r="V112">
            <v>0</v>
          </cell>
          <cell r="W112" t="str">
            <v/>
          </cell>
        </row>
        <row r="113">
          <cell r="E113" t="str">
            <v>BODY SPLASH NÉCTAR DAS TAMARAS &gt; Miss Rôse - Body Splash 1.0</v>
          </cell>
          <cell r="G113">
            <v>45809</v>
          </cell>
          <cell r="H113">
            <v>5000</v>
          </cell>
          <cell r="Q113">
            <v>0.51</v>
          </cell>
          <cell r="V113">
            <v>0</v>
          </cell>
          <cell r="W113" t="str">
            <v/>
          </cell>
        </row>
        <row r="114">
          <cell r="E114" t="str">
            <v>BODY SPLASH ECLIPSE DOURADO &gt; Miss Rôse - Body Splash 1.0</v>
          </cell>
          <cell r="G114">
            <v>45809</v>
          </cell>
          <cell r="H114">
            <v>10000</v>
          </cell>
          <cell r="Q114">
            <v>0.51</v>
          </cell>
          <cell r="V114">
            <v>0</v>
          </cell>
          <cell r="W114" t="str">
            <v/>
          </cell>
        </row>
        <row r="115">
          <cell r="E115" t="str">
            <v>BODY SPLASH AURORA IMPERIAL &gt; Miss Rôse - Body Splash 1.0</v>
          </cell>
          <cell r="G115">
            <v>45809</v>
          </cell>
          <cell r="H115">
            <v>25000</v>
          </cell>
          <cell r="Q115">
            <v>0.51</v>
          </cell>
          <cell r="V115">
            <v>0</v>
          </cell>
          <cell r="W115" t="str">
            <v/>
          </cell>
        </row>
        <row r="116">
          <cell r="E116" t="str">
            <v>CREME HIDRATANTE CORPORAL DEUSA DO NILO &gt; Miss Rôse - Hidratante</v>
          </cell>
          <cell r="G116">
            <v>45799</v>
          </cell>
          <cell r="H116">
            <v>10000</v>
          </cell>
          <cell r="Q116">
            <v>0</v>
          </cell>
          <cell r="V116">
            <v>0</v>
          </cell>
          <cell r="W116" t="str">
            <v/>
          </cell>
        </row>
        <row r="117">
          <cell r="E117" t="str">
            <v>PERFUME FEMININO 03 GOOD GIRL &gt; Moutier 01/09</v>
          </cell>
          <cell r="G117">
            <v>45887</v>
          </cell>
          <cell r="H117">
            <v>300</v>
          </cell>
          <cell r="Q117">
            <v>0</v>
          </cell>
          <cell r="V117">
            <v>0</v>
          </cell>
          <cell r="W117" t="str">
            <v/>
          </cell>
        </row>
        <row r="118">
          <cell r="E118" t="str">
            <v>PERFUME FEMININO 02 LA VIE EST BELLE &gt; Perfumes Moutier</v>
          </cell>
          <cell r="G118">
            <v>45810</v>
          </cell>
          <cell r="H118">
            <v>1000</v>
          </cell>
          <cell r="Q118">
            <v>0</v>
          </cell>
          <cell r="V118">
            <v>0</v>
          </cell>
          <cell r="W118" t="str">
            <v/>
          </cell>
        </row>
        <row r="119">
          <cell r="E119" t="str">
            <v>PERFUME FEMININO 03 GOOD GIRL &gt; Perfumes Moutier</v>
          </cell>
          <cell r="G119">
            <v>45810</v>
          </cell>
          <cell r="H119">
            <v>500</v>
          </cell>
          <cell r="Q119">
            <v>0</v>
          </cell>
          <cell r="V119">
            <v>0</v>
          </cell>
          <cell r="W119" t="str">
            <v/>
          </cell>
        </row>
        <row r="120">
          <cell r="E120" t="str">
            <v>PERFUME FEMININO 08 DIOR J'ADORE &gt; Perfumes Moutier</v>
          </cell>
          <cell r="G120">
            <v>45810</v>
          </cell>
          <cell r="H120">
            <v>500</v>
          </cell>
          <cell r="Q120">
            <v>0</v>
          </cell>
          <cell r="V120">
            <v>0</v>
          </cell>
          <cell r="W120" t="str">
            <v/>
          </cell>
        </row>
        <row r="121">
          <cell r="E121" t="str">
            <v>BODY SPLASH ROSA RAINHA 200ml &gt; REPOSICAO 23/03</v>
          </cell>
          <cell r="G121">
            <v>46104</v>
          </cell>
          <cell r="H121">
            <v>5760</v>
          </cell>
          <cell r="Q121">
            <v>0.85</v>
          </cell>
          <cell r="V121">
            <v>0</v>
          </cell>
          <cell r="W121" t="str">
            <v/>
          </cell>
        </row>
        <row r="122">
          <cell r="E122" t="str">
            <v>BODY SPLASH LEAO DO DESERTO BOURBON 200ml &gt; REPOSICAO 23/03</v>
          </cell>
          <cell r="G122">
            <v>46104</v>
          </cell>
          <cell r="H122">
            <v>7680</v>
          </cell>
          <cell r="Q122">
            <v>0.85</v>
          </cell>
          <cell r="V122">
            <v>0</v>
          </cell>
          <cell r="W122" t="str">
            <v/>
          </cell>
        </row>
        <row r="123">
          <cell r="E123" t="str">
            <v>ESFOLIANTE FACIAL PITAYA &gt; SAFIRA 674</v>
          </cell>
          <cell r="G123">
            <v>45953</v>
          </cell>
          <cell r="H123">
            <v>5320</v>
          </cell>
          <cell r="Q123">
            <v>0</v>
          </cell>
          <cell r="V123">
            <v>0</v>
          </cell>
          <cell r="W123" t="str">
            <v/>
          </cell>
        </row>
        <row r="124">
          <cell r="E124" t="str">
            <v>ESFOLIANTE FACIAL VITAMINA C &gt; SAFIRA 674</v>
          </cell>
          <cell r="G124">
            <v>45953</v>
          </cell>
          <cell r="H124">
            <v>4226</v>
          </cell>
          <cell r="Q124">
            <v>0</v>
          </cell>
          <cell r="V124">
            <v>0</v>
          </cell>
          <cell r="W124" t="str">
            <v/>
          </cell>
        </row>
        <row r="125">
          <cell r="E125" t="str">
            <v>SABONETE DEMAQUILANTE PITAYA &gt; SAFIRA 674</v>
          </cell>
          <cell r="G125">
            <v>45953</v>
          </cell>
          <cell r="H125">
            <v>4142</v>
          </cell>
          <cell r="Q125">
            <v>0</v>
          </cell>
          <cell r="V125">
            <v>0</v>
          </cell>
          <cell r="W125" t="str">
            <v/>
          </cell>
        </row>
        <row r="126">
          <cell r="E126" t="str">
            <v>SABONETE DEMAQUILANTE VITAMINA C &gt; SAFIRA 674</v>
          </cell>
          <cell r="G126">
            <v>45953</v>
          </cell>
          <cell r="H126">
            <v>3289</v>
          </cell>
          <cell r="Q126">
            <v>0</v>
          </cell>
          <cell r="V126">
            <v>0</v>
          </cell>
          <cell r="W126" t="str">
            <v/>
          </cell>
        </row>
        <row r="127">
          <cell r="E127" t="str">
            <v>GEL FACIAL ANTI OLEOSIDADE PITAYA &gt; SAFIRA 674</v>
          </cell>
          <cell r="G127">
            <v>45953</v>
          </cell>
          <cell r="H127">
            <v>3314</v>
          </cell>
          <cell r="Q127">
            <v>0</v>
          </cell>
          <cell r="V127">
            <v>0</v>
          </cell>
          <cell r="W127" t="str">
            <v/>
          </cell>
        </row>
        <row r="128">
          <cell r="E128" t="str">
            <v>GEL FACIAL ANTI OLEOSIDADE VITAMINA C &gt; SAFIRA 674</v>
          </cell>
          <cell r="G128">
            <v>45953</v>
          </cell>
          <cell r="H128">
            <v>3000</v>
          </cell>
          <cell r="Q128">
            <v>0</v>
          </cell>
          <cell r="V128">
            <v>0</v>
          </cell>
          <cell r="W128" t="str">
            <v/>
          </cell>
        </row>
        <row r="129">
          <cell r="E129" t="str">
            <v>PERFUME CAPILAR LUNAR &gt; BRIA 01</v>
          </cell>
          <cell r="G129">
            <v>45931</v>
          </cell>
          <cell r="H129">
            <v>15000</v>
          </cell>
          <cell r="Q129">
            <v>1.5699999999999998</v>
          </cell>
          <cell r="V129">
            <v>0</v>
          </cell>
          <cell r="W129" t="str">
            <v/>
          </cell>
        </row>
        <row r="130">
          <cell r="E130" t="str">
            <v>PERFUME CAPILAR SOL TROPICAL 86 &gt; BRIA 01</v>
          </cell>
          <cell r="G130">
            <v>45934</v>
          </cell>
          <cell r="H130">
            <v>15000</v>
          </cell>
          <cell r="Q130">
            <v>1.5699999999999998</v>
          </cell>
          <cell r="V130">
            <v>0</v>
          </cell>
          <cell r="W130" t="str">
            <v/>
          </cell>
        </row>
        <row r="131">
          <cell r="E131" t="str">
            <v>BODY SPLASH LUNAR 120ml &gt; BRIA 01</v>
          </cell>
          <cell r="G131">
            <v>45934</v>
          </cell>
          <cell r="H131">
            <v>20000</v>
          </cell>
          <cell r="Q131">
            <v>1.08</v>
          </cell>
          <cell r="V131">
            <v>0</v>
          </cell>
          <cell r="W131" t="str">
            <v/>
          </cell>
        </row>
        <row r="132">
          <cell r="E132" t="str">
            <v>BODY SPLASH LUNAR 200ml &gt; BRIA 01</v>
          </cell>
          <cell r="G132">
            <v>45934</v>
          </cell>
          <cell r="H132">
            <v>10000</v>
          </cell>
          <cell r="Q132">
            <v>1.4699999999999998</v>
          </cell>
          <cell r="V132">
            <v>0</v>
          </cell>
          <cell r="W132" t="str">
            <v/>
          </cell>
        </row>
        <row r="133">
          <cell r="E133" t="str">
            <v>BODY SPLASH SOL TROPICAL 86 200ml &gt; BRIA 01</v>
          </cell>
          <cell r="G133">
            <v>45934</v>
          </cell>
          <cell r="H133">
            <v>10000</v>
          </cell>
          <cell r="Q133">
            <v>1.4699999999999998</v>
          </cell>
          <cell r="V133">
            <v>0</v>
          </cell>
          <cell r="W133" t="str">
            <v/>
          </cell>
        </row>
        <row r="134">
          <cell r="E134" t="str">
            <v>PERFUME CAPILAR ZAHRA &gt; REPOSICAO BRIA 01</v>
          </cell>
          <cell r="G134">
            <v>45989</v>
          </cell>
          <cell r="H134">
            <v>15000</v>
          </cell>
          <cell r="Q134">
            <v>1.5699999999999998</v>
          </cell>
          <cell r="V134">
            <v>0</v>
          </cell>
          <cell r="W134" t="str">
            <v/>
          </cell>
        </row>
        <row r="135">
          <cell r="E135" t="str">
            <v>BODY SPLASH CAMIE BEAUTY 120mL &gt; CAMIE 04/03</v>
          </cell>
          <cell r="G135">
            <v>46085</v>
          </cell>
          <cell r="H135">
            <v>3000</v>
          </cell>
          <cell r="Q135">
            <v>0</v>
          </cell>
          <cell r="V135">
            <v>0</v>
          </cell>
          <cell r="W135" t="str">
            <v/>
          </cell>
        </row>
        <row r="136">
          <cell r="E136" t="str">
            <v>GLOSS LABIAL CAMIE BEAUTY 4mL &gt; CAMIE 04/03</v>
          </cell>
          <cell r="G136">
            <v>46085</v>
          </cell>
          <cell r="H136">
            <v>3000</v>
          </cell>
          <cell r="Q136">
            <v>0</v>
          </cell>
          <cell r="V136">
            <v>0</v>
          </cell>
          <cell r="W136" t="str">
            <v/>
          </cell>
        </row>
        <row r="137">
          <cell r="E137" t="str">
            <v>PERFUME CAPILAR HONEY &gt; 02_07</v>
          </cell>
          <cell r="G137">
            <v>45854</v>
          </cell>
          <cell r="H137">
            <v>40000</v>
          </cell>
          <cell r="Q137">
            <v>0</v>
          </cell>
          <cell r="V137">
            <v>0</v>
          </cell>
          <cell r="W137" t="str">
            <v/>
          </cell>
        </row>
        <row r="138">
          <cell r="E138" t="str">
            <v>BODY SPLASH GLOW TAÇA DE CHAMPAGNE &gt; DAPOP - Pedido 360 mil</v>
          </cell>
          <cell r="G138">
            <v>45828</v>
          </cell>
          <cell r="H138">
            <v>20000</v>
          </cell>
          <cell r="Q138">
            <v>0</v>
          </cell>
          <cell r="V138">
            <v>0</v>
          </cell>
          <cell r="W138" t="str">
            <v/>
          </cell>
        </row>
        <row r="139">
          <cell r="E139" t="str">
            <v>BODY SPLASH MATTE DOCE SEDUÇÃO &gt; DAPOP - Pedido 360 mil</v>
          </cell>
          <cell r="G139">
            <v>45828</v>
          </cell>
          <cell r="H139">
            <v>20000</v>
          </cell>
          <cell r="Q139">
            <v>0</v>
          </cell>
          <cell r="V139">
            <v>0</v>
          </cell>
          <cell r="W139" t="str">
            <v/>
          </cell>
        </row>
        <row r="140">
          <cell r="E140" t="str">
            <v>BODY SPLASH MATTE OITAVA MARAVILHA &gt; DAPOP - Pedido 360 mil</v>
          </cell>
          <cell r="G140">
            <v>45828</v>
          </cell>
          <cell r="H140">
            <v>20000</v>
          </cell>
          <cell r="Q140">
            <v>0</v>
          </cell>
          <cell r="V140">
            <v>0</v>
          </cell>
          <cell r="W140" t="str">
            <v/>
          </cell>
        </row>
        <row r="141">
          <cell r="E141" t="str">
            <v>BODY SPLASH GLOW PAIXÃO IRRESISTÍVEL &gt; DAPOP - Pedido 360 mil</v>
          </cell>
          <cell r="G141">
            <v>45828</v>
          </cell>
          <cell r="H141">
            <v>20000</v>
          </cell>
          <cell r="Q141">
            <v>0</v>
          </cell>
          <cell r="V141">
            <v>0</v>
          </cell>
          <cell r="W141" t="str">
            <v/>
          </cell>
        </row>
        <row r="142">
          <cell r="E142" t="str">
            <v>ESFOLIANTE MATTE SORVETE DE  BAUNILHA - 1 &gt; DAPOP - Pedido 360 mil</v>
          </cell>
          <cell r="G142">
            <v>45828</v>
          </cell>
          <cell r="H142">
            <v>7000</v>
          </cell>
          <cell r="Q142">
            <v>0</v>
          </cell>
          <cell r="V142">
            <v>0</v>
          </cell>
          <cell r="W142" t="str">
            <v/>
          </cell>
        </row>
        <row r="143">
          <cell r="E143" t="str">
            <v>RE.BODY SPLASH DAPOP HONEY GLOW &gt; RETRABALHO</v>
          </cell>
          <cell r="G143">
            <v>45845</v>
          </cell>
          <cell r="H143">
            <v>28700</v>
          </cell>
          <cell r="Q143">
            <v>0</v>
          </cell>
          <cell r="V143">
            <v>0</v>
          </cell>
          <cell r="W143" t="str">
            <v/>
          </cell>
        </row>
        <row r="144">
          <cell r="E144" t="str">
            <v>PERFUME IRON - 1 &gt; SMAYKEL 01</v>
          </cell>
          <cell r="G144">
            <v>45931</v>
          </cell>
          <cell r="H144">
            <v>500</v>
          </cell>
          <cell r="Q144">
            <v>0</v>
          </cell>
          <cell r="V144">
            <v>0</v>
          </cell>
          <cell r="W144" t="str">
            <v/>
          </cell>
        </row>
        <row r="145">
          <cell r="E145" t="str">
            <v>PERFUME SELVER INTENSE &gt; SMAYKEL 01</v>
          </cell>
          <cell r="G145">
            <v>45931</v>
          </cell>
          <cell r="H145">
            <v>1500</v>
          </cell>
          <cell r="Q145">
            <v>0</v>
          </cell>
          <cell r="V145">
            <v>0</v>
          </cell>
          <cell r="W145" t="str">
            <v/>
          </cell>
        </row>
        <row r="146">
          <cell r="E146" t="str">
            <v>HIDRATANTE BISNAGA IMPERIUM 200g - 2 &gt; HABIBI 01</v>
          </cell>
          <cell r="G146">
            <v>46127</v>
          </cell>
          <cell r="H146">
            <v>4000</v>
          </cell>
          <cell r="Q146">
            <v>2</v>
          </cell>
          <cell r="V146">
            <v>0</v>
          </cell>
          <cell r="W146" t="str">
            <v/>
          </cell>
        </row>
        <row r="147">
          <cell r="E147" t="str">
            <v>ESCOVA DE CHUVEIRO CHEIRINHO DE MELÂNCIA - 2 &gt; 03_07</v>
          </cell>
          <cell r="G147">
            <v>45933</v>
          </cell>
          <cell r="H147">
            <v>2800</v>
          </cell>
          <cell r="Q147">
            <v>0</v>
          </cell>
          <cell r="V147">
            <v>0</v>
          </cell>
          <cell r="W147" t="str">
            <v/>
          </cell>
        </row>
        <row r="148">
          <cell r="E148" t="str">
            <v>ESCOVA DE CHUVEIRO CHEIRINHO DE MORANGO &gt; 03_07</v>
          </cell>
          <cell r="G148">
            <v>45862</v>
          </cell>
          <cell r="H148">
            <v>10000</v>
          </cell>
          <cell r="Q148">
            <v>0</v>
          </cell>
          <cell r="V148">
            <v>0</v>
          </cell>
          <cell r="W148" t="str">
            <v/>
          </cell>
        </row>
        <row r="149">
          <cell r="E149" t="str">
            <v>ESCOVA DE CHUVEIRO CHEIRINHO DE MORANGO - 2 &gt; 03_07</v>
          </cell>
          <cell r="G149">
            <v>45933</v>
          </cell>
          <cell r="H149">
            <v>2800</v>
          </cell>
          <cell r="Q149">
            <v>0</v>
          </cell>
          <cell r="V149">
            <v>0</v>
          </cell>
          <cell r="W149" t="str">
            <v/>
          </cell>
        </row>
        <row r="150">
          <cell r="E150" t="str">
            <v>GELATINA CAPILAR CHEIRINHO DE MELÂNCIA &gt; 03_07</v>
          </cell>
          <cell r="G150">
            <v>45862</v>
          </cell>
          <cell r="H150">
            <v>10000</v>
          </cell>
          <cell r="Q150">
            <v>0</v>
          </cell>
          <cell r="V150">
            <v>0</v>
          </cell>
          <cell r="W150" t="str">
            <v/>
          </cell>
        </row>
        <row r="151">
          <cell r="E151" t="str">
            <v>GELEIA DE BANHO HABIB &gt; 03_07</v>
          </cell>
          <cell r="G151">
            <v>45862</v>
          </cell>
          <cell r="H151">
            <v>5000</v>
          </cell>
          <cell r="Q151">
            <v>0</v>
          </cell>
          <cell r="V151">
            <v>0</v>
          </cell>
          <cell r="W151" t="str">
            <v/>
          </cell>
        </row>
        <row r="152">
          <cell r="E152" t="str">
            <v>GELEIA DE BANHO JADE &gt; 03_07</v>
          </cell>
          <cell r="G152">
            <v>45862</v>
          </cell>
          <cell r="H152">
            <v>5000</v>
          </cell>
          <cell r="Q152">
            <v>0</v>
          </cell>
          <cell r="V152">
            <v>0</v>
          </cell>
          <cell r="W152" t="str">
            <v/>
          </cell>
        </row>
        <row r="153">
          <cell r="E153" t="str">
            <v>GELEIA DE BANHO SAIND &gt; 03_07</v>
          </cell>
          <cell r="G153">
            <v>45862</v>
          </cell>
          <cell r="H153">
            <v>5000</v>
          </cell>
          <cell r="Q153">
            <v>0</v>
          </cell>
          <cell r="V153">
            <v>0</v>
          </cell>
          <cell r="W153" t="str">
            <v/>
          </cell>
        </row>
        <row r="154">
          <cell r="E154" t="str">
            <v>LOÇÃO HIDRATANTE JADE &gt; 03_07</v>
          </cell>
          <cell r="G154">
            <v>45862</v>
          </cell>
          <cell r="H154">
            <v>5000</v>
          </cell>
          <cell r="Q154">
            <v>0</v>
          </cell>
          <cell r="V154">
            <v>0</v>
          </cell>
          <cell r="W154" t="str">
            <v/>
          </cell>
        </row>
        <row r="155">
          <cell r="E155" t="str">
            <v>SABONETE DEMAQUILANTE VITAMINA C &gt; 0005</v>
          </cell>
          <cell r="G155">
            <v>46044</v>
          </cell>
          <cell r="H155">
            <v>3500</v>
          </cell>
          <cell r="Q155">
            <v>0</v>
          </cell>
          <cell r="V155">
            <v>0</v>
          </cell>
          <cell r="W155" t="str">
            <v/>
          </cell>
        </row>
        <row r="156">
          <cell r="E156" t="str">
            <v>BRUMA MATTE #ENTREGOUTUDOO 120ml &gt; FABIANO 06/02/26</v>
          </cell>
          <cell r="G156">
            <v>46059</v>
          </cell>
          <cell r="H156">
            <v>24000</v>
          </cell>
          <cell r="Q156">
            <v>0.55000000000000004</v>
          </cell>
          <cell r="V156">
            <v>0</v>
          </cell>
          <cell r="W156" t="str">
            <v/>
          </cell>
        </row>
        <row r="157">
          <cell r="E157" t="str">
            <v>LOÇÃO HIDRATANTE ABDALLAH &gt; 03_07</v>
          </cell>
          <cell r="G157">
            <v>45862</v>
          </cell>
          <cell r="H157">
            <v>5000</v>
          </cell>
          <cell r="Q157">
            <v>0</v>
          </cell>
          <cell r="V157">
            <v>0</v>
          </cell>
          <cell r="W157" t="str">
            <v/>
          </cell>
        </row>
        <row r="158">
          <cell r="E158" t="str">
            <v>LOÇÃO HIDRATANTE ALLAN &gt; 03_07</v>
          </cell>
          <cell r="G158">
            <v>45862</v>
          </cell>
          <cell r="H158">
            <v>5000</v>
          </cell>
          <cell r="Q158">
            <v>0</v>
          </cell>
          <cell r="V158">
            <v>0</v>
          </cell>
          <cell r="W158" t="str">
            <v/>
          </cell>
        </row>
        <row r="159">
          <cell r="E159" t="str">
            <v>LOÇÃO HIDRATANTE ÁRABE &gt; 03_07</v>
          </cell>
          <cell r="G159">
            <v>45862</v>
          </cell>
          <cell r="H159">
            <v>5000</v>
          </cell>
          <cell r="Q159">
            <v>0</v>
          </cell>
          <cell r="V159">
            <v>0</v>
          </cell>
          <cell r="W159" t="str">
            <v/>
          </cell>
        </row>
        <row r="160">
          <cell r="E160" t="str">
            <v>LOÇÃO HIDRATANTE SAIND &gt; 03_07</v>
          </cell>
          <cell r="G160">
            <v>45862</v>
          </cell>
          <cell r="H160">
            <v>5000</v>
          </cell>
          <cell r="Q160">
            <v>0</v>
          </cell>
          <cell r="V160">
            <v>0</v>
          </cell>
          <cell r="W160" t="str">
            <v/>
          </cell>
        </row>
        <row r="161">
          <cell r="E161" t="str">
            <v>LOÇÃO HIDRATANTE HABIB &gt; 03_07</v>
          </cell>
          <cell r="G161">
            <v>45862</v>
          </cell>
          <cell r="H161">
            <v>5000</v>
          </cell>
          <cell r="Q161">
            <v>0</v>
          </cell>
          <cell r="V161">
            <v>0</v>
          </cell>
          <cell r="W161" t="str">
            <v/>
          </cell>
        </row>
        <row r="162">
          <cell r="E162" t="str">
            <v>BASE PARA PERFUME FINA BASE PREMIUM 1l &gt; 04_07</v>
          </cell>
          <cell r="G162">
            <v>45866</v>
          </cell>
          <cell r="H162">
            <v>1092</v>
          </cell>
          <cell r="Q162">
            <v>0</v>
          </cell>
          <cell r="V162">
            <v>0</v>
          </cell>
          <cell r="W162" t="str">
            <v/>
          </cell>
        </row>
        <row r="163">
          <cell r="E163" t="str">
            <v>BASE PARA PERFUME FINA BASE 1l - 1 &gt; Bases - Multi Lojas</v>
          </cell>
          <cell r="G163">
            <v>45901</v>
          </cell>
          <cell r="H163">
            <v>200</v>
          </cell>
          <cell r="Q163">
            <v>0</v>
          </cell>
          <cell r="V163">
            <v>0</v>
          </cell>
          <cell r="W163" t="str">
            <v/>
          </cell>
        </row>
        <row r="164">
          <cell r="E164" t="str">
            <v>BASE PARA PERFUME FINA BASE PREMIUM 1l - 1 &gt; Bases - Multi Lojas</v>
          </cell>
          <cell r="G164">
            <v>45901</v>
          </cell>
          <cell r="H164">
            <v>300</v>
          </cell>
          <cell r="Q164">
            <v>0</v>
          </cell>
          <cell r="V164">
            <v>0</v>
          </cell>
          <cell r="W164" t="str">
            <v/>
          </cell>
        </row>
        <row r="165">
          <cell r="E165" t="str">
            <v>BASE PARA PERFUME FINA BASE 1l &gt; CIDA 11/11</v>
          </cell>
          <cell r="G165">
            <v>45972</v>
          </cell>
          <cell r="H165">
            <v>1080</v>
          </cell>
          <cell r="Q165">
            <v>0</v>
          </cell>
          <cell r="V165">
            <v>0</v>
          </cell>
          <cell r="W165" t="str">
            <v/>
          </cell>
        </row>
        <row r="166">
          <cell r="E166" t="str">
            <v>BASE PARA PERFUME FINA BASE 500ml &gt; CIDA 11/11</v>
          </cell>
          <cell r="G166">
            <v>45972</v>
          </cell>
          <cell r="H166">
            <v>1080</v>
          </cell>
          <cell r="Q166">
            <v>0</v>
          </cell>
          <cell r="V166">
            <v>0</v>
          </cell>
          <cell r="W166" t="str">
            <v/>
          </cell>
        </row>
        <row r="167">
          <cell r="E167" t="str">
            <v>BASE PARA PERFUME FINA BASE PREMIUM 1l - 2 &gt; CIDA 11/11</v>
          </cell>
          <cell r="G167">
            <v>46006</v>
          </cell>
          <cell r="H167">
            <v>1080</v>
          </cell>
          <cell r="Q167">
            <v>0</v>
          </cell>
          <cell r="V167">
            <v>0</v>
          </cell>
          <cell r="W167" t="str">
            <v/>
          </cell>
        </row>
        <row r="168">
          <cell r="E168" t="str">
            <v>BASE PARA PERFUME FINA BASE 1l &gt; Sassa 26/09</v>
          </cell>
          <cell r="G168">
            <v>45926</v>
          </cell>
          <cell r="H168">
            <v>1000</v>
          </cell>
          <cell r="Q168">
            <v>0</v>
          </cell>
          <cell r="V168">
            <v>0</v>
          </cell>
          <cell r="W168" t="str">
            <v/>
          </cell>
        </row>
        <row r="169">
          <cell r="E169" t="str">
            <v>BASE PARA PERFUME FINA BASE 500ml &gt; Sassa 26/09</v>
          </cell>
          <cell r="G169">
            <v>45926</v>
          </cell>
          <cell r="H169">
            <v>1000</v>
          </cell>
          <cell r="Q169">
            <v>0</v>
          </cell>
          <cell r="V169">
            <v>0</v>
          </cell>
          <cell r="W169" t="str">
            <v/>
          </cell>
        </row>
        <row r="170">
          <cell r="E170" t="str">
            <v>BODY SPLASH NÉCTAR DAS TAMARAS &gt; 01_07</v>
          </cell>
          <cell r="G170">
            <v>45852</v>
          </cell>
          <cell r="H170">
            <v>10000</v>
          </cell>
          <cell r="Q170">
            <v>0.51</v>
          </cell>
          <cell r="V170">
            <v>0</v>
          </cell>
          <cell r="W170" t="str">
            <v/>
          </cell>
        </row>
        <row r="171">
          <cell r="E171" t="str">
            <v>BODY SPLASH FORÇA DO LEAO &gt; 02_06</v>
          </cell>
          <cell r="G171">
            <v>45831</v>
          </cell>
          <cell r="H171">
            <v>18000</v>
          </cell>
          <cell r="Q171">
            <v>1.1000000000000001</v>
          </cell>
          <cell r="V171">
            <v>0</v>
          </cell>
          <cell r="W171" t="str">
            <v/>
          </cell>
        </row>
        <row r="172">
          <cell r="E172" t="str">
            <v>BODY SPLASH NÉCTAR DAS TAMARAS &gt; Fabiano 22/09</v>
          </cell>
          <cell r="G172">
            <v>45922</v>
          </cell>
          <cell r="H172">
            <v>20000</v>
          </cell>
          <cell r="Q172">
            <v>0.51</v>
          </cell>
          <cell r="V172">
            <v>0</v>
          </cell>
          <cell r="W172" t="str">
            <v/>
          </cell>
        </row>
        <row r="173">
          <cell r="E173" t="str">
            <v>PERFUME FEMININO 09 SCANDAL &gt; Moutier 01/09</v>
          </cell>
          <cell r="G173">
            <v>45887</v>
          </cell>
          <cell r="H173">
            <v>300</v>
          </cell>
          <cell r="Q173">
            <v>0</v>
          </cell>
          <cell r="V173">
            <v>0</v>
          </cell>
          <cell r="W173" t="str">
            <v/>
          </cell>
        </row>
        <row r="174">
          <cell r="E174" t="str">
            <v>PERFUME FEMININO 09 SCANDAL &gt; Perfumes Moutier</v>
          </cell>
          <cell r="G174">
            <v>45810</v>
          </cell>
          <cell r="H174">
            <v>500</v>
          </cell>
          <cell r="Q174">
            <v>0</v>
          </cell>
          <cell r="V174">
            <v>0</v>
          </cell>
          <cell r="W174" t="str">
            <v/>
          </cell>
        </row>
        <row r="175">
          <cell r="E175" t="str">
            <v>PERFUME FEMININO 11 OLYMPEA &gt; Perfumes Moutier</v>
          </cell>
          <cell r="G175">
            <v>45810</v>
          </cell>
          <cell r="H175">
            <v>500</v>
          </cell>
          <cell r="Q175">
            <v>0</v>
          </cell>
          <cell r="V175">
            <v>0</v>
          </cell>
          <cell r="W175" t="str">
            <v/>
          </cell>
        </row>
        <row r="176">
          <cell r="E176" t="str">
            <v>PERFUME FEMININO 12 LADY MILLION &gt; Perfumes Moutier</v>
          </cell>
          <cell r="G176">
            <v>45810</v>
          </cell>
          <cell r="H176">
            <v>500</v>
          </cell>
          <cell r="Q176">
            <v>0</v>
          </cell>
          <cell r="V176">
            <v>0</v>
          </cell>
          <cell r="W176" t="str">
            <v/>
          </cell>
        </row>
        <row r="177">
          <cell r="E177" t="str">
            <v>PERFUME FEMININO 10 212 SEXY &gt; Perfumes Moutier</v>
          </cell>
          <cell r="G177">
            <v>45810</v>
          </cell>
          <cell r="H177">
            <v>500</v>
          </cell>
          <cell r="Q177">
            <v>0</v>
          </cell>
          <cell r="V177">
            <v>0</v>
          </cell>
          <cell r="W177" t="str">
            <v/>
          </cell>
        </row>
        <row r="178">
          <cell r="E178" t="str">
            <v>BODY SPLASH DAPOP HONEY GLOW &gt; 02_07</v>
          </cell>
          <cell r="G178">
            <v>45854</v>
          </cell>
          <cell r="H178">
            <v>30000</v>
          </cell>
          <cell r="Q178">
            <v>0</v>
          </cell>
          <cell r="V178">
            <v>0</v>
          </cell>
          <cell r="W178" t="str">
            <v/>
          </cell>
        </row>
        <row r="179">
          <cell r="E179" t="str">
            <v>BODY SPLASH MATTE SORVETE DE BAUNILHA &gt; DAPOP - Pedido 360 mil</v>
          </cell>
          <cell r="G179">
            <v>45828</v>
          </cell>
          <cell r="H179">
            <v>20000</v>
          </cell>
          <cell r="Q179">
            <v>0</v>
          </cell>
          <cell r="V179">
            <v>0</v>
          </cell>
          <cell r="W179" t="str">
            <v/>
          </cell>
        </row>
        <row r="180">
          <cell r="E180" t="str">
            <v>ESFOLIANTE GLOW TAÇA DE CHAMPAGNE - 1 &gt; DAPOP - Pedido 360 mil</v>
          </cell>
          <cell r="G180">
            <v>45828</v>
          </cell>
          <cell r="H180">
            <v>7000</v>
          </cell>
          <cell r="Q180">
            <v>0</v>
          </cell>
          <cell r="V180">
            <v>0</v>
          </cell>
          <cell r="W180" t="str">
            <v/>
          </cell>
        </row>
        <row r="181">
          <cell r="E181" t="str">
            <v>HIDRATANTE GLOW NOITE DE GLAMOUR - 1 &gt; DAPOP - Pedido 360 mil</v>
          </cell>
          <cell r="G181">
            <v>45828</v>
          </cell>
          <cell r="H181">
            <v>20000</v>
          </cell>
          <cell r="Q181">
            <v>0</v>
          </cell>
          <cell r="V181">
            <v>0</v>
          </cell>
          <cell r="W181" t="str">
            <v/>
          </cell>
        </row>
        <row r="182">
          <cell r="E182" t="str">
            <v>HIDRATANTE MATTE SORVETE DE BAUNILHA &gt; DAPOP - Pedido 360 mil</v>
          </cell>
          <cell r="G182">
            <v>45828</v>
          </cell>
          <cell r="H182">
            <v>20000</v>
          </cell>
          <cell r="Q182">
            <v>0</v>
          </cell>
          <cell r="V182">
            <v>0</v>
          </cell>
          <cell r="W182" t="str">
            <v/>
          </cell>
        </row>
        <row r="183">
          <cell r="E183" t="str">
            <v>PERFUME VALENTE &gt; SMAYKEL 01</v>
          </cell>
          <cell r="G183">
            <v>45931</v>
          </cell>
          <cell r="H183">
            <v>1500</v>
          </cell>
          <cell r="Q183">
            <v>0</v>
          </cell>
          <cell r="V183">
            <v>0</v>
          </cell>
          <cell r="W183" t="str">
            <v/>
          </cell>
        </row>
        <row r="184">
          <cell r="E184" t="str">
            <v>HIDRATANTE BISNAGA CELESTIA 200g - 2 &gt; HABIBI 01</v>
          </cell>
          <cell r="G184">
            <v>46127</v>
          </cell>
          <cell r="H184">
            <v>4000</v>
          </cell>
          <cell r="Q184">
            <v>2</v>
          </cell>
          <cell r="V184">
            <v>0</v>
          </cell>
          <cell r="W184" t="str">
            <v/>
          </cell>
        </row>
        <row r="185">
          <cell r="E185" t="str">
            <v>ESCOVA DE CHUVEIRO CHEIRINHO DE MELÂNCIA &gt; 03_07</v>
          </cell>
          <cell r="G185">
            <v>45862</v>
          </cell>
          <cell r="H185">
            <v>10000</v>
          </cell>
          <cell r="Q185">
            <v>0</v>
          </cell>
          <cell r="V185">
            <v>0</v>
          </cell>
          <cell r="W185" t="str">
            <v/>
          </cell>
        </row>
        <row r="186">
          <cell r="E186" t="str">
            <v>PERFUME FEMININO 28 212 VIP ROSÉ &gt; Moutier 01/09</v>
          </cell>
          <cell r="G186">
            <v>45887</v>
          </cell>
          <cell r="H186">
            <v>300</v>
          </cell>
          <cell r="Q186">
            <v>0</v>
          </cell>
          <cell r="V186">
            <v>0</v>
          </cell>
          <cell r="W186" t="str">
            <v/>
          </cell>
        </row>
        <row r="187">
          <cell r="E187" t="str">
            <v>PERFUME FEMININO 30 FANTASY &gt; Moutier 01/09</v>
          </cell>
          <cell r="G187">
            <v>45887</v>
          </cell>
          <cell r="H187">
            <v>300</v>
          </cell>
          <cell r="Q187">
            <v>0</v>
          </cell>
          <cell r="V187">
            <v>0</v>
          </cell>
          <cell r="W187" t="str">
            <v/>
          </cell>
        </row>
        <row r="188">
          <cell r="E188" t="str">
            <v>PERFUME MASCULINO 102 VIP BLACK &gt; Moutier 01/09</v>
          </cell>
          <cell r="G188">
            <v>45887</v>
          </cell>
          <cell r="H188">
            <v>300</v>
          </cell>
          <cell r="Q188">
            <v>0</v>
          </cell>
          <cell r="V188">
            <v>0</v>
          </cell>
          <cell r="W188" t="str">
            <v/>
          </cell>
        </row>
        <row r="189">
          <cell r="E189" t="str">
            <v>PERFUME MASCULINO 104 FERRARI BLACK &gt; Moutier 01/09</v>
          </cell>
          <cell r="G189">
            <v>45887</v>
          </cell>
          <cell r="H189">
            <v>300</v>
          </cell>
          <cell r="Q189">
            <v>0</v>
          </cell>
          <cell r="V189">
            <v>0</v>
          </cell>
          <cell r="W189" t="str">
            <v/>
          </cell>
        </row>
        <row r="190">
          <cell r="E190" t="str">
            <v>PERFUME MASCULINO 100 SILVER SCENT &gt; Moutier 01/09</v>
          </cell>
          <cell r="G190">
            <v>45894</v>
          </cell>
          <cell r="H190">
            <v>1000</v>
          </cell>
          <cell r="Q190">
            <v>0</v>
          </cell>
          <cell r="V190">
            <v>0</v>
          </cell>
          <cell r="W190" t="str">
            <v/>
          </cell>
        </row>
        <row r="191">
          <cell r="E191" t="str">
            <v>PERFUME FEMININO 16 COCO MADEMOISELLE &gt; Perfumes Moutier</v>
          </cell>
          <cell r="G191">
            <v>45810</v>
          </cell>
          <cell r="H191">
            <v>500</v>
          </cell>
          <cell r="Q191">
            <v>0</v>
          </cell>
          <cell r="V191">
            <v>0</v>
          </cell>
          <cell r="W191" t="str">
            <v/>
          </cell>
        </row>
        <row r="192">
          <cell r="E192" t="str">
            <v>PERFUME FEMININO 18 AMOR AMOR &gt; Perfumes Moutier</v>
          </cell>
          <cell r="G192">
            <v>45810</v>
          </cell>
          <cell r="H192">
            <v>500</v>
          </cell>
          <cell r="Q192">
            <v>0</v>
          </cell>
          <cell r="V192">
            <v>0</v>
          </cell>
          <cell r="W192" t="str">
            <v/>
          </cell>
        </row>
        <row r="193">
          <cell r="E193" t="str">
            <v>PERFUME FEMININO 31 L'INTERDIT ROUGE &gt; Perfumes Moutier</v>
          </cell>
          <cell r="G193">
            <v>45810</v>
          </cell>
          <cell r="H193">
            <v>500</v>
          </cell>
          <cell r="Q193">
            <v>0</v>
          </cell>
          <cell r="V193">
            <v>0</v>
          </cell>
          <cell r="W193" t="str">
            <v/>
          </cell>
        </row>
        <row r="194">
          <cell r="E194" t="str">
            <v>PERFUME MASCULINO 100 SILVER SCENT &gt; Perfumes Moutier</v>
          </cell>
          <cell r="G194">
            <v>45810</v>
          </cell>
          <cell r="H194">
            <v>1500</v>
          </cell>
          <cell r="Q194">
            <v>0</v>
          </cell>
          <cell r="V194">
            <v>0</v>
          </cell>
          <cell r="W194" t="str">
            <v/>
          </cell>
        </row>
        <row r="195">
          <cell r="E195" t="str">
            <v>PERFUME MASCULINO 102 VIP BLACK &gt; Perfumes Moutier</v>
          </cell>
          <cell r="G195">
            <v>45810</v>
          </cell>
          <cell r="H195">
            <v>500</v>
          </cell>
          <cell r="Q195">
            <v>0</v>
          </cell>
          <cell r="V195">
            <v>0</v>
          </cell>
          <cell r="W195" t="str">
            <v/>
          </cell>
        </row>
        <row r="196">
          <cell r="E196" t="str">
            <v>PERFUME MASCULINO 103 BOSS BOTTLED &gt; Perfumes Moutier</v>
          </cell>
          <cell r="G196">
            <v>45810</v>
          </cell>
          <cell r="H196">
            <v>500</v>
          </cell>
          <cell r="Q196">
            <v>0</v>
          </cell>
          <cell r="V196">
            <v>0</v>
          </cell>
          <cell r="W196" t="str">
            <v/>
          </cell>
        </row>
        <row r="197">
          <cell r="E197" t="str">
            <v>PERFUME MASCULINO 104 FERRARI BLACK &gt; Perfumes Moutier</v>
          </cell>
          <cell r="G197">
            <v>45810</v>
          </cell>
          <cell r="H197">
            <v>500</v>
          </cell>
          <cell r="Q197">
            <v>0</v>
          </cell>
          <cell r="V197">
            <v>0</v>
          </cell>
          <cell r="W197" t="str">
            <v/>
          </cell>
        </row>
        <row r="198">
          <cell r="E198" t="str">
            <v>PERFUME MASCULINO 105 SAUVAGE &gt; Perfumes Moutier</v>
          </cell>
          <cell r="G198">
            <v>45810</v>
          </cell>
          <cell r="H198">
            <v>500</v>
          </cell>
          <cell r="Q198">
            <v>0</v>
          </cell>
          <cell r="V198">
            <v>0</v>
          </cell>
          <cell r="W198" t="str">
            <v/>
          </cell>
        </row>
        <row r="199">
          <cell r="E199" t="str">
            <v>PERFUME MASCULINO 115 BLEU DE CHANEL &gt; Perfumes Moutier</v>
          </cell>
          <cell r="G199">
            <v>45810</v>
          </cell>
          <cell r="H199">
            <v>500</v>
          </cell>
          <cell r="Q199">
            <v>0</v>
          </cell>
          <cell r="V199">
            <v>0</v>
          </cell>
          <cell r="W199" t="str">
            <v/>
          </cell>
        </row>
        <row r="200">
          <cell r="E200" t="str">
            <v>PERFUME MASCULINO 110 ONE MILLION &gt; Perfumes Moutier</v>
          </cell>
          <cell r="G200">
            <v>45810</v>
          </cell>
          <cell r="H200">
            <v>500</v>
          </cell>
          <cell r="Q200">
            <v>0</v>
          </cell>
          <cell r="V200">
            <v>0</v>
          </cell>
          <cell r="W200" t="str">
            <v/>
          </cell>
        </row>
        <row r="201">
          <cell r="E201" t="str">
            <v>PERFUME MASCULINO 113 AZZARO WANTED &gt; Perfumes Moutier</v>
          </cell>
          <cell r="G201">
            <v>45810</v>
          </cell>
          <cell r="H201">
            <v>500</v>
          </cell>
          <cell r="Q201">
            <v>0</v>
          </cell>
          <cell r="V201">
            <v>0</v>
          </cell>
          <cell r="W201" t="str">
            <v/>
          </cell>
        </row>
        <row r="202">
          <cell r="E202" t="str">
            <v>BODY SPLASH CEU CELESTE 200ml &gt; REPOSICAO 23/03</v>
          </cell>
          <cell r="G202">
            <v>46104</v>
          </cell>
          <cell r="H202">
            <v>5280</v>
          </cell>
          <cell r="Q202">
            <v>0.85</v>
          </cell>
          <cell r="V202">
            <v>0</v>
          </cell>
          <cell r="W202" t="str">
            <v/>
          </cell>
        </row>
        <row r="203">
          <cell r="E203" t="str">
            <v>BODY SPLASH OUD NIGHT 200ML -  &gt; 05</v>
          </cell>
          <cell r="G203">
            <v>46142</v>
          </cell>
          <cell r="H203">
            <v>10000</v>
          </cell>
          <cell r="Q203">
            <v>1.2</v>
          </cell>
          <cell r="V203">
            <v>0</v>
          </cell>
          <cell r="W203" t="str">
            <v/>
          </cell>
        </row>
        <row r="204">
          <cell r="E204" t="str">
            <v>BODY SPLASH ROSE MIRAGE 200ML -  &gt; 05</v>
          </cell>
          <cell r="G204">
            <v>46142</v>
          </cell>
          <cell r="H204">
            <v>10000</v>
          </cell>
          <cell r="Q204">
            <v>1.2</v>
          </cell>
          <cell r="V204">
            <v>0</v>
          </cell>
          <cell r="W204" t="str">
            <v/>
          </cell>
        </row>
        <row r="205">
          <cell r="E205" t="str">
            <v>BODY SPLASH ROUGE OUT 200ML -  &gt; 05</v>
          </cell>
          <cell r="G205">
            <v>46142</v>
          </cell>
          <cell r="H205">
            <v>10000</v>
          </cell>
          <cell r="Q205">
            <v>1.2</v>
          </cell>
          <cell r="V205">
            <v>0</v>
          </cell>
          <cell r="W205" t="str">
            <v/>
          </cell>
        </row>
        <row r="206">
          <cell r="E206" t="str">
            <v>ÁGUA MICELAR HONEY &gt; ANDRE 06/11</v>
          </cell>
          <cell r="G206">
            <v>45967</v>
          </cell>
          <cell r="H206">
            <v>20000</v>
          </cell>
          <cell r="Q206">
            <v>0</v>
          </cell>
          <cell r="V206">
            <v>0</v>
          </cell>
          <cell r="W206" t="str">
            <v/>
          </cell>
        </row>
        <row r="207">
          <cell r="E207" t="str">
            <v>BODY SPLASH ARABYS' AMBAR &gt; MARIO 09/02/26</v>
          </cell>
          <cell r="G207">
            <v>46009</v>
          </cell>
          <cell r="H207">
            <v>2800</v>
          </cell>
          <cell r="Q207">
            <v>2.0200000000000005</v>
          </cell>
          <cell r="V207">
            <v>0</v>
          </cell>
          <cell r="W207" t="str">
            <v/>
          </cell>
        </row>
        <row r="208">
          <cell r="E208" t="str">
            <v>BODY SPLASH ARABYS' FEROZ &gt; MARIO 09/02/26</v>
          </cell>
          <cell r="G208">
            <v>46009</v>
          </cell>
          <cell r="H208">
            <v>2800</v>
          </cell>
          <cell r="Q208">
            <v>2.0200000000000005</v>
          </cell>
          <cell r="V208">
            <v>0</v>
          </cell>
          <cell r="W208" t="str">
            <v/>
          </cell>
        </row>
        <row r="209">
          <cell r="E209" t="str">
            <v>BODY SPLASH ESCAN DALOSA &gt; MARIO 09/02/26</v>
          </cell>
          <cell r="G209">
            <v>46009</v>
          </cell>
          <cell r="H209">
            <v>2800</v>
          </cell>
          <cell r="Q209">
            <v>2.0200000000000005</v>
          </cell>
          <cell r="V209">
            <v>0</v>
          </cell>
          <cell r="W209" t="str">
            <v/>
          </cell>
        </row>
        <row r="210">
          <cell r="E210" t="str">
            <v>HIDRATANTE BISNAGA ANGELUS 200g - 2 &gt; HABIBI 01</v>
          </cell>
          <cell r="G210">
            <v>46127</v>
          </cell>
          <cell r="H210">
            <v>4000</v>
          </cell>
          <cell r="Q210">
            <v>2</v>
          </cell>
          <cell r="V210">
            <v>0</v>
          </cell>
          <cell r="W210" t="str">
            <v/>
          </cell>
        </row>
        <row r="211">
          <cell r="E211" t="str">
            <v>GELATINA CAPILAR CHEIRINHO DE PISTACHE &gt; 03_07</v>
          </cell>
          <cell r="G211">
            <v>45862</v>
          </cell>
          <cell r="H211">
            <v>10000</v>
          </cell>
          <cell r="Q211">
            <v>0</v>
          </cell>
          <cell r="V211">
            <v>0</v>
          </cell>
          <cell r="W211" t="str">
            <v/>
          </cell>
        </row>
        <row r="212">
          <cell r="E212" t="str">
            <v>BODY SPLASH NÉCTAR DAS TAMARAS &gt; PROG 01 25/03/26</v>
          </cell>
          <cell r="G212">
            <v>46106</v>
          </cell>
          <cell r="H212">
            <v>30000</v>
          </cell>
          <cell r="Q212">
            <v>0.51</v>
          </cell>
          <cell r="V212">
            <v>0</v>
          </cell>
          <cell r="W212" t="str">
            <v/>
          </cell>
        </row>
        <row r="213">
          <cell r="E213" t="str">
            <v>BODY SPLASH CEU INFINITO 200ml &gt; 0011</v>
          </cell>
          <cell r="G213">
            <v>46169</v>
          </cell>
          <cell r="H213">
            <v>15000</v>
          </cell>
          <cell r="Q213">
            <v>0.85</v>
          </cell>
          <cell r="V213">
            <v>0</v>
          </cell>
          <cell r="W213" t="str">
            <v/>
          </cell>
        </row>
        <row r="214">
          <cell r="E214" t="str">
            <v>BODY SPLASH CEU CELESTE 200ml &gt; 0011</v>
          </cell>
          <cell r="G214">
            <v>46169</v>
          </cell>
          <cell r="H214">
            <v>30000</v>
          </cell>
          <cell r="Q214">
            <v>0.85</v>
          </cell>
          <cell r="V214">
            <v>0</v>
          </cell>
          <cell r="W214" t="str">
            <v/>
          </cell>
        </row>
        <row r="215">
          <cell r="E215" t="str">
            <v>BODY SPLASH DESPERTAR DAS FLORES 200ml &gt; 0011</v>
          </cell>
          <cell r="G215">
            <v>46169</v>
          </cell>
          <cell r="H215">
            <v>30000</v>
          </cell>
          <cell r="Q215">
            <v>0.85000000000000009</v>
          </cell>
          <cell r="V215">
            <v>0</v>
          </cell>
          <cell r="W215" t="str">
            <v/>
          </cell>
        </row>
        <row r="216">
          <cell r="E216" t="str">
            <v>BODY SPLASH FLOR D AURA 200ml &gt; 0011</v>
          </cell>
          <cell r="G216">
            <v>46169</v>
          </cell>
          <cell r="H216">
            <v>15000</v>
          </cell>
          <cell r="Q216">
            <v>0.85</v>
          </cell>
          <cell r="V216">
            <v>0</v>
          </cell>
          <cell r="W216" t="str">
            <v/>
          </cell>
        </row>
        <row r="217">
          <cell r="E217" t="str">
            <v>BODY SPLASH NÉCTAR DAS TAMARAS &gt; 0014</v>
          </cell>
          <cell r="G217">
            <v>46196</v>
          </cell>
          <cell r="H217">
            <v>10000</v>
          </cell>
          <cell r="Q217">
            <v>0.51</v>
          </cell>
          <cell r="V217">
            <v>0</v>
          </cell>
          <cell r="W217" t="str">
            <v/>
          </cell>
        </row>
        <row r="218">
          <cell r="E218" t="str">
            <v>BODY SPLASH AURORA IMPERIAL &gt; 0014</v>
          </cell>
          <cell r="G218">
            <v>46196</v>
          </cell>
          <cell r="H218">
            <v>40000</v>
          </cell>
          <cell r="Q218">
            <v>0.51</v>
          </cell>
          <cell r="V218">
            <v>0</v>
          </cell>
          <cell r="W218" t="str">
            <v/>
          </cell>
        </row>
        <row r="219">
          <cell r="E219" t="str">
            <v>FIXADOR FIX MATTE 120ml &gt; 0015</v>
          </cell>
          <cell r="G219">
            <v>46196</v>
          </cell>
          <cell r="H219">
            <v>60000</v>
          </cell>
          <cell r="Q219">
            <v>0.55000000000000004</v>
          </cell>
          <cell r="V219">
            <v>0</v>
          </cell>
          <cell r="W219" t="str">
            <v/>
          </cell>
        </row>
        <row r="220">
          <cell r="E220" t="str">
            <v>BODY SPLASH DESPERTAR DAS FLORES 200ml &gt; FABIANO 09/12</v>
          </cell>
          <cell r="G220">
            <v>46000</v>
          </cell>
          <cell r="H220">
            <v>15000</v>
          </cell>
          <cell r="Q220">
            <v>0.85000000000000009</v>
          </cell>
          <cell r="V220">
            <v>0</v>
          </cell>
          <cell r="W220" t="str">
            <v/>
          </cell>
        </row>
        <row r="221">
          <cell r="E221" t="str">
            <v>BODY SPLASH AMBAR REAL 200ml &gt; FABIANO 09/12</v>
          </cell>
          <cell r="G221">
            <v>46000</v>
          </cell>
          <cell r="H221">
            <v>15000</v>
          </cell>
          <cell r="Q221">
            <v>0.85</v>
          </cell>
          <cell r="V221">
            <v>0</v>
          </cell>
          <cell r="W221" t="str">
            <v/>
          </cell>
        </row>
        <row r="222">
          <cell r="E222" t="str">
            <v>PERFUME MASCULINO 117 INVICTUS &gt; Perfumes Moutier</v>
          </cell>
          <cell r="G222">
            <v>45810</v>
          </cell>
          <cell r="H222">
            <v>500</v>
          </cell>
          <cell r="Q222">
            <v>0</v>
          </cell>
          <cell r="V222">
            <v>0</v>
          </cell>
          <cell r="W222" t="str">
            <v/>
          </cell>
        </row>
        <row r="223">
          <cell r="E223" t="str">
            <v>PERFUME MASCULINO 118 CH BAD BOY &gt; Perfumes Moutier</v>
          </cell>
          <cell r="G223">
            <v>45810</v>
          </cell>
          <cell r="H223">
            <v>500</v>
          </cell>
          <cell r="Q223">
            <v>0</v>
          </cell>
          <cell r="V223">
            <v>0</v>
          </cell>
          <cell r="W223" t="str">
            <v/>
          </cell>
        </row>
        <row r="224">
          <cell r="E224" t="str">
            <v>PERFUME MASCULINO 119 EROS VERSACE &gt; Perfumes Moutier</v>
          </cell>
          <cell r="G224">
            <v>45810</v>
          </cell>
          <cell r="H224">
            <v>500</v>
          </cell>
          <cell r="Q224">
            <v>0</v>
          </cell>
          <cell r="V224">
            <v>0</v>
          </cell>
          <cell r="W224" t="str">
            <v/>
          </cell>
        </row>
        <row r="225">
          <cell r="E225" t="str">
            <v>PERFUME MASCULINO 122 ANIMALE &gt; Perfumes Moutier</v>
          </cell>
          <cell r="G225">
            <v>45810</v>
          </cell>
          <cell r="H225">
            <v>500</v>
          </cell>
          <cell r="Q225">
            <v>0</v>
          </cell>
          <cell r="V225">
            <v>0</v>
          </cell>
          <cell r="W225" t="str">
            <v/>
          </cell>
        </row>
        <row r="226">
          <cell r="E226" t="str">
            <v>PERFUME MASCULINO 135 SCANDAL POUR HOMME &gt; Perfumes Moutier</v>
          </cell>
          <cell r="G226">
            <v>45810</v>
          </cell>
          <cell r="H226">
            <v>500</v>
          </cell>
          <cell r="Q226">
            <v>0</v>
          </cell>
          <cell r="V226">
            <v>0</v>
          </cell>
          <cell r="W226" t="str">
            <v/>
          </cell>
        </row>
        <row r="227">
          <cell r="E227" t="str">
            <v>BODY SPLASH AMBAR REAL 200ml &gt; REPOSICAO 23/03</v>
          </cell>
          <cell r="G227">
            <v>46104</v>
          </cell>
          <cell r="H227">
            <v>7680</v>
          </cell>
          <cell r="Q227">
            <v>0.85</v>
          </cell>
          <cell r="V227">
            <v>0</v>
          </cell>
          <cell r="W227" t="str">
            <v/>
          </cell>
        </row>
        <row r="228">
          <cell r="E228" t="str">
            <v>BODY SPLASH CEU INFINITO 200ml &gt; REPOSICAO 23/03</v>
          </cell>
          <cell r="G228">
            <v>46104</v>
          </cell>
          <cell r="H228">
            <v>7680</v>
          </cell>
          <cell r="Q228">
            <v>0.85</v>
          </cell>
          <cell r="V228">
            <v>0</v>
          </cell>
          <cell r="W228" t="str">
            <v/>
          </cell>
        </row>
        <row r="229">
          <cell r="E229" t="str">
            <v>BODY SPLASH FLOR D AURA 200ml &gt; REPOSICAO 23/03</v>
          </cell>
          <cell r="G229">
            <v>46104</v>
          </cell>
          <cell r="H229">
            <v>7680</v>
          </cell>
          <cell r="Q229">
            <v>0.85</v>
          </cell>
          <cell r="V229">
            <v>0</v>
          </cell>
          <cell r="W229" t="str">
            <v/>
          </cell>
        </row>
        <row r="230">
          <cell r="E230" t="str">
            <v>BODY SPLASH DESPERTAR DAS FLORES 200ml &gt; REPOSICAO 23/03</v>
          </cell>
          <cell r="G230">
            <v>46104</v>
          </cell>
          <cell r="H230">
            <v>6240</v>
          </cell>
          <cell r="Q230">
            <v>0.85000000000000009</v>
          </cell>
          <cell r="V230">
            <v>0</v>
          </cell>
          <cell r="W230" t="str">
            <v/>
          </cell>
        </row>
        <row r="231">
          <cell r="E231" t="str">
            <v>SABONETE DEMAQUILANTE PITAYA &gt; 0005</v>
          </cell>
          <cell r="G231">
            <v>46044</v>
          </cell>
          <cell r="H231">
            <v>3000</v>
          </cell>
          <cell r="Q231">
            <v>0</v>
          </cell>
          <cell r="V231">
            <v>0</v>
          </cell>
          <cell r="W231" t="str">
            <v/>
          </cell>
        </row>
        <row r="232">
          <cell r="E232" t="str">
            <v>PERFUME CAPILAR HONEY &gt; 0007</v>
          </cell>
          <cell r="G232">
            <v>46013</v>
          </cell>
          <cell r="H232">
            <v>28800</v>
          </cell>
          <cell r="Q232">
            <v>0</v>
          </cell>
          <cell r="V232">
            <v>0</v>
          </cell>
          <cell r="W232" t="str">
            <v/>
          </cell>
        </row>
        <row r="233">
          <cell r="E233" t="str">
            <v>BODY SPLASH GLOW TAÇA DE CHAMPAGNE &gt; 0007</v>
          </cell>
          <cell r="G233">
            <v>46013</v>
          </cell>
          <cell r="H233">
            <v>14400</v>
          </cell>
          <cell r="Q233">
            <v>0</v>
          </cell>
          <cell r="V233">
            <v>0</v>
          </cell>
          <cell r="W233" t="str">
            <v/>
          </cell>
        </row>
        <row r="234">
          <cell r="E234" t="str">
            <v>BODY SPLASH GLOW NOITE DE GLAMOUR &gt; 0007</v>
          </cell>
          <cell r="G234">
            <v>46013</v>
          </cell>
          <cell r="H234">
            <v>14400</v>
          </cell>
          <cell r="Q234">
            <v>0</v>
          </cell>
          <cell r="V234">
            <v>0</v>
          </cell>
          <cell r="W234" t="str">
            <v/>
          </cell>
        </row>
        <row r="235">
          <cell r="E235" t="str">
            <v>BODY SPLASH GLOW PAIXÃO IRRESISTÍVEL &gt; 0007</v>
          </cell>
          <cell r="G235">
            <v>46013</v>
          </cell>
          <cell r="H235">
            <v>14400</v>
          </cell>
          <cell r="Q235">
            <v>0</v>
          </cell>
          <cell r="V235">
            <v>0</v>
          </cell>
          <cell r="W235" t="str">
            <v/>
          </cell>
        </row>
        <row r="236">
          <cell r="E236" t="str">
            <v>HIDRATANTE SORVETE DE MORANGO 120ML -  &gt; 05</v>
          </cell>
          <cell r="G236">
            <v>46142</v>
          </cell>
          <cell r="H236">
            <v>10000</v>
          </cell>
          <cell r="Q236">
            <v>1.2</v>
          </cell>
          <cell r="V236">
            <v>0</v>
          </cell>
          <cell r="W236" t="str">
            <v/>
          </cell>
        </row>
        <row r="237">
          <cell r="E237" t="str">
            <v>OLEO CORPORAL SORVETE DE MORANGO 120ML -  &gt; 05</v>
          </cell>
          <cell r="G237">
            <v>46142</v>
          </cell>
          <cell r="H237">
            <v>10000</v>
          </cell>
          <cell r="Q237">
            <v>1.2</v>
          </cell>
          <cell r="V237">
            <v>0</v>
          </cell>
          <cell r="W237" t="str">
            <v/>
          </cell>
        </row>
        <row r="238">
          <cell r="E238" t="str">
            <v>MOUSSE FACIAL SORVETE DE MORANGO 150ML -  &gt; 05</v>
          </cell>
          <cell r="G238">
            <v>46142</v>
          </cell>
          <cell r="H238">
            <v>10000</v>
          </cell>
          <cell r="Q238">
            <v>1.2</v>
          </cell>
          <cell r="V238">
            <v>0</v>
          </cell>
          <cell r="W238" t="str">
            <v/>
          </cell>
        </row>
        <row r="239">
          <cell r="E239" t="str">
            <v>BODY SPLASH SORVETE DE MORANGO 120ML -  &gt; 05</v>
          </cell>
          <cell r="G239">
            <v>46142</v>
          </cell>
          <cell r="H239">
            <v>10000</v>
          </cell>
          <cell r="Q239">
            <v>1.2</v>
          </cell>
          <cell r="V239">
            <v>0</v>
          </cell>
          <cell r="W239" t="str">
            <v/>
          </cell>
        </row>
        <row r="240">
          <cell r="E240" t="str">
            <v>PERFUME CAPILAR CELESTIA 57ml &gt; HABIBI 01</v>
          </cell>
          <cell r="G240">
            <v>46009</v>
          </cell>
          <cell r="H240">
            <v>16000</v>
          </cell>
          <cell r="Q240">
            <v>3</v>
          </cell>
          <cell r="V240">
            <v>0</v>
          </cell>
          <cell r="W240" t="str">
            <v/>
          </cell>
        </row>
        <row r="241">
          <cell r="E241" t="str">
            <v>BODY SPLASH ECLIPSE DOURADO &gt; PROG 01 25/03/26</v>
          </cell>
          <cell r="G241">
            <v>46106</v>
          </cell>
          <cell r="H241">
            <v>30000</v>
          </cell>
          <cell r="Q241">
            <v>0.51</v>
          </cell>
          <cell r="V241">
            <v>0</v>
          </cell>
          <cell r="W241" t="str">
            <v/>
          </cell>
        </row>
        <row r="242">
          <cell r="E242" t="str">
            <v>BODY SPLASH CEU INFINITO 200ml &gt; FABIANO 09/12</v>
          </cell>
          <cell r="G242">
            <v>46000</v>
          </cell>
          <cell r="H242">
            <v>15000</v>
          </cell>
          <cell r="Q242">
            <v>0.85</v>
          </cell>
          <cell r="V242">
            <v>0</v>
          </cell>
          <cell r="W242" t="str">
            <v/>
          </cell>
        </row>
        <row r="243">
          <cell r="E243" t="str">
            <v>BODY SPLASH CEU CELESTE 200ml &gt; FABIANO 09/12</v>
          </cell>
          <cell r="G243">
            <v>46000</v>
          </cell>
          <cell r="H243">
            <v>15000</v>
          </cell>
          <cell r="Q243">
            <v>0.85</v>
          </cell>
          <cell r="V243">
            <v>0</v>
          </cell>
          <cell r="W243" t="str">
            <v/>
          </cell>
        </row>
        <row r="244">
          <cell r="E244" t="str">
            <v>BODY SPLASH FLOR D AURA 200ml &gt; FABIANO 09/12</v>
          </cell>
          <cell r="G244">
            <v>46000</v>
          </cell>
          <cell r="H244">
            <v>15000</v>
          </cell>
          <cell r="Q244">
            <v>0.85</v>
          </cell>
          <cell r="V244">
            <v>0</v>
          </cell>
          <cell r="W244" t="str">
            <v/>
          </cell>
        </row>
        <row r="245">
          <cell r="E245" t="str">
            <v>PERFUME IRON - 2 &gt; SMAYKEL 01</v>
          </cell>
          <cell r="G245">
            <v>45989</v>
          </cell>
          <cell r="H245">
            <v>1000</v>
          </cell>
          <cell r="Q245">
            <v>0</v>
          </cell>
          <cell r="V245">
            <v>0</v>
          </cell>
          <cell r="W245" t="str">
            <v/>
          </cell>
        </row>
        <row r="246">
          <cell r="E246" t="str">
            <v>HIDRATANTE BISNAGA CELESTIA 200g - 3 &gt; HABIBI 01</v>
          </cell>
          <cell r="G246">
            <v>46160</v>
          </cell>
          <cell r="H246">
            <v>4000</v>
          </cell>
          <cell r="Q246">
            <v>2</v>
          </cell>
          <cell r="V246">
            <v>0</v>
          </cell>
          <cell r="W246" t="str">
            <v/>
          </cell>
        </row>
        <row r="247">
          <cell r="E247" t="str">
            <v>MÁSCARA HUBBA GUM TUTTI-FRUTTI - 2 &gt; JOKER</v>
          </cell>
          <cell r="H247">
            <v>4500</v>
          </cell>
          <cell r="Q247">
            <v>0</v>
          </cell>
          <cell r="V247">
            <v>0</v>
          </cell>
          <cell r="W247" t="str">
            <v/>
          </cell>
        </row>
        <row r="248">
          <cell r="E248" t="str">
            <v>MÁSCARA HUBBA GUM UVA - 2 &gt; JOKER</v>
          </cell>
          <cell r="H248">
            <v>4500</v>
          </cell>
          <cell r="Q248">
            <v>0</v>
          </cell>
          <cell r="V248">
            <v>0</v>
          </cell>
          <cell r="W248" t="str">
            <v/>
          </cell>
        </row>
        <row r="249">
          <cell r="E249" t="str">
            <v>CONDICIONADOR HUBBA GUM BANANA - 2 &gt; JOKER</v>
          </cell>
          <cell r="H249">
            <v>4500</v>
          </cell>
          <cell r="Q249">
            <v>0</v>
          </cell>
          <cell r="V249">
            <v>0</v>
          </cell>
          <cell r="W249" t="str">
            <v/>
          </cell>
        </row>
        <row r="250">
          <cell r="E250" t="str">
            <v>CONDICIONADOR HUBBA GUM TUTTI-FRUTTI - 2 &gt; JOKER</v>
          </cell>
          <cell r="H250">
            <v>4500</v>
          </cell>
          <cell r="Q250">
            <v>0</v>
          </cell>
          <cell r="V250">
            <v>0</v>
          </cell>
          <cell r="W250" t="str">
            <v/>
          </cell>
        </row>
        <row r="251">
          <cell r="E251" t="str">
            <v>CONDICIONADOR HUBBA GUM UVA - 2 &gt; JOKER</v>
          </cell>
          <cell r="H251">
            <v>4500</v>
          </cell>
          <cell r="Q251">
            <v>0</v>
          </cell>
          <cell r="V251">
            <v>0</v>
          </cell>
          <cell r="W251" t="str">
            <v/>
          </cell>
        </row>
        <row r="252">
          <cell r="E252" t="str">
            <v>FINALIZADOR HUBBA GUM BANANA - 2 &gt; JOKER</v>
          </cell>
          <cell r="H252">
            <v>4500</v>
          </cell>
          <cell r="Q252">
            <v>0</v>
          </cell>
          <cell r="V252">
            <v>0</v>
          </cell>
          <cell r="W252" t="str">
            <v/>
          </cell>
        </row>
        <row r="253">
          <cell r="E253" t="str">
            <v>FINALIZADOR HUBBA GUM TUTTI-FRUTTI - 2 &gt; JOKER</v>
          </cell>
          <cell r="H253">
            <v>4500</v>
          </cell>
          <cell r="Q253">
            <v>0</v>
          </cell>
          <cell r="V253">
            <v>0</v>
          </cell>
          <cell r="W253" t="str">
            <v/>
          </cell>
        </row>
        <row r="254">
          <cell r="E254" t="str">
            <v>FINALIZADOR HUBBA GUM UVA - 2 &gt; JOKER</v>
          </cell>
          <cell r="H254">
            <v>4500</v>
          </cell>
          <cell r="Q254">
            <v>0</v>
          </cell>
          <cell r="V254">
            <v>0</v>
          </cell>
          <cell r="W254" t="str">
            <v/>
          </cell>
        </row>
        <row r="255">
          <cell r="E255" t="str">
            <v>MÁSCARA HUBBA GUM BANANA - 2 &gt; JOKER</v>
          </cell>
          <cell r="H255">
            <v>4500</v>
          </cell>
          <cell r="Q255">
            <v>0</v>
          </cell>
          <cell r="V255">
            <v>0</v>
          </cell>
          <cell r="W255" t="str">
            <v/>
          </cell>
        </row>
        <row r="256">
          <cell r="E256" t="str">
            <v>SHAMPOO HUBBA GUM BANANA - 2 &gt; JOKER</v>
          </cell>
          <cell r="H256">
            <v>4500</v>
          </cell>
          <cell r="Q256">
            <v>0</v>
          </cell>
          <cell r="V256">
            <v>0</v>
          </cell>
          <cell r="W256" t="str">
            <v/>
          </cell>
        </row>
        <row r="257">
          <cell r="E257" t="str">
            <v>SHAMPOO HUBBA GUM UVA - 2 &gt; JOKER</v>
          </cell>
          <cell r="H257">
            <v>4500</v>
          </cell>
          <cell r="Q257">
            <v>0</v>
          </cell>
          <cell r="V257">
            <v>0</v>
          </cell>
          <cell r="W257" t="str">
            <v/>
          </cell>
        </row>
        <row r="258">
          <cell r="E258" t="str">
            <v>SHAMPOO HUBBA GUM TUTTI-FRUTTI - 2 &gt; JOKER</v>
          </cell>
          <cell r="H258">
            <v>4500</v>
          </cell>
          <cell r="Q258">
            <v>0</v>
          </cell>
          <cell r="V258">
            <v>0</v>
          </cell>
          <cell r="W258" t="str">
            <v/>
          </cell>
        </row>
        <row r="259">
          <cell r="E259" t="str">
            <v>ÓLEO CORPORAL AMENDÔAS - x &gt; JOKER</v>
          </cell>
          <cell r="H259">
            <v>46400</v>
          </cell>
          <cell r="Q259">
            <v>1</v>
          </cell>
          <cell r="V259">
            <v>0</v>
          </cell>
          <cell r="W259" t="str">
            <v/>
          </cell>
        </row>
        <row r="260">
          <cell r="E260" t="str">
            <v>BODY SPLASH SOL TROPICAL 86 120ml &gt; REPOSICAO BRIA 01</v>
          </cell>
          <cell r="G260">
            <v>46052</v>
          </cell>
          <cell r="H260">
            <v>20240</v>
          </cell>
          <cell r="Q260">
            <v>1.08</v>
          </cell>
          <cell r="V260">
            <v>0</v>
          </cell>
          <cell r="W260" t="str">
            <v/>
          </cell>
        </row>
        <row r="261">
          <cell r="E261" t="str">
            <v>ÁGUA MICELAR CARVÃO ATIVADO - 1 &gt; GLOW - Água Micelar</v>
          </cell>
          <cell r="G261">
            <v>45824</v>
          </cell>
          <cell r="H261">
            <v>5000</v>
          </cell>
          <cell r="Q261">
            <v>0</v>
          </cell>
          <cell r="V261">
            <v>0</v>
          </cell>
          <cell r="W261" t="str">
            <v/>
          </cell>
        </row>
        <row r="262">
          <cell r="E262" t="str">
            <v>BODY SPLASH GOTA BELLE &gt; GOTA ZEN - Body Slash</v>
          </cell>
          <cell r="G262">
            <v>45778</v>
          </cell>
          <cell r="H262">
            <v>2000</v>
          </cell>
          <cell r="Q262">
            <v>2.0200000000000005</v>
          </cell>
          <cell r="V262">
            <v>0</v>
          </cell>
          <cell r="W262" t="str">
            <v/>
          </cell>
        </row>
        <row r="263">
          <cell r="E263" t="str">
            <v>HIDRATANTE BISNAGA CELESTIA 200g - 1 &gt; HABIBI 01</v>
          </cell>
          <cell r="G263">
            <v>46009</v>
          </cell>
          <cell r="H263">
            <v>2000</v>
          </cell>
          <cell r="Q263">
            <v>2</v>
          </cell>
          <cell r="V263">
            <v>0</v>
          </cell>
          <cell r="W263" t="str">
            <v/>
          </cell>
        </row>
        <row r="264">
          <cell r="E264" t="str">
            <v>HIDRATANTE BISNAGA DELICADA 200g - 1 &gt; HABIBI 01</v>
          </cell>
          <cell r="G264">
            <v>46009</v>
          </cell>
          <cell r="H264">
            <v>2000</v>
          </cell>
          <cell r="Q264">
            <v>2</v>
          </cell>
          <cell r="V264">
            <v>0</v>
          </cell>
          <cell r="W264" t="str">
            <v/>
          </cell>
        </row>
        <row r="265">
          <cell r="E265" t="str">
            <v>HIDRATANTE BISNAGA DELICADA 200g - 2 &gt; HABIBI 01</v>
          </cell>
          <cell r="G265">
            <v>46127</v>
          </cell>
          <cell r="H265">
            <v>4000</v>
          </cell>
          <cell r="Q265">
            <v>2</v>
          </cell>
          <cell r="V265">
            <v>0</v>
          </cell>
          <cell r="W265" t="str">
            <v/>
          </cell>
        </row>
        <row r="266">
          <cell r="E266" t="str">
            <v>HIDRATANTE BISNAGA IMPERIUM 200g - 1 &gt; HABIBI 01</v>
          </cell>
          <cell r="G266">
            <v>46009</v>
          </cell>
          <cell r="H266">
            <v>2000</v>
          </cell>
          <cell r="Q266">
            <v>2</v>
          </cell>
          <cell r="V266">
            <v>0</v>
          </cell>
          <cell r="W266" t="str">
            <v/>
          </cell>
        </row>
        <row r="267">
          <cell r="E267" t="str">
            <v>HIDRATANTE BISNAGA LUX AMBER 200g - 2 &gt; HABIBI 01</v>
          </cell>
          <cell r="G267">
            <v>46127</v>
          </cell>
          <cell r="H267">
            <v>4000</v>
          </cell>
          <cell r="Q267">
            <v>2</v>
          </cell>
          <cell r="V267">
            <v>0</v>
          </cell>
          <cell r="W267" t="str">
            <v/>
          </cell>
        </row>
        <row r="268">
          <cell r="E268" t="str">
            <v>HIDRATANTE BISNAGA ROSA SUBLIME 200g - 1 &gt; HABIBI 01</v>
          </cell>
          <cell r="G268">
            <v>46009</v>
          </cell>
          <cell r="H268">
            <v>2000</v>
          </cell>
          <cell r="Q268">
            <v>2</v>
          </cell>
          <cell r="V268">
            <v>0</v>
          </cell>
          <cell r="W268" t="str">
            <v/>
          </cell>
        </row>
        <row r="269">
          <cell r="E269" t="str">
            <v>HIDRATANTE BISNAGA ROSE AURORA 200g - 1 &gt; HABIBI 01</v>
          </cell>
          <cell r="G269">
            <v>46009</v>
          </cell>
          <cell r="H269">
            <v>2000</v>
          </cell>
          <cell r="Q269">
            <v>2</v>
          </cell>
          <cell r="V269">
            <v>0</v>
          </cell>
          <cell r="W269" t="str">
            <v/>
          </cell>
        </row>
        <row r="270">
          <cell r="E270" t="str">
            <v>HIDRATANTE BISNAGA ROSE AURORA 200g - 2 &gt; HABIBI 01</v>
          </cell>
          <cell r="G270">
            <v>46127</v>
          </cell>
          <cell r="H270">
            <v>4000</v>
          </cell>
          <cell r="Q270">
            <v>2</v>
          </cell>
          <cell r="V270">
            <v>0</v>
          </cell>
          <cell r="W270" t="str">
            <v/>
          </cell>
        </row>
        <row r="271">
          <cell r="E271" t="str">
            <v>HIDRATANTE BISNAGA IMPERIUM BOURBON 200g - 1 &gt; HABIBI 01</v>
          </cell>
          <cell r="G271">
            <v>46009</v>
          </cell>
          <cell r="H271">
            <v>2000</v>
          </cell>
          <cell r="Q271">
            <v>2</v>
          </cell>
          <cell r="V271">
            <v>0</v>
          </cell>
          <cell r="W271" t="str">
            <v/>
          </cell>
        </row>
        <row r="272">
          <cell r="E272" t="str">
            <v>HIDRATANTE BISNAGA IMPERIUM BOURBON 200g - 2 &gt; HABIBI 01</v>
          </cell>
          <cell r="G272">
            <v>46127</v>
          </cell>
          <cell r="H272">
            <v>4000</v>
          </cell>
          <cell r="Q272">
            <v>2</v>
          </cell>
          <cell r="V272">
            <v>0</v>
          </cell>
          <cell r="W272" t="str">
            <v/>
          </cell>
        </row>
        <row r="273">
          <cell r="E273" t="str">
            <v>HIDRATANTE BISNAGA LUX AMBER 200g - 1 &gt; HABIBI 01</v>
          </cell>
          <cell r="G273">
            <v>46009</v>
          </cell>
          <cell r="H273">
            <v>2000</v>
          </cell>
          <cell r="Q273">
            <v>2</v>
          </cell>
          <cell r="V273">
            <v>0</v>
          </cell>
          <cell r="W273" t="str">
            <v/>
          </cell>
        </row>
        <row r="274">
          <cell r="E274" t="str">
            <v>BODY SPLASH ABDALLAH &gt; 03_07</v>
          </cell>
          <cell r="G274">
            <v>45862</v>
          </cell>
          <cell r="H274">
            <v>5000</v>
          </cell>
          <cell r="Q274">
            <v>0</v>
          </cell>
          <cell r="V274">
            <v>0</v>
          </cell>
          <cell r="W274" t="str">
            <v/>
          </cell>
        </row>
        <row r="275">
          <cell r="E275" t="str">
            <v>BODY SPLASH ÁRABE &gt; 03_07</v>
          </cell>
          <cell r="G275">
            <v>45862</v>
          </cell>
          <cell r="H275">
            <v>5000</v>
          </cell>
          <cell r="Q275">
            <v>0</v>
          </cell>
          <cell r="V275">
            <v>0</v>
          </cell>
          <cell r="W275" t="str">
            <v/>
          </cell>
        </row>
        <row r="276">
          <cell r="E276" t="str">
            <v>BODY SPLASH HABIB &gt; 03_07</v>
          </cell>
          <cell r="G276">
            <v>45862</v>
          </cell>
          <cell r="H276">
            <v>5000</v>
          </cell>
          <cell r="Q276">
            <v>0</v>
          </cell>
          <cell r="V276">
            <v>0</v>
          </cell>
          <cell r="W276" t="str">
            <v/>
          </cell>
        </row>
        <row r="277">
          <cell r="E277" t="str">
            <v>BODY SPLASH JADE &gt; 03_07</v>
          </cell>
          <cell r="G277">
            <v>45862</v>
          </cell>
          <cell r="H277">
            <v>5000</v>
          </cell>
          <cell r="Q277">
            <v>0</v>
          </cell>
          <cell r="V277">
            <v>0</v>
          </cell>
          <cell r="W277" t="str">
            <v/>
          </cell>
        </row>
        <row r="278">
          <cell r="E278" t="str">
            <v>BODY SPLASH SAIND &gt; 03_07</v>
          </cell>
          <cell r="G278">
            <v>45862</v>
          </cell>
          <cell r="H278">
            <v>5000</v>
          </cell>
          <cell r="Q278">
            <v>0</v>
          </cell>
          <cell r="V278">
            <v>0</v>
          </cell>
          <cell r="W278" t="str">
            <v/>
          </cell>
        </row>
        <row r="279">
          <cell r="E279" t="str">
            <v>BODY CREAM  INTENSA PAIXAO &gt; ON-HOLD</v>
          </cell>
          <cell r="G279">
            <v>45959</v>
          </cell>
          <cell r="H279">
            <v>3360</v>
          </cell>
          <cell r="Q279">
            <v>1.48</v>
          </cell>
          <cell r="V279">
            <v>0</v>
          </cell>
          <cell r="W279" t="str">
            <v/>
          </cell>
        </row>
        <row r="280">
          <cell r="E280" t="str">
            <v>BODY CREAM BELISSIMA ESSENZA &gt; ON-HOLD</v>
          </cell>
          <cell r="G280">
            <v>45959</v>
          </cell>
          <cell r="H280">
            <v>3360</v>
          </cell>
          <cell r="Q280">
            <v>1.48</v>
          </cell>
          <cell r="V280">
            <v>0</v>
          </cell>
          <cell r="W280" t="str">
            <v/>
          </cell>
        </row>
        <row r="281">
          <cell r="E281" t="str">
            <v>BODY CREAM CHARME FATAL &gt; ON-HOLD</v>
          </cell>
          <cell r="G281">
            <v>45959</v>
          </cell>
          <cell r="H281">
            <v>3360</v>
          </cell>
          <cell r="Q281">
            <v>1.48</v>
          </cell>
          <cell r="V281">
            <v>0</v>
          </cell>
          <cell r="W281" t="str">
            <v/>
          </cell>
        </row>
        <row r="282">
          <cell r="E282" t="str">
            <v>BODY CREAM DOCE BRISA &gt; ON-HOLD</v>
          </cell>
          <cell r="G282">
            <v>45959</v>
          </cell>
          <cell r="H282">
            <v>3360</v>
          </cell>
          <cell r="Q282">
            <v>1.48</v>
          </cell>
          <cell r="V282">
            <v>0</v>
          </cell>
          <cell r="W282" t="str">
            <v/>
          </cell>
        </row>
        <row r="283">
          <cell r="E283" t="str">
            <v>BODY CREAM ESTRELA RADIANTE &gt; ON-HOLD</v>
          </cell>
          <cell r="G283">
            <v>45959</v>
          </cell>
          <cell r="H283">
            <v>3360</v>
          </cell>
          <cell r="Q283">
            <v>1.48</v>
          </cell>
          <cell r="V283">
            <v>0</v>
          </cell>
          <cell r="W283" t="str">
            <v/>
          </cell>
        </row>
        <row r="284">
          <cell r="E284" t="str">
            <v>BODY CREAM FLOR DE CRISTAL &gt; ON-HOLD</v>
          </cell>
          <cell r="G284">
            <v>45959</v>
          </cell>
          <cell r="H284">
            <v>3360</v>
          </cell>
          <cell r="Q284">
            <v>1.48</v>
          </cell>
          <cell r="V284">
            <v>0</v>
          </cell>
          <cell r="W284" t="str">
            <v/>
          </cell>
        </row>
        <row r="285">
          <cell r="E285" t="str">
            <v>BODY CREAM MISTERIO INFINITO &gt; ON-HOLD</v>
          </cell>
          <cell r="G285">
            <v>45959</v>
          </cell>
          <cell r="H285">
            <v>3360</v>
          </cell>
          <cell r="Q285">
            <v>1.48</v>
          </cell>
          <cell r="V285">
            <v>0</v>
          </cell>
          <cell r="W285" t="str">
            <v/>
          </cell>
        </row>
        <row r="286">
          <cell r="E286" t="str">
            <v>BODY CREAM NEVOA ENCANTADA &gt; ON-HOLD</v>
          </cell>
          <cell r="G286">
            <v>45959</v>
          </cell>
          <cell r="H286">
            <v>3360</v>
          </cell>
          <cell r="Q286">
            <v>1.48</v>
          </cell>
          <cell r="V286">
            <v>0</v>
          </cell>
          <cell r="W286" t="str">
            <v/>
          </cell>
        </row>
        <row r="287">
          <cell r="E287" t="str">
            <v>BODY MIST BELISSIMA ESSENZA &gt; ON-HOLD</v>
          </cell>
          <cell r="G287">
            <v>45959</v>
          </cell>
          <cell r="H287">
            <v>3360</v>
          </cell>
          <cell r="Q287">
            <v>1.35</v>
          </cell>
          <cell r="V287">
            <v>0</v>
          </cell>
          <cell r="W287" t="str">
            <v/>
          </cell>
        </row>
        <row r="288">
          <cell r="E288" t="str">
            <v>BODY MIST CHARME FATAL &gt; ON-HOLD</v>
          </cell>
          <cell r="G288">
            <v>45959</v>
          </cell>
          <cell r="H288">
            <v>3360</v>
          </cell>
          <cell r="Q288">
            <v>1.35</v>
          </cell>
          <cell r="V288">
            <v>0</v>
          </cell>
          <cell r="W288" t="str">
            <v/>
          </cell>
        </row>
        <row r="289">
          <cell r="E289" t="str">
            <v>BODY MIST DOCE BRISA &gt; ON-HOLD</v>
          </cell>
          <cell r="G289">
            <v>45959</v>
          </cell>
          <cell r="H289">
            <v>3360</v>
          </cell>
          <cell r="Q289">
            <v>1.35</v>
          </cell>
          <cell r="V289">
            <v>0</v>
          </cell>
          <cell r="W289" t="str">
            <v/>
          </cell>
        </row>
        <row r="290">
          <cell r="E290" t="str">
            <v>BODY MIST ESTRELA RADIANTE &gt; ON-HOLD</v>
          </cell>
          <cell r="G290">
            <v>45959</v>
          </cell>
          <cell r="H290">
            <v>3360</v>
          </cell>
          <cell r="Q290">
            <v>1.35</v>
          </cell>
          <cell r="V290">
            <v>0</v>
          </cell>
          <cell r="W290" t="str">
            <v/>
          </cell>
        </row>
        <row r="291">
          <cell r="E291" t="str">
            <v>BODY MIST FLOR DE CRISTAL &gt; ON-HOLD</v>
          </cell>
          <cell r="G291">
            <v>45959</v>
          </cell>
          <cell r="H291">
            <v>3360</v>
          </cell>
          <cell r="Q291">
            <v>1.35</v>
          </cell>
          <cell r="V291">
            <v>0</v>
          </cell>
          <cell r="W291" t="str">
            <v/>
          </cell>
        </row>
        <row r="292">
          <cell r="E292" t="str">
            <v>BODY MIST NEVOA ENCANTADA &gt; ON-HOLD</v>
          </cell>
          <cell r="G292">
            <v>45959</v>
          </cell>
          <cell r="H292">
            <v>3360</v>
          </cell>
          <cell r="Q292">
            <v>1.35</v>
          </cell>
          <cell r="V292">
            <v>0</v>
          </cell>
          <cell r="W292" t="str">
            <v/>
          </cell>
        </row>
        <row r="293">
          <cell r="E293" t="str">
            <v>BODY MIST INTENSA PAIXAO &gt; ON-HOLD</v>
          </cell>
          <cell r="G293">
            <v>45959</v>
          </cell>
          <cell r="H293">
            <v>3360</v>
          </cell>
          <cell r="Q293">
            <v>1.35</v>
          </cell>
          <cell r="V293">
            <v>0</v>
          </cell>
          <cell r="W293" t="str">
            <v/>
          </cell>
        </row>
        <row r="294">
          <cell r="E294" t="str">
            <v>BODY MIST MISTERIO INFINITO &gt; ON-HOLD</v>
          </cell>
          <cell r="G294">
            <v>45959</v>
          </cell>
          <cell r="H294">
            <v>3360</v>
          </cell>
          <cell r="Q294">
            <v>1.35</v>
          </cell>
          <cell r="V294">
            <v>0</v>
          </cell>
          <cell r="W294" t="str">
            <v/>
          </cell>
        </row>
        <row r="295">
          <cell r="E295" t="str">
            <v>BODY SPLASH AMBAR CRUSH &gt; ON-HOLD</v>
          </cell>
          <cell r="G295">
            <v>45816</v>
          </cell>
          <cell r="H295">
            <v>15000</v>
          </cell>
          <cell r="Q295">
            <v>0</v>
          </cell>
          <cell r="V295">
            <v>0</v>
          </cell>
          <cell r="W295" t="str">
            <v/>
          </cell>
        </row>
        <row r="296">
          <cell r="E296" t="str">
            <v>BODY SPLASH AQUA VIBE &gt; ON-HOLD</v>
          </cell>
          <cell r="G296">
            <v>45816</v>
          </cell>
          <cell r="H296">
            <v>15000</v>
          </cell>
          <cell r="Q296">
            <v>0</v>
          </cell>
          <cell r="V296">
            <v>0</v>
          </cell>
          <cell r="W296" t="str">
            <v/>
          </cell>
        </row>
        <row r="297">
          <cell r="E297" t="str">
            <v>BODY SPLASH INTENSE RED &gt; ON-HOLD</v>
          </cell>
          <cell r="G297">
            <v>45816</v>
          </cell>
          <cell r="H297">
            <v>15000</v>
          </cell>
          <cell r="Q297">
            <v>0</v>
          </cell>
          <cell r="V297">
            <v>0</v>
          </cell>
          <cell r="W297" t="str">
            <v/>
          </cell>
        </row>
        <row r="298">
          <cell r="E298" t="str">
            <v>BODY SPLASH MYSTIC SPILL &gt; ON-HOLD</v>
          </cell>
          <cell r="G298">
            <v>45816</v>
          </cell>
          <cell r="H298">
            <v>15000</v>
          </cell>
          <cell r="Q298">
            <v>0</v>
          </cell>
          <cell r="V298">
            <v>0</v>
          </cell>
          <cell r="W298" t="str">
            <v/>
          </cell>
        </row>
        <row r="299">
          <cell r="E299" t="str">
            <v>BODY SPLASH PINK SEDUCTION &gt; ON-HOLD</v>
          </cell>
          <cell r="G299">
            <v>45816</v>
          </cell>
          <cell r="H299">
            <v>15000</v>
          </cell>
          <cell r="Q299">
            <v>0</v>
          </cell>
          <cell r="V299">
            <v>0</v>
          </cell>
          <cell r="W299" t="str">
            <v/>
          </cell>
        </row>
        <row r="300">
          <cell r="E300" t="str">
            <v>BODY SPLASH PURE VANILLA &gt; ON-HOLD</v>
          </cell>
          <cell r="G300">
            <v>45816</v>
          </cell>
          <cell r="H300">
            <v>15000</v>
          </cell>
          <cell r="Q300">
            <v>0</v>
          </cell>
          <cell r="V300">
            <v>0</v>
          </cell>
          <cell r="W300" t="str">
            <v/>
          </cell>
        </row>
        <row r="301">
          <cell r="E301" t="str">
            <v>BODY SPLASH VELVET ROSE &gt; ON-HOLD</v>
          </cell>
          <cell r="G301">
            <v>45816</v>
          </cell>
          <cell r="H301">
            <v>15000</v>
          </cell>
          <cell r="Q301">
            <v>0</v>
          </cell>
          <cell r="V301">
            <v>0</v>
          </cell>
          <cell r="W301" t="str">
            <v/>
          </cell>
        </row>
        <row r="302">
          <cell r="E302" t="str">
            <v>PERFUME FEMININO 04 IDÔLE &gt; ON-HOLD</v>
          </cell>
          <cell r="G302">
            <v>45785</v>
          </cell>
          <cell r="H302">
            <v>300</v>
          </cell>
          <cell r="Q302">
            <v>0</v>
          </cell>
          <cell r="V302">
            <v>0</v>
          </cell>
          <cell r="W302" t="str">
            <v/>
          </cell>
        </row>
        <row r="303">
          <cell r="E303" t="str">
            <v>PERFUME FEMININO 05 ANGEL &gt; ON-HOLD</v>
          </cell>
          <cell r="G303">
            <v>45785</v>
          </cell>
          <cell r="H303">
            <v>300</v>
          </cell>
          <cell r="Q303">
            <v>0</v>
          </cell>
          <cell r="V303">
            <v>0</v>
          </cell>
          <cell r="W303" t="str">
            <v/>
          </cell>
        </row>
        <row r="304">
          <cell r="E304" t="str">
            <v>PERFUME FEMININO 13 212 VIP &gt; ON-HOLD</v>
          </cell>
          <cell r="G304">
            <v>45785</v>
          </cell>
          <cell r="H304">
            <v>300</v>
          </cell>
          <cell r="Q304">
            <v>0</v>
          </cell>
          <cell r="V304">
            <v>0</v>
          </cell>
          <cell r="W304" t="str">
            <v/>
          </cell>
        </row>
        <row r="305">
          <cell r="E305" t="str">
            <v>PERFUME FEMININO 14 CH 212 &gt; ON-HOLD</v>
          </cell>
          <cell r="G305">
            <v>45785</v>
          </cell>
          <cell r="H305">
            <v>300</v>
          </cell>
          <cell r="Q305">
            <v>0</v>
          </cell>
          <cell r="V305">
            <v>0</v>
          </cell>
          <cell r="W305" t="str">
            <v/>
          </cell>
        </row>
        <row r="306">
          <cell r="E306" t="str">
            <v>PERFUME FEMININO 21 SO SCANDAL &gt; ON-HOLD</v>
          </cell>
          <cell r="G306">
            <v>45785</v>
          </cell>
          <cell r="H306">
            <v>300</v>
          </cell>
          <cell r="Q306">
            <v>0</v>
          </cell>
          <cell r="V306">
            <v>0</v>
          </cell>
          <cell r="W306" t="str">
            <v/>
          </cell>
        </row>
        <row r="307">
          <cell r="E307" t="str">
            <v>PERFUME FEMININO 25 MISS DIOR &gt; ON-HOLD</v>
          </cell>
          <cell r="G307">
            <v>45785</v>
          </cell>
          <cell r="H307">
            <v>300</v>
          </cell>
          <cell r="Q307">
            <v>0</v>
          </cell>
          <cell r="V307">
            <v>0</v>
          </cell>
          <cell r="W307" t="str">
            <v/>
          </cell>
        </row>
        <row r="308">
          <cell r="E308" t="str">
            <v>PERFUME MASCULINO 112 POLO &gt; ON-HOLD</v>
          </cell>
          <cell r="G308">
            <v>45785</v>
          </cell>
          <cell r="H308">
            <v>300</v>
          </cell>
          <cell r="Q308">
            <v>0</v>
          </cell>
          <cell r="V308">
            <v>0</v>
          </cell>
          <cell r="W308" t="str">
            <v/>
          </cell>
        </row>
        <row r="309">
          <cell r="E309" t="str">
            <v>PERFUME MASCULINO 114 212 FOR MEN &gt; ON-HOLD</v>
          </cell>
          <cell r="G309">
            <v>45785</v>
          </cell>
          <cell r="H309">
            <v>300</v>
          </cell>
          <cell r="Q309">
            <v>0</v>
          </cell>
          <cell r="V309">
            <v>0</v>
          </cell>
          <cell r="W309" t="str">
            <v/>
          </cell>
        </row>
        <row r="310">
          <cell r="E310" t="str">
            <v>PERFUME MASCULINO 120 ISSEY MIYAKE &gt; ON-HOLD</v>
          </cell>
          <cell r="G310">
            <v>45785</v>
          </cell>
          <cell r="H310">
            <v>300</v>
          </cell>
          <cell r="Q310">
            <v>0</v>
          </cell>
          <cell r="V310">
            <v>0</v>
          </cell>
          <cell r="W310" t="str">
            <v/>
          </cell>
        </row>
        <row r="311">
          <cell r="E311" t="str">
            <v>PERFUME MASCULINO 121 212 VIP MEN &gt; ON-HOLD</v>
          </cell>
          <cell r="G311">
            <v>45785</v>
          </cell>
          <cell r="H311">
            <v>300</v>
          </cell>
          <cell r="Q311">
            <v>0</v>
          </cell>
          <cell r="V311">
            <v>0</v>
          </cell>
          <cell r="W311" t="str">
            <v/>
          </cell>
        </row>
        <row r="312">
          <cell r="E312" t="str">
            <v>PERFUME MASCULINO 134 MARLY ALTHAIR &gt; ON-HOLD</v>
          </cell>
          <cell r="G312">
            <v>45785</v>
          </cell>
          <cell r="H312">
            <v>300</v>
          </cell>
          <cell r="Q312">
            <v>0</v>
          </cell>
          <cell r="V312">
            <v>0</v>
          </cell>
          <cell r="W312" t="str">
            <v/>
          </cell>
        </row>
        <row r="313">
          <cell r="E313" t="str">
            <v>PERFUME FEMININO 10 212 SEXY &gt; ON-HOLD</v>
          </cell>
          <cell r="G313">
            <v>45785</v>
          </cell>
          <cell r="H313">
            <v>300</v>
          </cell>
          <cell r="Q313">
            <v>0</v>
          </cell>
          <cell r="V313">
            <v>0</v>
          </cell>
          <cell r="W313" t="str">
            <v/>
          </cell>
        </row>
        <row r="314">
          <cell r="E314" t="str">
            <v>PERFUME FEMININO 11 OLYMPEA &gt; ON-HOLD</v>
          </cell>
          <cell r="G314">
            <v>45785</v>
          </cell>
          <cell r="H314">
            <v>300</v>
          </cell>
          <cell r="Q314">
            <v>0</v>
          </cell>
          <cell r="V314">
            <v>0</v>
          </cell>
          <cell r="W314" t="str">
            <v/>
          </cell>
        </row>
        <row r="315">
          <cell r="E315" t="str">
            <v>PERFUME FEMININO 12 LADY MILLION &gt; ON-HOLD</v>
          </cell>
          <cell r="G315">
            <v>45785</v>
          </cell>
          <cell r="H315">
            <v>300</v>
          </cell>
          <cell r="Q315">
            <v>0</v>
          </cell>
          <cell r="V315">
            <v>0</v>
          </cell>
          <cell r="W315" t="str">
            <v/>
          </cell>
        </row>
        <row r="316">
          <cell r="E316" t="str">
            <v>PERFUME FEMININO 16 COCO MADEMOISELLE &gt; ON-HOLD</v>
          </cell>
          <cell r="G316">
            <v>45785</v>
          </cell>
          <cell r="H316">
            <v>300</v>
          </cell>
          <cell r="Q316">
            <v>0</v>
          </cell>
          <cell r="V316">
            <v>0</v>
          </cell>
          <cell r="W316" t="str">
            <v/>
          </cell>
        </row>
        <row r="317">
          <cell r="E317" t="str">
            <v>PERFUME MASCULINO 105 SAUVAGE &gt; ON-HOLD</v>
          </cell>
          <cell r="G317">
            <v>45785</v>
          </cell>
          <cell r="H317">
            <v>300</v>
          </cell>
          <cell r="Q317">
            <v>0</v>
          </cell>
          <cell r="V317">
            <v>0</v>
          </cell>
          <cell r="W317" t="str">
            <v/>
          </cell>
        </row>
        <row r="318">
          <cell r="E318" t="str">
            <v>PERFUME MASCULINO 110 ONE MILLION &gt; ON-HOLD</v>
          </cell>
          <cell r="G318">
            <v>45785</v>
          </cell>
          <cell r="H318">
            <v>300</v>
          </cell>
          <cell r="Q318">
            <v>0</v>
          </cell>
          <cell r="V318">
            <v>0</v>
          </cell>
          <cell r="W318" t="str">
            <v/>
          </cell>
        </row>
        <row r="319">
          <cell r="E319" t="str">
            <v>PERFUME MASCULINO 115 BLEU DE CHANEL &gt; ON-HOLD</v>
          </cell>
          <cell r="G319">
            <v>45785</v>
          </cell>
          <cell r="H319">
            <v>300</v>
          </cell>
          <cell r="Q319">
            <v>0</v>
          </cell>
          <cell r="V319">
            <v>0</v>
          </cell>
          <cell r="W319" t="str">
            <v/>
          </cell>
        </row>
        <row r="320">
          <cell r="E320" t="str">
            <v>PERFUME FEMININO 27 MY WAY &gt; ON-HOLD</v>
          </cell>
          <cell r="G320">
            <v>45785</v>
          </cell>
          <cell r="H320">
            <v>300</v>
          </cell>
          <cell r="Q320">
            <v>0</v>
          </cell>
          <cell r="V320">
            <v>0</v>
          </cell>
          <cell r="W320" t="str">
            <v/>
          </cell>
        </row>
        <row r="321">
          <cell r="E321" t="str">
            <v>PERFUME MASCULINO 101 AZZARRO &gt; ON-HOLD</v>
          </cell>
          <cell r="G321">
            <v>45785</v>
          </cell>
          <cell r="H321">
            <v>300</v>
          </cell>
          <cell r="Q321">
            <v>0</v>
          </cell>
          <cell r="V321">
            <v>0</v>
          </cell>
          <cell r="W321" t="str">
            <v/>
          </cell>
        </row>
        <row r="322">
          <cell r="E322" t="str">
            <v>PERFUME MASCULINO 106 POLO BLUE &gt; ON-HOLD</v>
          </cell>
          <cell r="G322">
            <v>45785</v>
          </cell>
          <cell r="H322">
            <v>300</v>
          </cell>
          <cell r="Q322">
            <v>0</v>
          </cell>
          <cell r="V322">
            <v>0</v>
          </cell>
          <cell r="W322" t="str">
            <v/>
          </cell>
        </row>
        <row r="323">
          <cell r="E323" t="str">
            <v>BODY CREAM RARO ELIXIR - 2 &gt; AMEERATI 01</v>
          </cell>
          <cell r="G323">
            <v>46013</v>
          </cell>
          <cell r="H323">
            <v>2520</v>
          </cell>
          <cell r="Q323">
            <v>1.48</v>
          </cell>
          <cell r="V323">
            <v>0</v>
          </cell>
          <cell r="W323" t="str">
            <v/>
          </cell>
        </row>
        <row r="324">
          <cell r="E324" t="str">
            <v>BODY CREAM TESOURO DO OASIS - 2 &gt; AMEERATI 01</v>
          </cell>
          <cell r="G324">
            <v>46013</v>
          </cell>
          <cell r="H324">
            <v>2520</v>
          </cell>
          <cell r="Q324">
            <v>1.48</v>
          </cell>
          <cell r="V324">
            <v>0</v>
          </cell>
          <cell r="W324" t="str">
            <v/>
          </cell>
        </row>
        <row r="325">
          <cell r="E325" t="str">
            <v>BODY CREAM FLOR DO DESERTO - 2 &gt; AMEERATI 01</v>
          </cell>
          <cell r="G325">
            <v>46013</v>
          </cell>
          <cell r="H325">
            <v>2520</v>
          </cell>
          <cell r="Q325">
            <v>1.48</v>
          </cell>
          <cell r="V325">
            <v>0</v>
          </cell>
          <cell r="W325" t="str">
            <v/>
          </cell>
        </row>
        <row r="326">
          <cell r="E326" t="str">
            <v>BODY CREAM JARDINS DO ORIENTE - 2 &gt; AMEERATI 01</v>
          </cell>
          <cell r="G326">
            <v>46013</v>
          </cell>
          <cell r="H326">
            <v>2520</v>
          </cell>
          <cell r="Q326">
            <v>1.48</v>
          </cell>
          <cell r="V326">
            <v>0</v>
          </cell>
          <cell r="W326" t="str">
            <v/>
          </cell>
        </row>
        <row r="327">
          <cell r="E327" t="str">
            <v>BODY CREAM VERDE SUPREMO - 2 &gt; AMEERATI 01</v>
          </cell>
          <cell r="G327">
            <v>46013</v>
          </cell>
          <cell r="H327">
            <v>2520</v>
          </cell>
          <cell r="Q327">
            <v>1.48</v>
          </cell>
          <cell r="V327">
            <v>0</v>
          </cell>
          <cell r="W327" t="str">
            <v/>
          </cell>
        </row>
        <row r="328">
          <cell r="E328" t="str">
            <v>BODY MIST SUBLIME CEREJA &gt; AMEERATI 01</v>
          </cell>
          <cell r="G328">
            <v>45959</v>
          </cell>
          <cell r="H328">
            <v>3360</v>
          </cell>
          <cell r="Q328">
            <v>1.35</v>
          </cell>
          <cell r="V328">
            <v>0</v>
          </cell>
          <cell r="W328" t="str">
            <v/>
          </cell>
        </row>
        <row r="329">
          <cell r="E329" t="str">
            <v>BODY CREAM SUBLIME CEREJA - 1 &gt; AMEERATI 01</v>
          </cell>
          <cell r="G329">
            <v>45959</v>
          </cell>
          <cell r="H329">
            <v>840</v>
          </cell>
          <cell r="Q329">
            <v>1.48</v>
          </cell>
          <cell r="V329">
            <v>0</v>
          </cell>
          <cell r="W329" t="str">
            <v/>
          </cell>
        </row>
        <row r="330">
          <cell r="E330" t="str">
            <v>BODY CREAM FLOR DO DESERTO - 1 &gt; AMEERATI 01</v>
          </cell>
          <cell r="G330">
            <v>45959</v>
          </cell>
          <cell r="H330">
            <v>840</v>
          </cell>
          <cell r="Q330">
            <v>1.48</v>
          </cell>
          <cell r="V330">
            <v>0</v>
          </cell>
          <cell r="W330" t="str">
            <v/>
          </cell>
        </row>
        <row r="331">
          <cell r="E331" t="str">
            <v>BODY CREAM JARDINS DO ORIENTE - 1 &gt; AMEERATI 01</v>
          </cell>
          <cell r="G331">
            <v>45959</v>
          </cell>
          <cell r="H331">
            <v>840</v>
          </cell>
          <cell r="Q331">
            <v>1.48</v>
          </cell>
          <cell r="V331">
            <v>0</v>
          </cell>
          <cell r="W331" t="str">
            <v/>
          </cell>
        </row>
        <row r="332">
          <cell r="E332" t="str">
            <v>BODY CREAM MEL DE ESPECIARIAS - 1 &gt; AMEERATI 01</v>
          </cell>
          <cell r="G332">
            <v>45959</v>
          </cell>
          <cell r="H332">
            <v>840</v>
          </cell>
          <cell r="Q332">
            <v>1.48</v>
          </cell>
          <cell r="V332">
            <v>0</v>
          </cell>
          <cell r="W332" t="str">
            <v/>
          </cell>
        </row>
        <row r="333">
          <cell r="E333" t="str">
            <v>BODY CREAM PEROLA DO DESERTO - 1 &gt; AMEERATI 01</v>
          </cell>
          <cell r="G333">
            <v>45959</v>
          </cell>
          <cell r="H333">
            <v>840</v>
          </cell>
          <cell r="Q333">
            <v>1.48</v>
          </cell>
          <cell r="V333">
            <v>0</v>
          </cell>
          <cell r="W333" t="str">
            <v/>
          </cell>
        </row>
        <row r="334">
          <cell r="E334" t="str">
            <v>BODY CREAM RARO ELIXIR - 1 &gt; AMEERATI 01</v>
          </cell>
          <cell r="G334">
            <v>45959</v>
          </cell>
          <cell r="H334">
            <v>840</v>
          </cell>
          <cell r="Q334">
            <v>1.48</v>
          </cell>
          <cell r="V334">
            <v>0</v>
          </cell>
          <cell r="W334" t="str">
            <v/>
          </cell>
        </row>
        <row r="335">
          <cell r="E335" t="str">
            <v>BODY CREAM ROSA IMPERIAL - 1 &gt; AMEERATI 01</v>
          </cell>
          <cell r="G335">
            <v>45959</v>
          </cell>
          <cell r="H335">
            <v>840</v>
          </cell>
          <cell r="Q335">
            <v>1.48</v>
          </cell>
          <cell r="V335">
            <v>0</v>
          </cell>
          <cell r="W335" t="str">
            <v/>
          </cell>
        </row>
        <row r="336">
          <cell r="E336" t="str">
            <v>BODY CREAM TESOURO DO OASIS - 1 &gt; AMEERATI 01</v>
          </cell>
          <cell r="G336">
            <v>45959</v>
          </cell>
          <cell r="H336">
            <v>840</v>
          </cell>
          <cell r="Q336">
            <v>1.48</v>
          </cell>
          <cell r="V336">
            <v>0</v>
          </cell>
          <cell r="W336" t="str">
            <v/>
          </cell>
        </row>
        <row r="337">
          <cell r="E337" t="str">
            <v>BODY MIST BOUQUET CARMIM &gt; AMEERATI 01</v>
          </cell>
          <cell r="G337">
            <v>45959</v>
          </cell>
          <cell r="H337">
            <v>3360</v>
          </cell>
          <cell r="Q337">
            <v>1.35</v>
          </cell>
          <cell r="V337">
            <v>0</v>
          </cell>
          <cell r="W337" t="str">
            <v/>
          </cell>
        </row>
        <row r="338">
          <cell r="E338" t="str">
            <v>BODY SPLASH BIO BALM INFINITY ROUGE &gt; 01_08</v>
          </cell>
          <cell r="G338">
            <v>45854</v>
          </cell>
          <cell r="H338">
            <v>7500</v>
          </cell>
          <cell r="Q338">
            <v>1.7000000000000002</v>
          </cell>
          <cell r="V338">
            <v>0</v>
          </cell>
          <cell r="W338" t="str">
            <v/>
          </cell>
        </row>
        <row r="339">
          <cell r="E339" t="str">
            <v>BODY SPLASH BIO BALM SKINLIGHT &gt; 01_08</v>
          </cell>
          <cell r="G339">
            <v>45854</v>
          </cell>
          <cell r="H339">
            <v>7500</v>
          </cell>
          <cell r="Q339">
            <v>1.7000000000000002</v>
          </cell>
          <cell r="V339">
            <v>0</v>
          </cell>
          <cell r="W339" t="str">
            <v/>
          </cell>
        </row>
        <row r="340">
          <cell r="E340" t="str">
            <v>BODY SPLASH BIO BALM EUPHORIA PINK &gt; 01_08</v>
          </cell>
          <cell r="G340">
            <v>45854</v>
          </cell>
          <cell r="H340">
            <v>7500</v>
          </cell>
          <cell r="Q340">
            <v>1.7000000000000002</v>
          </cell>
          <cell r="V340">
            <v>0</v>
          </cell>
          <cell r="W340" t="str">
            <v/>
          </cell>
        </row>
        <row r="341">
          <cell r="E341" t="str">
            <v>HIDRATANTE MATTE DOCE SEDUÇÃO - 1 &gt; DAPOP - Pedido 360 mil</v>
          </cell>
          <cell r="G341">
            <v>45828</v>
          </cell>
          <cell r="H341">
            <v>20000</v>
          </cell>
          <cell r="Q341">
            <v>0</v>
          </cell>
          <cell r="V341">
            <v>0</v>
          </cell>
          <cell r="W341" t="str">
            <v/>
          </cell>
        </row>
        <row r="342">
          <cell r="E342" t="str">
            <v>ÁGUA MICELAR COLÁGENO - 1 &gt; GLOW - Água Micelar</v>
          </cell>
          <cell r="G342">
            <v>45824</v>
          </cell>
          <cell r="H342">
            <v>5000</v>
          </cell>
          <cell r="Q342">
            <v>0</v>
          </cell>
          <cell r="V342">
            <v>0</v>
          </cell>
          <cell r="W342" t="str">
            <v/>
          </cell>
        </row>
        <row r="343">
          <cell r="E343" t="str">
            <v>BASE PARA PERFUME FINA BASE PREMIUM 1l &gt; CIDA 02.25</v>
          </cell>
          <cell r="G343">
            <v>46009</v>
          </cell>
          <cell r="H343">
            <v>1092</v>
          </cell>
          <cell r="Q343">
            <v>0</v>
          </cell>
          <cell r="V343">
            <v>0</v>
          </cell>
          <cell r="W343" t="str">
            <v/>
          </cell>
        </row>
        <row r="344">
          <cell r="E344" t="str">
            <v>BASE PARA PERFUME FINA BASE PREMIUM 500ml &gt; CIDA 02.25</v>
          </cell>
          <cell r="G344">
            <v>46009</v>
          </cell>
          <cell r="H344">
            <v>1080</v>
          </cell>
          <cell r="Q344">
            <v>0</v>
          </cell>
          <cell r="V344">
            <v>0</v>
          </cell>
          <cell r="W344" t="str">
            <v/>
          </cell>
        </row>
        <row r="345">
          <cell r="E345" t="str">
            <v>FIXADOR FIX MATTE 120ml - 1 &gt; FABIANO 03/02/26</v>
          </cell>
          <cell r="G345">
            <v>46056</v>
          </cell>
          <cell r="H345">
            <v>48000</v>
          </cell>
          <cell r="Q345">
            <v>0.55000000000000004</v>
          </cell>
          <cell r="V345">
            <v>0</v>
          </cell>
          <cell r="W345" t="str">
            <v/>
          </cell>
        </row>
        <row r="346">
          <cell r="E346" t="str">
            <v>BODY SPLASH ROSA RAINHA 200ml &gt; FABIANO 09/12</v>
          </cell>
          <cell r="G346">
            <v>46000</v>
          </cell>
          <cell r="H346">
            <v>15000</v>
          </cell>
          <cell r="Q346">
            <v>0.85</v>
          </cell>
          <cell r="V346">
            <v>0</v>
          </cell>
          <cell r="W346" t="str">
            <v/>
          </cell>
        </row>
        <row r="347">
          <cell r="E347" t="str">
            <v>BODY SPLASH ECLIPSE DOURADO - 2 &gt; FABIANO 19/11</v>
          </cell>
          <cell r="G347">
            <v>46008</v>
          </cell>
          <cell r="H347">
            <v>7000</v>
          </cell>
          <cell r="Q347">
            <v>0.51</v>
          </cell>
          <cell r="V347">
            <v>0</v>
          </cell>
          <cell r="W347" t="str">
            <v/>
          </cell>
        </row>
        <row r="348">
          <cell r="E348" t="str">
            <v>CREME HIDRATANTE CORPORAL AURORA IMPERIAL &gt; FABIANO 19/11</v>
          </cell>
          <cell r="G348">
            <v>45887</v>
          </cell>
          <cell r="H348">
            <v>6480</v>
          </cell>
          <cell r="Q348">
            <v>0</v>
          </cell>
          <cell r="V348">
            <v>0</v>
          </cell>
          <cell r="W348" t="str">
            <v/>
          </cell>
        </row>
        <row r="349">
          <cell r="E349" t="str">
            <v>BODY SPLASH ECLIPSE DOURADO &gt; Fabiano 22/09</v>
          </cell>
          <cell r="G349">
            <v>45922</v>
          </cell>
          <cell r="H349">
            <v>4000</v>
          </cell>
          <cell r="Q349">
            <v>0.51</v>
          </cell>
          <cell r="V349">
            <v>0</v>
          </cell>
          <cell r="W349" t="str">
            <v/>
          </cell>
        </row>
        <row r="350">
          <cell r="E350" t="str">
            <v>CREME HIDRATANTE CORPORAL AURORA IMPERIAL &gt; Miss Rôse - Hidratante</v>
          </cell>
          <cell r="G350">
            <v>45799</v>
          </cell>
          <cell r="H350">
            <v>10000</v>
          </cell>
          <cell r="Q350">
            <v>0</v>
          </cell>
          <cell r="V350">
            <v>0</v>
          </cell>
          <cell r="W350" t="str">
            <v/>
          </cell>
        </row>
        <row r="351">
          <cell r="E351" t="str">
            <v>BODY CREAM ROSA IMPERIAL - 2 &gt; AMEERATI 01</v>
          </cell>
          <cell r="G351">
            <v>46013</v>
          </cell>
          <cell r="H351">
            <v>2520</v>
          </cell>
          <cell r="Q351">
            <v>1.48</v>
          </cell>
          <cell r="V351">
            <v>0</v>
          </cell>
          <cell r="W351" t="str">
            <v/>
          </cell>
        </row>
        <row r="352">
          <cell r="E352" t="str">
            <v>BODY SPLASH BIO BALM SUNRISE MUSE &gt; 01_08</v>
          </cell>
          <cell r="G352">
            <v>45854</v>
          </cell>
          <cell r="H352">
            <v>7500</v>
          </cell>
          <cell r="Q352">
            <v>1.7000000000000002</v>
          </cell>
          <cell r="V352">
            <v>0</v>
          </cell>
          <cell r="W352" t="str">
            <v/>
          </cell>
        </row>
        <row r="353">
          <cell r="E353" t="str">
            <v>BODY SPLASH BIO BALM V DREAM &gt; 01_08</v>
          </cell>
          <cell r="G353">
            <v>45854</v>
          </cell>
          <cell r="H353">
            <v>7500</v>
          </cell>
          <cell r="Q353">
            <v>1.7000000000000002</v>
          </cell>
          <cell r="V353">
            <v>0</v>
          </cell>
          <cell r="W353" t="str">
            <v/>
          </cell>
        </row>
        <row r="354">
          <cell r="E354" t="str">
            <v>BODY SPLASH SOL TROPICAL 58 120ml &gt; BRIA 01</v>
          </cell>
          <cell r="G354">
            <v>45934</v>
          </cell>
          <cell r="H354">
            <v>20000</v>
          </cell>
          <cell r="Q354">
            <v>1.08</v>
          </cell>
          <cell r="V354">
            <v>0</v>
          </cell>
          <cell r="W354" t="str">
            <v/>
          </cell>
        </row>
        <row r="355">
          <cell r="E355" t="str">
            <v>BODY SPLASH SOL TROPICAL 61 120ml &gt; BRIA 01</v>
          </cell>
          <cell r="G355">
            <v>45934</v>
          </cell>
          <cell r="H355">
            <v>20000</v>
          </cell>
          <cell r="Q355">
            <v>1.08</v>
          </cell>
          <cell r="V355">
            <v>0</v>
          </cell>
          <cell r="W355" t="str">
            <v/>
          </cell>
        </row>
        <row r="356">
          <cell r="E356" t="str">
            <v>BODY SPLASH SOL TROPICAL 86 120ml &gt; BRIA 01</v>
          </cell>
          <cell r="G356">
            <v>45934</v>
          </cell>
          <cell r="H356">
            <v>20000</v>
          </cell>
          <cell r="Q356">
            <v>1.08</v>
          </cell>
          <cell r="V356">
            <v>0</v>
          </cell>
          <cell r="W356" t="str">
            <v/>
          </cell>
        </row>
        <row r="357">
          <cell r="E357" t="str">
            <v>BODY SPLASH ZAHRA 120ml &gt; BRIA 01</v>
          </cell>
          <cell r="G357">
            <v>45934</v>
          </cell>
          <cell r="H357">
            <v>20000</v>
          </cell>
          <cell r="Q357">
            <v>1.08</v>
          </cell>
          <cell r="V357">
            <v>0</v>
          </cell>
          <cell r="W357" t="str">
            <v/>
          </cell>
        </row>
        <row r="358">
          <cell r="E358" t="str">
            <v>RE.BODY SPLASH B.BALM &gt; RETRABALHO</v>
          </cell>
          <cell r="G358">
            <v>45919</v>
          </cell>
          <cell r="H358">
            <v>1800</v>
          </cell>
          <cell r="Q358">
            <v>0</v>
          </cell>
          <cell r="V358">
            <v>0</v>
          </cell>
          <cell r="W358" t="str">
            <v/>
          </cell>
        </row>
        <row r="359">
          <cell r="E359" t="str">
            <v>OLEO CAPILAR CAMIE BEAUTY 60mL &gt; CAMIE 04/03</v>
          </cell>
          <cell r="G359">
            <v>46085</v>
          </cell>
          <cell r="H359">
            <v>3000</v>
          </cell>
          <cell r="Q359">
            <v>0</v>
          </cell>
          <cell r="V359">
            <v>0</v>
          </cell>
          <cell r="W359" t="str">
            <v/>
          </cell>
        </row>
        <row r="360">
          <cell r="E360" t="str">
            <v>POMADA CURADERM &gt; Curaderm</v>
          </cell>
          <cell r="G360">
            <v>45778</v>
          </cell>
          <cell r="H360">
            <v>2500</v>
          </cell>
          <cell r="Q360">
            <v>0</v>
          </cell>
          <cell r="V360">
            <v>0</v>
          </cell>
          <cell r="W360" t="str">
            <v/>
          </cell>
        </row>
        <row r="361">
          <cell r="E361" t="str">
            <v>ESFOLIANTE MATTE DOCE SEDUÇÃO - 1 &gt; DAPOP - Pedido 360 mil</v>
          </cell>
          <cell r="G361">
            <v>45828</v>
          </cell>
          <cell r="H361">
            <v>7000</v>
          </cell>
          <cell r="Q361">
            <v>0</v>
          </cell>
          <cell r="V361">
            <v>0</v>
          </cell>
          <cell r="W361" t="str">
            <v/>
          </cell>
        </row>
        <row r="362">
          <cell r="E362" t="str">
            <v>ESFOLIANTE MATTE OITAVA MARAVILHA - 1 &gt; DAPOP - Pedido 360 mil</v>
          </cell>
          <cell r="G362">
            <v>45828</v>
          </cell>
          <cell r="H362">
            <v>7000</v>
          </cell>
          <cell r="Q362">
            <v>0</v>
          </cell>
          <cell r="V362">
            <v>0</v>
          </cell>
          <cell r="W362" t="str">
            <v/>
          </cell>
        </row>
        <row r="363">
          <cell r="E363" t="str">
            <v>PERFUME DALINA &gt; SMAYKEL 01</v>
          </cell>
          <cell r="G363">
            <v>45931</v>
          </cell>
          <cell r="H363">
            <v>1500</v>
          </cell>
          <cell r="Q363">
            <v>0</v>
          </cell>
          <cell r="V363">
            <v>0</v>
          </cell>
          <cell r="W363" t="str">
            <v/>
          </cell>
        </row>
        <row r="364">
          <cell r="E364" t="str">
            <v>BASE PARA PERFUME FINA BASE 1l &gt; CIDA 02.25</v>
          </cell>
          <cell r="G364">
            <v>46009</v>
          </cell>
          <cell r="H364">
            <v>1080</v>
          </cell>
          <cell r="Q364">
            <v>0</v>
          </cell>
          <cell r="V364">
            <v>0</v>
          </cell>
          <cell r="W364" t="str">
            <v/>
          </cell>
        </row>
        <row r="365">
          <cell r="E365" t="str">
            <v>BASE PARA PERFUME FINA BASE PREMIUM 1l - 1 &gt; CIDA 11/11</v>
          </cell>
          <cell r="G365">
            <v>45972</v>
          </cell>
          <cell r="H365">
            <v>480</v>
          </cell>
          <cell r="Q365">
            <v>0</v>
          </cell>
          <cell r="V365">
            <v>0</v>
          </cell>
          <cell r="W365" t="str">
            <v/>
          </cell>
        </row>
        <row r="366">
          <cell r="E366" t="str">
            <v>BODY SPLASH DAPOP HONEY BLOOM &gt; 02_07</v>
          </cell>
          <cell r="G366">
            <v>45854</v>
          </cell>
          <cell r="H366">
            <v>30000</v>
          </cell>
          <cell r="Q366">
            <v>0</v>
          </cell>
          <cell r="V366">
            <v>0</v>
          </cell>
          <cell r="W366" t="str">
            <v/>
          </cell>
        </row>
        <row r="367">
          <cell r="E367" t="str">
            <v>ÁGUA MICELAR BABA GLOW &gt; ANDRE 14/01/26</v>
          </cell>
          <cell r="G367">
            <v>46036</v>
          </cell>
          <cell r="H367">
            <v>15000</v>
          </cell>
          <cell r="Q367">
            <v>0.85999999999999988</v>
          </cell>
          <cell r="V367">
            <v>0</v>
          </cell>
          <cell r="W367" t="str">
            <v/>
          </cell>
        </row>
        <row r="368">
          <cell r="E368" t="str">
            <v>ÁGUA MICELAR 3 EM 1 - 1 &gt; GLOW - Água Micelar</v>
          </cell>
          <cell r="G368">
            <v>45824</v>
          </cell>
          <cell r="H368">
            <v>5000</v>
          </cell>
          <cell r="Q368">
            <v>0</v>
          </cell>
          <cell r="V368">
            <v>0</v>
          </cell>
          <cell r="W368" t="str">
            <v/>
          </cell>
        </row>
        <row r="369">
          <cell r="E369" t="str">
            <v>BODY CREAM BOUQUET CARMIM - 2 &gt; AMEERATI 01</v>
          </cell>
          <cell r="G369">
            <v>46013</v>
          </cell>
          <cell r="H369">
            <v>2520</v>
          </cell>
          <cell r="Q369">
            <v>1.48</v>
          </cell>
          <cell r="V369">
            <v>0</v>
          </cell>
          <cell r="W369" t="str">
            <v/>
          </cell>
        </row>
        <row r="370">
          <cell r="E370" t="str">
            <v>BODY CREAM ENCANTO PERSA - 2 &gt; AMEERATI 01</v>
          </cell>
          <cell r="G370">
            <v>46013</v>
          </cell>
          <cell r="H370">
            <v>2520</v>
          </cell>
          <cell r="Q370">
            <v>1.48</v>
          </cell>
          <cell r="V370">
            <v>0</v>
          </cell>
          <cell r="W370" t="str">
            <v/>
          </cell>
        </row>
        <row r="371">
          <cell r="E371" t="str">
            <v>BODY CREAM MEL DE ESPECIARIAS - 2 &gt; AMEERATI 01</v>
          </cell>
          <cell r="G371">
            <v>46013</v>
          </cell>
          <cell r="H371">
            <v>2520</v>
          </cell>
          <cell r="Q371">
            <v>1.48</v>
          </cell>
          <cell r="V371">
            <v>0</v>
          </cell>
          <cell r="W371" t="str">
            <v/>
          </cell>
        </row>
        <row r="372">
          <cell r="E372" t="str">
            <v>BODY CREAM PEROLA DO DESERTO - 2 &gt; AMEERATI 01</v>
          </cell>
          <cell r="G372">
            <v>46013</v>
          </cell>
          <cell r="H372">
            <v>2520</v>
          </cell>
          <cell r="Q372">
            <v>1.48</v>
          </cell>
          <cell r="V372">
            <v>0</v>
          </cell>
          <cell r="W372" t="str">
            <v/>
          </cell>
        </row>
        <row r="373">
          <cell r="E373" t="str">
            <v>BODY CREAM SONHO DE PISTACHE - 2 &gt; AMEERATI 01</v>
          </cell>
          <cell r="G373">
            <v>46013</v>
          </cell>
          <cell r="H373">
            <v>2520</v>
          </cell>
          <cell r="Q373">
            <v>1.48</v>
          </cell>
          <cell r="V373">
            <v>0</v>
          </cell>
          <cell r="W373" t="str">
            <v/>
          </cell>
        </row>
        <row r="374">
          <cell r="E374" t="str">
            <v>BODY CREAM SUBLIME CEREJA - 2 &gt; AMEERATI 01</v>
          </cell>
          <cell r="G374">
            <v>46013</v>
          </cell>
          <cell r="H374">
            <v>2520</v>
          </cell>
          <cell r="Q374">
            <v>1.48</v>
          </cell>
          <cell r="V374">
            <v>0</v>
          </cell>
          <cell r="W374" t="str">
            <v/>
          </cell>
        </row>
        <row r="375">
          <cell r="E375" t="str">
            <v>BODY CREAM DOCE ROSA - 2 &gt; AMEERATI 01</v>
          </cell>
          <cell r="G375">
            <v>46013</v>
          </cell>
          <cell r="H375">
            <v>2520</v>
          </cell>
          <cell r="Q375">
            <v>1.48</v>
          </cell>
          <cell r="V375">
            <v>0</v>
          </cell>
          <cell r="W375" t="str">
            <v/>
          </cell>
        </row>
        <row r="376">
          <cell r="E376" t="str">
            <v>BODY MIST JARDINS DO ORIENTE - 1 &gt; AMEERATI 01</v>
          </cell>
          <cell r="G376">
            <v>45959</v>
          </cell>
          <cell r="H376">
            <v>840</v>
          </cell>
          <cell r="Q376">
            <v>1.35</v>
          </cell>
          <cell r="V376">
            <v>0</v>
          </cell>
          <cell r="W376" t="str">
            <v/>
          </cell>
        </row>
        <row r="377">
          <cell r="E377" t="str">
            <v>BODY MIST TESOURO DO OASIS - 1 &gt; AMEERATI 01</v>
          </cell>
          <cell r="G377">
            <v>45959</v>
          </cell>
          <cell r="H377">
            <v>840</v>
          </cell>
          <cell r="Q377">
            <v>1.35</v>
          </cell>
          <cell r="V377">
            <v>0</v>
          </cell>
          <cell r="W377" t="str">
            <v/>
          </cell>
        </row>
        <row r="378">
          <cell r="E378" t="str">
            <v>PERFUME RAFINATTO 100ML - 2 &gt; FILATO 02/26</v>
          </cell>
          <cell r="G378">
            <v>46076</v>
          </cell>
          <cell r="H378">
            <v>1000</v>
          </cell>
          <cell r="Q378">
            <v>6.71</v>
          </cell>
          <cell r="V378">
            <v>0</v>
          </cell>
          <cell r="W378" t="str">
            <v/>
          </cell>
        </row>
        <row r="379">
          <cell r="E379" t="str">
            <v>PERFUME OSTINATO 100ML - 2 &gt; FILATO 02/26</v>
          </cell>
          <cell r="G379">
            <v>46076</v>
          </cell>
          <cell r="H379">
            <v>1000</v>
          </cell>
          <cell r="Q379">
            <v>6.71</v>
          </cell>
          <cell r="V379">
            <v>0</v>
          </cell>
          <cell r="W379" t="str">
            <v/>
          </cell>
        </row>
        <row r="380">
          <cell r="E380" t="str">
            <v>ÁGUA MICELAR COLÁGENO &gt; ANDRE 14/01/26</v>
          </cell>
          <cell r="G380">
            <v>46036</v>
          </cell>
          <cell r="H380">
            <v>15000</v>
          </cell>
          <cell r="Q380">
            <v>0</v>
          </cell>
          <cell r="V380">
            <v>0</v>
          </cell>
          <cell r="W380" t="str">
            <v/>
          </cell>
        </row>
        <row r="381">
          <cell r="E381" t="str">
            <v>ÁGUA MICELAR ROSA MOSQUETA &gt; ANDRE 14/01/26</v>
          </cell>
          <cell r="G381">
            <v>46036</v>
          </cell>
          <cell r="H381">
            <v>15000</v>
          </cell>
          <cell r="Q381">
            <v>0</v>
          </cell>
          <cell r="V381">
            <v>0</v>
          </cell>
          <cell r="W381" t="str">
            <v/>
          </cell>
        </row>
        <row r="382">
          <cell r="E382" t="str">
            <v>ÁGUA MICELAR CARVÃO ATIVADO &gt; ANDRE 14/01/26</v>
          </cell>
          <cell r="G382">
            <v>46036</v>
          </cell>
          <cell r="H382">
            <v>15000</v>
          </cell>
          <cell r="Q382">
            <v>0</v>
          </cell>
          <cell r="V382">
            <v>0</v>
          </cell>
          <cell r="W382" t="str">
            <v/>
          </cell>
        </row>
        <row r="383">
          <cell r="E383" t="str">
            <v>ÁGUA MICELAR ÁCIDO HIAULURÔNICO &gt; ANDRE 14/01/26</v>
          </cell>
          <cell r="G383">
            <v>46036</v>
          </cell>
          <cell r="H383">
            <v>15000</v>
          </cell>
          <cell r="Q383">
            <v>0</v>
          </cell>
          <cell r="V383">
            <v>0</v>
          </cell>
          <cell r="W383" t="str">
            <v/>
          </cell>
        </row>
        <row r="384">
          <cell r="E384" t="str">
            <v>CREME HIDRATANTE CORPORAL NÉCTAR DAS TÂMARAS &gt; FABIANO 19/11</v>
          </cell>
          <cell r="G384">
            <v>45887</v>
          </cell>
          <cell r="H384">
            <v>6480</v>
          </cell>
          <cell r="Q384">
            <v>0</v>
          </cell>
          <cell r="V384">
            <v>0</v>
          </cell>
          <cell r="W384" t="str">
            <v/>
          </cell>
        </row>
        <row r="385">
          <cell r="E385" t="str">
            <v>CREME HIDRATANTE CORPORAL ECLIPSE DOURADO &gt; FABIANO 19/11</v>
          </cell>
          <cell r="G385">
            <v>45887</v>
          </cell>
          <cell r="H385">
            <v>6480</v>
          </cell>
          <cell r="Q385">
            <v>0</v>
          </cell>
          <cell r="V385">
            <v>0</v>
          </cell>
          <cell r="W385" t="str">
            <v/>
          </cell>
        </row>
        <row r="386">
          <cell r="E386" t="str">
            <v>CREME HIDRATANTE CORPORAL DEUSA DO NILO &gt; FABIANO 19/11</v>
          </cell>
          <cell r="G386">
            <v>45887</v>
          </cell>
          <cell r="H386">
            <v>6480</v>
          </cell>
          <cell r="Q386">
            <v>0</v>
          </cell>
          <cell r="V386">
            <v>0</v>
          </cell>
          <cell r="W386" t="str">
            <v/>
          </cell>
        </row>
        <row r="387">
          <cell r="E387" t="str">
            <v>BODY SPLASH ECLIPSE DOURADO - 1 &gt; FABIANO 19/11</v>
          </cell>
          <cell r="G387">
            <v>45980</v>
          </cell>
          <cell r="H387">
            <v>13000</v>
          </cell>
          <cell r="Q387">
            <v>0.51</v>
          </cell>
          <cell r="V387">
            <v>0</v>
          </cell>
          <cell r="W387" t="str">
            <v/>
          </cell>
        </row>
        <row r="388">
          <cell r="E388" t="str">
            <v>BODY CREAM BOUQUET CARMIM - 1 &gt; AMEERATI 01</v>
          </cell>
          <cell r="G388">
            <v>45959</v>
          </cell>
          <cell r="H388">
            <v>840</v>
          </cell>
          <cell r="Q388">
            <v>1.48</v>
          </cell>
          <cell r="V388">
            <v>0</v>
          </cell>
          <cell r="W388" t="str">
            <v/>
          </cell>
        </row>
        <row r="389">
          <cell r="E389" t="str">
            <v>BODY CREAM NECTAR DA PERA - 1 &gt; AMEERATI 01</v>
          </cell>
          <cell r="G389">
            <v>45959</v>
          </cell>
          <cell r="H389">
            <v>840</v>
          </cell>
          <cell r="Q389">
            <v>1.48</v>
          </cell>
          <cell r="V389">
            <v>0</v>
          </cell>
          <cell r="W389" t="str">
            <v/>
          </cell>
        </row>
        <row r="390">
          <cell r="E390" t="str">
            <v>BODY CREAM FRESCOR LICHIA - 1 &gt; AMEERATI 01</v>
          </cell>
          <cell r="G390">
            <v>45959</v>
          </cell>
          <cell r="H390">
            <v>840</v>
          </cell>
          <cell r="Q390">
            <v>1.48</v>
          </cell>
          <cell r="V390">
            <v>0</v>
          </cell>
          <cell r="W390" t="str">
            <v/>
          </cell>
        </row>
        <row r="391">
          <cell r="E391" t="str">
            <v>BODY CREAM DOCE ROSA - 1 &gt; AMEERATI 01</v>
          </cell>
          <cell r="G391">
            <v>45959</v>
          </cell>
          <cell r="H391">
            <v>840</v>
          </cell>
          <cell r="Q391">
            <v>1.48</v>
          </cell>
          <cell r="V391">
            <v>0</v>
          </cell>
          <cell r="W391" t="str">
            <v/>
          </cell>
        </row>
        <row r="392">
          <cell r="E392" t="str">
            <v>BODY CREAM FRESCOR LICHIA - 2 &gt; AMEERATI 01</v>
          </cell>
          <cell r="G392">
            <v>46013</v>
          </cell>
          <cell r="H392">
            <v>2520</v>
          </cell>
          <cell r="Q392">
            <v>1.48</v>
          </cell>
          <cell r="V392">
            <v>0</v>
          </cell>
          <cell r="W392" t="str">
            <v/>
          </cell>
        </row>
        <row r="393">
          <cell r="E393" t="str">
            <v>BODY CREAM BAUNILHA SELVAGEM - 2 &gt; AMEERATI 01</v>
          </cell>
          <cell r="G393">
            <v>46013</v>
          </cell>
          <cell r="H393">
            <v>2520</v>
          </cell>
          <cell r="Q393">
            <v>1.48</v>
          </cell>
          <cell r="V393">
            <v>0</v>
          </cell>
          <cell r="W393" t="str">
            <v/>
          </cell>
        </row>
        <row r="394">
          <cell r="E394" t="str">
            <v>BODY CREAM NECTAR DA PERA - 2 &gt; AMEERATI 01</v>
          </cell>
          <cell r="G394">
            <v>46013</v>
          </cell>
          <cell r="H394">
            <v>2520</v>
          </cell>
          <cell r="Q394">
            <v>1.48</v>
          </cell>
          <cell r="V394">
            <v>0</v>
          </cell>
          <cell r="W394" t="str">
            <v/>
          </cell>
        </row>
        <row r="395">
          <cell r="E395" t="str">
            <v>ESFOLIANTE FACIAL VITAMINA C &gt; 0005</v>
          </cell>
          <cell r="G395">
            <v>46044</v>
          </cell>
          <cell r="H395">
            <v>3000</v>
          </cell>
          <cell r="Q395">
            <v>0</v>
          </cell>
          <cell r="V395">
            <v>0</v>
          </cell>
          <cell r="W395" t="str">
            <v/>
          </cell>
        </row>
        <row r="396">
          <cell r="E396" t="str">
            <v>ESFOLIANTE FACIAL PITAYA &gt; 0005</v>
          </cell>
          <cell r="G396">
            <v>46044</v>
          </cell>
          <cell r="H396">
            <v>1500</v>
          </cell>
          <cell r="Q396">
            <v>0</v>
          </cell>
          <cell r="V396">
            <v>0</v>
          </cell>
          <cell r="W396" t="str">
            <v/>
          </cell>
        </row>
        <row r="397">
          <cell r="E397" t="str">
            <v>PERFUME OSTINATO 100ML &gt; COMPLEMENTO PEDIDO 01/25</v>
          </cell>
          <cell r="G397">
            <v>46113</v>
          </cell>
          <cell r="H397">
            <v>970</v>
          </cell>
          <cell r="Q397">
            <v>6.71</v>
          </cell>
          <cell r="V397">
            <v>0</v>
          </cell>
          <cell r="W397" t="str">
            <v/>
          </cell>
        </row>
        <row r="398">
          <cell r="E398" t="str">
            <v>PERFUME RAFINATTO 100ML &gt; COMPLEMENTO PEDIDO 01/25</v>
          </cell>
          <cell r="G398">
            <v>46113</v>
          </cell>
          <cell r="H398">
            <v>946</v>
          </cell>
          <cell r="Q398">
            <v>6.71</v>
          </cell>
          <cell r="V398">
            <v>0</v>
          </cell>
          <cell r="W398" t="str">
            <v/>
          </cell>
        </row>
        <row r="399">
          <cell r="E399" t="str">
            <v>BODY CREAM ENCANTO PERSA - 1 &gt; AMEERATI 01</v>
          </cell>
          <cell r="G399">
            <v>45959</v>
          </cell>
          <cell r="H399">
            <v>840</v>
          </cell>
          <cell r="Q399">
            <v>1.48</v>
          </cell>
          <cell r="V399">
            <v>0</v>
          </cell>
          <cell r="W399" t="str">
            <v/>
          </cell>
        </row>
        <row r="400">
          <cell r="E400" t="str">
            <v>BODY SPLASH BIO BALM ROSÉ ABSOLUT &gt; 01_08</v>
          </cell>
          <cell r="G400">
            <v>45854</v>
          </cell>
          <cell r="H400">
            <v>7500</v>
          </cell>
          <cell r="Q400">
            <v>1.7000000000000002</v>
          </cell>
          <cell r="V400">
            <v>0</v>
          </cell>
          <cell r="W400" t="str">
            <v/>
          </cell>
        </row>
        <row r="401">
          <cell r="E401" t="str">
            <v>BODY SPLASH LUNAR 120ml &gt; REPOSICAO BRIA 01</v>
          </cell>
          <cell r="G401">
            <v>46052</v>
          </cell>
          <cell r="H401">
            <v>20000</v>
          </cell>
          <cell r="Q401">
            <v>1.08</v>
          </cell>
          <cell r="V401">
            <v>0</v>
          </cell>
          <cell r="W401" t="str">
            <v/>
          </cell>
        </row>
        <row r="402">
          <cell r="E402" t="str">
            <v>BODY SPLASH SOL TROPICAL 58 120ml &gt; REPOSICAO BRIA 01</v>
          </cell>
          <cell r="G402">
            <v>46052</v>
          </cell>
          <cell r="H402">
            <v>22240</v>
          </cell>
          <cell r="Q402">
            <v>1.08</v>
          </cell>
          <cell r="V402">
            <v>0</v>
          </cell>
          <cell r="W402" t="str">
            <v/>
          </cell>
        </row>
        <row r="403">
          <cell r="E403" t="str">
            <v>BODY SPLASH SOL TROPICAL 61 120ml &gt; REPOSICAO BRIA 01</v>
          </cell>
          <cell r="G403">
            <v>46052</v>
          </cell>
          <cell r="H403">
            <v>20000</v>
          </cell>
          <cell r="Q403">
            <v>1.08</v>
          </cell>
          <cell r="V403">
            <v>0</v>
          </cell>
          <cell r="W403" t="str">
            <v/>
          </cell>
        </row>
        <row r="404">
          <cell r="E404" t="str">
            <v>BODY SPLASH GLOW NOITE DE GLAMOUR &gt; DAPOP - Pedido 360 mil</v>
          </cell>
          <cell r="G404">
            <v>45828</v>
          </cell>
          <cell r="H404">
            <v>20000</v>
          </cell>
          <cell r="Q404">
            <v>0</v>
          </cell>
          <cell r="V404">
            <v>0</v>
          </cell>
          <cell r="W404" t="str">
            <v/>
          </cell>
        </row>
        <row r="405">
          <cell r="E405" t="str">
            <v>ESFOLIANTE GLOW TAÇA DE CHAMPAGNE - 2 &gt; DAPOP - Pedido 360 mil</v>
          </cell>
          <cell r="G405">
            <v>45981</v>
          </cell>
          <cell r="H405">
            <v>13000</v>
          </cell>
          <cell r="Q405">
            <v>0</v>
          </cell>
          <cell r="V405">
            <v>0</v>
          </cell>
          <cell r="W405" t="str">
            <v/>
          </cell>
        </row>
        <row r="406">
          <cell r="E406" t="str">
            <v>ÁGUA MICELAR BABA GLOW - 3 &gt; GLOW - Água Micelar</v>
          </cell>
          <cell r="G406">
            <v>45870</v>
          </cell>
          <cell r="H406">
            <v>15000</v>
          </cell>
          <cell r="Q406">
            <v>0.85999999999999988</v>
          </cell>
          <cell r="V406">
            <v>0</v>
          </cell>
          <cell r="W406" t="str">
            <v/>
          </cell>
        </row>
        <row r="407">
          <cell r="E407" t="str">
            <v>BODY SPLASH ALLAN &gt; 03_07</v>
          </cell>
          <cell r="G407">
            <v>45862</v>
          </cell>
          <cell r="H407">
            <v>5000</v>
          </cell>
          <cell r="Q407">
            <v>0</v>
          </cell>
          <cell r="V407">
            <v>0</v>
          </cell>
          <cell r="W407" t="str">
            <v/>
          </cell>
        </row>
        <row r="408">
          <cell r="E408" t="str">
            <v>ESCOVA DE CHUVEIRO CHEIRINHO DE TUTTI-FRUTTI &gt; 03_07</v>
          </cell>
          <cell r="G408">
            <v>45862</v>
          </cell>
          <cell r="H408">
            <v>10000</v>
          </cell>
          <cell r="Q408">
            <v>0</v>
          </cell>
          <cell r="V408">
            <v>0</v>
          </cell>
          <cell r="W408" t="str">
            <v/>
          </cell>
        </row>
        <row r="409">
          <cell r="E409" t="str">
            <v>Blindagem</v>
          </cell>
          <cell r="H409">
            <v>15360</v>
          </cell>
          <cell r="Q409" t="e">
            <v>#N/A</v>
          </cell>
          <cell r="V409">
            <v>0</v>
          </cell>
          <cell r="W409" t="str">
            <v/>
          </cell>
        </row>
        <row r="410">
          <cell r="E410" t="str">
            <v>Desodorante Creme - Calm</v>
          </cell>
          <cell r="H410">
            <v>2500</v>
          </cell>
          <cell r="Q410" t="e">
            <v>#N/A</v>
          </cell>
          <cell r="V410">
            <v>0</v>
          </cell>
          <cell r="W410" t="str">
            <v/>
          </cell>
        </row>
        <row r="411">
          <cell r="E411" t="str">
            <v>Desodorante Creme - Fresh</v>
          </cell>
          <cell r="H411">
            <v>2500</v>
          </cell>
          <cell r="Q411" t="e">
            <v>#N/A</v>
          </cell>
          <cell r="V411">
            <v>0</v>
          </cell>
          <cell r="W411" t="str">
            <v/>
          </cell>
        </row>
        <row r="412">
          <cell r="E412" t="str">
            <v>Desodorante Creme - Relax</v>
          </cell>
          <cell r="H412">
            <v>2500</v>
          </cell>
          <cell r="Q412" t="e">
            <v>#N/A</v>
          </cell>
          <cell r="V412">
            <v>0</v>
          </cell>
          <cell r="W412" t="str">
            <v/>
          </cell>
        </row>
        <row r="413">
          <cell r="E413" t="str">
            <v>Desodorante Creme - Sem Perfume</v>
          </cell>
          <cell r="H413">
            <v>2500</v>
          </cell>
          <cell r="Q413" t="e">
            <v>#N/A</v>
          </cell>
          <cell r="V413">
            <v>0</v>
          </cell>
          <cell r="W413" t="str">
            <v/>
          </cell>
        </row>
        <row r="414">
          <cell r="E414" t="str">
            <v>Desodorante Creme - Sensitive</v>
          </cell>
          <cell r="H414">
            <v>2500</v>
          </cell>
          <cell r="Q414" t="e">
            <v>#N/A</v>
          </cell>
          <cell r="V414">
            <v>0</v>
          </cell>
          <cell r="W414" t="str">
            <v/>
          </cell>
        </row>
        <row r="415">
          <cell r="E415" t="str">
            <v>Desodorante Rollon - Calm</v>
          </cell>
          <cell r="H415">
            <v>2500</v>
          </cell>
          <cell r="Q415" t="e">
            <v>#N/A</v>
          </cell>
          <cell r="V415">
            <v>0</v>
          </cell>
          <cell r="W415" t="str">
            <v/>
          </cell>
        </row>
        <row r="416">
          <cell r="E416" t="str">
            <v>Desodorante Rollon - Fresh</v>
          </cell>
          <cell r="H416">
            <v>2500</v>
          </cell>
          <cell r="Q416" t="e">
            <v>#N/A</v>
          </cell>
          <cell r="V416">
            <v>0</v>
          </cell>
          <cell r="W416" t="str">
            <v/>
          </cell>
        </row>
        <row r="417">
          <cell r="E417" t="str">
            <v>Desodorante Rollon - Relax</v>
          </cell>
          <cell r="H417">
            <v>2500</v>
          </cell>
          <cell r="Q417" t="e">
            <v>#N/A</v>
          </cell>
          <cell r="V417">
            <v>0</v>
          </cell>
          <cell r="W417" t="str">
            <v/>
          </cell>
        </row>
        <row r="418">
          <cell r="E418" t="str">
            <v>Desodorante Rollon - Sem Perfume</v>
          </cell>
          <cell r="H418">
            <v>2500</v>
          </cell>
          <cell r="Q418" t="e">
            <v>#N/A</v>
          </cell>
          <cell r="V418">
            <v>0</v>
          </cell>
          <cell r="W418" t="str">
            <v/>
          </cell>
        </row>
        <row r="419">
          <cell r="E419" t="str">
            <v>Desodorante Rollon - Sensitive</v>
          </cell>
          <cell r="H419">
            <v>2500</v>
          </cell>
          <cell r="Q419" t="e">
            <v>#N/A</v>
          </cell>
          <cell r="V419">
            <v>0</v>
          </cell>
          <cell r="W419" t="str">
            <v/>
          </cell>
        </row>
        <row r="420">
          <cell r="E420" t="str">
            <v>Hidratante - Ambar Crush</v>
          </cell>
          <cell r="H420">
            <v>7500</v>
          </cell>
          <cell r="Q420" t="e">
            <v>#N/A</v>
          </cell>
          <cell r="V420">
            <v>0</v>
          </cell>
          <cell r="W420" t="str">
            <v/>
          </cell>
        </row>
        <row r="421">
          <cell r="E421" t="str">
            <v>Hidratante - Aqua Vibe</v>
          </cell>
          <cell r="H421">
            <v>7500</v>
          </cell>
          <cell r="Q421" t="e">
            <v>#N/A</v>
          </cell>
          <cell r="V421">
            <v>0</v>
          </cell>
          <cell r="W421" t="str">
            <v/>
          </cell>
        </row>
        <row r="422">
          <cell r="E422" t="str">
            <v>Hidratante - Coconut Fresh</v>
          </cell>
          <cell r="H422">
            <v>7500</v>
          </cell>
          <cell r="Q422" t="e">
            <v>#N/A</v>
          </cell>
          <cell r="V422">
            <v>0</v>
          </cell>
          <cell r="W422" t="str">
            <v/>
          </cell>
        </row>
        <row r="423">
          <cell r="E423" t="str">
            <v>Hidratante - Intense Red</v>
          </cell>
          <cell r="H423">
            <v>7500</v>
          </cell>
          <cell r="Q423" t="e">
            <v>#N/A</v>
          </cell>
          <cell r="V423">
            <v>0</v>
          </cell>
          <cell r="W423" t="str">
            <v/>
          </cell>
        </row>
        <row r="424">
          <cell r="E424" t="str">
            <v>Hidratante - Mystic Spill</v>
          </cell>
          <cell r="H424">
            <v>7500</v>
          </cell>
          <cell r="Q424" t="e">
            <v>#N/A</v>
          </cell>
          <cell r="V424">
            <v>0</v>
          </cell>
          <cell r="W424" t="str">
            <v/>
          </cell>
        </row>
        <row r="425">
          <cell r="E425" t="str">
            <v>Hidratante - Pink Seduction</v>
          </cell>
          <cell r="H425">
            <v>7500</v>
          </cell>
          <cell r="Q425" t="e">
            <v>#N/A</v>
          </cell>
          <cell r="V425">
            <v>0</v>
          </cell>
          <cell r="W425" t="str">
            <v/>
          </cell>
        </row>
        <row r="426">
          <cell r="E426" t="str">
            <v>Hidratante - Pure Vanilla</v>
          </cell>
          <cell r="H426">
            <v>7500</v>
          </cell>
          <cell r="Q426" t="e">
            <v>#N/A</v>
          </cell>
          <cell r="V426">
            <v>0</v>
          </cell>
          <cell r="W426" t="str">
            <v/>
          </cell>
        </row>
        <row r="427">
          <cell r="E427" t="str">
            <v>Hidratante - Velvet Rose</v>
          </cell>
          <cell r="H427">
            <v>7500</v>
          </cell>
          <cell r="Q427" t="e">
            <v>#N/A</v>
          </cell>
          <cell r="V427">
            <v>0</v>
          </cell>
          <cell r="W427" t="str">
            <v/>
          </cell>
        </row>
      </sheetData>
      <sheetData sheetId="1"/>
      <sheetData sheetId="2"/>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ário" refreshedDate="46204.81595300926" createdVersion="8" refreshedVersion="8" minRefreshableVersion="3" recordCount="2757" xr:uid="{8331E000-6B3F-46B9-B650-988C98F24D64}">
  <cacheSource type="worksheet">
    <worksheetSource name="Table1"/>
  </cacheSource>
  <cacheFields count="53">
    <cacheField name="Data de Início" numFmtId="164">
      <sharedItems containsNonDate="0" containsDate="1" containsString="0" containsBlank="1" minDate="2025-01-16T07:00:00" maxDate="2026-06-29T08:11:00"/>
    </cacheField>
    <cacheField name="Data de Término" numFmtId="164">
      <sharedItems containsDate="1" containsBlank="1" containsMixedTypes="1" minDate="2025-01-16T09:45:00" maxDate="2026-06-30T07:30:00"/>
    </cacheField>
    <cacheField name="Horas Úteis" numFmtId="2">
      <sharedItems containsBlank="1" containsMixedTypes="1" containsNumber="1" minValue="0" maxValue="62.51666666730307"/>
    </cacheField>
    <cacheField name="Unidades p/ Hora" numFmtId="1">
      <sharedItems containsBlank="1" containsMixedTypes="1" containsNumber="1" minValue="13.055303716950446" maxValue="3839.9999995529652"/>
    </cacheField>
    <cacheField name="Linha de Produção" numFmtId="0">
      <sharedItems containsBlank="1" count="4">
        <m/>
        <s v="Linha 01"/>
        <s v="Linha 02"/>
        <s v="Linha 03"/>
      </sharedItems>
    </cacheField>
    <cacheField name="ID do Pedido" numFmtId="0">
      <sharedItems containsBlank="1"/>
    </cacheField>
    <cacheField name="Máquina" numFmtId="0">
      <sharedItems containsBlank="1"/>
    </cacheField>
    <cacheField name="Lote" numFmtId="0">
      <sharedItems containsBlank="1"/>
    </cacheField>
    <cacheField name="Tipo de Ordem" numFmtId="0">
      <sharedItems containsBlank="1"/>
    </cacheField>
    <cacheField name="Unidades" numFmtId="0">
      <sharedItems containsBlank="1" containsMixedTypes="1" containsNumber="1" minValue="20" maxValue="27360"/>
    </cacheField>
    <cacheField name="SKU" numFmtId="0">
      <sharedItems containsBlank="1"/>
    </cacheField>
    <cacheField name="Descrição do Item" numFmtId="0">
      <sharedItems containsBlank="1"/>
    </cacheField>
    <cacheField name="Column1" numFmtId="0">
      <sharedItems containsMixedTypes="1" containsNumber="1" containsInteger="1" minValue="4" maxValue="1000"/>
    </cacheField>
    <cacheField name="Column2" numFmtId="0">
      <sharedItems/>
    </cacheField>
    <cacheField name="Cliente" numFmtId="0">
      <sharedItems count="22">
        <s v="MISS RÔSE"/>
        <s v="-"/>
        <s v="BE MAGIC"/>
        <s v="SAFIRA"/>
        <s v="DAPOP"/>
        <s v="KURYOS"/>
        <s v="LUA &amp; NEVE"/>
        <s v="MOUTIER"/>
        <s v="GOTA ZEN"/>
        <s v="GLOW MAKE UP"/>
        <s v="BIOFLORA"/>
        <s v="ISA BEAUTY"/>
        <s v="CURADERM"/>
        <s v="MAAKE"/>
        <s v="DYNASTY"/>
        <s v="AMEERATI"/>
        <s v="BRIA BEAUTY"/>
        <s v="FILATO BENE"/>
        <s v="HABIBI PERFUMES"/>
        <s v="CAMIE BEAUTY"/>
        <s v="WIKE MAKE"/>
        <s v="FEBELLA BEAUTY"/>
      </sharedItems>
    </cacheField>
    <cacheField name="Categoria do Produto" numFmtId="0">
      <sharedItems count="7">
        <s v="CORPORAL"/>
        <s v="PERFUMARIA"/>
        <s v="BASE"/>
        <s v="FACIAL"/>
        <s v="MAQUIAGEM"/>
        <s v="CAPILAR"/>
        <s v="-"/>
      </sharedItems>
    </cacheField>
    <cacheField name="Sub-categoria do Produto" numFmtId="0">
      <sharedItems/>
    </cacheField>
    <cacheField name="Viscosidade" numFmtId="0">
      <sharedItems count="6">
        <s v="VISCOSO"/>
        <s v="LÍQUIDO"/>
        <s v="CREMOSO"/>
        <s v="LÍQUIDO ESPESSO"/>
        <s v="DENSO"/>
        <s v="-"/>
      </sharedItems>
    </cacheField>
    <cacheField name="Observação" numFmtId="0">
      <sharedItems containsBlank="1"/>
    </cacheField>
    <cacheField name="Frascos Rotulagem" numFmtId="0">
      <sharedItems containsString="0" containsBlank="1" containsNumber="1" containsInteger="1" minValue="120" maxValue="120"/>
    </cacheField>
    <cacheField name="Rótulos Rotulagem" numFmtId="0">
      <sharedItems containsString="0" containsBlank="1" containsNumber="1" containsInteger="1" minValue="4" maxValue="143"/>
    </cacheField>
    <cacheField name="Frascos Envase" numFmtId="0">
      <sharedItems containsString="0" containsBlank="1" containsNumber="1" containsInteger="1" minValue="15" maxValue="34"/>
    </cacheField>
    <cacheField name="Rótulos Envase" numFmtId="0">
      <sharedItems containsString="0" containsBlank="1" containsNumber="1" containsInteger="1" minValue="20" maxValue="250"/>
    </cacheField>
    <cacheField name="Tampas/Valvulas" numFmtId="0">
      <sharedItems containsNonDate="0" containsString="0" containsBlank="1"/>
    </cacheField>
    <cacheField name="Cartuchos" numFmtId="0">
      <sharedItems containsString="0" containsBlank="1" containsNumber="1" containsInteger="1" minValue="2" maxValue="42"/>
    </cacheField>
    <cacheField name="Produto Semi Acabado Manip." numFmtId="0">
      <sharedItems containsNonDate="0" containsString="0" containsBlank="1"/>
    </cacheField>
    <cacheField name="Produto Semi Acabado Envase" numFmtId="0">
      <sharedItems containsNonDate="0" containsString="0" containsBlank="1"/>
    </cacheField>
    <cacheField name="Setup Rotulagem" numFmtId="0">
      <sharedItems containsNonDate="0" containsString="0" containsBlank="1"/>
    </cacheField>
    <cacheField name="Parada 1 Rot. Inicio" numFmtId="0">
      <sharedItems containsNonDate="0" containsDate="1" containsString="0" containsBlank="1" minDate="2026-05-05T14:50:00" maxDate="2026-05-05T14:50:00"/>
    </cacheField>
    <cacheField name="Parada 1 Rot. Fim" numFmtId="0">
      <sharedItems containsNonDate="0" containsDate="1" containsString="0" containsBlank="1" minDate="2026-05-05T15:15:00" maxDate="2026-05-05T15:15:00"/>
    </cacheField>
    <cacheField name="Motivo Parada 1" numFmtId="0">
      <sharedItems containsBlank="1"/>
    </cacheField>
    <cacheField name="Parada 2 Rot. Inicio" numFmtId="0">
      <sharedItems containsNonDate="0" containsString="0" containsBlank="1"/>
    </cacheField>
    <cacheField name="Parada 2 Rot. Fim" numFmtId="0">
      <sharedItems containsNonDate="0" containsString="0" containsBlank="1"/>
    </cacheField>
    <cacheField name="Motivo Parada 2" numFmtId="0">
      <sharedItems containsNonDate="0" containsString="0" containsBlank="1"/>
    </cacheField>
    <cacheField name="Parada 3 Rot. Inicio" numFmtId="0">
      <sharedItems containsNonDate="0" containsString="0" containsBlank="1"/>
    </cacheField>
    <cacheField name="Parada 3 Rot. Fim" numFmtId="0">
      <sharedItems containsNonDate="0" containsString="0" containsBlank="1"/>
    </cacheField>
    <cacheField name="Motivo Parada 3" numFmtId="0">
      <sharedItems containsNonDate="0" containsString="0" containsBlank="1"/>
    </cacheField>
    <cacheField name="Início Setup Envase" numFmtId="172">
      <sharedItems containsNonDate="0" containsDate="1" containsString="0" containsBlank="1" minDate="2026-05-08T11:00:00" maxDate="2026-06-29T08:10:00"/>
    </cacheField>
    <cacheField name="Final Setup Envase" numFmtId="172">
      <sharedItems containsDate="1" containsBlank="1" containsMixedTypes="1" minDate="2026-05-08T11:05:00" maxDate="2026-06-29T08:10:00"/>
    </cacheField>
    <cacheField name="Tempo total de Envase" numFmtId="174">
      <sharedItems containsDate="1" containsMixedTypes="1" minDate="1899-12-30T00:00:00" maxDate="1899-12-31T00:04:00"/>
    </cacheField>
    <cacheField name="Parada 1 Env. Inicio" numFmtId="172">
      <sharedItems containsNonDate="0" containsDate="1" containsString="0" containsBlank="1" minDate="1899-12-30T07:30:00" maxDate="2026-06-25T11:43:00"/>
    </cacheField>
    <cacheField name="Parada 1 Env. Fim" numFmtId="172">
      <sharedItems containsNonDate="0" containsDate="1" containsString="0" containsBlank="1" minDate="1899-12-30T08:30:00" maxDate="2026-06-25T13:20:00"/>
    </cacheField>
    <cacheField name="Motivo Parada Env. 1" numFmtId="0">
      <sharedItems containsBlank="1"/>
    </cacheField>
    <cacheField name="Parada 2 Env. Inicio" numFmtId="0">
      <sharedItems containsDate="1" containsString="0" containsBlank="1" containsMixedTypes="1" minDate="2026-05-06T10:45:00" maxDate="4489-12-16T22:51:04"/>
    </cacheField>
    <cacheField name="Parada 2 Env. Fim" numFmtId="0">
      <sharedItems containsDate="1" containsBlank="1" containsMixedTypes="1" minDate="2026-05-06T11:30:00" maxDate="4490-03-30T21:51:04"/>
    </cacheField>
    <cacheField name="Motivo Parada Env. 2" numFmtId="0">
      <sharedItems containsBlank="1"/>
    </cacheField>
    <cacheField name="Parada 3 Env. Inicio" numFmtId="0">
      <sharedItems containsDate="1" containsString="0" containsBlank="1" containsMixedTypes="1" minDate="2026-05-06T13:40:00" maxDate="2026-06-18T06:30:00"/>
    </cacheField>
    <cacheField name="Parada 3 Env. Fim" numFmtId="0">
      <sharedItems containsDate="1" containsString="0" containsBlank="1" containsMixedTypes="1" minDate="2026-05-06T14:00:00" maxDate="1899-12-30T00:00:00"/>
    </cacheField>
    <cacheField name="Motivo Parada Env. 3" numFmtId="0">
      <sharedItems containsBlank="1"/>
    </cacheField>
    <cacheField name="Parada 4 Env. Inicio4" numFmtId="0">
      <sharedItems containsNonDate="0" containsDate="1" containsString="0" containsBlank="1" minDate="2026-05-22T10:30:00" maxDate="2026-05-22T10:30:00"/>
    </cacheField>
    <cacheField name="Parada 4 Env. Fim4" numFmtId="0">
      <sharedItems containsNonDate="0" containsString="0" containsBlank="1"/>
    </cacheField>
    <cacheField name="Ano" numFmtId="0">
      <sharedItems containsDate="1" containsMixedTypes="1" minDate="1900-01-06T22:40:04" maxDate="1905-07-19T00:00:00" count="4">
        <n v="2025"/>
        <n v="2026"/>
        <s v=""/>
        <d v="1905-07-18T00:00:00" u="1"/>
      </sharedItems>
    </cacheField>
    <cacheField name="Mês" numFmtId="0">
      <sharedItems containsDate="1" containsMixedTypes="1" minDate="1899-12-31T04:01:03" maxDate="1900-01-01T00:00:00" count="14">
        <n v="1"/>
        <n v="3"/>
        <n v="4"/>
        <n v="5"/>
        <n v="6"/>
        <n v="7"/>
        <n v="8"/>
        <n v="9"/>
        <n v="10"/>
        <n v="11"/>
        <n v="12"/>
        <n v="2"/>
        <s v=""/>
        <d v="1899-12-31T00:00:0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7">
  <r>
    <d v="2025-01-16T07:00:00"/>
    <d v="2025-01-16T09:45:00"/>
    <n v="2.7500000000582077"/>
    <n v="575.99999998780811"/>
    <x v="0"/>
    <m/>
    <m/>
    <s v="25014/02"/>
    <s v="Envase"/>
    <n v="1584"/>
    <s v="MRARES01"/>
    <s v="ESFOLIANTE AURORA IMPERIAL"/>
    <n v="250"/>
    <s v="g"/>
    <x v="0"/>
    <x v="0"/>
    <s v="ESFOLIANTE"/>
    <x v="0"/>
    <m/>
    <m/>
    <m/>
    <m/>
    <m/>
    <m/>
    <m/>
    <m/>
    <m/>
    <m/>
    <m/>
    <m/>
    <m/>
    <m/>
    <m/>
    <m/>
    <m/>
    <m/>
    <m/>
    <m/>
    <m/>
    <s v=""/>
    <m/>
    <m/>
    <m/>
    <m/>
    <m/>
    <m/>
    <m/>
    <m/>
    <m/>
    <m/>
    <m/>
    <x v="0"/>
    <x v="0"/>
  </r>
  <r>
    <d v="2025-01-16T09:45:00"/>
    <d v="2025-01-16T11:52:00"/>
    <n v="2.1166666665812954"/>
    <n v="748.34645672309637"/>
    <x v="0"/>
    <m/>
    <m/>
    <s v="25015/05"/>
    <s v="Envase"/>
    <n v="1584"/>
    <s v="MRARES01"/>
    <s v="ESFOLIANTE AURORA IMPERIAL"/>
    <n v="250"/>
    <s v="g"/>
    <x v="0"/>
    <x v="0"/>
    <s v="ESFOLIANTE"/>
    <x v="0"/>
    <m/>
    <m/>
    <m/>
    <m/>
    <m/>
    <m/>
    <m/>
    <m/>
    <m/>
    <m/>
    <m/>
    <m/>
    <m/>
    <m/>
    <m/>
    <m/>
    <m/>
    <m/>
    <m/>
    <m/>
    <m/>
    <s v=""/>
    <m/>
    <m/>
    <m/>
    <m/>
    <m/>
    <m/>
    <m/>
    <m/>
    <m/>
    <m/>
    <m/>
    <x v="0"/>
    <x v="0"/>
  </r>
  <r>
    <d v="2025-01-20T14:45:00"/>
    <d v="2025-01-20T16:05:00"/>
    <n v="1.3333333333139308"/>
    <n v="1134.0000000165019"/>
    <x v="0"/>
    <m/>
    <m/>
    <s v="25020/01"/>
    <s v="Envase"/>
    <n v="1512"/>
    <s v="MRARES01"/>
    <s v="ESFOLIANTE AURORA IMPERIAL"/>
    <n v="250"/>
    <s v="g"/>
    <x v="0"/>
    <x v="0"/>
    <s v="ESFOLIANTE"/>
    <x v="0"/>
    <m/>
    <m/>
    <m/>
    <m/>
    <m/>
    <m/>
    <m/>
    <m/>
    <m/>
    <m/>
    <m/>
    <m/>
    <m/>
    <m/>
    <m/>
    <m/>
    <m/>
    <m/>
    <m/>
    <m/>
    <m/>
    <s v=""/>
    <m/>
    <m/>
    <m/>
    <m/>
    <m/>
    <m/>
    <m/>
    <m/>
    <m/>
    <m/>
    <m/>
    <x v="0"/>
    <x v="0"/>
  </r>
  <r>
    <d v="2025-01-20T16:10:00"/>
    <d v="2025-01-21T08:03:00"/>
    <n v="1.8833333335351199"/>
    <n v="841.06194681254067"/>
    <x v="0"/>
    <m/>
    <m/>
    <s v="25020/02"/>
    <s v="Envase"/>
    <n v="1584"/>
    <s v="MRARES01"/>
    <s v="ESFOLIANTE AURORA IMPERIAL"/>
    <n v="250"/>
    <s v="g"/>
    <x v="0"/>
    <x v="0"/>
    <s v="ESFOLIANTE"/>
    <x v="0"/>
    <m/>
    <m/>
    <m/>
    <m/>
    <m/>
    <m/>
    <m/>
    <m/>
    <m/>
    <m/>
    <m/>
    <m/>
    <m/>
    <m/>
    <m/>
    <m/>
    <m/>
    <m/>
    <m/>
    <m/>
    <m/>
    <s v=""/>
    <m/>
    <m/>
    <m/>
    <m/>
    <m/>
    <m/>
    <m/>
    <m/>
    <m/>
    <m/>
    <m/>
    <x v="0"/>
    <x v="0"/>
  </r>
  <r>
    <d v="2025-01-21T08:03:00"/>
    <d v="2025-01-21T09:15:00"/>
    <n v="1.1999999998952262"/>
    <n v="1200.0000001047738"/>
    <x v="0"/>
    <m/>
    <m/>
    <s v="25020/03"/>
    <s v="Envase"/>
    <n v="1440"/>
    <s v="MRARES01"/>
    <s v="ESFOLIANTE AURORA IMPERIAL"/>
    <n v="250"/>
    <s v="g"/>
    <x v="0"/>
    <x v="0"/>
    <s v="ESFOLIANTE"/>
    <x v="0"/>
    <m/>
    <m/>
    <m/>
    <m/>
    <m/>
    <m/>
    <m/>
    <m/>
    <m/>
    <m/>
    <m/>
    <m/>
    <m/>
    <m/>
    <m/>
    <m/>
    <m/>
    <m/>
    <m/>
    <m/>
    <m/>
    <s v=""/>
    <m/>
    <m/>
    <m/>
    <m/>
    <m/>
    <m/>
    <m/>
    <m/>
    <m/>
    <m/>
    <m/>
    <x v="0"/>
    <x v="0"/>
  </r>
  <r>
    <d v="2025-01-21T09:15:00"/>
    <d v="2025-01-21T10:46:00"/>
    <n v="1.5166666667209938"/>
    <n v="901.97802194571307"/>
    <x v="0"/>
    <m/>
    <m/>
    <s v="25020/04"/>
    <s v="Envase"/>
    <n v="1368"/>
    <s v="MRARES01"/>
    <s v="ESFOLIANTE AURORA IMPERIAL"/>
    <n v="250"/>
    <s v="g"/>
    <x v="0"/>
    <x v="0"/>
    <s v="ESFOLIANTE"/>
    <x v="0"/>
    <m/>
    <m/>
    <m/>
    <m/>
    <m/>
    <m/>
    <m/>
    <m/>
    <m/>
    <m/>
    <m/>
    <m/>
    <m/>
    <m/>
    <m/>
    <m/>
    <m/>
    <m/>
    <m/>
    <m/>
    <m/>
    <s v=""/>
    <m/>
    <m/>
    <m/>
    <m/>
    <m/>
    <m/>
    <m/>
    <m/>
    <m/>
    <m/>
    <m/>
    <x v="0"/>
    <x v="0"/>
  </r>
  <r>
    <d v="2025-01-21T10:46:00"/>
    <d v="2025-01-21T11:47:00"/>
    <n v="1.0166666666627862"/>
    <n v="1345.5737704969392"/>
    <x v="0"/>
    <m/>
    <m/>
    <s v="25021/01"/>
    <s v="Envase"/>
    <n v="1368"/>
    <s v="MRARES01"/>
    <s v="ESFOLIANTE AURORA IMPERIAL"/>
    <n v="250"/>
    <s v="g"/>
    <x v="0"/>
    <x v="0"/>
    <s v="ESFOLIANTE"/>
    <x v="0"/>
    <m/>
    <m/>
    <m/>
    <m/>
    <m/>
    <m/>
    <m/>
    <m/>
    <m/>
    <m/>
    <m/>
    <m/>
    <m/>
    <m/>
    <m/>
    <m/>
    <m/>
    <m/>
    <m/>
    <m/>
    <m/>
    <s v=""/>
    <m/>
    <m/>
    <m/>
    <m/>
    <m/>
    <m/>
    <m/>
    <m/>
    <m/>
    <m/>
    <m/>
    <x v="0"/>
    <x v="0"/>
  </r>
  <r>
    <d v="2025-01-21T13:00:00"/>
    <d v="2025-01-21T15:10:00"/>
    <n v="2.1666666667442769"/>
    <n v="631.38461536199918"/>
    <x v="0"/>
    <m/>
    <m/>
    <s v="25021/02"/>
    <s v="Envase"/>
    <n v="1368"/>
    <s v="MRARES01"/>
    <s v="ESFOLIANTE AURORA IMPERIAL"/>
    <n v="250"/>
    <s v="g"/>
    <x v="0"/>
    <x v="0"/>
    <s v="ESFOLIANTE"/>
    <x v="0"/>
    <m/>
    <m/>
    <m/>
    <m/>
    <m/>
    <m/>
    <m/>
    <m/>
    <m/>
    <m/>
    <m/>
    <m/>
    <m/>
    <m/>
    <m/>
    <m/>
    <m/>
    <m/>
    <m/>
    <m/>
    <m/>
    <s v=""/>
    <m/>
    <m/>
    <m/>
    <m/>
    <m/>
    <m/>
    <m/>
    <m/>
    <m/>
    <m/>
    <m/>
    <x v="0"/>
    <x v="0"/>
  </r>
  <r>
    <d v="2025-01-21T15:56:00"/>
    <d v="2025-01-21T16:44:00"/>
    <n v="0.79999999998835847"/>
    <n v="180.00000000261934"/>
    <x v="0"/>
    <m/>
    <m/>
    <s v="25021/03"/>
    <s v="Envase"/>
    <n v="144"/>
    <s v="MRARES01"/>
    <s v="ESFOLIANTE AURORA IMPERIAL"/>
    <n v="250"/>
    <s v="g"/>
    <x v="0"/>
    <x v="0"/>
    <s v="ESFOLIANTE"/>
    <x v="0"/>
    <m/>
    <m/>
    <m/>
    <m/>
    <m/>
    <m/>
    <m/>
    <m/>
    <m/>
    <m/>
    <m/>
    <m/>
    <m/>
    <m/>
    <m/>
    <m/>
    <m/>
    <m/>
    <m/>
    <m/>
    <m/>
    <s v=""/>
    <m/>
    <m/>
    <m/>
    <m/>
    <m/>
    <m/>
    <m/>
    <m/>
    <m/>
    <m/>
    <m/>
    <x v="0"/>
    <x v="0"/>
  </r>
  <r>
    <d v="2025-01-23T09:00:00"/>
    <d v="2025-01-23T10:37:00"/>
    <n v="1.6166666666977108"/>
    <n v="757.11340204731721"/>
    <x v="0"/>
    <m/>
    <m/>
    <s v="25021/04"/>
    <s v="Envase"/>
    <n v="1224"/>
    <s v="MRARES02"/>
    <s v="ESFOLIANTE DEUSA DO NILO"/>
    <n v="250"/>
    <s v="g"/>
    <x v="0"/>
    <x v="0"/>
    <s v="ESFOLIANTE"/>
    <x v="0"/>
    <m/>
    <m/>
    <m/>
    <m/>
    <m/>
    <m/>
    <m/>
    <m/>
    <m/>
    <m/>
    <m/>
    <m/>
    <m/>
    <m/>
    <m/>
    <m/>
    <m/>
    <m/>
    <m/>
    <m/>
    <m/>
    <s v=""/>
    <m/>
    <m/>
    <m/>
    <m/>
    <m/>
    <m/>
    <m/>
    <m/>
    <m/>
    <m/>
    <m/>
    <x v="0"/>
    <x v="0"/>
  </r>
  <r>
    <d v="2025-01-23T10:40:00"/>
    <d v="2025-01-23T15:00:00"/>
    <n v="3.3333333333139308"/>
    <n v="259.20000000150873"/>
    <x v="0"/>
    <m/>
    <m/>
    <s v="25022/01"/>
    <s v="Envase"/>
    <n v="864"/>
    <s v="MRARES02"/>
    <s v="ESFOLIANTE DEUSA DO NILO"/>
    <n v="250"/>
    <s v="g"/>
    <x v="0"/>
    <x v="0"/>
    <s v="ESFOLIANTE"/>
    <x v="0"/>
    <m/>
    <m/>
    <m/>
    <m/>
    <m/>
    <m/>
    <m/>
    <m/>
    <m/>
    <m/>
    <m/>
    <m/>
    <m/>
    <m/>
    <m/>
    <m/>
    <m/>
    <m/>
    <m/>
    <m/>
    <m/>
    <s v=""/>
    <m/>
    <m/>
    <m/>
    <m/>
    <m/>
    <m/>
    <m/>
    <m/>
    <m/>
    <m/>
    <m/>
    <x v="0"/>
    <x v="0"/>
  </r>
  <r>
    <d v="2025-01-24T11:40:00"/>
    <d v="2025-01-24T12:20:00"/>
    <n v="0.66666666674427688"/>
    <n v="44.999999994761311"/>
    <x v="0"/>
    <m/>
    <m/>
    <s v="25024/02"/>
    <s v="Envase"/>
    <n v="30"/>
    <s v="-"/>
    <s v="DESODORANTE ROLLON ALGODÃO"/>
    <s v="-"/>
    <s v="-"/>
    <x v="1"/>
    <x v="0"/>
    <s v="DESODORANTE"/>
    <x v="0"/>
    <m/>
    <m/>
    <m/>
    <m/>
    <m/>
    <m/>
    <m/>
    <m/>
    <m/>
    <m/>
    <m/>
    <m/>
    <m/>
    <m/>
    <m/>
    <m/>
    <m/>
    <m/>
    <m/>
    <m/>
    <m/>
    <s v=""/>
    <m/>
    <m/>
    <m/>
    <m/>
    <m/>
    <m/>
    <m/>
    <m/>
    <m/>
    <m/>
    <m/>
    <x v="0"/>
    <x v="0"/>
  </r>
  <r>
    <d v="2025-01-30T07:01:00"/>
    <d v="2025-01-30T15:00:00"/>
    <n v="6.9833333333372138"/>
    <n v="1422.8162291161545"/>
    <x v="0"/>
    <m/>
    <m/>
    <s v="25027/01"/>
    <s v="Envase"/>
    <n v="9936"/>
    <s v="-"/>
    <s v="DESODORANTE ROLLON ALGODÃO"/>
    <s v="-"/>
    <s v="-"/>
    <x v="1"/>
    <x v="0"/>
    <s v="DESODORANTE"/>
    <x v="0"/>
    <m/>
    <m/>
    <m/>
    <m/>
    <m/>
    <m/>
    <m/>
    <m/>
    <m/>
    <m/>
    <m/>
    <m/>
    <m/>
    <m/>
    <m/>
    <m/>
    <m/>
    <m/>
    <m/>
    <m/>
    <m/>
    <s v=""/>
    <m/>
    <m/>
    <m/>
    <m/>
    <m/>
    <m/>
    <m/>
    <m/>
    <m/>
    <m/>
    <m/>
    <x v="0"/>
    <x v="0"/>
  </r>
  <r>
    <d v="2025-01-31T07:00:00"/>
    <d v="2025-01-31T14:41:00"/>
    <n v="6.683333333407063"/>
    <n v="1497.4563590857247"/>
    <x v="0"/>
    <m/>
    <m/>
    <s v="25030/01"/>
    <s v="Envase"/>
    <n v="10008"/>
    <s v="-"/>
    <s v="DESODORANTE ROLLON ALGODÃO"/>
    <s v="-"/>
    <s v="-"/>
    <x v="1"/>
    <x v="0"/>
    <s v="DESODORANTE"/>
    <x v="0"/>
    <m/>
    <m/>
    <m/>
    <m/>
    <m/>
    <m/>
    <m/>
    <m/>
    <m/>
    <m/>
    <m/>
    <m/>
    <m/>
    <m/>
    <m/>
    <m/>
    <m/>
    <m/>
    <m/>
    <m/>
    <m/>
    <s v=""/>
    <m/>
    <m/>
    <m/>
    <m/>
    <m/>
    <m/>
    <m/>
    <m/>
    <m/>
    <m/>
    <m/>
    <x v="0"/>
    <x v="0"/>
  </r>
  <r>
    <d v="2025-03-05T10:19:00"/>
    <d v="2025-03-05T11:25:00"/>
    <n v="1.1000000000931323"/>
    <n v="920.90909083112149"/>
    <x v="0"/>
    <m/>
    <m/>
    <s v="25051/08"/>
    <s v="Envase"/>
    <n v="1013"/>
    <s v="BMKDPF04"/>
    <s v="COLÔNIA KIDS VERMELHO"/>
    <n v="40"/>
    <s v="ml"/>
    <x v="2"/>
    <x v="1"/>
    <s v="COLÔNIA"/>
    <x v="1"/>
    <m/>
    <m/>
    <m/>
    <m/>
    <m/>
    <m/>
    <m/>
    <m/>
    <m/>
    <m/>
    <m/>
    <m/>
    <m/>
    <m/>
    <m/>
    <m/>
    <m/>
    <m/>
    <m/>
    <m/>
    <m/>
    <s v=""/>
    <m/>
    <m/>
    <m/>
    <m/>
    <m/>
    <m/>
    <m/>
    <m/>
    <m/>
    <m/>
    <m/>
    <x v="0"/>
    <x v="1"/>
  </r>
  <r>
    <d v="2025-03-05T11:26:00"/>
    <d v="2025-03-05T13:47:00"/>
    <n v="1.3499999999767169"/>
    <n v="751.11111112406536"/>
    <x v="0"/>
    <m/>
    <m/>
    <s v="25051/05"/>
    <s v="Envase"/>
    <n v="1014"/>
    <s v="BMKDPF01"/>
    <s v="COLÔNIA KIDS AMARELO"/>
    <n v="40"/>
    <s v="ml"/>
    <x v="2"/>
    <x v="1"/>
    <s v="COLÔNIA"/>
    <x v="1"/>
    <m/>
    <m/>
    <m/>
    <m/>
    <m/>
    <m/>
    <m/>
    <m/>
    <m/>
    <m/>
    <m/>
    <m/>
    <m/>
    <m/>
    <m/>
    <m/>
    <m/>
    <m/>
    <m/>
    <m/>
    <m/>
    <s v=""/>
    <m/>
    <m/>
    <m/>
    <m/>
    <m/>
    <m/>
    <m/>
    <m/>
    <m/>
    <m/>
    <m/>
    <x v="0"/>
    <x v="1"/>
  </r>
  <r>
    <d v="2025-03-05T13:47:00"/>
    <d v="2025-03-05T14:43:00"/>
    <n v="0.93333333323244005"/>
    <n v="1085.35714297447"/>
    <x v="0"/>
    <m/>
    <m/>
    <s v="25051/06"/>
    <s v="Envase"/>
    <n v="1013"/>
    <s v="BMKDPF02"/>
    <s v="COLÔNIA KIDS ROSA"/>
    <n v="40"/>
    <s v="ml"/>
    <x v="2"/>
    <x v="1"/>
    <s v="COLÔNIA"/>
    <x v="1"/>
    <m/>
    <m/>
    <m/>
    <m/>
    <m/>
    <m/>
    <m/>
    <m/>
    <m/>
    <m/>
    <m/>
    <m/>
    <m/>
    <m/>
    <m/>
    <m/>
    <m/>
    <m/>
    <m/>
    <m/>
    <m/>
    <s v=""/>
    <m/>
    <m/>
    <m/>
    <m/>
    <m/>
    <m/>
    <m/>
    <m/>
    <m/>
    <m/>
    <m/>
    <x v="0"/>
    <x v="1"/>
  </r>
  <r>
    <d v="2025-03-05T14:47:00"/>
    <d v="2025-03-05T15:59:00"/>
    <n v="1.2000000000698492"/>
    <n v="847.49999995066901"/>
    <x v="0"/>
    <m/>
    <m/>
    <s v="25051/07"/>
    <s v="Envase"/>
    <n v="1017"/>
    <s v="BMKDPF03"/>
    <s v="COLÔNIA KIDS ROXO"/>
    <n v="40"/>
    <s v="ml"/>
    <x v="2"/>
    <x v="1"/>
    <s v="COLÔNIA"/>
    <x v="1"/>
    <m/>
    <m/>
    <m/>
    <m/>
    <m/>
    <m/>
    <m/>
    <m/>
    <m/>
    <m/>
    <m/>
    <m/>
    <m/>
    <m/>
    <m/>
    <m/>
    <m/>
    <m/>
    <m/>
    <m/>
    <m/>
    <s v=""/>
    <m/>
    <m/>
    <m/>
    <m/>
    <m/>
    <m/>
    <m/>
    <m/>
    <m/>
    <m/>
    <m/>
    <x v="0"/>
    <x v="1"/>
  </r>
  <r>
    <d v="2025-03-05T15:00:00"/>
    <d v="2025-03-05T16:30:00"/>
    <n v="1.5"/>
    <n v="675.33333333333337"/>
    <x v="0"/>
    <m/>
    <m/>
    <s v="25051/11"/>
    <s v="Envase"/>
    <n v="1013"/>
    <s v="BMKDHD04"/>
    <s v="CREME HIDRATANTE VERMELHO"/>
    <n v="30"/>
    <s v="ml"/>
    <x v="2"/>
    <x v="0"/>
    <s v="CREME HIDRATANTE"/>
    <x v="2"/>
    <m/>
    <m/>
    <m/>
    <m/>
    <m/>
    <m/>
    <m/>
    <m/>
    <m/>
    <m/>
    <m/>
    <m/>
    <m/>
    <m/>
    <m/>
    <m/>
    <m/>
    <m/>
    <m/>
    <m/>
    <m/>
    <s v=""/>
    <m/>
    <m/>
    <m/>
    <m/>
    <m/>
    <m/>
    <m/>
    <m/>
    <m/>
    <m/>
    <m/>
    <x v="0"/>
    <x v="1"/>
  </r>
  <r>
    <d v="2025-03-05T16:38:00"/>
    <d v="2025-03-06T08:30:00"/>
    <n v="1.8666666666395031"/>
    <n v="543.21428572219054"/>
    <x v="0"/>
    <m/>
    <m/>
    <s v="25051/10"/>
    <s v="Envase"/>
    <n v="1014"/>
    <s v="BMKDHD02"/>
    <s v="CREME HIDRATANTE ROSA"/>
    <n v="30"/>
    <s v="ml"/>
    <x v="2"/>
    <x v="0"/>
    <s v="CREME HIDRATANTE"/>
    <x v="2"/>
    <m/>
    <m/>
    <m/>
    <m/>
    <m/>
    <m/>
    <m/>
    <m/>
    <m/>
    <m/>
    <m/>
    <m/>
    <m/>
    <m/>
    <m/>
    <m/>
    <m/>
    <m/>
    <m/>
    <m/>
    <m/>
    <s v=""/>
    <m/>
    <m/>
    <m/>
    <m/>
    <m/>
    <m/>
    <m/>
    <m/>
    <m/>
    <m/>
    <m/>
    <x v="0"/>
    <x v="1"/>
  </r>
  <r>
    <d v="2025-03-06T10:00:00"/>
    <d v="2025-03-06T11:30:00"/>
    <n v="1.5"/>
    <n v="668"/>
    <x v="0"/>
    <m/>
    <m/>
    <s v="25051/15"/>
    <s v="Envase"/>
    <n v="1002"/>
    <s v="-"/>
    <s v="DESODORANTE ROLLON ALGODÃO"/>
    <s v="-"/>
    <s v="-"/>
    <x v="1"/>
    <x v="0"/>
    <s v="DESODORANTE"/>
    <x v="0"/>
    <m/>
    <m/>
    <m/>
    <m/>
    <m/>
    <m/>
    <m/>
    <m/>
    <m/>
    <m/>
    <m/>
    <m/>
    <m/>
    <m/>
    <m/>
    <m/>
    <m/>
    <m/>
    <m/>
    <m/>
    <m/>
    <s v=""/>
    <m/>
    <m/>
    <m/>
    <m/>
    <m/>
    <m/>
    <m/>
    <m/>
    <m/>
    <m/>
    <m/>
    <x v="0"/>
    <x v="1"/>
  </r>
  <r>
    <d v="2025-03-06T10:30:00"/>
    <d v="2025-03-06T11:11:00"/>
    <n v="0.68333333329064772"/>
    <n v="1463.4146342377562"/>
    <x v="0"/>
    <m/>
    <m/>
    <s v="25051/16"/>
    <s v="Envase"/>
    <n v="1000"/>
    <s v="-"/>
    <s v="DESODORANTE ROLLON ALGODÃO"/>
    <s v="-"/>
    <s v="-"/>
    <x v="1"/>
    <x v="0"/>
    <s v="DESODORANTE"/>
    <x v="0"/>
    <m/>
    <m/>
    <m/>
    <m/>
    <m/>
    <m/>
    <m/>
    <m/>
    <m/>
    <m/>
    <m/>
    <m/>
    <m/>
    <m/>
    <m/>
    <m/>
    <m/>
    <m/>
    <m/>
    <m/>
    <m/>
    <s v=""/>
    <m/>
    <m/>
    <m/>
    <m/>
    <m/>
    <m/>
    <m/>
    <m/>
    <m/>
    <m/>
    <m/>
    <x v="0"/>
    <x v="1"/>
  </r>
  <r>
    <d v="2025-03-06T13:00:00"/>
    <d v="2025-03-07T08:00:00"/>
    <n v="5.0000000002328306"/>
    <n v="199.99999999068677"/>
    <x v="0"/>
    <m/>
    <m/>
    <s v="25051/14"/>
    <s v="Envase"/>
    <n v="1000"/>
    <s v="-"/>
    <s v="DESODORANTE ROLLON ALGODÃO"/>
    <s v="-"/>
    <s v="-"/>
    <x v="1"/>
    <x v="0"/>
    <s v="DESODORANTE"/>
    <x v="0"/>
    <m/>
    <m/>
    <m/>
    <m/>
    <m/>
    <m/>
    <m/>
    <m/>
    <m/>
    <m/>
    <m/>
    <m/>
    <m/>
    <m/>
    <m/>
    <m/>
    <m/>
    <m/>
    <m/>
    <m/>
    <m/>
    <s v=""/>
    <m/>
    <m/>
    <m/>
    <m/>
    <m/>
    <m/>
    <m/>
    <m/>
    <m/>
    <m/>
    <m/>
    <x v="0"/>
    <x v="1"/>
  </r>
  <r>
    <d v="2025-03-07T08:00:00"/>
    <d v="2025-03-07T09:00:00"/>
    <n v="0.99999999994179234"/>
    <n v="1000.0000000582077"/>
    <x v="0"/>
    <m/>
    <m/>
    <s v="25051/13"/>
    <s v="Envase"/>
    <n v="1000"/>
    <s v="-"/>
    <s v="DESODORANTE ROLLON ALGODÃO"/>
    <s v="-"/>
    <s v="-"/>
    <x v="1"/>
    <x v="0"/>
    <s v="DESODORANTE"/>
    <x v="0"/>
    <m/>
    <m/>
    <m/>
    <m/>
    <m/>
    <m/>
    <m/>
    <m/>
    <m/>
    <m/>
    <m/>
    <m/>
    <m/>
    <m/>
    <m/>
    <m/>
    <m/>
    <m/>
    <m/>
    <m/>
    <m/>
    <s v=""/>
    <m/>
    <m/>
    <m/>
    <m/>
    <m/>
    <m/>
    <m/>
    <m/>
    <m/>
    <m/>
    <m/>
    <x v="0"/>
    <x v="1"/>
  </r>
  <r>
    <d v="2025-03-07T08:30:00"/>
    <d v="2025-03-07T09:15:00"/>
    <n v="0.75"/>
    <n v="1336"/>
    <x v="0"/>
    <m/>
    <m/>
    <s v="25051/03"/>
    <s v="Envase"/>
    <n v="1002"/>
    <s v="BMKDBR04"/>
    <s v="BRUMA KIDS VERMELHA"/>
    <n v="30"/>
    <s v="ml"/>
    <x v="2"/>
    <x v="0"/>
    <s v="BRUMA"/>
    <x v="1"/>
    <m/>
    <m/>
    <m/>
    <m/>
    <m/>
    <m/>
    <m/>
    <m/>
    <m/>
    <m/>
    <m/>
    <m/>
    <m/>
    <m/>
    <m/>
    <m/>
    <m/>
    <m/>
    <m/>
    <m/>
    <m/>
    <s v=""/>
    <m/>
    <m/>
    <m/>
    <m/>
    <m/>
    <m/>
    <m/>
    <m/>
    <m/>
    <m/>
    <m/>
    <x v="0"/>
    <x v="1"/>
  </r>
  <r>
    <d v="2025-03-07T09:35:00"/>
    <d v="2025-03-07T11:30:00"/>
    <n v="1.9166666666278616"/>
    <n v="513.91304348866561"/>
    <x v="0"/>
    <m/>
    <m/>
    <s v="25051/01"/>
    <s v="Envase"/>
    <n v="985"/>
    <s v="BMKDBR03"/>
    <s v="BRUMA KIDS ROXA"/>
    <n v="30"/>
    <s v="ml"/>
    <x v="2"/>
    <x v="0"/>
    <s v="BRUMA"/>
    <x v="1"/>
    <m/>
    <m/>
    <m/>
    <m/>
    <m/>
    <m/>
    <m/>
    <m/>
    <m/>
    <m/>
    <m/>
    <m/>
    <m/>
    <m/>
    <m/>
    <m/>
    <m/>
    <m/>
    <m/>
    <m/>
    <m/>
    <s v=""/>
    <m/>
    <m/>
    <m/>
    <m/>
    <m/>
    <m/>
    <m/>
    <m/>
    <m/>
    <m/>
    <m/>
    <x v="0"/>
    <x v="1"/>
  </r>
  <r>
    <d v="2025-03-07T11:30:00"/>
    <d v="2025-03-07T14:00:00"/>
    <n v="1.5000000001164153"/>
    <n v="659.99999994877726"/>
    <x v="0"/>
    <m/>
    <m/>
    <s v="25051/04"/>
    <s v="Envase"/>
    <n v="990"/>
    <s v="BMKDBR02"/>
    <s v="BRUMA KIDS ROSA"/>
    <n v="30"/>
    <s v="ml"/>
    <x v="2"/>
    <x v="0"/>
    <s v="BRUMA"/>
    <x v="1"/>
    <m/>
    <m/>
    <m/>
    <m/>
    <m/>
    <m/>
    <m/>
    <m/>
    <m/>
    <m/>
    <m/>
    <m/>
    <m/>
    <m/>
    <m/>
    <m/>
    <m/>
    <m/>
    <m/>
    <m/>
    <m/>
    <s v=""/>
    <m/>
    <m/>
    <m/>
    <m/>
    <m/>
    <m/>
    <m/>
    <m/>
    <m/>
    <m/>
    <m/>
    <x v="0"/>
    <x v="1"/>
  </r>
  <r>
    <d v="2025-03-07T14:00:00"/>
    <d v="2025-03-07T00:00:00"/>
    <n v="0"/>
    <s v=""/>
    <x v="0"/>
    <m/>
    <m/>
    <s v="25051/02"/>
    <s v="Envase"/>
    <n v="1000"/>
    <s v="BMKDBR01"/>
    <s v="BRUMA KIDS AMARELA"/>
    <n v="30"/>
    <s v="ml"/>
    <x v="2"/>
    <x v="0"/>
    <s v="BRUMA"/>
    <x v="1"/>
    <s v="Data de Término não preenchida."/>
    <m/>
    <m/>
    <m/>
    <m/>
    <m/>
    <m/>
    <m/>
    <m/>
    <m/>
    <m/>
    <m/>
    <m/>
    <m/>
    <m/>
    <m/>
    <m/>
    <m/>
    <m/>
    <m/>
    <m/>
    <s v=""/>
    <m/>
    <m/>
    <m/>
    <m/>
    <m/>
    <m/>
    <m/>
    <m/>
    <m/>
    <m/>
    <m/>
    <x v="0"/>
    <x v="1"/>
  </r>
  <r>
    <d v="2025-03-07T14:30:00"/>
    <d v="2025-03-10T09:33:00"/>
    <n v="4.0500000001047738"/>
    <n v="628.14814813189787"/>
    <x v="0"/>
    <m/>
    <m/>
    <s v="25075/01"/>
    <s v="Envase"/>
    <n v="2544"/>
    <s v="MRARBS05"/>
    <s v="BODY SPLASH FORÇA DO LEAO"/>
    <n v="220"/>
    <s v="ml"/>
    <x v="0"/>
    <x v="1"/>
    <s v="BODY SPLASH"/>
    <x v="1"/>
    <s v="10 dias? Por quê?"/>
    <m/>
    <m/>
    <m/>
    <m/>
    <m/>
    <m/>
    <m/>
    <m/>
    <m/>
    <m/>
    <m/>
    <m/>
    <m/>
    <m/>
    <m/>
    <m/>
    <m/>
    <m/>
    <m/>
    <m/>
    <s v=""/>
    <m/>
    <m/>
    <m/>
    <m/>
    <m/>
    <m/>
    <m/>
    <m/>
    <m/>
    <m/>
    <m/>
    <x v="0"/>
    <x v="1"/>
  </r>
  <r>
    <d v="2025-03-10T10:00:00"/>
    <d v="2025-03-10T15:00:00"/>
    <n v="4.0000000000582077"/>
    <n v="999.99999998544808"/>
    <x v="0"/>
    <m/>
    <m/>
    <s v="25052/03"/>
    <s v="Envase"/>
    <n v="4000"/>
    <s v="SAMTBS01"/>
    <s v="BODY SPLASH MATTE BAUNILHA TROPICAL"/>
    <n v="100"/>
    <s v="ml"/>
    <x v="3"/>
    <x v="1"/>
    <s v="BODY SPLASH"/>
    <x v="1"/>
    <m/>
    <m/>
    <m/>
    <m/>
    <m/>
    <m/>
    <m/>
    <m/>
    <m/>
    <m/>
    <m/>
    <m/>
    <m/>
    <m/>
    <m/>
    <m/>
    <m/>
    <m/>
    <m/>
    <m/>
    <m/>
    <s v=""/>
    <m/>
    <m/>
    <m/>
    <m/>
    <m/>
    <m/>
    <m/>
    <m/>
    <m/>
    <m/>
    <m/>
    <x v="0"/>
    <x v="1"/>
  </r>
  <r>
    <d v="2025-03-10T15:00:00"/>
    <d v="2025-03-11T11:30:00"/>
    <n v="6.5000000000582077"/>
    <n v="615.38461537910462"/>
    <x v="0"/>
    <m/>
    <m/>
    <s v="25052/01"/>
    <s v="Envase"/>
    <n v="4000"/>
    <s v="SAMTBS03"/>
    <s v="BODY SPLASH MATTE PITAYA"/>
    <n v="100"/>
    <s v="ml"/>
    <x v="3"/>
    <x v="1"/>
    <s v="BODY SPLASH"/>
    <x v="1"/>
    <m/>
    <m/>
    <m/>
    <m/>
    <m/>
    <m/>
    <m/>
    <m/>
    <m/>
    <m/>
    <m/>
    <m/>
    <m/>
    <m/>
    <m/>
    <m/>
    <m/>
    <m/>
    <m/>
    <m/>
    <m/>
    <s v=""/>
    <m/>
    <m/>
    <m/>
    <m/>
    <m/>
    <m/>
    <m/>
    <m/>
    <m/>
    <m/>
    <m/>
    <x v="0"/>
    <x v="1"/>
  </r>
  <r>
    <d v="2025-03-11T11:30:00"/>
    <m/>
    <n v="0"/>
    <s v=""/>
    <x v="0"/>
    <m/>
    <m/>
    <s v="25052/02"/>
    <s v="Envase"/>
    <n v="4000"/>
    <s v="SAMTBS02"/>
    <s v="BODY SPLASH MATTE PÊSSEGO"/>
    <n v="100"/>
    <s v="ml"/>
    <x v="3"/>
    <x v="1"/>
    <s v="BODY SPLASH"/>
    <x v="1"/>
    <s v="Data de Término não preenchida."/>
    <m/>
    <m/>
    <m/>
    <m/>
    <m/>
    <m/>
    <m/>
    <m/>
    <m/>
    <m/>
    <m/>
    <m/>
    <m/>
    <m/>
    <m/>
    <m/>
    <m/>
    <m/>
    <m/>
    <m/>
    <s v=""/>
    <m/>
    <m/>
    <m/>
    <m/>
    <m/>
    <m/>
    <m/>
    <m/>
    <m/>
    <m/>
    <m/>
    <x v="0"/>
    <x v="1"/>
  </r>
  <r>
    <d v="2025-03-12T10:00:00"/>
    <d v="2025-03-13T10:05:00"/>
    <n v="9.0833333335467614"/>
    <n v="440.36697246671707"/>
    <x v="0"/>
    <m/>
    <m/>
    <s v="25052/04"/>
    <s v="Envase"/>
    <n v="4000"/>
    <s v="SAGLBS01"/>
    <s v="BODY SPLASH BAUNILHA COM COCO BRONZE GLOW"/>
    <n v="100"/>
    <s v="ml"/>
    <x v="3"/>
    <x v="1"/>
    <s v="BODY SPLASH"/>
    <x v="3"/>
    <m/>
    <m/>
    <m/>
    <m/>
    <m/>
    <m/>
    <m/>
    <m/>
    <m/>
    <m/>
    <m/>
    <m/>
    <m/>
    <m/>
    <m/>
    <m/>
    <m/>
    <m/>
    <m/>
    <m/>
    <m/>
    <s v=""/>
    <m/>
    <m/>
    <m/>
    <m/>
    <m/>
    <m/>
    <m/>
    <m/>
    <m/>
    <m/>
    <m/>
    <x v="0"/>
    <x v="1"/>
  </r>
  <r>
    <d v="2025-03-13T10:55:00"/>
    <m/>
    <n v="0"/>
    <s v=""/>
    <x v="0"/>
    <m/>
    <m/>
    <s v="25052/05"/>
    <s v="Envase"/>
    <n v="4000"/>
    <s v="SAGLBS02"/>
    <s v="BODY SPLASH DAMASCO COM COCO BRONZE GLOW"/>
    <n v="100"/>
    <s v="ml"/>
    <x v="3"/>
    <x v="1"/>
    <s v="BODY SPLASH"/>
    <x v="3"/>
    <s v="Data de Término não preenchida."/>
    <m/>
    <m/>
    <m/>
    <m/>
    <m/>
    <m/>
    <m/>
    <m/>
    <m/>
    <m/>
    <m/>
    <m/>
    <m/>
    <m/>
    <m/>
    <m/>
    <m/>
    <m/>
    <m/>
    <m/>
    <s v=""/>
    <m/>
    <m/>
    <m/>
    <m/>
    <m/>
    <m/>
    <m/>
    <m/>
    <m/>
    <m/>
    <m/>
    <x v="0"/>
    <x v="1"/>
  </r>
  <r>
    <d v="2025-03-14T08:30:00"/>
    <d v="2025-03-14T00:00:00"/>
    <n v="0"/>
    <s v=""/>
    <x v="0"/>
    <m/>
    <m/>
    <s v="25052/06"/>
    <s v="Envase"/>
    <n v="4068"/>
    <s v="SAGLBS03"/>
    <s v="BODY SPLASH MANGA GOLD SHINE GLOW"/>
    <n v="100"/>
    <s v="ml"/>
    <x v="3"/>
    <x v="1"/>
    <s v="BODY SPLASH"/>
    <x v="3"/>
    <s v="Data de Término não preenchida."/>
    <m/>
    <m/>
    <m/>
    <m/>
    <m/>
    <m/>
    <m/>
    <m/>
    <m/>
    <m/>
    <m/>
    <m/>
    <m/>
    <m/>
    <m/>
    <m/>
    <m/>
    <m/>
    <m/>
    <m/>
    <s v=""/>
    <m/>
    <m/>
    <m/>
    <m/>
    <m/>
    <m/>
    <m/>
    <m/>
    <m/>
    <m/>
    <m/>
    <x v="0"/>
    <x v="1"/>
  </r>
  <r>
    <d v="2025-03-17T09:30:00"/>
    <d v="2025-03-17T13:00:00"/>
    <n v="3.4999999998835847"/>
    <n v="726.85714288131919"/>
    <x v="0"/>
    <m/>
    <m/>
    <s v="25075/02"/>
    <s v="Envase"/>
    <n v="2544"/>
    <s v="MRARBS05"/>
    <s v="BODY SPLASH FORÇA DO LEAO"/>
    <n v="220"/>
    <s v="ml"/>
    <x v="0"/>
    <x v="1"/>
    <s v="BODY SPLASH"/>
    <x v="1"/>
    <m/>
    <m/>
    <m/>
    <m/>
    <m/>
    <m/>
    <m/>
    <m/>
    <m/>
    <m/>
    <m/>
    <m/>
    <m/>
    <m/>
    <m/>
    <m/>
    <m/>
    <m/>
    <m/>
    <m/>
    <m/>
    <s v=""/>
    <m/>
    <m/>
    <m/>
    <m/>
    <m/>
    <m/>
    <m/>
    <m/>
    <m/>
    <m/>
    <m/>
    <x v="0"/>
    <x v="1"/>
  </r>
  <r>
    <d v="2025-03-17T13:05:00"/>
    <d v="2025-03-17T15:43:00"/>
    <n v="2.6333333333604969"/>
    <n v="966.07594935712325"/>
    <x v="0"/>
    <m/>
    <m/>
    <s v="25075/03"/>
    <s v="Envase"/>
    <n v="2544"/>
    <s v="MRARBS05"/>
    <s v="BODY SPLASH FORÇA DO LEAO"/>
    <n v="220"/>
    <s v="ml"/>
    <x v="0"/>
    <x v="1"/>
    <s v="BODY SPLASH"/>
    <x v="1"/>
    <m/>
    <m/>
    <m/>
    <m/>
    <m/>
    <m/>
    <m/>
    <m/>
    <m/>
    <m/>
    <m/>
    <m/>
    <m/>
    <m/>
    <m/>
    <m/>
    <m/>
    <m/>
    <m/>
    <m/>
    <m/>
    <s v=""/>
    <m/>
    <m/>
    <m/>
    <m/>
    <m/>
    <m/>
    <m/>
    <m/>
    <m/>
    <m/>
    <m/>
    <x v="0"/>
    <x v="1"/>
  </r>
  <r>
    <d v="2025-03-17T15:43:00"/>
    <d v="2025-03-17T00:00:00"/>
    <n v="0"/>
    <s v=""/>
    <x v="0"/>
    <m/>
    <m/>
    <s v="25075/04"/>
    <s v="Envase"/>
    <n v="2544"/>
    <s v="MRARBS05"/>
    <s v="BODY SPLASH FORÇA DO LEAO"/>
    <n v="220"/>
    <s v="ml"/>
    <x v="0"/>
    <x v="1"/>
    <s v="BODY SPLASH"/>
    <x v="1"/>
    <s v="Data de Término não preenchida."/>
    <m/>
    <m/>
    <m/>
    <m/>
    <m/>
    <m/>
    <m/>
    <m/>
    <m/>
    <m/>
    <m/>
    <m/>
    <m/>
    <m/>
    <m/>
    <m/>
    <m/>
    <m/>
    <m/>
    <m/>
    <s v=""/>
    <m/>
    <m/>
    <m/>
    <m/>
    <m/>
    <m/>
    <m/>
    <m/>
    <m/>
    <m/>
    <m/>
    <x v="0"/>
    <x v="1"/>
  </r>
  <r>
    <d v="2025-03-18T15:00:00"/>
    <d v="2025-03-19T08:00:00"/>
    <n v="3.000000000174623"/>
    <n v="847.9999999506399"/>
    <x v="0"/>
    <m/>
    <m/>
    <s v="25075/05"/>
    <s v="Envase"/>
    <n v="2544"/>
    <s v="MRARBS05"/>
    <s v="BODY SPLASH FORÇA DO LEAO"/>
    <n v="220"/>
    <s v="ml"/>
    <x v="0"/>
    <x v="1"/>
    <s v="BODY SPLASH"/>
    <x v="1"/>
    <m/>
    <m/>
    <m/>
    <m/>
    <m/>
    <m/>
    <m/>
    <m/>
    <m/>
    <m/>
    <m/>
    <m/>
    <m/>
    <m/>
    <m/>
    <m/>
    <m/>
    <m/>
    <m/>
    <m/>
    <m/>
    <s v=""/>
    <m/>
    <m/>
    <m/>
    <m/>
    <m/>
    <m/>
    <m/>
    <m/>
    <m/>
    <m/>
    <m/>
    <x v="0"/>
    <x v="1"/>
  </r>
  <r>
    <d v="2025-03-19T13:38:00"/>
    <d v="2025-03-19T15:40:00"/>
    <n v="2.0333333333255723"/>
    <n v="1251.1475409883822"/>
    <x v="0"/>
    <m/>
    <m/>
    <s v="25078/01"/>
    <s v="Envase"/>
    <n v="2544"/>
    <s v="MRARBS01"/>
    <s v="BODY SPLASH AURORA IMPERIAL"/>
    <n v="220"/>
    <s v="ml"/>
    <x v="0"/>
    <x v="1"/>
    <s v="BODY SPLASH"/>
    <x v="1"/>
    <m/>
    <m/>
    <m/>
    <m/>
    <m/>
    <m/>
    <m/>
    <m/>
    <m/>
    <m/>
    <m/>
    <m/>
    <m/>
    <m/>
    <m/>
    <m/>
    <m/>
    <m/>
    <m/>
    <m/>
    <m/>
    <s v=""/>
    <m/>
    <m/>
    <m/>
    <m/>
    <m/>
    <m/>
    <m/>
    <m/>
    <m/>
    <m/>
    <m/>
    <x v="0"/>
    <x v="1"/>
  </r>
  <r>
    <d v="2025-03-19T15:40:00"/>
    <d v="2025-03-20T08:16:00"/>
    <n v="2.6000000000931323"/>
    <n v="978.46153842648982"/>
    <x v="0"/>
    <m/>
    <m/>
    <s v="25078/02"/>
    <s v="Envase"/>
    <n v="2544"/>
    <s v="MRARBS01"/>
    <s v="BODY SPLASH AURORA IMPERIAL"/>
    <n v="220"/>
    <s v="ml"/>
    <x v="0"/>
    <x v="1"/>
    <s v="BODY SPLASH"/>
    <x v="1"/>
    <m/>
    <m/>
    <m/>
    <m/>
    <m/>
    <m/>
    <m/>
    <m/>
    <m/>
    <m/>
    <m/>
    <m/>
    <m/>
    <m/>
    <m/>
    <m/>
    <m/>
    <m/>
    <m/>
    <m/>
    <m/>
    <s v=""/>
    <m/>
    <m/>
    <m/>
    <m/>
    <m/>
    <m/>
    <m/>
    <m/>
    <m/>
    <m/>
    <m/>
    <x v="0"/>
    <x v="1"/>
  </r>
  <r>
    <d v="2025-03-20T08:16:00"/>
    <d v="2025-03-20T10:00:00"/>
    <n v="1.7333333332207985"/>
    <n v="1467.6923077875961"/>
    <x v="0"/>
    <m/>
    <m/>
    <s v="25078/03"/>
    <s v="Envase"/>
    <n v="2544"/>
    <s v="MRARBS01"/>
    <s v="BODY SPLASH AURORA IMPERIAL"/>
    <n v="220"/>
    <s v="ml"/>
    <x v="0"/>
    <x v="1"/>
    <s v="BODY SPLASH"/>
    <x v="1"/>
    <m/>
    <m/>
    <m/>
    <m/>
    <m/>
    <m/>
    <m/>
    <m/>
    <m/>
    <m/>
    <m/>
    <m/>
    <m/>
    <m/>
    <m/>
    <m/>
    <m/>
    <m/>
    <m/>
    <m/>
    <m/>
    <s v=""/>
    <m/>
    <m/>
    <m/>
    <m/>
    <m/>
    <m/>
    <m/>
    <m/>
    <m/>
    <m/>
    <m/>
    <x v="0"/>
    <x v="1"/>
  </r>
  <r>
    <d v="2025-03-20T10:00:00"/>
    <d v="2025-03-20T14:00:00"/>
    <n v="3.0000000001164153"/>
    <n v="847.99999996709323"/>
    <x v="0"/>
    <m/>
    <m/>
    <s v="25078/04"/>
    <s v="Envase"/>
    <n v="2544"/>
    <s v="MRARBS01"/>
    <s v="BODY SPLASH AURORA IMPERIAL"/>
    <n v="220"/>
    <s v="ml"/>
    <x v="0"/>
    <x v="1"/>
    <s v="BODY SPLASH"/>
    <x v="1"/>
    <m/>
    <m/>
    <m/>
    <m/>
    <m/>
    <m/>
    <m/>
    <m/>
    <m/>
    <m/>
    <m/>
    <m/>
    <m/>
    <m/>
    <m/>
    <m/>
    <m/>
    <m/>
    <m/>
    <m/>
    <m/>
    <s v=""/>
    <m/>
    <m/>
    <m/>
    <m/>
    <m/>
    <m/>
    <m/>
    <m/>
    <m/>
    <m/>
    <m/>
    <x v="0"/>
    <x v="1"/>
  </r>
  <r>
    <d v="2025-03-20T14:00:00"/>
    <d v="2025-03-21T07:52:00"/>
    <n v="3.8666666666977108"/>
    <n v="657.93103447747637"/>
    <x v="0"/>
    <m/>
    <m/>
    <s v="25078/05"/>
    <s v="Envase"/>
    <n v="2544"/>
    <s v="MRARBS01"/>
    <s v="BODY SPLASH AURORA IMPERIAL"/>
    <n v="220"/>
    <s v="ml"/>
    <x v="0"/>
    <x v="1"/>
    <s v="BODY SPLASH"/>
    <x v="1"/>
    <m/>
    <m/>
    <m/>
    <m/>
    <m/>
    <m/>
    <m/>
    <m/>
    <m/>
    <m/>
    <m/>
    <m/>
    <m/>
    <m/>
    <m/>
    <m/>
    <m/>
    <m/>
    <m/>
    <m/>
    <m/>
    <s v=""/>
    <m/>
    <m/>
    <m/>
    <m/>
    <m/>
    <m/>
    <m/>
    <m/>
    <m/>
    <m/>
    <m/>
    <x v="0"/>
    <x v="1"/>
  </r>
  <r>
    <d v="2025-03-21T07:52:00"/>
    <d v="2025-03-21T09:56:00"/>
    <n v="2.0666666667675599"/>
    <n v="1230.9677418753888"/>
    <x v="0"/>
    <m/>
    <m/>
    <s v="25078/06"/>
    <s v="Envase"/>
    <n v="2544"/>
    <s v="MRARBS01"/>
    <s v="BODY SPLASH AURORA IMPERIAL"/>
    <n v="220"/>
    <s v="ml"/>
    <x v="0"/>
    <x v="1"/>
    <s v="BODY SPLASH"/>
    <x v="1"/>
    <m/>
    <m/>
    <m/>
    <m/>
    <m/>
    <m/>
    <m/>
    <m/>
    <m/>
    <m/>
    <m/>
    <m/>
    <m/>
    <m/>
    <m/>
    <m/>
    <m/>
    <m/>
    <m/>
    <m/>
    <m/>
    <s v=""/>
    <m/>
    <m/>
    <m/>
    <m/>
    <m/>
    <m/>
    <m/>
    <m/>
    <m/>
    <m/>
    <m/>
    <x v="0"/>
    <x v="1"/>
  </r>
  <r>
    <d v="2025-03-21T09:56:00"/>
    <d v="2025-03-21T13:07:00"/>
    <n v="2.1833333332324401"/>
    <n v="1165.1908397485008"/>
    <x v="0"/>
    <m/>
    <m/>
    <s v="25079/01"/>
    <s v="Envase"/>
    <n v="2544"/>
    <s v="MRARBS01"/>
    <s v="BODY SPLASH AURORA IMPERIAL"/>
    <n v="220"/>
    <s v="ml"/>
    <x v="0"/>
    <x v="1"/>
    <s v="BODY SPLASH"/>
    <x v="1"/>
    <m/>
    <m/>
    <m/>
    <m/>
    <m/>
    <m/>
    <m/>
    <m/>
    <m/>
    <m/>
    <m/>
    <m/>
    <m/>
    <m/>
    <m/>
    <m/>
    <m/>
    <m/>
    <m/>
    <m/>
    <m/>
    <s v=""/>
    <m/>
    <m/>
    <m/>
    <m/>
    <m/>
    <m/>
    <m/>
    <m/>
    <m/>
    <m/>
    <m/>
    <x v="0"/>
    <x v="1"/>
  </r>
  <r>
    <d v="2025-03-21T13:07:00"/>
    <d v="2025-03-21T15:22:00"/>
    <n v="2.25"/>
    <n v="1130.6666666666667"/>
    <x v="0"/>
    <m/>
    <m/>
    <s v="25079/02"/>
    <s v="Envase"/>
    <n v="2544"/>
    <s v="MRARBS01"/>
    <s v="BODY SPLASH AURORA IMPERIAL"/>
    <n v="220"/>
    <s v="ml"/>
    <x v="0"/>
    <x v="1"/>
    <s v="BODY SPLASH"/>
    <x v="1"/>
    <m/>
    <m/>
    <m/>
    <m/>
    <m/>
    <m/>
    <m/>
    <m/>
    <m/>
    <m/>
    <m/>
    <m/>
    <m/>
    <m/>
    <m/>
    <m/>
    <m/>
    <m/>
    <m/>
    <m/>
    <m/>
    <s v=""/>
    <m/>
    <m/>
    <m/>
    <m/>
    <m/>
    <m/>
    <m/>
    <m/>
    <m/>
    <m/>
    <m/>
    <x v="0"/>
    <x v="1"/>
  </r>
  <r>
    <d v="2025-03-21T15:22:00"/>
    <d v="2025-03-24T09:13:00"/>
    <n v="2.8500000000349246"/>
    <n v="892.63157893642995"/>
    <x v="0"/>
    <m/>
    <m/>
    <s v="25079/03"/>
    <s v="Envase"/>
    <n v="2544"/>
    <s v="MRARBS01"/>
    <s v="BODY SPLASH AURORA IMPERIAL"/>
    <n v="220"/>
    <s v="ml"/>
    <x v="0"/>
    <x v="1"/>
    <s v="BODY SPLASH"/>
    <x v="1"/>
    <m/>
    <m/>
    <m/>
    <m/>
    <m/>
    <m/>
    <m/>
    <m/>
    <m/>
    <m/>
    <m/>
    <m/>
    <m/>
    <m/>
    <m/>
    <m/>
    <m/>
    <m/>
    <m/>
    <m/>
    <m/>
    <s v=""/>
    <m/>
    <m/>
    <m/>
    <m/>
    <m/>
    <m/>
    <m/>
    <m/>
    <m/>
    <m/>
    <m/>
    <x v="0"/>
    <x v="1"/>
  </r>
  <r>
    <d v="2025-03-24T09:13:00"/>
    <d v="2025-03-24T11:15:00"/>
    <n v="2.0333333333255723"/>
    <n v="1251.1475409883822"/>
    <x v="0"/>
    <m/>
    <m/>
    <s v="25079/04"/>
    <s v="Envase"/>
    <n v="2544"/>
    <s v="MRARBS01"/>
    <s v="BODY SPLASH AURORA IMPERIAL"/>
    <n v="220"/>
    <s v="ml"/>
    <x v="0"/>
    <x v="1"/>
    <s v="BODY SPLASH"/>
    <x v="1"/>
    <m/>
    <m/>
    <m/>
    <m/>
    <m/>
    <m/>
    <m/>
    <m/>
    <m/>
    <m/>
    <m/>
    <m/>
    <m/>
    <m/>
    <m/>
    <m/>
    <m/>
    <m/>
    <m/>
    <m/>
    <m/>
    <s v=""/>
    <m/>
    <m/>
    <m/>
    <m/>
    <m/>
    <m/>
    <m/>
    <m/>
    <m/>
    <m/>
    <m/>
    <x v="0"/>
    <x v="1"/>
  </r>
  <r>
    <d v="2025-03-24T11:15:00"/>
    <d v="2025-03-24T00:00:00"/>
    <n v="0"/>
    <s v=""/>
    <x v="0"/>
    <m/>
    <m/>
    <s v="25079/05"/>
    <s v="Envase"/>
    <n v="2544"/>
    <s v="MRARBS01"/>
    <s v="BODY SPLASH AURORA IMPERIAL"/>
    <n v="220"/>
    <s v="ml"/>
    <x v="0"/>
    <x v="1"/>
    <s v="BODY SPLASH"/>
    <x v="1"/>
    <s v="Data de Término não preenchida."/>
    <m/>
    <m/>
    <m/>
    <m/>
    <m/>
    <m/>
    <m/>
    <m/>
    <m/>
    <m/>
    <m/>
    <m/>
    <m/>
    <m/>
    <m/>
    <m/>
    <m/>
    <m/>
    <m/>
    <m/>
    <s v=""/>
    <m/>
    <m/>
    <m/>
    <m/>
    <m/>
    <m/>
    <m/>
    <m/>
    <m/>
    <m/>
    <m/>
    <x v="0"/>
    <x v="1"/>
  </r>
  <r>
    <d v="2025-03-24T14:50:00"/>
    <d v="2025-03-24T15:20:00"/>
    <n v="0.50000000005820766"/>
    <n v="3839.9999995529652"/>
    <x v="0"/>
    <m/>
    <m/>
    <s v="25079/06"/>
    <s v="Envase"/>
    <n v="1920"/>
    <s v="MRARBS01"/>
    <s v="BODY SPLASH AURORA IMPERIAL"/>
    <n v="220"/>
    <s v="ml"/>
    <x v="0"/>
    <x v="1"/>
    <s v="BODY SPLASH"/>
    <x v="1"/>
    <m/>
    <m/>
    <m/>
    <m/>
    <m/>
    <m/>
    <m/>
    <m/>
    <m/>
    <m/>
    <m/>
    <m/>
    <m/>
    <m/>
    <m/>
    <m/>
    <m/>
    <m/>
    <m/>
    <m/>
    <m/>
    <s v=""/>
    <m/>
    <m/>
    <m/>
    <m/>
    <m/>
    <m/>
    <m/>
    <m/>
    <m/>
    <m/>
    <m/>
    <x v="0"/>
    <x v="1"/>
  </r>
  <r>
    <d v="2025-04-07T09:00:00"/>
    <d v="2025-04-07T10:58:00"/>
    <n v="1.96666666661622"/>
    <n v="1293.5593220670792"/>
    <x v="0"/>
    <m/>
    <m/>
    <s v="25095/01"/>
    <s v="Envase"/>
    <n v="2544"/>
    <s v="MRARBS02"/>
    <s v="BODY SPLASH DEUSA DO NILO"/>
    <n v="220"/>
    <s v="ml"/>
    <x v="0"/>
    <x v="1"/>
    <s v="BODY SPLASH"/>
    <x v="1"/>
    <m/>
    <m/>
    <m/>
    <m/>
    <m/>
    <m/>
    <m/>
    <m/>
    <m/>
    <m/>
    <m/>
    <m/>
    <m/>
    <m/>
    <m/>
    <m/>
    <m/>
    <m/>
    <m/>
    <m/>
    <m/>
    <s v=""/>
    <m/>
    <m/>
    <m/>
    <m/>
    <m/>
    <m/>
    <m/>
    <m/>
    <m/>
    <m/>
    <m/>
    <x v="0"/>
    <x v="2"/>
  </r>
  <r>
    <d v="2025-04-07T10:58:00"/>
    <d v="2025-04-07T14:27:00"/>
    <n v="2.4833333333372138"/>
    <n v="1024.4295301997415"/>
    <x v="0"/>
    <m/>
    <m/>
    <s v="25095/02"/>
    <s v="Envase"/>
    <n v="2544"/>
    <s v="MRARBS02"/>
    <s v="BODY SPLASH DEUSA DO NILO"/>
    <n v="220"/>
    <s v="ml"/>
    <x v="0"/>
    <x v="1"/>
    <s v="BODY SPLASH"/>
    <x v="1"/>
    <m/>
    <m/>
    <m/>
    <m/>
    <m/>
    <m/>
    <m/>
    <m/>
    <m/>
    <m/>
    <m/>
    <m/>
    <m/>
    <m/>
    <m/>
    <m/>
    <m/>
    <m/>
    <m/>
    <m/>
    <m/>
    <s v=""/>
    <m/>
    <m/>
    <m/>
    <m/>
    <m/>
    <m/>
    <m/>
    <m/>
    <m/>
    <m/>
    <m/>
    <x v="0"/>
    <x v="2"/>
  </r>
  <r>
    <d v="2025-04-07T14:27:00"/>
    <d v="2025-04-07T17:00:00"/>
    <n v="2.5500000001047738"/>
    <n v="997.64705878253835"/>
    <x v="0"/>
    <m/>
    <m/>
    <s v="25095/03"/>
    <s v="Envase"/>
    <n v="2544"/>
    <s v="MRARBS02"/>
    <s v="BODY SPLASH DEUSA DO NILO"/>
    <n v="220"/>
    <s v="ml"/>
    <x v="0"/>
    <x v="1"/>
    <s v="BODY SPLASH"/>
    <x v="1"/>
    <m/>
    <m/>
    <m/>
    <m/>
    <m/>
    <m/>
    <m/>
    <m/>
    <m/>
    <m/>
    <m/>
    <m/>
    <m/>
    <m/>
    <m/>
    <m/>
    <m/>
    <m/>
    <m/>
    <m/>
    <m/>
    <s v=""/>
    <m/>
    <m/>
    <m/>
    <m/>
    <m/>
    <m/>
    <m/>
    <m/>
    <m/>
    <m/>
    <m/>
    <x v="0"/>
    <x v="2"/>
  </r>
  <r>
    <d v="2025-04-08T07:30:00"/>
    <d v="2025-04-08T09:00:00"/>
    <n v="1.5"/>
    <n v="1696"/>
    <x v="0"/>
    <m/>
    <m/>
    <s v="25095/04"/>
    <s v="Envase"/>
    <n v="2544"/>
    <s v="MRARBS02"/>
    <s v="BODY SPLASH DEUSA DO NILO"/>
    <n v="220"/>
    <s v="ml"/>
    <x v="0"/>
    <x v="1"/>
    <s v="BODY SPLASH"/>
    <x v="1"/>
    <m/>
    <m/>
    <m/>
    <m/>
    <m/>
    <m/>
    <m/>
    <m/>
    <m/>
    <m/>
    <m/>
    <m/>
    <m/>
    <m/>
    <m/>
    <m/>
    <m/>
    <m/>
    <m/>
    <m/>
    <m/>
    <s v=""/>
    <m/>
    <m/>
    <m/>
    <m/>
    <m/>
    <m/>
    <m/>
    <m/>
    <m/>
    <m/>
    <m/>
    <x v="0"/>
    <x v="2"/>
  </r>
  <r>
    <d v="2025-04-08T09:00:00"/>
    <d v="2025-04-08T11:00:00"/>
    <n v="2.0000000000582077"/>
    <n v="1272.4999999629654"/>
    <x v="0"/>
    <m/>
    <m/>
    <s v="25095/05"/>
    <s v="Envase"/>
    <n v="2545"/>
    <s v="MRARBS02"/>
    <s v="BODY SPLASH DEUSA DO NILO"/>
    <n v="220"/>
    <s v="ml"/>
    <x v="0"/>
    <x v="1"/>
    <s v="BODY SPLASH"/>
    <x v="1"/>
    <m/>
    <m/>
    <m/>
    <m/>
    <m/>
    <m/>
    <m/>
    <m/>
    <m/>
    <m/>
    <m/>
    <m/>
    <m/>
    <m/>
    <m/>
    <m/>
    <m/>
    <m/>
    <m/>
    <m/>
    <m/>
    <s v=""/>
    <m/>
    <m/>
    <m/>
    <m/>
    <m/>
    <m/>
    <m/>
    <m/>
    <m/>
    <m/>
    <m/>
    <x v="0"/>
    <x v="2"/>
  </r>
  <r>
    <d v="2025-04-08T11:00:00"/>
    <d v="2025-04-08T13:52:00"/>
    <n v="1.8666666665812954"/>
    <n v="1362.8571429194726"/>
    <x v="0"/>
    <m/>
    <m/>
    <s v="25095/06"/>
    <s v="Envase"/>
    <n v="2544"/>
    <s v="MRARBS02"/>
    <s v="BODY SPLASH DEUSA DO NILO"/>
    <n v="220"/>
    <s v="ml"/>
    <x v="0"/>
    <x v="1"/>
    <s v="BODY SPLASH"/>
    <x v="1"/>
    <m/>
    <m/>
    <m/>
    <m/>
    <m/>
    <m/>
    <m/>
    <m/>
    <m/>
    <m/>
    <m/>
    <m/>
    <m/>
    <m/>
    <m/>
    <m/>
    <m/>
    <m/>
    <m/>
    <m/>
    <m/>
    <s v=""/>
    <m/>
    <m/>
    <m/>
    <m/>
    <m/>
    <m/>
    <m/>
    <m/>
    <m/>
    <m/>
    <m/>
    <x v="0"/>
    <x v="2"/>
  </r>
  <r>
    <d v="2025-04-08T13:53:00"/>
    <d v="2025-04-08T16:00:00"/>
    <n v="2.1166666665812954"/>
    <n v="1201.8897638280032"/>
    <x v="0"/>
    <m/>
    <m/>
    <s v="25095/07"/>
    <s v="Envase"/>
    <n v="2544"/>
    <s v="MRARBS02"/>
    <s v="BODY SPLASH DEUSA DO NILO"/>
    <n v="220"/>
    <s v="ml"/>
    <x v="0"/>
    <x v="1"/>
    <s v="BODY SPLASH"/>
    <x v="1"/>
    <m/>
    <m/>
    <m/>
    <m/>
    <m/>
    <m/>
    <m/>
    <m/>
    <m/>
    <m/>
    <m/>
    <m/>
    <m/>
    <m/>
    <m/>
    <m/>
    <m/>
    <m/>
    <m/>
    <m/>
    <m/>
    <s v=""/>
    <m/>
    <m/>
    <m/>
    <m/>
    <m/>
    <m/>
    <m/>
    <m/>
    <m/>
    <m/>
    <m/>
    <x v="0"/>
    <x v="2"/>
  </r>
  <r>
    <d v="2025-04-08T16:00:00"/>
    <d v="2025-04-09T08:45:00"/>
    <n v="2.7500000002328306"/>
    <n v="942.54545446565328"/>
    <x v="0"/>
    <m/>
    <m/>
    <s v="25095/08"/>
    <s v="Envase"/>
    <n v="2592"/>
    <s v="MRARBS02"/>
    <s v="BODY SPLASH DEUSA DO NILO"/>
    <n v="220"/>
    <s v="ml"/>
    <x v="0"/>
    <x v="1"/>
    <s v="BODY SPLASH"/>
    <x v="1"/>
    <m/>
    <m/>
    <m/>
    <m/>
    <m/>
    <m/>
    <m/>
    <m/>
    <m/>
    <m/>
    <m/>
    <m/>
    <m/>
    <m/>
    <m/>
    <m/>
    <m/>
    <m/>
    <m/>
    <m/>
    <m/>
    <s v=""/>
    <m/>
    <m/>
    <m/>
    <m/>
    <m/>
    <m/>
    <m/>
    <m/>
    <m/>
    <m/>
    <m/>
    <x v="0"/>
    <x v="2"/>
  </r>
  <r>
    <d v="2025-04-09T08:45:00"/>
    <d v="2025-04-09T10:46:00"/>
    <n v="2.0166666666045785"/>
    <n v="1261.4876033446233"/>
    <x v="0"/>
    <m/>
    <m/>
    <s v="25095/09"/>
    <s v="Envase"/>
    <n v="2544"/>
    <s v="MRARBS02"/>
    <s v="BODY SPLASH DEUSA DO NILO"/>
    <n v="220"/>
    <s v="ml"/>
    <x v="0"/>
    <x v="1"/>
    <s v="BODY SPLASH"/>
    <x v="1"/>
    <m/>
    <m/>
    <m/>
    <m/>
    <m/>
    <m/>
    <m/>
    <m/>
    <m/>
    <m/>
    <m/>
    <m/>
    <m/>
    <m/>
    <m/>
    <m/>
    <m/>
    <m/>
    <m/>
    <m/>
    <m/>
    <s v=""/>
    <m/>
    <m/>
    <m/>
    <m/>
    <m/>
    <m/>
    <m/>
    <m/>
    <m/>
    <m/>
    <m/>
    <x v="0"/>
    <x v="2"/>
  </r>
  <r>
    <d v="2025-04-09T10:46:00"/>
    <d v="2025-04-09T14:06:00"/>
    <n v="2.3333333333721384"/>
    <n v="1090.2857142675821"/>
    <x v="0"/>
    <m/>
    <m/>
    <s v="25095/10"/>
    <s v="Envase"/>
    <n v="2544"/>
    <s v="MRARBS02"/>
    <s v="BODY SPLASH DEUSA DO NILO"/>
    <n v="220"/>
    <s v="ml"/>
    <x v="0"/>
    <x v="1"/>
    <s v="BODY SPLASH"/>
    <x v="1"/>
    <m/>
    <m/>
    <m/>
    <m/>
    <m/>
    <m/>
    <m/>
    <m/>
    <m/>
    <m/>
    <m/>
    <m/>
    <m/>
    <m/>
    <m/>
    <m/>
    <m/>
    <m/>
    <m/>
    <m/>
    <m/>
    <s v=""/>
    <m/>
    <m/>
    <m/>
    <m/>
    <m/>
    <m/>
    <m/>
    <m/>
    <m/>
    <m/>
    <m/>
    <x v="0"/>
    <x v="2"/>
  </r>
  <r>
    <d v="2025-04-09T14:07:00"/>
    <d v="2025-04-09T16:42:00"/>
    <n v="2.5833333333721384"/>
    <n v="984.77419353359448"/>
    <x v="0"/>
    <m/>
    <m/>
    <s v="25095/11"/>
    <s v="Envase"/>
    <n v="2544"/>
    <s v="MRARBS02"/>
    <s v="BODY SPLASH DEUSA DO NILO"/>
    <n v="220"/>
    <s v="ml"/>
    <x v="0"/>
    <x v="1"/>
    <s v="BODY SPLASH"/>
    <x v="1"/>
    <m/>
    <m/>
    <m/>
    <m/>
    <m/>
    <m/>
    <m/>
    <m/>
    <m/>
    <m/>
    <m/>
    <m/>
    <m/>
    <m/>
    <m/>
    <m/>
    <m/>
    <m/>
    <m/>
    <m/>
    <m/>
    <s v=""/>
    <m/>
    <m/>
    <m/>
    <m/>
    <m/>
    <m/>
    <m/>
    <m/>
    <m/>
    <m/>
    <m/>
    <x v="0"/>
    <x v="2"/>
  </r>
  <r>
    <d v="2025-04-09T16:42:00"/>
    <d v="2025-04-10T09:28:00"/>
    <n v="2.7666666667792015"/>
    <n v="919.51807225175503"/>
    <x v="0"/>
    <m/>
    <m/>
    <s v="25095/12"/>
    <s v="Envase"/>
    <n v="2544"/>
    <s v="MRARBS02"/>
    <s v="BODY SPLASH DEUSA DO NILO"/>
    <n v="220"/>
    <s v="ml"/>
    <x v="0"/>
    <x v="1"/>
    <s v="BODY SPLASH"/>
    <x v="1"/>
    <m/>
    <m/>
    <m/>
    <m/>
    <m/>
    <m/>
    <m/>
    <m/>
    <m/>
    <m/>
    <m/>
    <m/>
    <m/>
    <m/>
    <m/>
    <m/>
    <m/>
    <m/>
    <m/>
    <m/>
    <m/>
    <s v=""/>
    <m/>
    <m/>
    <m/>
    <m/>
    <m/>
    <m/>
    <m/>
    <m/>
    <m/>
    <m/>
    <m/>
    <x v="0"/>
    <x v="2"/>
  </r>
  <r>
    <d v="2025-04-10T09:28:00"/>
    <d v="2025-04-10T13:09:00"/>
    <n v="2.6833333334652707"/>
    <n v="948.07453411487461"/>
    <x v="0"/>
    <m/>
    <m/>
    <s v="25095/13"/>
    <s v="Envase"/>
    <n v="2544"/>
    <s v="MRARBS02"/>
    <s v="BODY SPLASH DEUSA DO NILO"/>
    <n v="220"/>
    <s v="ml"/>
    <x v="0"/>
    <x v="1"/>
    <s v="BODY SPLASH"/>
    <x v="1"/>
    <m/>
    <m/>
    <m/>
    <m/>
    <m/>
    <m/>
    <m/>
    <m/>
    <m/>
    <m/>
    <m/>
    <m/>
    <m/>
    <m/>
    <m/>
    <m/>
    <m/>
    <m/>
    <m/>
    <m/>
    <m/>
    <s v=""/>
    <m/>
    <m/>
    <m/>
    <m/>
    <m/>
    <m/>
    <m/>
    <m/>
    <m/>
    <m/>
    <m/>
    <x v="0"/>
    <x v="2"/>
  </r>
  <r>
    <d v="2025-04-10T13:09:00"/>
    <d v="2025-04-10T16:00:00"/>
    <n v="2.8499999998603016"/>
    <n v="892.63157899112252"/>
    <x v="0"/>
    <m/>
    <m/>
    <s v="25095/14"/>
    <s v="Envase"/>
    <n v="2544"/>
    <s v="MRARBS02"/>
    <s v="BODY SPLASH DEUSA DO NILO"/>
    <n v="220"/>
    <s v="ml"/>
    <x v="0"/>
    <x v="1"/>
    <s v="BODY SPLASH"/>
    <x v="1"/>
    <m/>
    <m/>
    <m/>
    <m/>
    <m/>
    <m/>
    <m/>
    <m/>
    <m/>
    <m/>
    <m/>
    <m/>
    <m/>
    <m/>
    <m/>
    <m/>
    <m/>
    <m/>
    <m/>
    <m/>
    <m/>
    <s v=""/>
    <m/>
    <m/>
    <m/>
    <m/>
    <m/>
    <m/>
    <m/>
    <m/>
    <m/>
    <m/>
    <m/>
    <x v="0"/>
    <x v="2"/>
  </r>
  <r>
    <d v="2025-04-10T16:00:00"/>
    <d v="2025-04-11T08:30:00"/>
    <n v="2.5000000001164153"/>
    <n v="863.99999995976691"/>
    <x v="0"/>
    <m/>
    <m/>
    <s v="25095/15"/>
    <s v="Envase"/>
    <n v="2160"/>
    <s v="MRARBS02"/>
    <s v="BODY SPLASH DEUSA DO NILO"/>
    <n v="220"/>
    <s v="ml"/>
    <x v="0"/>
    <x v="1"/>
    <s v="BODY SPLASH"/>
    <x v="1"/>
    <m/>
    <m/>
    <m/>
    <m/>
    <m/>
    <m/>
    <m/>
    <m/>
    <m/>
    <m/>
    <m/>
    <m/>
    <m/>
    <m/>
    <m/>
    <m/>
    <m/>
    <m/>
    <m/>
    <m/>
    <m/>
    <s v=""/>
    <m/>
    <m/>
    <m/>
    <m/>
    <m/>
    <m/>
    <m/>
    <m/>
    <m/>
    <m/>
    <m/>
    <x v="0"/>
    <x v="2"/>
  </r>
  <r>
    <d v="2025-04-11T08:30:00"/>
    <d v="2025-04-11T10:46:00"/>
    <n v="2.2666666667209938"/>
    <n v="1122.3529411495701"/>
    <x v="0"/>
    <m/>
    <m/>
    <s v="25101/01"/>
    <s v="Envase"/>
    <n v="2544"/>
    <s v="MRARBS01"/>
    <s v="BODY SPLASH AURORA IMPERIAL"/>
    <n v="220"/>
    <s v="ml"/>
    <x v="0"/>
    <x v="1"/>
    <s v="BODY SPLASH"/>
    <x v="1"/>
    <m/>
    <m/>
    <m/>
    <m/>
    <m/>
    <m/>
    <m/>
    <m/>
    <m/>
    <m/>
    <m/>
    <m/>
    <m/>
    <m/>
    <m/>
    <m/>
    <m/>
    <m/>
    <m/>
    <m/>
    <m/>
    <s v=""/>
    <m/>
    <m/>
    <m/>
    <m/>
    <m/>
    <m/>
    <m/>
    <m/>
    <m/>
    <m/>
    <m/>
    <x v="0"/>
    <x v="2"/>
  </r>
  <r>
    <d v="2025-04-15T10:00:00"/>
    <d v="2025-04-23T14:00:00"/>
    <n v="56.000000000698492"/>
    <n v="224.99999999719356"/>
    <x v="0"/>
    <m/>
    <m/>
    <s v="25095/16"/>
    <s v="Envase"/>
    <n v="12600"/>
    <s v="DPSWHD01"/>
    <s v="GEL CREME BEIJAVEL HIDRATANTE 2X1"/>
    <n v="120"/>
    <s v="ml"/>
    <x v="4"/>
    <x v="0"/>
    <s v="GEL CREME HIDRATANTE"/>
    <x v="2"/>
    <m/>
    <m/>
    <m/>
    <m/>
    <m/>
    <m/>
    <m/>
    <m/>
    <m/>
    <m/>
    <m/>
    <m/>
    <m/>
    <m/>
    <m/>
    <m/>
    <m/>
    <m/>
    <m/>
    <m/>
    <m/>
    <s v=""/>
    <m/>
    <m/>
    <m/>
    <m/>
    <m/>
    <m/>
    <m/>
    <m/>
    <m/>
    <m/>
    <m/>
    <x v="0"/>
    <x v="2"/>
  </r>
  <r>
    <d v="2025-04-16T16:20:00"/>
    <d v="2025-04-17T11:20:00"/>
    <n v="5.0000000000582077"/>
    <n v="719.9999999916181"/>
    <x v="0"/>
    <m/>
    <m/>
    <s v="25106/01"/>
    <s v="Envase"/>
    <n v="3600"/>
    <s v="-"/>
    <s v="DESODORANTE ROLLON ALGODÃO"/>
    <s v="-"/>
    <s v="-"/>
    <x v="1"/>
    <x v="0"/>
    <s v="DESODORANTE"/>
    <x v="0"/>
    <m/>
    <m/>
    <m/>
    <m/>
    <m/>
    <m/>
    <m/>
    <m/>
    <m/>
    <m/>
    <m/>
    <m/>
    <m/>
    <m/>
    <m/>
    <m/>
    <m/>
    <m/>
    <m/>
    <m/>
    <m/>
    <s v=""/>
    <m/>
    <m/>
    <m/>
    <m/>
    <m/>
    <m/>
    <m/>
    <m/>
    <m/>
    <m/>
    <m/>
    <x v="0"/>
    <x v="2"/>
  </r>
  <r>
    <d v="2025-04-17T11:20:00"/>
    <d v="2025-04-17T00:00:00"/>
    <n v="0"/>
    <s v=""/>
    <x v="0"/>
    <m/>
    <m/>
    <s v="25106/02"/>
    <s v="Envase"/>
    <n v="3960"/>
    <s v="-"/>
    <s v="DESODORANTE ROLLON ALGODÃO"/>
    <s v="-"/>
    <s v="-"/>
    <x v="1"/>
    <x v="0"/>
    <s v="DESODORANTE"/>
    <x v="0"/>
    <s v="Data de Término não preenchida."/>
    <m/>
    <m/>
    <m/>
    <m/>
    <m/>
    <m/>
    <m/>
    <m/>
    <m/>
    <m/>
    <m/>
    <m/>
    <m/>
    <m/>
    <m/>
    <m/>
    <m/>
    <m/>
    <m/>
    <m/>
    <s v=""/>
    <m/>
    <m/>
    <m/>
    <m/>
    <m/>
    <m/>
    <m/>
    <m/>
    <m/>
    <m/>
    <m/>
    <x v="0"/>
    <x v="2"/>
  </r>
  <r>
    <d v="2025-04-23T10:05:00"/>
    <d v="2025-04-28T11:08:00"/>
    <n v="27.050000000162981"/>
    <n v="201.84842883427365"/>
    <x v="0"/>
    <m/>
    <m/>
    <s v="25113/02"/>
    <s v="Envase"/>
    <n v="5460"/>
    <s v="DPSWHD01"/>
    <s v="GEL CREME BEIJAVEL HIDRATANTE 2X1"/>
    <n v="120"/>
    <s v="ml"/>
    <x v="4"/>
    <x v="0"/>
    <s v="GEL CREME HIDRATANTE"/>
    <x v="2"/>
    <m/>
    <m/>
    <m/>
    <m/>
    <m/>
    <m/>
    <m/>
    <m/>
    <m/>
    <m/>
    <m/>
    <m/>
    <m/>
    <m/>
    <m/>
    <m/>
    <m/>
    <m/>
    <m/>
    <m/>
    <m/>
    <s v=""/>
    <m/>
    <m/>
    <m/>
    <m/>
    <m/>
    <m/>
    <m/>
    <m/>
    <m/>
    <m/>
    <m/>
    <x v="0"/>
    <x v="2"/>
  </r>
  <r>
    <d v="2025-04-23T14:00:00"/>
    <d v="2025-04-24T10:00:00"/>
    <n v="6"/>
    <n v="980"/>
    <x v="0"/>
    <m/>
    <m/>
    <s v="25113/01"/>
    <s v="Envase"/>
    <n v="5880"/>
    <s v="DPSWHD01"/>
    <s v="GEL CREME BEIJAVEL HIDRATANTE 2X1"/>
    <n v="120"/>
    <s v="ml"/>
    <x v="4"/>
    <x v="0"/>
    <s v="GEL CREME HIDRATANTE"/>
    <x v="2"/>
    <m/>
    <m/>
    <m/>
    <m/>
    <m/>
    <m/>
    <m/>
    <m/>
    <m/>
    <m/>
    <m/>
    <m/>
    <m/>
    <m/>
    <m/>
    <m/>
    <m/>
    <m/>
    <m/>
    <m/>
    <m/>
    <s v=""/>
    <m/>
    <m/>
    <m/>
    <m/>
    <m/>
    <m/>
    <m/>
    <m/>
    <m/>
    <m/>
    <m/>
    <x v="0"/>
    <x v="2"/>
  </r>
  <r>
    <d v="2025-04-28T11:08:00"/>
    <d v="2025-04-29T15:50:00"/>
    <n v="12.700000000069849"/>
    <n v="448.81889763532678"/>
    <x v="0"/>
    <m/>
    <m/>
    <s v="25116/01"/>
    <s v="Envase"/>
    <n v="5700"/>
    <s v="DPSWHD01"/>
    <s v="GEL CREME BEIJAVEL HIDRATANTE 2X1"/>
    <n v="120"/>
    <s v="ml"/>
    <x v="4"/>
    <x v="0"/>
    <s v="GEL CREME HIDRATANTE"/>
    <x v="2"/>
    <m/>
    <m/>
    <m/>
    <m/>
    <m/>
    <m/>
    <m/>
    <m/>
    <m/>
    <m/>
    <m/>
    <m/>
    <m/>
    <m/>
    <m/>
    <m/>
    <m/>
    <m/>
    <m/>
    <m/>
    <m/>
    <s v=""/>
    <m/>
    <m/>
    <m/>
    <m/>
    <m/>
    <m/>
    <m/>
    <m/>
    <m/>
    <m/>
    <m/>
    <x v="0"/>
    <x v="2"/>
  </r>
  <r>
    <d v="2025-04-29T11:00:00"/>
    <d v="2025-04-29T15:30:00"/>
    <n v="3.5"/>
    <n v="575.14285714285711"/>
    <x v="0"/>
    <m/>
    <m/>
    <s v="25119/03"/>
    <s v="Envase"/>
    <n v="2013"/>
    <s v="KUBPBA02"/>
    <s v="BASE PARA PERFUME FINA BASE PREMIUM 1l"/>
    <n v="1000"/>
    <s v="ml"/>
    <x v="5"/>
    <x v="2"/>
    <s v="BASE"/>
    <x v="1"/>
    <s v="Data de Término não preenchida."/>
    <m/>
    <m/>
    <m/>
    <m/>
    <m/>
    <m/>
    <m/>
    <m/>
    <m/>
    <m/>
    <m/>
    <m/>
    <m/>
    <m/>
    <m/>
    <m/>
    <m/>
    <m/>
    <m/>
    <m/>
    <s v=""/>
    <m/>
    <m/>
    <m/>
    <m/>
    <m/>
    <m/>
    <m/>
    <m/>
    <m/>
    <m/>
    <m/>
    <x v="0"/>
    <x v="2"/>
  </r>
  <r>
    <d v="2025-04-29T15:30:00"/>
    <d v="2025-04-30T09:00:00"/>
    <n v="3.5000000000582077"/>
    <n v="298.57142856646311"/>
    <x v="0"/>
    <m/>
    <m/>
    <s v="25119/02"/>
    <s v="Envase"/>
    <n v="1045"/>
    <s v="KUBPBA02"/>
    <s v="BASE PARA PERFUME FINA BASE PREMIUM 1l"/>
    <n v="1000"/>
    <s v="ml"/>
    <x v="5"/>
    <x v="2"/>
    <s v="BASE"/>
    <x v="1"/>
    <m/>
    <m/>
    <m/>
    <m/>
    <m/>
    <m/>
    <m/>
    <m/>
    <m/>
    <m/>
    <m/>
    <m/>
    <m/>
    <m/>
    <m/>
    <m/>
    <m/>
    <m/>
    <m/>
    <m/>
    <m/>
    <s v=""/>
    <m/>
    <m/>
    <m/>
    <m/>
    <m/>
    <m/>
    <m/>
    <m/>
    <m/>
    <m/>
    <m/>
    <x v="0"/>
    <x v="2"/>
  </r>
  <r>
    <d v="2025-04-29T15:50:00"/>
    <d v="2025-04-30T10:49:00"/>
    <n v="4.9833333335118368"/>
    <n v="1155.8528427679619"/>
    <x v="0"/>
    <m/>
    <m/>
    <s v="25119/01"/>
    <s v="Envase"/>
    <n v="5760"/>
    <s v="DPSWHD01"/>
    <s v="GEL CREME BEIJAVEL HIDRATANTE 2X1"/>
    <n v="120"/>
    <s v="ml"/>
    <x v="4"/>
    <x v="0"/>
    <s v="GEL CREME HIDRATANTE"/>
    <x v="2"/>
    <m/>
    <m/>
    <m/>
    <m/>
    <m/>
    <m/>
    <m/>
    <m/>
    <m/>
    <m/>
    <m/>
    <m/>
    <m/>
    <m/>
    <m/>
    <m/>
    <m/>
    <m/>
    <m/>
    <m/>
    <m/>
    <s v=""/>
    <m/>
    <m/>
    <m/>
    <m/>
    <m/>
    <m/>
    <m/>
    <m/>
    <m/>
    <m/>
    <m/>
    <x v="0"/>
    <x v="2"/>
  </r>
  <r>
    <d v="2025-05-01T10:40:00"/>
    <d v="2025-05-05T14:00:00"/>
    <n v="19.333333333488554"/>
    <n v="294.8275862045295"/>
    <x v="0"/>
    <m/>
    <m/>
    <s v="25121/01"/>
    <s v="Envase"/>
    <n v="5700"/>
    <s v="DPSWHD01"/>
    <s v="GEL CREME BEIJAVEL HIDRATANTE 2X1"/>
    <n v="120"/>
    <s v="ml"/>
    <x v="4"/>
    <x v="0"/>
    <s v="GEL CREME HIDRATANTE"/>
    <x v="2"/>
    <m/>
    <m/>
    <m/>
    <m/>
    <m/>
    <m/>
    <m/>
    <m/>
    <m/>
    <m/>
    <m/>
    <m/>
    <m/>
    <m/>
    <m/>
    <m/>
    <m/>
    <m/>
    <m/>
    <m/>
    <m/>
    <s v=""/>
    <m/>
    <m/>
    <m/>
    <m/>
    <m/>
    <m/>
    <m/>
    <m/>
    <m/>
    <m/>
    <m/>
    <x v="0"/>
    <x v="3"/>
  </r>
  <r>
    <d v="2025-05-05T14:00:00"/>
    <d v="2025-05-07T10:30:00"/>
    <n v="15.500000000174623"/>
    <n v="373.5483870925658"/>
    <x v="0"/>
    <m/>
    <m/>
    <s v="25121/02"/>
    <s v="Envase"/>
    <n v="5790"/>
    <s v="DPSWHD01"/>
    <s v="GEL CREME BEIJAVEL HIDRATANTE 2X1"/>
    <n v="120"/>
    <s v="ml"/>
    <x v="4"/>
    <x v="0"/>
    <s v="GEL CREME HIDRATANTE"/>
    <x v="2"/>
    <m/>
    <m/>
    <m/>
    <m/>
    <m/>
    <m/>
    <m/>
    <m/>
    <m/>
    <m/>
    <m/>
    <m/>
    <m/>
    <m/>
    <m/>
    <m/>
    <m/>
    <m/>
    <m/>
    <m/>
    <m/>
    <s v=""/>
    <m/>
    <m/>
    <m/>
    <m/>
    <m/>
    <m/>
    <m/>
    <m/>
    <m/>
    <m/>
    <m/>
    <x v="0"/>
    <x v="3"/>
  </r>
  <r>
    <d v="2025-05-07T14:15:00"/>
    <d v="2025-05-08T11:30:00"/>
    <n v="7.2500000000582077"/>
    <n v="838.89655171740276"/>
    <x v="0"/>
    <m/>
    <m/>
    <s v="25128/01"/>
    <s v="Envase"/>
    <n v="6082"/>
    <s v="SASCGF01"/>
    <s v="GEL FACIAL ANTI OLEOSIDADE PITAYA"/>
    <n v="100"/>
    <s v="ml"/>
    <x v="3"/>
    <x v="3"/>
    <s v="GEL"/>
    <x v="2"/>
    <m/>
    <m/>
    <m/>
    <m/>
    <m/>
    <m/>
    <m/>
    <m/>
    <m/>
    <m/>
    <m/>
    <m/>
    <m/>
    <m/>
    <m/>
    <m/>
    <m/>
    <m/>
    <m/>
    <m/>
    <m/>
    <s v=""/>
    <m/>
    <m/>
    <m/>
    <m/>
    <m/>
    <m/>
    <m/>
    <m/>
    <m/>
    <m/>
    <m/>
    <x v="0"/>
    <x v="3"/>
  </r>
  <r>
    <d v="2025-05-08T11:30:00"/>
    <d v="2025-05-09T10:10:00"/>
    <n v="7.6666666668024845"/>
    <n v="715.30434781341512"/>
    <x v="0"/>
    <m/>
    <m/>
    <s v="25128/02"/>
    <s v="Envase"/>
    <n v="5484"/>
    <s v="SASCGF02"/>
    <s v="GEL FACIAL ANTI OLEOSIDADE VITAMINA C"/>
    <n v="100"/>
    <s v="ml"/>
    <x v="3"/>
    <x v="3"/>
    <s v="GEL"/>
    <x v="2"/>
    <m/>
    <m/>
    <m/>
    <m/>
    <m/>
    <m/>
    <m/>
    <m/>
    <m/>
    <m/>
    <m/>
    <m/>
    <m/>
    <m/>
    <m/>
    <m/>
    <m/>
    <m/>
    <m/>
    <m/>
    <m/>
    <s v=""/>
    <m/>
    <m/>
    <m/>
    <m/>
    <m/>
    <m/>
    <m/>
    <m/>
    <m/>
    <m/>
    <m/>
    <x v="0"/>
    <x v="3"/>
  </r>
  <r>
    <d v="2025-05-09T10:00:00"/>
    <d v="2025-05-12T10:39:00"/>
    <n v="8.6500000000232831"/>
    <n v="694.91329479581736"/>
    <x v="0"/>
    <m/>
    <m/>
    <s v="25128/05"/>
    <s v="Envase"/>
    <n v="6011"/>
    <s v="SASCES01"/>
    <s v="ESFOLIANTE FACIAL PITAYA"/>
    <n v="100"/>
    <s v="ml"/>
    <x v="3"/>
    <x v="3"/>
    <s v="ESFOLIANTE"/>
    <x v="0"/>
    <m/>
    <m/>
    <m/>
    <m/>
    <m/>
    <m/>
    <m/>
    <m/>
    <m/>
    <m/>
    <m/>
    <m/>
    <m/>
    <m/>
    <m/>
    <m/>
    <m/>
    <m/>
    <m/>
    <m/>
    <m/>
    <s v=""/>
    <m/>
    <m/>
    <m/>
    <m/>
    <m/>
    <m/>
    <m/>
    <m/>
    <m/>
    <m/>
    <m/>
    <x v="0"/>
    <x v="3"/>
  </r>
  <r>
    <d v="2025-05-12T11:21:00"/>
    <d v="2025-05-13T10:17:00"/>
    <n v="7.9333333334652707"/>
    <n v="741.17647057590898"/>
    <x v="0"/>
    <m/>
    <m/>
    <s v="25128/04"/>
    <s v="Envase"/>
    <n v="5880"/>
    <s v="SASCDM01"/>
    <s v="SABONETE DEMAQUILANTE PITAYA"/>
    <n v="100"/>
    <s v="ml"/>
    <x v="3"/>
    <x v="4"/>
    <s v="SABONETE"/>
    <x v="0"/>
    <m/>
    <m/>
    <m/>
    <m/>
    <m/>
    <m/>
    <m/>
    <m/>
    <m/>
    <m/>
    <m/>
    <m/>
    <m/>
    <m/>
    <m/>
    <m/>
    <m/>
    <m/>
    <m/>
    <m/>
    <m/>
    <s v=""/>
    <m/>
    <m/>
    <m/>
    <m/>
    <m/>
    <m/>
    <m/>
    <m/>
    <m/>
    <m/>
    <m/>
    <x v="0"/>
    <x v="3"/>
  </r>
  <r>
    <d v="2025-05-13T10:17:00"/>
    <m/>
    <n v="0"/>
    <s v=""/>
    <x v="0"/>
    <m/>
    <m/>
    <s v="25128/03"/>
    <s v="Envase"/>
    <n v="5999"/>
    <s v="SASCDM02"/>
    <s v="SABONETE DEMAQUILANTE VITAMINA C"/>
    <n v="100"/>
    <s v="ml"/>
    <x v="3"/>
    <x v="4"/>
    <s v="SABONETE"/>
    <x v="0"/>
    <s v="Data de Término não preenchida."/>
    <m/>
    <m/>
    <m/>
    <m/>
    <m/>
    <m/>
    <m/>
    <m/>
    <m/>
    <m/>
    <m/>
    <m/>
    <m/>
    <m/>
    <m/>
    <m/>
    <m/>
    <m/>
    <m/>
    <m/>
    <s v=""/>
    <m/>
    <m/>
    <m/>
    <m/>
    <m/>
    <m/>
    <m/>
    <m/>
    <m/>
    <m/>
    <m/>
    <x v="0"/>
    <x v="3"/>
  </r>
  <r>
    <d v="2025-05-14T07:00:00"/>
    <d v="2025-05-14T07:05:00"/>
    <n v="8.3333333430346102E-2"/>
    <n v="323.99999962281436"/>
    <x v="0"/>
    <m/>
    <m/>
    <s v="25120/01"/>
    <s v="Envase"/>
    <n v="27"/>
    <s v="-"/>
    <s v="DESODORANTE ROLLON ALGODÃO"/>
    <s v="-"/>
    <s v="-"/>
    <x v="1"/>
    <x v="0"/>
    <s v="DESODORANTE"/>
    <x v="0"/>
    <m/>
    <m/>
    <m/>
    <m/>
    <m/>
    <m/>
    <m/>
    <m/>
    <m/>
    <m/>
    <m/>
    <m/>
    <m/>
    <m/>
    <m/>
    <m/>
    <m/>
    <m/>
    <m/>
    <m/>
    <m/>
    <s v=""/>
    <m/>
    <m/>
    <m/>
    <m/>
    <m/>
    <m/>
    <m/>
    <m/>
    <m/>
    <m/>
    <m/>
    <x v="0"/>
    <x v="3"/>
  </r>
  <r>
    <d v="2025-05-14T07:00:00"/>
    <d v="2025-05-14T07:05:00"/>
    <n v="8.3333333430346102E-2"/>
    <n v="683.9999992037192"/>
    <x v="0"/>
    <m/>
    <m/>
    <s v="25120/02"/>
    <s v="Envase"/>
    <n v="57"/>
    <s v="-"/>
    <s v="DESODORANTE ROLLON ALGODÃO"/>
    <s v="-"/>
    <s v="-"/>
    <x v="1"/>
    <x v="0"/>
    <s v="DESODORANTE"/>
    <x v="0"/>
    <m/>
    <m/>
    <m/>
    <m/>
    <m/>
    <m/>
    <m/>
    <m/>
    <m/>
    <m/>
    <m/>
    <m/>
    <m/>
    <m/>
    <m/>
    <m/>
    <m/>
    <m/>
    <m/>
    <m/>
    <m/>
    <s v=""/>
    <m/>
    <m/>
    <m/>
    <m/>
    <m/>
    <m/>
    <m/>
    <m/>
    <m/>
    <m/>
    <m/>
    <x v="0"/>
    <x v="3"/>
  </r>
  <r>
    <d v="2025-05-14T08:00:00"/>
    <d v="2025-05-14T16:35:00"/>
    <n v="7.5833333331975155"/>
    <n v="791.20879122296185"/>
    <x v="0"/>
    <m/>
    <m/>
    <s v="25128/06"/>
    <s v="Envase"/>
    <n v="6000"/>
    <s v="SASCES02"/>
    <s v="ESFOLIANTE FACIAL VITAMINA C"/>
    <n v="100"/>
    <s v="ml"/>
    <x v="3"/>
    <x v="3"/>
    <s v="ESFOLIANTE"/>
    <x v="0"/>
    <m/>
    <m/>
    <m/>
    <m/>
    <m/>
    <m/>
    <m/>
    <m/>
    <m/>
    <m/>
    <m/>
    <m/>
    <m/>
    <m/>
    <m/>
    <m/>
    <m/>
    <m/>
    <m/>
    <m/>
    <m/>
    <s v=""/>
    <m/>
    <m/>
    <m/>
    <m/>
    <m/>
    <m/>
    <m/>
    <m/>
    <m/>
    <m/>
    <m/>
    <x v="0"/>
    <x v="3"/>
  </r>
  <r>
    <d v="2025-05-15T10:15:00"/>
    <d v="2025-05-15T14:36:00"/>
    <n v="3.3499999998603016"/>
    <n v="759.40298510629475"/>
    <x v="0"/>
    <m/>
    <m/>
    <s v="25135/01"/>
    <s v="Envase"/>
    <n v="2544"/>
    <s v="MRARBS01"/>
    <s v="BODY SPLASH AURORA IMPERIAL"/>
    <n v="220"/>
    <s v="ml"/>
    <x v="0"/>
    <x v="1"/>
    <s v="BODY SPLASH"/>
    <x v="1"/>
    <m/>
    <m/>
    <m/>
    <m/>
    <m/>
    <m/>
    <m/>
    <m/>
    <m/>
    <m/>
    <m/>
    <m/>
    <m/>
    <m/>
    <m/>
    <m/>
    <m/>
    <m/>
    <m/>
    <m/>
    <m/>
    <s v=""/>
    <m/>
    <m/>
    <m/>
    <m/>
    <m/>
    <m/>
    <m/>
    <m/>
    <m/>
    <m/>
    <m/>
    <x v="0"/>
    <x v="3"/>
  </r>
  <r>
    <d v="2025-05-15T14:37:00"/>
    <d v="2025-05-16T09:00:00"/>
    <n v="4.3833333334769122"/>
    <n v="591.33079845971804"/>
    <x v="0"/>
    <m/>
    <m/>
    <s v="25135/02"/>
    <s v="Envase"/>
    <n v="2592"/>
    <s v="MRARBS01"/>
    <s v="BODY SPLASH AURORA IMPERIAL"/>
    <n v="220"/>
    <s v="ml"/>
    <x v="0"/>
    <x v="1"/>
    <s v="BODY SPLASH"/>
    <x v="1"/>
    <m/>
    <m/>
    <m/>
    <m/>
    <m/>
    <m/>
    <m/>
    <m/>
    <m/>
    <m/>
    <m/>
    <m/>
    <m/>
    <m/>
    <m/>
    <m/>
    <m/>
    <m/>
    <m/>
    <m/>
    <m/>
    <s v=""/>
    <m/>
    <m/>
    <m/>
    <m/>
    <m/>
    <m/>
    <m/>
    <m/>
    <m/>
    <m/>
    <m/>
    <x v="0"/>
    <x v="3"/>
  </r>
  <r>
    <d v="2025-05-16T09:00:00"/>
    <d v="2025-05-16T12:00:00"/>
    <n v="3"/>
    <n v="864"/>
    <x v="0"/>
    <m/>
    <m/>
    <s v="25136/01"/>
    <s v="Envase"/>
    <n v="2592"/>
    <s v="MRARBS01"/>
    <s v="BODY SPLASH AURORA IMPERIAL"/>
    <n v="220"/>
    <s v="ml"/>
    <x v="0"/>
    <x v="1"/>
    <s v="BODY SPLASH"/>
    <x v="1"/>
    <m/>
    <m/>
    <m/>
    <m/>
    <m/>
    <m/>
    <m/>
    <m/>
    <m/>
    <m/>
    <m/>
    <m/>
    <m/>
    <m/>
    <m/>
    <m/>
    <m/>
    <m/>
    <m/>
    <m/>
    <m/>
    <s v=""/>
    <m/>
    <m/>
    <m/>
    <m/>
    <m/>
    <m/>
    <m/>
    <m/>
    <m/>
    <m/>
    <m/>
    <x v="0"/>
    <x v="3"/>
  </r>
  <r>
    <d v="2025-05-19T07:00:00"/>
    <d v="2025-05-19T10:00:00"/>
    <n v="3"/>
    <n v="848"/>
    <x v="0"/>
    <m/>
    <m/>
    <s v="25075/06"/>
    <s v="Envase"/>
    <n v="2544"/>
    <s v="MRARBS05"/>
    <s v="BODY SPLASH FORÇA DO LEAO"/>
    <n v="220"/>
    <s v="ml"/>
    <x v="0"/>
    <x v="1"/>
    <s v="BODY SPLASH"/>
    <x v="1"/>
    <s v="Uma semana parado. Por quê?"/>
    <m/>
    <m/>
    <m/>
    <m/>
    <m/>
    <m/>
    <m/>
    <m/>
    <m/>
    <m/>
    <m/>
    <m/>
    <m/>
    <m/>
    <m/>
    <m/>
    <m/>
    <m/>
    <m/>
    <m/>
    <s v=""/>
    <m/>
    <m/>
    <m/>
    <m/>
    <m/>
    <m/>
    <m/>
    <m/>
    <m/>
    <m/>
    <m/>
    <x v="0"/>
    <x v="3"/>
  </r>
  <r>
    <d v="2025-05-19T07:05:00"/>
    <d v="2025-05-19T09:52:00"/>
    <n v="2.7833333333255723"/>
    <n v="914.01197605045286"/>
    <x v="0"/>
    <m/>
    <m/>
    <s v="25139/01"/>
    <s v="Envase"/>
    <n v="2544"/>
    <s v="MRARBS01"/>
    <s v="BODY SPLASH AURORA IMPERIAL"/>
    <n v="220"/>
    <s v="ml"/>
    <x v="0"/>
    <x v="1"/>
    <s v="BODY SPLASH"/>
    <x v="1"/>
    <m/>
    <m/>
    <m/>
    <m/>
    <m/>
    <m/>
    <m/>
    <m/>
    <m/>
    <m/>
    <m/>
    <m/>
    <m/>
    <m/>
    <m/>
    <m/>
    <m/>
    <m/>
    <m/>
    <m/>
    <m/>
    <s v=""/>
    <m/>
    <m/>
    <m/>
    <m/>
    <m/>
    <m/>
    <m/>
    <m/>
    <m/>
    <m/>
    <m/>
    <x v="0"/>
    <x v="3"/>
  </r>
  <r>
    <d v="2025-05-19T09:52:00"/>
    <d v="2025-05-19T13:15:00"/>
    <n v="2.3833333333604969"/>
    <n v="1067.4125874004219"/>
    <x v="0"/>
    <m/>
    <m/>
    <s v="25139/02"/>
    <s v="Envase"/>
    <n v="2544"/>
    <s v="MRARBS01"/>
    <s v="BODY SPLASH AURORA IMPERIAL"/>
    <n v="220"/>
    <s v="ml"/>
    <x v="0"/>
    <x v="1"/>
    <s v="BODY SPLASH"/>
    <x v="1"/>
    <m/>
    <m/>
    <m/>
    <m/>
    <m/>
    <m/>
    <m/>
    <m/>
    <m/>
    <m/>
    <m/>
    <m/>
    <m/>
    <m/>
    <m/>
    <m/>
    <m/>
    <m/>
    <m/>
    <m/>
    <m/>
    <s v=""/>
    <m/>
    <m/>
    <m/>
    <m/>
    <m/>
    <m/>
    <m/>
    <m/>
    <m/>
    <m/>
    <m/>
    <x v="0"/>
    <x v="3"/>
  </r>
  <r>
    <d v="2025-05-19T10:00:00"/>
    <d v="2025-05-19T13:00:00"/>
    <n v="3"/>
    <n v="452.33333333333331"/>
    <x v="0"/>
    <m/>
    <m/>
    <s v="25075/07"/>
    <s v="Envase"/>
    <n v="1357"/>
    <s v="MRARBS05"/>
    <s v="BODY SPLASH FORÇA DO LEAO"/>
    <n v="220"/>
    <s v="ml"/>
    <x v="0"/>
    <x v="1"/>
    <s v="BODY SPLASH"/>
    <x v="1"/>
    <m/>
    <m/>
    <m/>
    <m/>
    <m/>
    <m/>
    <m/>
    <m/>
    <m/>
    <m/>
    <m/>
    <m/>
    <m/>
    <m/>
    <m/>
    <m/>
    <m/>
    <m/>
    <m/>
    <m/>
    <m/>
    <s v=""/>
    <m/>
    <m/>
    <m/>
    <m/>
    <m/>
    <m/>
    <m/>
    <m/>
    <m/>
    <m/>
    <m/>
    <x v="0"/>
    <x v="3"/>
  </r>
  <r>
    <d v="2025-05-19T13:15:00"/>
    <d v="2025-05-20T09:00:00"/>
    <n v="5.7500000000582077"/>
    <n v="667.82608694976125"/>
    <x v="0"/>
    <m/>
    <m/>
    <s v="25139/03"/>
    <s v="Envase"/>
    <n v="3840"/>
    <s v="MRARBS01"/>
    <s v="BODY SPLASH AURORA IMPERIAL"/>
    <n v="220"/>
    <s v="ml"/>
    <x v="0"/>
    <x v="1"/>
    <s v="BODY SPLASH"/>
    <x v="1"/>
    <m/>
    <m/>
    <m/>
    <m/>
    <m/>
    <m/>
    <m/>
    <m/>
    <m/>
    <m/>
    <m/>
    <m/>
    <m/>
    <m/>
    <m/>
    <m/>
    <m/>
    <m/>
    <m/>
    <m/>
    <m/>
    <s v=""/>
    <m/>
    <m/>
    <m/>
    <m/>
    <m/>
    <m/>
    <m/>
    <m/>
    <m/>
    <m/>
    <m/>
    <x v="0"/>
    <x v="3"/>
  </r>
  <r>
    <d v="2025-05-20T09:00:00"/>
    <d v="2025-05-20T10:30:00"/>
    <n v="1.5"/>
    <n v="1696"/>
    <x v="0"/>
    <m/>
    <m/>
    <s v="25140/01"/>
    <s v="Envase"/>
    <n v="2544"/>
    <s v="MRARBS03"/>
    <s v="BODY SPLASH ECLIPSE DOURADO"/>
    <n v="220"/>
    <s v="ml"/>
    <x v="0"/>
    <x v="1"/>
    <s v="BODY SPLASH"/>
    <x v="1"/>
    <m/>
    <m/>
    <m/>
    <m/>
    <m/>
    <m/>
    <m/>
    <m/>
    <m/>
    <m/>
    <m/>
    <m/>
    <m/>
    <m/>
    <m/>
    <m/>
    <m/>
    <m/>
    <m/>
    <m/>
    <m/>
    <s v=""/>
    <m/>
    <m/>
    <m/>
    <m/>
    <m/>
    <m/>
    <m/>
    <m/>
    <m/>
    <m/>
    <m/>
    <x v="0"/>
    <x v="3"/>
  </r>
  <r>
    <d v="2025-05-20T10:30:00"/>
    <d v="2025-05-20T14:51:00"/>
    <n v="3.3500000000349246"/>
    <n v="759.4029850667099"/>
    <x v="0"/>
    <m/>
    <m/>
    <s v="25140/02"/>
    <s v="Envase"/>
    <n v="2544"/>
    <s v="MRARBS03"/>
    <s v="BODY SPLASH ECLIPSE DOURADO"/>
    <n v="220"/>
    <s v="ml"/>
    <x v="0"/>
    <x v="1"/>
    <s v="BODY SPLASH"/>
    <x v="1"/>
    <m/>
    <m/>
    <m/>
    <m/>
    <m/>
    <m/>
    <m/>
    <m/>
    <m/>
    <m/>
    <m/>
    <m/>
    <m/>
    <m/>
    <m/>
    <m/>
    <m/>
    <m/>
    <m/>
    <m/>
    <m/>
    <s v=""/>
    <m/>
    <m/>
    <m/>
    <m/>
    <m/>
    <m/>
    <m/>
    <m/>
    <m/>
    <m/>
    <m/>
    <x v="0"/>
    <x v="3"/>
  </r>
  <r>
    <d v="2025-05-20T14:51:00"/>
    <d v="2025-05-21T07:56:00"/>
    <n v="3.0833333334303461"/>
    <n v="825.0810810551211"/>
    <x v="0"/>
    <m/>
    <m/>
    <s v="25140/03"/>
    <s v="Envase"/>
    <n v="2544"/>
    <s v="MRARBS03"/>
    <s v="BODY SPLASH ECLIPSE DOURADO"/>
    <n v="220"/>
    <s v="ml"/>
    <x v="0"/>
    <x v="1"/>
    <s v="BODY SPLASH"/>
    <x v="1"/>
    <m/>
    <m/>
    <m/>
    <m/>
    <m/>
    <m/>
    <m/>
    <m/>
    <m/>
    <m/>
    <m/>
    <m/>
    <m/>
    <m/>
    <m/>
    <m/>
    <m/>
    <m/>
    <m/>
    <m/>
    <m/>
    <s v=""/>
    <m/>
    <m/>
    <m/>
    <m/>
    <m/>
    <m/>
    <m/>
    <m/>
    <m/>
    <m/>
    <m/>
    <x v="0"/>
    <x v="3"/>
  </r>
  <r>
    <d v="2025-05-21T07:56:00"/>
    <d v="2025-05-21T10:15:00"/>
    <n v="2.3166666667093523"/>
    <n v="1284.6043165230931"/>
    <x v="0"/>
    <m/>
    <m/>
    <s v="25140/04"/>
    <s v="Envase"/>
    <n v="2976"/>
    <s v="MRARBS03"/>
    <s v="BODY SPLASH ECLIPSE DOURADO"/>
    <n v="220"/>
    <s v="ml"/>
    <x v="0"/>
    <x v="1"/>
    <s v="BODY SPLASH"/>
    <x v="1"/>
    <m/>
    <m/>
    <m/>
    <m/>
    <m/>
    <m/>
    <m/>
    <m/>
    <m/>
    <m/>
    <m/>
    <m/>
    <m/>
    <m/>
    <m/>
    <m/>
    <m/>
    <m/>
    <m/>
    <m/>
    <m/>
    <s v=""/>
    <m/>
    <m/>
    <m/>
    <m/>
    <m/>
    <m/>
    <m/>
    <m/>
    <m/>
    <m/>
    <m/>
    <x v="0"/>
    <x v="3"/>
  </r>
  <r>
    <d v="2025-05-21T10:15:00"/>
    <d v="2025-05-21T16:00:00"/>
    <n v="4.7499999998835847"/>
    <n v="485.05263159083529"/>
    <x v="0"/>
    <m/>
    <m/>
    <s v="25134/01"/>
    <s v="Envase"/>
    <n v="2304"/>
    <s v="MRARBS05"/>
    <s v="BODY SPLASH FORÇA DO LEAO"/>
    <n v="220"/>
    <s v="ml"/>
    <x v="0"/>
    <x v="1"/>
    <s v="BODY SPLASH"/>
    <x v="1"/>
    <m/>
    <m/>
    <m/>
    <m/>
    <m/>
    <m/>
    <m/>
    <m/>
    <m/>
    <m/>
    <m/>
    <m/>
    <m/>
    <m/>
    <m/>
    <m/>
    <m/>
    <m/>
    <m/>
    <m/>
    <m/>
    <s v=""/>
    <m/>
    <m/>
    <m/>
    <m/>
    <m/>
    <m/>
    <m/>
    <m/>
    <m/>
    <m/>
    <m/>
    <x v="0"/>
    <x v="3"/>
  </r>
  <r>
    <d v="2025-05-21T16:00:00"/>
    <d v="2025-05-22T09:38:00"/>
    <n v="3.6333333334769122"/>
    <n v="753.02752290602234"/>
    <x v="0"/>
    <m/>
    <m/>
    <s v="25134/02"/>
    <s v="Envase"/>
    <n v="2736"/>
    <s v="MRARBS05"/>
    <s v="BODY SPLASH FORÇA DO LEAO"/>
    <n v="220"/>
    <s v="ml"/>
    <x v="0"/>
    <x v="1"/>
    <s v="BODY SPLASH"/>
    <x v="1"/>
    <m/>
    <m/>
    <m/>
    <m/>
    <m/>
    <m/>
    <m/>
    <m/>
    <m/>
    <m/>
    <m/>
    <m/>
    <m/>
    <m/>
    <m/>
    <m/>
    <m/>
    <m/>
    <m/>
    <m/>
    <m/>
    <s v=""/>
    <m/>
    <m/>
    <m/>
    <m/>
    <m/>
    <m/>
    <m/>
    <m/>
    <m/>
    <m/>
    <m/>
    <x v="0"/>
    <x v="3"/>
  </r>
  <r>
    <d v="2025-05-22T09:38:00"/>
    <d v="2025-05-22T13:32:00"/>
    <n v="2.8999999999650754"/>
    <n v="877.24137932090946"/>
    <x v="0"/>
    <m/>
    <m/>
    <s v="25134/03"/>
    <s v="Envase"/>
    <n v="2544"/>
    <s v="MRARBS05"/>
    <s v="BODY SPLASH FORÇA DO LEAO"/>
    <n v="220"/>
    <s v="ml"/>
    <x v="0"/>
    <x v="1"/>
    <s v="BODY SPLASH"/>
    <x v="1"/>
    <m/>
    <m/>
    <m/>
    <m/>
    <m/>
    <m/>
    <m/>
    <m/>
    <m/>
    <m/>
    <m/>
    <m/>
    <m/>
    <m/>
    <m/>
    <m/>
    <m/>
    <m/>
    <m/>
    <m/>
    <m/>
    <s v=""/>
    <m/>
    <m/>
    <m/>
    <m/>
    <m/>
    <m/>
    <m/>
    <m/>
    <m/>
    <m/>
    <m/>
    <x v="0"/>
    <x v="3"/>
  </r>
  <r>
    <d v="2025-05-22T13:32:00"/>
    <d v="2025-05-22T16:00:00"/>
    <n v="2.4666666666744277"/>
    <n v="1031.3513513481064"/>
    <x v="0"/>
    <m/>
    <m/>
    <s v="25134/04"/>
    <s v="Envase"/>
    <n v="2544"/>
    <s v="MRARBS05"/>
    <s v="BODY SPLASH FORÇA DO LEAO"/>
    <n v="220"/>
    <s v="ml"/>
    <x v="0"/>
    <x v="1"/>
    <s v="BODY SPLASH"/>
    <x v="1"/>
    <m/>
    <m/>
    <m/>
    <m/>
    <m/>
    <m/>
    <m/>
    <m/>
    <m/>
    <m/>
    <m/>
    <m/>
    <m/>
    <m/>
    <m/>
    <m/>
    <m/>
    <m/>
    <m/>
    <m/>
    <m/>
    <s v=""/>
    <m/>
    <m/>
    <m/>
    <m/>
    <m/>
    <m/>
    <m/>
    <m/>
    <m/>
    <m/>
    <m/>
    <x v="0"/>
    <x v="3"/>
  </r>
  <r>
    <d v="2025-05-22T16:00:00"/>
    <d v="2025-05-23T09:16:00"/>
    <n v="3.2666666668374091"/>
    <n v="778.77551016337657"/>
    <x v="0"/>
    <m/>
    <m/>
    <s v="25134/05"/>
    <s v="Envase"/>
    <n v="2544"/>
    <s v="MRARBS05"/>
    <s v="BODY SPLASH FORÇA DO LEAO"/>
    <n v="220"/>
    <s v="ml"/>
    <x v="0"/>
    <x v="1"/>
    <s v="BODY SPLASH"/>
    <x v="1"/>
    <m/>
    <m/>
    <m/>
    <m/>
    <m/>
    <m/>
    <m/>
    <m/>
    <m/>
    <m/>
    <m/>
    <m/>
    <m/>
    <m/>
    <m/>
    <m/>
    <m/>
    <m/>
    <m/>
    <m/>
    <m/>
    <s v=""/>
    <m/>
    <m/>
    <m/>
    <m/>
    <m/>
    <m/>
    <m/>
    <m/>
    <m/>
    <m/>
    <m/>
    <x v="0"/>
    <x v="3"/>
  </r>
  <r>
    <d v="2025-05-23T09:16:00"/>
    <d v="2025-05-27T14:00:00"/>
    <n v="20.733333333511837"/>
    <n v="122.70096462916868"/>
    <x v="0"/>
    <m/>
    <m/>
    <s v="25134/06"/>
    <s v="Envase"/>
    <n v="2544"/>
    <s v="MRARBS05"/>
    <s v="BODY SPLASH FORÇA DO LEAO"/>
    <n v="220"/>
    <s v="ml"/>
    <x v="0"/>
    <x v="1"/>
    <s v="BODY SPLASH"/>
    <x v="1"/>
    <m/>
    <m/>
    <m/>
    <m/>
    <m/>
    <m/>
    <m/>
    <m/>
    <m/>
    <m/>
    <m/>
    <m/>
    <m/>
    <m/>
    <m/>
    <m/>
    <m/>
    <m/>
    <m/>
    <m/>
    <m/>
    <s v=""/>
    <m/>
    <m/>
    <m/>
    <m/>
    <m/>
    <m/>
    <m/>
    <m/>
    <m/>
    <m/>
    <m/>
    <x v="0"/>
    <x v="3"/>
  </r>
  <r>
    <d v="2025-05-28T07:00:00"/>
    <d v="2025-05-28T10:00:00"/>
    <n v="3"/>
    <n v="800"/>
    <x v="0"/>
    <m/>
    <m/>
    <s v="25134/07"/>
    <s v="Envase"/>
    <n v="2400"/>
    <s v="MRARBS05"/>
    <s v="BODY SPLASH FORÇA DO LEAO"/>
    <n v="220"/>
    <s v="ml"/>
    <x v="0"/>
    <x v="1"/>
    <s v="BODY SPLASH"/>
    <x v="1"/>
    <m/>
    <m/>
    <m/>
    <m/>
    <m/>
    <m/>
    <m/>
    <m/>
    <m/>
    <m/>
    <m/>
    <m/>
    <m/>
    <m/>
    <m/>
    <m/>
    <m/>
    <m/>
    <m/>
    <m/>
    <m/>
    <s v=""/>
    <m/>
    <m/>
    <m/>
    <m/>
    <m/>
    <m/>
    <m/>
    <m/>
    <m/>
    <m/>
    <m/>
    <x v="0"/>
    <x v="3"/>
  </r>
  <r>
    <d v="2025-05-28T15:00:00"/>
    <d v="2025-05-29T08:00:00"/>
    <n v="3.000000000174623"/>
    <n v="587.9999999657739"/>
    <x v="0"/>
    <m/>
    <m/>
    <s v="25148/01"/>
    <s v="Envase"/>
    <n v="1764"/>
    <s v="LNHGSH01"/>
    <s v="SHAMPOO HUBBA GUM BANANA"/>
    <n v="300"/>
    <s v="ml"/>
    <x v="6"/>
    <x v="5"/>
    <s v="SHAMPOO"/>
    <x v="0"/>
    <m/>
    <m/>
    <m/>
    <m/>
    <m/>
    <m/>
    <m/>
    <m/>
    <m/>
    <m/>
    <m/>
    <m/>
    <m/>
    <m/>
    <m/>
    <m/>
    <m/>
    <m/>
    <m/>
    <m/>
    <m/>
    <s v=""/>
    <m/>
    <m/>
    <m/>
    <m/>
    <m/>
    <m/>
    <m/>
    <m/>
    <m/>
    <m/>
    <m/>
    <x v="0"/>
    <x v="3"/>
  </r>
  <r>
    <d v="2025-05-29T08:11:00"/>
    <d v="2025-05-29T09:37:00"/>
    <n v="1.4333333332906477"/>
    <n v="703.25581397443182"/>
    <x v="0"/>
    <m/>
    <m/>
    <s v="25148/03"/>
    <s v="Envase"/>
    <n v="1008"/>
    <s v="LNHGSH01"/>
    <s v="SHAMPOO HUBBA GUM BANANA"/>
    <n v="300"/>
    <s v="ml"/>
    <x v="6"/>
    <x v="5"/>
    <s v="SHAMPOO"/>
    <x v="0"/>
    <m/>
    <m/>
    <m/>
    <m/>
    <m/>
    <m/>
    <m/>
    <m/>
    <m/>
    <m/>
    <m/>
    <m/>
    <m/>
    <m/>
    <m/>
    <m/>
    <m/>
    <m/>
    <m/>
    <m/>
    <m/>
    <s v=""/>
    <m/>
    <m/>
    <m/>
    <m/>
    <m/>
    <m/>
    <m/>
    <m/>
    <m/>
    <m/>
    <m/>
    <x v="0"/>
    <x v="3"/>
  </r>
  <r>
    <d v="2025-05-29T09:15:00"/>
    <d v="2025-05-29T11:59:00"/>
    <n v="2.7333333333372138"/>
    <n v="689.63414634048434"/>
    <x v="0"/>
    <m/>
    <m/>
    <s v="25148/02"/>
    <s v="Envase"/>
    <n v="1885"/>
    <s v="LNHGSH01"/>
    <s v="SHAMPOO HUBBA GUM BANANA"/>
    <n v="300"/>
    <s v="ml"/>
    <x v="6"/>
    <x v="5"/>
    <s v="SHAMPOO"/>
    <x v="0"/>
    <m/>
    <m/>
    <m/>
    <m/>
    <m/>
    <m/>
    <m/>
    <m/>
    <m/>
    <m/>
    <m/>
    <m/>
    <m/>
    <m/>
    <m/>
    <m/>
    <m/>
    <m/>
    <m/>
    <m/>
    <m/>
    <s v=""/>
    <m/>
    <m/>
    <m/>
    <m/>
    <m/>
    <m/>
    <m/>
    <m/>
    <m/>
    <m/>
    <m/>
    <x v="0"/>
    <x v="3"/>
  </r>
  <r>
    <d v="2025-05-29T13:45:00"/>
    <d v="2025-05-30T07:30:00"/>
    <n v="3.750000000174623"/>
    <n v="355.19999998345969"/>
    <x v="0"/>
    <m/>
    <m/>
    <s v="25148/04"/>
    <s v="Envase"/>
    <n v="1332"/>
    <s v="LNHGCN02"/>
    <s v="CONDICIONADOR HUBBA GUM TUTTI-FRUTTI"/>
    <n v="300"/>
    <s v="ml"/>
    <x v="6"/>
    <x v="5"/>
    <s v="CONDICIONADOR"/>
    <x v="4"/>
    <m/>
    <m/>
    <m/>
    <m/>
    <m/>
    <m/>
    <m/>
    <m/>
    <m/>
    <m/>
    <m/>
    <m/>
    <m/>
    <m/>
    <m/>
    <m/>
    <m/>
    <m/>
    <m/>
    <m/>
    <m/>
    <s v=""/>
    <m/>
    <m/>
    <m/>
    <m/>
    <m/>
    <m/>
    <m/>
    <m/>
    <m/>
    <m/>
    <m/>
    <x v="0"/>
    <x v="3"/>
  </r>
  <r>
    <d v="2025-05-30T07:30:00"/>
    <d v="2025-05-30T10:05:00"/>
    <n v="2.5833333333721384"/>
    <n v="515.61290321806121"/>
    <x v="0"/>
    <m/>
    <m/>
    <s v="25148/05"/>
    <s v="Envase"/>
    <n v="1332"/>
    <s v="LNHGCN02"/>
    <s v="CONDICIONADOR HUBBA GUM TUTTI-FRUTTI"/>
    <n v="300"/>
    <s v="ml"/>
    <x v="6"/>
    <x v="5"/>
    <s v="CONDICIONADOR"/>
    <x v="4"/>
    <m/>
    <m/>
    <m/>
    <m/>
    <m/>
    <m/>
    <m/>
    <m/>
    <m/>
    <m/>
    <m/>
    <m/>
    <m/>
    <m/>
    <m/>
    <m/>
    <m/>
    <m/>
    <m/>
    <m/>
    <m/>
    <s v=""/>
    <m/>
    <m/>
    <m/>
    <m/>
    <m/>
    <m/>
    <m/>
    <m/>
    <m/>
    <m/>
    <m/>
    <x v="0"/>
    <x v="3"/>
  </r>
  <r>
    <d v="2025-05-30T10:05:00"/>
    <d v="2025-05-30T17:00:00"/>
    <n v="5.9166666666860692"/>
    <n v="292.05633802721127"/>
    <x v="0"/>
    <m/>
    <m/>
    <s v="25148/06"/>
    <s v="Envase"/>
    <n v="1728"/>
    <s v="LNHGCN02"/>
    <s v="CONDICIONADOR HUBBA GUM TUTTI-FRUTTI"/>
    <n v="300"/>
    <s v="ml"/>
    <x v="6"/>
    <x v="5"/>
    <s v="CONDICIONADOR"/>
    <x v="4"/>
    <m/>
    <m/>
    <m/>
    <m/>
    <m/>
    <m/>
    <m/>
    <m/>
    <m/>
    <m/>
    <m/>
    <m/>
    <m/>
    <m/>
    <m/>
    <m/>
    <m/>
    <m/>
    <m/>
    <m/>
    <m/>
    <s v=""/>
    <m/>
    <m/>
    <m/>
    <m/>
    <m/>
    <m/>
    <m/>
    <m/>
    <m/>
    <m/>
    <m/>
    <x v="0"/>
    <x v="3"/>
  </r>
  <r>
    <d v="2025-06-02T07:27:00"/>
    <d v="2025-06-02T09:37:00"/>
    <n v="2.1666666665696539"/>
    <n v="692.30769233869046"/>
    <x v="0"/>
    <m/>
    <m/>
    <s v="25149/01"/>
    <s v="Envase"/>
    <n v="1500"/>
    <s v="LNHGCN01"/>
    <s v="CONDICIONADOR HUBBA GUM BANANA"/>
    <n v="300"/>
    <s v="ml"/>
    <x v="6"/>
    <x v="5"/>
    <s v="CONDICIONADOR"/>
    <x v="4"/>
    <m/>
    <m/>
    <m/>
    <m/>
    <m/>
    <m/>
    <m/>
    <m/>
    <m/>
    <m/>
    <m/>
    <m/>
    <m/>
    <m/>
    <m/>
    <m/>
    <m/>
    <m/>
    <m/>
    <m/>
    <m/>
    <s v=""/>
    <m/>
    <m/>
    <m/>
    <m/>
    <m/>
    <m/>
    <m/>
    <m/>
    <m/>
    <m/>
    <m/>
    <x v="0"/>
    <x v="4"/>
  </r>
  <r>
    <d v="2025-06-02T09:38:00"/>
    <d v="2025-06-02T11:50:00"/>
    <n v="2.2000000000116415"/>
    <n v="681.8181818145739"/>
    <x v="0"/>
    <m/>
    <m/>
    <s v="25149/02"/>
    <s v="Envase"/>
    <n v="1500"/>
    <s v="LNHGCN01"/>
    <s v="CONDICIONADOR HUBBA GUM BANANA"/>
    <n v="300"/>
    <s v="ml"/>
    <x v="6"/>
    <x v="5"/>
    <s v="CONDICIONADOR"/>
    <x v="4"/>
    <m/>
    <m/>
    <m/>
    <m/>
    <m/>
    <m/>
    <m/>
    <m/>
    <m/>
    <m/>
    <m/>
    <m/>
    <m/>
    <m/>
    <m/>
    <m/>
    <m/>
    <m/>
    <m/>
    <m/>
    <m/>
    <s v=""/>
    <m/>
    <m/>
    <m/>
    <m/>
    <m/>
    <m/>
    <m/>
    <m/>
    <m/>
    <m/>
    <m/>
    <x v="0"/>
    <x v="4"/>
  </r>
  <r>
    <d v="2025-06-02T11:50:00"/>
    <d v="2025-06-02T15:50:00"/>
    <n v="2.9999999999417923"/>
    <n v="528.00000001024455"/>
    <x v="0"/>
    <m/>
    <m/>
    <s v="25149/03"/>
    <s v="Envase"/>
    <n v="1584"/>
    <s v="LNHGCN01"/>
    <s v="CONDICIONADOR HUBBA GUM BANANA"/>
    <n v="300"/>
    <s v="ml"/>
    <x v="6"/>
    <x v="5"/>
    <s v="CONDICIONADOR"/>
    <x v="4"/>
    <m/>
    <m/>
    <m/>
    <m/>
    <m/>
    <m/>
    <m/>
    <m/>
    <m/>
    <m/>
    <m/>
    <m/>
    <m/>
    <m/>
    <m/>
    <m/>
    <m/>
    <m/>
    <m/>
    <m/>
    <m/>
    <s v=""/>
    <m/>
    <m/>
    <m/>
    <m/>
    <m/>
    <m/>
    <m/>
    <m/>
    <m/>
    <m/>
    <m/>
    <x v="0"/>
    <x v="4"/>
  </r>
  <r>
    <d v="2025-06-02T15:50:00"/>
    <d v="2025-06-03T08:00:00"/>
    <n v="2.1666666669188999"/>
    <n v="498.46153840350991"/>
    <x v="0"/>
    <m/>
    <m/>
    <s v="25149/06"/>
    <s v="Envase"/>
    <n v="1080"/>
    <s v="LNHGSH02"/>
    <s v="SHAMPOO HUBBA GUM TUTTI-FRUTTI"/>
    <n v="300"/>
    <s v="ml"/>
    <x v="6"/>
    <x v="5"/>
    <s v="SHAMPOO"/>
    <x v="0"/>
    <m/>
    <m/>
    <m/>
    <m/>
    <m/>
    <m/>
    <m/>
    <m/>
    <m/>
    <m/>
    <m/>
    <m/>
    <m/>
    <m/>
    <m/>
    <m/>
    <m/>
    <m/>
    <m/>
    <m/>
    <m/>
    <s v=""/>
    <m/>
    <m/>
    <m/>
    <m/>
    <m/>
    <m/>
    <m/>
    <m/>
    <m/>
    <m/>
    <m/>
    <x v="0"/>
    <x v="4"/>
  </r>
  <r>
    <d v="2025-06-03T08:00:00"/>
    <d v="2025-06-03T10:35:00"/>
    <n v="2.5833333331975155"/>
    <n v="724.6451613284205"/>
    <x v="0"/>
    <m/>
    <m/>
    <s v="25149/05"/>
    <s v="Envase"/>
    <n v="1872"/>
    <s v="LNHGSH02"/>
    <s v="SHAMPOO HUBBA GUM TUTTI-FRUTTI"/>
    <n v="300"/>
    <s v="ml"/>
    <x v="6"/>
    <x v="5"/>
    <s v="SHAMPOO"/>
    <x v="0"/>
    <m/>
    <m/>
    <m/>
    <m/>
    <m/>
    <m/>
    <m/>
    <m/>
    <m/>
    <m/>
    <m/>
    <m/>
    <m/>
    <m/>
    <m/>
    <m/>
    <m/>
    <m/>
    <m/>
    <m/>
    <m/>
    <s v=""/>
    <m/>
    <m/>
    <m/>
    <m/>
    <m/>
    <m/>
    <m/>
    <m/>
    <m/>
    <m/>
    <m/>
    <x v="0"/>
    <x v="4"/>
  </r>
  <r>
    <d v="2025-06-03T10:35:00"/>
    <d v="2025-06-03T14:05:00"/>
    <n v="2.5000000000582077"/>
    <n v="705.59999998357148"/>
    <x v="0"/>
    <m/>
    <m/>
    <s v="25149/04"/>
    <s v="Envase"/>
    <n v="1764"/>
    <s v="LNHGSH02"/>
    <s v="SHAMPOO HUBBA GUM TUTTI-FRUTTI"/>
    <n v="300"/>
    <s v="ml"/>
    <x v="6"/>
    <x v="5"/>
    <s v="SHAMPOO"/>
    <x v="0"/>
    <m/>
    <m/>
    <m/>
    <m/>
    <m/>
    <m/>
    <m/>
    <m/>
    <m/>
    <m/>
    <m/>
    <m/>
    <m/>
    <m/>
    <m/>
    <m/>
    <m/>
    <m/>
    <m/>
    <m/>
    <m/>
    <s v=""/>
    <m/>
    <m/>
    <m/>
    <m/>
    <m/>
    <m/>
    <m/>
    <m/>
    <m/>
    <m/>
    <m/>
    <x v="0"/>
    <x v="4"/>
  </r>
  <r>
    <d v="2025-06-03T14:05:00"/>
    <d v="2025-06-03T16:41:00"/>
    <n v="2.6000000000931323"/>
    <n v="664.61538459157805"/>
    <x v="0"/>
    <m/>
    <m/>
    <s v="25152/02"/>
    <s v="Envase"/>
    <n v="1728"/>
    <s v="LNHGSH02"/>
    <s v="SHAMPOO HUBBA GUM TUTTI-FRUTTI"/>
    <n v="300"/>
    <s v="ml"/>
    <x v="6"/>
    <x v="5"/>
    <s v="SHAMPOO"/>
    <x v="0"/>
    <m/>
    <m/>
    <m/>
    <m/>
    <m/>
    <m/>
    <m/>
    <m/>
    <m/>
    <m/>
    <m/>
    <m/>
    <m/>
    <m/>
    <m/>
    <m/>
    <m/>
    <m/>
    <m/>
    <m/>
    <m/>
    <s v=""/>
    <m/>
    <m/>
    <m/>
    <m/>
    <m/>
    <m/>
    <m/>
    <m/>
    <m/>
    <m/>
    <m/>
    <x v="0"/>
    <x v="4"/>
  </r>
  <r>
    <d v="2025-06-03T16:41:00"/>
    <d v="2025-06-04T11:35:00"/>
    <n v="4.9000000000814907"/>
    <n v="352.65306121862488"/>
    <x v="0"/>
    <m/>
    <m/>
    <s v="25152/03"/>
    <s v="Envase"/>
    <n v="1728"/>
    <s v="LNHGSH02"/>
    <s v="SHAMPOO HUBBA GUM TUTTI-FRUTTI"/>
    <n v="300"/>
    <s v="ml"/>
    <x v="6"/>
    <x v="5"/>
    <s v="SHAMPOO"/>
    <x v="0"/>
    <m/>
    <m/>
    <m/>
    <m/>
    <m/>
    <m/>
    <m/>
    <m/>
    <m/>
    <m/>
    <m/>
    <m/>
    <m/>
    <m/>
    <m/>
    <m/>
    <m/>
    <m/>
    <m/>
    <m/>
    <m/>
    <s v=""/>
    <m/>
    <m/>
    <m/>
    <m/>
    <m/>
    <m/>
    <m/>
    <m/>
    <m/>
    <m/>
    <m/>
    <x v="0"/>
    <x v="4"/>
  </r>
  <r>
    <d v="2025-06-04T11:35:00"/>
    <d v="2025-06-04T13:30:00"/>
    <n v="0.91666666662786156"/>
    <n v="1217.4545455060838"/>
    <x v="0"/>
    <m/>
    <m/>
    <s v="25152/01"/>
    <s v="Envase"/>
    <n v="1116"/>
    <s v="LNHGSH02"/>
    <s v="SHAMPOO HUBBA GUM TUTTI-FRUTTI"/>
    <n v="300"/>
    <s v="ml"/>
    <x v="6"/>
    <x v="5"/>
    <s v="SHAMPOO"/>
    <x v="0"/>
    <m/>
    <m/>
    <m/>
    <m/>
    <m/>
    <m/>
    <m/>
    <m/>
    <m/>
    <m/>
    <m/>
    <m/>
    <m/>
    <m/>
    <m/>
    <m/>
    <m/>
    <m/>
    <m/>
    <m/>
    <m/>
    <s v=""/>
    <m/>
    <m/>
    <m/>
    <m/>
    <m/>
    <m/>
    <m/>
    <m/>
    <m/>
    <m/>
    <m/>
    <x v="0"/>
    <x v="4"/>
  </r>
  <r>
    <d v="2025-06-04T13:30:00"/>
    <d v="2025-06-04T15:08:00"/>
    <n v="1.6333333334187046"/>
    <n v="925.71428566590043"/>
    <x v="0"/>
    <m/>
    <m/>
    <s v="25152/04"/>
    <s v="Envase"/>
    <n v="1512"/>
    <s v="LNHGCN03"/>
    <s v="CONDICIONADOR HUBBA GUM UVA"/>
    <n v="300"/>
    <s v="ml"/>
    <x v="6"/>
    <x v="5"/>
    <s v="CONDICIONADOR"/>
    <x v="4"/>
    <m/>
    <m/>
    <m/>
    <m/>
    <m/>
    <m/>
    <m/>
    <m/>
    <m/>
    <m/>
    <m/>
    <m/>
    <m/>
    <m/>
    <m/>
    <m/>
    <m/>
    <m/>
    <m/>
    <m/>
    <m/>
    <s v=""/>
    <m/>
    <m/>
    <m/>
    <m/>
    <m/>
    <m/>
    <m/>
    <m/>
    <m/>
    <m/>
    <m/>
    <x v="0"/>
    <x v="4"/>
  </r>
  <r>
    <d v="2025-06-04T15:08:00"/>
    <d v="2025-06-05T08:00:00"/>
    <n v="2.8666666667559184"/>
    <n v="527.44186044869468"/>
    <x v="0"/>
    <m/>
    <m/>
    <s v="25152/05"/>
    <s v="Envase"/>
    <n v="1512"/>
    <s v="LNHGCN03"/>
    <s v="CONDICIONADOR HUBBA GUM UVA"/>
    <n v="300"/>
    <s v="ml"/>
    <x v="6"/>
    <x v="5"/>
    <s v="CONDICIONADOR"/>
    <x v="4"/>
    <m/>
    <m/>
    <m/>
    <m/>
    <m/>
    <m/>
    <m/>
    <m/>
    <m/>
    <m/>
    <m/>
    <m/>
    <m/>
    <m/>
    <m/>
    <m/>
    <m/>
    <m/>
    <m/>
    <m/>
    <m/>
    <s v=""/>
    <m/>
    <m/>
    <m/>
    <m/>
    <m/>
    <m/>
    <m/>
    <m/>
    <m/>
    <m/>
    <m/>
    <x v="0"/>
    <x v="4"/>
  </r>
  <r>
    <d v="2025-06-05T07:30:00"/>
    <d v="2025-06-05T10:15:00"/>
    <n v="2.7500000000582077"/>
    <n v="549.81818180654409"/>
    <x v="0"/>
    <m/>
    <m/>
    <s v="25155/01"/>
    <s v="Envase"/>
    <n v="1512"/>
    <s v="LNHGFN03"/>
    <s v="FINALIZADOR HUBBA GUM UVA"/>
    <n v="250"/>
    <s v="ml"/>
    <x v="6"/>
    <x v="5"/>
    <s v="FINALIZADOR"/>
    <x v="2"/>
    <m/>
    <m/>
    <m/>
    <m/>
    <m/>
    <m/>
    <m/>
    <m/>
    <m/>
    <m/>
    <m/>
    <m/>
    <m/>
    <m/>
    <m/>
    <m/>
    <m/>
    <m/>
    <m/>
    <m/>
    <m/>
    <s v=""/>
    <m/>
    <m/>
    <m/>
    <m/>
    <m/>
    <m/>
    <m/>
    <m/>
    <m/>
    <m/>
    <m/>
    <x v="0"/>
    <x v="4"/>
  </r>
  <r>
    <d v="2025-06-05T08:00:00"/>
    <d v="2025-06-05T10:30:00"/>
    <n v="2.4999999999417923"/>
    <n v="580.80000001352278"/>
    <x v="0"/>
    <m/>
    <m/>
    <s v="25152/06"/>
    <s v="Envase"/>
    <n v="1452"/>
    <s v="LNHGCN03"/>
    <s v="CONDICIONADOR HUBBA GUM UVA"/>
    <n v="300"/>
    <s v="ml"/>
    <x v="6"/>
    <x v="5"/>
    <s v="CONDICIONADOR"/>
    <x v="4"/>
    <m/>
    <m/>
    <m/>
    <m/>
    <m/>
    <m/>
    <m/>
    <m/>
    <m/>
    <m/>
    <m/>
    <m/>
    <m/>
    <m/>
    <m/>
    <m/>
    <m/>
    <m/>
    <m/>
    <m/>
    <m/>
    <s v=""/>
    <m/>
    <m/>
    <m/>
    <m/>
    <m/>
    <m/>
    <m/>
    <m/>
    <m/>
    <m/>
    <m/>
    <x v="0"/>
    <x v="4"/>
  </r>
  <r>
    <d v="2025-06-05T10:15:00"/>
    <d v="2025-06-05T14:15:00"/>
    <n v="2.9999999999417923"/>
    <n v="504.00000000977889"/>
    <x v="0"/>
    <m/>
    <m/>
    <s v="25155/02"/>
    <s v="Envase"/>
    <n v="1512"/>
    <s v="LNHGFN03"/>
    <s v="FINALIZADOR HUBBA GUM UVA"/>
    <n v="250"/>
    <s v="ml"/>
    <x v="6"/>
    <x v="5"/>
    <s v="FINALIZADOR"/>
    <x v="2"/>
    <m/>
    <m/>
    <m/>
    <m/>
    <m/>
    <m/>
    <m/>
    <m/>
    <m/>
    <m/>
    <m/>
    <m/>
    <m/>
    <m/>
    <m/>
    <m/>
    <m/>
    <m/>
    <m/>
    <m/>
    <m/>
    <s v=""/>
    <m/>
    <m/>
    <m/>
    <m/>
    <m/>
    <m/>
    <m/>
    <m/>
    <m/>
    <m/>
    <m/>
    <x v="0"/>
    <x v="4"/>
  </r>
  <r>
    <d v="2025-06-05T10:30:00"/>
    <d v="2025-06-05T15:15:00"/>
    <n v="3.7499999999417923"/>
    <n v="403.20000000625851"/>
    <x v="0"/>
    <m/>
    <m/>
    <s v="25155/04"/>
    <s v="Envase"/>
    <n v="1512"/>
    <s v="LNHGFN01"/>
    <s v="FINALIZADOR HUBBA GUM BANANA"/>
    <n v="250"/>
    <s v="ml"/>
    <x v="6"/>
    <x v="5"/>
    <s v="FINALIZADOR"/>
    <x v="2"/>
    <m/>
    <m/>
    <m/>
    <m/>
    <m/>
    <m/>
    <m/>
    <m/>
    <m/>
    <m/>
    <m/>
    <m/>
    <m/>
    <m/>
    <m/>
    <m/>
    <m/>
    <m/>
    <m/>
    <m/>
    <m/>
    <s v=""/>
    <m/>
    <m/>
    <m/>
    <m/>
    <m/>
    <m/>
    <m/>
    <m/>
    <m/>
    <m/>
    <m/>
    <x v="0"/>
    <x v="4"/>
  </r>
  <r>
    <d v="2025-06-05T14:15:00"/>
    <s v="-"/>
    <s v=""/>
    <s v=""/>
    <x v="0"/>
    <m/>
    <m/>
    <s v="25155/03"/>
    <s v="Envase"/>
    <n v="1728"/>
    <s v="LNHGFN03"/>
    <s v="FINALIZADOR HUBBA GUM UVA"/>
    <n v="250"/>
    <s v="ml"/>
    <x v="6"/>
    <x v="5"/>
    <s v="FINALIZADOR"/>
    <x v="2"/>
    <m/>
    <m/>
    <m/>
    <m/>
    <m/>
    <m/>
    <m/>
    <m/>
    <m/>
    <m/>
    <m/>
    <m/>
    <m/>
    <m/>
    <m/>
    <m/>
    <m/>
    <m/>
    <m/>
    <m/>
    <m/>
    <s v=""/>
    <m/>
    <m/>
    <m/>
    <m/>
    <m/>
    <m/>
    <m/>
    <m/>
    <m/>
    <m/>
    <m/>
    <x v="0"/>
    <x v="4"/>
  </r>
  <r>
    <d v="2025-06-05T15:15:00"/>
    <d v="2025-06-06T08:06:00"/>
    <n v="2.8500000002095476"/>
    <n v="530.52631575046644"/>
    <x v="0"/>
    <m/>
    <m/>
    <s v="25155/05"/>
    <s v="Envase"/>
    <n v="1512"/>
    <s v="LNHGFN01"/>
    <s v="FINALIZADOR HUBBA GUM BANANA"/>
    <n v="250"/>
    <s v="ml"/>
    <x v="6"/>
    <x v="5"/>
    <s v="FINALIZADOR"/>
    <x v="2"/>
    <m/>
    <m/>
    <m/>
    <m/>
    <m/>
    <m/>
    <m/>
    <m/>
    <m/>
    <m/>
    <m/>
    <m/>
    <m/>
    <m/>
    <m/>
    <m/>
    <m/>
    <m/>
    <m/>
    <m/>
    <m/>
    <s v=""/>
    <m/>
    <m/>
    <m/>
    <m/>
    <m/>
    <m/>
    <m/>
    <m/>
    <m/>
    <m/>
    <m/>
    <x v="0"/>
    <x v="4"/>
  </r>
  <r>
    <d v="2025-06-06T00:00:00"/>
    <d v="2025-06-06T00:00:00"/>
    <n v="0"/>
    <s v=""/>
    <x v="0"/>
    <m/>
    <m/>
    <s v="25155/07"/>
    <s v="Envase"/>
    <n v="1512"/>
    <s v="LNHGFN02"/>
    <s v="FINALIZADOR HUBBA GUM TUTTI-FRUTTI"/>
    <n v="250"/>
    <s v="ml"/>
    <x v="6"/>
    <x v="5"/>
    <s v="FINALIZADOR"/>
    <x v="2"/>
    <m/>
    <m/>
    <m/>
    <m/>
    <m/>
    <m/>
    <m/>
    <m/>
    <m/>
    <m/>
    <m/>
    <m/>
    <m/>
    <m/>
    <m/>
    <m/>
    <m/>
    <m/>
    <m/>
    <m/>
    <m/>
    <s v=""/>
    <m/>
    <m/>
    <m/>
    <m/>
    <m/>
    <m/>
    <m/>
    <m/>
    <m/>
    <m/>
    <m/>
    <x v="0"/>
    <x v="4"/>
  </r>
  <r>
    <d v="2025-06-06T08:06:00"/>
    <s v="-"/>
    <s v=""/>
    <s v=""/>
    <x v="0"/>
    <m/>
    <m/>
    <s v="25155/06"/>
    <s v="Envase"/>
    <n v="1332"/>
    <s v="LNHGFN01"/>
    <s v="FINALIZADOR HUBBA GUM BANANA"/>
    <n v="250"/>
    <s v="ml"/>
    <x v="6"/>
    <x v="5"/>
    <s v="FINALIZADOR"/>
    <x v="2"/>
    <m/>
    <m/>
    <m/>
    <m/>
    <m/>
    <m/>
    <m/>
    <m/>
    <m/>
    <m/>
    <m/>
    <m/>
    <m/>
    <m/>
    <m/>
    <m/>
    <m/>
    <m/>
    <m/>
    <m/>
    <m/>
    <s v=""/>
    <m/>
    <m/>
    <m/>
    <m/>
    <m/>
    <m/>
    <m/>
    <m/>
    <m/>
    <m/>
    <m/>
    <x v="0"/>
    <x v="4"/>
  </r>
  <r>
    <d v="2025-06-06T08:30:00"/>
    <d v="2025-06-06T09:10:00"/>
    <n v="0.66666666674427688"/>
    <n v="1517.9999998232815"/>
    <x v="0"/>
    <m/>
    <m/>
    <s v="25051/09"/>
    <s v="Envase"/>
    <n v="1012"/>
    <s v="BMKDHD01"/>
    <s v="CREME HIDRATANTE AMARELO"/>
    <n v="30"/>
    <s v="ml"/>
    <x v="2"/>
    <x v="0"/>
    <s v="CREME HIDRATANTE"/>
    <x v="2"/>
    <m/>
    <m/>
    <m/>
    <m/>
    <m/>
    <m/>
    <m/>
    <m/>
    <m/>
    <m/>
    <m/>
    <m/>
    <m/>
    <m/>
    <m/>
    <m/>
    <m/>
    <m/>
    <m/>
    <m/>
    <m/>
    <s v=""/>
    <m/>
    <m/>
    <m/>
    <m/>
    <m/>
    <m/>
    <m/>
    <m/>
    <m/>
    <m/>
    <m/>
    <x v="0"/>
    <x v="4"/>
  </r>
  <r>
    <d v="2025-06-06T09:10:00"/>
    <d v="2025-06-06T10:00:00"/>
    <n v="0.83333333325572312"/>
    <n v="1224.0000001139938"/>
    <x v="0"/>
    <m/>
    <m/>
    <s v="25051/12"/>
    <s v="Envase"/>
    <n v="1020"/>
    <s v="BMKDHD03"/>
    <s v="CREME HIDRATANTE ROXO"/>
    <n v="30"/>
    <s v="ml"/>
    <x v="2"/>
    <x v="0"/>
    <s v="CREME HIDRATANTE"/>
    <x v="2"/>
    <m/>
    <m/>
    <m/>
    <m/>
    <m/>
    <m/>
    <m/>
    <m/>
    <m/>
    <m/>
    <m/>
    <m/>
    <m/>
    <m/>
    <m/>
    <m/>
    <m/>
    <m/>
    <m/>
    <m/>
    <m/>
    <s v=""/>
    <m/>
    <m/>
    <m/>
    <m/>
    <m/>
    <m/>
    <m/>
    <m/>
    <m/>
    <m/>
    <m/>
    <x v="0"/>
    <x v="4"/>
  </r>
  <r>
    <d v="2025-06-06T13:10:00"/>
    <d v="2025-06-06T14:50:00"/>
    <n v="1.6666666666860692"/>
    <n v="907.19999998943877"/>
    <x v="0"/>
    <m/>
    <m/>
    <s v="25155/08"/>
    <s v="Envase"/>
    <n v="1512"/>
    <s v="LNHGFN02"/>
    <s v="FINALIZADOR HUBBA GUM TUTTI-FRUTTI"/>
    <n v="250"/>
    <s v="ml"/>
    <x v="6"/>
    <x v="5"/>
    <s v="FINALIZADOR"/>
    <x v="2"/>
    <m/>
    <m/>
    <m/>
    <m/>
    <m/>
    <m/>
    <m/>
    <m/>
    <m/>
    <m/>
    <m/>
    <m/>
    <m/>
    <m/>
    <m/>
    <m/>
    <m/>
    <m/>
    <m/>
    <m/>
    <m/>
    <s v=""/>
    <m/>
    <m/>
    <m/>
    <m/>
    <m/>
    <m/>
    <m/>
    <m/>
    <m/>
    <m/>
    <m/>
    <x v="0"/>
    <x v="4"/>
  </r>
  <r>
    <d v="2025-06-06T15:10:00"/>
    <d v="2025-06-09T09:00:00"/>
    <n v="2.8333333333139308"/>
    <n v="533.64705882718386"/>
    <x v="0"/>
    <m/>
    <m/>
    <s v="25155/09"/>
    <s v="Envase"/>
    <n v="1512"/>
    <s v="LNHGFN02"/>
    <s v="FINALIZADOR HUBBA GUM TUTTI-FRUTTI"/>
    <n v="250"/>
    <s v="ml"/>
    <x v="6"/>
    <x v="5"/>
    <s v="FINALIZADOR"/>
    <x v="2"/>
    <m/>
    <m/>
    <m/>
    <m/>
    <m/>
    <m/>
    <m/>
    <m/>
    <m/>
    <m/>
    <m/>
    <m/>
    <m/>
    <m/>
    <m/>
    <m/>
    <m/>
    <m/>
    <m/>
    <m/>
    <m/>
    <s v=""/>
    <m/>
    <m/>
    <m/>
    <m/>
    <m/>
    <m/>
    <m/>
    <m/>
    <m/>
    <m/>
    <m/>
    <x v="0"/>
    <x v="4"/>
  </r>
  <r>
    <d v="2025-06-06T15:30:00"/>
    <d v="2025-06-09T08:10:00"/>
    <n v="1.6666666666860692"/>
    <n v="863.99999998994167"/>
    <x v="0"/>
    <m/>
    <m/>
    <s v="25156/01"/>
    <s v="Envase"/>
    <n v="1440"/>
    <s v="LNHGMS01"/>
    <s v="MÁSCARA HUBBA GUM BANANA"/>
    <n v="250"/>
    <s v="g"/>
    <x v="6"/>
    <x v="5"/>
    <s v="MÁSCARA"/>
    <x v="2"/>
    <m/>
    <m/>
    <m/>
    <m/>
    <m/>
    <m/>
    <m/>
    <m/>
    <m/>
    <m/>
    <m/>
    <m/>
    <m/>
    <m/>
    <m/>
    <m/>
    <m/>
    <m/>
    <m/>
    <m/>
    <m/>
    <s v=""/>
    <m/>
    <m/>
    <m/>
    <m/>
    <m/>
    <m/>
    <m/>
    <m/>
    <m/>
    <m/>
    <m/>
    <x v="0"/>
    <x v="4"/>
  </r>
  <r>
    <d v="2025-06-09T08:15:00"/>
    <d v="2025-06-09T10:05:00"/>
    <n v="1.8333333333721384"/>
    <n v="824.72727270981625"/>
    <x v="0"/>
    <m/>
    <m/>
    <s v="25156/02"/>
    <s v="Envase"/>
    <n v="1512"/>
    <s v="LNHGMS01"/>
    <s v="MÁSCARA HUBBA GUM BANANA"/>
    <n v="250"/>
    <s v="g"/>
    <x v="6"/>
    <x v="5"/>
    <s v="MÁSCARA"/>
    <x v="2"/>
    <m/>
    <m/>
    <m/>
    <m/>
    <m/>
    <m/>
    <m/>
    <m/>
    <m/>
    <m/>
    <m/>
    <m/>
    <m/>
    <m/>
    <m/>
    <m/>
    <m/>
    <m/>
    <m/>
    <m/>
    <m/>
    <s v=""/>
    <m/>
    <m/>
    <m/>
    <m/>
    <m/>
    <m/>
    <m/>
    <m/>
    <m/>
    <m/>
    <m/>
    <x v="0"/>
    <x v="4"/>
  </r>
  <r>
    <d v="2025-06-09T10:05:00"/>
    <d v="2025-06-09T13:30:00"/>
    <n v="2.4166666666278616"/>
    <n v="593.37931035435565"/>
    <x v="0"/>
    <m/>
    <m/>
    <s v="25156/03"/>
    <s v="Envase"/>
    <n v="1434"/>
    <s v="LNHGMS01"/>
    <s v="MÁSCARA HUBBA GUM BANANA"/>
    <n v="250"/>
    <s v="g"/>
    <x v="6"/>
    <x v="5"/>
    <s v="MÁSCARA"/>
    <x v="2"/>
    <m/>
    <m/>
    <m/>
    <m/>
    <m/>
    <m/>
    <m/>
    <m/>
    <m/>
    <m/>
    <m/>
    <m/>
    <m/>
    <m/>
    <m/>
    <m/>
    <m/>
    <m/>
    <m/>
    <m/>
    <m/>
    <s v=""/>
    <m/>
    <m/>
    <m/>
    <m/>
    <m/>
    <m/>
    <m/>
    <m/>
    <m/>
    <m/>
    <m/>
    <x v="0"/>
    <x v="4"/>
  </r>
  <r>
    <d v="2025-06-09T11:30:00"/>
    <d v="2025-06-09T14:08:00"/>
    <n v="1.6333333333604969"/>
    <n v="925.71428569889042"/>
    <x v="0"/>
    <m/>
    <m/>
    <s v="25160/01"/>
    <s v="Envase"/>
    <n v="1512"/>
    <s v="LNHGMS02"/>
    <s v="MÁSCARA HUBBA GUM TUTTI-FRUTTI"/>
    <n v="250"/>
    <s v="g"/>
    <x v="6"/>
    <x v="5"/>
    <s v="MÁSCARA"/>
    <x v="2"/>
    <m/>
    <m/>
    <m/>
    <m/>
    <m/>
    <m/>
    <m/>
    <m/>
    <m/>
    <m/>
    <m/>
    <m/>
    <m/>
    <m/>
    <m/>
    <m/>
    <m/>
    <m/>
    <m/>
    <m/>
    <m/>
    <s v=""/>
    <m/>
    <m/>
    <m/>
    <m/>
    <m/>
    <m/>
    <m/>
    <m/>
    <m/>
    <m/>
    <m/>
    <x v="0"/>
    <x v="4"/>
  </r>
  <r>
    <d v="2025-06-09T14:08:00"/>
    <d v="2025-06-09T16:07:00"/>
    <n v="1.9833333333372138"/>
    <n v="762.35294117497904"/>
    <x v="0"/>
    <m/>
    <m/>
    <s v="25160/02"/>
    <s v="Envase"/>
    <n v="1512"/>
    <s v="LNHGMS02"/>
    <s v="MÁSCARA HUBBA GUM TUTTI-FRUTTI"/>
    <n v="250"/>
    <s v="g"/>
    <x v="6"/>
    <x v="5"/>
    <s v="MÁSCARA"/>
    <x v="2"/>
    <m/>
    <m/>
    <m/>
    <m/>
    <m/>
    <m/>
    <m/>
    <m/>
    <m/>
    <m/>
    <m/>
    <m/>
    <m/>
    <m/>
    <m/>
    <m/>
    <m/>
    <m/>
    <m/>
    <m/>
    <m/>
    <s v=""/>
    <m/>
    <m/>
    <m/>
    <m/>
    <m/>
    <m/>
    <m/>
    <m/>
    <m/>
    <m/>
    <m/>
    <x v="0"/>
    <x v="4"/>
  </r>
  <r>
    <d v="2025-06-09T14:40:00"/>
    <d v="2025-06-09T15:30:00"/>
    <n v="0.8333333334303461"/>
    <n v="1814.3999997887761"/>
    <x v="0"/>
    <m/>
    <m/>
    <s v="25160/04"/>
    <s v="Envase"/>
    <n v="1512"/>
    <s v="LNHGMS03"/>
    <s v="MÁSCARA HUBBA GUM UVA"/>
    <n v="250"/>
    <s v="g"/>
    <x v="6"/>
    <x v="5"/>
    <s v="MÁSCARA"/>
    <x v="2"/>
    <m/>
    <m/>
    <m/>
    <m/>
    <m/>
    <m/>
    <m/>
    <m/>
    <m/>
    <m/>
    <m/>
    <m/>
    <m/>
    <m/>
    <m/>
    <m/>
    <m/>
    <m/>
    <m/>
    <m/>
    <m/>
    <s v=""/>
    <m/>
    <m/>
    <m/>
    <m/>
    <m/>
    <m/>
    <m/>
    <m/>
    <m/>
    <m/>
    <m/>
    <x v="0"/>
    <x v="4"/>
  </r>
  <r>
    <d v="2025-06-09T15:30:00"/>
    <d v="2025-06-10T08:30:00"/>
    <n v="3"/>
    <n v="504"/>
    <x v="0"/>
    <m/>
    <m/>
    <s v="25160/05"/>
    <s v="Envase"/>
    <n v="1512"/>
    <s v="LNHGMS03"/>
    <s v="MÁSCARA HUBBA GUM UVA"/>
    <n v="250"/>
    <s v="g"/>
    <x v="6"/>
    <x v="5"/>
    <s v="MÁSCARA"/>
    <x v="2"/>
    <m/>
    <m/>
    <m/>
    <m/>
    <m/>
    <m/>
    <m/>
    <m/>
    <m/>
    <m/>
    <m/>
    <m/>
    <m/>
    <m/>
    <m/>
    <m/>
    <m/>
    <m/>
    <m/>
    <m/>
    <m/>
    <s v=""/>
    <m/>
    <m/>
    <m/>
    <m/>
    <m/>
    <m/>
    <m/>
    <m/>
    <m/>
    <m/>
    <m/>
    <x v="0"/>
    <x v="4"/>
  </r>
  <r>
    <d v="2025-06-09T16:07:00"/>
    <d v="2025-06-10T08:30:00"/>
    <n v="2.3833333334187046"/>
    <n v="619.30069927851594"/>
    <x v="0"/>
    <m/>
    <m/>
    <s v="25160/03"/>
    <s v="Envase"/>
    <n v="1476"/>
    <s v="LNHGMS02"/>
    <s v="MÁSCARA HUBBA GUM TUTTI-FRUTTI"/>
    <n v="250"/>
    <s v="g"/>
    <x v="6"/>
    <x v="5"/>
    <s v="MÁSCARA"/>
    <x v="2"/>
    <m/>
    <m/>
    <m/>
    <m/>
    <m/>
    <m/>
    <m/>
    <m/>
    <m/>
    <m/>
    <m/>
    <m/>
    <m/>
    <m/>
    <m/>
    <m/>
    <m/>
    <m/>
    <m/>
    <m/>
    <m/>
    <s v=""/>
    <m/>
    <m/>
    <m/>
    <m/>
    <m/>
    <m/>
    <m/>
    <m/>
    <m/>
    <m/>
    <m/>
    <x v="0"/>
    <x v="4"/>
  </r>
  <r>
    <d v="2025-06-10T08:30:00"/>
    <d v="2025-06-10T10:13:00"/>
    <n v="1.7166666666744277"/>
    <n v="833.5922330059401"/>
    <x v="0"/>
    <m/>
    <m/>
    <s v="25160/06"/>
    <s v="Envase"/>
    <n v="1431"/>
    <s v="LNHGMS03"/>
    <s v="MÁSCARA HUBBA GUM UVA"/>
    <n v="250"/>
    <s v="g"/>
    <x v="6"/>
    <x v="5"/>
    <s v="MÁSCARA"/>
    <x v="2"/>
    <m/>
    <m/>
    <m/>
    <m/>
    <m/>
    <m/>
    <m/>
    <m/>
    <m/>
    <m/>
    <m/>
    <m/>
    <m/>
    <m/>
    <m/>
    <m/>
    <m/>
    <m/>
    <m/>
    <m/>
    <m/>
    <s v=""/>
    <m/>
    <m/>
    <m/>
    <m/>
    <m/>
    <m/>
    <m/>
    <m/>
    <m/>
    <m/>
    <m/>
    <x v="0"/>
    <x v="4"/>
  </r>
  <r>
    <d v="2025-06-10T11:15:00"/>
    <d v="2025-06-10T15:00:00"/>
    <n v="2.75"/>
    <n v="593.4545454545455"/>
    <x v="1"/>
    <s v="Miss Rôse - Hidratante"/>
    <m/>
    <s v="25162/01"/>
    <s v="Envase"/>
    <n v="1632"/>
    <s v="MRARHD01"/>
    <s v="CREME HIDRATANTE CORPORAL AURORA IMPERIAL"/>
    <n v="200"/>
    <s v="ml"/>
    <x v="0"/>
    <x v="0"/>
    <s v="CREME HIDRATANTE"/>
    <x v="2"/>
    <m/>
    <m/>
    <m/>
    <m/>
    <m/>
    <m/>
    <m/>
    <m/>
    <m/>
    <m/>
    <m/>
    <m/>
    <m/>
    <m/>
    <m/>
    <m/>
    <m/>
    <m/>
    <m/>
    <m/>
    <m/>
    <s v=""/>
    <m/>
    <m/>
    <m/>
    <m/>
    <m/>
    <m/>
    <m/>
    <m/>
    <m/>
    <m/>
    <m/>
    <x v="0"/>
    <x v="4"/>
  </r>
  <r>
    <d v="2025-06-10T13:00:00"/>
    <d v="2025-06-10T15:00:00"/>
    <n v="2.0000000000582077"/>
    <n v="1007.9999999706633"/>
    <x v="1"/>
    <s v="Miss Rôse - Hidratante"/>
    <m/>
    <s v="25162/02"/>
    <s v="Envase"/>
    <n v="2016"/>
    <s v="MRARHD01"/>
    <s v="CREME HIDRATANTE CORPORAL AURORA IMPERIAL"/>
    <n v="200"/>
    <s v="ml"/>
    <x v="0"/>
    <x v="0"/>
    <s v="CREME HIDRATANTE"/>
    <x v="2"/>
    <m/>
    <m/>
    <m/>
    <m/>
    <m/>
    <m/>
    <m/>
    <m/>
    <m/>
    <m/>
    <m/>
    <m/>
    <m/>
    <m/>
    <m/>
    <m/>
    <m/>
    <m/>
    <m/>
    <m/>
    <m/>
    <s v=""/>
    <m/>
    <m/>
    <m/>
    <m/>
    <m/>
    <m/>
    <m/>
    <m/>
    <m/>
    <m/>
    <m/>
    <x v="0"/>
    <x v="4"/>
  </r>
  <r>
    <d v="2025-06-10T15:00:00"/>
    <d v="2025-06-11T10:30:00"/>
    <n v="5.5000000001164153"/>
    <n v="274.90909090327204"/>
    <x v="1"/>
    <s v="Miss Rôse - Hidratante"/>
    <m/>
    <s v="25162/03"/>
    <s v="Envase"/>
    <n v="1512"/>
    <s v="MRARHD01"/>
    <s v="CREME HIDRATANTE CORPORAL AURORA IMPERIAL"/>
    <n v="200"/>
    <s v="ml"/>
    <x v="0"/>
    <x v="0"/>
    <s v="CREME HIDRATANTE"/>
    <x v="2"/>
    <m/>
    <m/>
    <m/>
    <m/>
    <m/>
    <m/>
    <m/>
    <m/>
    <m/>
    <m/>
    <m/>
    <m/>
    <m/>
    <m/>
    <m/>
    <m/>
    <m/>
    <m/>
    <m/>
    <m/>
    <m/>
    <s v=""/>
    <m/>
    <m/>
    <m/>
    <m/>
    <m/>
    <m/>
    <m/>
    <m/>
    <m/>
    <m/>
    <m/>
    <x v="0"/>
    <x v="4"/>
  </r>
  <r>
    <d v="2025-06-10T16:44:00"/>
    <d v="2025-06-11T09:38:00"/>
    <n v="2.9000000000232831"/>
    <n v="695.17241378752215"/>
    <x v="1"/>
    <s v="Miss Rôse - Hidratante"/>
    <m/>
    <s v="25162/04"/>
    <s v="Envase"/>
    <n v="2016"/>
    <s v="MRARHD01"/>
    <s v="CREME HIDRATANTE CORPORAL AURORA IMPERIAL"/>
    <n v="200"/>
    <s v="ml"/>
    <x v="0"/>
    <x v="0"/>
    <s v="CREME HIDRATANTE"/>
    <x v="2"/>
    <m/>
    <m/>
    <m/>
    <m/>
    <m/>
    <m/>
    <m/>
    <m/>
    <m/>
    <m/>
    <m/>
    <m/>
    <m/>
    <m/>
    <m/>
    <m/>
    <m/>
    <m/>
    <m/>
    <m/>
    <m/>
    <s v=""/>
    <m/>
    <m/>
    <m/>
    <m/>
    <m/>
    <m/>
    <m/>
    <m/>
    <m/>
    <m/>
    <m/>
    <x v="0"/>
    <x v="4"/>
  </r>
  <r>
    <d v="2025-06-11T10:30:00"/>
    <d v="2025-06-11T15:30:00"/>
    <n v="4.0000000000582077"/>
    <n v="515.99999999249121"/>
    <x v="1"/>
    <s v="Miss Rôse - Hidratante"/>
    <m/>
    <s v="25162/05"/>
    <s v="Envase"/>
    <n v="2064"/>
    <s v="MRARHD01"/>
    <s v="CREME HIDRATANTE CORPORAL AURORA IMPERIAL"/>
    <n v="200"/>
    <s v="ml"/>
    <x v="0"/>
    <x v="0"/>
    <s v="CREME HIDRATANTE"/>
    <x v="2"/>
    <m/>
    <m/>
    <m/>
    <m/>
    <m/>
    <m/>
    <m/>
    <m/>
    <m/>
    <m/>
    <m/>
    <m/>
    <m/>
    <m/>
    <m/>
    <m/>
    <m/>
    <m/>
    <m/>
    <m/>
    <m/>
    <s v=""/>
    <m/>
    <m/>
    <m/>
    <m/>
    <m/>
    <m/>
    <m/>
    <m/>
    <m/>
    <m/>
    <m/>
    <x v="0"/>
    <x v="4"/>
  </r>
  <r>
    <d v="2025-06-11T14:21:00"/>
    <d v="2025-06-12T07:32:00"/>
    <n v="3.183333333407063"/>
    <n v="633.29842930470375"/>
    <x v="1"/>
    <s v="Miss Rôse - Hidratante"/>
    <m/>
    <s v="25162/06"/>
    <s v="Envase"/>
    <n v="2016"/>
    <s v="MRARHD02"/>
    <s v="CREME HIDRATANTE CORPORAL DEUSA DO NILO"/>
    <n v="200"/>
    <s v="ml"/>
    <x v="0"/>
    <x v="0"/>
    <s v="CREME HIDRATANTE"/>
    <x v="2"/>
    <m/>
    <m/>
    <m/>
    <m/>
    <m/>
    <m/>
    <m/>
    <m/>
    <m/>
    <m/>
    <m/>
    <m/>
    <m/>
    <m/>
    <m/>
    <m/>
    <m/>
    <m/>
    <m/>
    <m/>
    <m/>
    <s v=""/>
    <m/>
    <m/>
    <m/>
    <m/>
    <m/>
    <m/>
    <m/>
    <m/>
    <m/>
    <m/>
    <m/>
    <x v="0"/>
    <x v="4"/>
  </r>
  <r>
    <d v="2025-06-12T00:00:00"/>
    <d v="2025-06-12T00:00:00"/>
    <n v="0"/>
    <s v=""/>
    <x v="0"/>
    <m/>
    <m/>
    <s v="25132/02"/>
    <s v="Envase"/>
    <n v="1082"/>
    <s v="KUBPBA01"/>
    <s v="BASE PARA PERFUME FINA BASE 1l"/>
    <n v="1000"/>
    <s v="ml"/>
    <x v="5"/>
    <x v="2"/>
    <s v="BASE"/>
    <x v="1"/>
    <m/>
    <m/>
    <m/>
    <m/>
    <m/>
    <m/>
    <m/>
    <m/>
    <m/>
    <m/>
    <m/>
    <m/>
    <m/>
    <m/>
    <m/>
    <m/>
    <m/>
    <m/>
    <m/>
    <m/>
    <m/>
    <s v=""/>
    <m/>
    <m/>
    <m/>
    <m/>
    <m/>
    <m/>
    <m/>
    <m/>
    <m/>
    <m/>
    <m/>
    <x v="0"/>
    <x v="4"/>
  </r>
  <r>
    <d v="2025-06-12T07:32:00"/>
    <d v="2025-06-12T13:00:00"/>
    <n v="5.4666666666744277"/>
    <n v="368.78048780435449"/>
    <x v="1"/>
    <s v="Miss Rôse - Hidratante"/>
    <m/>
    <s v="25162/08"/>
    <s v="Envase"/>
    <n v="2016"/>
    <s v="MRARHD02"/>
    <s v="CREME HIDRATANTE CORPORAL DEUSA DO NILO"/>
    <n v="200"/>
    <s v="ml"/>
    <x v="0"/>
    <x v="0"/>
    <s v="CREME HIDRATANTE"/>
    <x v="2"/>
    <m/>
    <m/>
    <m/>
    <m/>
    <m/>
    <m/>
    <m/>
    <m/>
    <m/>
    <m/>
    <m/>
    <m/>
    <m/>
    <m/>
    <m/>
    <m/>
    <m/>
    <m/>
    <m/>
    <m/>
    <m/>
    <s v=""/>
    <m/>
    <m/>
    <m/>
    <m/>
    <m/>
    <m/>
    <m/>
    <m/>
    <m/>
    <m/>
    <m/>
    <x v="0"/>
    <x v="4"/>
  </r>
  <r>
    <d v="2025-06-12T11:00:00"/>
    <d v="2025-06-12T16:50:00"/>
    <n v="4.8333333333139308"/>
    <n v="221.58620689744123"/>
    <x v="0"/>
    <m/>
    <m/>
    <s v="25132/01"/>
    <s v="Envase"/>
    <n v="1071"/>
    <s v="KUBPBA02"/>
    <s v="BASE PARA PERFUME FINA BASE PREMIUM 1l"/>
    <n v="1000"/>
    <s v="ml"/>
    <x v="5"/>
    <x v="2"/>
    <s v="BASE"/>
    <x v="1"/>
    <m/>
    <m/>
    <m/>
    <m/>
    <m/>
    <m/>
    <m/>
    <m/>
    <m/>
    <m/>
    <m/>
    <m/>
    <m/>
    <m/>
    <m/>
    <m/>
    <m/>
    <m/>
    <m/>
    <m/>
    <m/>
    <s v=""/>
    <m/>
    <m/>
    <m/>
    <m/>
    <m/>
    <m/>
    <m/>
    <m/>
    <m/>
    <m/>
    <m/>
    <x v="0"/>
    <x v="4"/>
  </r>
  <r>
    <d v="2025-06-12T13:00:00"/>
    <d v="2025-06-12T14:15:00"/>
    <n v="1.2500000000582077"/>
    <n v="1612.7999999248982"/>
    <x v="1"/>
    <s v="Miss Rôse - Hidratante"/>
    <m/>
    <s v="25162/09"/>
    <s v="Envase"/>
    <n v="2016"/>
    <s v="MRARHD02"/>
    <s v="CREME HIDRATANTE CORPORAL DEUSA DO NILO"/>
    <n v="200"/>
    <s v="ml"/>
    <x v="0"/>
    <x v="0"/>
    <s v="CREME HIDRATANTE"/>
    <x v="2"/>
    <m/>
    <m/>
    <m/>
    <m/>
    <m/>
    <m/>
    <m/>
    <m/>
    <m/>
    <m/>
    <m/>
    <m/>
    <m/>
    <m/>
    <m/>
    <m/>
    <m/>
    <m/>
    <m/>
    <m/>
    <m/>
    <s v=""/>
    <m/>
    <m/>
    <m/>
    <m/>
    <m/>
    <m/>
    <m/>
    <m/>
    <m/>
    <m/>
    <m/>
    <x v="0"/>
    <x v="4"/>
  </r>
  <r>
    <d v="2025-06-12T15:00:00"/>
    <d v="2025-06-13T09:49:00"/>
    <n v="4.8166666668257676"/>
    <n v="418.54671278894301"/>
    <x v="1"/>
    <s v="Miss Rôse - Hidratante"/>
    <m/>
    <s v="25162/07"/>
    <s v="Envase"/>
    <n v="2016"/>
    <s v="MRARHD02"/>
    <s v="CREME HIDRATANTE CORPORAL DEUSA DO NILO"/>
    <n v="200"/>
    <s v="ml"/>
    <x v="0"/>
    <x v="0"/>
    <s v="CREME HIDRATANTE"/>
    <x v="2"/>
    <m/>
    <m/>
    <m/>
    <m/>
    <m/>
    <m/>
    <m/>
    <m/>
    <m/>
    <m/>
    <m/>
    <m/>
    <m/>
    <m/>
    <m/>
    <m/>
    <m/>
    <m/>
    <m/>
    <m/>
    <m/>
    <s v=""/>
    <m/>
    <m/>
    <m/>
    <m/>
    <m/>
    <m/>
    <m/>
    <m/>
    <m/>
    <m/>
    <m/>
    <x v="0"/>
    <x v="4"/>
  </r>
  <r>
    <d v="2025-06-12T15:30:00"/>
    <d v="2025-06-12T16:40:00"/>
    <n v="1.1666666666278616"/>
    <n v="1481.1428571921222"/>
    <x v="1"/>
    <s v="Miss Rôse - Hidratante"/>
    <m/>
    <s v="25162/10"/>
    <s v="Envase"/>
    <n v="1728"/>
    <s v="MRARHD02"/>
    <s v="CREME HIDRATANTE CORPORAL DEUSA DO NILO"/>
    <n v="200"/>
    <s v="ml"/>
    <x v="0"/>
    <x v="0"/>
    <s v="CREME HIDRATANTE"/>
    <x v="2"/>
    <m/>
    <m/>
    <m/>
    <m/>
    <m/>
    <m/>
    <m/>
    <m/>
    <m/>
    <m/>
    <m/>
    <m/>
    <m/>
    <m/>
    <m/>
    <m/>
    <m/>
    <m/>
    <m/>
    <m/>
    <m/>
    <s v=""/>
    <m/>
    <m/>
    <m/>
    <m/>
    <m/>
    <m/>
    <m/>
    <m/>
    <m/>
    <m/>
    <m/>
    <x v="0"/>
    <x v="4"/>
  </r>
  <r>
    <d v="2025-06-13T00:00:00"/>
    <d v="2025-06-13T00:00:00"/>
    <n v="0"/>
    <s v=""/>
    <x v="2"/>
    <s v="Perfumes Moutier"/>
    <m/>
    <s v="25161/01"/>
    <s v="Envase"/>
    <n v="600"/>
    <s v="MOPFFM13"/>
    <s v="PERFUME MASCULINO 100 SILVER SCENT"/>
    <n v="50"/>
    <s v="ml"/>
    <x v="7"/>
    <x v="1"/>
    <s v="PERFUME"/>
    <x v="1"/>
    <m/>
    <m/>
    <m/>
    <m/>
    <m/>
    <m/>
    <m/>
    <m/>
    <m/>
    <m/>
    <m/>
    <m/>
    <m/>
    <m/>
    <m/>
    <m/>
    <m/>
    <m/>
    <m/>
    <m/>
    <m/>
    <s v=""/>
    <m/>
    <m/>
    <m/>
    <m/>
    <m/>
    <m/>
    <m/>
    <m/>
    <m/>
    <m/>
    <m/>
    <x v="0"/>
    <x v="4"/>
  </r>
  <r>
    <d v="2025-06-13T10:00:00"/>
    <d v="2025-06-13T15:00:00"/>
    <n v="4.0000000000582077"/>
    <n v="251.99999999633292"/>
    <x v="0"/>
    <m/>
    <m/>
    <s v="25132/03"/>
    <s v="Envase"/>
    <n v="1008"/>
    <s v="KUBPBA02"/>
    <s v="BASE PARA PERFUME FINA BASE PREMIUM 1l"/>
    <n v="1000"/>
    <s v="ml"/>
    <x v="5"/>
    <x v="2"/>
    <s v="BASE"/>
    <x v="1"/>
    <m/>
    <m/>
    <m/>
    <m/>
    <m/>
    <m/>
    <m/>
    <m/>
    <m/>
    <m/>
    <m/>
    <m/>
    <m/>
    <m/>
    <m/>
    <m/>
    <m/>
    <m/>
    <m/>
    <m/>
    <m/>
    <s v=""/>
    <m/>
    <m/>
    <m/>
    <m/>
    <m/>
    <m/>
    <m/>
    <m/>
    <m/>
    <m/>
    <m/>
    <x v="0"/>
    <x v="4"/>
  </r>
  <r>
    <d v="2025-06-13T13:00:00"/>
    <d v="2025-06-13T15:00:00"/>
    <n v="2.0000000000582077"/>
    <n v="407.99999998812564"/>
    <x v="1"/>
    <s v="Miss Rôse - Hidratante"/>
    <m/>
    <s v="25164/01"/>
    <s v="Envase"/>
    <n v="816"/>
    <s v="MRARHD02"/>
    <s v="CREME HIDRATANTE CORPORAL DEUSA DO NILO"/>
    <n v="200"/>
    <s v="ml"/>
    <x v="0"/>
    <x v="0"/>
    <s v="CREME HIDRATANTE"/>
    <x v="2"/>
    <m/>
    <m/>
    <m/>
    <m/>
    <m/>
    <m/>
    <m/>
    <m/>
    <m/>
    <m/>
    <m/>
    <m/>
    <m/>
    <m/>
    <m/>
    <m/>
    <m/>
    <m/>
    <m/>
    <m/>
    <m/>
    <s v=""/>
    <m/>
    <m/>
    <m/>
    <m/>
    <m/>
    <m/>
    <m/>
    <m/>
    <m/>
    <m/>
    <m/>
    <x v="0"/>
    <x v="4"/>
  </r>
  <r>
    <d v="2025-06-16T00:00:00"/>
    <d v="2025-06-16T00:00:00"/>
    <n v="0"/>
    <s v=""/>
    <x v="2"/>
    <s v="Perfumes Moutier"/>
    <m/>
    <s v="25161/01"/>
    <s v="Envase"/>
    <n v="942"/>
    <s v="MOPFFM13"/>
    <s v="PERFUME MASCULINO 100 SILVER SCENT"/>
    <n v="50"/>
    <s v="ml"/>
    <x v="7"/>
    <x v="1"/>
    <s v="PERFUME"/>
    <x v="1"/>
    <m/>
    <m/>
    <m/>
    <m/>
    <m/>
    <m/>
    <m/>
    <m/>
    <m/>
    <m/>
    <m/>
    <m/>
    <m/>
    <m/>
    <m/>
    <m/>
    <m/>
    <m/>
    <m/>
    <m/>
    <m/>
    <s v=""/>
    <m/>
    <m/>
    <m/>
    <m/>
    <m/>
    <m/>
    <m/>
    <m/>
    <m/>
    <m/>
    <m/>
    <x v="0"/>
    <x v="4"/>
  </r>
  <r>
    <d v="2025-06-16T09:00:00"/>
    <d v="2025-06-16T11:15:00"/>
    <n v="2.25"/>
    <n v="1109.3333333333333"/>
    <x v="1"/>
    <s v="Miss Rôse - Body Splash 1.0"/>
    <m/>
    <s v="25167/01"/>
    <s v="Envase"/>
    <n v="2496"/>
    <s v="MRARBS01"/>
    <s v="BODY SPLASH AURORA IMPERIAL"/>
    <n v="220"/>
    <s v="ml"/>
    <x v="0"/>
    <x v="1"/>
    <s v="BODY SPLASH"/>
    <x v="1"/>
    <s v="Visita Zé Carlos - Por isso produção começou às 9h"/>
    <m/>
    <m/>
    <m/>
    <m/>
    <m/>
    <m/>
    <m/>
    <m/>
    <m/>
    <m/>
    <m/>
    <m/>
    <m/>
    <m/>
    <m/>
    <m/>
    <m/>
    <m/>
    <m/>
    <m/>
    <s v=""/>
    <m/>
    <m/>
    <m/>
    <m/>
    <m/>
    <m/>
    <m/>
    <m/>
    <m/>
    <m/>
    <m/>
    <x v="0"/>
    <x v="4"/>
  </r>
  <r>
    <d v="2025-06-16T11:15:00"/>
    <d v="2025-06-16T14:27:00"/>
    <n v="2.1999999999534339"/>
    <n v="480.00000001015991"/>
    <x v="1"/>
    <s v="Miss Rôse - Body Splash 1.0"/>
    <m/>
    <s v="25167/02"/>
    <s v="Envase"/>
    <n v="1056"/>
    <s v="MRARBS01"/>
    <s v="BODY SPLASH AURORA IMPERIAL"/>
    <n v="220"/>
    <s v="ml"/>
    <x v="0"/>
    <x v="1"/>
    <s v="BODY SPLASH"/>
    <x v="1"/>
    <m/>
    <m/>
    <m/>
    <m/>
    <m/>
    <m/>
    <m/>
    <m/>
    <m/>
    <m/>
    <m/>
    <m/>
    <m/>
    <m/>
    <m/>
    <m/>
    <m/>
    <m/>
    <m/>
    <m/>
    <m/>
    <s v=""/>
    <m/>
    <m/>
    <m/>
    <m/>
    <m/>
    <m/>
    <m/>
    <m/>
    <m/>
    <m/>
    <m/>
    <x v="0"/>
    <x v="4"/>
  </r>
  <r>
    <d v="2025-06-16T14:24:00"/>
    <d v="2025-06-17T09:20:00"/>
    <n v="4.9333333335234784"/>
    <n v="515.67567565579998"/>
    <x v="1"/>
    <s v="Miss Rôse - Body Splash 1.0"/>
    <m/>
    <s v="25167/03"/>
    <s v="Envase"/>
    <n v="2544"/>
    <s v="MRARBS03"/>
    <s v="BODY SPLASH ECLIPSE DOURADO"/>
    <n v="220"/>
    <s v="ml"/>
    <x v="0"/>
    <x v="1"/>
    <s v="BODY SPLASH"/>
    <x v="1"/>
    <m/>
    <m/>
    <m/>
    <m/>
    <m/>
    <m/>
    <m/>
    <m/>
    <m/>
    <m/>
    <m/>
    <m/>
    <m/>
    <m/>
    <m/>
    <m/>
    <m/>
    <m/>
    <m/>
    <m/>
    <m/>
    <s v=""/>
    <m/>
    <m/>
    <m/>
    <m/>
    <m/>
    <m/>
    <m/>
    <m/>
    <m/>
    <m/>
    <m/>
    <x v="0"/>
    <x v="4"/>
  </r>
  <r>
    <d v="2025-06-17T00:00:00"/>
    <d v="2025-06-17T00:00:00"/>
    <n v="0"/>
    <s v=""/>
    <x v="2"/>
    <s v="Perfumes Moutier"/>
    <m/>
    <s v="25161/02"/>
    <s v="Envase"/>
    <n v="300"/>
    <s v="MOPFFW09"/>
    <s v="PERFUME FEMININO 02 LA VIE EST BELLE"/>
    <n v="50"/>
    <s v="ml"/>
    <x v="7"/>
    <x v="1"/>
    <s v="PERFUME"/>
    <x v="1"/>
    <m/>
    <m/>
    <m/>
    <m/>
    <m/>
    <m/>
    <m/>
    <m/>
    <m/>
    <m/>
    <m/>
    <m/>
    <m/>
    <m/>
    <m/>
    <m/>
    <m/>
    <m/>
    <m/>
    <m/>
    <m/>
    <s v=""/>
    <m/>
    <m/>
    <m/>
    <m/>
    <m/>
    <m/>
    <m/>
    <m/>
    <m/>
    <m/>
    <m/>
    <x v="0"/>
    <x v="4"/>
  </r>
  <r>
    <d v="2025-06-17T00:00:00"/>
    <d v="2025-06-17T00:00:00"/>
    <n v="0"/>
    <s v=""/>
    <x v="2"/>
    <s v="Perfumes Moutier"/>
    <m/>
    <s v="25161/03"/>
    <s v="Envase"/>
    <n v="300"/>
    <s v="MOPFFW10"/>
    <s v="PERFUME FEMININO 03 GOOD GIRL"/>
    <n v="50"/>
    <s v="ml"/>
    <x v="7"/>
    <x v="1"/>
    <s v="PERFUME"/>
    <x v="1"/>
    <m/>
    <m/>
    <m/>
    <m/>
    <m/>
    <m/>
    <m/>
    <m/>
    <m/>
    <m/>
    <m/>
    <m/>
    <m/>
    <m/>
    <m/>
    <m/>
    <m/>
    <m/>
    <m/>
    <m/>
    <m/>
    <s v=""/>
    <m/>
    <m/>
    <m/>
    <m/>
    <m/>
    <m/>
    <m/>
    <m/>
    <m/>
    <m/>
    <m/>
    <x v="0"/>
    <x v="4"/>
  </r>
  <r>
    <d v="2025-06-17T00:00:00"/>
    <d v="2025-06-17T00:00:00"/>
    <n v="0"/>
    <s v=""/>
    <x v="2"/>
    <s v="Perfumes Moutier"/>
    <m/>
    <s v="25161/04"/>
    <s v="Envase"/>
    <n v="60"/>
    <s v="MOPFFW01"/>
    <s v="PERFUME FEMININO 08 DIOR J'ADORE"/>
    <n v="50"/>
    <s v="ml"/>
    <x v="7"/>
    <x v="1"/>
    <s v="PERFUME"/>
    <x v="1"/>
    <m/>
    <m/>
    <m/>
    <m/>
    <m/>
    <m/>
    <m/>
    <m/>
    <m/>
    <m/>
    <m/>
    <m/>
    <m/>
    <m/>
    <m/>
    <m/>
    <m/>
    <m/>
    <m/>
    <m/>
    <m/>
    <s v=""/>
    <m/>
    <m/>
    <m/>
    <m/>
    <m/>
    <m/>
    <m/>
    <m/>
    <m/>
    <m/>
    <m/>
    <x v="0"/>
    <x v="4"/>
  </r>
  <r>
    <d v="2025-06-17T09:20:00"/>
    <d v="2025-06-17T13:30:00"/>
    <n v="3.1666666666278616"/>
    <n v="803.36842106247627"/>
    <x v="1"/>
    <s v="Miss Rôse - Body Splash 1.0"/>
    <m/>
    <s v="25167/04"/>
    <s v="Envase"/>
    <n v="2544"/>
    <s v="MRARBS03"/>
    <s v="BODY SPLASH ECLIPSE DOURADO"/>
    <n v="220"/>
    <s v="ml"/>
    <x v="0"/>
    <x v="1"/>
    <s v="BODY SPLASH"/>
    <x v="1"/>
    <m/>
    <m/>
    <m/>
    <m/>
    <m/>
    <m/>
    <m/>
    <m/>
    <m/>
    <m/>
    <m/>
    <m/>
    <m/>
    <m/>
    <m/>
    <m/>
    <m/>
    <m/>
    <m/>
    <m/>
    <m/>
    <s v=""/>
    <m/>
    <m/>
    <m/>
    <m/>
    <m/>
    <m/>
    <m/>
    <m/>
    <m/>
    <m/>
    <m/>
    <x v="0"/>
    <x v="4"/>
  </r>
  <r>
    <d v="2025-06-17T13:30:00"/>
    <d v="2025-06-18T07:30:00"/>
    <n v="4.0000000001164153"/>
    <n v="635.99999998148996"/>
    <x v="1"/>
    <s v="Miss Rôse - Body Splash 1.0"/>
    <m/>
    <s v="25168/01"/>
    <s v="Envase"/>
    <n v="2544"/>
    <s v="MRARBS03"/>
    <s v="BODY SPLASH ECLIPSE DOURADO"/>
    <n v="220"/>
    <s v="ml"/>
    <x v="0"/>
    <x v="1"/>
    <s v="BODY SPLASH"/>
    <x v="1"/>
    <m/>
    <m/>
    <m/>
    <m/>
    <m/>
    <m/>
    <m/>
    <m/>
    <m/>
    <m/>
    <m/>
    <m/>
    <m/>
    <m/>
    <m/>
    <m/>
    <m/>
    <m/>
    <m/>
    <m/>
    <m/>
    <s v=""/>
    <m/>
    <m/>
    <m/>
    <m/>
    <m/>
    <m/>
    <m/>
    <m/>
    <m/>
    <m/>
    <m/>
    <x v="0"/>
    <x v="4"/>
  </r>
  <r>
    <d v="2025-06-18T00:00:00"/>
    <d v="2025-06-18T00:00:00"/>
    <n v="0"/>
    <s v=""/>
    <x v="2"/>
    <s v="Perfumes Moutier"/>
    <m/>
    <s v="25161/03"/>
    <s v="Envase"/>
    <n v="202"/>
    <s v="MOPFFW10"/>
    <s v="PERFUME FEMININO 03 GOOD GIRL"/>
    <n v="50"/>
    <s v="ml"/>
    <x v="7"/>
    <x v="1"/>
    <s v="PERFUME"/>
    <x v="1"/>
    <m/>
    <m/>
    <m/>
    <m/>
    <m/>
    <m/>
    <m/>
    <m/>
    <m/>
    <m/>
    <m/>
    <m/>
    <m/>
    <m/>
    <m/>
    <m/>
    <m/>
    <m/>
    <m/>
    <m/>
    <m/>
    <s v=""/>
    <m/>
    <m/>
    <m/>
    <m/>
    <m/>
    <m/>
    <m/>
    <m/>
    <m/>
    <m/>
    <m/>
    <x v="0"/>
    <x v="4"/>
  </r>
  <r>
    <d v="2025-06-18T00:00:00"/>
    <d v="2025-06-18T00:00:00"/>
    <n v="0"/>
    <s v=""/>
    <x v="2"/>
    <s v="Perfumes Moutier"/>
    <m/>
    <s v="25161/04"/>
    <s v="Envase"/>
    <n v="447"/>
    <s v="MOPFFW01"/>
    <s v="PERFUME FEMININO 08 DIOR J'ADORE"/>
    <n v="50"/>
    <s v="ml"/>
    <x v="7"/>
    <x v="1"/>
    <s v="PERFUME"/>
    <x v="1"/>
    <m/>
    <m/>
    <m/>
    <m/>
    <m/>
    <m/>
    <m/>
    <m/>
    <m/>
    <m/>
    <m/>
    <m/>
    <m/>
    <m/>
    <m/>
    <m/>
    <m/>
    <m/>
    <m/>
    <m/>
    <m/>
    <s v=""/>
    <m/>
    <m/>
    <m/>
    <m/>
    <m/>
    <m/>
    <m/>
    <m/>
    <m/>
    <m/>
    <m/>
    <x v="0"/>
    <x v="4"/>
  </r>
  <r>
    <d v="2025-06-18T00:00:00"/>
    <d v="2025-06-18T00:00:00"/>
    <n v="0"/>
    <s v=""/>
    <x v="2"/>
    <s v="Perfumes Moutier"/>
    <m/>
    <s v="25161/12"/>
    <s v="Envase"/>
    <n v="180"/>
    <s v="MOPFFM03"/>
    <s v="PERFUME MASCULINO 104 FERRARI BLACK"/>
    <n v="50"/>
    <s v="ml"/>
    <x v="7"/>
    <x v="1"/>
    <s v="PERFUME"/>
    <x v="1"/>
    <m/>
    <m/>
    <m/>
    <m/>
    <m/>
    <m/>
    <m/>
    <m/>
    <m/>
    <m/>
    <m/>
    <m/>
    <m/>
    <m/>
    <m/>
    <m/>
    <m/>
    <m/>
    <m/>
    <m/>
    <m/>
    <s v=""/>
    <m/>
    <m/>
    <m/>
    <m/>
    <m/>
    <m/>
    <m/>
    <m/>
    <m/>
    <m/>
    <m/>
    <x v="0"/>
    <x v="4"/>
  </r>
  <r>
    <d v="2025-06-18T00:00:00"/>
    <d v="2025-06-18T00:00:00"/>
    <n v="0"/>
    <s v=""/>
    <x v="2"/>
    <s v="Perfumes Moutier"/>
    <m/>
    <s v="25161/13"/>
    <s v="Envase"/>
    <n v="180"/>
    <s v="MOPFFM04"/>
    <s v="PERFUME MASCULINO 105 SAUVAGE"/>
    <n v="50"/>
    <s v="ml"/>
    <x v="7"/>
    <x v="1"/>
    <s v="PERFUME"/>
    <x v="1"/>
    <m/>
    <m/>
    <m/>
    <m/>
    <m/>
    <m/>
    <m/>
    <m/>
    <m/>
    <m/>
    <m/>
    <m/>
    <m/>
    <m/>
    <m/>
    <m/>
    <m/>
    <m/>
    <m/>
    <m/>
    <m/>
    <s v=""/>
    <m/>
    <m/>
    <m/>
    <m/>
    <m/>
    <m/>
    <m/>
    <m/>
    <m/>
    <m/>
    <m/>
    <x v="0"/>
    <x v="4"/>
  </r>
  <r>
    <d v="2025-06-18T00:00:00"/>
    <d v="2025-06-18T00:00:00"/>
    <n v="0"/>
    <s v=""/>
    <x v="2"/>
    <s v="Perfumes Moutier"/>
    <m/>
    <s v="25161/14"/>
    <s v="Envase"/>
    <n v="180"/>
    <s v="MOPFFM01"/>
    <s v="PERFUME MASCULINO 102 VIP BLACK"/>
    <n v="50"/>
    <s v="ml"/>
    <x v="7"/>
    <x v="1"/>
    <s v="PERFUME"/>
    <x v="1"/>
    <m/>
    <m/>
    <m/>
    <m/>
    <m/>
    <m/>
    <m/>
    <m/>
    <m/>
    <m/>
    <m/>
    <m/>
    <m/>
    <m/>
    <m/>
    <m/>
    <m/>
    <m/>
    <m/>
    <m/>
    <m/>
    <s v=""/>
    <m/>
    <m/>
    <m/>
    <m/>
    <m/>
    <m/>
    <m/>
    <m/>
    <m/>
    <m/>
    <m/>
    <x v="0"/>
    <x v="4"/>
  </r>
  <r>
    <d v="2025-06-18T08:30:00"/>
    <d v="2025-06-18T13:15:00"/>
    <n v="3.7500000001164153"/>
    <n v="921.59999997138982"/>
    <x v="1"/>
    <s v="Miss Rôse - Body Splash 1.0"/>
    <m/>
    <s v="25168/02"/>
    <s v="Envase"/>
    <n v="3456"/>
    <s v="MRARBS03"/>
    <s v="BODY SPLASH ECLIPSE DOURADO"/>
    <n v="220"/>
    <s v="ml"/>
    <x v="0"/>
    <x v="1"/>
    <s v="BODY SPLASH"/>
    <x v="1"/>
    <m/>
    <m/>
    <m/>
    <m/>
    <m/>
    <m/>
    <m/>
    <m/>
    <m/>
    <m/>
    <m/>
    <m/>
    <m/>
    <m/>
    <m/>
    <m/>
    <m/>
    <m/>
    <m/>
    <m/>
    <m/>
    <s v=""/>
    <m/>
    <m/>
    <m/>
    <m/>
    <m/>
    <m/>
    <m/>
    <m/>
    <m/>
    <m/>
    <m/>
    <x v="0"/>
    <x v="4"/>
  </r>
  <r>
    <d v="2025-06-18T13:15:00"/>
    <d v="2025-06-18T16:46:00"/>
    <n v="3.5166666666045785"/>
    <n v="723.41232228765364"/>
    <x v="1"/>
    <s v="Miss Rôse - Body Splash 1.0"/>
    <m/>
    <s v="25168/03"/>
    <s v="Envase"/>
    <n v="2544"/>
    <s v="MRARBS02"/>
    <s v="BODY SPLASH DEUSA DO NILO"/>
    <n v="220"/>
    <s v="ml"/>
    <x v="0"/>
    <x v="1"/>
    <s v="BODY SPLASH"/>
    <x v="1"/>
    <m/>
    <m/>
    <m/>
    <m/>
    <m/>
    <m/>
    <m/>
    <m/>
    <m/>
    <m/>
    <m/>
    <m/>
    <m/>
    <m/>
    <m/>
    <m/>
    <m/>
    <m/>
    <m/>
    <m/>
    <m/>
    <s v=""/>
    <m/>
    <m/>
    <m/>
    <m/>
    <m/>
    <m/>
    <m/>
    <m/>
    <m/>
    <m/>
    <m/>
    <x v="0"/>
    <x v="4"/>
  </r>
  <r>
    <d v="2025-06-18T16:46:00"/>
    <d v="2025-06-19T09:40:00"/>
    <n v="2.900000000197906"/>
    <n v="877.24137925047887"/>
    <x v="1"/>
    <s v="Miss Rôse - Body Splash 1.0"/>
    <m/>
    <s v="25168/04"/>
    <s v="Envase"/>
    <n v="2544"/>
    <s v="MRARBS02"/>
    <s v="BODY SPLASH DEUSA DO NILO"/>
    <n v="220"/>
    <s v="ml"/>
    <x v="0"/>
    <x v="1"/>
    <s v="BODY SPLASH"/>
    <x v="1"/>
    <m/>
    <m/>
    <m/>
    <m/>
    <m/>
    <m/>
    <m/>
    <m/>
    <m/>
    <m/>
    <m/>
    <m/>
    <m/>
    <m/>
    <m/>
    <m/>
    <m/>
    <m/>
    <m/>
    <m/>
    <m/>
    <s v=""/>
    <m/>
    <m/>
    <m/>
    <m/>
    <m/>
    <m/>
    <m/>
    <m/>
    <m/>
    <m/>
    <m/>
    <x v="0"/>
    <x v="4"/>
  </r>
  <r>
    <d v="2025-06-19T00:00:00"/>
    <d v="2025-06-19T00:00:00"/>
    <n v="0"/>
    <s v=""/>
    <x v="2"/>
    <s v="Perfumes Moutier"/>
    <m/>
    <s v="25161/14"/>
    <s v="Envase"/>
    <n v="324"/>
    <s v="MOPFFM01"/>
    <s v="PERFUME MASCULINO 102 VIP BLACK"/>
    <n v="50"/>
    <s v="ml"/>
    <x v="7"/>
    <x v="1"/>
    <s v="PERFUME"/>
    <x v="1"/>
    <m/>
    <m/>
    <m/>
    <m/>
    <m/>
    <m/>
    <m/>
    <m/>
    <m/>
    <m/>
    <m/>
    <m/>
    <m/>
    <m/>
    <m/>
    <m/>
    <m/>
    <m/>
    <m/>
    <m/>
    <m/>
    <s v=""/>
    <m/>
    <m/>
    <m/>
    <m/>
    <m/>
    <m/>
    <m/>
    <m/>
    <m/>
    <m/>
    <m/>
    <x v="0"/>
    <x v="4"/>
  </r>
  <r>
    <d v="2025-06-19T00:00:00"/>
    <d v="2025-06-19T00:00:00"/>
    <n v="0"/>
    <s v=""/>
    <x v="2"/>
    <s v="Perfumes Moutier"/>
    <m/>
    <s v="25161/02"/>
    <s v="Envase"/>
    <n v="206"/>
    <s v="MOPFFW09"/>
    <s v="PERFUME FEMININO 02 LA VIE EST BELLE"/>
    <n v="50"/>
    <s v="ml"/>
    <x v="7"/>
    <x v="1"/>
    <s v="PERFUME"/>
    <x v="1"/>
    <m/>
    <m/>
    <m/>
    <m/>
    <m/>
    <m/>
    <m/>
    <m/>
    <m/>
    <m/>
    <m/>
    <m/>
    <m/>
    <m/>
    <m/>
    <m/>
    <m/>
    <m/>
    <m/>
    <m/>
    <m/>
    <s v=""/>
    <m/>
    <m/>
    <m/>
    <m/>
    <m/>
    <m/>
    <m/>
    <m/>
    <m/>
    <m/>
    <m/>
    <x v="0"/>
    <x v="4"/>
  </r>
  <r>
    <d v="2025-06-19T00:00:00"/>
    <d v="2025-06-19T00:00:00"/>
    <n v="0"/>
    <s v=""/>
    <x v="2"/>
    <s v="Perfumes Moutier"/>
    <m/>
    <s v="25161/08"/>
    <s v="Envase"/>
    <n v="378"/>
    <s v="MOPFFW05"/>
    <s v="PERFUME FEMININO 12 LADY MILLION"/>
    <n v="50"/>
    <s v="ml"/>
    <x v="7"/>
    <x v="1"/>
    <s v="PERFUME"/>
    <x v="1"/>
    <m/>
    <m/>
    <m/>
    <m/>
    <m/>
    <m/>
    <m/>
    <m/>
    <m/>
    <m/>
    <m/>
    <m/>
    <m/>
    <m/>
    <m/>
    <m/>
    <m/>
    <m/>
    <m/>
    <m/>
    <m/>
    <s v=""/>
    <m/>
    <m/>
    <m/>
    <m/>
    <m/>
    <m/>
    <m/>
    <m/>
    <m/>
    <m/>
    <m/>
    <x v="0"/>
    <x v="4"/>
  </r>
  <r>
    <d v="2025-06-19T00:00:00"/>
    <d v="2025-06-19T00:00:00"/>
    <n v="0"/>
    <s v=""/>
    <x v="2"/>
    <s v="Perfumes Moutier"/>
    <m/>
    <s v="25161/13"/>
    <s v="Envase"/>
    <n v="335"/>
    <s v="MOPFFM04"/>
    <s v="PERFUME MASCULINO 105 SAUVAGE"/>
    <n v="50"/>
    <s v="ml"/>
    <x v="7"/>
    <x v="1"/>
    <s v="PERFUME"/>
    <x v="1"/>
    <m/>
    <m/>
    <m/>
    <m/>
    <m/>
    <m/>
    <m/>
    <m/>
    <m/>
    <m/>
    <m/>
    <m/>
    <m/>
    <m/>
    <m/>
    <m/>
    <m/>
    <m/>
    <m/>
    <m/>
    <m/>
    <s v=""/>
    <m/>
    <m/>
    <m/>
    <m/>
    <m/>
    <m/>
    <m/>
    <m/>
    <m/>
    <m/>
    <m/>
    <x v="0"/>
    <x v="4"/>
  </r>
  <r>
    <d v="2025-06-19T09:40:00"/>
    <d v="2025-06-19T13:28:00"/>
    <n v="2.7999999999883585"/>
    <n v="908.57142857520614"/>
    <x v="1"/>
    <s v="Miss Rôse - Body Splash 1.0"/>
    <m/>
    <s v="25168/05"/>
    <s v="Envase"/>
    <n v="2544"/>
    <s v="MRARBS02"/>
    <s v="BODY SPLASH DEUSA DO NILO"/>
    <n v="220"/>
    <s v="ml"/>
    <x v="0"/>
    <x v="1"/>
    <s v="BODY SPLASH"/>
    <x v="1"/>
    <m/>
    <m/>
    <m/>
    <m/>
    <m/>
    <m/>
    <m/>
    <m/>
    <m/>
    <m/>
    <m/>
    <m/>
    <m/>
    <m/>
    <m/>
    <m/>
    <m/>
    <m/>
    <m/>
    <m/>
    <m/>
    <s v=""/>
    <m/>
    <m/>
    <m/>
    <m/>
    <m/>
    <m/>
    <m/>
    <m/>
    <m/>
    <m/>
    <m/>
    <x v="0"/>
    <x v="4"/>
  </r>
  <r>
    <d v="2025-06-19T13:28:00"/>
    <d v="2025-06-23T08:20:00"/>
    <n v="12.866666666639503"/>
    <n v="227.56476683985866"/>
    <x v="1"/>
    <s v="Miss Rôse - Body Splash 1.0"/>
    <m/>
    <s v="25168/06"/>
    <s v="Envase"/>
    <n v="2928"/>
    <s v="MRARBS02"/>
    <s v="BODY SPLASH DEUSA DO NILO"/>
    <n v="220"/>
    <s v="ml"/>
    <x v="0"/>
    <x v="1"/>
    <s v="BODY SPLASH"/>
    <x v="1"/>
    <m/>
    <m/>
    <m/>
    <m/>
    <m/>
    <m/>
    <m/>
    <m/>
    <m/>
    <m/>
    <m/>
    <m/>
    <m/>
    <m/>
    <m/>
    <m/>
    <m/>
    <m/>
    <m/>
    <m/>
    <m/>
    <s v=""/>
    <m/>
    <m/>
    <m/>
    <m/>
    <m/>
    <m/>
    <m/>
    <m/>
    <m/>
    <m/>
    <m/>
    <x v="0"/>
    <x v="4"/>
  </r>
  <r>
    <d v="2025-06-23T00:00:00"/>
    <d v="2025-06-23T00:00:00"/>
    <n v="0"/>
    <s v=""/>
    <x v="2"/>
    <s v="Perfumes Moutier"/>
    <m/>
    <s v="25161/12"/>
    <s v="Envase"/>
    <n v="336"/>
    <s v="MOPFFM03"/>
    <s v="PERFUME MASCULINO 104 FERRARI BLACK"/>
    <n v="50"/>
    <s v="ml"/>
    <x v="7"/>
    <x v="1"/>
    <s v="PERFUME"/>
    <x v="1"/>
    <m/>
    <m/>
    <m/>
    <m/>
    <m/>
    <m/>
    <m/>
    <m/>
    <m/>
    <m/>
    <m/>
    <m/>
    <m/>
    <m/>
    <m/>
    <m/>
    <m/>
    <m/>
    <m/>
    <m/>
    <m/>
    <s v=""/>
    <m/>
    <m/>
    <m/>
    <m/>
    <m/>
    <m/>
    <m/>
    <m/>
    <m/>
    <m/>
    <m/>
    <x v="0"/>
    <x v="4"/>
  </r>
  <r>
    <d v="2025-06-23T00:00:00"/>
    <d v="2025-06-23T00:00:00"/>
    <n v="0"/>
    <s v=""/>
    <x v="2"/>
    <s v="Perfumes Moutier"/>
    <m/>
    <s v="25161/07"/>
    <s v="Envase"/>
    <n v="506"/>
    <s v="MOPFFW04"/>
    <s v="PERFUME FEMININO 11 OLYMPEA"/>
    <n v="50"/>
    <s v="ml"/>
    <x v="7"/>
    <x v="1"/>
    <s v="PERFUME"/>
    <x v="1"/>
    <m/>
    <m/>
    <m/>
    <m/>
    <m/>
    <m/>
    <m/>
    <m/>
    <m/>
    <m/>
    <m/>
    <m/>
    <m/>
    <m/>
    <m/>
    <m/>
    <m/>
    <m/>
    <m/>
    <m/>
    <m/>
    <s v=""/>
    <m/>
    <m/>
    <m/>
    <m/>
    <m/>
    <m/>
    <m/>
    <m/>
    <m/>
    <m/>
    <m/>
    <x v="0"/>
    <x v="4"/>
  </r>
  <r>
    <d v="2025-06-23T00:00:00"/>
    <d v="2025-06-23T00:00:00"/>
    <n v="0"/>
    <s v=""/>
    <x v="2"/>
    <s v="Perfumes Moutier"/>
    <m/>
    <s v="25161/08"/>
    <s v="Envase"/>
    <n v="125"/>
    <s v="MOPFFW05"/>
    <s v="PERFUME FEMININO 12 LADY MILLION"/>
    <n v="50"/>
    <s v="ml"/>
    <x v="7"/>
    <x v="1"/>
    <s v="PERFUME"/>
    <x v="1"/>
    <m/>
    <m/>
    <m/>
    <m/>
    <m/>
    <m/>
    <m/>
    <m/>
    <m/>
    <m/>
    <m/>
    <m/>
    <m/>
    <m/>
    <m/>
    <m/>
    <m/>
    <m/>
    <m/>
    <m/>
    <m/>
    <s v=""/>
    <m/>
    <m/>
    <m/>
    <m/>
    <m/>
    <m/>
    <m/>
    <m/>
    <m/>
    <m/>
    <m/>
    <x v="0"/>
    <x v="4"/>
  </r>
  <r>
    <d v="2025-06-23T08:27:00"/>
    <d v="2025-06-23T11:10:00"/>
    <n v="2.716666666790843"/>
    <n v="936.44171774860718"/>
    <x v="1"/>
    <s v="Miss Rôse - Body Splash 1.0"/>
    <m/>
    <s v="25170/01"/>
    <s v="Envase"/>
    <n v="2544"/>
    <s v="MRARBS04"/>
    <s v="BODY SPLASH NÉCTAR DAS TAMARAS"/>
    <n v="220"/>
    <s v="ml"/>
    <x v="0"/>
    <x v="1"/>
    <s v="BODY SPLASH"/>
    <x v="1"/>
    <m/>
    <m/>
    <m/>
    <m/>
    <m/>
    <m/>
    <m/>
    <m/>
    <m/>
    <m/>
    <m/>
    <m/>
    <m/>
    <m/>
    <m/>
    <m/>
    <m/>
    <m/>
    <m/>
    <m/>
    <m/>
    <s v=""/>
    <m/>
    <m/>
    <m/>
    <m/>
    <m/>
    <m/>
    <m/>
    <m/>
    <m/>
    <m/>
    <m/>
    <x v="0"/>
    <x v="4"/>
  </r>
  <r>
    <d v="2025-06-23T11:10:00"/>
    <d v="2025-06-23T14:52:00"/>
    <n v="2.6999999998370185"/>
    <n v="1031.1111111733526"/>
    <x v="1"/>
    <s v="Miss Rôse - Body Splash 1.0"/>
    <m/>
    <s v="25170/02"/>
    <s v="Envase"/>
    <n v="2784"/>
    <s v="MRARBS04"/>
    <s v="BODY SPLASH NÉCTAR DAS TAMARAS"/>
    <n v="220"/>
    <s v="ml"/>
    <x v="0"/>
    <x v="1"/>
    <s v="BODY SPLASH"/>
    <x v="1"/>
    <m/>
    <m/>
    <m/>
    <m/>
    <m/>
    <m/>
    <m/>
    <m/>
    <m/>
    <m/>
    <m/>
    <m/>
    <m/>
    <m/>
    <m/>
    <m/>
    <m/>
    <m/>
    <m/>
    <m/>
    <m/>
    <s v=""/>
    <m/>
    <m/>
    <m/>
    <m/>
    <m/>
    <m/>
    <m/>
    <m/>
    <m/>
    <m/>
    <m/>
    <x v="0"/>
    <x v="4"/>
  </r>
  <r>
    <d v="2025-06-23T14:52:00"/>
    <d v="2025-06-24T08:46:00"/>
    <n v="3.9000000001396984"/>
    <n v="652.30769228432655"/>
    <x v="1"/>
    <s v="Miss Rôse - Body Splash 1.0"/>
    <m/>
    <s v="25174/01"/>
    <s v="Envase"/>
    <n v="2544"/>
    <s v="MRARBS01"/>
    <s v="BODY SPLASH AURORA IMPERIAL"/>
    <n v="220"/>
    <s v="ml"/>
    <x v="0"/>
    <x v="1"/>
    <s v="BODY SPLASH"/>
    <x v="1"/>
    <m/>
    <m/>
    <m/>
    <m/>
    <m/>
    <m/>
    <m/>
    <m/>
    <m/>
    <m/>
    <m/>
    <m/>
    <m/>
    <m/>
    <m/>
    <m/>
    <m/>
    <m/>
    <m/>
    <m/>
    <m/>
    <s v=""/>
    <m/>
    <m/>
    <m/>
    <m/>
    <m/>
    <m/>
    <m/>
    <m/>
    <m/>
    <m/>
    <m/>
    <x v="0"/>
    <x v="4"/>
  </r>
  <r>
    <d v="2025-06-24T00:00:00"/>
    <d v="2025-06-24T00:00:00"/>
    <n v="0"/>
    <s v=""/>
    <x v="2"/>
    <s v="Perfumes Moutier"/>
    <m/>
    <s v="25161/06"/>
    <s v="Envase"/>
    <n v="506"/>
    <s v="MOPFFW03"/>
    <s v="PERFUME FEMININO 10 212 SEXY"/>
    <n v="50"/>
    <s v="ml"/>
    <x v="7"/>
    <x v="1"/>
    <s v="PERFUME"/>
    <x v="1"/>
    <m/>
    <m/>
    <m/>
    <m/>
    <m/>
    <m/>
    <m/>
    <m/>
    <m/>
    <m/>
    <m/>
    <m/>
    <m/>
    <m/>
    <m/>
    <m/>
    <m/>
    <m/>
    <m/>
    <m/>
    <m/>
    <s v=""/>
    <m/>
    <m/>
    <m/>
    <m/>
    <m/>
    <m/>
    <m/>
    <m/>
    <m/>
    <m/>
    <m/>
    <x v="0"/>
    <x v="4"/>
  </r>
  <r>
    <d v="2025-06-24T00:00:00"/>
    <d v="2025-06-24T00:00:00"/>
    <n v="0"/>
    <s v=""/>
    <x v="2"/>
    <s v="Perfumes Moutier"/>
    <m/>
    <s v="25161/05"/>
    <s v="Envase"/>
    <n v="240"/>
    <s v="MOPFFW02"/>
    <s v="PERFUME FEMININO 09 SCANDAL"/>
    <n v="50"/>
    <s v="ml"/>
    <x v="7"/>
    <x v="1"/>
    <s v="PERFUME"/>
    <x v="1"/>
    <m/>
    <m/>
    <m/>
    <m/>
    <m/>
    <m/>
    <m/>
    <m/>
    <m/>
    <m/>
    <m/>
    <m/>
    <m/>
    <m/>
    <m/>
    <m/>
    <m/>
    <m/>
    <m/>
    <m/>
    <m/>
    <s v=""/>
    <m/>
    <m/>
    <m/>
    <m/>
    <m/>
    <m/>
    <m/>
    <m/>
    <m/>
    <m/>
    <m/>
    <x v="0"/>
    <x v="4"/>
  </r>
  <r>
    <d v="2025-06-24T08:46:00"/>
    <d v="2025-06-24T11:15:00"/>
    <n v="2.4833333333954215"/>
    <n v="1043.758389235649"/>
    <x v="1"/>
    <s v="Miss Rôse - Body Splash 1.0"/>
    <m/>
    <s v="25174/02"/>
    <s v="Envase"/>
    <n v="2592"/>
    <s v="MRARBS01"/>
    <s v="BODY SPLASH AURORA IMPERIAL"/>
    <n v="220"/>
    <s v="ml"/>
    <x v="0"/>
    <x v="1"/>
    <s v="BODY SPLASH"/>
    <x v="1"/>
    <m/>
    <m/>
    <m/>
    <m/>
    <m/>
    <m/>
    <m/>
    <m/>
    <m/>
    <m/>
    <m/>
    <m/>
    <m/>
    <m/>
    <m/>
    <m/>
    <m/>
    <m/>
    <m/>
    <m/>
    <m/>
    <s v=""/>
    <m/>
    <m/>
    <m/>
    <m/>
    <m/>
    <m/>
    <m/>
    <m/>
    <m/>
    <m/>
    <m/>
    <x v="0"/>
    <x v="4"/>
  </r>
  <r>
    <d v="2025-06-24T11:15:00"/>
    <d v="2025-06-24T15:00:00"/>
    <n v="2.75"/>
    <n v="942.5454545454545"/>
    <x v="1"/>
    <s v="Miss Rôse - Body Splash 1.0"/>
    <m/>
    <s v="25175/01"/>
    <s v="Envase"/>
    <n v="2592"/>
    <s v="MRARBS01"/>
    <s v="BODY SPLASH AURORA IMPERIAL"/>
    <n v="220"/>
    <s v="ml"/>
    <x v="0"/>
    <x v="1"/>
    <s v="BODY SPLASH"/>
    <x v="1"/>
    <m/>
    <m/>
    <m/>
    <m/>
    <m/>
    <m/>
    <m/>
    <m/>
    <m/>
    <m/>
    <m/>
    <m/>
    <m/>
    <m/>
    <m/>
    <m/>
    <m/>
    <m/>
    <m/>
    <m/>
    <m/>
    <s v=""/>
    <m/>
    <m/>
    <m/>
    <m/>
    <m/>
    <m/>
    <m/>
    <m/>
    <m/>
    <m/>
    <m/>
    <x v="0"/>
    <x v="4"/>
  </r>
  <r>
    <d v="2025-06-24T15:00:00"/>
    <d v="2025-06-25T09:20:00"/>
    <n v="4.3333333334885538"/>
    <n v="609.23076920894653"/>
    <x v="1"/>
    <s v="Miss Rôse - Body Splash 1.0"/>
    <m/>
    <s v="25175/02"/>
    <s v="Envase"/>
    <n v="2640"/>
    <s v="MRARBS01"/>
    <s v="BODY SPLASH AURORA IMPERIAL"/>
    <n v="220"/>
    <s v="ml"/>
    <x v="0"/>
    <x v="1"/>
    <s v="BODY SPLASH"/>
    <x v="1"/>
    <m/>
    <m/>
    <m/>
    <m/>
    <m/>
    <m/>
    <m/>
    <m/>
    <m/>
    <m/>
    <m/>
    <m/>
    <m/>
    <m/>
    <m/>
    <m/>
    <m/>
    <m/>
    <m/>
    <m/>
    <m/>
    <s v=""/>
    <m/>
    <m/>
    <m/>
    <m/>
    <m/>
    <m/>
    <m/>
    <m/>
    <m/>
    <m/>
    <m/>
    <x v="0"/>
    <x v="4"/>
  </r>
  <r>
    <d v="2025-06-25T00:00:00"/>
    <d v="2025-06-25T00:00:00"/>
    <n v="0"/>
    <s v=""/>
    <x v="2"/>
    <s v="Perfumes Moutier"/>
    <m/>
    <s v="25161/09"/>
    <s v="Envase"/>
    <n v="420"/>
    <s v="MOPFFW06"/>
    <s v="PERFUME FEMININO 16 COCO MADEMOISELLE"/>
    <n v="50"/>
    <s v="ml"/>
    <x v="7"/>
    <x v="1"/>
    <s v="PERFUME"/>
    <x v="1"/>
    <m/>
    <m/>
    <m/>
    <m/>
    <m/>
    <m/>
    <m/>
    <m/>
    <m/>
    <m/>
    <m/>
    <m/>
    <m/>
    <m/>
    <m/>
    <m/>
    <m/>
    <m/>
    <m/>
    <m/>
    <m/>
    <s v=""/>
    <m/>
    <m/>
    <m/>
    <m/>
    <m/>
    <m/>
    <m/>
    <m/>
    <m/>
    <m/>
    <m/>
    <x v="0"/>
    <x v="4"/>
  </r>
  <r>
    <d v="2025-06-25T00:00:00"/>
    <d v="2025-06-25T00:00:00"/>
    <n v="0"/>
    <s v=""/>
    <x v="2"/>
    <s v="Perfumes Moutier"/>
    <m/>
    <s v="25161/05"/>
    <s v="Envase"/>
    <n v="274"/>
    <s v="MOPFFW02"/>
    <s v="PERFUME FEMININO 09 SCANDAL"/>
    <n v="50"/>
    <s v="ml"/>
    <x v="7"/>
    <x v="1"/>
    <s v="PERFUME"/>
    <x v="1"/>
    <m/>
    <m/>
    <m/>
    <m/>
    <m/>
    <m/>
    <m/>
    <m/>
    <m/>
    <m/>
    <m/>
    <m/>
    <m/>
    <m/>
    <m/>
    <m/>
    <m/>
    <m/>
    <m/>
    <m/>
    <m/>
    <s v=""/>
    <m/>
    <m/>
    <m/>
    <m/>
    <m/>
    <m/>
    <m/>
    <m/>
    <m/>
    <m/>
    <m/>
    <x v="0"/>
    <x v="4"/>
  </r>
  <r>
    <d v="2025-06-25T09:20:00"/>
    <d v="2025-06-25T15:00:00"/>
    <n v="4.6666666666278616"/>
    <n v="555.42857143318997"/>
    <x v="1"/>
    <s v="Miss Rôse - Body Splash 1.0"/>
    <m/>
    <s v="25175/03"/>
    <s v="Envase"/>
    <n v="2592"/>
    <s v="MRARBS01"/>
    <s v="BODY SPLASH AURORA IMPERIAL"/>
    <n v="220"/>
    <s v="ml"/>
    <x v="0"/>
    <x v="1"/>
    <s v="BODY SPLASH"/>
    <x v="1"/>
    <m/>
    <m/>
    <m/>
    <m/>
    <m/>
    <m/>
    <m/>
    <m/>
    <m/>
    <m/>
    <m/>
    <m/>
    <m/>
    <m/>
    <m/>
    <m/>
    <m/>
    <m/>
    <m/>
    <m/>
    <m/>
    <s v=""/>
    <m/>
    <m/>
    <m/>
    <m/>
    <m/>
    <m/>
    <m/>
    <m/>
    <m/>
    <m/>
    <m/>
    <x v="0"/>
    <x v="4"/>
  </r>
  <r>
    <d v="2025-06-25T15:00:00"/>
    <d v="2025-06-26T08:50:00"/>
    <n v="3.8333333334303461"/>
    <n v="676.17391302636588"/>
    <x v="1"/>
    <s v="Miss Rôse - Body Splash 1.0"/>
    <m/>
    <s v="25175/04"/>
    <s v="Envase"/>
    <n v="2592"/>
    <s v="MRARBS01"/>
    <s v="BODY SPLASH AURORA IMPERIAL"/>
    <n v="220"/>
    <s v="ml"/>
    <x v="0"/>
    <x v="1"/>
    <s v="BODY SPLASH"/>
    <x v="1"/>
    <m/>
    <m/>
    <m/>
    <m/>
    <m/>
    <m/>
    <m/>
    <m/>
    <m/>
    <m/>
    <m/>
    <m/>
    <m/>
    <m/>
    <m/>
    <m/>
    <m/>
    <m/>
    <m/>
    <m/>
    <m/>
    <s v=""/>
    <m/>
    <m/>
    <m/>
    <m/>
    <m/>
    <m/>
    <m/>
    <m/>
    <m/>
    <m/>
    <m/>
    <x v="0"/>
    <x v="4"/>
  </r>
  <r>
    <d v="2025-06-26T00:00:00"/>
    <d v="2025-06-26T00:00:00"/>
    <n v="0"/>
    <s v=""/>
    <x v="2"/>
    <s v="Perfumes Moutier"/>
    <m/>
    <s v="25161/09"/>
    <s v="Envase"/>
    <n v="84"/>
    <s v="MOPFFW06"/>
    <s v="PERFUME FEMININO 16 COCO MADEMOISELLE"/>
    <n v="50"/>
    <s v="ml"/>
    <x v="7"/>
    <x v="1"/>
    <s v="PERFUME"/>
    <x v="1"/>
    <m/>
    <m/>
    <m/>
    <m/>
    <m/>
    <m/>
    <m/>
    <m/>
    <m/>
    <m/>
    <m/>
    <m/>
    <m/>
    <m/>
    <m/>
    <m/>
    <m/>
    <m/>
    <m/>
    <m/>
    <m/>
    <s v=""/>
    <m/>
    <m/>
    <m/>
    <m/>
    <m/>
    <m/>
    <m/>
    <m/>
    <m/>
    <m/>
    <m/>
    <x v="0"/>
    <x v="4"/>
  </r>
  <r>
    <d v="2025-06-26T00:00:00"/>
    <d v="2025-06-26T00:00:00"/>
    <n v="0"/>
    <s v=""/>
    <x v="2"/>
    <s v="Perfumes Moutier"/>
    <m/>
    <s v="25161/10"/>
    <s v="Envase"/>
    <n v="497"/>
    <s v="MOPFFW07"/>
    <s v="PERFUME FEMININO 18 AMOR AMOR"/>
    <n v="50"/>
    <s v="ml"/>
    <x v="7"/>
    <x v="1"/>
    <s v="PERFUME"/>
    <x v="1"/>
    <m/>
    <m/>
    <m/>
    <m/>
    <m/>
    <m/>
    <m/>
    <m/>
    <m/>
    <m/>
    <m/>
    <m/>
    <m/>
    <m/>
    <m/>
    <m/>
    <m/>
    <m/>
    <m/>
    <m/>
    <m/>
    <s v=""/>
    <m/>
    <m/>
    <m/>
    <m/>
    <m/>
    <m/>
    <m/>
    <m/>
    <m/>
    <m/>
    <m/>
    <x v="0"/>
    <x v="4"/>
  </r>
  <r>
    <d v="2025-06-26T00:00:00"/>
    <d v="2025-06-26T00:00:00"/>
    <n v="0"/>
    <s v=""/>
    <x v="2"/>
    <s v="Perfumes Moutier"/>
    <m/>
    <s v="25161/11"/>
    <s v="Envase"/>
    <n v="507"/>
    <s v="MOPFFW08"/>
    <s v="PERFUME FEMININO 31 L'INTERDIT ROUGE"/>
    <n v="50"/>
    <s v="ml"/>
    <x v="7"/>
    <x v="1"/>
    <s v="PERFUME"/>
    <x v="1"/>
    <m/>
    <m/>
    <m/>
    <m/>
    <m/>
    <m/>
    <m/>
    <m/>
    <m/>
    <m/>
    <m/>
    <m/>
    <m/>
    <m/>
    <m/>
    <m/>
    <m/>
    <m/>
    <m/>
    <m/>
    <m/>
    <s v=""/>
    <m/>
    <m/>
    <m/>
    <m/>
    <m/>
    <m/>
    <m/>
    <m/>
    <m/>
    <m/>
    <m/>
    <x v="0"/>
    <x v="4"/>
  </r>
  <r>
    <d v="2025-06-26T08:50:00"/>
    <d v="2025-06-27T08:48:00"/>
    <n v="8.9666666668490507"/>
    <n v="289.07063196438048"/>
    <x v="1"/>
    <s v="Miss Rôse - Body Splash 1.0"/>
    <m/>
    <s v="25175/05"/>
    <s v="Envase"/>
    <n v="2592"/>
    <s v="MRARBS01"/>
    <s v="BODY SPLASH AURORA IMPERIAL"/>
    <n v="220"/>
    <s v="ml"/>
    <x v="0"/>
    <x v="1"/>
    <s v="BODY SPLASH"/>
    <x v="1"/>
    <m/>
    <m/>
    <m/>
    <m/>
    <m/>
    <m/>
    <m/>
    <m/>
    <m/>
    <m/>
    <m/>
    <m/>
    <m/>
    <m/>
    <m/>
    <m/>
    <m/>
    <m/>
    <m/>
    <m/>
    <m/>
    <s v=""/>
    <m/>
    <m/>
    <m/>
    <m/>
    <m/>
    <m/>
    <m/>
    <m/>
    <m/>
    <m/>
    <m/>
    <x v="0"/>
    <x v="4"/>
  </r>
  <r>
    <d v="2025-06-27T00:00:00"/>
    <d v="2025-06-27T00:00:00"/>
    <n v="0"/>
    <s v=""/>
    <x v="2"/>
    <s v="Perfumes Moutier"/>
    <m/>
    <s v="25161/15"/>
    <s v="Envase"/>
    <n v="512"/>
    <s v="MOPFFM02"/>
    <s v="PERFUME MASCULINO 103 BOSS BOTTLED"/>
    <n v="50"/>
    <s v="ml"/>
    <x v="7"/>
    <x v="1"/>
    <s v="PERFUME"/>
    <x v="1"/>
    <m/>
    <m/>
    <m/>
    <m/>
    <m/>
    <m/>
    <m/>
    <m/>
    <m/>
    <m/>
    <m/>
    <m/>
    <m/>
    <m/>
    <m/>
    <m/>
    <m/>
    <m/>
    <m/>
    <m/>
    <m/>
    <s v=""/>
    <m/>
    <m/>
    <m/>
    <m/>
    <m/>
    <m/>
    <m/>
    <m/>
    <m/>
    <m/>
    <m/>
    <x v="0"/>
    <x v="4"/>
  </r>
  <r>
    <d v="2025-06-27T00:00:00"/>
    <d v="2025-06-27T00:00:00"/>
    <n v="0"/>
    <s v=""/>
    <x v="2"/>
    <s v="Perfumes Moutier"/>
    <m/>
    <s v="25161/16"/>
    <s v="Envase"/>
    <n v="516"/>
    <s v="MOPFFM05"/>
    <s v="PERFUME MASCULINO 110 ONE MILLION"/>
    <n v="50"/>
    <s v="ml"/>
    <x v="7"/>
    <x v="1"/>
    <s v="PERFUME"/>
    <x v="1"/>
    <m/>
    <m/>
    <m/>
    <m/>
    <m/>
    <m/>
    <m/>
    <m/>
    <m/>
    <m/>
    <m/>
    <m/>
    <m/>
    <m/>
    <m/>
    <m/>
    <m/>
    <m/>
    <m/>
    <m/>
    <m/>
    <s v=""/>
    <m/>
    <m/>
    <m/>
    <m/>
    <m/>
    <m/>
    <m/>
    <m/>
    <m/>
    <m/>
    <m/>
    <x v="0"/>
    <x v="4"/>
  </r>
  <r>
    <d v="2025-06-27T00:00:00"/>
    <d v="2025-06-27T00:00:00"/>
    <n v="0"/>
    <s v=""/>
    <x v="2"/>
    <s v="Perfumes Moutier"/>
    <m/>
    <s v="25161/17"/>
    <s v="Envase"/>
    <n v="500"/>
    <s v="MOPFFM06"/>
    <s v="PERFUME MASCULINO 113 AZZARO WANTED"/>
    <n v="50"/>
    <s v="ml"/>
    <x v="7"/>
    <x v="1"/>
    <s v="PERFUME"/>
    <x v="1"/>
    <m/>
    <m/>
    <m/>
    <m/>
    <m/>
    <m/>
    <m/>
    <m/>
    <m/>
    <m/>
    <m/>
    <m/>
    <m/>
    <m/>
    <m/>
    <m/>
    <m/>
    <m/>
    <m/>
    <m/>
    <m/>
    <s v=""/>
    <m/>
    <m/>
    <m/>
    <m/>
    <m/>
    <m/>
    <m/>
    <m/>
    <m/>
    <m/>
    <m/>
    <x v="0"/>
    <x v="4"/>
  </r>
  <r>
    <d v="2025-06-30T00:00:00"/>
    <d v="2025-06-30T00:00:00"/>
    <n v="0"/>
    <s v=""/>
    <x v="2"/>
    <s v="Perfumes Moutier"/>
    <m/>
    <s v="25161/20"/>
    <s v="Envase"/>
    <n v="516"/>
    <s v="MOPFFM09"/>
    <s v="PERFUME MASCULINO 118 CH BAD BOY"/>
    <n v="50"/>
    <s v="ml"/>
    <x v="7"/>
    <x v="1"/>
    <s v="PERFUME"/>
    <x v="1"/>
    <m/>
    <m/>
    <m/>
    <m/>
    <m/>
    <m/>
    <m/>
    <m/>
    <m/>
    <m/>
    <m/>
    <m/>
    <m/>
    <m/>
    <m/>
    <m/>
    <m/>
    <m/>
    <m/>
    <m/>
    <m/>
    <s v=""/>
    <m/>
    <m/>
    <m/>
    <m/>
    <m/>
    <m/>
    <m/>
    <m/>
    <m/>
    <m/>
    <m/>
    <x v="0"/>
    <x v="4"/>
  </r>
  <r>
    <d v="2025-06-30T00:00:00"/>
    <d v="2025-06-30T00:00:00"/>
    <n v="0"/>
    <s v=""/>
    <x v="2"/>
    <s v="Perfumes Moutier"/>
    <m/>
    <s v="25161/18"/>
    <s v="Envase"/>
    <n v="508"/>
    <s v="MOPFFM07"/>
    <s v="PERFUME MASCULINO 115 BLEU DE CHANEL"/>
    <n v="50"/>
    <s v="ml"/>
    <x v="7"/>
    <x v="1"/>
    <s v="PERFUME"/>
    <x v="1"/>
    <m/>
    <m/>
    <m/>
    <m/>
    <m/>
    <m/>
    <m/>
    <m/>
    <m/>
    <m/>
    <m/>
    <m/>
    <m/>
    <m/>
    <m/>
    <m/>
    <m/>
    <m/>
    <m/>
    <m/>
    <m/>
    <s v=""/>
    <m/>
    <m/>
    <m/>
    <m/>
    <m/>
    <m/>
    <m/>
    <m/>
    <m/>
    <m/>
    <m/>
    <x v="0"/>
    <x v="4"/>
  </r>
  <r>
    <d v="2025-06-30T00:00:00"/>
    <d v="2025-06-30T00:00:00"/>
    <n v="0"/>
    <s v=""/>
    <x v="2"/>
    <s v="Perfumes Moutier"/>
    <m/>
    <s v="25161/19"/>
    <s v="Envase"/>
    <n v="519"/>
    <s v="MOPFFM08"/>
    <s v="PERFUME MASCULINO 117 INVICTUS"/>
    <n v="50"/>
    <s v="ml"/>
    <x v="7"/>
    <x v="1"/>
    <s v="PERFUME"/>
    <x v="1"/>
    <m/>
    <m/>
    <m/>
    <m/>
    <m/>
    <m/>
    <m/>
    <m/>
    <m/>
    <m/>
    <m/>
    <m/>
    <m/>
    <m/>
    <m/>
    <m/>
    <m/>
    <m/>
    <m/>
    <m/>
    <m/>
    <s v=""/>
    <m/>
    <m/>
    <m/>
    <m/>
    <m/>
    <m/>
    <m/>
    <m/>
    <m/>
    <m/>
    <m/>
    <x v="0"/>
    <x v="4"/>
  </r>
  <r>
    <d v="2025-06-30T00:00:00"/>
    <d v="2025-06-30T00:00:00"/>
    <n v="0"/>
    <s v=""/>
    <x v="2"/>
    <s v="Perfumes Moutier"/>
    <m/>
    <s v="25161/21"/>
    <s v="Envase"/>
    <n v="120"/>
    <s v="MOPFFM10"/>
    <s v="PERFUME MASCULINO 119 EROS VERSACE"/>
    <n v="50"/>
    <s v="ml"/>
    <x v="7"/>
    <x v="1"/>
    <s v="PERFUME"/>
    <x v="1"/>
    <m/>
    <m/>
    <m/>
    <m/>
    <m/>
    <m/>
    <m/>
    <m/>
    <m/>
    <m/>
    <m/>
    <m/>
    <m/>
    <m/>
    <m/>
    <m/>
    <m/>
    <m/>
    <m/>
    <m/>
    <m/>
    <s v=""/>
    <m/>
    <m/>
    <m/>
    <m/>
    <m/>
    <m/>
    <m/>
    <m/>
    <m/>
    <m/>
    <m/>
    <x v="0"/>
    <x v="4"/>
  </r>
  <r>
    <d v="2025-06-30T09:47:00"/>
    <d v="2025-06-30T15:30:00"/>
    <n v="4.716666666790843"/>
    <n v="941.34275615896274"/>
    <x v="1"/>
    <s v="DAPOP - Pedido 360 mil"/>
    <m/>
    <s v="25178/01"/>
    <s v="Envase"/>
    <n v="4440"/>
    <s v="DPMTBS02"/>
    <s v="BODY SPLASH MATTE SORVETE DE BAUNILHA"/>
    <n v="120"/>
    <s v="ml"/>
    <x v="4"/>
    <x v="1"/>
    <s v="BODY SPLASH"/>
    <x v="1"/>
    <m/>
    <m/>
    <m/>
    <m/>
    <m/>
    <m/>
    <m/>
    <m/>
    <m/>
    <m/>
    <m/>
    <m/>
    <m/>
    <m/>
    <m/>
    <m/>
    <m/>
    <m/>
    <m/>
    <m/>
    <m/>
    <s v=""/>
    <m/>
    <m/>
    <m/>
    <m/>
    <m/>
    <m/>
    <m/>
    <m/>
    <m/>
    <m/>
    <m/>
    <x v="0"/>
    <x v="4"/>
  </r>
  <r>
    <d v="2025-06-30T15:33:00"/>
    <d v="2025-07-01T11:30:00"/>
    <n v="5.9500000000116415"/>
    <n v="776.47058823377495"/>
    <x v="1"/>
    <s v="DAPOP - Pedido 360 mil"/>
    <m/>
    <s v="25178/02"/>
    <s v="Envase"/>
    <n v="4620"/>
    <s v="DPMTBS02"/>
    <s v="BODY SPLASH MATTE SORVETE DE BAUNILHA"/>
    <n v="120"/>
    <s v="ml"/>
    <x v="4"/>
    <x v="1"/>
    <s v="BODY SPLASH"/>
    <x v="1"/>
    <m/>
    <m/>
    <m/>
    <m/>
    <m/>
    <m/>
    <m/>
    <m/>
    <m/>
    <m/>
    <m/>
    <m/>
    <m/>
    <m/>
    <m/>
    <m/>
    <m/>
    <m/>
    <m/>
    <m/>
    <m/>
    <s v=""/>
    <m/>
    <m/>
    <m/>
    <m/>
    <m/>
    <m/>
    <m/>
    <m/>
    <m/>
    <m/>
    <m/>
    <x v="0"/>
    <x v="4"/>
  </r>
  <r>
    <d v="2025-07-01T00:00:00"/>
    <d v="2025-07-01T00:00:00"/>
    <n v="0"/>
    <s v=""/>
    <x v="2"/>
    <s v="Perfumes Moutier"/>
    <m/>
    <s v="25161/21"/>
    <s v="Envase"/>
    <n v="390"/>
    <s v="MOPFFM10"/>
    <s v="PERFUME MASCULINO 119 EROS VERSACE"/>
    <n v="50"/>
    <s v="ml"/>
    <x v="7"/>
    <x v="1"/>
    <s v="PERFUME"/>
    <x v="1"/>
    <m/>
    <m/>
    <m/>
    <m/>
    <m/>
    <m/>
    <m/>
    <m/>
    <m/>
    <m/>
    <m/>
    <m/>
    <m/>
    <m/>
    <m/>
    <m/>
    <m/>
    <m/>
    <m/>
    <m/>
    <m/>
    <s v=""/>
    <m/>
    <m/>
    <m/>
    <m/>
    <m/>
    <m/>
    <m/>
    <m/>
    <m/>
    <m/>
    <m/>
    <x v="0"/>
    <x v="5"/>
  </r>
  <r>
    <d v="2025-07-01T00:00:00"/>
    <d v="2025-07-01T00:00:00"/>
    <n v="0"/>
    <s v=""/>
    <x v="2"/>
    <s v="Perfumes Moutier"/>
    <m/>
    <s v="25161/22"/>
    <s v="Envase"/>
    <n v="524"/>
    <s v="MOPFFM11"/>
    <s v="PERFUME MASCULINO 122 ANIMALE"/>
    <n v="50"/>
    <s v="ml"/>
    <x v="7"/>
    <x v="1"/>
    <s v="PERFUME"/>
    <x v="1"/>
    <m/>
    <m/>
    <m/>
    <m/>
    <m/>
    <m/>
    <m/>
    <m/>
    <m/>
    <m/>
    <m/>
    <m/>
    <m/>
    <m/>
    <m/>
    <m/>
    <m/>
    <m/>
    <m/>
    <m/>
    <m/>
    <s v=""/>
    <m/>
    <m/>
    <m/>
    <m/>
    <m/>
    <m/>
    <m/>
    <m/>
    <m/>
    <m/>
    <m/>
    <x v="0"/>
    <x v="5"/>
  </r>
  <r>
    <d v="2025-07-01T00:00:00"/>
    <d v="2025-07-01T00:00:00"/>
    <n v="0"/>
    <s v=""/>
    <x v="2"/>
    <s v="Perfumes Moutier"/>
    <m/>
    <s v="25161/23"/>
    <s v="Envase"/>
    <n v="516"/>
    <s v="MOPFFM12"/>
    <s v="PERFUME MASCULINO 135 SCANDAL POUR HOMME"/>
    <n v="50"/>
    <s v="ml"/>
    <x v="7"/>
    <x v="1"/>
    <s v="PERFUME"/>
    <x v="1"/>
    <m/>
    <m/>
    <m/>
    <m/>
    <m/>
    <m/>
    <m/>
    <m/>
    <m/>
    <m/>
    <m/>
    <m/>
    <m/>
    <m/>
    <m/>
    <m/>
    <m/>
    <m/>
    <m/>
    <m/>
    <m/>
    <s v=""/>
    <m/>
    <m/>
    <m/>
    <m/>
    <m/>
    <m/>
    <m/>
    <m/>
    <m/>
    <m/>
    <m/>
    <x v="0"/>
    <x v="5"/>
  </r>
  <r>
    <d v="2025-07-01T11:35:00"/>
    <d v="2025-07-01T16:40:00"/>
    <n v="4.0833333333139308"/>
    <n v="1131.4285714339476"/>
    <x v="1"/>
    <s v="DAPOP - Pedido 360 mil"/>
    <m/>
    <s v="25178/03"/>
    <s v="Envase"/>
    <n v="4620"/>
    <s v="DPMTBS02"/>
    <s v="BODY SPLASH MATTE SORVETE DE BAUNILHA"/>
    <n v="120"/>
    <s v="ml"/>
    <x v="4"/>
    <x v="1"/>
    <s v="BODY SPLASH"/>
    <x v="1"/>
    <m/>
    <m/>
    <m/>
    <m/>
    <m/>
    <m/>
    <m/>
    <m/>
    <m/>
    <m/>
    <m/>
    <m/>
    <m/>
    <m/>
    <m/>
    <m/>
    <m/>
    <m/>
    <m/>
    <m/>
    <m/>
    <s v=""/>
    <m/>
    <m/>
    <m/>
    <m/>
    <m/>
    <m/>
    <m/>
    <m/>
    <m/>
    <m/>
    <m/>
    <x v="0"/>
    <x v="5"/>
  </r>
  <r>
    <d v="2025-07-01T16:40:00"/>
    <d v="2025-07-02T13:00:00"/>
    <n v="6.3333333333721384"/>
    <n v="719.9999999955885"/>
    <x v="1"/>
    <s v="DAPOP - Pedido 360 mil"/>
    <m/>
    <s v="25178/04"/>
    <s v="Envase"/>
    <n v="4560"/>
    <s v="DPMTBS02"/>
    <s v="BODY SPLASH MATTE SORVETE DE BAUNILHA"/>
    <n v="120"/>
    <s v="ml"/>
    <x v="4"/>
    <x v="1"/>
    <s v="BODY SPLASH"/>
    <x v="1"/>
    <m/>
    <m/>
    <m/>
    <m/>
    <m/>
    <m/>
    <m/>
    <m/>
    <m/>
    <m/>
    <m/>
    <m/>
    <m/>
    <m/>
    <m/>
    <m/>
    <m/>
    <m/>
    <m/>
    <m/>
    <m/>
    <s v=""/>
    <m/>
    <m/>
    <m/>
    <m/>
    <m/>
    <m/>
    <m/>
    <m/>
    <m/>
    <m/>
    <m/>
    <x v="0"/>
    <x v="5"/>
  </r>
  <r>
    <d v="2025-07-02T13:00:00"/>
    <d v="2025-07-02T15:00:00"/>
    <n v="2.0000000000582077"/>
    <n v="989.99999997118721"/>
    <x v="1"/>
    <s v="DAPOP - Pedido 360 mil"/>
    <m/>
    <s v="25178/05"/>
    <s v="Envase"/>
    <n v="1980"/>
    <s v="DPMTBS02"/>
    <s v="BODY SPLASH MATTE SORVETE DE BAUNILHA"/>
    <n v="120"/>
    <s v="ml"/>
    <x v="4"/>
    <x v="1"/>
    <s v="BODY SPLASH"/>
    <x v="1"/>
    <m/>
    <m/>
    <m/>
    <m/>
    <m/>
    <m/>
    <m/>
    <m/>
    <m/>
    <m/>
    <m/>
    <m/>
    <m/>
    <m/>
    <m/>
    <m/>
    <m/>
    <m/>
    <m/>
    <m/>
    <m/>
    <s v=""/>
    <m/>
    <m/>
    <m/>
    <m/>
    <m/>
    <m/>
    <m/>
    <m/>
    <m/>
    <m/>
    <m/>
    <x v="0"/>
    <x v="5"/>
  </r>
  <r>
    <d v="2025-07-02T15:00:00"/>
    <d v="2025-07-03T09:38:00"/>
    <n v="4.6333333334187046"/>
    <n v="997.12230213990097"/>
    <x v="1"/>
    <s v="DAPOP - Pedido 360 mil"/>
    <m/>
    <s v="25182/01"/>
    <s v="Envase"/>
    <n v="4620"/>
    <s v="DPMTBS03"/>
    <s v="BODY SPLASH MATTE OITAVA MARAVILHA"/>
    <n v="120"/>
    <s v="ml"/>
    <x v="4"/>
    <x v="1"/>
    <s v="BODY SPLASH"/>
    <x v="1"/>
    <m/>
    <m/>
    <m/>
    <m/>
    <m/>
    <m/>
    <m/>
    <m/>
    <m/>
    <m/>
    <m/>
    <m/>
    <m/>
    <m/>
    <m/>
    <m/>
    <m/>
    <m/>
    <m/>
    <m/>
    <m/>
    <s v=""/>
    <m/>
    <m/>
    <m/>
    <m/>
    <m/>
    <m/>
    <m/>
    <m/>
    <m/>
    <m/>
    <m/>
    <x v="0"/>
    <x v="5"/>
  </r>
  <r>
    <d v="2025-07-03T09:38:00"/>
    <d v="2025-07-03T14:45:00"/>
    <n v="4.1166666667559184"/>
    <n v="1122.2672064534013"/>
    <x v="1"/>
    <s v="DAPOP - Pedido 360 mil"/>
    <m/>
    <s v="25182/02"/>
    <s v="Envase"/>
    <n v="4620"/>
    <s v="DPMTBS03"/>
    <s v="BODY SPLASH MATTE OITAVA MARAVILHA"/>
    <n v="120"/>
    <s v="ml"/>
    <x v="4"/>
    <x v="1"/>
    <s v="BODY SPLASH"/>
    <x v="1"/>
    <m/>
    <m/>
    <m/>
    <m/>
    <m/>
    <m/>
    <m/>
    <m/>
    <m/>
    <m/>
    <m/>
    <m/>
    <m/>
    <m/>
    <m/>
    <m/>
    <m/>
    <m/>
    <m/>
    <m/>
    <m/>
    <s v=""/>
    <m/>
    <m/>
    <m/>
    <m/>
    <m/>
    <m/>
    <m/>
    <m/>
    <m/>
    <m/>
    <m/>
    <x v="0"/>
    <x v="5"/>
  </r>
  <r>
    <d v="2025-07-03T14:45:00"/>
    <d v="2025-07-04T09:20:00"/>
    <n v="4.5833333334303461"/>
    <n v="1007.9999999786643"/>
    <x v="1"/>
    <s v="DAPOP - Pedido 360 mil"/>
    <m/>
    <s v="25182/03"/>
    <s v="Envase"/>
    <n v="4620"/>
    <s v="DPMTBS03"/>
    <s v="BODY SPLASH MATTE OITAVA MARAVILHA"/>
    <n v="120"/>
    <s v="ml"/>
    <x v="4"/>
    <x v="1"/>
    <s v="BODY SPLASH"/>
    <x v="1"/>
    <m/>
    <m/>
    <m/>
    <m/>
    <m/>
    <m/>
    <m/>
    <m/>
    <m/>
    <m/>
    <m/>
    <m/>
    <m/>
    <m/>
    <m/>
    <m/>
    <m/>
    <m/>
    <m/>
    <m/>
    <m/>
    <s v=""/>
    <m/>
    <m/>
    <m/>
    <m/>
    <m/>
    <m/>
    <m/>
    <m/>
    <m/>
    <m/>
    <m/>
    <x v="0"/>
    <x v="5"/>
  </r>
  <r>
    <d v="2025-07-04T09:20:00"/>
    <d v="2025-07-04T14:27:00"/>
    <n v="4.1166666665812954"/>
    <n v="1122.2672065010063"/>
    <x v="1"/>
    <s v="DAPOP - Pedido 360 mil"/>
    <m/>
    <s v="25182/04"/>
    <s v="Envase"/>
    <n v="4620"/>
    <s v="DPMTBS03"/>
    <s v="BODY SPLASH MATTE OITAVA MARAVILHA"/>
    <n v="120"/>
    <s v="ml"/>
    <x v="4"/>
    <x v="1"/>
    <s v="BODY SPLASH"/>
    <x v="1"/>
    <m/>
    <m/>
    <m/>
    <m/>
    <m/>
    <m/>
    <m/>
    <m/>
    <m/>
    <m/>
    <m/>
    <m/>
    <m/>
    <m/>
    <m/>
    <m/>
    <m/>
    <m/>
    <m/>
    <m/>
    <m/>
    <s v=""/>
    <m/>
    <m/>
    <m/>
    <m/>
    <m/>
    <m/>
    <m/>
    <m/>
    <m/>
    <m/>
    <m/>
    <x v="0"/>
    <x v="5"/>
  </r>
  <r>
    <d v="2025-07-04T14:27:00"/>
    <d v="2025-07-04T15:50:00"/>
    <n v="1.3833333333022892"/>
    <n v="1084.3373494219245"/>
    <x v="1"/>
    <s v="DAPOP - Pedido 360 mil"/>
    <m/>
    <s v="25182/05"/>
    <s v="Envase"/>
    <n v="1500"/>
    <s v="DPMTBS03"/>
    <s v="BODY SPLASH MATTE OITAVA MARAVILHA"/>
    <n v="120"/>
    <s v="ml"/>
    <x v="4"/>
    <x v="1"/>
    <s v="BODY SPLASH"/>
    <x v="1"/>
    <m/>
    <m/>
    <m/>
    <m/>
    <m/>
    <m/>
    <m/>
    <m/>
    <m/>
    <m/>
    <m/>
    <m/>
    <m/>
    <m/>
    <m/>
    <m/>
    <m/>
    <m/>
    <m/>
    <m/>
    <m/>
    <s v=""/>
    <m/>
    <m/>
    <m/>
    <m/>
    <m/>
    <m/>
    <m/>
    <m/>
    <m/>
    <m/>
    <m/>
    <x v="0"/>
    <x v="5"/>
  </r>
  <r>
    <d v="2025-07-07T08:48:00"/>
    <d v="2025-07-07T11:30:00"/>
    <n v="2.6999999998952262"/>
    <n v="960.0000000372529"/>
    <x v="1"/>
    <s v="Miss Rôse - Body Splash 1.0"/>
    <m/>
    <s v="25175/06"/>
    <s v="Envase"/>
    <n v="2592"/>
    <s v="MRARBS01"/>
    <s v="BODY SPLASH AURORA IMPERIAL"/>
    <n v="220"/>
    <s v="ml"/>
    <x v="0"/>
    <x v="1"/>
    <s v="BODY SPLASH"/>
    <x v="1"/>
    <m/>
    <m/>
    <m/>
    <m/>
    <m/>
    <m/>
    <m/>
    <m/>
    <m/>
    <m/>
    <m/>
    <m/>
    <m/>
    <m/>
    <m/>
    <m/>
    <m/>
    <m/>
    <m/>
    <m/>
    <m/>
    <s v=""/>
    <m/>
    <m/>
    <m/>
    <m/>
    <m/>
    <m/>
    <m/>
    <m/>
    <m/>
    <m/>
    <m/>
    <x v="0"/>
    <x v="5"/>
  </r>
  <r>
    <d v="2025-07-07T14:00:00"/>
    <d v="2025-07-07T15:00:00"/>
    <n v="0.99999999994179234"/>
    <n v="720.00000004190952"/>
    <x v="1"/>
    <s v="Miss Rôse - Body Splash 1.0"/>
    <m/>
    <s v="25175/07"/>
    <s v="Envase"/>
    <n v="720"/>
    <s v="MRARBS01"/>
    <s v="BODY SPLASH AURORA IMPERIAL"/>
    <n v="220"/>
    <s v="ml"/>
    <x v="0"/>
    <x v="1"/>
    <s v="BODY SPLASH"/>
    <x v="1"/>
    <m/>
    <m/>
    <m/>
    <m/>
    <m/>
    <m/>
    <m/>
    <m/>
    <m/>
    <m/>
    <m/>
    <m/>
    <m/>
    <m/>
    <m/>
    <m/>
    <m/>
    <m/>
    <m/>
    <m/>
    <m/>
    <s v=""/>
    <m/>
    <m/>
    <m/>
    <m/>
    <m/>
    <m/>
    <m/>
    <m/>
    <m/>
    <m/>
    <m/>
    <x v="0"/>
    <x v="5"/>
  </r>
  <r>
    <d v="2025-07-07T14:00:00"/>
    <d v="2025-07-07T17:00:00"/>
    <n v="3"/>
    <n v="1026.6666666666667"/>
    <x v="1"/>
    <s v="DAPOP - Pedido 360 mil"/>
    <m/>
    <s v="25188/01"/>
    <s v="Envase"/>
    <n v="3080"/>
    <s v="DPMTBS01"/>
    <s v="BODY SPLASH MATTE DOCE SEDUÇÃO"/>
    <n v="120"/>
    <s v="ml"/>
    <x v="4"/>
    <x v="1"/>
    <s v="BODY SPLASH"/>
    <x v="1"/>
    <m/>
    <m/>
    <m/>
    <m/>
    <m/>
    <m/>
    <m/>
    <m/>
    <m/>
    <m/>
    <m/>
    <m/>
    <m/>
    <m/>
    <m/>
    <m/>
    <m/>
    <m/>
    <m/>
    <m/>
    <m/>
    <s v=""/>
    <m/>
    <m/>
    <m/>
    <m/>
    <m/>
    <m/>
    <m/>
    <m/>
    <m/>
    <m/>
    <m/>
    <x v="0"/>
    <x v="5"/>
  </r>
  <r>
    <d v="2025-07-08T07:00:00"/>
    <d v="2025-07-08T08:30:00"/>
    <n v="1.5"/>
    <n v="1026.6666666666667"/>
    <x v="1"/>
    <s v="DAPOP - Pedido 360 mil"/>
    <m/>
    <s v="25188/01"/>
    <s v="Envase"/>
    <n v="1540"/>
    <s v="DPMTBS01"/>
    <s v="BODY SPLASH MATTE DOCE SEDUÇÃO"/>
    <n v="120"/>
    <s v="ml"/>
    <x v="4"/>
    <x v="1"/>
    <s v="BODY SPLASH"/>
    <x v="1"/>
    <m/>
    <m/>
    <m/>
    <m/>
    <m/>
    <m/>
    <m/>
    <m/>
    <m/>
    <m/>
    <m/>
    <m/>
    <m/>
    <m/>
    <m/>
    <m/>
    <m/>
    <m/>
    <m/>
    <m/>
    <m/>
    <s v=""/>
    <m/>
    <m/>
    <m/>
    <m/>
    <m/>
    <m/>
    <m/>
    <m/>
    <m/>
    <m/>
    <m/>
    <x v="0"/>
    <x v="5"/>
  </r>
  <r>
    <d v="2025-07-08T07:46:00"/>
    <d v="2025-07-08T11:00:00"/>
    <n v="3.2333333333954215"/>
    <n v="157.11340205883869"/>
    <x v="2"/>
    <s v="Perfumes Moutier"/>
    <m/>
    <s v="25188/06"/>
    <s v="Envase"/>
    <n v="508"/>
    <s v="MOPFFW09"/>
    <s v="PERFUME FEMININO 02 LA VIE EST BELLE"/>
    <n v="50"/>
    <s v="ml"/>
    <x v="7"/>
    <x v="1"/>
    <s v="PERFUME"/>
    <x v="1"/>
    <m/>
    <m/>
    <m/>
    <m/>
    <m/>
    <m/>
    <m/>
    <m/>
    <m/>
    <m/>
    <m/>
    <m/>
    <m/>
    <m/>
    <m/>
    <m/>
    <m/>
    <m/>
    <m/>
    <m/>
    <m/>
    <s v=""/>
    <m/>
    <m/>
    <m/>
    <m/>
    <m/>
    <m/>
    <m/>
    <m/>
    <m/>
    <m/>
    <m/>
    <x v="0"/>
    <x v="5"/>
  </r>
  <r>
    <d v="2025-07-08T08:30:00"/>
    <d v="2025-07-08T11:50:00"/>
    <n v="3.3333333333721384"/>
    <n v="1385.9999999838649"/>
    <x v="1"/>
    <s v="DAPOP - Pedido 360 mil"/>
    <m/>
    <s v="25188/02"/>
    <s v="Envase"/>
    <n v="4620"/>
    <s v="DPMTBS01"/>
    <s v="BODY SPLASH MATTE DOCE SEDUÇÃO"/>
    <n v="120"/>
    <s v="ml"/>
    <x v="4"/>
    <x v="1"/>
    <s v="BODY SPLASH"/>
    <x v="1"/>
    <m/>
    <m/>
    <m/>
    <m/>
    <m/>
    <m/>
    <m/>
    <m/>
    <m/>
    <m/>
    <m/>
    <m/>
    <m/>
    <m/>
    <m/>
    <m/>
    <m/>
    <m/>
    <m/>
    <m/>
    <m/>
    <s v=""/>
    <m/>
    <m/>
    <m/>
    <m/>
    <m/>
    <m/>
    <m/>
    <m/>
    <m/>
    <m/>
    <m/>
    <x v="0"/>
    <x v="5"/>
  </r>
  <r>
    <d v="2025-07-08T13:00:00"/>
    <d v="2025-07-08T16:46:00"/>
    <n v="3.7666666667209938"/>
    <n v="1226.548672548681"/>
    <x v="1"/>
    <s v="DAPOP - Pedido 360 mil"/>
    <m/>
    <s v="25188/03"/>
    <s v="Envase"/>
    <n v="4620"/>
    <s v="DPMTBS01"/>
    <s v="BODY SPLASH MATTE DOCE SEDUÇÃO"/>
    <n v="120"/>
    <s v="ml"/>
    <x v="4"/>
    <x v="1"/>
    <s v="BODY SPLASH"/>
    <x v="1"/>
    <m/>
    <m/>
    <m/>
    <m/>
    <m/>
    <m/>
    <m/>
    <m/>
    <m/>
    <m/>
    <m/>
    <m/>
    <m/>
    <m/>
    <m/>
    <m/>
    <m/>
    <m/>
    <m/>
    <m/>
    <m/>
    <s v=""/>
    <m/>
    <m/>
    <m/>
    <m/>
    <m/>
    <m/>
    <m/>
    <m/>
    <m/>
    <m/>
    <m/>
    <x v="0"/>
    <x v="5"/>
  </r>
  <r>
    <d v="2025-07-08T16:46:00"/>
    <d v="2025-07-08T17:00:00"/>
    <n v="0.2333333333954215"/>
    <n v="1091.3385826311478"/>
    <x v="1"/>
    <s v="DAPOP - Pedido 360 mil"/>
    <m/>
    <s v="25188/04"/>
    <s v="Envase"/>
    <n v="254.64566934836037"/>
    <s v="DPMTBS01"/>
    <s v="BODY SPLASH MATTE DOCE SEDUÇÃO"/>
    <n v="120"/>
    <s v="ml"/>
    <x v="4"/>
    <x v="1"/>
    <s v="BODY SPLASH"/>
    <x v="1"/>
    <m/>
    <m/>
    <m/>
    <m/>
    <m/>
    <m/>
    <m/>
    <m/>
    <m/>
    <m/>
    <m/>
    <m/>
    <m/>
    <m/>
    <m/>
    <m/>
    <m/>
    <m/>
    <m/>
    <m/>
    <m/>
    <s v=""/>
    <m/>
    <m/>
    <m/>
    <m/>
    <m/>
    <m/>
    <m/>
    <m/>
    <m/>
    <m/>
    <m/>
    <x v="0"/>
    <x v="5"/>
  </r>
  <r>
    <d v="2025-07-09T07:00:00"/>
    <d v="2025-07-09T11:00:00"/>
    <n v="4.0000000001164153"/>
    <n v="1091.3385826311478"/>
    <x v="1"/>
    <s v="DAPOP - Pedido 360 mil"/>
    <m/>
    <s v="25188/04"/>
    <s v="Envase"/>
    <n v="4365.3543306516394"/>
    <s v="DPMTBS01"/>
    <s v="BODY SPLASH MATTE DOCE SEDUÇÃO"/>
    <n v="120"/>
    <s v="ml"/>
    <x v="4"/>
    <x v="1"/>
    <s v="BODY SPLASH"/>
    <x v="1"/>
    <m/>
    <m/>
    <m/>
    <m/>
    <m/>
    <m/>
    <m/>
    <m/>
    <m/>
    <m/>
    <m/>
    <m/>
    <m/>
    <m/>
    <m/>
    <m/>
    <m/>
    <m/>
    <m/>
    <m/>
    <m/>
    <s v=""/>
    <m/>
    <m/>
    <m/>
    <m/>
    <m/>
    <m/>
    <m/>
    <m/>
    <m/>
    <m/>
    <m/>
    <x v="0"/>
    <x v="5"/>
  </r>
  <r>
    <d v="2025-07-09T11:00:00"/>
    <d v="2025-07-09T14:00:00"/>
    <n v="2"/>
    <n v="780"/>
    <x v="1"/>
    <s v="DAPOP - Pedido 360 mil"/>
    <m/>
    <s v="25188/05"/>
    <s v="Envase"/>
    <n v="1560"/>
    <s v="DPMTBS01"/>
    <s v="BODY SPLASH MATTE DOCE SEDUÇÃO"/>
    <n v="120"/>
    <s v="ml"/>
    <x v="4"/>
    <x v="1"/>
    <s v="BODY SPLASH"/>
    <x v="1"/>
    <m/>
    <m/>
    <m/>
    <m/>
    <m/>
    <m/>
    <m/>
    <m/>
    <m/>
    <m/>
    <m/>
    <m/>
    <m/>
    <m/>
    <m/>
    <m/>
    <m/>
    <m/>
    <m/>
    <m/>
    <m/>
    <s v=""/>
    <m/>
    <m/>
    <m/>
    <m/>
    <m/>
    <m/>
    <m/>
    <m/>
    <m/>
    <m/>
    <m/>
    <x v="0"/>
    <x v="5"/>
  </r>
  <r>
    <d v="2025-07-10T09:00:00"/>
    <d v="2025-07-10T11:00:00"/>
    <n v="2.0000000000582077"/>
    <n v="49.999999998544808"/>
    <x v="1"/>
    <s v="03_06"/>
    <m/>
    <s v="25191/01"/>
    <s v="Envase"/>
    <n v="100"/>
    <s v="KUBPBA02"/>
    <s v="BASE PARA PERFUME FINA BASE PREMIUM 1l"/>
    <n v="1000"/>
    <s v="ml"/>
    <x v="5"/>
    <x v="2"/>
    <s v="BASE"/>
    <x v="1"/>
    <m/>
    <m/>
    <m/>
    <m/>
    <m/>
    <m/>
    <m/>
    <m/>
    <m/>
    <m/>
    <m/>
    <m/>
    <m/>
    <m/>
    <m/>
    <m/>
    <m/>
    <m/>
    <m/>
    <m/>
    <m/>
    <s v=""/>
    <m/>
    <m/>
    <m/>
    <m/>
    <m/>
    <m/>
    <m/>
    <m/>
    <m/>
    <m/>
    <m/>
    <x v="0"/>
    <x v="5"/>
  </r>
  <r>
    <d v="2025-07-10T13:00:00"/>
    <d v="2025-07-10T15:00:00"/>
    <n v="2.0000000000582077"/>
    <n v="199.99999999417923"/>
    <x v="1"/>
    <s v="03_06"/>
    <m/>
    <s v="25191/02"/>
    <s v="Envase"/>
    <n v="400"/>
    <s v="KUBPBA01 - 2"/>
    <s v="BASE PARA PERFUME FINA BASE 500ml"/>
    <n v="500"/>
    <s v="ml"/>
    <x v="5"/>
    <x v="2"/>
    <s v="BASE"/>
    <x v="1"/>
    <m/>
    <m/>
    <m/>
    <m/>
    <m/>
    <m/>
    <m/>
    <m/>
    <m/>
    <m/>
    <m/>
    <m/>
    <m/>
    <m/>
    <m/>
    <m/>
    <m/>
    <m/>
    <m/>
    <m/>
    <m/>
    <s v=""/>
    <m/>
    <m/>
    <m/>
    <m/>
    <m/>
    <m/>
    <m/>
    <m/>
    <m/>
    <m/>
    <m/>
    <x v="0"/>
    <x v="5"/>
  </r>
  <r>
    <d v="2025-07-10T13:30:00"/>
    <d v="2025-07-10T16:00:00"/>
    <n v="2.4999999999417923"/>
    <n v="969.23076923155827"/>
    <x v="1"/>
    <s v="DAPOP - Pedido 360 mil"/>
    <m/>
    <s v="25190/01"/>
    <s v="Envase"/>
    <n v="2423.0769230224791"/>
    <s v="DPGLBS01"/>
    <s v="BODY SPLASH GLOW PAIXÃO IRRESISTÍVEL"/>
    <n v="120"/>
    <s v="ml"/>
    <x v="4"/>
    <x v="1"/>
    <s v="BODY SPLASH"/>
    <x v="3"/>
    <m/>
    <m/>
    <m/>
    <m/>
    <m/>
    <m/>
    <m/>
    <m/>
    <m/>
    <m/>
    <m/>
    <m/>
    <m/>
    <m/>
    <m/>
    <m/>
    <m/>
    <m/>
    <m/>
    <m/>
    <m/>
    <s v=""/>
    <m/>
    <m/>
    <m/>
    <m/>
    <m/>
    <m/>
    <m/>
    <m/>
    <m/>
    <m/>
    <m/>
    <x v="0"/>
    <x v="5"/>
  </r>
  <r>
    <d v="2025-07-14T07:00:00"/>
    <d v="2025-07-14T09:16:00"/>
    <n v="2.2666666667209938"/>
    <n v="969.23076923155827"/>
    <x v="1"/>
    <s v="DAPOP - Pedido 360 mil"/>
    <m/>
    <s v="25190/01"/>
    <s v="Envase"/>
    <n v="2196.9230769775209"/>
    <s v="DPGLBS01"/>
    <s v="BODY SPLASH GLOW PAIXÃO IRRESISTÍVEL"/>
    <n v="120"/>
    <s v="ml"/>
    <x v="4"/>
    <x v="1"/>
    <s v="BODY SPLASH"/>
    <x v="3"/>
    <m/>
    <m/>
    <m/>
    <m/>
    <m/>
    <m/>
    <m/>
    <m/>
    <m/>
    <m/>
    <m/>
    <m/>
    <m/>
    <m/>
    <m/>
    <m/>
    <m/>
    <m/>
    <m/>
    <m/>
    <m/>
    <s v=""/>
    <m/>
    <m/>
    <m/>
    <m/>
    <m/>
    <m/>
    <m/>
    <m/>
    <m/>
    <m/>
    <m/>
    <x v="0"/>
    <x v="5"/>
  </r>
  <r>
    <d v="2025-07-14T09:18:00"/>
    <d v="2025-07-14T15:10:00"/>
    <n v="4.8666666667559184"/>
    <n v="949.31506847574087"/>
    <x v="1"/>
    <s v="DAPOP - Pedido 360 mil"/>
    <m/>
    <s v="25190/02"/>
    <s v="Envase"/>
    <n v="4620"/>
    <s v="DPGLBS01"/>
    <s v="BODY SPLASH GLOW PAIXÃO IRRESISTÍVEL"/>
    <n v="120"/>
    <s v="ml"/>
    <x v="4"/>
    <x v="1"/>
    <s v="BODY SPLASH"/>
    <x v="3"/>
    <m/>
    <m/>
    <m/>
    <m/>
    <m/>
    <m/>
    <m/>
    <m/>
    <m/>
    <m/>
    <m/>
    <m/>
    <m/>
    <m/>
    <m/>
    <m/>
    <m/>
    <m/>
    <m/>
    <m/>
    <m/>
    <s v=""/>
    <m/>
    <m/>
    <m/>
    <m/>
    <m/>
    <m/>
    <m/>
    <m/>
    <m/>
    <m/>
    <m/>
    <x v="0"/>
    <x v="5"/>
  </r>
  <r>
    <d v="2025-07-14T15:10:00"/>
    <d v="2025-07-14T17:00:00"/>
    <n v="1.8333333333721384"/>
    <n v="1108.7999999638573"/>
    <x v="1"/>
    <s v="DAPOP - Pedido 360 mil"/>
    <m/>
    <s v="25190/03"/>
    <s v="Envase"/>
    <n v="2032.7999999767655"/>
    <s v="DPGLBS01"/>
    <s v="BODY SPLASH GLOW PAIXÃO IRRESISTÍVEL"/>
    <n v="120"/>
    <s v="ml"/>
    <x v="4"/>
    <x v="1"/>
    <s v="BODY SPLASH"/>
    <x v="3"/>
    <m/>
    <m/>
    <m/>
    <m/>
    <m/>
    <m/>
    <m/>
    <m/>
    <m/>
    <m/>
    <m/>
    <m/>
    <m/>
    <m/>
    <m/>
    <m/>
    <m/>
    <m/>
    <m/>
    <m/>
    <m/>
    <s v=""/>
    <m/>
    <m/>
    <m/>
    <m/>
    <m/>
    <m/>
    <m/>
    <m/>
    <m/>
    <m/>
    <m/>
    <x v="0"/>
    <x v="5"/>
  </r>
  <r>
    <d v="2025-07-15T07:00:00"/>
    <d v="2025-07-15T09:20:00"/>
    <n v="2.3333333334303461"/>
    <n v="1108.7999999638573"/>
    <x v="1"/>
    <s v="DAPOP - Pedido 360 mil"/>
    <m/>
    <s v="25190/03"/>
    <s v="Envase"/>
    <n v="2587.2000000232347"/>
    <s v="DPGLBS01"/>
    <s v="BODY SPLASH GLOW PAIXÃO IRRESISTÍVEL"/>
    <n v="120"/>
    <s v="ml"/>
    <x v="4"/>
    <x v="1"/>
    <s v="BODY SPLASH"/>
    <x v="3"/>
    <m/>
    <m/>
    <m/>
    <m/>
    <m/>
    <m/>
    <m/>
    <m/>
    <m/>
    <m/>
    <m/>
    <m/>
    <m/>
    <m/>
    <m/>
    <m/>
    <m/>
    <m/>
    <m/>
    <m/>
    <m/>
    <s v=""/>
    <m/>
    <m/>
    <m/>
    <m/>
    <m/>
    <m/>
    <m/>
    <m/>
    <m/>
    <m/>
    <m/>
    <x v="0"/>
    <x v="5"/>
  </r>
  <r>
    <d v="2025-07-15T09:20:00"/>
    <d v="2025-07-15T15:00:00"/>
    <n v="4.6666666666278616"/>
    <n v="990.00000000823218"/>
    <x v="1"/>
    <s v="DAPOP - Pedido 360 mil"/>
    <m/>
    <s v="25190/04"/>
    <s v="Envase"/>
    <n v="4620"/>
    <s v="DPGLBS01"/>
    <s v="BODY SPLASH GLOW PAIXÃO IRRESISTÍVEL"/>
    <n v="120"/>
    <s v="ml"/>
    <x v="4"/>
    <x v="1"/>
    <s v="BODY SPLASH"/>
    <x v="3"/>
    <m/>
    <m/>
    <m/>
    <m/>
    <m/>
    <m/>
    <m/>
    <m/>
    <m/>
    <m/>
    <m/>
    <m/>
    <m/>
    <m/>
    <m/>
    <m/>
    <m/>
    <m/>
    <m/>
    <m/>
    <m/>
    <s v=""/>
    <m/>
    <m/>
    <m/>
    <m/>
    <m/>
    <m/>
    <m/>
    <m/>
    <m/>
    <m/>
    <m/>
    <x v="0"/>
    <x v="5"/>
  </r>
  <r>
    <d v="2025-07-15T15:00:00"/>
    <d v="2025-07-15T17:00:00"/>
    <n v="2.0000000000582077"/>
    <n v="779.99999997729901"/>
    <x v="1"/>
    <s v="DAPOP - Pedido 360 mil"/>
    <m/>
    <s v="25190/05"/>
    <s v="Envase"/>
    <n v="1560"/>
    <s v="DPGLBS01"/>
    <s v="BODY SPLASH GLOW PAIXÃO IRRESISTÍVEL"/>
    <n v="120"/>
    <s v="ml"/>
    <x v="4"/>
    <x v="1"/>
    <s v="BODY SPLASH"/>
    <x v="3"/>
    <m/>
    <m/>
    <m/>
    <m/>
    <m/>
    <m/>
    <m/>
    <m/>
    <m/>
    <m/>
    <m/>
    <m/>
    <m/>
    <m/>
    <m/>
    <m/>
    <m/>
    <m/>
    <m/>
    <m/>
    <m/>
    <s v=""/>
    <m/>
    <m/>
    <m/>
    <m/>
    <m/>
    <m/>
    <m/>
    <m/>
    <m/>
    <m/>
    <m/>
    <x v="0"/>
    <x v="5"/>
  </r>
  <r>
    <d v="2025-07-16T07:27:00"/>
    <d v="2025-07-16T11:00:00"/>
    <n v="3.5500000000465661"/>
    <n v="1301.4084506871545"/>
    <x v="1"/>
    <s v="DAPOP - Pedido 360 mil"/>
    <m/>
    <s v="25196/01"/>
    <s v="Envase"/>
    <n v="4620"/>
    <s v="DPGLBS02"/>
    <s v="BODY SPLASH GLOW TAÇA DE CHAMPAGNE"/>
    <n v="120"/>
    <s v="ml"/>
    <x v="4"/>
    <x v="1"/>
    <s v="BODY SPLASH"/>
    <x v="3"/>
    <m/>
    <m/>
    <m/>
    <m/>
    <m/>
    <m/>
    <m/>
    <m/>
    <m/>
    <m/>
    <m/>
    <m/>
    <m/>
    <m/>
    <m/>
    <m/>
    <m/>
    <m/>
    <m/>
    <m/>
    <m/>
    <s v=""/>
    <m/>
    <m/>
    <m/>
    <m/>
    <m/>
    <m/>
    <m/>
    <m/>
    <m/>
    <m/>
    <m/>
    <x v="0"/>
    <x v="5"/>
  </r>
  <r>
    <d v="2025-07-16T11:00:00"/>
    <d v="2025-07-17T16:10:00"/>
    <n v="13.166666666686069"/>
    <n v="350.88607594885002"/>
    <x v="1"/>
    <s v="DAPOP - Pedido 360 mil"/>
    <m/>
    <s v="25196/02"/>
    <s v="Envase"/>
    <n v="4620"/>
    <s v="DPGLBS02"/>
    <s v="BODY SPLASH GLOW TAÇA DE CHAMPAGNE"/>
    <n v="120"/>
    <s v="ml"/>
    <x v="4"/>
    <x v="1"/>
    <s v="BODY SPLASH"/>
    <x v="3"/>
    <m/>
    <m/>
    <m/>
    <m/>
    <m/>
    <m/>
    <m/>
    <m/>
    <m/>
    <m/>
    <m/>
    <m/>
    <m/>
    <m/>
    <m/>
    <m/>
    <m/>
    <m/>
    <m/>
    <m/>
    <m/>
    <s v=""/>
    <m/>
    <m/>
    <m/>
    <m/>
    <m/>
    <m/>
    <m/>
    <m/>
    <m/>
    <m/>
    <m/>
    <x v="0"/>
    <x v="5"/>
  </r>
  <r>
    <d v="2025-07-16T16:10:00"/>
    <d v="2025-07-16T17:00:00"/>
    <n v="0.8333333334303461"/>
    <n v="1066.1538461156565"/>
    <x v="1"/>
    <s v="DAPOP - Pedido 360 mil"/>
    <m/>
    <s v="25196/03"/>
    <s v="Envase"/>
    <n v="888.46153853314433"/>
    <s v="DPGLBS02"/>
    <s v="BODY SPLASH GLOW TAÇA DE CHAMPAGNE"/>
    <n v="120"/>
    <s v="ml"/>
    <x v="4"/>
    <x v="1"/>
    <s v="BODY SPLASH"/>
    <x v="3"/>
    <m/>
    <m/>
    <m/>
    <m/>
    <m/>
    <m/>
    <m/>
    <m/>
    <m/>
    <m/>
    <m/>
    <m/>
    <m/>
    <m/>
    <m/>
    <m/>
    <m/>
    <m/>
    <m/>
    <m/>
    <m/>
    <s v=""/>
    <m/>
    <m/>
    <m/>
    <m/>
    <m/>
    <m/>
    <m/>
    <m/>
    <m/>
    <m/>
    <m/>
    <x v="0"/>
    <x v="5"/>
  </r>
  <r>
    <d v="2025-07-17T07:00:00"/>
    <d v="2025-07-17T10:30:00"/>
    <n v="3.5000000000582077"/>
    <n v="1066.1538461156565"/>
    <x v="1"/>
    <s v="DAPOP - Pedido 360 mil"/>
    <m/>
    <s v="25196/03"/>
    <s v="Envase"/>
    <n v="3731.538461466856"/>
    <s v="DPGLBS02"/>
    <s v="BODY SPLASH GLOW TAÇA DE CHAMPAGNE"/>
    <n v="120"/>
    <s v="ml"/>
    <x v="4"/>
    <x v="1"/>
    <s v="BODY SPLASH"/>
    <x v="3"/>
    <m/>
    <m/>
    <m/>
    <m/>
    <m/>
    <m/>
    <m/>
    <m/>
    <m/>
    <m/>
    <m/>
    <m/>
    <m/>
    <m/>
    <m/>
    <m/>
    <m/>
    <m/>
    <m/>
    <m/>
    <m/>
    <s v=""/>
    <m/>
    <m/>
    <m/>
    <m/>
    <m/>
    <m/>
    <m/>
    <m/>
    <m/>
    <m/>
    <m/>
    <x v="0"/>
    <x v="5"/>
  </r>
  <r>
    <d v="2025-07-17T10:30:00"/>
    <d v="2025-07-17T13:00:00"/>
    <n v="2.4999999999417923"/>
    <n v="1848.0000000430271"/>
    <x v="1"/>
    <s v="DAPOP - Pedido 360 mil"/>
    <m/>
    <s v="25196/04"/>
    <s v="Envase"/>
    <n v="4620"/>
    <s v="DPGLBS02"/>
    <s v="BODY SPLASH GLOW TAÇA DE CHAMPAGNE"/>
    <n v="120"/>
    <s v="ml"/>
    <x v="4"/>
    <x v="1"/>
    <s v="BODY SPLASH"/>
    <x v="3"/>
    <m/>
    <m/>
    <m/>
    <m/>
    <m/>
    <m/>
    <m/>
    <m/>
    <m/>
    <m/>
    <m/>
    <m/>
    <m/>
    <m/>
    <m/>
    <m/>
    <m/>
    <m/>
    <m/>
    <m/>
    <m/>
    <s v=""/>
    <m/>
    <m/>
    <m/>
    <m/>
    <m/>
    <m/>
    <m/>
    <m/>
    <m/>
    <m/>
    <m/>
    <x v="0"/>
    <x v="5"/>
  </r>
  <r>
    <d v="2025-07-17T13:00:00"/>
    <d v="2025-07-17T16:30:00"/>
    <n v="3.5000000000582077"/>
    <n v="445.71428570687317"/>
    <x v="1"/>
    <s v="DAPOP - Pedido 360 mil"/>
    <m/>
    <s v="25196/05"/>
    <s v="Envase"/>
    <n v="1560"/>
    <s v="DPGLBS02"/>
    <s v="BODY SPLASH GLOW TAÇA DE CHAMPAGNE"/>
    <n v="120"/>
    <s v="ml"/>
    <x v="4"/>
    <x v="1"/>
    <s v="BODY SPLASH"/>
    <x v="3"/>
    <m/>
    <m/>
    <m/>
    <m/>
    <m/>
    <m/>
    <m/>
    <m/>
    <m/>
    <m/>
    <m/>
    <m/>
    <m/>
    <m/>
    <m/>
    <m/>
    <m/>
    <m/>
    <m/>
    <m/>
    <m/>
    <s v=""/>
    <m/>
    <m/>
    <m/>
    <m/>
    <m/>
    <m/>
    <m/>
    <m/>
    <m/>
    <m/>
    <m/>
    <x v="0"/>
    <x v="5"/>
  </r>
  <r>
    <d v="2025-07-18T08:08:00"/>
    <d v="2025-07-18T11:00:00"/>
    <n v="2.8666666667559184"/>
    <n v="707.09302323379904"/>
    <x v="1"/>
    <s v="GOTA ZEN - Body Slash"/>
    <m/>
    <s v="25198/08"/>
    <s v="Envase"/>
    <n v="2027"/>
    <s v="GZLBBS03"/>
    <s v="BODY SPLASH GOTA BELLE"/>
    <n v="210"/>
    <s v="ml"/>
    <x v="8"/>
    <x v="1"/>
    <s v="BODY SPLASH"/>
    <x v="1"/>
    <m/>
    <m/>
    <m/>
    <m/>
    <m/>
    <m/>
    <m/>
    <m/>
    <m/>
    <m/>
    <m/>
    <m/>
    <m/>
    <m/>
    <m/>
    <m/>
    <m/>
    <m/>
    <m/>
    <m/>
    <m/>
    <s v=""/>
    <m/>
    <m/>
    <m/>
    <m/>
    <m/>
    <m/>
    <m/>
    <m/>
    <m/>
    <m/>
    <m/>
    <x v="0"/>
    <x v="5"/>
  </r>
  <r>
    <d v="2025-07-18T11:00:00"/>
    <d v="2025-07-18T14:20:00"/>
    <n v="2.3333333331975155"/>
    <n v="876.00000005098991"/>
    <x v="1"/>
    <s v="GOTA ZEN - Body Slash"/>
    <m/>
    <s v="25198/06"/>
    <s v="Envase"/>
    <n v="2044"/>
    <s v="GZLBBS01"/>
    <s v="BODY SPLASH GOTA LOVE"/>
    <n v="210"/>
    <s v="ml"/>
    <x v="8"/>
    <x v="1"/>
    <s v="BODY SPLASH"/>
    <x v="1"/>
    <m/>
    <m/>
    <m/>
    <m/>
    <m/>
    <m/>
    <m/>
    <m/>
    <m/>
    <m/>
    <m/>
    <m/>
    <m/>
    <m/>
    <m/>
    <m/>
    <m/>
    <m/>
    <m/>
    <m/>
    <m/>
    <s v=""/>
    <m/>
    <m/>
    <m/>
    <m/>
    <m/>
    <m/>
    <m/>
    <m/>
    <m/>
    <m/>
    <m/>
    <x v="0"/>
    <x v="5"/>
  </r>
  <r>
    <d v="2025-07-18T14:20:00"/>
    <d v="2025-07-18T16:00:00"/>
    <n v="1.6666666666860692"/>
    <n v="662.3999999922886"/>
    <x v="1"/>
    <s v="GOTA ZEN - Body Slash"/>
    <m/>
    <s v="25198/07"/>
    <s v="Envase"/>
    <n v="1104"/>
    <s v="GZLBBS02"/>
    <s v="BODY SPLASH ARABYS' AMBAR"/>
    <n v="210"/>
    <s v="ml"/>
    <x v="8"/>
    <x v="1"/>
    <s v="BODY SPLASH"/>
    <x v="1"/>
    <m/>
    <m/>
    <m/>
    <m/>
    <m/>
    <m/>
    <m/>
    <m/>
    <m/>
    <m/>
    <m/>
    <m/>
    <m/>
    <m/>
    <m/>
    <m/>
    <m/>
    <m/>
    <m/>
    <m/>
    <m/>
    <s v=""/>
    <m/>
    <m/>
    <m/>
    <m/>
    <m/>
    <m/>
    <m/>
    <m/>
    <m/>
    <m/>
    <m/>
    <x v="0"/>
    <x v="5"/>
  </r>
  <r>
    <d v="2025-07-21T07:00:00"/>
    <d v="2025-07-21T08:15:00"/>
    <n v="1.2500000000582077"/>
    <n v="738.39999996561562"/>
    <x v="1"/>
    <s v="GOTA ZEN - Body Slash"/>
    <m/>
    <s v="25198/07"/>
    <s v="Envase"/>
    <n v="923"/>
    <s v="GZLBBS02"/>
    <s v="BODY SPLASH ARABYS' AMBAR"/>
    <n v="210"/>
    <s v="ml"/>
    <x v="8"/>
    <x v="1"/>
    <s v="BODY SPLASH"/>
    <x v="1"/>
    <m/>
    <m/>
    <m/>
    <m/>
    <m/>
    <m/>
    <m/>
    <m/>
    <m/>
    <m/>
    <m/>
    <m/>
    <m/>
    <m/>
    <m/>
    <m/>
    <m/>
    <m/>
    <m/>
    <m/>
    <m/>
    <s v=""/>
    <m/>
    <m/>
    <m/>
    <m/>
    <m/>
    <m/>
    <m/>
    <m/>
    <m/>
    <m/>
    <m/>
    <x v="0"/>
    <x v="5"/>
  </r>
  <r>
    <d v="2025-07-21T08:15:00"/>
    <d v="2025-07-21T10:20:00"/>
    <n v="2.0833333333139308"/>
    <n v="972.96000000906145"/>
    <x v="1"/>
    <s v="GOTA ZEN - Body Slash"/>
    <m/>
    <s v="25198/09"/>
    <s v="Envase"/>
    <n v="2027"/>
    <s v="GZLBBS04"/>
    <s v="BODY SPLASH ARABYS' FEROZ"/>
    <n v="210"/>
    <s v="ml"/>
    <x v="8"/>
    <x v="1"/>
    <s v="BODY SPLASH"/>
    <x v="1"/>
    <m/>
    <m/>
    <m/>
    <m/>
    <m/>
    <m/>
    <m/>
    <m/>
    <m/>
    <m/>
    <m/>
    <m/>
    <m/>
    <m/>
    <m/>
    <m/>
    <m/>
    <m/>
    <m/>
    <m/>
    <m/>
    <s v=""/>
    <m/>
    <m/>
    <m/>
    <m/>
    <m/>
    <m/>
    <m/>
    <m/>
    <m/>
    <m/>
    <m/>
    <x v="0"/>
    <x v="5"/>
  </r>
  <r>
    <d v="2025-07-21T10:20:00"/>
    <d v="2025-07-21T13:40:00"/>
    <n v="2.3333333333721384"/>
    <n v="868.71428569983834"/>
    <x v="1"/>
    <s v="GOTA ZEN - Body Slash"/>
    <m/>
    <s v="25198/10"/>
    <s v="Envase"/>
    <n v="2027"/>
    <s v="GZLBBS05"/>
    <s v="BODY SPLASH GLOW CHAMPAGNE"/>
    <n v="210"/>
    <s v="ml"/>
    <x v="8"/>
    <x v="1"/>
    <s v="BODY SPLASH"/>
    <x v="1"/>
    <m/>
    <m/>
    <m/>
    <m/>
    <m/>
    <m/>
    <m/>
    <m/>
    <m/>
    <m/>
    <m/>
    <m/>
    <m/>
    <m/>
    <m/>
    <m/>
    <m/>
    <m/>
    <m/>
    <m/>
    <m/>
    <s v=""/>
    <m/>
    <m/>
    <m/>
    <m/>
    <m/>
    <m/>
    <m/>
    <m/>
    <m/>
    <m/>
    <m/>
    <x v="0"/>
    <x v="5"/>
  </r>
  <r>
    <d v="2025-07-21T13:40:00"/>
    <d v="2025-07-21T15:30:00"/>
    <n v="1.8333333333721384"/>
    <n v="1105.6363636129613"/>
    <x v="1"/>
    <s v="GOTA ZEN - Body Slash"/>
    <m/>
    <s v="25198/11"/>
    <s v="Envase"/>
    <n v="2027"/>
    <s v="GZLBBS06"/>
    <s v="BODY SPLASH ESCAN DALOSA"/>
    <n v="210"/>
    <s v="ml"/>
    <x v="8"/>
    <x v="1"/>
    <s v="BODY SPLASH"/>
    <x v="1"/>
    <m/>
    <m/>
    <m/>
    <m/>
    <m/>
    <m/>
    <m/>
    <m/>
    <m/>
    <m/>
    <m/>
    <m/>
    <m/>
    <m/>
    <m/>
    <m/>
    <m/>
    <m/>
    <m/>
    <m/>
    <m/>
    <s v=""/>
    <m/>
    <m/>
    <m/>
    <m/>
    <m/>
    <m/>
    <m/>
    <m/>
    <m/>
    <m/>
    <m/>
    <x v="0"/>
    <x v="5"/>
  </r>
  <r>
    <d v="2025-07-21T15:30:00"/>
    <d v="2025-07-21T17:00:00"/>
    <n v="1.5"/>
    <n v="1026.6666666666667"/>
    <x v="1"/>
    <s v="DAPOP - Pedido 360 mil"/>
    <m/>
    <s v="25198/01"/>
    <s v="Envase"/>
    <n v="1540"/>
    <s v="DPGLBS03"/>
    <s v="BODY SPLASH GLOW NOITE DE GLAMOUR"/>
    <n v="120"/>
    <s v="ml"/>
    <x v="4"/>
    <x v="1"/>
    <s v="BODY SPLASH"/>
    <x v="3"/>
    <m/>
    <m/>
    <m/>
    <m/>
    <m/>
    <m/>
    <m/>
    <m/>
    <m/>
    <m/>
    <m/>
    <m/>
    <m/>
    <m/>
    <m/>
    <m/>
    <m/>
    <m/>
    <m/>
    <m/>
    <m/>
    <s v=""/>
    <m/>
    <m/>
    <m/>
    <m/>
    <m/>
    <m/>
    <m/>
    <m/>
    <m/>
    <m/>
    <m/>
    <x v="0"/>
    <x v="5"/>
  </r>
  <r>
    <d v="2025-07-22T07:00:00"/>
    <d v="2025-07-22T10:00:00"/>
    <n v="3"/>
    <n v="1026.6666666666667"/>
    <x v="1"/>
    <s v="DAPOP - Pedido 360 mil"/>
    <m/>
    <s v="25198/01"/>
    <s v="Envase"/>
    <n v="3080"/>
    <s v="DPGLBS03"/>
    <s v="BODY SPLASH GLOW NOITE DE GLAMOUR"/>
    <n v="120"/>
    <s v="ml"/>
    <x v="4"/>
    <x v="1"/>
    <s v="BODY SPLASH"/>
    <x v="3"/>
    <m/>
    <m/>
    <m/>
    <m/>
    <m/>
    <m/>
    <m/>
    <m/>
    <m/>
    <m/>
    <m/>
    <m/>
    <m/>
    <m/>
    <m/>
    <m/>
    <m/>
    <m/>
    <m/>
    <m/>
    <m/>
    <s v=""/>
    <m/>
    <m/>
    <m/>
    <m/>
    <m/>
    <m/>
    <m/>
    <m/>
    <m/>
    <m/>
    <m/>
    <x v="0"/>
    <x v="5"/>
  </r>
  <r>
    <d v="2025-07-22T08:00:00"/>
    <d v="2025-07-22T11:30:00"/>
    <n v="3.4999999998835847"/>
    <n v="726.85714288131919"/>
    <x v="2"/>
    <s v="02_06"/>
    <m/>
    <s v="25202/01"/>
    <s v="Envase"/>
    <n v="2544"/>
    <s v="MRARBS05"/>
    <s v="BODY SPLASH FORÇA DO LEAO"/>
    <n v="220"/>
    <s v="ml"/>
    <x v="0"/>
    <x v="1"/>
    <s v="BODY SPLASH"/>
    <x v="1"/>
    <m/>
    <m/>
    <m/>
    <m/>
    <m/>
    <m/>
    <m/>
    <m/>
    <m/>
    <m/>
    <m/>
    <m/>
    <m/>
    <m/>
    <m/>
    <m/>
    <m/>
    <m/>
    <m/>
    <m/>
    <m/>
    <s v=""/>
    <m/>
    <m/>
    <m/>
    <m/>
    <m/>
    <m/>
    <m/>
    <m/>
    <m/>
    <m/>
    <m/>
    <x v="0"/>
    <x v="5"/>
  </r>
  <r>
    <d v="2025-07-22T10:00:00"/>
    <d v="2025-07-22T17:00:00"/>
    <n v="6.0000000001164153"/>
    <n v="714.43298966414125"/>
    <x v="1"/>
    <s v="DAPOP - Pedido 360 mil"/>
    <m/>
    <s v="25198/02"/>
    <s v="Envase"/>
    <n v="4286.5979380680183"/>
    <s v="DPGLBS03"/>
    <s v="BODY SPLASH GLOW NOITE DE GLAMOUR"/>
    <n v="120"/>
    <s v="ml"/>
    <x v="4"/>
    <x v="1"/>
    <s v="BODY SPLASH"/>
    <x v="3"/>
    <m/>
    <m/>
    <m/>
    <m/>
    <m/>
    <m/>
    <m/>
    <m/>
    <m/>
    <m/>
    <m/>
    <m/>
    <m/>
    <m/>
    <m/>
    <m/>
    <m/>
    <m/>
    <m/>
    <m/>
    <m/>
    <s v=""/>
    <m/>
    <m/>
    <m/>
    <m/>
    <m/>
    <m/>
    <m/>
    <m/>
    <m/>
    <m/>
    <m/>
    <x v="0"/>
    <x v="5"/>
  </r>
  <r>
    <d v="2025-07-22T11:30:00"/>
    <d v="2025-07-22T17:00:00"/>
    <n v="4.5000000001164153"/>
    <n v="507.1096345283521"/>
    <x v="2"/>
    <s v="02_06"/>
    <m/>
    <s v="25202/02"/>
    <s v="Envase"/>
    <n v="2281.9933554366198"/>
    <s v="MRARBS05"/>
    <s v="BODY SPLASH FORÇA DO LEAO"/>
    <n v="220"/>
    <s v="ml"/>
    <x v="0"/>
    <x v="1"/>
    <s v="BODY SPLASH"/>
    <x v="1"/>
    <m/>
    <m/>
    <m/>
    <m/>
    <m/>
    <m/>
    <m/>
    <m/>
    <m/>
    <m/>
    <m/>
    <m/>
    <m/>
    <m/>
    <m/>
    <m/>
    <m/>
    <m/>
    <m/>
    <m/>
    <m/>
    <s v=""/>
    <m/>
    <m/>
    <m/>
    <m/>
    <m/>
    <m/>
    <m/>
    <m/>
    <m/>
    <m/>
    <m/>
    <x v="0"/>
    <x v="5"/>
  </r>
  <r>
    <d v="2025-07-23T07:00:00"/>
    <d v="2025-07-23T07:28:00"/>
    <n v="0.46666666679084301"/>
    <n v="714.43298966414113"/>
    <x v="1"/>
    <s v="DAPOP - Pedido 360 mil"/>
    <m/>
    <s v="25198/02"/>
    <s v="Envase"/>
    <n v="333.40206193198156"/>
    <s v="DPGLBS03"/>
    <s v="BODY SPLASH GLOW NOITE DE GLAMOUR"/>
    <n v="120"/>
    <s v="ml"/>
    <x v="4"/>
    <x v="1"/>
    <s v="BODY SPLASH"/>
    <x v="3"/>
    <m/>
    <m/>
    <m/>
    <m/>
    <m/>
    <m/>
    <m/>
    <m/>
    <m/>
    <m/>
    <m/>
    <m/>
    <m/>
    <m/>
    <m/>
    <m/>
    <m/>
    <m/>
    <m/>
    <m/>
    <m/>
    <s v=""/>
    <m/>
    <m/>
    <m/>
    <m/>
    <m/>
    <m/>
    <m/>
    <m/>
    <m/>
    <m/>
    <m/>
    <x v="0"/>
    <x v="5"/>
  </r>
  <r>
    <d v="2025-07-23T07:00:00"/>
    <d v="2025-07-23T07:31:00"/>
    <n v="0.51666666677920148"/>
    <n v="507.10963452835068"/>
    <x v="2"/>
    <s v="02_06"/>
    <m/>
    <s v="25202/02"/>
    <s v="Envase"/>
    <n v="262.006644563382"/>
    <s v="MRARBS05"/>
    <s v="BODY SPLASH FORÇA DO LEAO"/>
    <n v="220"/>
    <s v="ml"/>
    <x v="0"/>
    <x v="1"/>
    <s v="BODY SPLASH"/>
    <x v="1"/>
    <m/>
    <m/>
    <m/>
    <m/>
    <m/>
    <m/>
    <m/>
    <m/>
    <m/>
    <m/>
    <m/>
    <m/>
    <m/>
    <m/>
    <m/>
    <m/>
    <m/>
    <m/>
    <m/>
    <m/>
    <m/>
    <s v=""/>
    <m/>
    <m/>
    <m/>
    <m/>
    <m/>
    <m/>
    <m/>
    <m/>
    <m/>
    <m/>
    <m/>
    <x v="0"/>
    <x v="5"/>
  </r>
  <r>
    <d v="2025-07-23T07:28:00"/>
    <d v="2025-07-23T13:30:00"/>
    <n v="5.0333333332673647"/>
    <n v="917.88079471401682"/>
    <x v="1"/>
    <s v="DAPOP - Pedido 360 mil"/>
    <m/>
    <s v="25198/03"/>
    <s v="Envase"/>
    <n v="4620"/>
    <s v="DPGLBS03"/>
    <s v="BODY SPLASH GLOW NOITE DE GLAMOUR"/>
    <n v="120"/>
    <s v="ml"/>
    <x v="4"/>
    <x v="1"/>
    <s v="BODY SPLASH"/>
    <x v="3"/>
    <m/>
    <m/>
    <m/>
    <m/>
    <m/>
    <m/>
    <m/>
    <m/>
    <m/>
    <m/>
    <m/>
    <m/>
    <m/>
    <m/>
    <m/>
    <m/>
    <m/>
    <m/>
    <m/>
    <m/>
    <m/>
    <s v=""/>
    <m/>
    <m/>
    <m/>
    <m/>
    <m/>
    <m/>
    <m/>
    <m/>
    <m/>
    <m/>
    <m/>
    <x v="0"/>
    <x v="5"/>
  </r>
  <r>
    <d v="2025-07-23T07:31:00"/>
    <d v="2025-07-23T11:35:00"/>
    <n v="4.0666666666511446"/>
    <n v="625.57377049419108"/>
    <x v="2"/>
    <s v="02_06"/>
    <m/>
    <s v="25202/03"/>
    <s v="Envase"/>
    <n v="2544"/>
    <s v="MRARBS05"/>
    <s v="BODY SPLASH FORÇA DO LEAO"/>
    <n v="220"/>
    <s v="ml"/>
    <x v="0"/>
    <x v="1"/>
    <s v="BODY SPLASH"/>
    <x v="1"/>
    <m/>
    <m/>
    <m/>
    <m/>
    <m/>
    <m/>
    <m/>
    <m/>
    <m/>
    <m/>
    <m/>
    <m/>
    <m/>
    <m/>
    <m/>
    <m/>
    <m/>
    <m/>
    <m/>
    <m/>
    <m/>
    <s v=""/>
    <m/>
    <m/>
    <m/>
    <m/>
    <m/>
    <m/>
    <m/>
    <m/>
    <m/>
    <m/>
    <m/>
    <x v="0"/>
    <x v="5"/>
  </r>
  <r>
    <d v="2025-07-23T11:35:00"/>
    <d v="2025-07-23T16:35:00"/>
    <n v="3.9999999998835847"/>
    <n v="636.00000001851004"/>
    <x v="2"/>
    <s v="02_06"/>
    <m/>
    <s v="25202/04"/>
    <s v="Envase"/>
    <n v="2544"/>
    <s v="MRARBS05"/>
    <s v="BODY SPLASH FORÇA DO LEAO"/>
    <n v="220"/>
    <s v="ml"/>
    <x v="0"/>
    <x v="1"/>
    <s v="BODY SPLASH"/>
    <x v="1"/>
    <m/>
    <m/>
    <m/>
    <m/>
    <m/>
    <m/>
    <m/>
    <m/>
    <m/>
    <m/>
    <m/>
    <m/>
    <m/>
    <m/>
    <m/>
    <m/>
    <m/>
    <m/>
    <m/>
    <m/>
    <m/>
    <s v=""/>
    <m/>
    <m/>
    <m/>
    <m/>
    <m/>
    <m/>
    <m/>
    <m/>
    <m/>
    <m/>
    <m/>
    <x v="0"/>
    <x v="5"/>
  </r>
  <r>
    <d v="2025-07-23T13:30:00"/>
    <d v="2025-07-23T17:00:00"/>
    <n v="3.5000000000582077"/>
    <n v="461.99999999731079"/>
    <x v="1"/>
    <s v="DAPOP - Pedido 360 mil"/>
    <m/>
    <s v="25198/04"/>
    <s v="Envase"/>
    <n v="1617.0000000174798"/>
    <s v="DPGLBS03"/>
    <s v="BODY SPLASH GLOW NOITE DE GLAMOUR"/>
    <n v="120"/>
    <s v="ml"/>
    <x v="4"/>
    <x v="1"/>
    <s v="BODY SPLASH"/>
    <x v="3"/>
    <m/>
    <m/>
    <m/>
    <m/>
    <m/>
    <m/>
    <m/>
    <m/>
    <m/>
    <m/>
    <m/>
    <m/>
    <m/>
    <m/>
    <m/>
    <m/>
    <m/>
    <m/>
    <m/>
    <m/>
    <m/>
    <s v=""/>
    <m/>
    <m/>
    <m/>
    <m/>
    <m/>
    <m/>
    <m/>
    <m/>
    <m/>
    <m/>
    <m/>
    <x v="0"/>
    <x v="5"/>
  </r>
  <r>
    <d v="2025-07-24T07:00:00"/>
    <d v="2025-07-24T14:30:00"/>
    <n v="6.5"/>
    <n v="461.99999999731074"/>
    <x v="1"/>
    <s v="DAPOP - Pedido 360 mil"/>
    <m/>
    <s v="25198/04"/>
    <s v="Envase"/>
    <n v="3002.99999998252"/>
    <s v="DPGLBS03"/>
    <s v="BODY SPLASH GLOW NOITE DE GLAMOUR"/>
    <n v="120"/>
    <s v="ml"/>
    <x v="4"/>
    <x v="1"/>
    <s v="BODY SPLASH"/>
    <x v="3"/>
    <m/>
    <m/>
    <m/>
    <m/>
    <m/>
    <m/>
    <m/>
    <m/>
    <m/>
    <m/>
    <m/>
    <m/>
    <m/>
    <m/>
    <m/>
    <m/>
    <m/>
    <m/>
    <m/>
    <m/>
    <m/>
    <s v=""/>
    <m/>
    <m/>
    <m/>
    <m/>
    <m/>
    <m/>
    <m/>
    <m/>
    <m/>
    <m/>
    <m/>
    <x v="0"/>
    <x v="5"/>
  </r>
  <r>
    <d v="2025-07-24T07:15:00"/>
    <d v="2025-07-24T09:50:00"/>
    <n v="2.5833333331975155"/>
    <n v="984.77419360016131"/>
    <x v="2"/>
    <s v="02_06"/>
    <m/>
    <s v="25202/05"/>
    <s v="Envase"/>
    <n v="2544"/>
    <s v="MRARBS05"/>
    <s v="BODY SPLASH FORÇA DO LEAO"/>
    <n v="220"/>
    <s v="ml"/>
    <x v="0"/>
    <x v="1"/>
    <s v="BODY SPLASH"/>
    <x v="1"/>
    <m/>
    <m/>
    <m/>
    <m/>
    <m/>
    <m/>
    <m/>
    <m/>
    <m/>
    <m/>
    <m/>
    <m/>
    <m/>
    <m/>
    <m/>
    <m/>
    <m/>
    <m/>
    <m/>
    <m/>
    <m/>
    <s v=""/>
    <m/>
    <m/>
    <m/>
    <m/>
    <m/>
    <m/>
    <m/>
    <m/>
    <m/>
    <m/>
    <m/>
    <x v="0"/>
    <x v="5"/>
  </r>
  <r>
    <d v="2025-07-24T09:50:00"/>
    <d v="2025-07-24T14:00:00"/>
    <n v="3.1666666668024845"/>
    <n v="803.36842101817524"/>
    <x v="2"/>
    <s v="02_06"/>
    <m/>
    <s v="25202/06"/>
    <s v="Envase"/>
    <n v="2544"/>
    <s v="MRARBS05"/>
    <s v="BODY SPLASH FORÇA DO LEAO"/>
    <n v="220"/>
    <s v="ml"/>
    <x v="0"/>
    <x v="1"/>
    <s v="BODY SPLASH"/>
    <x v="1"/>
    <m/>
    <m/>
    <m/>
    <m/>
    <m/>
    <m/>
    <m/>
    <m/>
    <m/>
    <m/>
    <m/>
    <m/>
    <m/>
    <m/>
    <m/>
    <m/>
    <m/>
    <m/>
    <m/>
    <m/>
    <m/>
    <s v=""/>
    <m/>
    <m/>
    <m/>
    <m/>
    <m/>
    <m/>
    <m/>
    <m/>
    <m/>
    <m/>
    <m/>
    <x v="0"/>
    <x v="5"/>
  </r>
  <r>
    <d v="2025-07-24T14:00:00"/>
    <d v="2025-07-24T17:00:00"/>
    <n v="3"/>
    <n v="885.33333333333337"/>
    <x v="2"/>
    <s v="02_06"/>
    <m/>
    <s v="25202/07"/>
    <s v="Envase"/>
    <n v="2656"/>
    <s v="MRARBS05"/>
    <s v="BODY SPLASH FORÇA DO LEAO"/>
    <n v="220"/>
    <s v="ml"/>
    <x v="0"/>
    <x v="1"/>
    <s v="BODY SPLASH"/>
    <x v="1"/>
    <m/>
    <m/>
    <m/>
    <m/>
    <m/>
    <m/>
    <m/>
    <m/>
    <m/>
    <m/>
    <m/>
    <m/>
    <m/>
    <m/>
    <m/>
    <m/>
    <m/>
    <m/>
    <m/>
    <m/>
    <m/>
    <s v=""/>
    <m/>
    <m/>
    <m/>
    <m/>
    <m/>
    <m/>
    <m/>
    <m/>
    <m/>
    <m/>
    <m/>
    <x v="0"/>
    <x v="5"/>
  </r>
  <r>
    <d v="2025-07-24T14:30:00"/>
    <d v="2025-07-24T15:20:00"/>
    <n v="0.8333333334303461"/>
    <n v="1511.99999982398"/>
    <x v="1"/>
    <s v="DAPOP - Pedido 360 mil"/>
    <m/>
    <s v="25198/05"/>
    <s v="Envase"/>
    <n v="1260"/>
    <s v="DPGLBS03"/>
    <s v="BODY SPLASH GLOW NOITE DE GLAMOUR"/>
    <n v="120"/>
    <s v="ml"/>
    <x v="4"/>
    <x v="1"/>
    <s v="BODY SPLASH"/>
    <x v="3"/>
    <m/>
    <m/>
    <m/>
    <m/>
    <m/>
    <m/>
    <m/>
    <m/>
    <m/>
    <m/>
    <m/>
    <m/>
    <m/>
    <m/>
    <m/>
    <m/>
    <m/>
    <m/>
    <m/>
    <m/>
    <m/>
    <s v=""/>
    <m/>
    <m/>
    <m/>
    <m/>
    <m/>
    <m/>
    <m/>
    <m/>
    <m/>
    <m/>
    <m/>
    <x v="0"/>
    <x v="5"/>
  </r>
  <r>
    <d v="2025-07-24T15:30:00"/>
    <d v="2025-07-24T17:00:00"/>
    <n v="1.5"/>
    <n v="299.29411764500929"/>
    <x v="1"/>
    <s v="01_06"/>
    <m/>
    <s v="25205/01"/>
    <s v="Envase"/>
    <n v="448.94117646751397"/>
    <s v="MRARBS01"/>
    <s v="BODY SPLASH AURORA IMPERIAL"/>
    <n v="220"/>
    <s v="ml"/>
    <x v="0"/>
    <x v="1"/>
    <s v="BODY SPLASH"/>
    <x v="1"/>
    <m/>
    <m/>
    <m/>
    <m/>
    <m/>
    <m/>
    <m/>
    <m/>
    <m/>
    <m/>
    <m/>
    <m/>
    <m/>
    <m/>
    <m/>
    <m/>
    <m/>
    <m/>
    <m/>
    <m/>
    <m/>
    <s v=""/>
    <m/>
    <m/>
    <m/>
    <m/>
    <m/>
    <m/>
    <m/>
    <m/>
    <m/>
    <m/>
    <m/>
    <x v="0"/>
    <x v="5"/>
  </r>
  <r>
    <d v="2025-07-25T07:00:00"/>
    <d v="2025-07-25T15:00:00"/>
    <n v="7.0000000000582077"/>
    <n v="299.29411764500929"/>
    <x v="1"/>
    <s v="01_06"/>
    <m/>
    <s v="25205/01"/>
    <s v="Envase"/>
    <n v="2095.0588235324863"/>
    <s v="MRARBS01"/>
    <s v="BODY SPLASH AURORA IMPERIAL"/>
    <n v="220"/>
    <s v="ml"/>
    <x v="0"/>
    <x v="1"/>
    <s v="BODY SPLASH"/>
    <x v="1"/>
    <m/>
    <m/>
    <m/>
    <m/>
    <m/>
    <m/>
    <m/>
    <m/>
    <m/>
    <m/>
    <m/>
    <m/>
    <m/>
    <m/>
    <m/>
    <m/>
    <m/>
    <m/>
    <m/>
    <m/>
    <m/>
    <s v=""/>
    <m/>
    <m/>
    <m/>
    <m/>
    <m/>
    <m/>
    <m/>
    <m/>
    <m/>
    <m/>
    <m/>
    <x v="0"/>
    <x v="5"/>
  </r>
  <r>
    <d v="2025-07-25T08:15:00"/>
    <d v="2025-07-25T10:20:00"/>
    <n v="2.0833333333139308"/>
    <n v="875.52000000815394"/>
    <x v="2"/>
    <s v="GLOW - Água Micelar"/>
    <m/>
    <s v="25206/01"/>
    <s v="Envase"/>
    <n v="1824"/>
    <s v="GLMKAM02"/>
    <s v="ÁGUA MICELAR ÁCIDO HIAULURÔNICO"/>
    <n v="325"/>
    <s v="ml"/>
    <x v="9"/>
    <x v="4"/>
    <s v="ÁGUA MICELAR"/>
    <x v="1"/>
    <m/>
    <m/>
    <m/>
    <m/>
    <m/>
    <m/>
    <m/>
    <m/>
    <m/>
    <m/>
    <m/>
    <m/>
    <m/>
    <m/>
    <m/>
    <m/>
    <m/>
    <m/>
    <m/>
    <m/>
    <m/>
    <s v=""/>
    <m/>
    <m/>
    <m/>
    <m/>
    <m/>
    <m/>
    <m/>
    <m/>
    <m/>
    <m/>
    <m/>
    <x v="0"/>
    <x v="5"/>
  </r>
  <r>
    <d v="2025-07-25T10:20:00"/>
    <d v="2025-07-25T11:50:00"/>
    <n v="1.5"/>
    <n v="1120"/>
    <x v="2"/>
    <s v="GLOW - Água Micelar"/>
    <m/>
    <s v="25206/02"/>
    <s v="Envase"/>
    <n v="1680"/>
    <s v="GLMKAM02"/>
    <s v="ÁGUA MICELAR ÁCIDO HIAULURÔNICO"/>
    <n v="325"/>
    <s v="ml"/>
    <x v="9"/>
    <x v="4"/>
    <s v="ÁGUA MICELAR"/>
    <x v="1"/>
    <m/>
    <m/>
    <m/>
    <m/>
    <m/>
    <m/>
    <m/>
    <m/>
    <m/>
    <m/>
    <m/>
    <m/>
    <m/>
    <m/>
    <m/>
    <m/>
    <m/>
    <m/>
    <m/>
    <m/>
    <m/>
    <s v=""/>
    <m/>
    <m/>
    <m/>
    <m/>
    <m/>
    <m/>
    <m/>
    <m/>
    <m/>
    <m/>
    <m/>
    <x v="0"/>
    <x v="5"/>
  </r>
  <r>
    <d v="2025-07-25T11:50:00"/>
    <d v="2025-07-25T15:30:00"/>
    <n v="2.6666666667442769"/>
    <n v="602.24999998247222"/>
    <x v="2"/>
    <s v="GLOW - Água Micelar"/>
    <m/>
    <s v="25206/03"/>
    <s v="Envase"/>
    <n v="1606"/>
    <s v="GLMKAM02"/>
    <s v="ÁGUA MICELAR ÁCIDO HIAULURÔNICO"/>
    <n v="325"/>
    <s v="ml"/>
    <x v="9"/>
    <x v="4"/>
    <s v="ÁGUA MICELAR"/>
    <x v="1"/>
    <m/>
    <m/>
    <m/>
    <m/>
    <m/>
    <m/>
    <m/>
    <m/>
    <m/>
    <m/>
    <m/>
    <m/>
    <m/>
    <m/>
    <m/>
    <m/>
    <m/>
    <m/>
    <m/>
    <m/>
    <m/>
    <s v=""/>
    <m/>
    <m/>
    <m/>
    <m/>
    <m/>
    <m/>
    <m/>
    <m/>
    <m/>
    <m/>
    <m/>
    <x v="0"/>
    <x v="5"/>
  </r>
  <r>
    <d v="2025-07-28T07:20:00"/>
    <d v="2025-07-28T11:30:00"/>
    <n v="4.1666666666278616"/>
    <n v="610.56000000568633"/>
    <x v="1"/>
    <s v="01_06"/>
    <m/>
    <s v="25205/02"/>
    <s v="Envase"/>
    <n v="2544"/>
    <s v="MRARBS01"/>
    <s v="BODY SPLASH AURORA IMPERIAL"/>
    <n v="220"/>
    <s v="ml"/>
    <x v="0"/>
    <x v="1"/>
    <s v="BODY SPLASH"/>
    <x v="1"/>
    <m/>
    <m/>
    <m/>
    <m/>
    <m/>
    <m/>
    <m/>
    <m/>
    <m/>
    <m/>
    <m/>
    <m/>
    <m/>
    <m/>
    <m/>
    <m/>
    <m/>
    <m/>
    <m/>
    <m/>
    <m/>
    <s v=""/>
    <m/>
    <m/>
    <m/>
    <m/>
    <m/>
    <m/>
    <m/>
    <m/>
    <m/>
    <m/>
    <m/>
    <x v="0"/>
    <x v="5"/>
  </r>
  <r>
    <d v="2025-07-28T09:40:00"/>
    <d v="2025-07-28T13:30:00"/>
    <n v="2.8333333332557231"/>
    <n v="592.94117648682993"/>
    <x v="2"/>
    <s v="GLOW - Água Micelar"/>
    <m/>
    <s v="25206/05"/>
    <s v="Envase"/>
    <n v="1680"/>
    <s v="GLMKAM01"/>
    <s v="ÁGUA MICELAR 3 EM 1"/>
    <n v="325"/>
    <s v="ml"/>
    <x v="9"/>
    <x v="4"/>
    <s v="ÁGUA MICELAR"/>
    <x v="1"/>
    <m/>
    <m/>
    <m/>
    <m/>
    <m/>
    <m/>
    <m/>
    <m/>
    <m/>
    <m/>
    <m/>
    <m/>
    <m/>
    <m/>
    <m/>
    <m/>
    <m/>
    <m/>
    <m/>
    <m/>
    <m/>
    <s v=""/>
    <m/>
    <m/>
    <m/>
    <m/>
    <m/>
    <m/>
    <m/>
    <m/>
    <m/>
    <m/>
    <m/>
    <x v="0"/>
    <x v="5"/>
  </r>
  <r>
    <d v="2025-07-28T11:30:00"/>
    <d v="2025-07-28T16:40:00"/>
    <n v="4.1666666667442769"/>
    <n v="610.5599999886274"/>
    <x v="1"/>
    <s v="01_06"/>
    <m/>
    <s v="25205/03"/>
    <s v="Envase"/>
    <n v="2544"/>
    <s v="MRARBS01"/>
    <s v="BODY SPLASH AURORA IMPERIAL"/>
    <n v="220"/>
    <s v="ml"/>
    <x v="0"/>
    <x v="1"/>
    <s v="BODY SPLASH"/>
    <x v="1"/>
    <m/>
    <m/>
    <m/>
    <m/>
    <m/>
    <m/>
    <m/>
    <m/>
    <m/>
    <m/>
    <m/>
    <m/>
    <m/>
    <m/>
    <m/>
    <m/>
    <m/>
    <m/>
    <m/>
    <m/>
    <m/>
    <s v=""/>
    <m/>
    <m/>
    <m/>
    <m/>
    <m/>
    <m/>
    <m/>
    <m/>
    <m/>
    <m/>
    <m/>
    <x v="0"/>
    <x v="5"/>
  </r>
  <r>
    <d v="2025-07-28T13:30:00"/>
    <d v="2025-07-28T16:53:00"/>
    <n v="3.3833333333604969"/>
    <n v="312.11822659847934"/>
    <x v="2"/>
    <s v="GLOW - Água Micelar"/>
    <m/>
    <s v="25206/06"/>
    <s v="Envase"/>
    <n v="1056"/>
    <s v="GLMKAM01"/>
    <s v="ÁGUA MICELAR 3 EM 1"/>
    <n v="325"/>
    <s v="ml"/>
    <x v="9"/>
    <x v="4"/>
    <s v="ÁGUA MICELAR"/>
    <x v="1"/>
    <m/>
    <m/>
    <m/>
    <m/>
    <m/>
    <m/>
    <m/>
    <m/>
    <m/>
    <m/>
    <m/>
    <m/>
    <m/>
    <m/>
    <m/>
    <m/>
    <m/>
    <m/>
    <m/>
    <m/>
    <m/>
    <s v=""/>
    <m/>
    <m/>
    <m/>
    <m/>
    <m/>
    <m/>
    <m/>
    <m/>
    <m/>
    <m/>
    <m/>
    <x v="0"/>
    <x v="5"/>
  </r>
  <r>
    <d v="2025-07-28T15:00:00"/>
    <d v="2025-07-28T17:00:00"/>
    <n v="2.0000000000582077"/>
    <n v="629.99999996791303"/>
    <x v="2"/>
    <s v="GLOW - Água Micelar"/>
    <m/>
    <s v="25209/01"/>
    <s v="Envase"/>
    <n v="1259.9999999724969"/>
    <s v="GLMKAM03"/>
    <s v="ÁGUA MICELAR CARVÃO ATIVADO"/>
    <n v="325"/>
    <s v="ml"/>
    <x v="9"/>
    <x v="4"/>
    <s v="ÁGUA MICELAR"/>
    <x v="1"/>
    <m/>
    <m/>
    <m/>
    <m/>
    <m/>
    <m/>
    <m/>
    <m/>
    <m/>
    <m/>
    <m/>
    <m/>
    <m/>
    <m/>
    <m/>
    <m/>
    <m/>
    <m/>
    <m/>
    <m/>
    <m/>
    <s v=""/>
    <m/>
    <m/>
    <m/>
    <m/>
    <m/>
    <m/>
    <m/>
    <m/>
    <m/>
    <m/>
    <m/>
    <x v="0"/>
    <x v="5"/>
  </r>
  <r>
    <d v="2025-07-28T15:30:00"/>
    <d v="2025-07-28T17:00:00"/>
    <n v="1.5"/>
    <n v="403.19999998685716"/>
    <x v="2"/>
    <s v="GLOW - Água Micelar"/>
    <m/>
    <s v="25206/04"/>
    <s v="Envase"/>
    <n v="604.79999998028575"/>
    <s v="GLMKAM01"/>
    <s v="ÁGUA MICELAR 3 EM 1"/>
    <n v="325"/>
    <s v="ml"/>
    <x v="9"/>
    <x v="4"/>
    <s v="ÁGUA MICELAR"/>
    <x v="1"/>
    <m/>
    <m/>
    <m/>
    <m/>
    <m/>
    <m/>
    <m/>
    <m/>
    <m/>
    <m/>
    <m/>
    <m/>
    <m/>
    <m/>
    <m/>
    <m/>
    <m/>
    <m/>
    <m/>
    <m/>
    <m/>
    <s v=""/>
    <m/>
    <m/>
    <m/>
    <m/>
    <m/>
    <m/>
    <m/>
    <m/>
    <m/>
    <m/>
    <m/>
    <x v="0"/>
    <x v="5"/>
  </r>
  <r>
    <d v="2025-07-28T16:40:00"/>
    <d v="2025-07-28T17:00:00"/>
    <n v="0.33333333337213844"/>
    <n v="617.97570847988834"/>
    <x v="1"/>
    <s v="01_06"/>
    <m/>
    <s v="25209/09"/>
    <s v="Envase"/>
    <n v="205.99190285061007"/>
    <s v="MRARBS01"/>
    <s v="BODY SPLASH AURORA IMPERIAL"/>
    <n v="220"/>
    <s v="ml"/>
    <x v="0"/>
    <x v="1"/>
    <s v="BODY SPLASH"/>
    <x v="1"/>
    <m/>
    <m/>
    <m/>
    <m/>
    <m/>
    <m/>
    <m/>
    <m/>
    <m/>
    <m/>
    <m/>
    <m/>
    <m/>
    <m/>
    <m/>
    <m/>
    <m/>
    <m/>
    <m/>
    <m/>
    <m/>
    <s v=""/>
    <m/>
    <m/>
    <m/>
    <m/>
    <m/>
    <m/>
    <m/>
    <m/>
    <m/>
    <m/>
    <m/>
    <x v="0"/>
    <x v="5"/>
  </r>
  <r>
    <d v="2025-07-29T07:00:00"/>
    <d v="2025-07-29T09:40:00"/>
    <n v="2.6666666668024845"/>
    <n v="403.19999998685716"/>
    <x v="2"/>
    <s v="GLOW - Água Micelar"/>
    <m/>
    <s v="25206/04"/>
    <s v="Envase"/>
    <n v="1075.2000000197143"/>
    <s v="GLMKAM01"/>
    <s v="ÁGUA MICELAR 3 EM 1"/>
    <n v="325"/>
    <s v="ml"/>
    <x v="9"/>
    <x v="4"/>
    <s v="ÁGUA MICELAR"/>
    <x v="1"/>
    <m/>
    <m/>
    <m/>
    <m/>
    <m/>
    <m/>
    <m/>
    <m/>
    <m/>
    <m/>
    <m/>
    <m/>
    <m/>
    <m/>
    <m/>
    <m/>
    <m/>
    <m/>
    <m/>
    <m/>
    <m/>
    <s v=""/>
    <m/>
    <m/>
    <m/>
    <m/>
    <m/>
    <m/>
    <m/>
    <m/>
    <m/>
    <m/>
    <m/>
    <x v="0"/>
    <x v="5"/>
  </r>
  <r>
    <d v="2025-07-29T07:00:00"/>
    <d v="2025-07-29T07:40:00"/>
    <n v="0.66666666674427688"/>
    <n v="629.99999996791303"/>
    <x v="2"/>
    <s v="GLOW - Água Micelar"/>
    <m/>
    <s v="25209/01"/>
    <s v="Envase"/>
    <n v="420.00000002750312"/>
    <s v="GLMKAM03"/>
    <s v="ÁGUA MICELAR CARVÃO ATIVADO"/>
    <n v="325"/>
    <s v="ml"/>
    <x v="9"/>
    <x v="4"/>
    <s v="ÁGUA MICELAR"/>
    <x v="1"/>
    <m/>
    <m/>
    <m/>
    <m/>
    <m/>
    <m/>
    <m/>
    <m/>
    <m/>
    <m/>
    <m/>
    <m/>
    <m/>
    <m/>
    <m/>
    <m/>
    <m/>
    <m/>
    <m/>
    <m/>
    <m/>
    <s v=""/>
    <m/>
    <m/>
    <m/>
    <m/>
    <m/>
    <m/>
    <m/>
    <m/>
    <m/>
    <m/>
    <m/>
    <x v="0"/>
    <x v="5"/>
  </r>
  <r>
    <d v="2025-07-29T07:00:00"/>
    <d v="2025-07-29T10:47:00"/>
    <n v="3.7833333334419876"/>
    <n v="617.97570847988834"/>
    <x v="1"/>
    <s v="01_06"/>
    <m/>
    <s v="25209/09"/>
    <s v="Envase"/>
    <n v="2338.0080971493899"/>
    <s v="MRARBS01"/>
    <s v="BODY SPLASH AURORA IMPERIAL"/>
    <n v="220"/>
    <s v="ml"/>
    <x v="0"/>
    <x v="1"/>
    <s v="BODY SPLASH"/>
    <x v="1"/>
    <m/>
    <m/>
    <m/>
    <m/>
    <m/>
    <m/>
    <m/>
    <m/>
    <m/>
    <m/>
    <m/>
    <m/>
    <m/>
    <m/>
    <m/>
    <m/>
    <m/>
    <m/>
    <m/>
    <m/>
    <m/>
    <s v=""/>
    <m/>
    <m/>
    <m/>
    <m/>
    <m/>
    <m/>
    <m/>
    <m/>
    <m/>
    <m/>
    <m/>
    <x v="0"/>
    <x v="5"/>
  </r>
  <r>
    <d v="2025-07-29T07:40:00"/>
    <d v="2025-07-29T10:04:00"/>
    <n v="2.3999999999650754"/>
    <n v="700.00000001018634"/>
    <x v="2"/>
    <s v="GLOW - Água Micelar"/>
    <m/>
    <s v="25209/02"/>
    <s v="Envase"/>
    <n v="1680"/>
    <s v="GLMKAM03"/>
    <s v="ÁGUA MICELAR CARVÃO ATIVADO"/>
    <n v="325"/>
    <s v="ml"/>
    <x v="9"/>
    <x v="4"/>
    <s v="ÁGUA MICELAR"/>
    <x v="1"/>
    <m/>
    <m/>
    <m/>
    <m/>
    <m/>
    <m/>
    <m/>
    <m/>
    <m/>
    <m/>
    <m/>
    <m/>
    <m/>
    <m/>
    <m/>
    <m/>
    <m/>
    <m/>
    <m/>
    <m/>
    <m/>
    <s v=""/>
    <m/>
    <m/>
    <m/>
    <m/>
    <m/>
    <m/>
    <m/>
    <m/>
    <m/>
    <m/>
    <m/>
    <x v="0"/>
    <x v="5"/>
  </r>
  <r>
    <d v="2025-07-29T10:04:00"/>
    <d v="2025-07-29T13:50:00"/>
    <n v="2.7666666667209938"/>
    <n v="584.45783131382461"/>
    <x v="2"/>
    <s v="GLOW - Água Micelar"/>
    <m/>
    <s v="25209/03"/>
    <s v="Envase"/>
    <n v="1617"/>
    <s v="GLMKAM03"/>
    <s v="ÁGUA MICELAR CARVÃO ATIVADO"/>
    <n v="325"/>
    <s v="ml"/>
    <x v="9"/>
    <x v="4"/>
    <s v="ÁGUA MICELAR"/>
    <x v="1"/>
    <m/>
    <m/>
    <m/>
    <m/>
    <m/>
    <m/>
    <m/>
    <m/>
    <m/>
    <m/>
    <m/>
    <m/>
    <m/>
    <m/>
    <m/>
    <m/>
    <m/>
    <m/>
    <m/>
    <m/>
    <m/>
    <s v=""/>
    <m/>
    <m/>
    <m/>
    <m/>
    <m/>
    <m/>
    <m/>
    <m/>
    <m/>
    <m/>
    <m/>
    <x v="0"/>
    <x v="5"/>
  </r>
  <r>
    <d v="2025-07-29T10:47:00"/>
    <d v="2025-07-29T15:30:00"/>
    <n v="3.7166666666744277"/>
    <n v="684.48430493130616"/>
    <x v="1"/>
    <s v="01_06"/>
    <m/>
    <s v="25209/10"/>
    <s v="Envase"/>
    <n v="2544"/>
    <s v="MRARBS01"/>
    <s v="BODY SPLASH AURORA IMPERIAL"/>
    <n v="220"/>
    <s v="ml"/>
    <x v="0"/>
    <x v="1"/>
    <s v="BODY SPLASH"/>
    <x v="1"/>
    <m/>
    <m/>
    <m/>
    <m/>
    <m/>
    <m/>
    <m/>
    <m/>
    <m/>
    <m/>
    <m/>
    <m/>
    <m/>
    <m/>
    <m/>
    <m/>
    <m/>
    <m/>
    <m/>
    <m/>
    <m/>
    <s v=""/>
    <m/>
    <m/>
    <m/>
    <m/>
    <m/>
    <m/>
    <m/>
    <m/>
    <m/>
    <m/>
    <m/>
    <x v="0"/>
    <x v="5"/>
  </r>
  <r>
    <d v="2025-07-29T13:50:00"/>
    <d v="2025-07-29T16:15:00"/>
    <n v="2.4166666666860692"/>
    <n v="695.17241378752215"/>
    <x v="2"/>
    <s v="GLOW - Água Micelar"/>
    <m/>
    <s v="25210/01"/>
    <s v="Envase"/>
    <n v="1680"/>
    <s v="GLMKAM04"/>
    <s v="ÁGUA MICELAR COLÁGENO"/>
    <n v="325"/>
    <s v="ml"/>
    <x v="9"/>
    <x v="4"/>
    <s v="ÁGUA MICELAR"/>
    <x v="1"/>
    <m/>
    <m/>
    <m/>
    <m/>
    <m/>
    <m/>
    <m/>
    <m/>
    <m/>
    <m/>
    <m/>
    <m/>
    <m/>
    <m/>
    <m/>
    <m/>
    <m/>
    <m/>
    <m/>
    <m/>
    <m/>
    <s v=""/>
    <m/>
    <m/>
    <m/>
    <m/>
    <m/>
    <m/>
    <m/>
    <m/>
    <m/>
    <m/>
    <m/>
    <x v="0"/>
    <x v="5"/>
  </r>
  <r>
    <d v="2025-07-29T15:30:00"/>
    <d v="2025-07-29T17:00:00"/>
    <n v="1.5"/>
    <n v="635.99999998148996"/>
    <x v="1"/>
    <s v="01_06"/>
    <m/>
    <s v="25209/11"/>
    <s v="Envase"/>
    <n v="953.99999997223495"/>
    <s v="MRARBS01"/>
    <s v="BODY SPLASH AURORA IMPERIAL"/>
    <n v="220"/>
    <s v="ml"/>
    <x v="0"/>
    <x v="1"/>
    <s v="BODY SPLASH"/>
    <x v="1"/>
    <m/>
    <m/>
    <m/>
    <m/>
    <m/>
    <m/>
    <m/>
    <m/>
    <m/>
    <m/>
    <m/>
    <m/>
    <m/>
    <m/>
    <m/>
    <m/>
    <m/>
    <m/>
    <m/>
    <m/>
    <m/>
    <s v=""/>
    <m/>
    <m/>
    <m/>
    <m/>
    <m/>
    <m/>
    <m/>
    <m/>
    <m/>
    <m/>
    <m/>
    <x v="0"/>
    <x v="5"/>
  </r>
  <r>
    <d v="2025-07-29T16:15:00"/>
    <d v="2025-07-29T17:00:00"/>
    <n v="0.75"/>
    <n v="560"/>
    <x v="2"/>
    <s v="GLOW - Água Micelar"/>
    <m/>
    <s v="25210/02"/>
    <s v="Envase"/>
    <n v="420"/>
    <s v="GLMKAM04"/>
    <s v="ÁGUA MICELAR COLÁGENO"/>
    <n v="325"/>
    <s v="ml"/>
    <x v="9"/>
    <x v="4"/>
    <s v="ÁGUA MICELAR"/>
    <x v="1"/>
    <m/>
    <m/>
    <m/>
    <m/>
    <m/>
    <m/>
    <m/>
    <m/>
    <m/>
    <m/>
    <m/>
    <m/>
    <m/>
    <m/>
    <m/>
    <m/>
    <m/>
    <m/>
    <m/>
    <m/>
    <m/>
    <s v=""/>
    <m/>
    <m/>
    <m/>
    <m/>
    <m/>
    <m/>
    <m/>
    <m/>
    <m/>
    <m/>
    <m/>
    <x v="0"/>
    <x v="5"/>
  </r>
  <r>
    <d v="2025-07-30T07:00:00"/>
    <d v="2025-07-30T09:30:00"/>
    <n v="2.5000000001164153"/>
    <n v="635.99999998148996"/>
    <x v="1"/>
    <s v="01_06"/>
    <m/>
    <s v="25209/11"/>
    <s v="Envase"/>
    <n v="1590.0000000277651"/>
    <s v="MRARBS01"/>
    <s v="BODY SPLASH AURORA IMPERIAL"/>
    <n v="220"/>
    <s v="ml"/>
    <x v="0"/>
    <x v="1"/>
    <s v="BODY SPLASH"/>
    <x v="1"/>
    <m/>
    <m/>
    <m/>
    <m/>
    <m/>
    <m/>
    <m/>
    <m/>
    <m/>
    <m/>
    <m/>
    <m/>
    <m/>
    <m/>
    <m/>
    <m/>
    <m/>
    <m/>
    <m/>
    <m/>
    <m/>
    <s v=""/>
    <m/>
    <m/>
    <m/>
    <m/>
    <m/>
    <m/>
    <m/>
    <m/>
    <m/>
    <m/>
    <m/>
    <x v="0"/>
    <x v="5"/>
  </r>
  <r>
    <d v="2025-07-30T07:00:00"/>
    <d v="2025-07-30T09:15:00"/>
    <n v="2.25"/>
    <n v="560"/>
    <x v="2"/>
    <s v="GLOW - Água Micelar"/>
    <m/>
    <s v="25210/02"/>
    <s v="Envase"/>
    <n v="1260"/>
    <s v="GLMKAM04"/>
    <s v="ÁGUA MICELAR COLÁGENO"/>
    <n v="325"/>
    <s v="ml"/>
    <x v="9"/>
    <x v="4"/>
    <s v="ÁGUA MICELAR"/>
    <x v="1"/>
    <m/>
    <m/>
    <m/>
    <m/>
    <m/>
    <m/>
    <m/>
    <m/>
    <m/>
    <m/>
    <m/>
    <m/>
    <m/>
    <m/>
    <m/>
    <m/>
    <m/>
    <m/>
    <m/>
    <m/>
    <m/>
    <s v=""/>
    <m/>
    <m/>
    <m/>
    <m/>
    <m/>
    <m/>
    <m/>
    <m/>
    <m/>
    <m/>
    <m/>
    <x v="0"/>
    <x v="5"/>
  </r>
  <r>
    <d v="2025-07-30T09:15:00"/>
    <d v="2025-07-30T10:30:00"/>
    <n v="1.2500000000582077"/>
    <n v="1032.7999999519066"/>
    <x v="2"/>
    <s v="GLOW - Água Micelar"/>
    <m/>
    <s v="25210/03"/>
    <s v="Envase"/>
    <n v="1291"/>
    <s v="GLMKAM04"/>
    <s v="ÁGUA MICELAR COLÁGENO"/>
    <n v="325"/>
    <s v="ml"/>
    <x v="9"/>
    <x v="4"/>
    <s v="ÁGUA MICELAR"/>
    <x v="1"/>
    <m/>
    <m/>
    <m/>
    <m/>
    <m/>
    <m/>
    <m/>
    <m/>
    <m/>
    <m/>
    <m/>
    <m/>
    <m/>
    <m/>
    <m/>
    <m/>
    <m/>
    <m/>
    <m/>
    <m/>
    <m/>
    <s v=""/>
    <m/>
    <m/>
    <m/>
    <m/>
    <m/>
    <m/>
    <m/>
    <m/>
    <m/>
    <m/>
    <m/>
    <x v="0"/>
    <x v="5"/>
  </r>
  <r>
    <d v="2025-07-30T09:30:00"/>
    <d v="2025-07-30T14:30:00"/>
    <n v="3.9999999998835847"/>
    <n v="636.00000001851004"/>
    <x v="1"/>
    <s v="01_06"/>
    <m/>
    <s v="25209/12"/>
    <s v="Envase"/>
    <n v="2544"/>
    <s v="MRARBS01"/>
    <s v="BODY SPLASH AURORA IMPERIAL"/>
    <n v="220"/>
    <s v="ml"/>
    <x v="0"/>
    <x v="1"/>
    <s v="BODY SPLASH"/>
    <x v="1"/>
    <m/>
    <m/>
    <m/>
    <m/>
    <m/>
    <m/>
    <m/>
    <m/>
    <m/>
    <m/>
    <m/>
    <m/>
    <m/>
    <m/>
    <m/>
    <m/>
    <m/>
    <m/>
    <m/>
    <m/>
    <m/>
    <s v=""/>
    <m/>
    <m/>
    <m/>
    <m/>
    <m/>
    <m/>
    <m/>
    <m/>
    <m/>
    <m/>
    <m/>
    <x v="0"/>
    <x v="5"/>
  </r>
  <r>
    <d v="2025-07-30T10:30:00"/>
    <d v="2025-07-30T14:00:00"/>
    <n v="2.5000000000582077"/>
    <n v="671.99999998435374"/>
    <x v="2"/>
    <s v="GLOW - Água Micelar"/>
    <m/>
    <s v="25211/01"/>
    <s v="Envase"/>
    <n v="1680"/>
    <s v="GLMKAM05"/>
    <s v="ÁGUA MICELAR ROSA MOSQUETA"/>
    <n v="325"/>
    <s v="ml"/>
    <x v="9"/>
    <x v="4"/>
    <s v="ÁGUA MICELAR"/>
    <x v="1"/>
    <m/>
    <m/>
    <m/>
    <m/>
    <m/>
    <m/>
    <m/>
    <m/>
    <m/>
    <m/>
    <m/>
    <m/>
    <m/>
    <m/>
    <m/>
    <m/>
    <m/>
    <m/>
    <m/>
    <m/>
    <m/>
    <s v=""/>
    <m/>
    <m/>
    <m/>
    <m/>
    <m/>
    <m/>
    <m/>
    <m/>
    <m/>
    <m/>
    <m/>
    <x v="0"/>
    <x v="5"/>
  </r>
  <r>
    <d v="2025-07-30T14:00:00"/>
    <d v="2025-07-30T15:53:00"/>
    <n v="1.8833333333604969"/>
    <n v="892.03539821722256"/>
    <x v="2"/>
    <s v="GLOW - Água Micelar"/>
    <m/>
    <s v="25211/02"/>
    <s v="Envase"/>
    <n v="1680"/>
    <s v="GLMKAM05"/>
    <s v="ÁGUA MICELAR ROSA MOSQUETA"/>
    <n v="325"/>
    <s v="ml"/>
    <x v="9"/>
    <x v="4"/>
    <s v="ÁGUA MICELAR"/>
    <x v="1"/>
    <m/>
    <m/>
    <m/>
    <m/>
    <m/>
    <m/>
    <m/>
    <m/>
    <m/>
    <m/>
    <m/>
    <m/>
    <m/>
    <m/>
    <m/>
    <m/>
    <m/>
    <m/>
    <m/>
    <m/>
    <m/>
    <s v=""/>
    <m/>
    <m/>
    <m/>
    <m/>
    <m/>
    <m/>
    <m/>
    <m/>
    <m/>
    <m/>
    <m/>
    <x v="0"/>
    <x v="5"/>
  </r>
  <r>
    <d v="2025-07-30T14:30:00"/>
    <d v="2025-07-30T16:54:00"/>
    <n v="2.4000000001396984"/>
    <n v="1059.9999999382999"/>
    <x v="1"/>
    <s v="01_06"/>
    <m/>
    <s v="25209/13"/>
    <s v="Envase"/>
    <n v="2544"/>
    <s v="MRARBS01"/>
    <s v="BODY SPLASH AURORA IMPERIAL"/>
    <n v="220"/>
    <s v="ml"/>
    <x v="0"/>
    <x v="1"/>
    <s v="BODY SPLASH"/>
    <x v="1"/>
    <m/>
    <m/>
    <m/>
    <m/>
    <m/>
    <m/>
    <m/>
    <m/>
    <m/>
    <m/>
    <m/>
    <m/>
    <m/>
    <m/>
    <m/>
    <m/>
    <m/>
    <m/>
    <m/>
    <m/>
    <m/>
    <s v=""/>
    <m/>
    <m/>
    <m/>
    <m/>
    <m/>
    <m/>
    <m/>
    <m/>
    <m/>
    <m/>
    <m/>
    <x v="0"/>
    <x v="5"/>
  </r>
  <r>
    <d v="2025-07-30T15:53:00"/>
    <d v="2025-07-30T17:00:00"/>
    <n v="1.1166666666395031"/>
    <n v="647.38853503856762"/>
    <x v="2"/>
    <s v="GLOW - Água Micelar"/>
    <m/>
    <s v="25211/03"/>
    <s v="Envase"/>
    <n v="722.91719744214845"/>
    <s v="GLMKAM05"/>
    <s v="ÁGUA MICELAR ROSA MOSQUETA"/>
    <n v="325"/>
    <s v="ml"/>
    <x v="9"/>
    <x v="4"/>
    <s v="ÁGUA MICELAR"/>
    <x v="1"/>
    <m/>
    <m/>
    <m/>
    <m/>
    <m/>
    <m/>
    <m/>
    <m/>
    <m/>
    <m/>
    <m/>
    <m/>
    <m/>
    <m/>
    <m/>
    <m/>
    <m/>
    <m/>
    <m/>
    <m/>
    <m/>
    <s v=""/>
    <m/>
    <m/>
    <m/>
    <m/>
    <m/>
    <m/>
    <m/>
    <m/>
    <m/>
    <m/>
    <m/>
    <x v="0"/>
    <x v="5"/>
  </r>
  <r>
    <d v="2025-07-31T07:00:00"/>
    <d v="2025-07-31T08:30:00"/>
    <n v="1.5"/>
    <n v="647.38853503856762"/>
    <x v="2"/>
    <s v="GLOW - Água Micelar"/>
    <m/>
    <s v="25211/03"/>
    <s v="Envase"/>
    <n v="971.08280255785144"/>
    <s v="GLMKAM05"/>
    <s v="ÁGUA MICELAR ROSA MOSQUETA"/>
    <n v="325"/>
    <s v="ml"/>
    <x v="9"/>
    <x v="4"/>
    <s v="ÁGUA MICELAR"/>
    <x v="1"/>
    <m/>
    <m/>
    <m/>
    <m/>
    <m/>
    <m/>
    <m/>
    <m/>
    <m/>
    <m/>
    <m/>
    <m/>
    <m/>
    <m/>
    <m/>
    <m/>
    <m/>
    <m/>
    <m/>
    <m/>
    <m/>
    <s v=""/>
    <m/>
    <m/>
    <m/>
    <m/>
    <m/>
    <m/>
    <m/>
    <m/>
    <m/>
    <m/>
    <m/>
    <x v="0"/>
    <x v="5"/>
  </r>
  <r>
    <d v="2025-07-31T08:30:00"/>
    <d v="2025-07-31T14:15:00"/>
    <n v="4.7500000000582077"/>
    <n v="353.68421052198164"/>
    <x v="2"/>
    <s v="GLOW - Água Micelar"/>
    <m/>
    <s v="25211/04"/>
    <s v="Envase"/>
    <n v="1680"/>
    <s v="GLMKAM06"/>
    <s v="ÁGUA MICELAR BABA GLOW"/>
    <n v="325"/>
    <s v="ml"/>
    <x v="9"/>
    <x v="4"/>
    <s v="ÁGUA MICELAR"/>
    <x v="1"/>
    <m/>
    <m/>
    <m/>
    <m/>
    <m/>
    <m/>
    <m/>
    <m/>
    <m/>
    <m/>
    <m/>
    <m/>
    <m/>
    <m/>
    <m/>
    <m/>
    <m/>
    <m/>
    <m/>
    <m/>
    <m/>
    <s v=""/>
    <m/>
    <m/>
    <m/>
    <m/>
    <m/>
    <m/>
    <m/>
    <m/>
    <m/>
    <m/>
    <m/>
    <x v="0"/>
    <x v="5"/>
  </r>
  <r>
    <d v="2025-07-31T08:30:00"/>
    <d v="2025-07-31T13:17:00"/>
    <n v="3.78333333338378"/>
    <n v="672.42290748002074"/>
    <x v="1"/>
    <s v="01_07"/>
    <m/>
    <s v="25212/01"/>
    <s v="Envase"/>
    <n v="2544"/>
    <s v="MRARBS04"/>
    <s v="BODY SPLASH NÉCTAR DAS TAMARAS"/>
    <n v="220"/>
    <s v="ml"/>
    <x v="0"/>
    <x v="1"/>
    <s v="BODY SPLASH"/>
    <x v="1"/>
    <m/>
    <m/>
    <m/>
    <m/>
    <m/>
    <m/>
    <m/>
    <m/>
    <m/>
    <m/>
    <m/>
    <m/>
    <m/>
    <m/>
    <m/>
    <m/>
    <m/>
    <m/>
    <m/>
    <m/>
    <m/>
    <s v=""/>
    <m/>
    <m/>
    <m/>
    <m/>
    <m/>
    <m/>
    <m/>
    <m/>
    <m/>
    <m/>
    <m/>
    <x v="0"/>
    <x v="5"/>
  </r>
  <r>
    <d v="2025-07-31T08:30:00"/>
    <d v="2025-07-31T14:15:00"/>
    <n v="4.7500000000582077"/>
    <n v="353.68421052198164"/>
    <x v="2"/>
    <s v="GLOW - Água Micelar"/>
    <m/>
    <s v="25212/05"/>
    <s v="Envase"/>
    <n v="1680"/>
    <s v="GLMKAM06"/>
    <s v="ÁGUA MICELAR BABA GLOW"/>
    <n v="325"/>
    <s v="ml"/>
    <x v="9"/>
    <x v="4"/>
    <s v="ÁGUA MICELAR"/>
    <x v="1"/>
    <m/>
    <m/>
    <m/>
    <m/>
    <m/>
    <m/>
    <m/>
    <m/>
    <m/>
    <m/>
    <m/>
    <m/>
    <m/>
    <m/>
    <m/>
    <m/>
    <m/>
    <m/>
    <m/>
    <m/>
    <m/>
    <s v=""/>
    <m/>
    <m/>
    <m/>
    <m/>
    <m/>
    <m/>
    <m/>
    <m/>
    <m/>
    <m/>
    <m/>
    <x v="0"/>
    <x v="5"/>
  </r>
  <r>
    <d v="2025-07-31T13:17:00"/>
    <d v="2025-08-01T07:15:00"/>
    <n v="3.9666666668490507"/>
    <n v="641.34453778563761"/>
    <x v="1"/>
    <s v="01_07"/>
    <m/>
    <s v="25212/02"/>
    <s v="Envase"/>
    <n v="2544"/>
    <s v="MRARBS04"/>
    <s v="BODY SPLASH NÉCTAR DAS TAMARAS"/>
    <n v="220"/>
    <s v="ml"/>
    <x v="0"/>
    <x v="1"/>
    <s v="BODY SPLASH"/>
    <x v="1"/>
    <m/>
    <m/>
    <m/>
    <m/>
    <m/>
    <m/>
    <m/>
    <m/>
    <m/>
    <m/>
    <m/>
    <m/>
    <m/>
    <m/>
    <m/>
    <m/>
    <m/>
    <m/>
    <m/>
    <m/>
    <m/>
    <s v=""/>
    <m/>
    <m/>
    <m/>
    <m/>
    <m/>
    <m/>
    <m/>
    <m/>
    <m/>
    <m/>
    <m/>
    <x v="0"/>
    <x v="5"/>
  </r>
  <r>
    <d v="2025-07-31T14:15:00"/>
    <d v="2025-07-31T16:30:00"/>
    <n v="2.25"/>
    <n v="746.66666666666663"/>
    <x v="2"/>
    <s v="GLOW - Água Micelar"/>
    <m/>
    <s v="25211/05"/>
    <s v="Envase"/>
    <n v="1680"/>
    <s v="GLMKAM06"/>
    <s v="ÁGUA MICELAR BABA GLOW"/>
    <n v="325"/>
    <s v="ml"/>
    <x v="9"/>
    <x v="4"/>
    <s v="ÁGUA MICELAR"/>
    <x v="1"/>
    <m/>
    <m/>
    <m/>
    <m/>
    <m/>
    <m/>
    <m/>
    <m/>
    <m/>
    <m/>
    <m/>
    <m/>
    <m/>
    <m/>
    <m/>
    <m/>
    <m/>
    <m/>
    <m/>
    <m/>
    <m/>
    <s v=""/>
    <m/>
    <m/>
    <m/>
    <m/>
    <m/>
    <m/>
    <m/>
    <m/>
    <m/>
    <m/>
    <m/>
    <x v="0"/>
    <x v="5"/>
  </r>
  <r>
    <d v="2025-08-01T07:15:00"/>
    <d v="2025-08-01T10:20:00"/>
    <n v="3.0833333332557231"/>
    <n v="825.08108110184912"/>
    <x v="1"/>
    <s v="01_07"/>
    <m/>
    <s v="25212/03"/>
    <s v="Envase"/>
    <n v="2544"/>
    <s v="MRARBS04"/>
    <s v="BODY SPLASH NÉCTAR DAS TAMARAS"/>
    <n v="220"/>
    <s v="ml"/>
    <x v="0"/>
    <x v="1"/>
    <s v="BODY SPLASH"/>
    <x v="1"/>
    <m/>
    <m/>
    <m/>
    <m/>
    <m/>
    <m/>
    <m/>
    <m/>
    <m/>
    <m/>
    <m/>
    <m/>
    <m/>
    <m/>
    <m/>
    <m/>
    <m/>
    <m/>
    <m/>
    <m/>
    <m/>
    <s v=""/>
    <m/>
    <m/>
    <m/>
    <m/>
    <m/>
    <m/>
    <m/>
    <m/>
    <m/>
    <m/>
    <m/>
    <x v="0"/>
    <x v="6"/>
  </r>
  <r>
    <d v="2025-08-01T10:20:00"/>
    <d v="2025-08-01T14:50:00"/>
    <n v="3.5"/>
    <n v="740.57142857142856"/>
    <x v="1"/>
    <s v="01_07"/>
    <m/>
    <s v="25212/04"/>
    <s v="Envase"/>
    <n v="2592"/>
    <s v="MRARBS04"/>
    <s v="BODY SPLASH NÉCTAR DAS TAMARAS"/>
    <n v="220"/>
    <s v="ml"/>
    <x v="0"/>
    <x v="1"/>
    <s v="BODY SPLASH"/>
    <x v="1"/>
    <m/>
    <m/>
    <m/>
    <m/>
    <m/>
    <m/>
    <m/>
    <m/>
    <m/>
    <m/>
    <m/>
    <m/>
    <m/>
    <m/>
    <m/>
    <m/>
    <m/>
    <m/>
    <m/>
    <m/>
    <m/>
    <s v=""/>
    <m/>
    <m/>
    <m/>
    <m/>
    <m/>
    <m/>
    <m/>
    <m/>
    <m/>
    <m/>
    <m/>
    <x v="0"/>
    <x v="6"/>
  </r>
  <r>
    <d v="2025-08-01T10:30:00"/>
    <d v="2025-08-01T15:40:00"/>
    <n v="4.1666666667442769"/>
    <n v="610.5599999886274"/>
    <x v="2"/>
    <s v="01_07"/>
    <m/>
    <s v="25213/06"/>
    <s v="Envase"/>
    <n v="2544"/>
    <s v="MRARBS03"/>
    <s v="BODY SPLASH ECLIPSE DOURADO"/>
    <n v="220"/>
    <s v="ml"/>
    <x v="0"/>
    <x v="1"/>
    <s v="BODY SPLASH"/>
    <x v="1"/>
    <m/>
    <m/>
    <m/>
    <m/>
    <m/>
    <m/>
    <m/>
    <m/>
    <m/>
    <m/>
    <m/>
    <m/>
    <m/>
    <m/>
    <m/>
    <m/>
    <m/>
    <m/>
    <m/>
    <m/>
    <m/>
    <s v=""/>
    <m/>
    <m/>
    <m/>
    <m/>
    <m/>
    <m/>
    <m/>
    <m/>
    <m/>
    <m/>
    <m/>
    <x v="0"/>
    <x v="6"/>
  </r>
  <r>
    <d v="2025-08-01T15:40:00"/>
    <d v="2025-08-04T16:00:00"/>
    <n v="8.3333333331975155"/>
    <n v="305.28000000497548"/>
    <x v="1"/>
    <s v="01_07"/>
    <m/>
    <s v="25213/07"/>
    <s v="Envase"/>
    <n v="2544"/>
    <s v="MRARBS03"/>
    <s v="BODY SPLASH ECLIPSE DOURADO"/>
    <n v="220"/>
    <s v="ml"/>
    <x v="0"/>
    <x v="1"/>
    <s v="BODY SPLASH"/>
    <x v="1"/>
    <m/>
    <m/>
    <m/>
    <m/>
    <m/>
    <m/>
    <m/>
    <m/>
    <m/>
    <m/>
    <m/>
    <m/>
    <m/>
    <m/>
    <m/>
    <m/>
    <m/>
    <m/>
    <m/>
    <m/>
    <m/>
    <s v=""/>
    <m/>
    <m/>
    <m/>
    <m/>
    <m/>
    <m/>
    <m/>
    <m/>
    <m/>
    <m/>
    <m/>
    <x v="0"/>
    <x v="6"/>
  </r>
  <r>
    <d v="2025-08-04T07:15:00"/>
    <d v="2025-08-04T15:00:00"/>
    <n v="6.7499999999417923"/>
    <n v="595.55555556069123"/>
    <x v="2"/>
    <s v="DAPOP - Pedido 360 mil"/>
    <m/>
    <s v="25213/01"/>
    <s v="Envase"/>
    <n v="4020"/>
    <s v="DPMTHD03"/>
    <s v="HIDRATANTE MATTE OITAVA MARAVILHA"/>
    <n v="120"/>
    <s v="ml"/>
    <x v="4"/>
    <x v="0"/>
    <s v="CREME HIDRATANTE"/>
    <x v="2"/>
    <m/>
    <m/>
    <m/>
    <m/>
    <m/>
    <m/>
    <m/>
    <m/>
    <m/>
    <m/>
    <m/>
    <m/>
    <m/>
    <m/>
    <m/>
    <m/>
    <m/>
    <m/>
    <m/>
    <m/>
    <m/>
    <s v=""/>
    <m/>
    <m/>
    <m/>
    <m/>
    <m/>
    <m/>
    <m/>
    <m/>
    <m/>
    <m/>
    <m/>
    <x v="0"/>
    <x v="6"/>
  </r>
  <r>
    <d v="2025-08-04T15:50:00"/>
    <d v="2025-08-05T13:30:00"/>
    <n v="6.6666666668606922"/>
    <n v="602.99999998245039"/>
    <x v="2"/>
    <s v="DAPOP - Pedido 360 mil"/>
    <m/>
    <s v="25213/02"/>
    <s v="Envase"/>
    <n v="4020"/>
    <s v="DPMTHD03"/>
    <s v="HIDRATANTE MATTE OITAVA MARAVILHA"/>
    <n v="120"/>
    <s v="ml"/>
    <x v="4"/>
    <x v="0"/>
    <s v="CREME HIDRATANTE"/>
    <x v="2"/>
    <m/>
    <m/>
    <m/>
    <m/>
    <m/>
    <m/>
    <m/>
    <m/>
    <m/>
    <m/>
    <m/>
    <m/>
    <m/>
    <m/>
    <m/>
    <m/>
    <m/>
    <m/>
    <m/>
    <m/>
    <m/>
    <s v=""/>
    <m/>
    <m/>
    <m/>
    <m/>
    <m/>
    <m/>
    <m/>
    <m/>
    <m/>
    <m/>
    <m/>
    <x v="0"/>
    <x v="6"/>
  </r>
  <r>
    <d v="2025-08-04T16:00:00"/>
    <d v="2025-08-05T09:40:00"/>
    <n v="3.6666666669188999"/>
    <n v="693.81818177045341"/>
    <x v="1"/>
    <s v="01_07"/>
    <m/>
    <s v="25213/08"/>
    <s v="Envase"/>
    <n v="2544"/>
    <s v="MRARBS03"/>
    <s v="BODY SPLASH ECLIPSE DOURADO"/>
    <n v="220"/>
    <s v="ml"/>
    <x v="0"/>
    <x v="1"/>
    <s v="BODY SPLASH"/>
    <x v="1"/>
    <m/>
    <m/>
    <m/>
    <m/>
    <m/>
    <m/>
    <m/>
    <m/>
    <m/>
    <m/>
    <m/>
    <m/>
    <m/>
    <m/>
    <m/>
    <m/>
    <m/>
    <m/>
    <m/>
    <m/>
    <m/>
    <s v=""/>
    <m/>
    <m/>
    <m/>
    <m/>
    <m/>
    <m/>
    <m/>
    <m/>
    <m/>
    <m/>
    <m/>
    <x v="0"/>
    <x v="6"/>
  </r>
  <r>
    <d v="2025-08-05T09:40:00"/>
    <d v="2025-08-05T13:30:00"/>
    <n v="2.8333333332557231"/>
    <n v="897.88235296577113"/>
    <x v="1"/>
    <s v="01_07"/>
    <m/>
    <s v="25213/09"/>
    <s v="Envase"/>
    <n v="2544"/>
    <s v="MRARBS03"/>
    <s v="BODY SPLASH ECLIPSE DOURADO"/>
    <n v="220"/>
    <s v="ml"/>
    <x v="0"/>
    <x v="1"/>
    <s v="BODY SPLASH"/>
    <x v="1"/>
    <m/>
    <m/>
    <m/>
    <m/>
    <m/>
    <m/>
    <m/>
    <m/>
    <m/>
    <m/>
    <m/>
    <m/>
    <m/>
    <m/>
    <m/>
    <m/>
    <m/>
    <m/>
    <m/>
    <m/>
    <m/>
    <s v=""/>
    <m/>
    <m/>
    <m/>
    <m/>
    <m/>
    <m/>
    <m/>
    <m/>
    <m/>
    <m/>
    <m/>
    <x v="0"/>
    <x v="6"/>
  </r>
  <r>
    <d v="2025-08-05T13:30:00"/>
    <d v="2025-08-06T10:40:00"/>
    <n v="7.1666666668024845"/>
    <n v="560.93023254750915"/>
    <x v="2"/>
    <s v="DAPOP - Pedido 360 mil"/>
    <m/>
    <s v="25213/03"/>
    <s v="Envase"/>
    <n v="4020"/>
    <s v="DPMTHD03"/>
    <s v="HIDRATANTE MATTE OITAVA MARAVILHA"/>
    <n v="120"/>
    <s v="ml"/>
    <x v="4"/>
    <x v="0"/>
    <s v="CREME HIDRATANTE"/>
    <x v="2"/>
    <m/>
    <m/>
    <m/>
    <m/>
    <m/>
    <m/>
    <m/>
    <m/>
    <m/>
    <m/>
    <m/>
    <m/>
    <m/>
    <m/>
    <m/>
    <m/>
    <m/>
    <m/>
    <m/>
    <m/>
    <m/>
    <s v=""/>
    <m/>
    <m/>
    <m/>
    <m/>
    <m/>
    <m/>
    <m/>
    <m/>
    <m/>
    <m/>
    <m/>
    <x v="0"/>
    <x v="6"/>
  </r>
  <r>
    <d v="2025-08-05T14:10:00"/>
    <d v="2025-08-05T17:00:00"/>
    <n v="2.8333333333139308"/>
    <n v="635.99999998148996"/>
    <x v="1"/>
    <s v="01_07"/>
    <m/>
    <s v="25213/11"/>
    <s v="Envase"/>
    <n v="1801.9999999352149"/>
    <s v="MRARBS02"/>
    <s v="BODY SPLASH DEUSA DO NILO"/>
    <n v="220"/>
    <s v="ml"/>
    <x v="0"/>
    <x v="1"/>
    <s v="BODY SPLASH"/>
    <x v="1"/>
    <m/>
    <m/>
    <m/>
    <m/>
    <m/>
    <m/>
    <m/>
    <m/>
    <m/>
    <m/>
    <m/>
    <m/>
    <m/>
    <m/>
    <m/>
    <m/>
    <m/>
    <m/>
    <m/>
    <m/>
    <m/>
    <s v=""/>
    <m/>
    <m/>
    <m/>
    <m/>
    <m/>
    <m/>
    <m/>
    <m/>
    <m/>
    <m/>
    <m/>
    <x v="0"/>
    <x v="6"/>
  </r>
  <r>
    <d v="2025-08-06T07:00:00"/>
    <d v="2025-08-06T08:10:00"/>
    <n v="1.1666666668024845"/>
    <n v="635.99999998148996"/>
    <x v="1"/>
    <s v="01_07"/>
    <m/>
    <s v="25213/11"/>
    <s v="Envase"/>
    <n v="742.00000006478513"/>
    <s v="MRARBS02"/>
    <s v="BODY SPLASH DEUSA DO NILO"/>
    <n v="220"/>
    <s v="ml"/>
    <x v="0"/>
    <x v="1"/>
    <s v="BODY SPLASH"/>
    <x v="1"/>
    <m/>
    <m/>
    <m/>
    <m/>
    <m/>
    <m/>
    <m/>
    <m/>
    <m/>
    <m/>
    <m/>
    <m/>
    <m/>
    <m/>
    <m/>
    <m/>
    <m/>
    <m/>
    <m/>
    <m/>
    <m/>
    <s v=""/>
    <m/>
    <m/>
    <m/>
    <m/>
    <m/>
    <m/>
    <m/>
    <m/>
    <m/>
    <m/>
    <m/>
    <x v="0"/>
    <x v="6"/>
  </r>
  <r>
    <d v="2025-08-06T08:10:00"/>
    <d v="2025-08-06T11:29:00"/>
    <n v="3.3166666666511446"/>
    <n v="767.03517588298666"/>
    <x v="1"/>
    <s v="01_07"/>
    <m/>
    <s v="25213/12"/>
    <s v="Envase"/>
    <n v="2544"/>
    <s v="MRARBS02"/>
    <s v="BODY SPLASH DEUSA DO NILO"/>
    <n v="220"/>
    <s v="ml"/>
    <x v="0"/>
    <x v="1"/>
    <s v="BODY SPLASH"/>
    <x v="1"/>
    <m/>
    <m/>
    <m/>
    <m/>
    <m/>
    <m/>
    <m/>
    <m/>
    <m/>
    <m/>
    <m/>
    <m/>
    <m/>
    <m/>
    <m/>
    <m/>
    <m/>
    <m/>
    <m/>
    <m/>
    <m/>
    <s v=""/>
    <m/>
    <m/>
    <m/>
    <m/>
    <m/>
    <m/>
    <m/>
    <m/>
    <m/>
    <m/>
    <m/>
    <x v="0"/>
    <x v="6"/>
  </r>
  <r>
    <d v="2025-08-06T10:40:00"/>
    <d v="2025-08-06T16:35:00"/>
    <n v="4.9166666665696539"/>
    <n v="817.62711866020072"/>
    <x v="2"/>
    <s v="DAPOP - Pedido 360 mil"/>
    <m/>
    <s v="25213/04"/>
    <s v="Envase"/>
    <n v="4020"/>
    <s v="DPMTHD03"/>
    <s v="HIDRATANTE MATTE OITAVA MARAVILHA"/>
    <n v="120"/>
    <s v="ml"/>
    <x v="4"/>
    <x v="0"/>
    <s v="CREME HIDRATANTE"/>
    <x v="2"/>
    <m/>
    <m/>
    <m/>
    <m/>
    <m/>
    <m/>
    <m/>
    <m/>
    <m/>
    <m/>
    <m/>
    <m/>
    <m/>
    <m/>
    <m/>
    <m/>
    <m/>
    <m/>
    <m/>
    <m/>
    <m/>
    <s v=""/>
    <m/>
    <m/>
    <m/>
    <m/>
    <m/>
    <m/>
    <m/>
    <m/>
    <m/>
    <m/>
    <m/>
    <x v="0"/>
    <x v="6"/>
  </r>
  <r>
    <d v="2025-08-06T11:29:00"/>
    <d v="2025-08-06T15:30:00"/>
    <n v="3.0166666666627862"/>
    <n v="843.31491712815659"/>
    <x v="1"/>
    <s v="01_07"/>
    <m/>
    <s v="25213/13"/>
    <s v="Envase"/>
    <n v="2544"/>
    <s v="MRARBS02"/>
    <s v="BODY SPLASH DEUSA DO NILO"/>
    <n v="220"/>
    <s v="ml"/>
    <x v="0"/>
    <x v="1"/>
    <s v="BODY SPLASH"/>
    <x v="1"/>
    <m/>
    <m/>
    <m/>
    <m/>
    <m/>
    <m/>
    <m/>
    <m/>
    <m/>
    <m/>
    <m/>
    <m/>
    <m/>
    <m/>
    <m/>
    <m/>
    <m/>
    <m/>
    <m/>
    <m/>
    <m/>
    <s v=""/>
    <m/>
    <m/>
    <m/>
    <m/>
    <m/>
    <m/>
    <m/>
    <m/>
    <m/>
    <m/>
    <m/>
    <x v="0"/>
    <x v="6"/>
  </r>
  <r>
    <d v="2025-08-06T16:35:00"/>
    <d v="2025-08-07T11:57:00"/>
    <n v="5.3666666668723337"/>
    <n v="749.06832295265986"/>
    <x v="2"/>
    <s v="DAPOP - Pedido 360 mil"/>
    <m/>
    <s v="25213/05"/>
    <s v="Envase"/>
    <n v="4020"/>
    <s v="DPMTHD03"/>
    <s v="HIDRATANTE MATTE OITAVA MARAVILHA"/>
    <n v="120"/>
    <s v="ml"/>
    <x v="4"/>
    <x v="0"/>
    <s v="CREME HIDRATANTE"/>
    <x v="2"/>
    <m/>
    <m/>
    <m/>
    <m/>
    <m/>
    <m/>
    <m/>
    <m/>
    <m/>
    <m/>
    <m/>
    <m/>
    <m/>
    <m/>
    <m/>
    <m/>
    <m/>
    <m/>
    <m/>
    <m/>
    <m/>
    <s v=""/>
    <m/>
    <m/>
    <m/>
    <m/>
    <m/>
    <m/>
    <m/>
    <m/>
    <m/>
    <m/>
    <m/>
    <x v="0"/>
    <x v="6"/>
  </r>
  <r>
    <d v="2025-08-07T07:30:00"/>
    <d v="2025-08-07T09:30:00"/>
    <n v="2.0000000000582077"/>
    <n v="272.99999999205465"/>
    <x v="1"/>
    <s v="04_07"/>
    <m/>
    <s v="25218/03"/>
    <s v="Envase"/>
    <n v="546"/>
    <s v="KUBPBA02"/>
    <s v="BASE PARA PERFUME FINA BASE PREMIUM 1l"/>
    <n v="1000"/>
    <s v="ml"/>
    <x v="5"/>
    <x v="2"/>
    <s v="BASE"/>
    <x v="1"/>
    <m/>
    <m/>
    <m/>
    <m/>
    <m/>
    <m/>
    <m/>
    <m/>
    <m/>
    <m/>
    <m/>
    <m/>
    <m/>
    <m/>
    <m/>
    <m/>
    <m/>
    <m/>
    <m/>
    <m/>
    <m/>
    <s v=""/>
    <m/>
    <m/>
    <m/>
    <m/>
    <m/>
    <m/>
    <m/>
    <m/>
    <m/>
    <m/>
    <m/>
    <x v="0"/>
    <x v="6"/>
  </r>
  <r>
    <d v="2025-08-07T09:30:00"/>
    <d v="2025-08-07T11:59:00"/>
    <n v="2.4833333332207985"/>
    <n v="223.48993289603371"/>
    <x v="1"/>
    <s v="04_07"/>
    <m/>
    <s v="25218/04"/>
    <s v="Envase"/>
    <n v="555"/>
    <s v="KUBPBA02"/>
    <s v="BASE PARA PERFUME FINA BASE PREMIUM 1l"/>
    <n v="1000"/>
    <s v="ml"/>
    <x v="5"/>
    <x v="2"/>
    <s v="BASE"/>
    <x v="1"/>
    <m/>
    <m/>
    <m/>
    <m/>
    <m/>
    <m/>
    <m/>
    <m/>
    <m/>
    <m/>
    <m/>
    <m/>
    <m/>
    <m/>
    <m/>
    <m/>
    <m/>
    <m/>
    <m/>
    <m/>
    <m/>
    <s v=""/>
    <m/>
    <m/>
    <m/>
    <m/>
    <m/>
    <m/>
    <m/>
    <m/>
    <m/>
    <m/>
    <m/>
    <x v="0"/>
    <x v="6"/>
  </r>
  <r>
    <d v="2025-08-07T13:10:00"/>
    <d v="2025-08-07T17:00:00"/>
    <n v="3.8333333334303461"/>
    <n v="831.72413789430755"/>
    <x v="2"/>
    <s v="DAPOP - Pedido 360 mil"/>
    <m/>
    <s v="25217/01"/>
    <s v="Envase"/>
    <n v="3188.2758620088666"/>
    <s v="DPMTHD02"/>
    <s v="HIDRATANTE MATTE SORVETE DE BAUNILHA"/>
    <n v="120"/>
    <s v="ml"/>
    <x v="4"/>
    <x v="0"/>
    <s v="CREME HIDRATANTE"/>
    <x v="2"/>
    <m/>
    <m/>
    <m/>
    <m/>
    <m/>
    <m/>
    <m/>
    <m/>
    <m/>
    <m/>
    <m/>
    <m/>
    <m/>
    <m/>
    <m/>
    <m/>
    <m/>
    <m/>
    <m/>
    <m/>
    <m/>
    <s v=""/>
    <m/>
    <m/>
    <m/>
    <m/>
    <m/>
    <m/>
    <m/>
    <m/>
    <m/>
    <m/>
    <m/>
    <x v="0"/>
    <x v="6"/>
  </r>
  <r>
    <d v="2025-08-07T13:10:00"/>
    <d v="2025-08-07T15:20:00"/>
    <n v="2.1666666667442769"/>
    <n v="256.15384614467069"/>
    <x v="1"/>
    <s v="04_07"/>
    <m/>
    <s v="25218/05"/>
    <s v="Envase"/>
    <n v="555"/>
    <s v="KUBPBA01 - 2"/>
    <s v="BASE PARA PERFUME FINA BASE 500ml"/>
    <n v="500"/>
    <s v="ml"/>
    <x v="5"/>
    <x v="2"/>
    <s v="BASE"/>
    <x v="1"/>
    <m/>
    <m/>
    <m/>
    <m/>
    <m/>
    <m/>
    <m/>
    <m/>
    <m/>
    <m/>
    <m/>
    <m/>
    <m/>
    <m/>
    <m/>
    <m/>
    <m/>
    <m/>
    <m/>
    <m/>
    <m/>
    <s v=""/>
    <m/>
    <m/>
    <m/>
    <m/>
    <m/>
    <m/>
    <m/>
    <m/>
    <m/>
    <m/>
    <m/>
    <x v="0"/>
    <x v="6"/>
  </r>
  <r>
    <d v="2025-08-07T15:20:00"/>
    <d v="2025-08-07T17:00:00"/>
    <n v="1.6666666666860692"/>
    <n v="248.50746267318161"/>
    <x v="1"/>
    <s v="04_07"/>
    <m/>
    <s v="25218/06"/>
    <s v="Envase"/>
    <n v="414.17910446012434"/>
    <s v="KUBPBA01 - 2"/>
    <s v="BASE PARA PERFUME FINA BASE 500ml"/>
    <n v="500"/>
    <s v="ml"/>
    <x v="5"/>
    <x v="2"/>
    <s v="BASE"/>
    <x v="1"/>
    <m/>
    <m/>
    <m/>
    <m/>
    <m/>
    <m/>
    <m/>
    <m/>
    <m/>
    <m/>
    <m/>
    <m/>
    <m/>
    <m/>
    <m/>
    <m/>
    <m/>
    <m/>
    <m/>
    <m/>
    <m/>
    <s v=""/>
    <m/>
    <m/>
    <m/>
    <m/>
    <m/>
    <m/>
    <m/>
    <m/>
    <m/>
    <m/>
    <m/>
    <x v="0"/>
    <x v="6"/>
  </r>
  <r>
    <d v="2025-08-08T07:00:00"/>
    <d v="2025-08-08T08:00:00"/>
    <n v="1.0000000001164153"/>
    <n v="831.72413789430755"/>
    <x v="2"/>
    <s v="DAPOP - Pedido 360 mil"/>
    <m/>
    <s v="25217/01"/>
    <s v="Envase"/>
    <n v="831.72413799113303"/>
    <s v="DPMTHD02"/>
    <s v="HIDRATANTE MATTE SORVETE DE BAUNILHA"/>
    <n v="120"/>
    <s v="ml"/>
    <x v="4"/>
    <x v="0"/>
    <s v="CREME HIDRATANTE"/>
    <x v="2"/>
    <m/>
    <m/>
    <m/>
    <m/>
    <m/>
    <m/>
    <m/>
    <m/>
    <m/>
    <m/>
    <m/>
    <m/>
    <m/>
    <m/>
    <m/>
    <m/>
    <m/>
    <m/>
    <m/>
    <m/>
    <m/>
    <s v=""/>
    <m/>
    <m/>
    <m/>
    <m/>
    <m/>
    <m/>
    <m/>
    <m/>
    <m/>
    <m/>
    <m/>
    <x v="0"/>
    <x v="6"/>
  </r>
  <r>
    <d v="2025-08-08T07:00:00"/>
    <d v="2025-08-08T07:34:00"/>
    <n v="0.56666666676755995"/>
    <n v="248.50746267318161"/>
    <x v="1"/>
    <s v="04_07"/>
    <m/>
    <s v="25218/06"/>
    <s v="Envase"/>
    <n v="140.82089553987564"/>
    <s v="KUBPBA01 - 2"/>
    <s v="BASE PARA PERFUME FINA BASE 500ml"/>
    <n v="500"/>
    <s v="ml"/>
    <x v="5"/>
    <x v="2"/>
    <s v="BASE"/>
    <x v="1"/>
    <m/>
    <m/>
    <m/>
    <m/>
    <m/>
    <m/>
    <m/>
    <m/>
    <m/>
    <m/>
    <m/>
    <m/>
    <m/>
    <m/>
    <m/>
    <m/>
    <m/>
    <m/>
    <m/>
    <m/>
    <m/>
    <s v=""/>
    <m/>
    <m/>
    <m/>
    <m/>
    <m/>
    <m/>
    <m/>
    <m/>
    <m/>
    <m/>
    <m/>
    <x v="0"/>
    <x v="6"/>
  </r>
  <r>
    <d v="2025-08-08T07:38:00"/>
    <d v="2025-08-08T09:50:00"/>
    <n v="2.1999999998370185"/>
    <n v="252.27272729141626"/>
    <x v="1"/>
    <s v="04_07"/>
    <m/>
    <s v="25218/07"/>
    <s v="Envase"/>
    <n v="555"/>
    <s v="KUBPBA01 - 2"/>
    <s v="BASE PARA PERFUME FINA BASE 500ml"/>
    <n v="500"/>
    <s v="ml"/>
    <x v="5"/>
    <x v="2"/>
    <s v="BASE"/>
    <x v="1"/>
    <m/>
    <m/>
    <m/>
    <m/>
    <m/>
    <m/>
    <m/>
    <m/>
    <m/>
    <m/>
    <m/>
    <m/>
    <m/>
    <m/>
    <m/>
    <m/>
    <m/>
    <m/>
    <m/>
    <m/>
    <m/>
    <s v=""/>
    <m/>
    <m/>
    <m/>
    <m/>
    <m/>
    <m/>
    <m/>
    <m/>
    <m/>
    <m/>
    <m/>
    <x v="0"/>
    <x v="6"/>
  </r>
  <r>
    <d v="2025-08-08T08:52:00"/>
    <d v="2025-08-08T15:30:00"/>
    <n v="5.6333333334769122"/>
    <n v="713.6094674374333"/>
    <x v="2"/>
    <s v="DAPOP - Pedido 360 mil"/>
    <m/>
    <s v="25217/02"/>
    <s v="Envase"/>
    <n v="4020"/>
    <s v="DPMTHD02"/>
    <s v="HIDRATANTE MATTE SORVETE DE BAUNILHA"/>
    <n v="120"/>
    <s v="ml"/>
    <x v="4"/>
    <x v="0"/>
    <s v="CREME HIDRATANTE"/>
    <x v="2"/>
    <m/>
    <m/>
    <m/>
    <m/>
    <m/>
    <m/>
    <m/>
    <m/>
    <m/>
    <m/>
    <m/>
    <m/>
    <m/>
    <m/>
    <m/>
    <m/>
    <m/>
    <m/>
    <m/>
    <m/>
    <m/>
    <s v=""/>
    <m/>
    <m/>
    <m/>
    <m/>
    <m/>
    <m/>
    <m/>
    <m/>
    <m/>
    <m/>
    <m/>
    <x v="0"/>
    <x v="6"/>
  </r>
  <r>
    <d v="2025-08-08T09:50:00"/>
    <d v="2025-08-08T11:30:00"/>
    <n v="1.6666666666860692"/>
    <n v="332.99999999612339"/>
    <x v="1"/>
    <s v="04_07"/>
    <m/>
    <s v="25218/08"/>
    <s v="Envase"/>
    <n v="555"/>
    <s v="KUBPBA01 - 2"/>
    <s v="BASE PARA PERFUME FINA BASE 500ml"/>
    <n v="500"/>
    <s v="ml"/>
    <x v="5"/>
    <x v="2"/>
    <s v="BASE"/>
    <x v="1"/>
    <m/>
    <m/>
    <m/>
    <m/>
    <m/>
    <m/>
    <m/>
    <m/>
    <m/>
    <m/>
    <m/>
    <m/>
    <m/>
    <m/>
    <m/>
    <m/>
    <m/>
    <m/>
    <m/>
    <m/>
    <m/>
    <s v=""/>
    <m/>
    <m/>
    <m/>
    <m/>
    <m/>
    <m/>
    <m/>
    <m/>
    <m/>
    <m/>
    <m/>
    <x v="0"/>
    <x v="6"/>
  </r>
  <r>
    <d v="2025-08-08T11:37:00"/>
    <d v="2025-08-08T14:00:00"/>
    <n v="1.3833333334187046"/>
    <n v="198.7951807106231"/>
    <x v="1"/>
    <s v="04_07"/>
    <m/>
    <s v="25218/09"/>
    <s v="Envase"/>
    <n v="275"/>
    <s v="KUBPBA01 - 2"/>
    <s v="BASE PARA PERFUME FINA BASE 500ml"/>
    <n v="500"/>
    <s v="ml"/>
    <x v="5"/>
    <x v="2"/>
    <s v="BASE"/>
    <x v="1"/>
    <m/>
    <m/>
    <m/>
    <m/>
    <m/>
    <m/>
    <m/>
    <m/>
    <m/>
    <m/>
    <m/>
    <m/>
    <m/>
    <m/>
    <m/>
    <m/>
    <m/>
    <m/>
    <m/>
    <m/>
    <m/>
    <s v=""/>
    <m/>
    <m/>
    <m/>
    <m/>
    <m/>
    <m/>
    <m/>
    <m/>
    <m/>
    <m/>
    <m/>
    <x v="0"/>
    <x v="6"/>
  </r>
  <r>
    <d v="2025-08-11T07:10:00"/>
    <d v="2025-08-11T13:30:00"/>
    <n v="5.3333333333721384"/>
    <n v="753.74999999451575"/>
    <x v="2"/>
    <s v="DAPOP - Pedido 360 mil"/>
    <m/>
    <s v="25217/03"/>
    <s v="Envase"/>
    <n v="4020"/>
    <s v="DPMTHD02"/>
    <s v="HIDRATANTE MATTE SORVETE DE BAUNILHA"/>
    <n v="120"/>
    <s v="ml"/>
    <x v="4"/>
    <x v="0"/>
    <s v="CREME HIDRATANTE"/>
    <x v="2"/>
    <m/>
    <m/>
    <m/>
    <m/>
    <m/>
    <m/>
    <m/>
    <m/>
    <m/>
    <m/>
    <m/>
    <m/>
    <m/>
    <m/>
    <m/>
    <m/>
    <m/>
    <m/>
    <m/>
    <m/>
    <m/>
    <s v=""/>
    <m/>
    <m/>
    <m/>
    <m/>
    <m/>
    <m/>
    <m/>
    <m/>
    <m/>
    <m/>
    <m/>
    <x v="0"/>
    <x v="6"/>
  </r>
  <r>
    <d v="2025-08-11T08:50:00"/>
    <d v="2025-08-11T13:30:00"/>
    <n v="3.6666666666860692"/>
    <n v="693.81818181451035"/>
    <x v="1"/>
    <s v="01_07"/>
    <m/>
    <s v="25213/14"/>
    <s v="Envase"/>
    <n v="2544"/>
    <s v="MRARBS02"/>
    <s v="BODY SPLASH DEUSA DO NILO"/>
    <n v="220"/>
    <s v="ml"/>
    <x v="0"/>
    <x v="1"/>
    <s v="BODY SPLASH"/>
    <x v="1"/>
    <m/>
    <m/>
    <m/>
    <m/>
    <m/>
    <m/>
    <m/>
    <m/>
    <m/>
    <m/>
    <m/>
    <m/>
    <m/>
    <m/>
    <m/>
    <m/>
    <m/>
    <m/>
    <m/>
    <m/>
    <m/>
    <s v=""/>
    <m/>
    <m/>
    <m/>
    <m/>
    <m/>
    <m/>
    <m/>
    <m/>
    <m/>
    <m/>
    <m/>
    <x v="0"/>
    <x v="6"/>
  </r>
  <r>
    <d v="2025-08-11T13:30:00"/>
    <d v="2025-08-11T17:00:00"/>
    <n v="3.5000000000582077"/>
    <n v="524.34782607368652"/>
    <x v="2"/>
    <s v="DAPOP - Pedido 360 mil"/>
    <m/>
    <s v="25217/04"/>
    <s v="Envase"/>
    <n v="1835.2173912884239"/>
    <s v="DPMTHD02"/>
    <s v="HIDRATANTE MATTE SORVETE DE BAUNILHA"/>
    <n v="120"/>
    <s v="ml"/>
    <x v="4"/>
    <x v="0"/>
    <s v="CREME HIDRATANTE"/>
    <x v="2"/>
    <m/>
    <m/>
    <m/>
    <m/>
    <m/>
    <m/>
    <m/>
    <m/>
    <m/>
    <m/>
    <m/>
    <m/>
    <m/>
    <m/>
    <m/>
    <m/>
    <m/>
    <m/>
    <m/>
    <m/>
    <m/>
    <s v=""/>
    <m/>
    <m/>
    <m/>
    <m/>
    <m/>
    <m/>
    <m/>
    <m/>
    <m/>
    <m/>
    <m/>
    <x v="0"/>
    <x v="6"/>
  </r>
  <r>
    <d v="2025-08-11T13:36:00"/>
    <d v="2025-08-11T17:00:00"/>
    <n v="3.4000000000814907"/>
    <n v="578.18181815581238"/>
    <x v="1"/>
    <s v="01_07"/>
    <m/>
    <s v="25223/01"/>
    <s v="Envase"/>
    <n v="1965.8181817768786"/>
    <s v="MRARBS02"/>
    <s v="BODY SPLASH DEUSA DO NILO"/>
    <n v="220"/>
    <s v="ml"/>
    <x v="0"/>
    <x v="1"/>
    <s v="BODY SPLASH"/>
    <x v="1"/>
    <m/>
    <m/>
    <m/>
    <m/>
    <m/>
    <m/>
    <m/>
    <m/>
    <m/>
    <m/>
    <m/>
    <m/>
    <m/>
    <m/>
    <m/>
    <m/>
    <m/>
    <m/>
    <m/>
    <m/>
    <m/>
    <s v=""/>
    <m/>
    <m/>
    <m/>
    <m/>
    <m/>
    <m/>
    <m/>
    <m/>
    <m/>
    <m/>
    <m/>
    <x v="0"/>
    <x v="6"/>
  </r>
  <r>
    <d v="2025-08-12T07:00:00"/>
    <d v="2025-08-12T11:10:00"/>
    <n v="4.1666666668024845"/>
    <n v="524.34782607368652"/>
    <x v="2"/>
    <s v="DAPOP - Pedido 360 mil"/>
    <m/>
    <s v="25217/04"/>
    <s v="Envase"/>
    <n v="2184.7826087115764"/>
    <s v="DPMTHD02"/>
    <s v="HIDRATANTE MATTE SORVETE DE BAUNILHA"/>
    <n v="120"/>
    <s v="ml"/>
    <x v="4"/>
    <x v="0"/>
    <s v="CREME HIDRATANTE"/>
    <x v="2"/>
    <m/>
    <m/>
    <m/>
    <m/>
    <m/>
    <m/>
    <m/>
    <m/>
    <m/>
    <m/>
    <m/>
    <m/>
    <m/>
    <m/>
    <m/>
    <m/>
    <m/>
    <m/>
    <m/>
    <m/>
    <m/>
    <s v=""/>
    <m/>
    <m/>
    <m/>
    <m/>
    <m/>
    <m/>
    <m/>
    <m/>
    <m/>
    <m/>
    <m/>
    <x v="0"/>
    <x v="6"/>
  </r>
  <r>
    <d v="2025-08-12T07:00:00"/>
    <d v="2025-08-12T08:00:00"/>
    <n v="1.0000000001164153"/>
    <n v="578.18181815581238"/>
    <x v="1"/>
    <s v="01_07"/>
    <m/>
    <s v="25223/01"/>
    <s v="Envase"/>
    <n v="578.18181822312158"/>
    <s v="MRARBS02"/>
    <s v="BODY SPLASH DEUSA DO NILO"/>
    <n v="220"/>
    <s v="ml"/>
    <x v="0"/>
    <x v="1"/>
    <s v="BODY SPLASH"/>
    <x v="1"/>
    <m/>
    <m/>
    <m/>
    <m/>
    <m/>
    <m/>
    <m/>
    <m/>
    <m/>
    <m/>
    <m/>
    <m/>
    <m/>
    <m/>
    <m/>
    <m/>
    <m/>
    <m/>
    <m/>
    <m/>
    <m/>
    <s v=""/>
    <m/>
    <m/>
    <m/>
    <m/>
    <m/>
    <m/>
    <m/>
    <m/>
    <m/>
    <m/>
    <m/>
    <x v="0"/>
    <x v="6"/>
  </r>
  <r>
    <d v="2025-08-12T08:00:00"/>
    <d v="2025-08-12T11:02:00"/>
    <n v="3.0333333332673647"/>
    <n v="506.37362638463895"/>
    <x v="1"/>
    <s v="01_07"/>
    <m/>
    <s v="25223/02"/>
    <s v="Envase"/>
    <n v="1536"/>
    <s v="MRARBS02"/>
    <s v="BODY SPLASH DEUSA DO NILO"/>
    <n v="220"/>
    <s v="ml"/>
    <x v="0"/>
    <x v="1"/>
    <s v="BODY SPLASH"/>
    <x v="1"/>
    <m/>
    <m/>
    <m/>
    <m/>
    <m/>
    <m/>
    <m/>
    <m/>
    <m/>
    <m/>
    <m/>
    <m/>
    <m/>
    <m/>
    <m/>
    <m/>
    <m/>
    <m/>
    <m/>
    <m/>
    <m/>
    <s v=""/>
    <m/>
    <m/>
    <m/>
    <m/>
    <m/>
    <m/>
    <m/>
    <m/>
    <m/>
    <m/>
    <m/>
    <x v="0"/>
    <x v="6"/>
  </r>
  <r>
    <d v="2025-08-12T11:10:00"/>
    <d v="2025-08-12T16:00:00"/>
    <n v="3.8333333331975155"/>
    <n v="1048.695652211069"/>
    <x v="2"/>
    <s v="DAPOP - Pedido 360 mil"/>
    <m/>
    <s v="25217/05"/>
    <s v="Envase"/>
    <n v="4020"/>
    <s v="DPMTHD02"/>
    <s v="HIDRATANTE MATTE SORVETE DE BAUNILHA"/>
    <n v="120"/>
    <s v="ml"/>
    <x v="4"/>
    <x v="0"/>
    <s v="CREME HIDRATANTE"/>
    <x v="2"/>
    <m/>
    <m/>
    <m/>
    <m/>
    <m/>
    <m/>
    <m/>
    <m/>
    <m/>
    <m/>
    <m/>
    <m/>
    <m/>
    <m/>
    <m/>
    <m/>
    <m/>
    <m/>
    <m/>
    <m/>
    <m/>
    <s v=""/>
    <m/>
    <m/>
    <m/>
    <m/>
    <m/>
    <m/>
    <m/>
    <m/>
    <m/>
    <m/>
    <m/>
    <x v="0"/>
    <x v="6"/>
  </r>
  <r>
    <d v="2025-08-12T13:10:00"/>
    <d v="2025-08-12T16:00:00"/>
    <n v="2.8333333333139308"/>
    <n v="897.8823529473251"/>
    <x v="1"/>
    <s v="01_07"/>
    <m/>
    <s v="25224/01"/>
    <s v="Envase"/>
    <n v="2544"/>
    <s v="MRARBS01"/>
    <s v="BODY SPLASH AURORA IMPERIAL"/>
    <n v="220"/>
    <s v="ml"/>
    <x v="0"/>
    <x v="1"/>
    <s v="BODY SPLASH"/>
    <x v="1"/>
    <m/>
    <m/>
    <m/>
    <m/>
    <m/>
    <m/>
    <m/>
    <m/>
    <m/>
    <m/>
    <m/>
    <m/>
    <m/>
    <m/>
    <m/>
    <m/>
    <m/>
    <m/>
    <m/>
    <m/>
    <m/>
    <s v=""/>
    <m/>
    <m/>
    <m/>
    <m/>
    <m/>
    <m/>
    <m/>
    <m/>
    <m/>
    <m/>
    <m/>
    <x v="0"/>
    <x v="6"/>
  </r>
  <r>
    <d v="2025-08-12T15:55:00"/>
    <d v="2025-08-12T17:00:00"/>
    <n v="1.0833333333721384"/>
    <n v="430.7142857071226"/>
    <x v="2"/>
    <s v="DAPOP - Pedido 360 mil"/>
    <m/>
    <s v="25223/03"/>
    <s v="Envase"/>
    <n v="466.60714286609675"/>
    <s v="DPMTHD01"/>
    <s v="HIDRATANTE MATTE DOCE SEDUÇÃO"/>
    <n v="120"/>
    <s v="ml"/>
    <x v="4"/>
    <x v="0"/>
    <s v="CREME HIDRATANTE"/>
    <x v="2"/>
    <m/>
    <m/>
    <m/>
    <m/>
    <m/>
    <m/>
    <m/>
    <m/>
    <m/>
    <m/>
    <m/>
    <m/>
    <m/>
    <m/>
    <m/>
    <m/>
    <m/>
    <m/>
    <m/>
    <m/>
    <m/>
    <s v=""/>
    <m/>
    <m/>
    <m/>
    <m/>
    <m/>
    <m/>
    <m/>
    <m/>
    <m/>
    <m/>
    <m/>
    <x v="0"/>
    <x v="6"/>
  </r>
  <r>
    <d v="2025-08-12T16:00:00"/>
    <d v="2025-08-12T17:00:00"/>
    <n v="1.0000000001164153"/>
    <n v="820.79999994744549"/>
    <x v="1"/>
    <s v="01_07"/>
    <m/>
    <s v="25224/02"/>
    <s v="Envase"/>
    <n v="820.80000004299916"/>
    <s v="MRARBS01"/>
    <s v="BODY SPLASH AURORA IMPERIAL"/>
    <n v="220"/>
    <s v="ml"/>
    <x v="0"/>
    <x v="1"/>
    <s v="BODY SPLASH"/>
    <x v="1"/>
    <m/>
    <m/>
    <m/>
    <m/>
    <m/>
    <m/>
    <m/>
    <m/>
    <m/>
    <m/>
    <m/>
    <m/>
    <m/>
    <m/>
    <m/>
    <m/>
    <m/>
    <m/>
    <m/>
    <m/>
    <m/>
    <s v=""/>
    <m/>
    <m/>
    <m/>
    <m/>
    <m/>
    <m/>
    <m/>
    <m/>
    <m/>
    <m/>
    <m/>
    <x v="0"/>
    <x v="6"/>
  </r>
  <r>
    <d v="2025-08-13T07:00:00"/>
    <d v="2025-08-13T09:20:00"/>
    <n v="2.3333333334303461"/>
    <n v="820.79999994744549"/>
    <x v="1"/>
    <s v="01_07"/>
    <m/>
    <s v="25224/02"/>
    <s v="Envase"/>
    <n v="1915.199999957001"/>
    <s v="MRARBS01"/>
    <s v="BODY SPLASH AURORA IMPERIAL"/>
    <n v="220"/>
    <s v="ml"/>
    <x v="0"/>
    <x v="1"/>
    <s v="BODY SPLASH"/>
    <x v="1"/>
    <m/>
    <m/>
    <m/>
    <m/>
    <m/>
    <m/>
    <m/>
    <m/>
    <m/>
    <m/>
    <m/>
    <m/>
    <m/>
    <m/>
    <m/>
    <m/>
    <m/>
    <m/>
    <m/>
    <m/>
    <m/>
    <s v=""/>
    <m/>
    <m/>
    <m/>
    <m/>
    <m/>
    <m/>
    <m/>
    <m/>
    <m/>
    <m/>
    <m/>
    <x v="0"/>
    <x v="6"/>
  </r>
  <r>
    <d v="2025-08-13T09:20:00"/>
    <d v="2025-08-13T13:30:00"/>
    <n v="3.1666666666278616"/>
    <n v="803.36842106247627"/>
    <x v="1"/>
    <s v="01_08"/>
    <m/>
    <s v="25225/01"/>
    <s v="Envase"/>
    <n v="2544"/>
    <s v="BFBBBS01"/>
    <s v="BODY SPLASH BIO BALM EUPHORIA PINK"/>
    <n v="200"/>
    <s v="ml"/>
    <x v="10"/>
    <x v="1"/>
    <s v="BODY SPLASH"/>
    <x v="1"/>
    <m/>
    <m/>
    <m/>
    <m/>
    <m/>
    <m/>
    <m/>
    <m/>
    <m/>
    <m/>
    <m/>
    <m/>
    <m/>
    <m/>
    <m/>
    <m/>
    <m/>
    <m/>
    <m/>
    <m/>
    <m/>
    <s v=""/>
    <m/>
    <m/>
    <m/>
    <m/>
    <m/>
    <m/>
    <m/>
    <m/>
    <m/>
    <m/>
    <m/>
    <x v="0"/>
    <x v="6"/>
  </r>
  <r>
    <d v="2025-08-13T13:30:00"/>
    <d v="2025-08-13T16:40:00"/>
    <n v="3.1666666666860692"/>
    <n v="803.36842104770926"/>
    <x v="1"/>
    <s v="01_08"/>
    <m/>
    <s v="25225/02"/>
    <s v="Envase"/>
    <n v="2544"/>
    <s v="BFBBBS01"/>
    <s v="BODY SPLASH BIO BALM EUPHORIA PINK"/>
    <n v="200"/>
    <s v="ml"/>
    <x v="10"/>
    <x v="1"/>
    <s v="BODY SPLASH"/>
    <x v="1"/>
    <m/>
    <m/>
    <m/>
    <m/>
    <m/>
    <m/>
    <m/>
    <m/>
    <m/>
    <m/>
    <m/>
    <m/>
    <m/>
    <m/>
    <m/>
    <m/>
    <m/>
    <m/>
    <m/>
    <m/>
    <m/>
    <s v=""/>
    <m/>
    <m/>
    <m/>
    <m/>
    <m/>
    <m/>
    <m/>
    <m/>
    <m/>
    <m/>
    <m/>
    <x v="0"/>
    <x v="6"/>
  </r>
  <r>
    <d v="2025-08-13T16:40:00"/>
    <d v="2025-08-13T17:00:00"/>
    <n v="0.33333333337213844"/>
    <n v="565.33333331139556"/>
    <x v="1"/>
    <s v="01_08"/>
    <m/>
    <s v="25225/03"/>
    <s v="Envase"/>
    <n v="188.44444445906967"/>
    <s v="BFBBBS01"/>
    <s v="BODY SPLASH BIO BALM EUPHORIA PINK"/>
    <n v="200"/>
    <s v="ml"/>
    <x v="10"/>
    <x v="1"/>
    <s v="BODY SPLASH"/>
    <x v="1"/>
    <m/>
    <m/>
    <m/>
    <m/>
    <m/>
    <m/>
    <m/>
    <m/>
    <m/>
    <m/>
    <m/>
    <m/>
    <m/>
    <m/>
    <m/>
    <m/>
    <m/>
    <m/>
    <m/>
    <m/>
    <m/>
    <s v=""/>
    <m/>
    <m/>
    <m/>
    <m/>
    <m/>
    <m/>
    <m/>
    <m/>
    <m/>
    <m/>
    <m/>
    <x v="0"/>
    <x v="6"/>
  </r>
  <r>
    <d v="2025-08-14T07:00:00"/>
    <d v="2025-08-14T11:10:00"/>
    <n v="4.1666666668024845"/>
    <n v="565.33333331139556"/>
    <x v="1"/>
    <s v="01_08"/>
    <m/>
    <s v="25225/03"/>
    <s v="Envase"/>
    <n v="2355.5555555409305"/>
    <s v="BFBBBS01"/>
    <s v="BODY SPLASH BIO BALM EUPHORIA PINK"/>
    <n v="200"/>
    <s v="ml"/>
    <x v="10"/>
    <x v="1"/>
    <s v="BODY SPLASH"/>
    <x v="1"/>
    <m/>
    <m/>
    <m/>
    <m/>
    <m/>
    <m/>
    <m/>
    <m/>
    <m/>
    <m/>
    <m/>
    <m/>
    <m/>
    <m/>
    <m/>
    <m/>
    <m/>
    <m/>
    <m/>
    <m/>
    <m/>
    <s v=""/>
    <m/>
    <m/>
    <m/>
    <m/>
    <m/>
    <m/>
    <m/>
    <m/>
    <m/>
    <m/>
    <m/>
    <x v="0"/>
    <x v="6"/>
  </r>
  <r>
    <d v="2025-08-14T10:49:00"/>
    <d v="2025-08-14T15:00:00"/>
    <n v="3.1833333333488554"/>
    <n v="799.16230366102468"/>
    <x v="1"/>
    <s v="01_08"/>
    <m/>
    <s v="25226/01"/>
    <s v="Envase"/>
    <n v="2544"/>
    <s v="BFBBBS02"/>
    <s v="BODY SPLASH BIO BALM INFINITY ROUGE"/>
    <n v="200"/>
    <s v="ml"/>
    <x v="10"/>
    <x v="1"/>
    <s v="BODY SPLASH"/>
    <x v="1"/>
    <m/>
    <m/>
    <m/>
    <m/>
    <m/>
    <m/>
    <m/>
    <m/>
    <m/>
    <m/>
    <m/>
    <m/>
    <m/>
    <m/>
    <m/>
    <m/>
    <m/>
    <m/>
    <m/>
    <m/>
    <m/>
    <s v=""/>
    <m/>
    <m/>
    <m/>
    <m/>
    <m/>
    <m/>
    <m/>
    <m/>
    <m/>
    <m/>
    <m/>
    <x v="0"/>
    <x v="6"/>
  </r>
  <r>
    <d v="2025-08-14T15:00:00"/>
    <d v="2025-08-14T17:00:00"/>
    <n v="2.0000000000582077"/>
    <n v="778.77551016337657"/>
    <x v="1"/>
    <s v="01_08"/>
    <m/>
    <s v="25226/02"/>
    <s v="Envase"/>
    <n v="1557.5510203720839"/>
    <s v="BFBBBS02"/>
    <s v="BODY SPLASH BIO BALM INFINITY ROUGE"/>
    <n v="200"/>
    <s v="ml"/>
    <x v="10"/>
    <x v="1"/>
    <s v="BODY SPLASH"/>
    <x v="1"/>
    <m/>
    <m/>
    <m/>
    <m/>
    <m/>
    <m/>
    <m/>
    <m/>
    <m/>
    <m/>
    <m/>
    <m/>
    <m/>
    <m/>
    <m/>
    <m/>
    <m/>
    <m/>
    <m/>
    <m/>
    <m/>
    <s v=""/>
    <m/>
    <m/>
    <m/>
    <m/>
    <m/>
    <m/>
    <m/>
    <m/>
    <m/>
    <m/>
    <m/>
    <x v="0"/>
    <x v="6"/>
  </r>
  <r>
    <d v="2025-08-15T07:00:00"/>
    <d v="2025-08-15T08:16:00"/>
    <n v="1.2666666667792015"/>
    <n v="778.77551016337657"/>
    <x v="1"/>
    <s v="01_08"/>
    <m/>
    <s v="25226/02"/>
    <s v="Envase"/>
    <n v="986.44897962791629"/>
    <s v="BFBBBS02"/>
    <s v="BODY SPLASH BIO BALM INFINITY ROUGE"/>
    <n v="200"/>
    <s v="ml"/>
    <x v="10"/>
    <x v="1"/>
    <s v="BODY SPLASH"/>
    <x v="1"/>
    <m/>
    <m/>
    <m/>
    <m/>
    <m/>
    <m/>
    <m/>
    <m/>
    <m/>
    <m/>
    <m/>
    <m/>
    <m/>
    <m/>
    <m/>
    <m/>
    <m/>
    <m/>
    <m/>
    <m/>
    <m/>
    <s v=""/>
    <m/>
    <m/>
    <m/>
    <m/>
    <m/>
    <m/>
    <m/>
    <m/>
    <m/>
    <m/>
    <m/>
    <x v="0"/>
    <x v="6"/>
  </r>
  <r>
    <d v="2025-08-15T08:16:00"/>
    <d v="2025-08-15T11:00:00"/>
    <n v="2.7333333333372138"/>
    <n v="930.73170731575181"/>
    <x v="1"/>
    <s v="01_08"/>
    <m/>
    <s v="25226/03"/>
    <s v="Envase"/>
    <n v="2544"/>
    <s v="BFBBBS02"/>
    <s v="BODY SPLASH BIO BALM INFINITY ROUGE"/>
    <n v="200"/>
    <s v="ml"/>
    <x v="10"/>
    <x v="1"/>
    <s v="BODY SPLASH"/>
    <x v="1"/>
    <m/>
    <m/>
    <m/>
    <m/>
    <m/>
    <m/>
    <m/>
    <m/>
    <m/>
    <m/>
    <m/>
    <m/>
    <m/>
    <m/>
    <m/>
    <m/>
    <m/>
    <m/>
    <m/>
    <m/>
    <m/>
    <s v=""/>
    <m/>
    <m/>
    <m/>
    <m/>
    <m/>
    <m/>
    <m/>
    <m/>
    <m/>
    <m/>
    <m/>
    <x v="0"/>
    <x v="6"/>
  </r>
  <r>
    <d v="2025-08-15T11:30:00"/>
    <d v="2025-08-15T14:40:00"/>
    <n v="2.1666666666860692"/>
    <n v="1174.1538461433315"/>
    <x v="1"/>
    <s v="01_08"/>
    <m/>
    <s v="25227/01"/>
    <s v="Envase"/>
    <n v="2544"/>
    <s v="BFBBBS04"/>
    <s v="BODY SPLASH BIO BALM SKINLIGHT"/>
    <n v="200"/>
    <s v="ml"/>
    <x v="10"/>
    <x v="1"/>
    <s v="BODY SPLASH"/>
    <x v="1"/>
    <m/>
    <m/>
    <m/>
    <m/>
    <m/>
    <m/>
    <m/>
    <m/>
    <m/>
    <m/>
    <m/>
    <m/>
    <m/>
    <m/>
    <m/>
    <m/>
    <m/>
    <m/>
    <m/>
    <m/>
    <m/>
    <s v=""/>
    <m/>
    <m/>
    <m/>
    <m/>
    <m/>
    <m/>
    <m/>
    <m/>
    <m/>
    <m/>
    <m/>
    <x v="0"/>
    <x v="6"/>
  </r>
  <r>
    <d v="2025-08-15T14:40:00"/>
    <d v="2025-08-15T16:00:00"/>
    <n v="1.3333333333139308"/>
    <n v="954.00000001388253"/>
    <x v="1"/>
    <s v="01_08"/>
    <m/>
    <s v="25227/02"/>
    <s v="Envase"/>
    <n v="1272"/>
    <s v="BFBBBS04"/>
    <s v="BODY SPLASH BIO BALM SKINLIGHT"/>
    <n v="200"/>
    <s v="ml"/>
    <x v="10"/>
    <x v="1"/>
    <s v="BODY SPLASH"/>
    <x v="1"/>
    <m/>
    <m/>
    <m/>
    <m/>
    <m/>
    <m/>
    <m/>
    <m/>
    <m/>
    <m/>
    <m/>
    <m/>
    <m/>
    <m/>
    <m/>
    <m/>
    <m/>
    <m/>
    <m/>
    <m/>
    <m/>
    <s v=""/>
    <m/>
    <m/>
    <m/>
    <m/>
    <m/>
    <m/>
    <m/>
    <m/>
    <m/>
    <m/>
    <m/>
    <x v="0"/>
    <x v="6"/>
  </r>
  <r>
    <d v="2025-08-18T07:00:00"/>
    <d v="2025-08-18T16:15:00"/>
    <n v="8.2500000001164153"/>
    <n v="430.7142857071226"/>
    <x v="2"/>
    <s v="DAPOP - Pedido 360 mil"/>
    <m/>
    <s v="25223/03"/>
    <s v="Envase"/>
    <n v="3553.3928571339034"/>
    <s v="DPMTHD01"/>
    <s v="HIDRATANTE MATTE DOCE SEDUÇÃO"/>
    <n v="120"/>
    <s v="ml"/>
    <x v="4"/>
    <x v="0"/>
    <s v="CREME HIDRATANTE"/>
    <x v="2"/>
    <m/>
    <m/>
    <m/>
    <m/>
    <m/>
    <m/>
    <m/>
    <m/>
    <m/>
    <m/>
    <m/>
    <m/>
    <m/>
    <m/>
    <m/>
    <m/>
    <m/>
    <m/>
    <m/>
    <m/>
    <m/>
    <s v=""/>
    <m/>
    <m/>
    <m/>
    <m/>
    <m/>
    <m/>
    <m/>
    <m/>
    <m/>
    <m/>
    <m/>
    <x v="0"/>
    <x v="6"/>
  </r>
  <r>
    <d v="2025-08-18T07:00:00"/>
    <d v="2025-08-18T08:20:00"/>
    <n v="1.3333333333139308"/>
    <n v="954.00000001388253"/>
    <x v="1"/>
    <s v="01_08"/>
    <m/>
    <s v="25227/02"/>
    <s v="Envase"/>
    <n v="1272"/>
    <s v="BFBBBS04"/>
    <s v="BODY SPLASH BIO BALM SKINLIGHT"/>
    <n v="200"/>
    <s v="ml"/>
    <x v="10"/>
    <x v="1"/>
    <s v="BODY SPLASH"/>
    <x v="1"/>
    <m/>
    <m/>
    <m/>
    <m/>
    <m/>
    <m/>
    <m/>
    <m/>
    <m/>
    <m/>
    <m/>
    <m/>
    <m/>
    <m/>
    <m/>
    <m/>
    <m/>
    <m/>
    <m/>
    <m/>
    <m/>
    <s v=""/>
    <m/>
    <m/>
    <m/>
    <m/>
    <m/>
    <m/>
    <m/>
    <m/>
    <m/>
    <m/>
    <m/>
    <x v="0"/>
    <x v="6"/>
  </r>
  <r>
    <d v="2025-08-18T08:20:00"/>
    <d v="2025-08-18T10:47:00"/>
    <n v="2.4500000001280569"/>
    <n v="1038.367346884502"/>
    <x v="1"/>
    <s v="01_08"/>
    <m/>
    <s v="25227/03"/>
    <s v="Envase"/>
    <n v="2544"/>
    <s v="BFBBBS04"/>
    <s v="BODY SPLASH BIO BALM SKINLIGHT"/>
    <n v="200"/>
    <s v="ml"/>
    <x v="10"/>
    <x v="1"/>
    <s v="BODY SPLASH"/>
    <x v="1"/>
    <m/>
    <m/>
    <m/>
    <m/>
    <m/>
    <m/>
    <m/>
    <m/>
    <m/>
    <m/>
    <m/>
    <m/>
    <m/>
    <m/>
    <m/>
    <m/>
    <m/>
    <m/>
    <m/>
    <m/>
    <m/>
    <s v=""/>
    <m/>
    <m/>
    <m/>
    <m/>
    <m/>
    <m/>
    <m/>
    <m/>
    <m/>
    <m/>
    <m/>
    <x v="0"/>
    <x v="6"/>
  </r>
  <r>
    <d v="2025-08-18T10:47:00"/>
    <d v="2025-08-18T14:42:00"/>
    <n v="2.9166666666860692"/>
    <n v="872.22857142276905"/>
    <x v="1"/>
    <s v="01_08"/>
    <m/>
    <s v="25230/01"/>
    <s v="Envase"/>
    <n v="2544"/>
    <s v="BFBBBS05"/>
    <s v="BODY SPLASH BIO BALM SUNRISE MUSE"/>
    <n v="200"/>
    <s v="ml"/>
    <x v="10"/>
    <x v="1"/>
    <s v="BODY SPLASH"/>
    <x v="1"/>
    <m/>
    <m/>
    <m/>
    <m/>
    <m/>
    <m/>
    <m/>
    <m/>
    <m/>
    <m/>
    <m/>
    <m/>
    <m/>
    <m/>
    <m/>
    <m/>
    <m/>
    <m/>
    <m/>
    <m/>
    <m/>
    <s v=""/>
    <m/>
    <m/>
    <m/>
    <m/>
    <m/>
    <m/>
    <m/>
    <m/>
    <m/>
    <m/>
    <m/>
    <x v="0"/>
    <x v="6"/>
  </r>
  <r>
    <d v="2025-08-18T14:42:00"/>
    <d v="2025-08-18T17:00:00"/>
    <n v="2.2999999999883585"/>
    <n v="700.1834862445146"/>
    <x v="1"/>
    <s v="01_08"/>
    <m/>
    <s v="25230/02"/>
    <s v="Envase"/>
    <n v="1610.4220183542325"/>
    <s v="BFBBBS05"/>
    <s v="BODY SPLASH BIO BALM SUNRISE MUSE"/>
    <n v="200"/>
    <s v="ml"/>
    <x v="10"/>
    <x v="1"/>
    <s v="BODY SPLASH"/>
    <x v="1"/>
    <m/>
    <m/>
    <m/>
    <m/>
    <m/>
    <m/>
    <m/>
    <m/>
    <m/>
    <m/>
    <m/>
    <m/>
    <m/>
    <m/>
    <m/>
    <m/>
    <m/>
    <m/>
    <m/>
    <m/>
    <m/>
    <s v=""/>
    <m/>
    <m/>
    <m/>
    <m/>
    <m/>
    <m/>
    <m/>
    <m/>
    <m/>
    <m/>
    <m/>
    <x v="0"/>
    <x v="6"/>
  </r>
  <r>
    <d v="2025-08-18T16:15:00"/>
    <d v="2025-08-18T17:00:00"/>
    <n v="0.75"/>
    <n v="742.15384615118774"/>
    <x v="2"/>
    <s v="DAPOP - Pedido 360 mil"/>
    <m/>
    <s v="25223/04"/>
    <s v="Envase"/>
    <n v="556.6153846133908"/>
    <s v="DPMTHD01"/>
    <s v="HIDRATANTE MATTE DOCE SEDUÇÃO"/>
    <n v="120"/>
    <s v="ml"/>
    <x v="4"/>
    <x v="0"/>
    <s v="CREME HIDRATANTE"/>
    <x v="2"/>
    <m/>
    <m/>
    <m/>
    <m/>
    <m/>
    <m/>
    <m/>
    <m/>
    <m/>
    <m/>
    <m/>
    <m/>
    <m/>
    <m/>
    <m/>
    <m/>
    <m/>
    <m/>
    <m/>
    <m/>
    <m/>
    <s v=""/>
    <m/>
    <m/>
    <m/>
    <m/>
    <m/>
    <m/>
    <m/>
    <m/>
    <m/>
    <m/>
    <m/>
    <x v="0"/>
    <x v="6"/>
  </r>
  <r>
    <d v="2025-08-19T07:00:00"/>
    <d v="2025-08-19T11:40:00"/>
    <n v="4.6666666666860692"/>
    <n v="742.15384615118774"/>
    <x v="2"/>
    <s v="DAPOP - Pedido 360 mil"/>
    <m/>
    <s v="25223/04"/>
    <s v="Envase"/>
    <n v="3463.3846153866093"/>
    <s v="DPMTHD01"/>
    <s v="HIDRATANTE MATTE DOCE SEDUÇÃO"/>
    <n v="120"/>
    <s v="ml"/>
    <x v="4"/>
    <x v="0"/>
    <s v="CREME HIDRATANTE"/>
    <x v="2"/>
    <m/>
    <m/>
    <m/>
    <m/>
    <m/>
    <m/>
    <m/>
    <m/>
    <m/>
    <m/>
    <m/>
    <m/>
    <m/>
    <m/>
    <m/>
    <m/>
    <m/>
    <m/>
    <m/>
    <m/>
    <m/>
    <s v=""/>
    <m/>
    <m/>
    <m/>
    <m/>
    <m/>
    <m/>
    <m/>
    <m/>
    <m/>
    <m/>
    <m/>
    <x v="0"/>
    <x v="6"/>
  </r>
  <r>
    <d v="2025-08-19T07:00:00"/>
    <d v="2025-08-19T08:20:00"/>
    <n v="1.3333333333139308"/>
    <n v="700.1834862445146"/>
    <x v="1"/>
    <s v="01_08"/>
    <m/>
    <s v="25230/02"/>
    <s v="Envase"/>
    <n v="933.57798164576741"/>
    <s v="BFBBBS05"/>
    <s v="BODY SPLASH BIO BALM SUNRISE MUSE"/>
    <n v="200"/>
    <s v="ml"/>
    <x v="10"/>
    <x v="1"/>
    <s v="BODY SPLASH"/>
    <x v="1"/>
    <m/>
    <m/>
    <m/>
    <m/>
    <m/>
    <m/>
    <m/>
    <m/>
    <m/>
    <m/>
    <m/>
    <m/>
    <m/>
    <m/>
    <m/>
    <m/>
    <m/>
    <m/>
    <m/>
    <m/>
    <m/>
    <s v=""/>
    <m/>
    <m/>
    <m/>
    <m/>
    <m/>
    <m/>
    <m/>
    <m/>
    <m/>
    <m/>
    <m/>
    <x v="0"/>
    <x v="6"/>
  </r>
  <r>
    <d v="2025-08-19T08:20:00"/>
    <d v="2025-08-19T10:40:00"/>
    <n v="2.3333333334303461"/>
    <n v="1090.2857142403836"/>
    <x v="1"/>
    <s v="01_08"/>
    <m/>
    <s v="25230/03"/>
    <s v="Envase"/>
    <n v="2544"/>
    <s v="BFBBBS05"/>
    <s v="BODY SPLASH BIO BALM SUNRISE MUSE"/>
    <n v="200"/>
    <s v="ml"/>
    <x v="10"/>
    <x v="1"/>
    <s v="BODY SPLASH"/>
    <x v="1"/>
    <m/>
    <m/>
    <m/>
    <m/>
    <m/>
    <m/>
    <m/>
    <m/>
    <m/>
    <m/>
    <m/>
    <m/>
    <m/>
    <m/>
    <m/>
    <m/>
    <m/>
    <m/>
    <m/>
    <m/>
    <m/>
    <s v=""/>
    <m/>
    <m/>
    <m/>
    <m/>
    <m/>
    <m/>
    <m/>
    <m/>
    <m/>
    <m/>
    <m/>
    <x v="0"/>
    <x v="6"/>
  </r>
  <r>
    <d v="2025-08-19T10:40:00"/>
    <d v="2025-08-19T13:24:00"/>
    <n v="1.7333333333372138"/>
    <n v="1467.6923076890218"/>
    <x v="1"/>
    <s v="01_08"/>
    <m/>
    <s v="25230/04"/>
    <s v="Envase"/>
    <n v="2544"/>
    <s v="BFBBBS06"/>
    <s v="BODY SPLASH BIO BALM V DREAM"/>
    <n v="200"/>
    <s v="ml"/>
    <x v="10"/>
    <x v="1"/>
    <s v="BODY SPLASH"/>
    <x v="1"/>
    <m/>
    <m/>
    <m/>
    <m/>
    <m/>
    <m/>
    <m/>
    <m/>
    <m/>
    <m/>
    <m/>
    <m/>
    <m/>
    <m/>
    <m/>
    <m/>
    <m/>
    <m/>
    <m/>
    <m/>
    <m/>
    <s v=""/>
    <m/>
    <m/>
    <m/>
    <m/>
    <m/>
    <m/>
    <m/>
    <m/>
    <m/>
    <m/>
    <m/>
    <x v="0"/>
    <x v="6"/>
  </r>
  <r>
    <d v="2025-08-19T11:40:00"/>
    <d v="2025-08-19T17:00:00"/>
    <n v="4.3333333334303461"/>
    <n v="574.28571426661267"/>
    <x v="2"/>
    <s v="DAPOP - Pedido 360 mil"/>
    <m/>
    <s v="25231/01"/>
    <s v="Envase"/>
    <n v="2488.5714285443678"/>
    <s v="DPMTHD01"/>
    <s v="HIDRATANTE MATTE DOCE SEDUÇÃO"/>
    <n v="120"/>
    <s v="ml"/>
    <x v="4"/>
    <x v="0"/>
    <s v="CREME HIDRATANTE"/>
    <x v="2"/>
    <m/>
    <m/>
    <m/>
    <m/>
    <m/>
    <m/>
    <m/>
    <m/>
    <m/>
    <m/>
    <m/>
    <m/>
    <m/>
    <m/>
    <m/>
    <m/>
    <m/>
    <m/>
    <m/>
    <m/>
    <m/>
    <s v=""/>
    <m/>
    <m/>
    <m/>
    <m/>
    <m/>
    <m/>
    <m/>
    <m/>
    <m/>
    <m/>
    <m/>
    <x v="0"/>
    <x v="6"/>
  </r>
  <r>
    <d v="2025-08-19T13:24:00"/>
    <d v="2025-08-19T16:14:00"/>
    <n v="2.8333333333139308"/>
    <n v="897.8823529473251"/>
    <x v="1"/>
    <s v="01_08"/>
    <m/>
    <s v="25230/05"/>
    <s v="Envase"/>
    <n v="2544"/>
    <s v="BFBBBS06"/>
    <s v="BODY SPLASH BIO BALM V DREAM"/>
    <n v="200"/>
    <s v="ml"/>
    <x v="10"/>
    <x v="1"/>
    <s v="BODY SPLASH"/>
    <x v="1"/>
    <m/>
    <m/>
    <m/>
    <m/>
    <m/>
    <m/>
    <m/>
    <m/>
    <m/>
    <m/>
    <m/>
    <m/>
    <m/>
    <m/>
    <m/>
    <m/>
    <m/>
    <m/>
    <m/>
    <m/>
    <m/>
    <s v=""/>
    <m/>
    <m/>
    <m/>
    <m/>
    <m/>
    <m/>
    <m/>
    <m/>
    <m/>
    <m/>
    <m/>
    <x v="0"/>
    <x v="6"/>
  </r>
  <r>
    <d v="2025-08-19T16:14:00"/>
    <d v="2025-08-19T17:00:00"/>
    <n v="0.76666666672099382"/>
    <n v="2725.7142854989647"/>
    <x v="1"/>
    <s v="01_08"/>
    <m/>
    <s v="25230/06"/>
    <s v="Envase"/>
    <n v="2089.7142856972864"/>
    <s v="BFBBBS06"/>
    <s v="BODY SPLASH BIO BALM V DREAM"/>
    <n v="200"/>
    <s v="ml"/>
    <x v="10"/>
    <x v="1"/>
    <s v="BODY SPLASH"/>
    <x v="1"/>
    <m/>
    <m/>
    <m/>
    <m/>
    <m/>
    <m/>
    <m/>
    <m/>
    <m/>
    <m/>
    <m/>
    <m/>
    <m/>
    <m/>
    <m/>
    <m/>
    <m/>
    <m/>
    <m/>
    <m/>
    <m/>
    <s v=""/>
    <m/>
    <m/>
    <m/>
    <m/>
    <m/>
    <m/>
    <m/>
    <m/>
    <m/>
    <m/>
    <m/>
    <x v="0"/>
    <x v="6"/>
  </r>
  <r>
    <d v="2025-08-20T07:00:00"/>
    <d v="2025-08-20T09:40:00"/>
    <n v="2.6666666668024845"/>
    <n v="574.28571426661267"/>
    <x v="2"/>
    <s v="DAPOP - Pedido 360 mil"/>
    <m/>
    <s v="25231/01"/>
    <s v="Envase"/>
    <n v="1531.428571455632"/>
    <s v="DPMTHD01"/>
    <s v="HIDRATANTE MATTE DOCE SEDUÇÃO"/>
    <n v="120"/>
    <s v="ml"/>
    <x v="4"/>
    <x v="0"/>
    <s v="CREME HIDRATANTE"/>
    <x v="2"/>
    <m/>
    <m/>
    <m/>
    <m/>
    <m/>
    <m/>
    <m/>
    <m/>
    <m/>
    <m/>
    <m/>
    <m/>
    <m/>
    <m/>
    <m/>
    <m/>
    <m/>
    <m/>
    <m/>
    <m/>
    <m/>
    <s v=""/>
    <m/>
    <m/>
    <m/>
    <m/>
    <m/>
    <m/>
    <m/>
    <m/>
    <m/>
    <m/>
    <m/>
    <x v="0"/>
    <x v="6"/>
  </r>
  <r>
    <d v="2025-08-20T07:00:00"/>
    <d v="2025-08-20T07:10:00"/>
    <n v="0.16666666668606922"/>
    <n v="2725.7142854989647"/>
    <x v="1"/>
    <s v="01_08"/>
    <m/>
    <s v="25230/06"/>
    <s v="Envase"/>
    <n v="454.28571430271325"/>
    <s v="BFBBBS06"/>
    <s v="BODY SPLASH BIO BALM V DREAM"/>
    <n v="200"/>
    <s v="ml"/>
    <x v="10"/>
    <x v="1"/>
    <s v="BODY SPLASH"/>
    <x v="1"/>
    <m/>
    <m/>
    <m/>
    <m/>
    <m/>
    <m/>
    <m/>
    <m/>
    <m/>
    <m/>
    <m/>
    <m/>
    <m/>
    <m/>
    <m/>
    <m/>
    <m/>
    <m/>
    <m/>
    <m/>
    <m/>
    <s v=""/>
    <m/>
    <m/>
    <m/>
    <m/>
    <m/>
    <m/>
    <m/>
    <m/>
    <m/>
    <m/>
    <m/>
    <x v="0"/>
    <x v="6"/>
  </r>
  <r>
    <d v="2025-08-20T07:10:00"/>
    <d v="2025-08-20T09:40:00"/>
    <n v="2.5000000001164153"/>
    <n v="1017.5999999526143"/>
    <x v="1"/>
    <s v="01_08"/>
    <m/>
    <s v="25231/04"/>
    <s v="Envase"/>
    <n v="2544"/>
    <s v="BFBBBS03"/>
    <s v="BODY SPLASH BIO BALM ROSÉ ABSOLUT"/>
    <n v="200"/>
    <s v="ml"/>
    <x v="10"/>
    <x v="1"/>
    <s v="BODY SPLASH"/>
    <x v="1"/>
    <m/>
    <m/>
    <m/>
    <m/>
    <m/>
    <m/>
    <m/>
    <m/>
    <m/>
    <m/>
    <m/>
    <m/>
    <m/>
    <m/>
    <m/>
    <m/>
    <m/>
    <m/>
    <m/>
    <m/>
    <m/>
    <s v=""/>
    <m/>
    <m/>
    <m/>
    <m/>
    <m/>
    <m/>
    <m/>
    <m/>
    <m/>
    <m/>
    <m/>
    <x v="0"/>
    <x v="6"/>
  </r>
  <r>
    <d v="2025-08-20T09:34:00"/>
    <d v="2025-08-20T16:40:00"/>
    <n v="6.1000000000931323"/>
    <n v="659.01639343256136"/>
    <x v="2"/>
    <s v="DAPOP - Pedido 360 mil"/>
    <m/>
    <s v="25231/02"/>
    <s v="Envase"/>
    <n v="4020"/>
    <s v="DPMTHD01"/>
    <s v="HIDRATANTE MATTE DOCE SEDUÇÃO"/>
    <n v="120"/>
    <s v="ml"/>
    <x v="4"/>
    <x v="0"/>
    <s v="CREME HIDRATANTE"/>
    <x v="2"/>
    <m/>
    <m/>
    <m/>
    <m/>
    <m/>
    <m/>
    <m/>
    <m/>
    <m/>
    <m/>
    <m/>
    <m/>
    <m/>
    <m/>
    <m/>
    <m/>
    <m/>
    <m/>
    <m/>
    <m/>
    <m/>
    <s v=""/>
    <m/>
    <m/>
    <m/>
    <m/>
    <m/>
    <m/>
    <m/>
    <m/>
    <m/>
    <m/>
    <m/>
    <x v="0"/>
    <x v="6"/>
  </r>
  <r>
    <d v="2025-08-20T09:40:00"/>
    <d v="2025-08-20T12:11:00"/>
    <n v="2.5166666666627862"/>
    <n v="1010.8609271538766"/>
    <x v="1"/>
    <s v="01_08"/>
    <m/>
    <s v="25231/05"/>
    <s v="Envase"/>
    <n v="2544"/>
    <s v="BFBBBS03"/>
    <s v="BODY SPLASH BIO BALM ROSÉ ABSOLUT"/>
    <n v="200"/>
    <s v="ml"/>
    <x v="10"/>
    <x v="1"/>
    <s v="BODY SPLASH"/>
    <x v="1"/>
    <m/>
    <m/>
    <m/>
    <m/>
    <m/>
    <m/>
    <m/>
    <m/>
    <m/>
    <m/>
    <m/>
    <m/>
    <m/>
    <m/>
    <m/>
    <m/>
    <m/>
    <m/>
    <m/>
    <m/>
    <m/>
    <s v=""/>
    <m/>
    <m/>
    <m/>
    <m/>
    <m/>
    <m/>
    <m/>
    <m/>
    <m/>
    <m/>
    <m/>
    <x v="0"/>
    <x v="6"/>
  </r>
  <r>
    <d v="2025-08-20T12:10:00"/>
    <d v="2025-08-20T15:11:00"/>
    <n v="3.0166666667209938"/>
    <n v="867.18232042637192"/>
    <x v="1"/>
    <s v="01_08"/>
    <m/>
    <s v="25231/06"/>
    <s v="Envase"/>
    <n v="2616"/>
    <s v="BFBBBS03"/>
    <s v="BODY SPLASH BIO BALM ROSÉ ABSOLUT"/>
    <n v="200"/>
    <s v="ml"/>
    <x v="10"/>
    <x v="1"/>
    <s v="BODY SPLASH"/>
    <x v="1"/>
    <m/>
    <m/>
    <m/>
    <m/>
    <m/>
    <m/>
    <m/>
    <m/>
    <m/>
    <m/>
    <m/>
    <m/>
    <m/>
    <m/>
    <m/>
    <m/>
    <m/>
    <m/>
    <m/>
    <m/>
    <m/>
    <s v=""/>
    <m/>
    <m/>
    <m/>
    <m/>
    <m/>
    <m/>
    <m/>
    <m/>
    <m/>
    <m/>
    <m/>
    <x v="0"/>
    <x v="6"/>
  </r>
  <r>
    <d v="2025-08-20T13:32:00"/>
    <d v="2025-08-20T15:15:00"/>
    <n v="1.7166666666744277"/>
    <n v="1481.9417475661157"/>
    <x v="1"/>
    <s v="01_06"/>
    <m/>
    <s v="25232/01"/>
    <s v="Envase"/>
    <n v="2544"/>
    <s v="MRARBS01"/>
    <s v="BODY SPLASH AURORA IMPERIAL"/>
    <n v="220"/>
    <s v="ml"/>
    <x v="0"/>
    <x v="1"/>
    <s v="BODY SPLASH"/>
    <x v="1"/>
    <m/>
    <m/>
    <m/>
    <m/>
    <m/>
    <m/>
    <m/>
    <m/>
    <m/>
    <m/>
    <m/>
    <m/>
    <m/>
    <m/>
    <m/>
    <m/>
    <m/>
    <m/>
    <m/>
    <m/>
    <m/>
    <s v=""/>
    <m/>
    <m/>
    <m/>
    <m/>
    <m/>
    <m/>
    <m/>
    <m/>
    <m/>
    <m/>
    <m/>
    <x v="0"/>
    <x v="6"/>
  </r>
  <r>
    <d v="2025-08-20T15:15:00"/>
    <d v="2025-08-21T08:00:00"/>
    <n v="2.7500000002328306"/>
    <n v="925.0909090125856"/>
    <x v="1"/>
    <s v="01_06"/>
    <m/>
    <s v="25232/02"/>
    <s v="Envase"/>
    <n v="2544"/>
    <s v="MRARBS01"/>
    <s v="BODY SPLASH AURORA IMPERIAL"/>
    <n v="220"/>
    <s v="ml"/>
    <x v="0"/>
    <x v="1"/>
    <s v="BODY SPLASH"/>
    <x v="1"/>
    <m/>
    <m/>
    <m/>
    <m/>
    <m/>
    <m/>
    <m/>
    <m/>
    <m/>
    <m/>
    <m/>
    <m/>
    <m/>
    <m/>
    <m/>
    <m/>
    <m/>
    <m/>
    <m/>
    <m/>
    <m/>
    <s v=""/>
    <m/>
    <m/>
    <m/>
    <m/>
    <m/>
    <m/>
    <m/>
    <m/>
    <m/>
    <m/>
    <m/>
    <x v="0"/>
    <x v="6"/>
  </r>
  <r>
    <d v="2025-08-20T16:40:00"/>
    <d v="2025-08-20T17:00:00"/>
    <n v="0.33333333337213844"/>
    <n v="634.73684208970667"/>
    <x v="2"/>
    <s v="DAPOP - Pedido 360 mil"/>
    <m/>
    <s v="25231/03"/>
    <s v="Envase"/>
    <n v="211.57894738786658"/>
    <s v="DPMTHD01"/>
    <s v="HIDRATANTE MATTE DOCE SEDUÇÃO"/>
    <n v="120"/>
    <s v="ml"/>
    <x v="4"/>
    <x v="0"/>
    <s v="CREME HIDRATANTE"/>
    <x v="2"/>
    <m/>
    <m/>
    <m/>
    <m/>
    <m/>
    <m/>
    <m/>
    <m/>
    <m/>
    <m/>
    <m/>
    <m/>
    <m/>
    <m/>
    <m/>
    <m/>
    <m/>
    <m/>
    <m/>
    <m/>
    <m/>
    <s v=""/>
    <m/>
    <m/>
    <m/>
    <m/>
    <m/>
    <m/>
    <m/>
    <m/>
    <m/>
    <m/>
    <m/>
    <x v="0"/>
    <x v="6"/>
  </r>
  <r>
    <d v="2025-08-21T07:00:00"/>
    <d v="2025-08-21T14:00:00"/>
    <n v="6.0000000001164153"/>
    <n v="634.73684208970622"/>
    <x v="2"/>
    <s v="DAPOP - Pedido 360 mil"/>
    <m/>
    <s v="25231/03"/>
    <s v="Envase"/>
    <n v="3808.4210526121301"/>
    <s v="DPMTHD01"/>
    <s v="HIDRATANTE MATTE DOCE SEDUÇÃO"/>
    <n v="120"/>
    <s v="ml"/>
    <x v="4"/>
    <x v="0"/>
    <s v="CREME HIDRATANTE"/>
    <x v="2"/>
    <m/>
    <m/>
    <m/>
    <m/>
    <m/>
    <m/>
    <m/>
    <m/>
    <m/>
    <m/>
    <m/>
    <m/>
    <m/>
    <m/>
    <m/>
    <m/>
    <m/>
    <m/>
    <m/>
    <m/>
    <m/>
    <s v=""/>
    <m/>
    <m/>
    <m/>
    <m/>
    <m/>
    <m/>
    <m/>
    <m/>
    <m/>
    <m/>
    <m/>
    <x v="0"/>
    <x v="6"/>
  </r>
  <r>
    <d v="2025-08-21T08:00:00"/>
    <d v="2025-08-21T10:05:00"/>
    <n v="2.0833333333139308"/>
    <n v="1221.1200000113727"/>
    <x v="1"/>
    <s v="01_06"/>
    <m/>
    <s v="25232/03"/>
    <s v="Envase"/>
    <n v="2544"/>
    <s v="MRARBS01"/>
    <s v="BODY SPLASH AURORA IMPERIAL"/>
    <n v="220"/>
    <s v="ml"/>
    <x v="0"/>
    <x v="1"/>
    <s v="BODY SPLASH"/>
    <x v="1"/>
    <m/>
    <m/>
    <m/>
    <m/>
    <m/>
    <m/>
    <m/>
    <m/>
    <m/>
    <m/>
    <m/>
    <m/>
    <m/>
    <m/>
    <m/>
    <m/>
    <m/>
    <m/>
    <m/>
    <m/>
    <m/>
    <s v=""/>
    <m/>
    <m/>
    <m/>
    <m/>
    <m/>
    <m/>
    <m/>
    <m/>
    <m/>
    <m/>
    <m/>
    <x v="0"/>
    <x v="6"/>
  </r>
  <r>
    <d v="2025-08-21T10:05:00"/>
    <d v="2025-08-21T13:30:00"/>
    <n v="2.4166666666278616"/>
    <n v="1052.6896551893171"/>
    <x v="1"/>
    <s v="01_06"/>
    <m/>
    <s v="25232/04"/>
    <s v="Envase"/>
    <n v="2544"/>
    <s v="MRARBS01"/>
    <s v="BODY SPLASH AURORA IMPERIAL"/>
    <n v="220"/>
    <s v="ml"/>
    <x v="0"/>
    <x v="1"/>
    <s v="BODY SPLASH"/>
    <x v="1"/>
    <m/>
    <m/>
    <m/>
    <m/>
    <m/>
    <m/>
    <m/>
    <m/>
    <m/>
    <m/>
    <m/>
    <m/>
    <m/>
    <m/>
    <m/>
    <m/>
    <m/>
    <m/>
    <m/>
    <m/>
    <m/>
    <s v=""/>
    <m/>
    <m/>
    <m/>
    <m/>
    <m/>
    <m/>
    <m/>
    <m/>
    <m/>
    <m/>
    <m/>
    <x v="0"/>
    <x v="6"/>
  </r>
  <r>
    <d v="2025-08-21T13:30:00"/>
    <d v="2025-08-22T09:43:00"/>
    <n v="6.2166666668490507"/>
    <n v="409.22252009523288"/>
    <x v="1"/>
    <s v="01_06"/>
    <m/>
    <s v="25233/01"/>
    <s v="Envase"/>
    <n v="2544"/>
    <s v="MRARBS01"/>
    <s v="BODY SPLASH AURORA IMPERIAL"/>
    <n v="220"/>
    <s v="ml"/>
    <x v="0"/>
    <x v="1"/>
    <s v="BODY SPLASH"/>
    <x v="1"/>
    <m/>
    <m/>
    <m/>
    <m/>
    <m/>
    <m/>
    <m/>
    <m/>
    <m/>
    <m/>
    <m/>
    <m/>
    <m/>
    <m/>
    <m/>
    <m/>
    <m/>
    <m/>
    <m/>
    <m/>
    <m/>
    <s v=""/>
    <m/>
    <m/>
    <m/>
    <m/>
    <m/>
    <m/>
    <m/>
    <m/>
    <m/>
    <m/>
    <m/>
    <x v="0"/>
    <x v="6"/>
  </r>
  <r>
    <d v="2025-08-21T15:10:00"/>
    <d v="2025-08-22T12:00:00"/>
    <n v="6.8333333334303461"/>
    <n v="737.56097559928492"/>
    <x v="2"/>
    <s v="DAPOP - Pedido 360 mil"/>
    <m/>
    <s v="25233/03"/>
    <s v="Envase"/>
    <n v="5040"/>
    <s v="DPGLHD03"/>
    <s v="HIDRATANTE GLOW NOITE DE GLAMOUR"/>
    <n v="120"/>
    <s v="ml"/>
    <x v="4"/>
    <x v="0"/>
    <s v="CREME HIDRATANTE"/>
    <x v="2"/>
    <m/>
    <m/>
    <m/>
    <m/>
    <m/>
    <m/>
    <m/>
    <m/>
    <m/>
    <m/>
    <m/>
    <m/>
    <m/>
    <m/>
    <m/>
    <m/>
    <m/>
    <m/>
    <m/>
    <m/>
    <m/>
    <s v=""/>
    <m/>
    <m/>
    <m/>
    <m/>
    <m/>
    <m/>
    <m/>
    <m/>
    <m/>
    <m/>
    <m/>
    <x v="0"/>
    <x v="6"/>
  </r>
  <r>
    <d v="2025-08-22T09:40:00"/>
    <d v="2025-08-22T13:20:00"/>
    <n v="2.6666666665696539"/>
    <n v="954.00000003470632"/>
    <x v="1"/>
    <s v="01_06"/>
    <m/>
    <s v="25233/02"/>
    <s v="Envase"/>
    <n v="2544"/>
    <s v="MRARBS01"/>
    <s v="BODY SPLASH AURORA IMPERIAL"/>
    <n v="220"/>
    <s v="ml"/>
    <x v="0"/>
    <x v="1"/>
    <s v="BODY SPLASH"/>
    <x v="1"/>
    <m/>
    <m/>
    <m/>
    <m/>
    <m/>
    <m/>
    <m/>
    <m/>
    <m/>
    <m/>
    <m/>
    <m/>
    <m/>
    <m/>
    <m/>
    <m/>
    <m/>
    <m/>
    <m/>
    <m/>
    <m/>
    <s v=""/>
    <m/>
    <m/>
    <m/>
    <m/>
    <m/>
    <m/>
    <m/>
    <m/>
    <m/>
    <m/>
    <m/>
    <x v="0"/>
    <x v="6"/>
  </r>
  <r>
    <d v="2025-08-22T12:00:00"/>
    <d v="2025-08-23T15:00:00"/>
    <n v="11"/>
    <n v="458.18181818181819"/>
    <x v="2"/>
    <s v="DAPOP - Pedido 360 mil"/>
    <m/>
    <s v="25233/04"/>
    <s v="Envase"/>
    <n v="5040"/>
    <s v="DPGLHD03"/>
    <s v="HIDRATANTE GLOW NOITE DE GLAMOUR"/>
    <n v="120"/>
    <s v="ml"/>
    <x v="4"/>
    <x v="0"/>
    <s v="CREME HIDRATANTE"/>
    <x v="2"/>
    <m/>
    <m/>
    <m/>
    <m/>
    <m/>
    <m/>
    <m/>
    <m/>
    <m/>
    <m/>
    <m/>
    <m/>
    <m/>
    <m/>
    <m/>
    <m/>
    <m/>
    <m/>
    <m/>
    <m/>
    <m/>
    <s v=""/>
    <m/>
    <m/>
    <m/>
    <m/>
    <m/>
    <m/>
    <m/>
    <m/>
    <m/>
    <m/>
    <m/>
    <x v="0"/>
    <x v="6"/>
  </r>
  <r>
    <d v="2025-08-22T13:20:00"/>
    <d v="2025-08-25T07:11:00"/>
    <n v="2.8500000000349246"/>
    <n v="909.47368419938141"/>
    <x v="1"/>
    <s v="01_06"/>
    <m/>
    <s v="25234/01"/>
    <s v="Envase"/>
    <n v="2592"/>
    <s v="MRARBS01"/>
    <s v="BODY SPLASH AURORA IMPERIAL"/>
    <n v="220"/>
    <s v="ml"/>
    <x v="0"/>
    <x v="1"/>
    <s v="BODY SPLASH"/>
    <x v="1"/>
    <m/>
    <m/>
    <m/>
    <m/>
    <m/>
    <m/>
    <m/>
    <m/>
    <m/>
    <m/>
    <m/>
    <m/>
    <m/>
    <m/>
    <m/>
    <m/>
    <m/>
    <m/>
    <m/>
    <m/>
    <m/>
    <s v=""/>
    <m/>
    <m/>
    <m/>
    <m/>
    <m/>
    <m/>
    <m/>
    <m/>
    <m/>
    <m/>
    <m/>
    <x v="0"/>
    <x v="6"/>
  </r>
  <r>
    <d v="2025-08-24T09:34:00"/>
    <d v="2025-09-01T09:00:00"/>
    <n v="46.000000000523869"/>
    <n v="21.739130434535035"/>
    <x v="2"/>
    <s v="03_07"/>
    <m/>
    <s v="25241/05"/>
    <s v="Envase"/>
    <n v="1000"/>
    <s v="IBCHGC03"/>
    <s v="GELATINA CAPILAR CHEIRINHO DE TUTTI-FRUTTI"/>
    <n v="500"/>
    <s v="ml"/>
    <x v="11"/>
    <x v="5"/>
    <s v="GEL"/>
    <x v="2"/>
    <m/>
    <m/>
    <m/>
    <m/>
    <m/>
    <m/>
    <m/>
    <m/>
    <m/>
    <m/>
    <m/>
    <m/>
    <m/>
    <m/>
    <m/>
    <m/>
    <m/>
    <m/>
    <m/>
    <m/>
    <m/>
    <s v=""/>
    <m/>
    <m/>
    <m/>
    <m/>
    <m/>
    <m/>
    <m/>
    <m/>
    <m/>
    <m/>
    <m/>
    <x v="0"/>
    <x v="6"/>
  </r>
  <r>
    <d v="2025-08-25T07:11:00"/>
    <d v="2025-08-25T10:10:00"/>
    <n v="2.9833333332790062"/>
    <n v="901.00558660858633"/>
    <x v="1"/>
    <s v="01_06"/>
    <m/>
    <s v="25234/02"/>
    <s v="Envase"/>
    <n v="2688"/>
    <s v="MRARBS01"/>
    <s v="BODY SPLASH AURORA IMPERIAL"/>
    <n v="220"/>
    <s v="ml"/>
    <x v="0"/>
    <x v="1"/>
    <s v="BODY SPLASH"/>
    <x v="1"/>
    <m/>
    <m/>
    <m/>
    <m/>
    <m/>
    <m/>
    <m/>
    <m/>
    <m/>
    <m/>
    <m/>
    <m/>
    <m/>
    <m/>
    <m/>
    <m/>
    <m/>
    <m/>
    <m/>
    <m/>
    <m/>
    <s v=""/>
    <m/>
    <m/>
    <m/>
    <m/>
    <m/>
    <m/>
    <m/>
    <m/>
    <m/>
    <m/>
    <m/>
    <x v="0"/>
    <x v="6"/>
  </r>
  <r>
    <d v="2025-08-25T12:17:00"/>
    <d v="2025-08-25T14:20:00"/>
    <n v="2.0499999998719431"/>
    <n v="1240.9756098336172"/>
    <x v="1"/>
    <s v="01_06"/>
    <m/>
    <s v="25237/01"/>
    <s v="Envase"/>
    <n v="2544"/>
    <s v="MRARBS03"/>
    <s v="BODY SPLASH ECLIPSE DOURADO"/>
    <n v="220"/>
    <s v="ml"/>
    <x v="0"/>
    <x v="1"/>
    <s v="BODY SPLASH"/>
    <x v="1"/>
    <m/>
    <m/>
    <m/>
    <m/>
    <m/>
    <m/>
    <m/>
    <m/>
    <m/>
    <m/>
    <m/>
    <m/>
    <m/>
    <m/>
    <m/>
    <m/>
    <m/>
    <m/>
    <m/>
    <m/>
    <m/>
    <s v=""/>
    <m/>
    <m/>
    <m/>
    <m/>
    <m/>
    <m/>
    <m/>
    <m/>
    <m/>
    <m/>
    <m/>
    <x v="0"/>
    <x v="6"/>
  </r>
  <r>
    <d v="2025-08-25T14:20:00"/>
    <d v="2025-08-25T16:30:00"/>
    <n v="2.1666666667442769"/>
    <n v="1174.1538461117877"/>
    <x v="1"/>
    <s v="01_06"/>
    <m/>
    <s v="25237/02"/>
    <s v="Envase"/>
    <n v="2544"/>
    <s v="MRARBS03"/>
    <s v="BODY SPLASH ECLIPSE DOURADO"/>
    <n v="220"/>
    <s v="ml"/>
    <x v="0"/>
    <x v="1"/>
    <s v="BODY SPLASH"/>
    <x v="1"/>
    <m/>
    <m/>
    <m/>
    <m/>
    <m/>
    <m/>
    <m/>
    <m/>
    <m/>
    <m/>
    <m/>
    <m/>
    <m/>
    <m/>
    <m/>
    <m/>
    <m/>
    <m/>
    <m/>
    <m/>
    <m/>
    <s v=""/>
    <m/>
    <m/>
    <m/>
    <m/>
    <m/>
    <m/>
    <m/>
    <m/>
    <m/>
    <m/>
    <m/>
    <x v="0"/>
    <x v="6"/>
  </r>
  <r>
    <d v="2025-08-25T15:00:00"/>
    <d v="2025-08-26T13:44:00"/>
    <n v="7.7333333335118368"/>
    <n v="651.72413791599115"/>
    <x v="2"/>
    <s v="DAPOP - Pedido 360 mil"/>
    <m/>
    <s v="25233/05"/>
    <s v="Envase"/>
    <n v="5040"/>
    <s v="DPGLHD03"/>
    <s v="HIDRATANTE GLOW NOITE DE GLAMOUR"/>
    <n v="120"/>
    <s v="ml"/>
    <x v="4"/>
    <x v="0"/>
    <s v="CREME HIDRATANTE"/>
    <x v="2"/>
    <m/>
    <m/>
    <m/>
    <m/>
    <m/>
    <m/>
    <m/>
    <m/>
    <m/>
    <m/>
    <m/>
    <m/>
    <m/>
    <m/>
    <m/>
    <m/>
    <m/>
    <m/>
    <m/>
    <m/>
    <m/>
    <s v=""/>
    <m/>
    <m/>
    <m/>
    <m/>
    <m/>
    <m/>
    <m/>
    <m/>
    <m/>
    <m/>
    <m/>
    <x v="0"/>
    <x v="6"/>
  </r>
  <r>
    <d v="2025-08-25T16:30:00"/>
    <d v="2025-08-26T09:00:00"/>
    <n v="2.5000000001164153"/>
    <n v="1017.5999999526143"/>
    <x v="1"/>
    <s v="01_06"/>
    <m/>
    <s v="25237/03"/>
    <s v="Envase"/>
    <n v="2544"/>
    <s v="MRARBS03"/>
    <s v="BODY SPLASH ECLIPSE DOURADO"/>
    <n v="220"/>
    <s v="ml"/>
    <x v="0"/>
    <x v="1"/>
    <s v="BODY SPLASH"/>
    <x v="1"/>
    <m/>
    <m/>
    <m/>
    <m/>
    <m/>
    <m/>
    <m/>
    <m/>
    <m/>
    <m/>
    <m/>
    <m/>
    <m/>
    <m/>
    <m/>
    <m/>
    <m/>
    <m/>
    <m/>
    <m/>
    <m/>
    <s v=""/>
    <m/>
    <m/>
    <m/>
    <m/>
    <m/>
    <m/>
    <m/>
    <m/>
    <m/>
    <m/>
    <m/>
    <x v="0"/>
    <x v="6"/>
  </r>
  <r>
    <d v="2025-08-26T09:00:00"/>
    <d v="2025-08-26T16:46:00"/>
    <n v="6.7666666666627862"/>
    <n v="375.96059113322053"/>
    <x v="1"/>
    <s v="01_06"/>
    <m/>
    <s v="25237/04"/>
    <s v="Envase"/>
    <n v="2544"/>
    <s v="MRARBS03"/>
    <s v="BODY SPLASH ECLIPSE DOURADO"/>
    <n v="220"/>
    <s v="ml"/>
    <x v="0"/>
    <x v="1"/>
    <s v="BODY SPLASH"/>
    <x v="1"/>
    <m/>
    <m/>
    <m/>
    <m/>
    <m/>
    <m/>
    <m/>
    <m/>
    <m/>
    <m/>
    <m/>
    <m/>
    <m/>
    <m/>
    <m/>
    <m/>
    <m/>
    <m/>
    <m/>
    <m/>
    <m/>
    <s v=""/>
    <m/>
    <m/>
    <m/>
    <m/>
    <m/>
    <m/>
    <m/>
    <m/>
    <m/>
    <m/>
    <m/>
    <x v="0"/>
    <x v="6"/>
  </r>
  <r>
    <d v="2025-08-26T13:44:00"/>
    <d v="2025-08-27T11:50:00"/>
    <n v="8.1000000000349246"/>
    <n v="622.22222221953939"/>
    <x v="2"/>
    <s v="DAPOP - Pedido 360 mil"/>
    <m/>
    <s v="25233/06"/>
    <s v="Envase"/>
    <n v="5040"/>
    <s v="DPGLHD03"/>
    <s v="HIDRATANTE GLOW NOITE DE GLAMOUR"/>
    <n v="120"/>
    <s v="ml"/>
    <x v="4"/>
    <x v="0"/>
    <s v="CREME HIDRATANTE"/>
    <x v="2"/>
    <m/>
    <m/>
    <m/>
    <m/>
    <m/>
    <m/>
    <m/>
    <m/>
    <m/>
    <m/>
    <m/>
    <m/>
    <m/>
    <m/>
    <m/>
    <m/>
    <m/>
    <m/>
    <m/>
    <m/>
    <m/>
    <s v=""/>
    <m/>
    <m/>
    <m/>
    <m/>
    <m/>
    <m/>
    <m/>
    <m/>
    <m/>
    <m/>
    <m/>
    <x v="0"/>
    <x v="6"/>
  </r>
  <r>
    <d v="2025-08-26T16:46:00"/>
    <d v="2025-08-27T08:10:00"/>
    <n v="1.400000000197906"/>
    <n v="1817.1428568859831"/>
    <x v="1"/>
    <s v="01_06"/>
    <m/>
    <s v="25237/05"/>
    <s v="Envase"/>
    <n v="2544"/>
    <s v="MRARBS03"/>
    <s v="BODY SPLASH ECLIPSE DOURADO"/>
    <n v="220"/>
    <s v="ml"/>
    <x v="0"/>
    <x v="1"/>
    <s v="BODY SPLASH"/>
    <x v="1"/>
    <m/>
    <m/>
    <m/>
    <m/>
    <m/>
    <m/>
    <m/>
    <m/>
    <m/>
    <m/>
    <m/>
    <m/>
    <m/>
    <m/>
    <m/>
    <m/>
    <m/>
    <m/>
    <m/>
    <m/>
    <m/>
    <s v=""/>
    <m/>
    <m/>
    <m/>
    <m/>
    <m/>
    <m/>
    <m/>
    <m/>
    <m/>
    <m/>
    <m/>
    <x v="0"/>
    <x v="6"/>
  </r>
  <r>
    <d v="2025-08-27T08:10:00"/>
    <d v="2025-08-27T11:50:00"/>
    <n v="3.6666666665696539"/>
    <n v="733.09090911030523"/>
    <x v="1"/>
    <s v="01_06"/>
    <m/>
    <s v="25237/06"/>
    <s v="Envase"/>
    <n v="2688"/>
    <s v="MRARBS03"/>
    <s v="BODY SPLASH ECLIPSE DOURADO"/>
    <n v="220"/>
    <s v="ml"/>
    <x v="0"/>
    <x v="1"/>
    <s v="BODY SPLASH"/>
    <x v="1"/>
    <m/>
    <m/>
    <m/>
    <m/>
    <m/>
    <m/>
    <m/>
    <m/>
    <m/>
    <m/>
    <m/>
    <m/>
    <m/>
    <m/>
    <m/>
    <m/>
    <m/>
    <m/>
    <m/>
    <m/>
    <m/>
    <s v=""/>
    <m/>
    <m/>
    <m/>
    <m/>
    <m/>
    <m/>
    <m/>
    <m/>
    <m/>
    <m/>
    <m/>
    <x v="0"/>
    <x v="6"/>
  </r>
  <r>
    <d v="2025-08-27T11:08:00"/>
    <d v="2025-08-27T14:30:00"/>
    <n v="2.3666666666395031"/>
    <n v="709.85915493772495"/>
    <x v="1"/>
    <s v="GLOW - Água Micelar"/>
    <m/>
    <s v="25238/03"/>
    <s v="Envase"/>
    <n v="1680"/>
    <s v="GLMKAM02"/>
    <s v="ÁGUA MICELAR ÁCIDO HIAULURÔNICO"/>
    <n v="325"/>
    <s v="ml"/>
    <x v="9"/>
    <x v="4"/>
    <s v="ÁGUA MICELAR"/>
    <x v="1"/>
    <m/>
    <m/>
    <m/>
    <m/>
    <m/>
    <m/>
    <m/>
    <m/>
    <m/>
    <m/>
    <m/>
    <m/>
    <m/>
    <m/>
    <m/>
    <m/>
    <m/>
    <m/>
    <m/>
    <m/>
    <m/>
    <s v=""/>
    <m/>
    <m/>
    <m/>
    <m/>
    <m/>
    <m/>
    <m/>
    <m/>
    <m/>
    <m/>
    <m/>
    <x v="0"/>
    <x v="6"/>
  </r>
  <r>
    <d v="2025-08-27T11:50:00"/>
    <d v="2025-08-28T07:40:00"/>
    <n v="4.8333333334885538"/>
    <n v="863.58620686881807"/>
    <x v="2"/>
    <s v="DAPOP - Pedido 360 mil"/>
    <m/>
    <s v="25238/01"/>
    <s v="Envase"/>
    <n v="4174"/>
    <s v="DPGLHD01"/>
    <s v="HIDRATANTE GLOW PAIXÃO IRRESISTÍVEL"/>
    <n v="120"/>
    <s v="ml"/>
    <x v="4"/>
    <x v="0"/>
    <s v="CREME HIDRATANTE"/>
    <x v="2"/>
    <m/>
    <m/>
    <m/>
    <m/>
    <m/>
    <m/>
    <m/>
    <m/>
    <m/>
    <m/>
    <m/>
    <m/>
    <m/>
    <m/>
    <m/>
    <m/>
    <m/>
    <m/>
    <m/>
    <m/>
    <m/>
    <s v=""/>
    <m/>
    <m/>
    <m/>
    <m/>
    <m/>
    <m/>
    <m/>
    <m/>
    <m/>
    <m/>
    <m/>
    <x v="0"/>
    <x v="6"/>
  </r>
  <r>
    <d v="2025-08-27T14:30:00"/>
    <d v="2025-08-27T16:38:00"/>
    <n v="2.1333333334769122"/>
    <n v="787.4999999469992"/>
    <x v="1"/>
    <s v="GLOW - Água Micelar"/>
    <m/>
    <s v="25238/04"/>
    <s v="Envase"/>
    <n v="1680"/>
    <s v="GLMKAM02"/>
    <s v="ÁGUA MICELAR ÁCIDO HIAULURÔNICO"/>
    <n v="325"/>
    <s v="ml"/>
    <x v="9"/>
    <x v="4"/>
    <s v="ÁGUA MICELAR"/>
    <x v="1"/>
    <m/>
    <m/>
    <m/>
    <m/>
    <m/>
    <m/>
    <m/>
    <m/>
    <m/>
    <m/>
    <m/>
    <m/>
    <m/>
    <m/>
    <m/>
    <m/>
    <m/>
    <m/>
    <m/>
    <m/>
    <m/>
    <s v=""/>
    <m/>
    <m/>
    <m/>
    <m/>
    <m/>
    <m/>
    <m/>
    <m/>
    <m/>
    <m/>
    <m/>
    <x v="0"/>
    <x v="6"/>
  </r>
  <r>
    <d v="2025-08-27T16:39:00"/>
    <d v="2025-08-28T08:40:00"/>
    <n v="2.0166666667792015"/>
    <n v="833.05785119318284"/>
    <x v="1"/>
    <s v="GLOW - Água Micelar"/>
    <m/>
    <s v="25238/05"/>
    <s v="Envase"/>
    <n v="1680"/>
    <s v="GLMKAM02"/>
    <s v="ÁGUA MICELAR ÁCIDO HIAULURÔNICO"/>
    <n v="325"/>
    <s v="ml"/>
    <x v="9"/>
    <x v="4"/>
    <s v="ÁGUA MICELAR"/>
    <x v="1"/>
    <m/>
    <m/>
    <m/>
    <m/>
    <m/>
    <m/>
    <m/>
    <m/>
    <m/>
    <m/>
    <m/>
    <m/>
    <m/>
    <m/>
    <m/>
    <m/>
    <m/>
    <m/>
    <m/>
    <m/>
    <m/>
    <s v=""/>
    <m/>
    <m/>
    <m/>
    <m/>
    <m/>
    <m/>
    <m/>
    <m/>
    <m/>
    <m/>
    <m/>
    <x v="0"/>
    <x v="6"/>
  </r>
  <r>
    <d v="2025-08-28T07:40:00"/>
    <d v="2025-08-28T13:15:00"/>
    <n v="4.5833333333721384"/>
    <n v="877.0909090834831"/>
    <x v="2"/>
    <s v="DAPOP - Pedido 360 mil"/>
    <m/>
    <s v="25238/02"/>
    <s v="Envase"/>
    <n v="4020"/>
    <s v="DPGLHD02"/>
    <s v="HIDRATANTE GLOW TAÇA DE CHAMPAGNE"/>
    <n v="120"/>
    <s v="ml"/>
    <x v="4"/>
    <x v="0"/>
    <s v="CREME HIDRATANTE"/>
    <x v="2"/>
    <m/>
    <m/>
    <m/>
    <m/>
    <m/>
    <m/>
    <m/>
    <m/>
    <m/>
    <m/>
    <m/>
    <m/>
    <m/>
    <m/>
    <m/>
    <m/>
    <m/>
    <m/>
    <m/>
    <m/>
    <m/>
    <s v=""/>
    <m/>
    <m/>
    <m/>
    <m/>
    <m/>
    <m/>
    <m/>
    <m/>
    <m/>
    <m/>
    <m/>
    <x v="0"/>
    <x v="6"/>
  </r>
  <r>
    <d v="2025-08-28T08:40:00"/>
    <d v="2025-08-28T11:10:00"/>
    <n v="2.5000000001164153"/>
    <n v="671.99999996870758"/>
    <x v="1"/>
    <s v="GLOW - Água Micelar"/>
    <m/>
    <s v="25239/01"/>
    <s v="Envase"/>
    <n v="1680"/>
    <s v="GLMKAM01"/>
    <s v="ÁGUA MICELAR 3 EM 1"/>
    <n v="325"/>
    <s v="ml"/>
    <x v="9"/>
    <x v="4"/>
    <s v="ÁGUA MICELAR"/>
    <x v="1"/>
    <m/>
    <m/>
    <m/>
    <m/>
    <m/>
    <m/>
    <m/>
    <m/>
    <m/>
    <m/>
    <m/>
    <m/>
    <m/>
    <m/>
    <m/>
    <m/>
    <m/>
    <m/>
    <m/>
    <m/>
    <m/>
    <s v=""/>
    <m/>
    <m/>
    <m/>
    <m/>
    <m/>
    <m/>
    <m/>
    <m/>
    <m/>
    <m/>
    <m/>
    <x v="0"/>
    <x v="6"/>
  </r>
  <r>
    <d v="2025-08-28T11:10:00"/>
    <d v="2025-08-28T15:10:00"/>
    <n v="2.9999999999417923"/>
    <n v="560.00000001086539"/>
    <x v="1"/>
    <s v="GLOW - Água Micelar"/>
    <m/>
    <s v="25239/02"/>
    <s v="Envase"/>
    <n v="1680"/>
    <s v="GLMKAM01"/>
    <s v="ÁGUA MICELAR 3 EM 1"/>
    <n v="325"/>
    <s v="ml"/>
    <x v="9"/>
    <x v="4"/>
    <s v="ÁGUA MICELAR"/>
    <x v="1"/>
    <m/>
    <m/>
    <m/>
    <m/>
    <m/>
    <m/>
    <m/>
    <m/>
    <m/>
    <m/>
    <m/>
    <m/>
    <m/>
    <m/>
    <m/>
    <m/>
    <m/>
    <m/>
    <m/>
    <m/>
    <m/>
    <s v=""/>
    <m/>
    <m/>
    <m/>
    <m/>
    <m/>
    <m/>
    <m/>
    <m/>
    <m/>
    <m/>
    <m/>
    <x v="0"/>
    <x v="6"/>
  </r>
  <r>
    <d v="2025-08-28T13:05:00"/>
    <d v="2025-08-28T16:05:00"/>
    <n v="3"/>
    <n v="560"/>
    <x v="1"/>
    <s v="GLOW - Água Micelar"/>
    <m/>
    <s v="25239/03"/>
    <s v="Envase"/>
    <n v="1680"/>
    <s v="GLMKAM01"/>
    <s v="ÁGUA MICELAR 3 EM 1"/>
    <n v="325"/>
    <s v="ml"/>
    <x v="9"/>
    <x v="4"/>
    <s v="ÁGUA MICELAR"/>
    <x v="1"/>
    <m/>
    <m/>
    <m/>
    <m/>
    <m/>
    <m/>
    <m/>
    <m/>
    <m/>
    <m/>
    <m/>
    <m/>
    <m/>
    <m/>
    <m/>
    <m/>
    <m/>
    <m/>
    <m/>
    <m/>
    <m/>
    <s v=""/>
    <m/>
    <m/>
    <m/>
    <m/>
    <m/>
    <m/>
    <m/>
    <m/>
    <m/>
    <m/>
    <m/>
    <x v="0"/>
    <x v="6"/>
  </r>
  <r>
    <d v="2025-08-28T14:20:00"/>
    <d v="2025-08-28T17:00:00"/>
    <n v="2.6666666668024845"/>
    <n v="374.99999998090061"/>
    <x v="2"/>
    <s v="03_07"/>
    <m/>
    <s v="25240/01"/>
    <s v="Envase"/>
    <n v="1000"/>
    <s v="IBCHGC02"/>
    <s v="GELATINA CAPILAR CHEIRINHO DE PISTACHE"/>
    <n v="500"/>
    <s v="ml"/>
    <x v="11"/>
    <x v="5"/>
    <s v="GEL"/>
    <x v="2"/>
    <m/>
    <m/>
    <m/>
    <m/>
    <m/>
    <m/>
    <m/>
    <m/>
    <m/>
    <m/>
    <m/>
    <m/>
    <m/>
    <m/>
    <m/>
    <m/>
    <m/>
    <m/>
    <m/>
    <m/>
    <m/>
    <s v=""/>
    <m/>
    <m/>
    <m/>
    <m/>
    <m/>
    <m/>
    <m/>
    <m/>
    <m/>
    <m/>
    <m/>
    <x v="0"/>
    <x v="6"/>
  </r>
  <r>
    <d v="2025-08-28T17:10:00"/>
    <d v="2025-08-28T19:10:00"/>
    <n v="1.9999999998835847"/>
    <n v="840.00000004889444"/>
    <x v="1"/>
    <s v="GLOW - Água Micelar"/>
    <m/>
    <s v="25239/05"/>
    <s v="Envase"/>
    <n v="1680"/>
    <s v="GLMKAM06"/>
    <s v="ÁGUA MICELAR BABA GLOW"/>
    <n v="325"/>
    <s v="ml"/>
    <x v="9"/>
    <x v="4"/>
    <s v="ÁGUA MICELAR"/>
    <x v="1"/>
    <m/>
    <m/>
    <m/>
    <m/>
    <m/>
    <m/>
    <m/>
    <m/>
    <m/>
    <m/>
    <m/>
    <m/>
    <m/>
    <m/>
    <m/>
    <m/>
    <m/>
    <m/>
    <m/>
    <m/>
    <m/>
    <s v=""/>
    <m/>
    <m/>
    <m/>
    <m/>
    <m/>
    <m/>
    <m/>
    <m/>
    <m/>
    <m/>
    <m/>
    <x v="0"/>
    <x v="6"/>
  </r>
  <r>
    <d v="2025-08-28T19:10:00"/>
    <d v="2025-08-28T21:50:00"/>
    <n v="2.6666666666278616"/>
    <n v="432.00000000628643"/>
    <x v="1"/>
    <s v="GLOW - Água Micelar"/>
    <m/>
    <s v="25239/06"/>
    <s v="Envase"/>
    <n v="1152"/>
    <s v="GLMKAM06"/>
    <s v="ÁGUA MICELAR BABA GLOW"/>
    <n v="325"/>
    <s v="ml"/>
    <x v="9"/>
    <x v="4"/>
    <s v="ÁGUA MICELAR"/>
    <x v="1"/>
    <m/>
    <m/>
    <m/>
    <m/>
    <m/>
    <m/>
    <m/>
    <m/>
    <m/>
    <m/>
    <m/>
    <m/>
    <m/>
    <m/>
    <m/>
    <m/>
    <m/>
    <m/>
    <m/>
    <m/>
    <m/>
    <s v=""/>
    <m/>
    <m/>
    <m/>
    <m/>
    <m/>
    <m/>
    <m/>
    <m/>
    <m/>
    <m/>
    <m/>
    <x v="0"/>
    <x v="6"/>
  </r>
  <r>
    <d v="2025-08-28T20:00:00"/>
    <d v="2025-08-29T06:30:00"/>
    <n v="1.9999999998835847"/>
    <n v="840.00000004889444"/>
    <x v="1"/>
    <s v="GLOW - Água Micelar"/>
    <m/>
    <s v="25240/16"/>
    <s v="Envase"/>
    <n v="1680"/>
    <s v="GLMKAM01"/>
    <s v="ÁGUA MICELAR 3 EM 1"/>
    <n v="325"/>
    <s v="ml"/>
    <x v="9"/>
    <x v="4"/>
    <s v="ÁGUA MICELAR"/>
    <x v="1"/>
    <m/>
    <m/>
    <m/>
    <m/>
    <m/>
    <m/>
    <m/>
    <m/>
    <m/>
    <m/>
    <m/>
    <m/>
    <m/>
    <m/>
    <m/>
    <m/>
    <m/>
    <m/>
    <m/>
    <m/>
    <m/>
    <s v=""/>
    <m/>
    <m/>
    <m/>
    <m/>
    <m/>
    <m/>
    <m/>
    <m/>
    <m/>
    <m/>
    <m/>
    <x v="0"/>
    <x v="6"/>
  </r>
  <r>
    <d v="2025-08-29T06:30:00"/>
    <d v="2025-08-29T08:00:00"/>
    <n v="1.0000000001164153"/>
    <n v="999.99999988358468"/>
    <x v="2"/>
    <s v="03_07"/>
    <m/>
    <s v="25240/02"/>
    <s v="Envase"/>
    <n v="1000"/>
    <s v="IBCHGC02"/>
    <s v="GELATINA CAPILAR CHEIRINHO DE PISTACHE"/>
    <n v="500"/>
    <s v="ml"/>
    <x v="11"/>
    <x v="5"/>
    <s v="GEL"/>
    <x v="2"/>
    <m/>
    <m/>
    <m/>
    <m/>
    <m/>
    <m/>
    <m/>
    <m/>
    <m/>
    <m/>
    <m/>
    <m/>
    <m/>
    <m/>
    <m/>
    <m/>
    <m/>
    <m/>
    <m/>
    <m/>
    <m/>
    <s v=""/>
    <m/>
    <m/>
    <m/>
    <m/>
    <m/>
    <m/>
    <m/>
    <m/>
    <m/>
    <m/>
    <m/>
    <x v="0"/>
    <x v="6"/>
  </r>
  <r>
    <d v="2025-08-29T06:30:00"/>
    <d v="2025-08-29T08:30:00"/>
    <n v="1.5"/>
    <n v="1120"/>
    <x v="1"/>
    <s v="GLOW - Água Micelar"/>
    <m/>
    <s v="25240/17"/>
    <s v="Envase"/>
    <n v="1680"/>
    <s v="GLMKAM01"/>
    <s v="ÁGUA MICELAR 3 EM 1"/>
    <n v="325"/>
    <s v="ml"/>
    <x v="9"/>
    <x v="4"/>
    <s v="ÁGUA MICELAR"/>
    <x v="1"/>
    <m/>
    <m/>
    <m/>
    <m/>
    <m/>
    <m/>
    <m/>
    <m/>
    <m/>
    <m/>
    <m/>
    <m/>
    <m/>
    <m/>
    <m/>
    <m/>
    <m/>
    <m/>
    <m/>
    <m/>
    <m/>
    <s v=""/>
    <m/>
    <m/>
    <m/>
    <m/>
    <m/>
    <m/>
    <m/>
    <m/>
    <m/>
    <m/>
    <m/>
    <x v="0"/>
    <x v="6"/>
  </r>
  <r>
    <d v="2025-08-29T08:10:00"/>
    <d v="2025-08-29T10:00:00"/>
    <n v="1.8333333331975155"/>
    <n v="545.45454549495412"/>
    <x v="2"/>
    <s v="03_07"/>
    <m/>
    <s v="25240/03"/>
    <s v="Envase"/>
    <n v="1000"/>
    <s v="IBCHGC02"/>
    <s v="GELATINA CAPILAR CHEIRINHO DE PISTACHE"/>
    <n v="500"/>
    <s v="ml"/>
    <x v="11"/>
    <x v="5"/>
    <s v="GEL"/>
    <x v="2"/>
    <m/>
    <m/>
    <m/>
    <m/>
    <m/>
    <m/>
    <m/>
    <m/>
    <m/>
    <m/>
    <m/>
    <m/>
    <m/>
    <m/>
    <m/>
    <m/>
    <m/>
    <m/>
    <m/>
    <m/>
    <m/>
    <s v=""/>
    <m/>
    <m/>
    <m/>
    <m/>
    <m/>
    <m/>
    <m/>
    <m/>
    <m/>
    <m/>
    <m/>
    <x v="0"/>
    <x v="6"/>
  </r>
  <r>
    <d v="2025-08-29T08:30:00"/>
    <d v="2025-08-29T10:30:00"/>
    <n v="2.0000000000582077"/>
    <n v="839.99999997555278"/>
    <x v="1"/>
    <s v="GLOW - Água Micelar"/>
    <m/>
    <s v="25240/18"/>
    <s v="Envase"/>
    <n v="1680"/>
    <s v="GLMKAM01"/>
    <s v="ÁGUA MICELAR 3 EM 1"/>
    <n v="325"/>
    <s v="ml"/>
    <x v="9"/>
    <x v="4"/>
    <s v="ÁGUA MICELAR"/>
    <x v="1"/>
    <m/>
    <m/>
    <m/>
    <m/>
    <m/>
    <m/>
    <m/>
    <m/>
    <m/>
    <m/>
    <m/>
    <m/>
    <m/>
    <m/>
    <m/>
    <m/>
    <m/>
    <m/>
    <m/>
    <m/>
    <m/>
    <s v=""/>
    <m/>
    <m/>
    <m/>
    <m/>
    <m/>
    <m/>
    <m/>
    <m/>
    <m/>
    <m/>
    <m/>
    <x v="0"/>
    <x v="6"/>
  </r>
  <r>
    <d v="2025-08-29T09:34:00"/>
    <d v="2025-09-01T09:00:00"/>
    <n v="7.433333333407063"/>
    <n v="134.52914798072842"/>
    <x v="2"/>
    <s v="03_07"/>
    <m/>
    <s v="25241/05"/>
    <s v="Envase"/>
    <n v="1000"/>
    <s v="IBCHGC02"/>
    <s v="GELATINA CAPILAR CHEIRINHO DE PISTACHE"/>
    <n v="500"/>
    <s v="ml"/>
    <x v="11"/>
    <x v="5"/>
    <s v="GEL"/>
    <x v="2"/>
    <m/>
    <m/>
    <m/>
    <m/>
    <m/>
    <m/>
    <m/>
    <m/>
    <m/>
    <m/>
    <m/>
    <m/>
    <m/>
    <m/>
    <m/>
    <m/>
    <m/>
    <m/>
    <m/>
    <m/>
    <m/>
    <s v=""/>
    <m/>
    <m/>
    <m/>
    <m/>
    <m/>
    <m/>
    <m/>
    <m/>
    <m/>
    <m/>
    <m/>
    <x v="0"/>
    <x v="6"/>
  </r>
  <r>
    <d v="2025-08-29T10:00:00"/>
    <d v="2025-08-29T12:00:00"/>
    <n v="2.0000000000582077"/>
    <n v="499.99999998544808"/>
    <x v="2"/>
    <s v="03_07"/>
    <m/>
    <s v="25240/04"/>
    <s v="Envase"/>
    <n v="1000"/>
    <s v="IBCHGC02"/>
    <s v="GELATINA CAPILAR CHEIRINHO DE PISTACHE"/>
    <n v="500"/>
    <s v="ml"/>
    <x v="11"/>
    <x v="5"/>
    <s v="GEL"/>
    <x v="2"/>
    <m/>
    <m/>
    <m/>
    <m/>
    <m/>
    <m/>
    <m/>
    <m/>
    <m/>
    <m/>
    <m/>
    <m/>
    <m/>
    <m/>
    <m/>
    <m/>
    <m/>
    <m/>
    <m/>
    <m/>
    <m/>
    <s v=""/>
    <m/>
    <m/>
    <m/>
    <m/>
    <m/>
    <m/>
    <m/>
    <m/>
    <m/>
    <m/>
    <m/>
    <x v="0"/>
    <x v="6"/>
  </r>
  <r>
    <d v="2025-08-29T10:40:00"/>
    <d v="2025-08-29T12:40:00"/>
    <n v="2.0000000000582077"/>
    <n v="839.99999997555278"/>
    <x v="1"/>
    <s v="GLOW - Água Micelar"/>
    <m/>
    <s v="25241/01"/>
    <s v="Envase"/>
    <n v="1680"/>
    <s v="GLMKAM01"/>
    <s v="ÁGUA MICELAR 3 EM 1"/>
    <n v="325"/>
    <s v="ml"/>
    <x v="9"/>
    <x v="4"/>
    <s v="ÁGUA MICELAR"/>
    <x v="1"/>
    <m/>
    <m/>
    <m/>
    <m/>
    <m/>
    <m/>
    <m/>
    <m/>
    <m/>
    <m/>
    <m/>
    <m/>
    <m/>
    <m/>
    <m/>
    <m/>
    <m/>
    <m/>
    <m/>
    <m/>
    <m/>
    <s v=""/>
    <m/>
    <m/>
    <m/>
    <m/>
    <m/>
    <m/>
    <m/>
    <m/>
    <m/>
    <m/>
    <m/>
    <x v="0"/>
    <x v="6"/>
  </r>
  <r>
    <d v="2025-08-29T12:10:00"/>
    <d v="2025-08-29T15:00:00"/>
    <n v="2.8333333333139308"/>
    <n v="592.94117647464873"/>
    <x v="1"/>
    <s v="GLOW - Água Micelar"/>
    <m/>
    <s v="25241/02"/>
    <s v="Envase"/>
    <n v="1680"/>
    <s v="GLMKAM01"/>
    <s v="ÁGUA MICELAR 3 EM 1"/>
    <n v="325"/>
    <s v="ml"/>
    <x v="9"/>
    <x v="4"/>
    <s v="ÁGUA MICELAR"/>
    <x v="1"/>
    <m/>
    <m/>
    <m/>
    <m/>
    <m/>
    <m/>
    <m/>
    <m/>
    <m/>
    <m/>
    <m/>
    <m/>
    <m/>
    <m/>
    <m/>
    <m/>
    <m/>
    <m/>
    <m/>
    <m/>
    <m/>
    <s v=""/>
    <m/>
    <m/>
    <m/>
    <m/>
    <m/>
    <m/>
    <m/>
    <m/>
    <m/>
    <m/>
    <m/>
    <x v="0"/>
    <x v="6"/>
  </r>
  <r>
    <d v="2025-08-29T13:00:00"/>
    <d v="2025-08-29T16:20:00"/>
    <n v="3"/>
    <n v="333.33333333333331"/>
    <x v="2"/>
    <s v="03_07"/>
    <m/>
    <s v="25240/05"/>
    <s v="Envase"/>
    <n v="1000"/>
    <s v="IBCHGC02"/>
    <s v="GELATINA CAPILAR CHEIRINHO DE PISTACHE"/>
    <n v="500"/>
    <s v="ml"/>
    <x v="11"/>
    <x v="5"/>
    <s v="GEL"/>
    <x v="2"/>
    <m/>
    <m/>
    <m/>
    <m/>
    <m/>
    <m/>
    <m/>
    <m/>
    <m/>
    <m/>
    <m/>
    <m/>
    <m/>
    <m/>
    <m/>
    <m/>
    <m/>
    <m/>
    <m/>
    <m/>
    <m/>
    <s v=""/>
    <m/>
    <m/>
    <m/>
    <m/>
    <m/>
    <m/>
    <m/>
    <m/>
    <m/>
    <m/>
    <m/>
    <x v="0"/>
    <x v="6"/>
  </r>
  <r>
    <d v="2025-08-29T14:40:00"/>
    <d v="2025-08-29T16:39:00"/>
    <n v="1.3333333333139308"/>
    <n v="1260.0000000183354"/>
    <x v="1"/>
    <s v="GLOW - Água Micelar"/>
    <m/>
    <s v="25240/19"/>
    <s v="Envase"/>
    <n v="1680"/>
    <s v="GLMKAM02"/>
    <s v="ÁGUA MICELAR ÁCIDO HIAULURÔNICO"/>
    <n v="325"/>
    <s v="ml"/>
    <x v="9"/>
    <x v="4"/>
    <s v="ÁGUA MICELAR"/>
    <x v="1"/>
    <m/>
    <m/>
    <m/>
    <m/>
    <m/>
    <m/>
    <m/>
    <m/>
    <m/>
    <m/>
    <m/>
    <m/>
    <m/>
    <m/>
    <m/>
    <m/>
    <m/>
    <m/>
    <m/>
    <m/>
    <m/>
    <s v=""/>
    <m/>
    <m/>
    <m/>
    <m/>
    <m/>
    <m/>
    <m/>
    <m/>
    <m/>
    <m/>
    <m/>
    <x v="0"/>
    <x v="6"/>
  </r>
  <r>
    <d v="2025-08-29T16:20:00"/>
    <d v="2025-08-29T19:35:00"/>
    <n v="3.2499999999417923"/>
    <n v="307.69230769781848"/>
    <x v="2"/>
    <s v="03_07"/>
    <m/>
    <s v="25241/03"/>
    <s v="Envase"/>
    <n v="1000"/>
    <s v="IBCHGC02"/>
    <s v="GELATINA CAPILAR CHEIRINHO DE PISTACHE"/>
    <n v="500"/>
    <s v="ml"/>
    <x v="11"/>
    <x v="5"/>
    <s v="GEL"/>
    <x v="2"/>
    <m/>
    <m/>
    <m/>
    <m/>
    <m/>
    <m/>
    <m/>
    <m/>
    <m/>
    <m/>
    <m/>
    <m/>
    <m/>
    <m/>
    <m/>
    <m/>
    <m/>
    <m/>
    <m/>
    <m/>
    <m/>
    <s v=""/>
    <m/>
    <m/>
    <m/>
    <m/>
    <m/>
    <m/>
    <m/>
    <m/>
    <m/>
    <m/>
    <m/>
    <x v="0"/>
    <x v="6"/>
  </r>
  <r>
    <d v="2025-08-29T16:39:00"/>
    <d v="2025-08-29T18:08:00"/>
    <n v="1.4833333334536292"/>
    <n v="1132.5842695710708"/>
    <x v="1"/>
    <s v="GLOW - Água Micelar"/>
    <m/>
    <s v="25240/20"/>
    <s v="Envase"/>
    <n v="1680"/>
    <s v="GLMKAM02"/>
    <s v="ÁGUA MICELAR ÁCIDO HIAULURÔNICO"/>
    <n v="325"/>
    <s v="ml"/>
    <x v="9"/>
    <x v="4"/>
    <s v="ÁGUA MICELAR"/>
    <x v="1"/>
    <m/>
    <m/>
    <m/>
    <m/>
    <m/>
    <m/>
    <m/>
    <m/>
    <m/>
    <m/>
    <m/>
    <m/>
    <m/>
    <m/>
    <m/>
    <m/>
    <m/>
    <m/>
    <m/>
    <m/>
    <m/>
    <s v=""/>
    <m/>
    <m/>
    <m/>
    <m/>
    <m/>
    <m/>
    <m/>
    <m/>
    <m/>
    <m/>
    <m/>
    <x v="0"/>
    <x v="6"/>
  </r>
  <r>
    <d v="2025-08-29T18:05:00"/>
    <d v="2025-08-29T19:41:00"/>
    <n v="1.6000000001513399"/>
    <n v="1049.9999999006832"/>
    <x v="1"/>
    <s v="GLOW - Água Micelar"/>
    <m/>
    <s v="25240/21"/>
    <s v="Envase"/>
    <n v="1680"/>
    <s v="GLMKAM02"/>
    <s v="ÁGUA MICELAR ÁCIDO HIAULURÔNICO"/>
    <n v="325"/>
    <s v="ml"/>
    <x v="9"/>
    <x v="4"/>
    <s v="ÁGUA MICELAR"/>
    <x v="1"/>
    <m/>
    <m/>
    <m/>
    <m/>
    <m/>
    <m/>
    <m/>
    <m/>
    <m/>
    <m/>
    <m/>
    <m/>
    <m/>
    <m/>
    <m/>
    <m/>
    <m/>
    <m/>
    <m/>
    <m/>
    <m/>
    <s v=""/>
    <m/>
    <m/>
    <m/>
    <m/>
    <m/>
    <m/>
    <m/>
    <m/>
    <m/>
    <m/>
    <m/>
    <x v="0"/>
    <x v="6"/>
  </r>
  <r>
    <d v="2025-08-29T19:35:00"/>
    <d v="2025-08-29T21:35:00"/>
    <n v="2.0000000000582077"/>
    <n v="499.99999998544808"/>
    <x v="2"/>
    <s v="03_07"/>
    <m/>
    <s v="25241/04"/>
    <s v="Envase"/>
    <n v="1000"/>
    <s v="IBCHGC02"/>
    <s v="GELATINA CAPILAR CHEIRINHO DE PISTACHE"/>
    <n v="500"/>
    <s v="ml"/>
    <x v="11"/>
    <x v="5"/>
    <s v="GEL"/>
    <x v="2"/>
    <m/>
    <m/>
    <m/>
    <m/>
    <m/>
    <m/>
    <m/>
    <m/>
    <m/>
    <m/>
    <m/>
    <m/>
    <m/>
    <m/>
    <m/>
    <m/>
    <m/>
    <m/>
    <m/>
    <m/>
    <m/>
    <s v=""/>
    <m/>
    <m/>
    <m/>
    <m/>
    <m/>
    <m/>
    <m/>
    <m/>
    <m/>
    <m/>
    <m/>
    <x v="0"/>
    <x v="6"/>
  </r>
  <r>
    <d v="2025-08-29T19:41:00"/>
    <d v="2025-08-29T21:15:00"/>
    <n v="1.5666666665347293"/>
    <n v="1072.3404256222225"/>
    <x v="1"/>
    <s v="GLOW - Água Micelar"/>
    <m/>
    <s v="25241/08"/>
    <s v="Envase"/>
    <n v="1680"/>
    <s v="GLMKAM02"/>
    <s v="ÁGUA MICELAR ÁCIDO HIAULURÔNICO"/>
    <n v="325"/>
    <s v="ml"/>
    <x v="9"/>
    <x v="4"/>
    <s v="ÁGUA MICELAR"/>
    <x v="1"/>
    <m/>
    <m/>
    <m/>
    <m/>
    <m/>
    <m/>
    <m/>
    <m/>
    <m/>
    <m/>
    <m/>
    <m/>
    <m/>
    <m/>
    <m/>
    <m/>
    <m/>
    <m/>
    <m/>
    <m/>
    <m/>
    <s v=""/>
    <m/>
    <m/>
    <m/>
    <m/>
    <m/>
    <m/>
    <m/>
    <m/>
    <m/>
    <m/>
    <m/>
    <x v="0"/>
    <x v="6"/>
  </r>
  <r>
    <d v="2025-08-29T21:15:00"/>
    <d v="2025-09-01T09:00:00"/>
    <n v="2.7500000000582077"/>
    <n v="541.09090907945608"/>
    <x v="1"/>
    <s v="GLOW - Água Micelar"/>
    <m/>
    <s v="25241/09"/>
    <s v="Envase"/>
    <n v="1488"/>
    <s v="GLMKAM02"/>
    <s v="ÁGUA MICELAR ÁCIDO HIAULURÔNICO"/>
    <n v="325"/>
    <s v="ml"/>
    <x v="9"/>
    <x v="4"/>
    <s v="ÁGUA MICELAR"/>
    <x v="1"/>
    <m/>
    <m/>
    <m/>
    <m/>
    <m/>
    <m/>
    <m/>
    <m/>
    <m/>
    <m/>
    <m/>
    <m/>
    <m/>
    <m/>
    <m/>
    <m/>
    <m/>
    <m/>
    <m/>
    <m/>
    <m/>
    <s v=""/>
    <m/>
    <m/>
    <m/>
    <m/>
    <m/>
    <m/>
    <m/>
    <m/>
    <m/>
    <m/>
    <m/>
    <x v="0"/>
    <x v="6"/>
  </r>
  <r>
    <d v="2025-09-01T08:00:00"/>
    <d v="2025-09-01T11:15:00"/>
    <n v="3.2499999999417923"/>
    <n v="307.69230769781848"/>
    <x v="2"/>
    <s v="03_07"/>
    <s v="25241/05"/>
    <s v="25241/06"/>
    <s v="Envase"/>
    <n v="1000"/>
    <s v="IBCHGC02"/>
    <s v="GELATINA CAPILAR CHEIRINHO DE PISTACHE"/>
    <n v="500"/>
    <s v="ml"/>
    <x v="11"/>
    <x v="5"/>
    <s v="GEL"/>
    <x v="2"/>
    <m/>
    <m/>
    <m/>
    <m/>
    <m/>
    <m/>
    <m/>
    <m/>
    <m/>
    <m/>
    <m/>
    <m/>
    <m/>
    <m/>
    <m/>
    <m/>
    <m/>
    <m/>
    <m/>
    <m/>
    <m/>
    <s v=""/>
    <m/>
    <m/>
    <m/>
    <m/>
    <m/>
    <m/>
    <m/>
    <m/>
    <m/>
    <m/>
    <m/>
    <x v="0"/>
    <x v="7"/>
  </r>
  <r>
    <d v="2025-09-01T08:00:00"/>
    <d v="2025-09-01T11:15:00"/>
    <n v="3.2499999999417923"/>
    <n v="307.69230769781848"/>
    <x v="2"/>
    <s v="03_07"/>
    <m/>
    <s v="25241/06"/>
    <s v="Envase"/>
    <n v="1000"/>
    <s v="IBCHGC03"/>
    <s v="GELATINA CAPILAR CHEIRINHO DE TUTTI-FRUTTI"/>
    <n v="500"/>
    <s v="ml"/>
    <x v="11"/>
    <x v="5"/>
    <s v="GEL"/>
    <x v="2"/>
    <m/>
    <m/>
    <m/>
    <m/>
    <m/>
    <m/>
    <m/>
    <m/>
    <m/>
    <m/>
    <m/>
    <m/>
    <m/>
    <m/>
    <m/>
    <m/>
    <m/>
    <m/>
    <m/>
    <m/>
    <m/>
    <s v=""/>
    <m/>
    <m/>
    <m/>
    <m/>
    <m/>
    <m/>
    <m/>
    <m/>
    <m/>
    <m/>
    <m/>
    <x v="0"/>
    <x v="7"/>
  </r>
  <r>
    <d v="2025-09-01T08:00:00"/>
    <d v="2025-09-01T10:15:00"/>
    <n v="2.25"/>
    <n v="400.44444444444446"/>
    <x v="2"/>
    <s v="03_07"/>
    <m/>
    <s v="25241/07"/>
    <s v="Envase"/>
    <n v="901"/>
    <s v="IBCHGC02"/>
    <s v="GELATINA CAPILAR CHEIRINHO DE PISTACHE"/>
    <n v="500"/>
    <s v="ml"/>
    <x v="11"/>
    <x v="5"/>
    <s v="GEL"/>
    <x v="2"/>
    <m/>
    <m/>
    <m/>
    <m/>
    <m/>
    <m/>
    <m/>
    <m/>
    <m/>
    <m/>
    <m/>
    <m/>
    <m/>
    <m/>
    <m/>
    <m/>
    <m/>
    <m/>
    <m/>
    <m/>
    <m/>
    <s v=""/>
    <m/>
    <m/>
    <m/>
    <m/>
    <m/>
    <m/>
    <m/>
    <m/>
    <m/>
    <m/>
    <m/>
    <x v="0"/>
    <x v="7"/>
  </r>
  <r>
    <d v="2025-09-01T08:21:00"/>
    <d v="2025-09-01T12:40:00"/>
    <n v="4.3166666667675599"/>
    <n v="231.66023165481707"/>
    <x v="2"/>
    <s v="03_07"/>
    <m/>
    <s v="25240/10"/>
    <s v="Envase"/>
    <n v="1000"/>
    <s v="IBCHGC01"/>
    <s v="GELATINA CAPILAR CHEIRINHO DE MELÂNCIA"/>
    <n v="500"/>
    <s v="ml"/>
    <x v="11"/>
    <x v="5"/>
    <s v="GEL"/>
    <x v="2"/>
    <m/>
    <m/>
    <m/>
    <m/>
    <m/>
    <m/>
    <m/>
    <m/>
    <m/>
    <m/>
    <m/>
    <m/>
    <m/>
    <m/>
    <m/>
    <m/>
    <m/>
    <m/>
    <m/>
    <m/>
    <m/>
    <s v=""/>
    <m/>
    <m/>
    <m/>
    <m/>
    <m/>
    <m/>
    <m/>
    <m/>
    <m/>
    <m/>
    <m/>
    <x v="0"/>
    <x v="7"/>
  </r>
  <r>
    <d v="2025-09-01T10:15:00"/>
    <d v="2025-09-01T13:05:00"/>
    <n v="1.8333333333139308"/>
    <n v="916.36363637333443"/>
    <x v="1"/>
    <s v="GLOW - Água Micelar"/>
    <m/>
    <s v="25244/03"/>
    <s v="Envase"/>
    <n v="1680"/>
    <s v="GLMKAM03"/>
    <s v="ÁGUA MICELAR CARVÃO ATIVADO"/>
    <n v="325"/>
    <s v="ml"/>
    <x v="9"/>
    <x v="4"/>
    <s v="ÁGUA MICELAR"/>
    <x v="1"/>
    <m/>
    <m/>
    <m/>
    <m/>
    <m/>
    <m/>
    <m/>
    <m/>
    <m/>
    <m/>
    <m/>
    <m/>
    <m/>
    <m/>
    <m/>
    <m/>
    <m/>
    <m/>
    <m/>
    <m/>
    <m/>
    <s v=""/>
    <m/>
    <m/>
    <m/>
    <m/>
    <m/>
    <m/>
    <m/>
    <m/>
    <m/>
    <m/>
    <m/>
    <x v="0"/>
    <x v="7"/>
  </r>
  <r>
    <d v="2025-09-01T12:00:00"/>
    <d v="2025-09-01T13:30:00"/>
    <n v="1.5"/>
    <n v="1120"/>
    <x v="1"/>
    <s v="GLOW - Água Micelar"/>
    <m/>
    <s v="25244/01"/>
    <s v="Envase"/>
    <n v="1680"/>
    <s v="GLMKAM03"/>
    <s v="ÁGUA MICELAR CARVÃO ATIVADO"/>
    <n v="325"/>
    <s v="ml"/>
    <x v="9"/>
    <x v="4"/>
    <s v="ÁGUA MICELAR"/>
    <x v="1"/>
    <m/>
    <m/>
    <m/>
    <m/>
    <m/>
    <m/>
    <m/>
    <m/>
    <m/>
    <m/>
    <m/>
    <m/>
    <m/>
    <m/>
    <m/>
    <m/>
    <m/>
    <m/>
    <m/>
    <m/>
    <m/>
    <s v=""/>
    <m/>
    <m/>
    <m/>
    <m/>
    <m/>
    <m/>
    <m/>
    <m/>
    <m/>
    <m/>
    <m/>
    <x v="0"/>
    <x v="7"/>
  </r>
  <r>
    <d v="2025-09-01T12:40:00"/>
    <d v="2025-09-01T14:30:00"/>
    <n v="1.8333333331975155"/>
    <n v="517.63636367471145"/>
    <x v="2"/>
    <s v="03_07"/>
    <m/>
    <s v="25244/14"/>
    <s v="Envase"/>
    <n v="949"/>
    <s v="IBCHGC01"/>
    <s v="GELATINA CAPILAR CHEIRINHO DE MELÂNCIA"/>
    <n v="500"/>
    <s v="ml"/>
    <x v="11"/>
    <x v="5"/>
    <s v="GEL"/>
    <x v="2"/>
    <m/>
    <m/>
    <m/>
    <m/>
    <m/>
    <m/>
    <m/>
    <m/>
    <m/>
    <m/>
    <m/>
    <m/>
    <m/>
    <m/>
    <m/>
    <m/>
    <m/>
    <m/>
    <m/>
    <m/>
    <m/>
    <s v=""/>
    <m/>
    <m/>
    <m/>
    <m/>
    <m/>
    <m/>
    <m/>
    <m/>
    <m/>
    <m/>
    <m/>
    <x v="0"/>
    <x v="7"/>
  </r>
  <r>
    <d v="2025-09-01T13:08:00"/>
    <d v="2025-09-01T14:50:00"/>
    <n v="1.6999999999534339"/>
    <n v="588.23529413375991"/>
    <x v="2"/>
    <s v="03_07"/>
    <m/>
    <s v="25240/06"/>
    <s v="Envase"/>
    <n v="1000"/>
    <s v="IBCHGC01"/>
    <s v="GELATINA CAPILAR CHEIRINHO DE MELÂNCIA"/>
    <n v="500"/>
    <s v="ml"/>
    <x v="11"/>
    <x v="5"/>
    <s v="GEL"/>
    <x v="2"/>
    <m/>
    <m/>
    <m/>
    <m/>
    <m/>
    <m/>
    <m/>
    <m/>
    <m/>
    <m/>
    <m/>
    <m/>
    <m/>
    <m/>
    <m/>
    <m/>
    <m/>
    <m/>
    <m/>
    <m/>
    <m/>
    <s v=""/>
    <m/>
    <m/>
    <m/>
    <m/>
    <m/>
    <m/>
    <m/>
    <m/>
    <m/>
    <m/>
    <m/>
    <x v="0"/>
    <x v="7"/>
  </r>
  <r>
    <d v="2025-09-01T14:50:00"/>
    <d v="2025-09-01T16:20:00"/>
    <n v="1.5"/>
    <n v="666.66666666666663"/>
    <x v="2"/>
    <s v="03_07"/>
    <m/>
    <s v="25240/07"/>
    <s v="Envase"/>
    <n v="1000"/>
    <s v="IBCHGC01"/>
    <s v="GELATINA CAPILAR CHEIRINHO DE MELÂNCIA"/>
    <n v="500"/>
    <s v="ml"/>
    <x v="11"/>
    <x v="5"/>
    <s v="GEL"/>
    <x v="2"/>
    <m/>
    <m/>
    <m/>
    <m/>
    <m/>
    <m/>
    <m/>
    <m/>
    <m/>
    <m/>
    <m/>
    <m/>
    <m/>
    <m/>
    <m/>
    <m/>
    <m/>
    <m/>
    <m/>
    <m/>
    <m/>
    <s v=""/>
    <m/>
    <m/>
    <m/>
    <m/>
    <m/>
    <m/>
    <m/>
    <m/>
    <m/>
    <m/>
    <m/>
    <x v="0"/>
    <x v="7"/>
  </r>
  <r>
    <d v="2025-09-01T15:30:00"/>
    <d v="2025-09-01T17:00:00"/>
    <n v="1.5"/>
    <n v="1120"/>
    <x v="1"/>
    <s v="GLOW - Água Micelar"/>
    <m/>
    <s v="25244/02"/>
    <s v="Envase"/>
    <n v="1680"/>
    <s v="GLMKAM03"/>
    <s v="ÁGUA MICELAR CARVÃO ATIVADO"/>
    <n v="325"/>
    <s v="ml"/>
    <x v="9"/>
    <x v="4"/>
    <s v="ÁGUA MICELAR"/>
    <x v="1"/>
    <m/>
    <m/>
    <m/>
    <m/>
    <m/>
    <m/>
    <m/>
    <m/>
    <m/>
    <m/>
    <m/>
    <m/>
    <m/>
    <m/>
    <m/>
    <m/>
    <m/>
    <m/>
    <m/>
    <m/>
    <m/>
    <s v=""/>
    <m/>
    <m/>
    <m/>
    <m/>
    <m/>
    <m/>
    <m/>
    <m/>
    <m/>
    <m/>
    <m/>
    <x v="0"/>
    <x v="7"/>
  </r>
  <r>
    <d v="2025-09-01T16:20:00"/>
    <d v="2025-09-01T18:00:00"/>
    <n v="1.6666666666860692"/>
    <n v="599.99999999301508"/>
    <x v="2"/>
    <s v="03_07"/>
    <m/>
    <s v="25240/08"/>
    <s v="Envase"/>
    <n v="1000"/>
    <s v="IBCHGC01"/>
    <s v="GELATINA CAPILAR CHEIRINHO DE MELÂNCIA"/>
    <n v="500"/>
    <s v="ml"/>
    <x v="11"/>
    <x v="5"/>
    <s v="GEL"/>
    <x v="2"/>
    <m/>
    <m/>
    <m/>
    <m/>
    <m/>
    <m/>
    <m/>
    <m/>
    <m/>
    <m/>
    <m/>
    <m/>
    <m/>
    <m/>
    <m/>
    <m/>
    <m/>
    <m/>
    <m/>
    <m/>
    <m/>
    <s v=""/>
    <m/>
    <m/>
    <m/>
    <m/>
    <m/>
    <m/>
    <m/>
    <m/>
    <m/>
    <m/>
    <m/>
    <x v="0"/>
    <x v="7"/>
  </r>
  <r>
    <d v="2025-09-01T17:00:00"/>
    <d v="2025-09-01T19:37:00"/>
    <n v="2.6166666666395031"/>
    <n v="642.03821656717457"/>
    <x v="1"/>
    <s v="GLOW - Água Micelar"/>
    <m/>
    <s v="25244/04"/>
    <s v="Envase"/>
    <n v="1680"/>
    <s v="GLMKAM03"/>
    <s v="ÁGUA MICELAR CARVÃO ATIVADO"/>
    <n v="325"/>
    <s v="ml"/>
    <x v="9"/>
    <x v="4"/>
    <s v="ÁGUA MICELAR"/>
    <x v="1"/>
    <m/>
    <m/>
    <m/>
    <m/>
    <m/>
    <m/>
    <m/>
    <m/>
    <m/>
    <m/>
    <m/>
    <m/>
    <m/>
    <m/>
    <m/>
    <m/>
    <m/>
    <m/>
    <m/>
    <m/>
    <m/>
    <s v=""/>
    <m/>
    <m/>
    <m/>
    <m/>
    <m/>
    <m/>
    <m/>
    <m/>
    <m/>
    <m/>
    <m/>
    <x v="0"/>
    <x v="7"/>
  </r>
  <r>
    <d v="2025-09-01T18:00:00"/>
    <d v="2025-09-01T22:00:00"/>
    <n v="3.9999999999417923"/>
    <n v="250.00000000363798"/>
    <x v="2"/>
    <s v="03_07"/>
    <m/>
    <s v="25240/09"/>
    <s v="Envase"/>
    <n v="1000"/>
    <s v="IBCHGC01"/>
    <s v="GELATINA CAPILAR CHEIRINHO DE MELÂNCIA"/>
    <n v="500"/>
    <s v="ml"/>
    <x v="11"/>
    <x v="5"/>
    <s v="GEL"/>
    <x v="2"/>
    <m/>
    <m/>
    <m/>
    <m/>
    <m/>
    <m/>
    <m/>
    <m/>
    <m/>
    <m/>
    <m/>
    <m/>
    <m/>
    <m/>
    <m/>
    <m/>
    <m/>
    <m/>
    <m/>
    <m/>
    <m/>
    <s v=""/>
    <m/>
    <m/>
    <m/>
    <m/>
    <m/>
    <m/>
    <m/>
    <m/>
    <m/>
    <m/>
    <m/>
    <x v="0"/>
    <x v="7"/>
  </r>
  <r>
    <d v="2025-09-01T19:37:00"/>
    <d v="2025-09-01T21:13:00"/>
    <n v="1.5999999999767169"/>
    <n v="1050.0000000152795"/>
    <x v="1"/>
    <s v="GLOW - Água Micelar"/>
    <m/>
    <s v="25244/05"/>
    <s v="Envase"/>
    <n v="1680"/>
    <s v="GLMKAM03"/>
    <s v="ÁGUA MICELAR CARVÃO ATIVADO"/>
    <n v="325"/>
    <s v="ml"/>
    <x v="9"/>
    <x v="4"/>
    <s v="ÁGUA MICELAR"/>
    <x v="1"/>
    <m/>
    <m/>
    <m/>
    <m/>
    <m/>
    <m/>
    <m/>
    <m/>
    <m/>
    <m/>
    <m/>
    <m/>
    <m/>
    <m/>
    <m/>
    <m/>
    <m/>
    <m/>
    <m/>
    <m/>
    <m/>
    <s v=""/>
    <m/>
    <m/>
    <m/>
    <m/>
    <m/>
    <m/>
    <m/>
    <m/>
    <m/>
    <m/>
    <m/>
    <x v="0"/>
    <x v="7"/>
  </r>
  <r>
    <d v="2025-09-01T21:13:00"/>
    <d v="2025-09-01T22:00:00"/>
    <n v="0.78333333326736465"/>
    <n v="2144.680851244445"/>
    <x v="1"/>
    <s v="GLOW - Água Micelar"/>
    <m/>
    <s v="25244/06"/>
    <s v="Envase"/>
    <n v="1680"/>
    <s v="GLMKAM03"/>
    <s v="ÁGUA MICELAR CARVÃO ATIVADO"/>
    <n v="325"/>
    <s v="ml"/>
    <x v="9"/>
    <x v="4"/>
    <s v="ÁGUA MICELAR"/>
    <x v="1"/>
    <m/>
    <m/>
    <m/>
    <m/>
    <m/>
    <m/>
    <m/>
    <m/>
    <m/>
    <m/>
    <m/>
    <m/>
    <m/>
    <m/>
    <m/>
    <m/>
    <m/>
    <m/>
    <m/>
    <m/>
    <m/>
    <s v=""/>
    <m/>
    <m/>
    <m/>
    <m/>
    <m/>
    <m/>
    <m/>
    <m/>
    <m/>
    <m/>
    <m/>
    <x v="0"/>
    <x v="7"/>
  </r>
  <r>
    <d v="2025-09-02T06:20:00"/>
    <d v="2025-09-02T07:50:00"/>
    <n v="0.8333333334303461"/>
    <n v="1199.9999998603016"/>
    <x v="2"/>
    <s v="03_07"/>
    <m/>
    <s v="25244/10"/>
    <s v="Envase"/>
    <n v="1000"/>
    <s v="IBCHGC01"/>
    <s v="GELATINA CAPILAR CHEIRINHO DE MELÂNCIA"/>
    <n v="500"/>
    <s v="ml"/>
    <x v="11"/>
    <x v="5"/>
    <s v="GEL"/>
    <x v="2"/>
    <m/>
    <m/>
    <m/>
    <m/>
    <m/>
    <m/>
    <m/>
    <m/>
    <m/>
    <m/>
    <m/>
    <m/>
    <m/>
    <m/>
    <m/>
    <m/>
    <m/>
    <m/>
    <m/>
    <m/>
    <m/>
    <s v=""/>
    <m/>
    <m/>
    <m/>
    <m/>
    <m/>
    <m/>
    <m/>
    <m/>
    <m/>
    <m/>
    <m/>
    <x v="0"/>
    <x v="7"/>
  </r>
  <r>
    <d v="2025-09-02T07:40:00"/>
    <d v="2025-09-02T08:20:00"/>
    <n v="0.6666666665696539"/>
    <n v="2520.0000003667083"/>
    <x v="1"/>
    <s v="GLOW - Água Micelar"/>
    <m/>
    <s v="25244/07"/>
    <s v="Envase"/>
    <n v="1680"/>
    <s v="GLMKAM03"/>
    <s v="ÁGUA MICELAR CARVÃO ATIVADO"/>
    <n v="325"/>
    <s v="ml"/>
    <x v="9"/>
    <x v="4"/>
    <s v="ÁGUA MICELAR"/>
    <x v="1"/>
    <m/>
    <m/>
    <m/>
    <m/>
    <m/>
    <m/>
    <m/>
    <m/>
    <m/>
    <m/>
    <m/>
    <m/>
    <m/>
    <m/>
    <m/>
    <m/>
    <m/>
    <m/>
    <m/>
    <m/>
    <m/>
    <s v=""/>
    <m/>
    <m/>
    <m/>
    <m/>
    <m/>
    <m/>
    <m/>
    <m/>
    <m/>
    <m/>
    <m/>
    <x v="0"/>
    <x v="7"/>
  </r>
  <r>
    <d v="2025-09-02T08:00:00"/>
    <d v="2025-09-02T09:30:00"/>
    <n v="1.5"/>
    <n v="666.66666666666663"/>
    <x v="2"/>
    <s v="03_07"/>
    <m/>
    <s v="25244/11"/>
    <s v="Envase"/>
    <n v="1000"/>
    <s v="IBCHGC01"/>
    <s v="GELATINA CAPILAR CHEIRINHO DE MELÂNCIA"/>
    <n v="500"/>
    <s v="ml"/>
    <x v="11"/>
    <x v="5"/>
    <s v="GEL"/>
    <x v="2"/>
    <m/>
    <m/>
    <m/>
    <m/>
    <m/>
    <m/>
    <m/>
    <m/>
    <m/>
    <m/>
    <m/>
    <m/>
    <m/>
    <m/>
    <m/>
    <m/>
    <m/>
    <m/>
    <m/>
    <m/>
    <m/>
    <s v=""/>
    <m/>
    <m/>
    <m/>
    <m/>
    <m/>
    <m/>
    <m/>
    <m/>
    <m/>
    <m/>
    <m/>
    <x v="0"/>
    <x v="7"/>
  </r>
  <r>
    <d v="2025-09-02T09:30:00"/>
    <d v="2025-09-02T11:20:00"/>
    <n v="1.8333333331975155"/>
    <n v="545.45454549495412"/>
    <x v="2"/>
    <s v="03_07"/>
    <m/>
    <s v="25244/12"/>
    <s v="Envase"/>
    <n v="1000"/>
    <s v="IBCHGC01"/>
    <s v="GELATINA CAPILAR CHEIRINHO DE MELÂNCIA"/>
    <n v="500"/>
    <s v="ml"/>
    <x v="11"/>
    <x v="5"/>
    <s v="GEL"/>
    <x v="2"/>
    <m/>
    <m/>
    <m/>
    <m/>
    <m/>
    <m/>
    <m/>
    <m/>
    <m/>
    <m/>
    <m/>
    <m/>
    <m/>
    <m/>
    <m/>
    <m/>
    <m/>
    <m/>
    <m/>
    <m/>
    <m/>
    <s v=""/>
    <m/>
    <m/>
    <m/>
    <m/>
    <m/>
    <m/>
    <m/>
    <m/>
    <m/>
    <m/>
    <m/>
    <x v="0"/>
    <x v="7"/>
  </r>
  <r>
    <d v="2025-09-02T09:50:00"/>
    <d v="2025-09-02T11:50:00"/>
    <n v="2.0000000000582077"/>
    <n v="839.99999997555278"/>
    <x v="1"/>
    <s v="GLOW - Água Micelar"/>
    <m/>
    <s v="25244/08"/>
    <s v="Envase"/>
    <n v="1680"/>
    <s v="GLMKAM03"/>
    <s v="ÁGUA MICELAR CARVÃO ATIVADO"/>
    <n v="325"/>
    <s v="ml"/>
    <x v="9"/>
    <x v="4"/>
    <s v="ÁGUA MICELAR"/>
    <x v="1"/>
    <m/>
    <m/>
    <m/>
    <m/>
    <m/>
    <m/>
    <m/>
    <m/>
    <m/>
    <m/>
    <m/>
    <m/>
    <m/>
    <m/>
    <m/>
    <m/>
    <m/>
    <m/>
    <m/>
    <m/>
    <m/>
    <s v=""/>
    <m/>
    <m/>
    <m/>
    <m/>
    <m/>
    <m/>
    <m/>
    <m/>
    <m/>
    <m/>
    <m/>
    <x v="0"/>
    <x v="7"/>
  </r>
  <r>
    <d v="2025-09-02T11:20:00"/>
    <d v="2025-09-02T12:40:00"/>
    <n v="1.3333333334885538"/>
    <n v="749.99999991268851"/>
    <x v="2"/>
    <s v="03_07"/>
    <m/>
    <s v="25244/13"/>
    <s v="Envase"/>
    <n v="1000"/>
    <s v="IBCHGC01"/>
    <s v="GELATINA CAPILAR CHEIRINHO DE MELÂNCIA"/>
    <n v="500"/>
    <s v="ml"/>
    <x v="11"/>
    <x v="5"/>
    <s v="GEL"/>
    <x v="2"/>
    <m/>
    <m/>
    <m/>
    <m/>
    <m/>
    <m/>
    <m/>
    <m/>
    <m/>
    <m/>
    <m/>
    <m/>
    <m/>
    <m/>
    <m/>
    <m/>
    <m/>
    <m/>
    <m/>
    <m/>
    <m/>
    <s v=""/>
    <m/>
    <m/>
    <m/>
    <m/>
    <m/>
    <m/>
    <m/>
    <m/>
    <m/>
    <m/>
    <m/>
    <x v="0"/>
    <x v="7"/>
  </r>
  <r>
    <d v="2025-09-02T11:50:00"/>
    <d v="2025-09-02T14:20:00"/>
    <n v="1.4999999999417923"/>
    <n v="1120.0000000434618"/>
    <x v="1"/>
    <s v="GLOW - Água Micelar"/>
    <m/>
    <s v="25244/09"/>
    <s v="Envase"/>
    <n v="1680"/>
    <s v="GLMKAM03"/>
    <s v="ÁGUA MICELAR CARVÃO ATIVADO"/>
    <n v="325"/>
    <s v="ml"/>
    <x v="9"/>
    <x v="4"/>
    <s v="ÁGUA MICELAR"/>
    <x v="1"/>
    <m/>
    <m/>
    <m/>
    <m/>
    <m/>
    <m/>
    <m/>
    <m/>
    <m/>
    <m/>
    <m/>
    <m/>
    <m/>
    <m/>
    <m/>
    <m/>
    <m/>
    <m/>
    <m/>
    <m/>
    <m/>
    <s v=""/>
    <m/>
    <m/>
    <m/>
    <m/>
    <m/>
    <m/>
    <m/>
    <m/>
    <m/>
    <m/>
    <m/>
    <x v="0"/>
    <x v="7"/>
  </r>
  <r>
    <d v="2025-09-02T14:30:00"/>
    <d v="2025-09-02T15:30:00"/>
    <n v="1.0000000001164153"/>
    <n v="999.99999988358468"/>
    <x v="2"/>
    <s v="03_07"/>
    <m/>
    <s v="25240/11"/>
    <s v="Envase"/>
    <n v="1000"/>
    <s v="IBCHGC03"/>
    <s v="GELATINA CAPILAR CHEIRINHO DE TUTTI-FRUTTI"/>
    <n v="500"/>
    <s v="ml"/>
    <x v="11"/>
    <x v="5"/>
    <s v="GEL"/>
    <x v="2"/>
    <m/>
    <m/>
    <m/>
    <m/>
    <m/>
    <m/>
    <m/>
    <m/>
    <m/>
    <m/>
    <m/>
    <m/>
    <m/>
    <m/>
    <m/>
    <m/>
    <m/>
    <m/>
    <m/>
    <m/>
    <m/>
    <s v=""/>
    <m/>
    <m/>
    <m/>
    <m/>
    <m/>
    <m/>
    <m/>
    <m/>
    <m/>
    <m/>
    <m/>
    <x v="0"/>
    <x v="7"/>
  </r>
  <r>
    <d v="2025-09-02T15:30:00"/>
    <d v="2025-09-02T17:00:00"/>
    <n v="1.5"/>
    <n v="666.66666666666663"/>
    <x v="2"/>
    <s v="03_07"/>
    <m/>
    <s v="25240/12"/>
    <s v="Envase"/>
    <n v="1000"/>
    <s v="IBCHGC03"/>
    <s v="GELATINA CAPILAR CHEIRINHO DE TUTTI-FRUTTI"/>
    <n v="500"/>
    <s v="ml"/>
    <x v="11"/>
    <x v="5"/>
    <s v="GEL"/>
    <x v="2"/>
    <m/>
    <m/>
    <m/>
    <m/>
    <m/>
    <m/>
    <m/>
    <m/>
    <m/>
    <m/>
    <m/>
    <m/>
    <m/>
    <m/>
    <m/>
    <m/>
    <m/>
    <m/>
    <m/>
    <m/>
    <m/>
    <s v=""/>
    <m/>
    <m/>
    <m/>
    <m/>
    <m/>
    <m/>
    <m/>
    <m/>
    <m/>
    <m/>
    <m/>
    <x v="0"/>
    <x v="7"/>
  </r>
  <r>
    <d v="2025-09-02T17:00:00"/>
    <d v="2025-09-03T09:00:00"/>
    <n v="6.9999999999417923"/>
    <n v="142.85714285833077"/>
    <x v="2"/>
    <s v="03_07"/>
    <m/>
    <s v="25240/13"/>
    <s v="Envase"/>
    <n v="1000"/>
    <s v="IBCHGC03"/>
    <s v="GELATINA CAPILAR CHEIRINHO DE TUTTI-FRUTTI"/>
    <n v="500"/>
    <s v="ml"/>
    <x v="11"/>
    <x v="5"/>
    <s v="GEL"/>
    <x v="2"/>
    <m/>
    <m/>
    <m/>
    <m/>
    <m/>
    <m/>
    <m/>
    <m/>
    <m/>
    <m/>
    <m/>
    <m/>
    <m/>
    <m/>
    <m/>
    <m/>
    <m/>
    <m/>
    <m/>
    <m/>
    <m/>
    <s v=""/>
    <m/>
    <m/>
    <m/>
    <m/>
    <m/>
    <m/>
    <m/>
    <m/>
    <m/>
    <m/>
    <m/>
    <x v="0"/>
    <x v="7"/>
  </r>
  <r>
    <d v="2025-09-03T07:30:00"/>
    <d v="2025-09-03T09:30:00"/>
    <n v="2.0000000000582077"/>
    <n v="499.99999998544808"/>
    <x v="2"/>
    <s v="03_07"/>
    <m/>
    <s v="25240/14"/>
    <s v="Envase"/>
    <n v="1000"/>
    <s v="IBCHGC03"/>
    <s v="GELATINA CAPILAR CHEIRINHO DE TUTTI-FRUTTI"/>
    <n v="500"/>
    <s v="ml"/>
    <x v="11"/>
    <x v="5"/>
    <s v="GEL"/>
    <x v="2"/>
    <m/>
    <m/>
    <m/>
    <m/>
    <m/>
    <m/>
    <m/>
    <m/>
    <m/>
    <m/>
    <m/>
    <m/>
    <m/>
    <m/>
    <m/>
    <m/>
    <m/>
    <m/>
    <m/>
    <m/>
    <m/>
    <s v=""/>
    <m/>
    <m/>
    <m/>
    <m/>
    <m/>
    <m/>
    <m/>
    <m/>
    <m/>
    <m/>
    <m/>
    <x v="0"/>
    <x v="7"/>
  </r>
  <r>
    <d v="2025-09-03T09:30:00"/>
    <d v="2025-09-03T11:15:00"/>
    <n v="1.7499999999417923"/>
    <n v="571.42857144757807"/>
    <x v="2"/>
    <s v="03_07"/>
    <m/>
    <s v="25246/01"/>
    <s v="Envase"/>
    <n v="1000"/>
    <s v="IBCHGC03"/>
    <s v="GELATINA CAPILAR CHEIRINHO DE TUTTI-FRUTTI"/>
    <n v="500"/>
    <s v="ml"/>
    <x v="11"/>
    <x v="5"/>
    <s v="GEL"/>
    <x v="2"/>
    <m/>
    <m/>
    <m/>
    <m/>
    <m/>
    <m/>
    <m/>
    <m/>
    <m/>
    <m/>
    <m/>
    <m/>
    <m/>
    <m/>
    <m/>
    <m/>
    <m/>
    <m/>
    <m/>
    <m/>
    <m/>
    <s v=""/>
    <m/>
    <m/>
    <m/>
    <m/>
    <m/>
    <m/>
    <m/>
    <m/>
    <m/>
    <m/>
    <m/>
    <x v="0"/>
    <x v="7"/>
  </r>
  <r>
    <d v="2025-09-03T09:30:00"/>
    <d v="2025-09-03T11:30:00"/>
    <n v="1.9999999998835847"/>
    <n v="500.00000002910383"/>
    <x v="2"/>
    <s v="03_07"/>
    <m/>
    <s v="25240/15"/>
    <s v="Envase"/>
    <n v="1000"/>
    <s v="IBCHGC03"/>
    <s v="GELATINA CAPILAR CHEIRINHO DE TUTTI-FRUTTI"/>
    <n v="500"/>
    <s v="ml"/>
    <x v="11"/>
    <x v="5"/>
    <s v="GEL"/>
    <x v="2"/>
    <m/>
    <m/>
    <m/>
    <m/>
    <m/>
    <m/>
    <m/>
    <m/>
    <m/>
    <m/>
    <m/>
    <m/>
    <m/>
    <m/>
    <m/>
    <m/>
    <m/>
    <m/>
    <m/>
    <m/>
    <m/>
    <s v=""/>
    <m/>
    <m/>
    <m/>
    <m/>
    <m/>
    <m/>
    <m/>
    <m/>
    <m/>
    <m/>
    <m/>
    <x v="0"/>
    <x v="7"/>
  </r>
  <r>
    <d v="2025-09-03T11:15:00"/>
    <d v="2025-09-03T15:30:00"/>
    <n v="3.2500000000582077"/>
    <n v="307.69230768679688"/>
    <x v="2"/>
    <s v="03_07"/>
    <m/>
    <s v="25246/02"/>
    <s v="Envase"/>
    <n v="1000"/>
    <s v="IBCHGC03"/>
    <s v="GELATINA CAPILAR CHEIRINHO DE TUTTI-FRUTTI"/>
    <n v="500"/>
    <s v="ml"/>
    <x v="11"/>
    <x v="5"/>
    <s v="GEL"/>
    <x v="2"/>
    <m/>
    <m/>
    <m/>
    <m/>
    <m/>
    <m/>
    <m/>
    <m/>
    <m/>
    <m/>
    <m/>
    <m/>
    <m/>
    <m/>
    <m/>
    <m/>
    <m/>
    <m/>
    <m/>
    <m/>
    <m/>
    <s v=""/>
    <m/>
    <m/>
    <m/>
    <m/>
    <m/>
    <m/>
    <m/>
    <m/>
    <m/>
    <m/>
    <m/>
    <x v="0"/>
    <x v="7"/>
  </r>
  <r>
    <d v="2025-09-04T07:17:00"/>
    <d v="2025-09-04T10:13:00"/>
    <n v="2.9333333332906477"/>
    <n v="340.90909091405177"/>
    <x v="2"/>
    <s v="03_07"/>
    <m/>
    <s v="25246/04"/>
    <s v="Envase"/>
    <n v="1000"/>
    <s v="IBCHGC03"/>
    <s v="GELATINA CAPILAR CHEIRINHO DE TUTTI-FRUTTI"/>
    <n v="500"/>
    <s v="ml"/>
    <x v="11"/>
    <x v="5"/>
    <s v="GEL"/>
    <x v="2"/>
    <m/>
    <m/>
    <m/>
    <m/>
    <m/>
    <m/>
    <m/>
    <m/>
    <m/>
    <m/>
    <m/>
    <m/>
    <m/>
    <m/>
    <m/>
    <m/>
    <m/>
    <m/>
    <m/>
    <m/>
    <m/>
    <s v=""/>
    <m/>
    <m/>
    <m/>
    <m/>
    <m/>
    <m/>
    <m/>
    <m/>
    <m/>
    <m/>
    <m/>
    <x v="0"/>
    <x v="7"/>
  </r>
  <r>
    <d v="2025-09-04T10:30:00"/>
    <d v="2025-09-04T11:00:00"/>
    <n v="0.50000000005820766"/>
    <n v="1099.9999998719431"/>
    <x v="2"/>
    <s v="03_07"/>
    <m/>
    <s v="25246/05"/>
    <s v="Envase"/>
    <n v="550"/>
    <s v="IBCHGC03"/>
    <s v="GELATINA CAPILAR CHEIRINHO DE TUTTI-FRUTTI"/>
    <n v="500"/>
    <s v="ml"/>
    <x v="11"/>
    <x v="5"/>
    <s v="GEL"/>
    <x v="2"/>
    <m/>
    <m/>
    <m/>
    <m/>
    <m/>
    <m/>
    <m/>
    <m/>
    <m/>
    <m/>
    <m/>
    <m/>
    <m/>
    <m/>
    <m/>
    <m/>
    <m/>
    <m/>
    <m/>
    <m/>
    <m/>
    <s v=""/>
    <m/>
    <m/>
    <m/>
    <m/>
    <m/>
    <m/>
    <m/>
    <m/>
    <m/>
    <m/>
    <m/>
    <x v="0"/>
    <x v="7"/>
  </r>
  <r>
    <d v="2025-09-04T10:30:00"/>
    <d v="2025-09-04T15:20:00"/>
    <n v="3.8333333333721384"/>
    <n v="271.04347825812579"/>
    <x v="2"/>
    <s v="Moutier 01/09"/>
    <m/>
    <s v="25246/10"/>
    <s v="Envase"/>
    <n v="1039"/>
    <s v="MOPFFM13"/>
    <s v="PERFUME MASCULINO 100 SILVER SCENT"/>
    <n v="50"/>
    <s v="ml"/>
    <x v="7"/>
    <x v="1"/>
    <s v="PERFUME"/>
    <x v="1"/>
    <m/>
    <m/>
    <m/>
    <m/>
    <m/>
    <m/>
    <m/>
    <m/>
    <m/>
    <m/>
    <m/>
    <m/>
    <m/>
    <m/>
    <m/>
    <m/>
    <m/>
    <m/>
    <m/>
    <m/>
    <m/>
    <s v=""/>
    <m/>
    <m/>
    <m/>
    <m/>
    <m/>
    <m/>
    <m/>
    <m/>
    <m/>
    <m/>
    <m/>
    <x v="0"/>
    <x v="7"/>
  </r>
  <r>
    <d v="2025-09-04T10:30:00"/>
    <d v="2025-09-04T13:15:00"/>
    <n v="1.7500000000582077"/>
    <n v="175.42857142273641"/>
    <x v="2"/>
    <s v="Moutier 01/09"/>
    <m/>
    <s v="25246/12"/>
    <s v="Envase"/>
    <n v="307"/>
    <s v="MOPFFM03"/>
    <s v="PERFUME MASCULINO 104 FERRARI BLACK"/>
    <n v="50"/>
    <s v="ml"/>
    <x v="7"/>
    <x v="1"/>
    <s v="PERFUME"/>
    <x v="1"/>
    <m/>
    <m/>
    <m/>
    <m/>
    <m/>
    <m/>
    <m/>
    <m/>
    <m/>
    <m/>
    <m/>
    <m/>
    <m/>
    <m/>
    <m/>
    <m/>
    <m/>
    <m/>
    <m/>
    <m/>
    <m/>
    <s v=""/>
    <m/>
    <m/>
    <m/>
    <m/>
    <m/>
    <m/>
    <m/>
    <m/>
    <m/>
    <m/>
    <m/>
    <x v="0"/>
    <x v="7"/>
  </r>
  <r>
    <d v="2025-09-04T13:38:00"/>
    <d v="2025-09-04T16:00:00"/>
    <n v="2.3666666665230878"/>
    <n v="141.54929578323527"/>
    <x v="2"/>
    <s v="Moutier 01/09"/>
    <m/>
    <s v="25246/06"/>
    <s v="Envase"/>
    <n v="335"/>
    <s v="MOPFFW10"/>
    <s v="PERFUME FEMININO 03 GOOD GIRL"/>
    <n v="50"/>
    <s v="ml"/>
    <x v="7"/>
    <x v="1"/>
    <s v="PERFUME"/>
    <x v="1"/>
    <m/>
    <m/>
    <m/>
    <m/>
    <m/>
    <m/>
    <m/>
    <m/>
    <m/>
    <m/>
    <m/>
    <m/>
    <m/>
    <m/>
    <m/>
    <m/>
    <m/>
    <m/>
    <m/>
    <m/>
    <m/>
    <s v=""/>
    <m/>
    <m/>
    <m/>
    <m/>
    <m/>
    <m/>
    <m/>
    <m/>
    <m/>
    <m/>
    <m/>
    <x v="0"/>
    <x v="7"/>
  </r>
  <r>
    <d v="2025-09-04T14:30:00"/>
    <d v="2025-09-05T09:36:00"/>
    <n v="5.1000000002095476"/>
    <n v="788.23529408526019"/>
    <x v="2"/>
    <s v="DAPOP - Pedido 360 mil"/>
    <m/>
    <s v="25247/01"/>
    <s v="Envase"/>
    <n v="4020"/>
    <s v="DPGLHD02"/>
    <s v="HIDRATANTE GLOW TAÇA DE CHAMPAGNE"/>
    <n v="120"/>
    <s v="ml"/>
    <x v="4"/>
    <x v="0"/>
    <s v="CREME HIDRATANTE"/>
    <x v="2"/>
    <m/>
    <m/>
    <m/>
    <m/>
    <m/>
    <m/>
    <m/>
    <m/>
    <m/>
    <m/>
    <m/>
    <m/>
    <m/>
    <m/>
    <m/>
    <m/>
    <m/>
    <m/>
    <m/>
    <m/>
    <m/>
    <s v=""/>
    <m/>
    <m/>
    <m/>
    <m/>
    <m/>
    <m/>
    <m/>
    <m/>
    <m/>
    <m/>
    <m/>
    <x v="0"/>
    <x v="7"/>
  </r>
  <r>
    <d v="2025-09-04T16:15:00"/>
    <d v="2025-09-05T09:20:00"/>
    <n v="3.0833333334303461"/>
    <n v="99.56756756443481"/>
    <x v="2"/>
    <s v="Moutier 01/09"/>
    <m/>
    <s v="25246/07"/>
    <s v="Envase"/>
    <n v="307"/>
    <s v="MOPFFW02"/>
    <s v="PERFUME FEMININO 09 SCANDAL"/>
    <n v="50"/>
    <s v="ml"/>
    <x v="7"/>
    <x v="1"/>
    <s v="PERFUME"/>
    <x v="1"/>
    <m/>
    <m/>
    <m/>
    <m/>
    <m/>
    <m/>
    <m/>
    <m/>
    <m/>
    <m/>
    <m/>
    <m/>
    <m/>
    <m/>
    <m/>
    <m/>
    <m/>
    <m/>
    <m/>
    <m/>
    <m/>
    <s v=""/>
    <m/>
    <m/>
    <m/>
    <m/>
    <m/>
    <m/>
    <m/>
    <m/>
    <m/>
    <m/>
    <m/>
    <x v="0"/>
    <x v="7"/>
  </r>
  <r>
    <d v="2025-09-05T09:20:00"/>
    <d v="2025-09-05T11:15:00"/>
    <n v="1.9166666666278616"/>
    <n v="160.17391304672117"/>
    <x v="2"/>
    <s v="Moutier 01/09"/>
    <m/>
    <s v="25246/08"/>
    <s v="Envase"/>
    <n v="307"/>
    <s v="MOPFFW18"/>
    <s v="PERFUME FEMININO 28 212 VIP ROSÉ"/>
    <n v="50"/>
    <s v="ml"/>
    <x v="7"/>
    <x v="1"/>
    <s v="PERFUME"/>
    <x v="1"/>
    <m/>
    <m/>
    <m/>
    <m/>
    <m/>
    <m/>
    <m/>
    <m/>
    <m/>
    <m/>
    <m/>
    <m/>
    <m/>
    <m/>
    <m/>
    <m/>
    <m/>
    <m/>
    <m/>
    <m/>
    <m/>
    <s v=""/>
    <m/>
    <m/>
    <m/>
    <m/>
    <m/>
    <m/>
    <m/>
    <m/>
    <m/>
    <m/>
    <m/>
    <x v="0"/>
    <x v="7"/>
  </r>
  <r>
    <d v="2025-09-05T09:36:00"/>
    <d v="2025-09-08T07:15:00"/>
    <n v="5.6500000000232831"/>
    <n v="711.50442477582908"/>
    <x v="2"/>
    <s v="DAPOP - Pedido 360 mil"/>
    <m/>
    <s v="25247/02"/>
    <s v="Envase"/>
    <n v="4020"/>
    <s v="DPGLHD02"/>
    <s v="HIDRATANTE GLOW TAÇA DE CHAMPAGNE"/>
    <n v="120"/>
    <s v="ml"/>
    <x v="4"/>
    <x v="0"/>
    <s v="CREME HIDRATANTE"/>
    <x v="2"/>
    <m/>
    <m/>
    <m/>
    <m/>
    <m/>
    <m/>
    <m/>
    <m/>
    <m/>
    <m/>
    <m/>
    <m/>
    <m/>
    <m/>
    <m/>
    <m/>
    <m/>
    <m/>
    <m/>
    <m/>
    <m/>
    <s v=""/>
    <m/>
    <m/>
    <m/>
    <m/>
    <m/>
    <m/>
    <m/>
    <m/>
    <m/>
    <m/>
    <m/>
    <x v="0"/>
    <x v="7"/>
  </r>
  <r>
    <d v="2025-09-05T11:15:00"/>
    <d v="2025-09-05T14:30:00"/>
    <n v="2.2499999999417923"/>
    <n v="136.44444444797426"/>
    <x v="2"/>
    <s v="Moutier 01/09"/>
    <m/>
    <s v="25246/09"/>
    <s v="Envase"/>
    <n v="307"/>
    <s v="MOPFFW19"/>
    <s v="PERFUME FEMININO 30 FANTASY"/>
    <n v="50"/>
    <s v="ml"/>
    <x v="7"/>
    <x v="1"/>
    <s v="PERFUME"/>
    <x v="1"/>
    <m/>
    <m/>
    <m/>
    <m/>
    <m/>
    <m/>
    <m/>
    <m/>
    <m/>
    <m/>
    <m/>
    <m/>
    <m/>
    <m/>
    <m/>
    <m/>
    <m/>
    <m/>
    <m/>
    <m/>
    <m/>
    <s v=""/>
    <m/>
    <m/>
    <m/>
    <m/>
    <m/>
    <m/>
    <m/>
    <m/>
    <m/>
    <m/>
    <m/>
    <x v="0"/>
    <x v="7"/>
  </r>
  <r>
    <d v="2025-09-05T13:15:00"/>
    <d v="2025-09-05T16:00:00"/>
    <n v="2.7499999998835847"/>
    <n v="109.09090909552722"/>
    <x v="2"/>
    <s v="Moutier 01/09"/>
    <m/>
    <s v="25246/11"/>
    <s v="Envase"/>
    <n v="300"/>
    <s v="MOPFFM01"/>
    <s v="PERFUME MASCULINO 102 VIP BLACK"/>
    <n v="50"/>
    <s v="ml"/>
    <x v="7"/>
    <x v="1"/>
    <s v="PERFUME"/>
    <x v="1"/>
    <m/>
    <m/>
    <m/>
    <m/>
    <m/>
    <m/>
    <m/>
    <m/>
    <m/>
    <m/>
    <m/>
    <m/>
    <m/>
    <m/>
    <m/>
    <m/>
    <m/>
    <m/>
    <m/>
    <m/>
    <m/>
    <s v=""/>
    <m/>
    <m/>
    <m/>
    <m/>
    <m/>
    <m/>
    <m/>
    <m/>
    <m/>
    <m/>
    <m/>
    <x v="0"/>
    <x v="7"/>
  </r>
  <r>
    <d v="2025-09-08T07:15:00"/>
    <d v="2025-09-08T11:37:00"/>
    <n v="4.3666666665812954"/>
    <n v="920.61068704089928"/>
    <x v="2"/>
    <s v="DAPOP - Pedido 360 mil"/>
    <m/>
    <s v="25247/03"/>
    <s v="Envase"/>
    <n v="4020"/>
    <s v="DPGLHD02"/>
    <s v="HIDRATANTE GLOW TAÇA DE CHAMPAGNE"/>
    <n v="120"/>
    <s v="ml"/>
    <x v="4"/>
    <x v="0"/>
    <s v="CREME HIDRATANTE"/>
    <x v="2"/>
    <m/>
    <m/>
    <m/>
    <m/>
    <m/>
    <m/>
    <m/>
    <m/>
    <m/>
    <m/>
    <m/>
    <m/>
    <m/>
    <m/>
    <m/>
    <m/>
    <m/>
    <m/>
    <m/>
    <m/>
    <m/>
    <s v=""/>
    <m/>
    <m/>
    <m/>
    <m/>
    <m/>
    <m/>
    <m/>
    <m/>
    <m/>
    <m/>
    <m/>
    <x v="0"/>
    <x v="7"/>
  </r>
  <r>
    <d v="2025-09-08T09:00:00"/>
    <d v="2025-09-08T10:50:00"/>
    <n v="1.8333333333721384"/>
    <n v="170.18181817821605"/>
    <x v="1"/>
    <s v="Bases - Multi Lojas"/>
    <m/>
    <s v="25248/02"/>
    <s v="Envase"/>
    <n v="312"/>
    <s v="KUBPBA02"/>
    <s v="BASE PARA PERFUME FINA BASE PREMIUM 1l"/>
    <n v="1000"/>
    <s v="ml"/>
    <x v="5"/>
    <x v="2"/>
    <s v="BASE"/>
    <x v="1"/>
    <m/>
    <m/>
    <m/>
    <m/>
    <m/>
    <m/>
    <m/>
    <m/>
    <m/>
    <m/>
    <m/>
    <m/>
    <m/>
    <m/>
    <m/>
    <m/>
    <m/>
    <m/>
    <m/>
    <m/>
    <m/>
    <s v=""/>
    <m/>
    <m/>
    <m/>
    <m/>
    <m/>
    <m/>
    <m/>
    <m/>
    <m/>
    <m/>
    <m/>
    <x v="0"/>
    <x v="7"/>
  </r>
  <r>
    <d v="2025-09-08T10:50:00"/>
    <d v="2025-09-08T11:30:00"/>
    <n v="0.6666666665696539"/>
    <n v="312.00000004540198"/>
    <x v="1"/>
    <s v="Bases - Multi Lojas"/>
    <m/>
    <s v="25248/01"/>
    <s v="Envase"/>
    <n v="208"/>
    <s v="KUBPBA01"/>
    <s v="BASE PARA PERFUME FINA BASE 1l"/>
    <n v="1000"/>
    <s v="ml"/>
    <x v="5"/>
    <x v="2"/>
    <s v="BASE"/>
    <x v="1"/>
    <m/>
    <m/>
    <m/>
    <m/>
    <m/>
    <m/>
    <m/>
    <m/>
    <m/>
    <m/>
    <m/>
    <m/>
    <m/>
    <m/>
    <m/>
    <m/>
    <m/>
    <m/>
    <m/>
    <m/>
    <m/>
    <s v=""/>
    <m/>
    <m/>
    <m/>
    <m/>
    <m/>
    <m/>
    <m/>
    <m/>
    <m/>
    <m/>
    <m/>
    <x v="0"/>
    <x v="7"/>
  </r>
  <r>
    <d v="2025-09-08T11:37:00"/>
    <d v="2025-09-09T09:22:00"/>
    <n v="6.7500000001164153"/>
    <n v="595.55555554528416"/>
    <x v="2"/>
    <s v="DAPOP - Pedido 360 mil"/>
    <m/>
    <s v="25247/04"/>
    <s v="Envase"/>
    <n v="4020"/>
    <s v="DPGLHD02"/>
    <s v="HIDRATANTE GLOW TAÇA DE CHAMPAGNE"/>
    <n v="120"/>
    <s v="ml"/>
    <x v="4"/>
    <x v="0"/>
    <s v="CREME HIDRATANTE"/>
    <x v="2"/>
    <m/>
    <m/>
    <m/>
    <m/>
    <m/>
    <m/>
    <m/>
    <m/>
    <m/>
    <m/>
    <m/>
    <m/>
    <m/>
    <m/>
    <m/>
    <m/>
    <m/>
    <m/>
    <m/>
    <m/>
    <m/>
    <s v=""/>
    <m/>
    <m/>
    <m/>
    <m/>
    <m/>
    <m/>
    <m/>
    <m/>
    <m/>
    <m/>
    <m/>
    <x v="0"/>
    <x v="7"/>
  </r>
  <r>
    <d v="2025-09-09T09:32:00"/>
    <d v="2025-09-09T15:30:00"/>
    <n v="4.9666666667326353"/>
    <n v="809.39597314361174"/>
    <x v="2"/>
    <s v="DAPOP - Pedido 360 mil"/>
    <m/>
    <s v="25251/01"/>
    <s v="Envase"/>
    <n v="4020"/>
    <s v="DPGLHD01"/>
    <s v="HIDRATANTE GLOW PAIXÃO IRRESISTÍVEL"/>
    <n v="120"/>
    <s v="ml"/>
    <x v="4"/>
    <x v="0"/>
    <s v="CREME HIDRATANTE"/>
    <x v="2"/>
    <m/>
    <m/>
    <m/>
    <m/>
    <m/>
    <m/>
    <m/>
    <m/>
    <m/>
    <m/>
    <m/>
    <m/>
    <m/>
    <m/>
    <m/>
    <m/>
    <m/>
    <m/>
    <m/>
    <m/>
    <m/>
    <s v=""/>
    <m/>
    <m/>
    <m/>
    <m/>
    <m/>
    <m/>
    <m/>
    <m/>
    <m/>
    <m/>
    <m/>
    <x v="0"/>
    <x v="7"/>
  </r>
  <r>
    <d v="2025-09-09T15:30:00"/>
    <d v="2025-09-10T10:00:00"/>
    <n v="4.5"/>
    <n v="893.33333333333337"/>
    <x v="2"/>
    <s v="DAPOP - Pedido 360 mil"/>
    <m/>
    <s v="25251/02"/>
    <s v="Envase"/>
    <n v="4020"/>
    <s v="DPGLHD01"/>
    <s v="HIDRATANTE GLOW PAIXÃO IRRESISTÍVEL"/>
    <n v="120"/>
    <s v="ml"/>
    <x v="4"/>
    <x v="0"/>
    <s v="CREME HIDRATANTE"/>
    <x v="2"/>
    <m/>
    <m/>
    <m/>
    <m/>
    <m/>
    <m/>
    <m/>
    <m/>
    <m/>
    <m/>
    <m/>
    <m/>
    <m/>
    <m/>
    <m/>
    <m/>
    <m/>
    <m/>
    <m/>
    <m/>
    <m/>
    <s v=""/>
    <m/>
    <m/>
    <m/>
    <m/>
    <m/>
    <m/>
    <m/>
    <m/>
    <m/>
    <m/>
    <m/>
    <x v="0"/>
    <x v="7"/>
  </r>
  <r>
    <d v="2025-09-10T10:00:00"/>
    <d v="2025-09-10T15:12:00"/>
    <n v="4.2000000000116415"/>
    <n v="957.14285714020411"/>
    <x v="2"/>
    <s v="DAPOP - Pedido 360 mil"/>
    <m/>
    <s v="25251/03"/>
    <s v="Envase"/>
    <n v="4020"/>
    <s v="DPGLHD01"/>
    <s v="HIDRATANTE GLOW PAIXÃO IRRESISTÍVEL"/>
    <n v="120"/>
    <s v="ml"/>
    <x v="4"/>
    <x v="0"/>
    <s v="CREME HIDRATANTE"/>
    <x v="2"/>
    <m/>
    <m/>
    <m/>
    <m/>
    <m/>
    <m/>
    <m/>
    <m/>
    <m/>
    <m/>
    <m/>
    <m/>
    <m/>
    <m/>
    <m/>
    <m/>
    <m/>
    <m/>
    <m/>
    <m/>
    <m/>
    <s v=""/>
    <m/>
    <m/>
    <m/>
    <m/>
    <m/>
    <m/>
    <m/>
    <m/>
    <m/>
    <m/>
    <m/>
    <x v="0"/>
    <x v="7"/>
  </r>
  <r>
    <d v="2025-09-10T15:12:00"/>
    <d v="2025-09-10T16:50:00"/>
    <n v="1.6333333334187046"/>
    <n v="1359.1836733983457"/>
    <x v="2"/>
    <s v="DAPOP - Pedido 360 mil"/>
    <m/>
    <s v="25251/04"/>
    <s v="Envase"/>
    <n v="2220"/>
    <s v="DPGLHD01"/>
    <s v="HIDRATANTE GLOW PAIXÃO IRRESISTÍVEL"/>
    <n v="120"/>
    <s v="ml"/>
    <x v="4"/>
    <x v="0"/>
    <s v="CREME HIDRATANTE"/>
    <x v="2"/>
    <m/>
    <m/>
    <m/>
    <m/>
    <m/>
    <m/>
    <m/>
    <m/>
    <m/>
    <m/>
    <m/>
    <m/>
    <m/>
    <m/>
    <m/>
    <m/>
    <m/>
    <m/>
    <m/>
    <m/>
    <m/>
    <s v=""/>
    <m/>
    <m/>
    <m/>
    <m/>
    <m/>
    <m/>
    <m/>
    <m/>
    <m/>
    <m/>
    <m/>
    <x v="0"/>
    <x v="7"/>
  </r>
  <r>
    <d v="2025-09-11T10:05:00"/>
    <d v="2025-09-11T14:40:00"/>
    <n v="3.5833333332557231"/>
    <n v="1289.30232560932"/>
    <x v="1"/>
    <s v="02_07"/>
    <m/>
    <s v="25254/01"/>
    <s v="Envase"/>
    <n v="4620"/>
    <s v="DPHNBS01"/>
    <s v="BODY SPLASH DAPOP HONEY BLOOM"/>
    <n v="120"/>
    <s v="ml"/>
    <x v="4"/>
    <x v="1"/>
    <s v="BODY SPLASH"/>
    <x v="1"/>
    <m/>
    <m/>
    <m/>
    <m/>
    <m/>
    <m/>
    <m/>
    <m/>
    <m/>
    <m/>
    <m/>
    <m/>
    <m/>
    <m/>
    <m/>
    <m/>
    <m/>
    <m/>
    <m/>
    <m/>
    <m/>
    <s v=""/>
    <m/>
    <m/>
    <m/>
    <m/>
    <m/>
    <m/>
    <m/>
    <m/>
    <m/>
    <m/>
    <m/>
    <x v="0"/>
    <x v="7"/>
  </r>
  <r>
    <d v="2025-09-14T14:40:00"/>
    <d v="2025-09-15T15:00:00"/>
    <n v="7.0000000000582077"/>
    <n v="668.57142856586916"/>
    <x v="1"/>
    <s v="02_07"/>
    <m/>
    <s v="25254/02"/>
    <s v="Envase"/>
    <n v="4680"/>
    <s v="DPHNBS01"/>
    <s v="BODY SPLASH DAPOP HONEY BLOOM"/>
    <n v="120"/>
    <s v="ml"/>
    <x v="4"/>
    <x v="1"/>
    <s v="BODY SPLASH"/>
    <x v="1"/>
    <m/>
    <m/>
    <m/>
    <m/>
    <m/>
    <m/>
    <m/>
    <m/>
    <m/>
    <m/>
    <m/>
    <m/>
    <m/>
    <m/>
    <m/>
    <m/>
    <m/>
    <m/>
    <m/>
    <m/>
    <m/>
    <s v=""/>
    <m/>
    <m/>
    <m/>
    <m/>
    <m/>
    <m/>
    <m/>
    <m/>
    <m/>
    <m/>
    <m/>
    <x v="0"/>
    <x v="7"/>
  </r>
  <r>
    <d v="2025-09-16T15:40:00"/>
    <d v="2025-09-17T08:37:00"/>
    <n v="2.9500000000116415"/>
    <n v="846.10169491191527"/>
    <x v="2"/>
    <s v="03_07"/>
    <m/>
    <s v="25258/01"/>
    <s v="Envase"/>
    <n v="2496"/>
    <s v="IBARHD01"/>
    <s v="LOÇÃO HIDRATANTE SAIND"/>
    <n v="180"/>
    <s v="ml"/>
    <x v="11"/>
    <x v="0"/>
    <s v="CREME HIDRATANTE"/>
    <x v="2"/>
    <m/>
    <m/>
    <m/>
    <m/>
    <m/>
    <m/>
    <m/>
    <m/>
    <m/>
    <m/>
    <m/>
    <m/>
    <m/>
    <m/>
    <m/>
    <m/>
    <m/>
    <m/>
    <m/>
    <m/>
    <m/>
    <s v=""/>
    <m/>
    <m/>
    <m/>
    <m/>
    <m/>
    <m/>
    <m/>
    <m/>
    <m/>
    <m/>
    <m/>
    <x v="0"/>
    <x v="7"/>
  </r>
  <r>
    <d v="2025-09-17T08:40:00"/>
    <d v="2025-09-17T11:20:00"/>
    <n v="2.6666666666278616"/>
    <n v="876.75000001275839"/>
    <x v="2"/>
    <s v="03_07"/>
    <m/>
    <s v="25258/02"/>
    <s v="Envase"/>
    <n v="2338"/>
    <s v="IBARHD01"/>
    <s v="LOÇÃO HIDRATANTE SAIND"/>
    <n v="180"/>
    <s v="ml"/>
    <x v="11"/>
    <x v="0"/>
    <s v="CREME HIDRATANTE"/>
    <x v="2"/>
    <m/>
    <m/>
    <m/>
    <m/>
    <m/>
    <m/>
    <m/>
    <m/>
    <m/>
    <m/>
    <m/>
    <m/>
    <m/>
    <m/>
    <m/>
    <m/>
    <m/>
    <m/>
    <m/>
    <m/>
    <m/>
    <s v=""/>
    <m/>
    <m/>
    <m/>
    <m/>
    <m/>
    <m/>
    <m/>
    <m/>
    <m/>
    <m/>
    <m/>
    <x v="0"/>
    <x v="7"/>
  </r>
  <r>
    <d v="2025-09-17T13:20:00"/>
    <d v="2025-09-18T09:40:00"/>
    <n v="6.3333333335467614"/>
    <n v="765.47368418473047"/>
    <x v="1"/>
    <s v="03_07"/>
    <m/>
    <s v="25258/03"/>
    <s v="Envase"/>
    <n v="4848"/>
    <s v="IBARBS01"/>
    <s v="BODY SPLASH SAIND"/>
    <n v="120"/>
    <s v="ml"/>
    <x v="11"/>
    <x v="1"/>
    <s v="BODY SPLASH"/>
    <x v="1"/>
    <m/>
    <m/>
    <m/>
    <m/>
    <m/>
    <m/>
    <m/>
    <m/>
    <m/>
    <m/>
    <m/>
    <m/>
    <m/>
    <m/>
    <m/>
    <m/>
    <m/>
    <m/>
    <m/>
    <m/>
    <m/>
    <s v=""/>
    <m/>
    <m/>
    <m/>
    <m/>
    <m/>
    <m/>
    <m/>
    <m/>
    <m/>
    <m/>
    <m/>
    <x v="0"/>
    <x v="7"/>
  </r>
  <r>
    <d v="2025-09-17T13:20:00"/>
    <d v="2025-09-17T16:01:00"/>
    <n v="2.6833333333488554"/>
    <n v="930.18633539834593"/>
    <x v="2"/>
    <s v="03_07"/>
    <m/>
    <s v="25259/02"/>
    <s v="Envase"/>
    <n v="2496"/>
    <s v="IBARHD05"/>
    <s v="LOÇÃO HIDRATANTE HABIB"/>
    <n v="180"/>
    <s v="ml"/>
    <x v="11"/>
    <x v="0"/>
    <s v="CREME HIDRATANTE"/>
    <x v="2"/>
    <m/>
    <m/>
    <m/>
    <m/>
    <m/>
    <m/>
    <m/>
    <m/>
    <m/>
    <m/>
    <m/>
    <m/>
    <m/>
    <m/>
    <m/>
    <m/>
    <m/>
    <m/>
    <m/>
    <m/>
    <m/>
    <s v=""/>
    <m/>
    <m/>
    <m/>
    <m/>
    <m/>
    <m/>
    <m/>
    <m/>
    <m/>
    <m/>
    <m/>
    <x v="0"/>
    <x v="7"/>
  </r>
  <r>
    <d v="2025-09-17T16:01:00"/>
    <d v="2025-09-18T09:20:00"/>
    <n v="3.3166666668257676"/>
    <n v="726.93467333196304"/>
    <x v="1"/>
    <s v="03_07"/>
    <m/>
    <s v="25259/03"/>
    <s v="Envase"/>
    <n v="2411"/>
    <s v="IBARHD05"/>
    <s v="LOÇÃO HIDRATANTE HABIB"/>
    <n v="180"/>
    <s v="ml"/>
    <x v="11"/>
    <x v="0"/>
    <s v="CREME HIDRATANTE"/>
    <x v="2"/>
    <m/>
    <m/>
    <m/>
    <m/>
    <m/>
    <m/>
    <m/>
    <m/>
    <m/>
    <m/>
    <m/>
    <m/>
    <m/>
    <m/>
    <m/>
    <m/>
    <m/>
    <m/>
    <m/>
    <m/>
    <m/>
    <s v=""/>
    <m/>
    <m/>
    <m/>
    <m/>
    <m/>
    <m/>
    <m/>
    <m/>
    <m/>
    <m/>
    <m/>
    <x v="0"/>
    <x v="7"/>
  </r>
  <r>
    <d v="2025-09-18T09:30:00"/>
    <d v="2025-09-18T13:00:00"/>
    <n v="3.4999999998835847"/>
    <n v="713.14285716657741"/>
    <x v="2"/>
    <s v="03_07"/>
    <m/>
    <s v="25260/01"/>
    <s v="Envase"/>
    <n v="2496"/>
    <s v="IBARHD02"/>
    <s v="LOÇÃO HIDRATANTE ALLAN"/>
    <n v="180"/>
    <s v="ml"/>
    <x v="11"/>
    <x v="0"/>
    <s v="CREME HIDRATANTE"/>
    <x v="2"/>
    <m/>
    <m/>
    <m/>
    <m/>
    <m/>
    <m/>
    <m/>
    <m/>
    <m/>
    <m/>
    <m/>
    <m/>
    <m/>
    <m/>
    <m/>
    <m/>
    <m/>
    <m/>
    <m/>
    <m/>
    <m/>
    <s v=""/>
    <m/>
    <m/>
    <m/>
    <m/>
    <m/>
    <m/>
    <m/>
    <m/>
    <m/>
    <m/>
    <m/>
    <x v="0"/>
    <x v="7"/>
  </r>
  <r>
    <d v="2025-09-18T09:40:00"/>
    <d v="2025-09-18T14:40:00"/>
    <n v="3.9999999998835847"/>
    <n v="768.00000002235174"/>
    <x v="1"/>
    <s v="03_07"/>
    <m/>
    <s v="20258/04"/>
    <s v="Envase"/>
    <n v="3072"/>
    <s v="IBARBS01"/>
    <s v="BODY SPLASH SAIND"/>
    <n v="120"/>
    <s v="ml"/>
    <x v="11"/>
    <x v="1"/>
    <s v="BODY SPLASH"/>
    <x v="1"/>
    <m/>
    <m/>
    <m/>
    <m/>
    <m/>
    <m/>
    <m/>
    <m/>
    <m/>
    <m/>
    <m/>
    <m/>
    <m/>
    <m/>
    <m/>
    <m/>
    <m/>
    <m/>
    <m/>
    <m/>
    <m/>
    <s v=""/>
    <m/>
    <m/>
    <m/>
    <m/>
    <m/>
    <m/>
    <m/>
    <m/>
    <m/>
    <m/>
    <m/>
    <x v="0"/>
    <x v="7"/>
  </r>
  <r>
    <d v="2025-09-18T13:00:00"/>
    <d v="2025-09-18T16:50:00"/>
    <n v="3.8333333334303461"/>
    <n v="663.65217389624797"/>
    <x v="2"/>
    <s v="03_07"/>
    <m/>
    <s v="25260/02"/>
    <s v="Envase"/>
    <n v="2544"/>
    <s v="IBARHD02"/>
    <s v="LOÇÃO HIDRATANTE ALLAN"/>
    <n v="180"/>
    <s v="ml"/>
    <x v="11"/>
    <x v="0"/>
    <s v="CREME HIDRATANTE"/>
    <x v="2"/>
    <m/>
    <m/>
    <m/>
    <m/>
    <m/>
    <m/>
    <m/>
    <m/>
    <m/>
    <m/>
    <m/>
    <m/>
    <m/>
    <m/>
    <m/>
    <m/>
    <m/>
    <m/>
    <m/>
    <m/>
    <m/>
    <s v=""/>
    <m/>
    <m/>
    <m/>
    <m/>
    <m/>
    <m/>
    <m/>
    <m/>
    <m/>
    <m/>
    <m/>
    <x v="0"/>
    <x v="7"/>
  </r>
  <r>
    <d v="2025-09-18T15:00:00"/>
    <d v="2025-09-19T13:30:00"/>
    <n v="7.5000000001164153"/>
    <n v="627.19999999026459"/>
    <x v="1"/>
    <s v="03_07"/>
    <m/>
    <s v="25261/01"/>
    <s v="Envase"/>
    <n v="4704"/>
    <s v="IBARBS02"/>
    <s v="BODY SPLASH ALLAN"/>
    <n v="120"/>
    <s v="ml"/>
    <x v="11"/>
    <x v="1"/>
    <s v="BODY SPLASH"/>
    <x v="1"/>
    <m/>
    <m/>
    <m/>
    <m/>
    <m/>
    <m/>
    <m/>
    <m/>
    <m/>
    <m/>
    <m/>
    <m/>
    <m/>
    <m/>
    <m/>
    <m/>
    <m/>
    <m/>
    <m/>
    <m/>
    <m/>
    <s v=""/>
    <m/>
    <m/>
    <m/>
    <m/>
    <m/>
    <m/>
    <m/>
    <m/>
    <m/>
    <m/>
    <m/>
    <x v="0"/>
    <x v="7"/>
  </r>
  <r>
    <d v="2025-09-19T07:30:00"/>
    <d v="2025-09-19T10:50:00"/>
    <n v="3.3333333333721384"/>
    <n v="748.79999999128279"/>
    <x v="2"/>
    <s v="03_07"/>
    <m/>
    <s v="25261/03"/>
    <s v="Envase"/>
    <n v="2496"/>
    <s v="IBARHD06"/>
    <s v="LOÇÃO HIDRATANTE ABDALLAH"/>
    <n v="180"/>
    <s v="ml"/>
    <x v="11"/>
    <x v="0"/>
    <s v="CREME HIDRATANTE"/>
    <x v="2"/>
    <m/>
    <m/>
    <m/>
    <m/>
    <m/>
    <m/>
    <m/>
    <m/>
    <m/>
    <m/>
    <m/>
    <m/>
    <m/>
    <m/>
    <m/>
    <m/>
    <m/>
    <m/>
    <m/>
    <m/>
    <m/>
    <s v=""/>
    <m/>
    <m/>
    <m/>
    <m/>
    <m/>
    <m/>
    <m/>
    <m/>
    <m/>
    <m/>
    <m/>
    <x v="0"/>
    <x v="7"/>
  </r>
  <r>
    <d v="2025-09-19T10:50:00"/>
    <d v="2025-09-19T15:08:00"/>
    <n v="3.3000000000465661"/>
    <n v="763.63636362558805"/>
    <x v="2"/>
    <s v="03_07"/>
    <m/>
    <s v="25261/04"/>
    <s v="Envase"/>
    <n v="2520"/>
    <s v="IBARHD06"/>
    <s v="LOÇÃO HIDRATANTE ABDALLAH"/>
    <n v="180"/>
    <s v="ml"/>
    <x v="11"/>
    <x v="0"/>
    <s v="CREME HIDRATANTE"/>
    <x v="2"/>
    <m/>
    <m/>
    <m/>
    <m/>
    <m/>
    <m/>
    <m/>
    <m/>
    <m/>
    <m/>
    <m/>
    <m/>
    <m/>
    <m/>
    <m/>
    <m/>
    <m/>
    <m/>
    <m/>
    <m/>
    <m/>
    <s v=""/>
    <m/>
    <m/>
    <m/>
    <m/>
    <m/>
    <m/>
    <m/>
    <m/>
    <m/>
    <m/>
    <m/>
    <x v="0"/>
    <x v="7"/>
  </r>
  <r>
    <d v="2025-09-19T13:30:00"/>
    <d v="2025-09-22T11:50:00"/>
    <n v="7.3333333333139308"/>
    <n v="674.18181818360199"/>
    <x v="1"/>
    <s v="03_07"/>
    <m/>
    <s v="25261/02"/>
    <s v="Envase"/>
    <n v="4944"/>
    <s v="IBARBS05"/>
    <s v="BODY SPLASH HABIB"/>
    <n v="120"/>
    <s v="ml"/>
    <x v="11"/>
    <x v="1"/>
    <s v="BODY SPLASH"/>
    <x v="1"/>
    <m/>
    <m/>
    <m/>
    <m/>
    <m/>
    <m/>
    <m/>
    <m/>
    <m/>
    <m/>
    <m/>
    <m/>
    <m/>
    <m/>
    <m/>
    <m/>
    <m/>
    <m/>
    <m/>
    <m/>
    <m/>
    <s v=""/>
    <m/>
    <m/>
    <m/>
    <m/>
    <m/>
    <m/>
    <m/>
    <m/>
    <m/>
    <m/>
    <m/>
    <x v="0"/>
    <x v="7"/>
  </r>
  <r>
    <d v="2025-09-19T15:20:00"/>
    <d v="2025-09-22T09:50:00"/>
    <n v="3.4999999998835847"/>
    <n v="713.14285716657741"/>
    <x v="2"/>
    <s v="03_07"/>
    <m/>
    <s v="25262/06"/>
    <s v="Envase"/>
    <n v="2496"/>
    <s v="IBARHD03"/>
    <s v="LOÇÃO HIDRATANTE JADE"/>
    <n v="180"/>
    <s v="ml"/>
    <x v="11"/>
    <x v="0"/>
    <s v="CREME HIDRATANTE"/>
    <x v="2"/>
    <m/>
    <m/>
    <m/>
    <m/>
    <m/>
    <m/>
    <m/>
    <m/>
    <m/>
    <m/>
    <m/>
    <m/>
    <m/>
    <m/>
    <m/>
    <m/>
    <m/>
    <m/>
    <m/>
    <m/>
    <m/>
    <s v=""/>
    <m/>
    <m/>
    <m/>
    <m/>
    <m/>
    <m/>
    <m/>
    <m/>
    <m/>
    <m/>
    <m/>
    <x v="0"/>
    <x v="7"/>
  </r>
  <r>
    <d v="2025-09-22T09:50:00"/>
    <d v="2025-09-23T11:50:00"/>
    <n v="11.000000000174623"/>
    <n v="218.18181817835458"/>
    <x v="2"/>
    <s v="03_07"/>
    <m/>
    <s v="25262/07"/>
    <s v="Envase"/>
    <n v="2400"/>
    <s v="IBARHD03"/>
    <s v="LOÇÃO HIDRATANTE JADE"/>
    <n v="180"/>
    <s v="ml"/>
    <x v="11"/>
    <x v="0"/>
    <s v="CREME HIDRATANTE"/>
    <x v="2"/>
    <m/>
    <m/>
    <m/>
    <m/>
    <m/>
    <m/>
    <m/>
    <m/>
    <m/>
    <m/>
    <m/>
    <m/>
    <m/>
    <m/>
    <m/>
    <m/>
    <m/>
    <m/>
    <m/>
    <m/>
    <m/>
    <s v=""/>
    <m/>
    <m/>
    <m/>
    <m/>
    <m/>
    <m/>
    <m/>
    <m/>
    <m/>
    <m/>
    <m/>
    <x v="0"/>
    <x v="7"/>
  </r>
  <r>
    <d v="2025-09-22T11:56:00"/>
    <d v="2025-09-23T11:00:00"/>
    <n v="8.0666666668839753"/>
    <n v="600.9917355209999"/>
    <x v="1"/>
    <s v="03_07"/>
    <m/>
    <s v="25262/03"/>
    <s v="Envase"/>
    <n v="4848"/>
    <s v="IBARBS03"/>
    <s v="BODY SPLASH JADE"/>
    <n v="120"/>
    <s v="ml"/>
    <x v="11"/>
    <x v="1"/>
    <s v="BODY SPLASH"/>
    <x v="1"/>
    <m/>
    <m/>
    <m/>
    <m/>
    <m/>
    <m/>
    <m/>
    <m/>
    <m/>
    <m/>
    <m/>
    <m/>
    <m/>
    <m/>
    <m/>
    <m/>
    <m/>
    <m/>
    <m/>
    <m/>
    <m/>
    <s v=""/>
    <m/>
    <m/>
    <m/>
    <m/>
    <m/>
    <m/>
    <m/>
    <m/>
    <m/>
    <m/>
    <m/>
    <x v="0"/>
    <x v="7"/>
  </r>
  <r>
    <d v="2025-09-22T15:34:00"/>
    <d v="2025-09-23T09:55:00"/>
    <n v="4.3500000002095476"/>
    <n v="573.79310342063513"/>
    <x v="2"/>
    <s v="03_07"/>
    <m/>
    <s v="25262/05"/>
    <s v="Envase"/>
    <n v="2496"/>
    <s v="IBARHD04"/>
    <s v="LOÇÃO HIDRATANTE ÁRABE"/>
    <n v="180"/>
    <s v="ml"/>
    <x v="11"/>
    <x v="0"/>
    <s v="CREME HIDRATANTE"/>
    <x v="2"/>
    <m/>
    <m/>
    <m/>
    <m/>
    <m/>
    <m/>
    <m/>
    <m/>
    <m/>
    <m/>
    <m/>
    <m/>
    <m/>
    <m/>
    <m/>
    <m/>
    <m/>
    <m/>
    <m/>
    <m/>
    <m/>
    <s v=""/>
    <m/>
    <m/>
    <m/>
    <m/>
    <m/>
    <m/>
    <m/>
    <m/>
    <m/>
    <m/>
    <m/>
    <x v="0"/>
    <x v="7"/>
  </r>
  <r>
    <d v="2025-09-23T09:55:00"/>
    <d v="2025-09-23T14:27:00"/>
    <n v="3.5333333332673647"/>
    <n v="713.20754718312719"/>
    <x v="2"/>
    <s v="03_07"/>
    <m/>
    <s v="25262/04"/>
    <s v="Envase"/>
    <n v="2520"/>
    <s v="IBARHD04"/>
    <s v="LOÇÃO HIDRATANTE ÁRABE"/>
    <n v="180"/>
    <s v="ml"/>
    <x v="11"/>
    <x v="0"/>
    <s v="CREME HIDRATANTE"/>
    <x v="2"/>
    <m/>
    <m/>
    <m/>
    <m/>
    <m/>
    <m/>
    <m/>
    <m/>
    <m/>
    <m/>
    <m/>
    <m/>
    <m/>
    <m/>
    <m/>
    <m/>
    <m/>
    <m/>
    <m/>
    <m/>
    <m/>
    <s v=""/>
    <m/>
    <m/>
    <m/>
    <m/>
    <m/>
    <m/>
    <m/>
    <m/>
    <m/>
    <m/>
    <m/>
    <x v="0"/>
    <x v="7"/>
  </r>
  <r>
    <d v="2025-09-23T10:45:00"/>
    <d v="2025-09-24T08:20:00"/>
    <n v="6.5833333334303461"/>
    <n v="721.82278479948968"/>
    <x v="1"/>
    <s v="03_07"/>
    <m/>
    <s v="25262/01"/>
    <s v="Envase"/>
    <n v="4752"/>
    <s v="IBARBS06"/>
    <s v="BODY SPLASH ABDALLAH"/>
    <n v="120"/>
    <s v="ml"/>
    <x v="11"/>
    <x v="1"/>
    <s v="BODY SPLASH"/>
    <x v="1"/>
    <m/>
    <m/>
    <m/>
    <m/>
    <m/>
    <m/>
    <m/>
    <m/>
    <m/>
    <m/>
    <m/>
    <m/>
    <m/>
    <m/>
    <m/>
    <m/>
    <m/>
    <m/>
    <m/>
    <m/>
    <m/>
    <s v=""/>
    <m/>
    <m/>
    <m/>
    <m/>
    <m/>
    <m/>
    <m/>
    <m/>
    <m/>
    <m/>
    <m/>
    <x v="0"/>
    <x v="7"/>
  </r>
  <r>
    <d v="2025-09-23T16:00:00"/>
    <d v="2025-09-24T08:50:00"/>
    <n v="2.8333333334885538"/>
    <n v="897.88235289198713"/>
    <x v="2"/>
    <s v="Fabiano 22/09"/>
    <m/>
    <s v="25266/01"/>
    <s v="Envase"/>
    <n v="2544"/>
    <s v="MRARBS02"/>
    <s v="BODY SPLASH DEUSA DO NILO"/>
    <n v="220"/>
    <s v="ml"/>
    <x v="0"/>
    <x v="1"/>
    <s v="BODY SPLASH"/>
    <x v="1"/>
    <m/>
    <m/>
    <m/>
    <m/>
    <m/>
    <m/>
    <m/>
    <m/>
    <m/>
    <m/>
    <m/>
    <m/>
    <m/>
    <m/>
    <m/>
    <m/>
    <m/>
    <m/>
    <m/>
    <m/>
    <m/>
    <s v=""/>
    <m/>
    <m/>
    <m/>
    <m/>
    <m/>
    <m/>
    <m/>
    <m/>
    <m/>
    <m/>
    <m/>
    <x v="0"/>
    <x v="7"/>
  </r>
  <r>
    <d v="2025-09-24T08:20:00"/>
    <d v="2025-09-24T15:06:00"/>
    <n v="5.7666666667209938"/>
    <n v="849.01734103246395"/>
    <x v="1"/>
    <s v="03_07"/>
    <m/>
    <s v="25262/02"/>
    <s v="Envase"/>
    <n v="4896"/>
    <s v="IBARBS04"/>
    <s v="BODY SPLASH ÁRABE"/>
    <n v="120"/>
    <s v="ml"/>
    <x v="11"/>
    <x v="1"/>
    <s v="BODY SPLASH"/>
    <x v="1"/>
    <m/>
    <m/>
    <m/>
    <m/>
    <m/>
    <m/>
    <m/>
    <m/>
    <m/>
    <m/>
    <m/>
    <m/>
    <m/>
    <m/>
    <m/>
    <m/>
    <m/>
    <m/>
    <m/>
    <m/>
    <m/>
    <s v=""/>
    <m/>
    <m/>
    <m/>
    <m/>
    <m/>
    <m/>
    <m/>
    <m/>
    <m/>
    <m/>
    <m/>
    <x v="0"/>
    <x v="7"/>
  </r>
  <r>
    <d v="2025-09-24T08:50:00"/>
    <d v="2025-09-24T11:08:00"/>
    <n v="2.2999999999883585"/>
    <n v="605.21739130741116"/>
    <x v="2"/>
    <s v="Fabiano 22/09"/>
    <m/>
    <s v="25266/02"/>
    <s v="Envase"/>
    <n v="1392"/>
    <s v="MRARBS02"/>
    <s v="BODY SPLASH DEUSA DO NILO"/>
    <n v="220"/>
    <s v="ml"/>
    <x v="0"/>
    <x v="1"/>
    <s v="BODY SPLASH"/>
    <x v="1"/>
    <m/>
    <m/>
    <m/>
    <m/>
    <m/>
    <m/>
    <m/>
    <m/>
    <m/>
    <m/>
    <m/>
    <m/>
    <m/>
    <m/>
    <m/>
    <m/>
    <m/>
    <m/>
    <m/>
    <m/>
    <m/>
    <s v=""/>
    <m/>
    <m/>
    <m/>
    <m/>
    <m/>
    <m/>
    <m/>
    <m/>
    <m/>
    <m/>
    <m/>
    <x v="0"/>
    <x v="7"/>
  </r>
  <r>
    <d v="2025-09-24T11:08:00"/>
    <d v="2025-09-24T15:44:00"/>
    <n v="3.5999999999767169"/>
    <n v="706.66666667123707"/>
    <x v="2"/>
    <s v="Fabiano 22/09"/>
    <m/>
    <s v="25267/01"/>
    <s v="Envase"/>
    <n v="2544"/>
    <s v="MRARBS04"/>
    <s v="BODY SPLASH NÉCTAR DAS TAMARAS"/>
    <n v="220"/>
    <s v="ml"/>
    <x v="0"/>
    <x v="1"/>
    <s v="BODY SPLASH"/>
    <x v="1"/>
    <m/>
    <m/>
    <m/>
    <m/>
    <m/>
    <m/>
    <m/>
    <m/>
    <m/>
    <m/>
    <m/>
    <m/>
    <m/>
    <m/>
    <m/>
    <m/>
    <m/>
    <m/>
    <m/>
    <m/>
    <m/>
    <s v=""/>
    <m/>
    <m/>
    <m/>
    <m/>
    <m/>
    <m/>
    <m/>
    <m/>
    <m/>
    <m/>
    <m/>
    <x v="0"/>
    <x v="7"/>
  </r>
  <r>
    <d v="2025-09-24T15:44:00"/>
    <d v="2025-09-25T08:50:00"/>
    <n v="3.1000000001513399"/>
    <n v="820.64516125025921"/>
    <x v="2"/>
    <s v="Fabiano 22/09"/>
    <m/>
    <s v="25267/02"/>
    <s v="Envase"/>
    <n v="2544"/>
    <s v="MRARBS04"/>
    <s v="BODY SPLASH NÉCTAR DAS TAMARAS"/>
    <n v="220"/>
    <s v="ml"/>
    <x v="0"/>
    <x v="1"/>
    <s v="BODY SPLASH"/>
    <x v="1"/>
    <m/>
    <m/>
    <m/>
    <m/>
    <m/>
    <m/>
    <m/>
    <m/>
    <m/>
    <m/>
    <m/>
    <m/>
    <m/>
    <m/>
    <m/>
    <m/>
    <m/>
    <m/>
    <m/>
    <m/>
    <m/>
    <s v=""/>
    <m/>
    <m/>
    <m/>
    <m/>
    <m/>
    <m/>
    <m/>
    <m/>
    <m/>
    <m/>
    <m/>
    <x v="0"/>
    <x v="7"/>
  </r>
  <r>
    <d v="2025-09-25T09:00:00"/>
    <d v="2025-09-25T11:38:00"/>
    <n v="2.6333333333604969"/>
    <n v="966.07594935712325"/>
    <x v="1"/>
    <s v="Fabiano 22/09"/>
    <m/>
    <s v="25267/03"/>
    <s v="Envase"/>
    <n v="2544"/>
    <s v="MRARBS04"/>
    <s v="BODY SPLASH NÉCTAR DAS TAMARAS"/>
    <n v="220"/>
    <s v="ml"/>
    <x v="0"/>
    <x v="1"/>
    <s v="BODY SPLASH"/>
    <x v="1"/>
    <m/>
    <m/>
    <m/>
    <m/>
    <m/>
    <m/>
    <m/>
    <m/>
    <m/>
    <m/>
    <m/>
    <m/>
    <m/>
    <m/>
    <m/>
    <m/>
    <m/>
    <m/>
    <m/>
    <m/>
    <m/>
    <s v=""/>
    <m/>
    <m/>
    <m/>
    <m/>
    <m/>
    <m/>
    <m/>
    <m/>
    <m/>
    <m/>
    <m/>
    <x v="0"/>
    <x v="7"/>
  </r>
  <r>
    <d v="2025-09-25T11:38:00"/>
    <d v="2025-09-26T07:42:00"/>
    <n v="5.0666666667093523"/>
    <n v="502.10526315366462"/>
    <x v="2"/>
    <s v="Fabiano 22/09"/>
    <m/>
    <s v="25267/04"/>
    <s v="Envase"/>
    <n v="2544"/>
    <s v="MRARBS04"/>
    <s v="BODY SPLASH NÉCTAR DAS TAMARAS"/>
    <n v="220"/>
    <s v="ml"/>
    <x v="0"/>
    <x v="1"/>
    <s v="BODY SPLASH"/>
    <x v="1"/>
    <m/>
    <m/>
    <m/>
    <m/>
    <m/>
    <m/>
    <m/>
    <m/>
    <m/>
    <m/>
    <m/>
    <m/>
    <m/>
    <m/>
    <m/>
    <m/>
    <m/>
    <m/>
    <m/>
    <m/>
    <m/>
    <s v=""/>
    <m/>
    <m/>
    <m/>
    <m/>
    <m/>
    <m/>
    <m/>
    <m/>
    <m/>
    <m/>
    <m/>
    <x v="0"/>
    <x v="7"/>
  </r>
  <r>
    <d v="2025-09-26T07:48:00"/>
    <d v="2025-09-26T09:59:00"/>
    <n v="2.1833333334652707"/>
    <n v="1165.1908396242447"/>
    <x v="2"/>
    <s v="Fabiano 22/09"/>
    <m/>
    <s v="25267/05"/>
    <s v="Envase"/>
    <n v="2544"/>
    <s v="MRARBS04"/>
    <s v="BODY SPLASH NÉCTAR DAS TAMARAS"/>
    <n v="220"/>
    <s v="ml"/>
    <x v="0"/>
    <x v="1"/>
    <s v="BODY SPLASH"/>
    <x v="1"/>
    <m/>
    <m/>
    <m/>
    <m/>
    <m/>
    <m/>
    <m/>
    <m/>
    <m/>
    <m/>
    <m/>
    <m/>
    <m/>
    <m/>
    <m/>
    <m/>
    <m/>
    <m/>
    <m/>
    <m/>
    <m/>
    <s v=""/>
    <m/>
    <m/>
    <m/>
    <m/>
    <m/>
    <m/>
    <m/>
    <m/>
    <m/>
    <m/>
    <m/>
    <x v="0"/>
    <x v="7"/>
  </r>
  <r>
    <d v="2025-09-26T09:38:00"/>
    <d v="2025-09-29T08:20:00"/>
    <n v="6.6999999999534339"/>
    <n v="746.26865672160466"/>
    <x v="1"/>
    <s v="03_07"/>
    <m/>
    <s v="25267/09"/>
    <s v="Envase"/>
    <n v="5000"/>
    <s v="IBCHEC01"/>
    <s v="ESCOVA DE CHUVEIRO CHEIRINHO DE MELÂNCIA"/>
    <n v="100"/>
    <s v="ml"/>
    <x v="11"/>
    <x v="5"/>
    <s v="ESCOVA PROGRESSIVA"/>
    <x v="3"/>
    <m/>
    <m/>
    <m/>
    <m/>
    <m/>
    <m/>
    <m/>
    <m/>
    <m/>
    <m/>
    <m/>
    <m/>
    <m/>
    <m/>
    <m/>
    <m/>
    <m/>
    <m/>
    <m/>
    <m/>
    <m/>
    <s v=""/>
    <m/>
    <m/>
    <m/>
    <m/>
    <m/>
    <m/>
    <m/>
    <m/>
    <m/>
    <m/>
    <m/>
    <x v="0"/>
    <x v="7"/>
  </r>
  <r>
    <d v="2025-09-26T09:59:00"/>
    <d v="2025-09-26T14:13:00"/>
    <n v="3.2333333333372138"/>
    <n v="786.80412371039597"/>
    <x v="2"/>
    <s v="Fabiano 22/09"/>
    <m/>
    <s v="25267/06"/>
    <s v="Envase "/>
    <n v="2544"/>
    <s v="MRARBS04"/>
    <s v="BODY SPLASH NÉCTAR DAS TAMARAS"/>
    <n v="220"/>
    <s v="ml"/>
    <x v="0"/>
    <x v="1"/>
    <s v="BODY SPLASH"/>
    <x v="1"/>
    <m/>
    <m/>
    <m/>
    <m/>
    <m/>
    <m/>
    <m/>
    <m/>
    <m/>
    <m/>
    <m/>
    <m/>
    <m/>
    <m/>
    <m/>
    <m/>
    <m/>
    <m/>
    <m/>
    <m/>
    <m/>
    <s v=""/>
    <m/>
    <m/>
    <m/>
    <m/>
    <m/>
    <m/>
    <m/>
    <m/>
    <m/>
    <m/>
    <m/>
    <x v="0"/>
    <x v="7"/>
  </r>
  <r>
    <d v="2025-09-26T14:14:00"/>
    <d v="2025-09-29T08:28:00"/>
    <n v="3.2333333333954215"/>
    <n v="786.80412369623161"/>
    <x v="2"/>
    <s v="Fabiano 22/09"/>
    <m/>
    <s v="25267/07"/>
    <s v="Envase"/>
    <n v="2544"/>
    <s v="MRARBS04"/>
    <s v="BODY SPLASH NÉCTAR DAS TAMARAS"/>
    <n v="220"/>
    <s v="ml"/>
    <x v="0"/>
    <x v="1"/>
    <s v="BODY SPLASH"/>
    <x v="1"/>
    <m/>
    <m/>
    <m/>
    <m/>
    <m/>
    <m/>
    <m/>
    <m/>
    <m/>
    <m/>
    <m/>
    <m/>
    <m/>
    <m/>
    <m/>
    <m/>
    <m/>
    <m/>
    <m/>
    <m/>
    <m/>
    <s v=""/>
    <m/>
    <m/>
    <m/>
    <m/>
    <m/>
    <m/>
    <m/>
    <m/>
    <m/>
    <m/>
    <m/>
    <x v="0"/>
    <x v="7"/>
  </r>
  <r>
    <d v="2025-09-29T08:00:00"/>
    <d v="2025-09-29T14:30:00"/>
    <n v="5.4999999998835847"/>
    <n v="462.54545455524499"/>
    <x v="2"/>
    <s v="Fabiano 22/09"/>
    <m/>
    <s v="25272/01"/>
    <s v="Envase"/>
    <n v="2544"/>
    <s v="MRARBS04"/>
    <s v="BODY SPLASH NÉCTAR DAS TAMARAS"/>
    <n v="220"/>
    <s v="ml"/>
    <x v="0"/>
    <x v="1"/>
    <s v="BODY SPLASH"/>
    <x v="1"/>
    <m/>
    <m/>
    <m/>
    <m/>
    <m/>
    <m/>
    <m/>
    <m/>
    <m/>
    <m/>
    <m/>
    <m/>
    <m/>
    <m/>
    <m/>
    <m/>
    <m/>
    <m/>
    <m/>
    <m/>
    <m/>
    <s v=""/>
    <m/>
    <m/>
    <m/>
    <m/>
    <m/>
    <m/>
    <m/>
    <m/>
    <m/>
    <m/>
    <m/>
    <x v="0"/>
    <x v="7"/>
  </r>
  <r>
    <d v="2025-09-29T08:20:00"/>
    <d v="2025-09-30T08:38:00"/>
    <n v="9.3000000002211891"/>
    <n v="537.6344085893636"/>
    <x v="1"/>
    <s v="03_07"/>
    <m/>
    <s v="25267/11"/>
    <s v="Envase"/>
    <n v="5000"/>
    <s v="IBCHEC01"/>
    <s v="ESCOVA DE CHUVEIRO CHEIRINHO DE MELÂNCIA"/>
    <n v="100"/>
    <s v="ml"/>
    <x v="11"/>
    <x v="5"/>
    <s v="ESCOVA PROGRESSIVA"/>
    <x v="3"/>
    <m/>
    <m/>
    <m/>
    <m/>
    <m/>
    <m/>
    <m/>
    <m/>
    <m/>
    <m/>
    <m/>
    <m/>
    <m/>
    <m/>
    <m/>
    <m/>
    <m/>
    <m/>
    <m/>
    <m/>
    <m/>
    <s v=""/>
    <m/>
    <m/>
    <m/>
    <m/>
    <m/>
    <m/>
    <m/>
    <m/>
    <m/>
    <m/>
    <m/>
    <x v="0"/>
    <x v="7"/>
  </r>
  <r>
    <d v="2025-09-29T08:28:00"/>
    <d v="2025-09-29T10:55:00"/>
    <n v="2.4499999999534339"/>
    <n v="1038.3673469585112"/>
    <x v="2"/>
    <s v="Fabiano 22/09"/>
    <m/>
    <s v="25267/08"/>
    <s v="Envase"/>
    <n v="2544"/>
    <s v="MRARBS04"/>
    <s v="BODY SPLASH NÉCTAR DAS TAMARAS"/>
    <n v="220"/>
    <s v="ml"/>
    <x v="0"/>
    <x v="1"/>
    <s v="BODY SPLASH"/>
    <x v="1"/>
    <m/>
    <m/>
    <m/>
    <m/>
    <m/>
    <m/>
    <m/>
    <m/>
    <m/>
    <m/>
    <m/>
    <m/>
    <m/>
    <m/>
    <m/>
    <m/>
    <m/>
    <m/>
    <m/>
    <m/>
    <m/>
    <s v=""/>
    <m/>
    <m/>
    <m/>
    <m/>
    <m/>
    <m/>
    <m/>
    <m/>
    <m/>
    <m/>
    <m/>
    <x v="0"/>
    <x v="7"/>
  </r>
  <r>
    <d v="2025-09-29T14:30:00"/>
    <d v="2025-09-29T15:47:00"/>
    <n v="1.2833333333255723"/>
    <n v="897.66233766776634"/>
    <x v="2"/>
    <s v="Fabiano 22/09"/>
    <m/>
    <s v="25272/06"/>
    <s v="Envase"/>
    <n v="1152"/>
    <s v="MRARBS04"/>
    <s v="BODY SPLASH NÉCTAR DAS TAMARAS"/>
    <n v="220"/>
    <s v="ml"/>
    <x v="0"/>
    <x v="1"/>
    <s v="BODY SPLASH"/>
    <x v="1"/>
    <m/>
    <m/>
    <m/>
    <m/>
    <m/>
    <m/>
    <m/>
    <m/>
    <m/>
    <m/>
    <m/>
    <m/>
    <m/>
    <m/>
    <m/>
    <m/>
    <m/>
    <m/>
    <m/>
    <m/>
    <m/>
    <s v=""/>
    <m/>
    <m/>
    <m/>
    <m/>
    <m/>
    <m/>
    <m/>
    <m/>
    <m/>
    <m/>
    <m/>
    <x v="0"/>
    <x v="7"/>
  </r>
  <r>
    <d v="2025-09-29T15:57:00"/>
    <d v="2025-09-30T08:56:00"/>
    <n v="2.9833333334536292"/>
    <n v="675.75418991688593"/>
    <x v="2"/>
    <s v="Fabiano 22/09"/>
    <m/>
    <s v="25272/04"/>
    <s v="Envase"/>
    <n v="2016"/>
    <s v="MRARBS03"/>
    <s v="BODY SPLASH ECLIPSE DOURADO"/>
    <n v="220"/>
    <s v="ml"/>
    <x v="0"/>
    <x v="1"/>
    <s v="BODY SPLASH"/>
    <x v="1"/>
    <m/>
    <m/>
    <m/>
    <m/>
    <m/>
    <m/>
    <m/>
    <m/>
    <m/>
    <m/>
    <m/>
    <m/>
    <m/>
    <m/>
    <m/>
    <m/>
    <m/>
    <m/>
    <m/>
    <m/>
    <m/>
    <s v=""/>
    <m/>
    <m/>
    <m/>
    <m/>
    <m/>
    <m/>
    <m/>
    <m/>
    <m/>
    <m/>
    <m/>
    <x v="0"/>
    <x v="7"/>
  </r>
  <r>
    <d v="2025-09-30T08:57:00"/>
    <d v="2025-09-30T11:30:00"/>
    <n v="2.5499999999301508"/>
    <n v="960.00000002629622"/>
    <x v="2"/>
    <s v="Fabiano 22/09"/>
    <m/>
    <s v="25272/05"/>
    <s v="Envase"/>
    <n v="2448"/>
    <s v="MRARBS03"/>
    <s v="BODY SPLASH ECLIPSE DOURADO"/>
    <n v="220"/>
    <s v="ml"/>
    <x v="0"/>
    <x v="1"/>
    <s v="BODY SPLASH"/>
    <x v="1"/>
    <m/>
    <m/>
    <m/>
    <m/>
    <m/>
    <m/>
    <m/>
    <m/>
    <m/>
    <m/>
    <m/>
    <m/>
    <m/>
    <m/>
    <m/>
    <m/>
    <m/>
    <m/>
    <m/>
    <m/>
    <m/>
    <s v=""/>
    <m/>
    <m/>
    <m/>
    <m/>
    <m/>
    <m/>
    <m/>
    <m/>
    <m/>
    <m/>
    <m/>
    <x v="0"/>
    <x v="7"/>
  </r>
  <r>
    <d v="2025-09-30T09:30:00"/>
    <d v="2025-09-30T13:30:00"/>
    <n v="2.9999999999417923"/>
    <n v="739.66666668101811"/>
    <x v="1"/>
    <s v="Curaderm"/>
    <m/>
    <s v="25267/10"/>
    <s v="Envase"/>
    <n v="2219"/>
    <s v="CRPMCR01"/>
    <s v="POMADA CURADERM"/>
    <n v="30"/>
    <s v="ml"/>
    <x v="12"/>
    <x v="0"/>
    <s v="POMADA"/>
    <x v="4"/>
    <m/>
    <m/>
    <m/>
    <m/>
    <m/>
    <m/>
    <m/>
    <m/>
    <m/>
    <m/>
    <m/>
    <m/>
    <m/>
    <m/>
    <m/>
    <m/>
    <m/>
    <m/>
    <m/>
    <m/>
    <m/>
    <s v=""/>
    <m/>
    <m/>
    <m/>
    <m/>
    <m/>
    <m/>
    <m/>
    <m/>
    <m/>
    <m/>
    <m/>
    <x v="0"/>
    <x v="7"/>
  </r>
  <r>
    <d v="2025-09-30T13:26:00"/>
    <d v="2025-09-30T14:57:00"/>
    <n v="1.5166666667209938"/>
    <n v="1107.69230765263"/>
    <x v="2"/>
    <s v="GLOW - Água Micelar"/>
    <m/>
    <s v="25272/07"/>
    <s v="Envase"/>
    <n v="1680"/>
    <s v="GLMKAM04"/>
    <s v="ÁGUA MICELAR COLÁGENO"/>
    <n v="325"/>
    <s v="ml"/>
    <x v="9"/>
    <x v="4"/>
    <s v="ÁGUA MICELAR"/>
    <x v="1"/>
    <m/>
    <m/>
    <m/>
    <m/>
    <m/>
    <m/>
    <m/>
    <m/>
    <m/>
    <m/>
    <m/>
    <m/>
    <m/>
    <m/>
    <m/>
    <m/>
    <m/>
    <m/>
    <m/>
    <m/>
    <m/>
    <s v=""/>
    <m/>
    <m/>
    <m/>
    <m/>
    <m/>
    <m/>
    <m/>
    <m/>
    <m/>
    <m/>
    <m/>
    <x v="0"/>
    <x v="7"/>
  </r>
  <r>
    <d v="2025-09-30T14:57:00"/>
    <d v="2025-10-01T07:26:00"/>
    <n v="2.4833333333954215"/>
    <n v="676.5100670971799"/>
    <x v="2"/>
    <s v="GLOW - Água Micelar"/>
    <m/>
    <s v="25272/08"/>
    <s v="Envase"/>
    <n v="1680"/>
    <s v="GLMKAM04"/>
    <s v="ÁGUA MICELAR COLÁGENO"/>
    <n v="325"/>
    <s v="ml"/>
    <x v="9"/>
    <x v="4"/>
    <s v="ÁGUA MICELAR"/>
    <x v="1"/>
    <m/>
    <m/>
    <m/>
    <m/>
    <m/>
    <m/>
    <m/>
    <m/>
    <m/>
    <m/>
    <m/>
    <m/>
    <m/>
    <m/>
    <m/>
    <m/>
    <m/>
    <m/>
    <m/>
    <m/>
    <m/>
    <s v=""/>
    <m/>
    <m/>
    <m/>
    <m/>
    <m/>
    <m/>
    <m/>
    <m/>
    <m/>
    <m/>
    <m/>
    <x v="0"/>
    <x v="7"/>
  </r>
  <r>
    <d v="2025-09-30T16:30:00"/>
    <d v="2025-10-01T10:54:00"/>
    <n v="4.400000000197906"/>
    <n v="1136.3636363125242"/>
    <x v="1"/>
    <s v="03_07"/>
    <m/>
    <s v="25272/02"/>
    <s v="Envase"/>
    <n v="5000"/>
    <s v="IBCHEC02"/>
    <s v="ESCOVA DE CHUVEIRO CHEIRINHO DE MORANGO"/>
    <n v="100"/>
    <s v="ml"/>
    <x v="11"/>
    <x v="5"/>
    <s v="ESCOVA PROGRESSIVA"/>
    <x v="3"/>
    <m/>
    <m/>
    <m/>
    <m/>
    <m/>
    <m/>
    <m/>
    <m/>
    <m/>
    <m/>
    <m/>
    <m/>
    <m/>
    <m/>
    <m/>
    <m/>
    <m/>
    <m/>
    <m/>
    <m/>
    <m/>
    <s v=""/>
    <m/>
    <m/>
    <m/>
    <m/>
    <m/>
    <m/>
    <m/>
    <m/>
    <m/>
    <m/>
    <m/>
    <x v="0"/>
    <x v="7"/>
  </r>
  <r>
    <d v="2025-10-01T07:30:00"/>
    <d v="2025-10-01T10:11:00"/>
    <n v="2.6833333333488554"/>
    <n v="626.0869565181174"/>
    <x v="2"/>
    <s v="GLOW - Água Micelar"/>
    <m/>
    <s v="25272/09"/>
    <s v="Envase"/>
    <n v="1680"/>
    <s v="GLMKAM04"/>
    <s v="ÁGUA MICELAR COLÁGENO"/>
    <n v="325"/>
    <s v="ml"/>
    <x v="9"/>
    <x v="4"/>
    <s v="ÁGUA MICELAR"/>
    <x v="1"/>
    <m/>
    <m/>
    <m/>
    <m/>
    <m/>
    <m/>
    <m/>
    <m/>
    <m/>
    <m/>
    <m/>
    <m/>
    <m/>
    <m/>
    <m/>
    <m/>
    <m/>
    <m/>
    <m/>
    <m/>
    <m/>
    <s v=""/>
    <m/>
    <m/>
    <m/>
    <m/>
    <m/>
    <m/>
    <m/>
    <m/>
    <m/>
    <m/>
    <m/>
    <x v="0"/>
    <x v="8"/>
  </r>
  <r>
    <d v="2025-10-01T10:11:00"/>
    <d v="2025-10-01T13:43:00"/>
    <n v="2.5333333333255723"/>
    <n v="663.15789473887378"/>
    <x v="2"/>
    <s v="GLOW - Água Micelar"/>
    <m/>
    <s v="25272/10"/>
    <s v="Envase"/>
    <n v="1680"/>
    <s v="GLMKAM04"/>
    <s v="ÁGUA MICELAR COLÁGENO"/>
    <n v="325"/>
    <s v="ml"/>
    <x v="9"/>
    <x v="4"/>
    <s v="ÁGUA MICELAR"/>
    <x v="1"/>
    <m/>
    <m/>
    <m/>
    <m/>
    <m/>
    <m/>
    <m/>
    <m/>
    <m/>
    <m/>
    <m/>
    <m/>
    <m/>
    <m/>
    <m/>
    <m/>
    <m/>
    <m/>
    <m/>
    <m/>
    <m/>
    <s v=""/>
    <m/>
    <m/>
    <m/>
    <m/>
    <m/>
    <m/>
    <m/>
    <m/>
    <m/>
    <m/>
    <m/>
    <x v="0"/>
    <x v="8"/>
  </r>
  <r>
    <d v="2025-10-01T10:43:00"/>
    <d v="2025-10-01T14:15:00"/>
    <n v="2.5333333333255723"/>
    <n v="1973.6842105323624"/>
    <x v="1"/>
    <s v="03_07"/>
    <m/>
    <s v="25272/03"/>
    <s v="Envase"/>
    <n v="5000"/>
    <s v="IBCHEC02"/>
    <s v="ESCOVA DE CHUVEIRO CHEIRINHO DE MORANGO"/>
    <n v="100"/>
    <s v="ml"/>
    <x v="11"/>
    <x v="5"/>
    <s v="ESCOVA PROGRESSIVA"/>
    <x v="3"/>
    <m/>
    <m/>
    <m/>
    <m/>
    <m/>
    <m/>
    <m/>
    <m/>
    <m/>
    <m/>
    <m/>
    <m/>
    <m/>
    <m/>
    <m/>
    <m/>
    <m/>
    <m/>
    <m/>
    <m/>
    <m/>
    <s v=""/>
    <m/>
    <m/>
    <m/>
    <m/>
    <m/>
    <m/>
    <m/>
    <m/>
    <m/>
    <m/>
    <m/>
    <x v="0"/>
    <x v="8"/>
  </r>
  <r>
    <d v="2025-10-01T13:43:00"/>
    <d v="2025-10-01T16:04:00"/>
    <n v="2.3499999999767169"/>
    <n v="714.89361702835959"/>
    <x v="2"/>
    <s v="GLOW - Água Micelar"/>
    <m/>
    <s v="25272/11"/>
    <s v="Envase"/>
    <n v="1680"/>
    <s v="GLMKAM04"/>
    <s v="ÁGUA MICELAR COLÁGENO"/>
    <n v="325"/>
    <s v="ml"/>
    <x v="9"/>
    <x v="4"/>
    <s v="ÁGUA MICELAR"/>
    <x v="1"/>
    <m/>
    <m/>
    <m/>
    <m/>
    <m/>
    <m/>
    <m/>
    <m/>
    <m/>
    <m/>
    <m/>
    <m/>
    <m/>
    <m/>
    <m/>
    <m/>
    <m/>
    <m/>
    <m/>
    <m/>
    <m/>
    <s v=""/>
    <m/>
    <m/>
    <m/>
    <m/>
    <m/>
    <m/>
    <m/>
    <m/>
    <m/>
    <m/>
    <m/>
    <x v="0"/>
    <x v="8"/>
  </r>
  <r>
    <d v="2025-10-01T16:01:00"/>
    <d v="2025-10-02T08:10:00"/>
    <n v="2.150000000197906"/>
    <n v="781.39534876528239"/>
    <x v="2"/>
    <s v="GLOW - Água Micelar"/>
    <m/>
    <s v="25272/12"/>
    <s v="Envase"/>
    <n v="1680"/>
    <s v="GLMKAM04"/>
    <s v="ÁGUA MICELAR COLÁGENO"/>
    <n v="325"/>
    <s v="ml"/>
    <x v="9"/>
    <x v="4"/>
    <s v="ÁGUA MICELAR"/>
    <x v="1"/>
    <m/>
    <m/>
    <m/>
    <m/>
    <m/>
    <m/>
    <m/>
    <m/>
    <m/>
    <m/>
    <m/>
    <m/>
    <m/>
    <m/>
    <m/>
    <m/>
    <m/>
    <m/>
    <m/>
    <m/>
    <m/>
    <s v=""/>
    <m/>
    <m/>
    <m/>
    <m/>
    <m/>
    <m/>
    <m/>
    <m/>
    <m/>
    <m/>
    <m/>
    <x v="0"/>
    <x v="8"/>
  </r>
  <r>
    <d v="2025-10-02T08:10:00"/>
    <d v="2025-10-02T10:11:00"/>
    <n v="2.0166666666045785"/>
    <n v="833.05785126531725"/>
    <x v="2"/>
    <s v="GLOW - Água Micelar"/>
    <m/>
    <s v="25272/13"/>
    <s v="Envase"/>
    <n v="1680"/>
    <s v="GLMKAM04"/>
    <s v="ÁGUA MICELAR COLÁGENO"/>
    <n v="325"/>
    <s v="ml"/>
    <x v="9"/>
    <x v="4"/>
    <s v="ÁGUA MICELAR"/>
    <x v="1"/>
    <m/>
    <m/>
    <m/>
    <m/>
    <m/>
    <m/>
    <m/>
    <m/>
    <m/>
    <m/>
    <m/>
    <m/>
    <m/>
    <m/>
    <m/>
    <m/>
    <m/>
    <m/>
    <m/>
    <m/>
    <m/>
    <s v=""/>
    <m/>
    <m/>
    <m/>
    <m/>
    <m/>
    <m/>
    <m/>
    <m/>
    <m/>
    <m/>
    <m/>
    <x v="0"/>
    <x v="8"/>
  </r>
  <r>
    <d v="2025-10-02T10:11:00"/>
    <d v="2025-10-02T13:15:00"/>
    <n v="2.0666666667093523"/>
    <n v="812.90322578966163"/>
    <x v="2"/>
    <s v="GLOW - Água Micelar"/>
    <m/>
    <s v="25272/14"/>
    <s v="Envase"/>
    <n v="1680"/>
    <s v="GLMKAM04"/>
    <s v="ÁGUA MICELAR COLÁGENO"/>
    <n v="325"/>
    <s v="ml"/>
    <x v="9"/>
    <x v="4"/>
    <s v="ÁGUA MICELAR"/>
    <x v="1"/>
    <m/>
    <m/>
    <m/>
    <m/>
    <m/>
    <m/>
    <m/>
    <m/>
    <m/>
    <m/>
    <m/>
    <m/>
    <m/>
    <m/>
    <m/>
    <m/>
    <m/>
    <m/>
    <m/>
    <m/>
    <m/>
    <s v=""/>
    <m/>
    <m/>
    <m/>
    <m/>
    <m/>
    <m/>
    <m/>
    <m/>
    <m/>
    <m/>
    <m/>
    <x v="0"/>
    <x v="8"/>
  </r>
  <r>
    <d v="2025-10-02T11:30:00"/>
    <d v="2025-10-03T07:29:00"/>
    <n v="4.9833333334536292"/>
    <n v="736.85618727318251"/>
    <x v="1"/>
    <s v="ANDRÉ 15/09"/>
    <m/>
    <s v="25274/07"/>
    <s v="Envase"/>
    <n v="3672"/>
    <s v="MAOEOL02"/>
    <s v="ÓLEO CORPORAL ALGODÃO"/>
    <n v="150"/>
    <s v="ml"/>
    <x v="13"/>
    <x v="0"/>
    <s v="OLEO CORPORAL"/>
    <x v="3"/>
    <m/>
    <m/>
    <m/>
    <m/>
    <m/>
    <m/>
    <m/>
    <m/>
    <m/>
    <m/>
    <m/>
    <m/>
    <m/>
    <m/>
    <m/>
    <m/>
    <m/>
    <m/>
    <m/>
    <m/>
    <m/>
    <s v=""/>
    <m/>
    <m/>
    <m/>
    <m/>
    <m/>
    <m/>
    <m/>
    <m/>
    <m/>
    <m/>
    <m/>
    <x v="0"/>
    <x v="8"/>
  </r>
  <r>
    <d v="2025-10-02T13:15:00"/>
    <d v="2025-10-02T15:20:00"/>
    <n v="2.0833333333139308"/>
    <n v="783.36000000729564"/>
    <x v="2"/>
    <s v="GLOW - Água Micelar"/>
    <m/>
    <s v="25275/07"/>
    <s v="Envase"/>
    <n v="1632"/>
    <s v="GLMKAM04"/>
    <s v="ÁGUA MICELAR COLÁGENO"/>
    <n v="325"/>
    <s v="ml"/>
    <x v="9"/>
    <x v="4"/>
    <s v="ÁGUA MICELAR"/>
    <x v="1"/>
    <m/>
    <m/>
    <m/>
    <m/>
    <m/>
    <m/>
    <m/>
    <m/>
    <m/>
    <m/>
    <m/>
    <m/>
    <m/>
    <m/>
    <m/>
    <m/>
    <m/>
    <m/>
    <m/>
    <m/>
    <m/>
    <s v=""/>
    <m/>
    <m/>
    <m/>
    <m/>
    <m/>
    <m/>
    <m/>
    <m/>
    <m/>
    <m/>
    <m/>
    <x v="0"/>
    <x v="8"/>
  </r>
  <r>
    <d v="2025-10-02T15:20:00"/>
    <d v="2025-10-03T07:53:00"/>
    <n v="2.5500000001047738"/>
    <n v="658.82352938469512"/>
    <x v="2"/>
    <s v="GLOW - Água Micelar"/>
    <m/>
    <s v="25275/01"/>
    <s v="Envase"/>
    <n v="1680"/>
    <s v="GLMKAM06"/>
    <s v="ÁGUA MICELAR BABA GLOW"/>
    <n v="325"/>
    <s v="ml"/>
    <x v="9"/>
    <x v="4"/>
    <s v="ÁGUA MICELAR"/>
    <x v="1"/>
    <m/>
    <m/>
    <m/>
    <m/>
    <m/>
    <m/>
    <m/>
    <m/>
    <m/>
    <m/>
    <m/>
    <m/>
    <m/>
    <m/>
    <m/>
    <m/>
    <m/>
    <m/>
    <m/>
    <m/>
    <m/>
    <s v=""/>
    <m/>
    <m/>
    <m/>
    <m/>
    <m/>
    <m/>
    <m/>
    <m/>
    <m/>
    <m/>
    <m/>
    <x v="0"/>
    <x v="8"/>
  </r>
  <r>
    <d v="2025-10-03T07:29:00"/>
    <d v="2025-10-03T15:30:00"/>
    <n v="7.0166666667792015"/>
    <n v="533.58669832873443"/>
    <x v="1"/>
    <s v="ANDRÉ 15/09"/>
    <m/>
    <s v="25274/08"/>
    <s v="Envase"/>
    <n v="3744"/>
    <s v="MAOEOL02"/>
    <s v="ÓLEO CORPORAL ALGODÃO"/>
    <n v="150"/>
    <s v="ml"/>
    <x v="13"/>
    <x v="0"/>
    <s v="OLEO CORPORAL"/>
    <x v="3"/>
    <m/>
    <m/>
    <m/>
    <m/>
    <m/>
    <m/>
    <m/>
    <m/>
    <m/>
    <m/>
    <m/>
    <m/>
    <m/>
    <m/>
    <m/>
    <m/>
    <m/>
    <m/>
    <m/>
    <m/>
    <m/>
    <s v=""/>
    <m/>
    <m/>
    <m/>
    <m/>
    <m/>
    <m/>
    <m/>
    <m/>
    <m/>
    <m/>
    <m/>
    <x v="0"/>
    <x v="8"/>
  </r>
  <r>
    <d v="2025-10-03T07:53:00"/>
    <d v="2025-10-03T10:00:00"/>
    <n v="2.1166666665812954"/>
    <n v="793.70078743358704"/>
    <x v="2"/>
    <s v="GLOW - Água Micelar"/>
    <m/>
    <s v="25275/02"/>
    <s v="Envase"/>
    <n v="1680"/>
    <s v="GLMKAM06"/>
    <s v="ÁGUA MICELAR BABA GLOW"/>
    <n v="325"/>
    <s v="ml"/>
    <x v="9"/>
    <x v="4"/>
    <s v="ÁGUA MICELAR"/>
    <x v="1"/>
    <m/>
    <m/>
    <m/>
    <m/>
    <m/>
    <m/>
    <m/>
    <m/>
    <m/>
    <m/>
    <m/>
    <m/>
    <m/>
    <m/>
    <m/>
    <m/>
    <m/>
    <m/>
    <m/>
    <m/>
    <m/>
    <s v=""/>
    <m/>
    <m/>
    <m/>
    <m/>
    <m/>
    <m/>
    <m/>
    <m/>
    <m/>
    <m/>
    <m/>
    <x v="0"/>
    <x v="8"/>
  </r>
  <r>
    <d v="2025-10-03T10:00:00"/>
    <d v="2025-10-03T13:20:00"/>
    <n v="2.3333333333721384"/>
    <n v="719.99999998802582"/>
    <x v="2"/>
    <s v="GLOW - Água Micelar"/>
    <m/>
    <s v="25275/03"/>
    <s v="Envase"/>
    <n v="1680"/>
    <s v="GLMKAM06"/>
    <s v="ÁGUA MICELAR BABA GLOW"/>
    <n v="325"/>
    <s v="ml"/>
    <x v="9"/>
    <x v="4"/>
    <s v="ÁGUA MICELAR"/>
    <x v="1"/>
    <m/>
    <m/>
    <m/>
    <m/>
    <m/>
    <m/>
    <m/>
    <m/>
    <m/>
    <m/>
    <m/>
    <m/>
    <m/>
    <m/>
    <m/>
    <m/>
    <m/>
    <m/>
    <m/>
    <m/>
    <m/>
    <s v=""/>
    <m/>
    <m/>
    <m/>
    <m/>
    <m/>
    <m/>
    <m/>
    <m/>
    <m/>
    <m/>
    <m/>
    <x v="0"/>
    <x v="8"/>
  </r>
  <r>
    <d v="2025-10-03T13:20:00"/>
    <d v="2025-10-03T15:17:00"/>
    <n v="1.9500000000698492"/>
    <n v="861.53846150760114"/>
    <x v="2"/>
    <s v="GLOW - Água Micelar"/>
    <m/>
    <s v="25275/04"/>
    <s v="Envase"/>
    <n v="1680"/>
    <s v="GLMKAM06"/>
    <s v="ÁGUA MICELAR BABA GLOW"/>
    <n v="325"/>
    <s v="ml"/>
    <x v="9"/>
    <x v="4"/>
    <s v="ÁGUA MICELAR"/>
    <x v="1"/>
    <m/>
    <m/>
    <m/>
    <m/>
    <m/>
    <m/>
    <m/>
    <m/>
    <m/>
    <m/>
    <m/>
    <m/>
    <m/>
    <m/>
    <m/>
    <m/>
    <m/>
    <m/>
    <m/>
    <m/>
    <m/>
    <s v=""/>
    <m/>
    <m/>
    <m/>
    <m/>
    <m/>
    <m/>
    <m/>
    <m/>
    <m/>
    <m/>
    <m/>
    <x v="0"/>
    <x v="8"/>
  </r>
  <r>
    <d v="2025-10-03T15:18:00"/>
    <d v="2025-10-06T08:30:00"/>
    <n v="2.2000000000116415"/>
    <n v="763.63636363232274"/>
    <x v="2"/>
    <s v="GLOW - Água Micelar"/>
    <m/>
    <s v="25275/05"/>
    <s v="Envase"/>
    <n v="1680"/>
    <s v="GLMKAM06"/>
    <s v="ÁGUA MICELAR BABA GLOW"/>
    <n v="325"/>
    <s v="ml"/>
    <x v="9"/>
    <x v="4"/>
    <s v="ÁGUA MICELAR"/>
    <x v="1"/>
    <m/>
    <m/>
    <m/>
    <m/>
    <m/>
    <m/>
    <m/>
    <m/>
    <m/>
    <m/>
    <m/>
    <m/>
    <m/>
    <m/>
    <m/>
    <m/>
    <m/>
    <m/>
    <m/>
    <m/>
    <m/>
    <s v=""/>
    <m/>
    <m/>
    <m/>
    <m/>
    <m/>
    <m/>
    <m/>
    <m/>
    <m/>
    <m/>
    <m/>
    <x v="0"/>
    <x v="8"/>
  </r>
  <r>
    <d v="2025-10-06T07:45:00"/>
    <d v="2025-10-06T14:30:00"/>
    <n v="5.75"/>
    <n v="803.47826086956525"/>
    <x v="1"/>
    <s v="02_07"/>
    <m/>
    <s v="25274/01"/>
    <s v="Envase"/>
    <n v="4620"/>
    <s v="DPHNBS02"/>
    <s v="BODY SPLASH DAPOP HONEY GLOW"/>
    <n v="120"/>
    <s v="ml"/>
    <x v="4"/>
    <x v="1"/>
    <s v="BODY SPLASH"/>
    <x v="3"/>
    <m/>
    <m/>
    <m/>
    <m/>
    <m/>
    <m/>
    <m/>
    <m/>
    <m/>
    <m/>
    <m/>
    <m/>
    <m/>
    <m/>
    <m/>
    <m/>
    <m/>
    <m/>
    <m/>
    <m/>
    <m/>
    <s v=""/>
    <m/>
    <m/>
    <m/>
    <m/>
    <m/>
    <m/>
    <m/>
    <m/>
    <m/>
    <m/>
    <m/>
    <x v="0"/>
    <x v="8"/>
  </r>
  <r>
    <d v="2025-10-06T08:30:00"/>
    <d v="2025-10-06T10:19:00"/>
    <n v="1.8166666666511446"/>
    <n v="924.77064220973637"/>
    <x v="2"/>
    <s v="GLOW - Água Micelar"/>
    <m/>
    <s v="25275/06"/>
    <s v="Envase"/>
    <n v="1680"/>
    <s v="GLMKAM06"/>
    <s v="ÁGUA MICELAR BABA GLOW"/>
    <n v="325"/>
    <s v="ml"/>
    <x v="9"/>
    <x v="4"/>
    <s v="ÁGUA MICELAR"/>
    <x v="1"/>
    <m/>
    <m/>
    <m/>
    <m/>
    <m/>
    <m/>
    <m/>
    <m/>
    <m/>
    <m/>
    <m/>
    <m/>
    <m/>
    <m/>
    <m/>
    <m/>
    <m/>
    <m/>
    <m/>
    <m/>
    <m/>
    <s v=""/>
    <m/>
    <m/>
    <m/>
    <m/>
    <m/>
    <m/>
    <m/>
    <m/>
    <m/>
    <m/>
    <m/>
    <x v="0"/>
    <x v="8"/>
  </r>
  <r>
    <d v="2025-10-06T10:30:00"/>
    <d v="2025-10-06T11:10:00"/>
    <n v="0.66666666674427688"/>
    <n v="935.99999989103526"/>
    <x v="2"/>
    <s v="GLOW - Água Micelar"/>
    <m/>
    <s v="25279/01"/>
    <s v="Envase"/>
    <n v="624"/>
    <s v="GLMKAM06"/>
    <s v="ÁGUA MICELAR BABA GLOW"/>
    <n v="325"/>
    <s v="ml"/>
    <x v="9"/>
    <x v="4"/>
    <s v="ÁGUA MICELAR"/>
    <x v="1"/>
    <m/>
    <m/>
    <m/>
    <m/>
    <m/>
    <m/>
    <m/>
    <m/>
    <m/>
    <m/>
    <m/>
    <m/>
    <m/>
    <m/>
    <m/>
    <m/>
    <m/>
    <m/>
    <m/>
    <m/>
    <m/>
    <s v=""/>
    <m/>
    <m/>
    <m/>
    <m/>
    <m/>
    <m/>
    <m/>
    <m/>
    <m/>
    <m/>
    <m/>
    <x v="0"/>
    <x v="8"/>
  </r>
  <r>
    <d v="2025-10-06T11:13:00"/>
    <d v="2025-10-06T13:58:00"/>
    <n v="1.7499999998835847"/>
    <n v="960.0000000638621"/>
    <x v="2"/>
    <s v="GLOW - Água Micelar"/>
    <m/>
    <s v="25276/07"/>
    <s v="Envase"/>
    <n v="1680"/>
    <s v="GLMKAM05"/>
    <s v="ÁGUA MICELAR ROSA MOSQUETA"/>
    <n v="325"/>
    <s v="ml"/>
    <x v="9"/>
    <x v="4"/>
    <s v="ÁGUA MICELAR"/>
    <x v="1"/>
    <m/>
    <m/>
    <m/>
    <m/>
    <m/>
    <m/>
    <m/>
    <m/>
    <m/>
    <m/>
    <m/>
    <m/>
    <m/>
    <m/>
    <m/>
    <m/>
    <m/>
    <m/>
    <m/>
    <m/>
    <m/>
    <s v=""/>
    <m/>
    <m/>
    <m/>
    <m/>
    <m/>
    <m/>
    <m/>
    <m/>
    <m/>
    <m/>
    <m/>
    <x v="0"/>
    <x v="8"/>
  </r>
  <r>
    <d v="2025-10-06T13:58:00"/>
    <d v="2025-10-06T15:55:00"/>
    <n v="1.9500000000698492"/>
    <n v="861.53846150760114"/>
    <x v="2"/>
    <s v="GLOW - Água Micelar"/>
    <m/>
    <s v="25276/08"/>
    <s v="Envase"/>
    <n v="1680"/>
    <s v="GLMKAM05"/>
    <s v="ÁGUA MICELAR ROSA MOSQUETA"/>
    <n v="325"/>
    <s v="ml"/>
    <x v="9"/>
    <x v="4"/>
    <s v="ÁGUA MICELAR"/>
    <x v="1"/>
    <m/>
    <m/>
    <m/>
    <m/>
    <m/>
    <m/>
    <m/>
    <m/>
    <m/>
    <m/>
    <m/>
    <m/>
    <m/>
    <m/>
    <m/>
    <m/>
    <m/>
    <m/>
    <m/>
    <m/>
    <m/>
    <s v=""/>
    <m/>
    <m/>
    <m/>
    <m/>
    <m/>
    <m/>
    <m/>
    <m/>
    <m/>
    <m/>
    <m/>
    <x v="0"/>
    <x v="8"/>
  </r>
  <r>
    <d v="2025-10-06T14:30:00"/>
    <d v="2025-10-07T10:33:00"/>
    <n v="6.0500000001629815"/>
    <n v="773.55371898742567"/>
    <x v="2"/>
    <s v="02_07"/>
    <m/>
    <s v="25274/02"/>
    <s v="Envase"/>
    <n v="4680"/>
    <s v="DPHNBS02"/>
    <s v="BODY SPLASH DAPOP HONEY GLOW"/>
    <n v="120"/>
    <s v="ml"/>
    <x v="4"/>
    <x v="1"/>
    <s v="BODY SPLASH"/>
    <x v="3"/>
    <m/>
    <m/>
    <m/>
    <m/>
    <m/>
    <m/>
    <m/>
    <m/>
    <m/>
    <m/>
    <m/>
    <m/>
    <m/>
    <m/>
    <m/>
    <m/>
    <m/>
    <m/>
    <m/>
    <m/>
    <m/>
    <s v=""/>
    <m/>
    <m/>
    <m/>
    <m/>
    <m/>
    <m/>
    <m/>
    <m/>
    <m/>
    <m/>
    <m/>
    <x v="0"/>
    <x v="8"/>
  </r>
  <r>
    <d v="2025-10-06T15:55:00"/>
    <d v="2025-10-07T07:55:00"/>
    <n v="2.0000000000582077"/>
    <n v="839.99999997555278"/>
    <x v="2"/>
    <s v="GLOW - Água Micelar"/>
    <m/>
    <s v="25276/09"/>
    <s v="Envase"/>
    <n v="1680"/>
    <s v="GLMKAM05"/>
    <s v="ÁGUA MICELAR ROSA MOSQUETA"/>
    <n v="325"/>
    <s v="ml"/>
    <x v="9"/>
    <x v="4"/>
    <s v="ÁGUA MICELAR"/>
    <x v="1"/>
    <m/>
    <m/>
    <m/>
    <m/>
    <m/>
    <m/>
    <m/>
    <m/>
    <m/>
    <m/>
    <m/>
    <m/>
    <m/>
    <m/>
    <m/>
    <m/>
    <m/>
    <m/>
    <m/>
    <m/>
    <m/>
    <s v=""/>
    <m/>
    <m/>
    <m/>
    <m/>
    <m/>
    <m/>
    <m/>
    <m/>
    <m/>
    <m/>
    <m/>
    <x v="0"/>
    <x v="8"/>
  </r>
  <r>
    <d v="2025-10-07T07:55:00"/>
    <d v="2025-10-07T09:44:00"/>
    <n v="1.8166666666511446"/>
    <n v="924.77064220973637"/>
    <x v="2"/>
    <s v="GLOW - Água Micelar"/>
    <m/>
    <s v="25276/10"/>
    <s v="Envase"/>
    <n v="1680"/>
    <s v="GLMKAM05"/>
    <s v="ÁGUA MICELAR ROSA MOSQUETA"/>
    <n v="325"/>
    <s v="ml"/>
    <x v="9"/>
    <x v="4"/>
    <s v="ÁGUA MICELAR"/>
    <x v="1"/>
    <m/>
    <m/>
    <m/>
    <m/>
    <m/>
    <m/>
    <m/>
    <m/>
    <m/>
    <m/>
    <m/>
    <m/>
    <m/>
    <m/>
    <m/>
    <m/>
    <m/>
    <m/>
    <m/>
    <m/>
    <m/>
    <s v=""/>
    <m/>
    <m/>
    <m/>
    <m/>
    <m/>
    <m/>
    <m/>
    <m/>
    <m/>
    <m/>
    <m/>
    <x v="0"/>
    <x v="8"/>
  </r>
  <r>
    <d v="2025-10-07T09:44:00"/>
    <d v="2025-10-07T11:16:00"/>
    <n v="1.5333333334419876"/>
    <n v="1095.652173835404"/>
    <x v="2"/>
    <s v="GLOW - Água Micelar"/>
    <m/>
    <s v="25276/11"/>
    <s v="Envase"/>
    <n v="1680"/>
    <s v="GLMKAM05"/>
    <s v="ÁGUA MICELAR ROSA MOSQUETA"/>
    <n v="325"/>
    <s v="ml"/>
    <x v="9"/>
    <x v="4"/>
    <s v="ÁGUA MICELAR"/>
    <x v="1"/>
    <m/>
    <m/>
    <m/>
    <m/>
    <m/>
    <m/>
    <m/>
    <m/>
    <m/>
    <m/>
    <m/>
    <m/>
    <m/>
    <m/>
    <m/>
    <m/>
    <m/>
    <m/>
    <m/>
    <m/>
    <m/>
    <s v=""/>
    <m/>
    <m/>
    <m/>
    <m/>
    <m/>
    <m/>
    <m/>
    <m/>
    <m/>
    <m/>
    <m/>
    <x v="0"/>
    <x v="8"/>
  </r>
  <r>
    <d v="2025-10-07T11:16:00"/>
    <d v="2025-10-07T14:28:00"/>
    <n v="2.1999999999534339"/>
    <n v="763.63636365252705"/>
    <x v="2"/>
    <s v="GLOW - Água Micelar"/>
    <m/>
    <s v="25276/12"/>
    <s v="Envase"/>
    <n v="1680"/>
    <s v="GLMKAM05"/>
    <s v="ÁGUA MICELAR ROSA MOSQUETA"/>
    <n v="325"/>
    <s v="ml"/>
    <x v="9"/>
    <x v="4"/>
    <s v="ÁGUA MICELAR"/>
    <x v="1"/>
    <m/>
    <m/>
    <m/>
    <m/>
    <m/>
    <m/>
    <m/>
    <m/>
    <m/>
    <m/>
    <m/>
    <m/>
    <m/>
    <m/>
    <m/>
    <m/>
    <m/>
    <m/>
    <m/>
    <m/>
    <m/>
    <s v=""/>
    <m/>
    <m/>
    <m/>
    <m/>
    <m/>
    <m/>
    <m/>
    <m/>
    <m/>
    <m/>
    <m/>
    <x v="0"/>
    <x v="8"/>
  </r>
  <r>
    <d v="2025-10-07T13:10:00"/>
    <d v="2025-10-08T10:51:00"/>
    <n v="7.683333333407063"/>
    <n v="601.30151843240776"/>
    <x v="1"/>
    <s v="02_07"/>
    <m/>
    <s v="25274/03"/>
    <s v="Envase"/>
    <n v="4620"/>
    <s v="DPHNBS02"/>
    <s v="BODY SPLASH DAPOP HONEY GLOW"/>
    <n v="120"/>
    <s v="ml"/>
    <x v="4"/>
    <x v="1"/>
    <s v="BODY SPLASH"/>
    <x v="3"/>
    <m/>
    <m/>
    <m/>
    <m/>
    <m/>
    <m/>
    <m/>
    <m/>
    <m/>
    <m/>
    <m/>
    <m/>
    <m/>
    <m/>
    <m/>
    <m/>
    <m/>
    <m/>
    <m/>
    <m/>
    <m/>
    <s v=""/>
    <m/>
    <m/>
    <m/>
    <m/>
    <m/>
    <m/>
    <m/>
    <m/>
    <m/>
    <m/>
    <m/>
    <x v="0"/>
    <x v="8"/>
  </r>
  <r>
    <d v="2025-10-07T14:28:00"/>
    <d v="2025-10-07T16:35:00"/>
    <n v="2.1166666665812954"/>
    <n v="793.70078743358704"/>
    <x v="2"/>
    <s v="GLOW - Água Micelar"/>
    <m/>
    <s v="25276/13"/>
    <s v="Envase"/>
    <n v="1680"/>
    <s v="GLMKAM05"/>
    <s v="ÁGUA MICELAR ROSA MOSQUETA"/>
    <n v="325"/>
    <s v="ml"/>
    <x v="9"/>
    <x v="4"/>
    <s v="ÁGUA MICELAR"/>
    <x v="1"/>
    <m/>
    <m/>
    <m/>
    <m/>
    <m/>
    <m/>
    <m/>
    <m/>
    <m/>
    <m/>
    <m/>
    <m/>
    <m/>
    <m/>
    <m/>
    <m/>
    <m/>
    <m/>
    <m/>
    <m/>
    <m/>
    <s v=""/>
    <m/>
    <m/>
    <m/>
    <m/>
    <m/>
    <m/>
    <m/>
    <m/>
    <m/>
    <m/>
    <m/>
    <x v="0"/>
    <x v="8"/>
  </r>
  <r>
    <d v="2025-10-07T16:33:00"/>
    <d v="2025-10-08T08:50:00"/>
    <n v="2.2833333334419876"/>
    <n v="735.76642332265214"/>
    <x v="2"/>
    <s v="GLOW - Água Micelar"/>
    <m/>
    <s v="25280/01"/>
    <s v="Envase"/>
    <n v="1680"/>
    <s v="GLMKAM05"/>
    <s v="ÁGUA MICELAR ROSA MOSQUETA"/>
    <n v="325"/>
    <s v="ml"/>
    <x v="9"/>
    <x v="4"/>
    <s v="ÁGUA MICELAR"/>
    <x v="1"/>
    <m/>
    <m/>
    <m/>
    <m/>
    <m/>
    <m/>
    <m/>
    <m/>
    <m/>
    <m/>
    <m/>
    <m/>
    <m/>
    <m/>
    <m/>
    <m/>
    <m/>
    <m/>
    <m/>
    <m/>
    <m/>
    <s v=""/>
    <m/>
    <m/>
    <m/>
    <m/>
    <m/>
    <m/>
    <m/>
    <m/>
    <m/>
    <m/>
    <m/>
    <x v="0"/>
    <x v="8"/>
  </r>
  <r>
    <d v="2025-10-08T08:50:00"/>
    <d v="2025-10-08T10:20:00"/>
    <n v="1.5"/>
    <n v="704"/>
    <x v="2"/>
    <s v="GLOW - Água Micelar"/>
    <m/>
    <s v="25281/01"/>
    <s v="Envase"/>
    <n v="1056"/>
    <s v="GLMKAM05"/>
    <s v="ÁGUA MICELAR ROSA MOSQUETA"/>
    <n v="325"/>
    <s v="ml"/>
    <x v="9"/>
    <x v="4"/>
    <s v="ÁGUA MICELAR"/>
    <x v="1"/>
    <m/>
    <m/>
    <m/>
    <m/>
    <m/>
    <m/>
    <m/>
    <m/>
    <m/>
    <m/>
    <m/>
    <m/>
    <m/>
    <m/>
    <m/>
    <m/>
    <m/>
    <m/>
    <m/>
    <m/>
    <m/>
    <s v=""/>
    <m/>
    <m/>
    <m/>
    <m/>
    <m/>
    <m/>
    <m/>
    <m/>
    <m/>
    <m/>
    <m/>
    <x v="0"/>
    <x v="8"/>
  </r>
  <r>
    <d v="2025-10-08T10:26:00"/>
    <d v="2025-10-08T13:11:00"/>
    <n v="1.7500000000582077"/>
    <n v="959.99999996806889"/>
    <x v="2"/>
    <s v="GLOW - Água Micelar"/>
    <m/>
    <s v="25281/02"/>
    <s v="Envase"/>
    <n v="1680"/>
    <s v="GLMKAM01"/>
    <s v="ÁGUA MICELAR 3 EM 1"/>
    <n v="325"/>
    <s v="ml"/>
    <x v="9"/>
    <x v="4"/>
    <s v="ÁGUA MICELAR"/>
    <x v="1"/>
    <m/>
    <m/>
    <m/>
    <m/>
    <m/>
    <m/>
    <m/>
    <m/>
    <m/>
    <m/>
    <m/>
    <m/>
    <m/>
    <m/>
    <m/>
    <m/>
    <m/>
    <m/>
    <m/>
    <m/>
    <m/>
    <s v=""/>
    <m/>
    <m/>
    <m/>
    <m/>
    <m/>
    <m/>
    <m/>
    <m/>
    <m/>
    <m/>
    <m/>
    <x v="0"/>
    <x v="8"/>
  </r>
  <r>
    <d v="2025-10-08T13:11:00"/>
    <d v="2025-10-08T13:50:00"/>
    <n v="0.65000000002328306"/>
    <n v="664.61538459157805"/>
    <x v="2"/>
    <s v="GLOW - Água Micelar"/>
    <m/>
    <s v="25281/03"/>
    <s v="Envase"/>
    <n v="432"/>
    <s v="GLMKAM01"/>
    <s v="ÁGUA MICELAR 3 EM 1"/>
    <n v="325"/>
    <s v="ml"/>
    <x v="9"/>
    <x v="4"/>
    <s v="ÁGUA MICELAR"/>
    <x v="1"/>
    <m/>
    <m/>
    <m/>
    <m/>
    <m/>
    <m/>
    <m/>
    <m/>
    <m/>
    <m/>
    <m/>
    <m/>
    <m/>
    <m/>
    <m/>
    <m/>
    <m/>
    <m/>
    <m/>
    <m/>
    <m/>
    <s v=""/>
    <m/>
    <m/>
    <m/>
    <m/>
    <m/>
    <m/>
    <m/>
    <m/>
    <m/>
    <m/>
    <m/>
    <x v="0"/>
    <x v="8"/>
  </r>
  <r>
    <d v="2025-10-08T13:59:00"/>
    <d v="2025-10-08T15:15:00"/>
    <n v="1.2666666666045785"/>
    <n v="795.78947372321772"/>
    <x v="2"/>
    <s v="GLOW - Água Micelar"/>
    <m/>
    <s v="25281/04"/>
    <s v="Envase"/>
    <n v="1008"/>
    <s v="GLMKAM02"/>
    <s v="ÁGUA MICELAR ÁCIDO HIAULURÔNICO"/>
    <n v="325"/>
    <s v="ml"/>
    <x v="9"/>
    <x v="4"/>
    <s v="ÁGUA MICELAR"/>
    <x v="1"/>
    <m/>
    <m/>
    <m/>
    <m/>
    <m/>
    <m/>
    <m/>
    <m/>
    <m/>
    <m/>
    <m/>
    <m/>
    <m/>
    <m/>
    <m/>
    <m/>
    <m/>
    <m/>
    <m/>
    <m/>
    <m/>
    <s v=""/>
    <m/>
    <m/>
    <m/>
    <m/>
    <m/>
    <m/>
    <m/>
    <m/>
    <m/>
    <m/>
    <m/>
    <x v="0"/>
    <x v="8"/>
  </r>
  <r>
    <d v="2025-10-08T14:15:00"/>
    <d v="2025-10-09T08:16:00"/>
    <n v="4.0166666668374091"/>
    <n v="1150.2074688307744"/>
    <x v="1"/>
    <s v="02_07"/>
    <m/>
    <s v="25274/04"/>
    <s v="Envase"/>
    <n v="4620"/>
    <s v="DPHNBS02"/>
    <s v="BODY SPLASH DAPOP HONEY GLOW"/>
    <n v="120"/>
    <s v="ml"/>
    <x v="4"/>
    <x v="1"/>
    <s v="BODY SPLASH"/>
    <x v="3"/>
    <m/>
    <m/>
    <m/>
    <m/>
    <m/>
    <m/>
    <m/>
    <m/>
    <m/>
    <m/>
    <m/>
    <m/>
    <m/>
    <m/>
    <m/>
    <m/>
    <m/>
    <m/>
    <m/>
    <m/>
    <m/>
    <s v=""/>
    <m/>
    <m/>
    <m/>
    <m/>
    <m/>
    <m/>
    <m/>
    <m/>
    <m/>
    <m/>
    <m/>
    <x v="0"/>
    <x v="8"/>
  </r>
  <r>
    <d v="2025-10-08T15:53:00"/>
    <d v="2025-10-09T08:57:00"/>
    <n v="3.0666666667093523"/>
    <n v="829.56521737975743"/>
    <x v="2"/>
    <s v="Fabiano 22/09"/>
    <m/>
    <s v="25281/05"/>
    <s v="Envase"/>
    <n v="2544"/>
    <s v="MRARBS03"/>
    <s v="BODY SPLASH ECLIPSE DOURADO"/>
    <n v="220"/>
    <s v="ml"/>
    <x v="0"/>
    <x v="1"/>
    <s v="BODY SPLASH"/>
    <x v="1"/>
    <m/>
    <m/>
    <m/>
    <m/>
    <m/>
    <m/>
    <m/>
    <m/>
    <m/>
    <m/>
    <m/>
    <m/>
    <m/>
    <m/>
    <m/>
    <m/>
    <m/>
    <m/>
    <m/>
    <m/>
    <m/>
    <s v=""/>
    <m/>
    <m/>
    <m/>
    <m/>
    <m/>
    <m/>
    <m/>
    <m/>
    <m/>
    <m/>
    <m/>
    <x v="0"/>
    <x v="8"/>
  </r>
  <r>
    <d v="2025-10-09T08:16:00"/>
    <d v="2025-10-09T15:37:00"/>
    <n v="6.3499999998603016"/>
    <n v="727.55905513411631"/>
    <x v="1"/>
    <s v="02_07"/>
    <m/>
    <s v="25274/05"/>
    <s v="Envase"/>
    <n v="4620"/>
    <s v="DPHNBS02"/>
    <s v="BODY SPLASH DAPOP HONEY GLOW"/>
    <n v="120"/>
    <s v="ml"/>
    <x v="4"/>
    <x v="1"/>
    <s v="BODY SPLASH"/>
    <x v="3"/>
    <m/>
    <m/>
    <m/>
    <m/>
    <m/>
    <m/>
    <m/>
    <m/>
    <m/>
    <m/>
    <m/>
    <m/>
    <m/>
    <m/>
    <m/>
    <m/>
    <m/>
    <m/>
    <m/>
    <m/>
    <m/>
    <s v=""/>
    <m/>
    <m/>
    <m/>
    <m/>
    <m/>
    <m/>
    <m/>
    <m/>
    <m/>
    <m/>
    <m/>
    <x v="0"/>
    <x v="8"/>
  </r>
  <r>
    <d v="2025-10-09T08:57:00"/>
    <d v="2025-10-09T13:30:00"/>
    <n v="3.5499999999883585"/>
    <n v="716.61971831220922"/>
    <x v="2"/>
    <s v="Fabiano 22/09"/>
    <m/>
    <s v="25281/06"/>
    <s v="Envase"/>
    <n v="2544"/>
    <s v="MRARBS03"/>
    <s v="BODY SPLASH ECLIPSE DOURADO"/>
    <n v="220"/>
    <s v="ml"/>
    <x v="0"/>
    <x v="1"/>
    <s v="BODY SPLASH"/>
    <x v="1"/>
    <m/>
    <m/>
    <m/>
    <m/>
    <m/>
    <m/>
    <m/>
    <m/>
    <m/>
    <m/>
    <m/>
    <m/>
    <m/>
    <m/>
    <m/>
    <m/>
    <m/>
    <m/>
    <m/>
    <m/>
    <m/>
    <s v=""/>
    <m/>
    <m/>
    <m/>
    <m/>
    <m/>
    <m/>
    <m/>
    <m/>
    <m/>
    <m/>
    <m/>
    <x v="0"/>
    <x v="8"/>
  </r>
  <r>
    <d v="2025-10-09T15:37:00"/>
    <d v="2025-10-10T11:30:00"/>
    <n v="5.8833333334769122"/>
    <n v="941.64305946710476"/>
    <x v="1"/>
    <s v="02_07"/>
    <m/>
    <s v="25274/06"/>
    <s v="Envase"/>
    <n v="5540"/>
    <s v="DPHNBS02"/>
    <s v="BODY SPLASH DAPOP HONEY GLOW"/>
    <n v="120"/>
    <s v="ml"/>
    <x v="4"/>
    <x v="1"/>
    <s v="BODY SPLASH"/>
    <x v="3"/>
    <m/>
    <m/>
    <m/>
    <m/>
    <m/>
    <m/>
    <m/>
    <m/>
    <m/>
    <m/>
    <m/>
    <m/>
    <m/>
    <m/>
    <m/>
    <m/>
    <m/>
    <m/>
    <m/>
    <m/>
    <m/>
    <s v=""/>
    <m/>
    <m/>
    <m/>
    <m/>
    <m/>
    <m/>
    <m/>
    <m/>
    <m/>
    <m/>
    <m/>
    <x v="0"/>
    <x v="8"/>
  </r>
  <r>
    <d v="2025-10-10T11:30:00"/>
    <d v="2025-10-10T15:30:00"/>
    <n v="3.0000000001164153"/>
    <n v="866.66666663303556"/>
    <x v="1"/>
    <s v="03_07"/>
    <m/>
    <s v="25283/02"/>
    <s v="Envase"/>
    <n v="2600"/>
    <s v="IBCHEC02"/>
    <s v="ESCOVA DE CHUVEIRO CHEIRINHO DE MORANGO"/>
    <n v="100"/>
    <s v="ml"/>
    <x v="11"/>
    <x v="5"/>
    <s v="ESCOVA PROGRESSIVA"/>
    <x v="3"/>
    <m/>
    <m/>
    <m/>
    <m/>
    <m/>
    <m/>
    <m/>
    <m/>
    <m/>
    <m/>
    <m/>
    <m/>
    <m/>
    <m/>
    <m/>
    <m/>
    <m/>
    <m/>
    <m/>
    <m/>
    <m/>
    <s v=""/>
    <m/>
    <m/>
    <m/>
    <m/>
    <m/>
    <m/>
    <m/>
    <m/>
    <m/>
    <m/>
    <m/>
    <x v="0"/>
    <x v="8"/>
  </r>
  <r>
    <d v="2025-10-10T15:30:00"/>
    <d v="2025-10-13T10:00:00"/>
    <n v="3.4999999998835847"/>
    <n v="806.00000002680883"/>
    <x v="1"/>
    <s v="03_07"/>
    <m/>
    <s v="25283/01"/>
    <s v="Envase"/>
    <n v="2821"/>
    <s v="IBCHEC01"/>
    <s v="ESCOVA DE CHUVEIRO CHEIRINHO DE MELÂNCIA"/>
    <n v="100"/>
    <s v="ml"/>
    <x v="11"/>
    <x v="5"/>
    <s v="ESCOVA PROGRESSIVA"/>
    <x v="3"/>
    <m/>
    <m/>
    <m/>
    <m/>
    <m/>
    <m/>
    <m/>
    <m/>
    <m/>
    <m/>
    <m/>
    <m/>
    <m/>
    <m/>
    <m/>
    <m/>
    <m/>
    <m/>
    <m/>
    <m/>
    <m/>
    <s v=""/>
    <m/>
    <m/>
    <m/>
    <m/>
    <m/>
    <m/>
    <m/>
    <m/>
    <m/>
    <m/>
    <m/>
    <x v="0"/>
    <x v="8"/>
  </r>
  <r>
    <d v="2025-10-13T10:48:00"/>
    <d v="2025-10-13T13:07:00"/>
    <n v="1.3166666667093523"/>
    <n v="1932.151898671538"/>
    <x v="2"/>
    <s v="Fabiano 22/09"/>
    <m/>
    <s v="25283/03"/>
    <s v="Envase"/>
    <n v="2544"/>
    <s v="MRARBS03"/>
    <s v="BODY SPLASH ECLIPSE DOURADO"/>
    <n v="220"/>
    <s v="ml"/>
    <x v="0"/>
    <x v="1"/>
    <s v="BODY SPLASH"/>
    <x v="1"/>
    <m/>
    <m/>
    <m/>
    <m/>
    <m/>
    <m/>
    <m/>
    <m/>
    <m/>
    <m/>
    <m/>
    <m/>
    <m/>
    <m/>
    <m/>
    <m/>
    <m/>
    <m/>
    <m/>
    <m/>
    <m/>
    <s v=""/>
    <m/>
    <m/>
    <m/>
    <m/>
    <m/>
    <m/>
    <m/>
    <m/>
    <m/>
    <m/>
    <m/>
    <x v="0"/>
    <x v="8"/>
  </r>
  <r>
    <d v="2025-10-13T13:07:00"/>
    <d v="2025-10-13T15:47:00"/>
    <n v="2.6666666666278616"/>
    <n v="954.00000001388253"/>
    <x v="2"/>
    <s v="Fabiano 22/09"/>
    <m/>
    <s v="25283/04"/>
    <s v="Envase"/>
    <n v="2544"/>
    <s v="MRARBS03"/>
    <s v="BODY SPLASH ECLIPSE DOURADO"/>
    <n v="220"/>
    <s v="ml"/>
    <x v="0"/>
    <x v="1"/>
    <s v="BODY SPLASH"/>
    <x v="1"/>
    <m/>
    <m/>
    <m/>
    <m/>
    <m/>
    <m/>
    <m/>
    <m/>
    <m/>
    <m/>
    <m/>
    <m/>
    <m/>
    <m/>
    <m/>
    <m/>
    <m/>
    <m/>
    <m/>
    <m/>
    <m/>
    <s v=""/>
    <m/>
    <m/>
    <m/>
    <m/>
    <m/>
    <m/>
    <m/>
    <m/>
    <m/>
    <m/>
    <m/>
    <x v="0"/>
    <x v="8"/>
  </r>
  <r>
    <d v="2025-10-13T14:50:00"/>
    <d v="2025-10-14T11:58:00"/>
    <n v="7.1333333335351199"/>
    <n v="150.28037382752458"/>
    <x v="2"/>
    <s v="Sassa 26/09"/>
    <m/>
    <s v="25286/06"/>
    <s v="Envase"/>
    <n v="1072"/>
    <s v="KUBPBA01 - 2"/>
    <s v="BASE PARA PERFUME FINA BASE 500ml"/>
    <n v="500"/>
    <s v="ml"/>
    <x v="5"/>
    <x v="2"/>
    <s v="BASE"/>
    <x v="1"/>
    <m/>
    <m/>
    <m/>
    <m/>
    <m/>
    <m/>
    <m/>
    <m/>
    <m/>
    <m/>
    <m/>
    <m/>
    <m/>
    <m/>
    <m/>
    <m/>
    <m/>
    <m/>
    <m/>
    <m/>
    <m/>
    <s v=""/>
    <m/>
    <m/>
    <m/>
    <m/>
    <m/>
    <m/>
    <m/>
    <m/>
    <m/>
    <m/>
    <m/>
    <x v="0"/>
    <x v="8"/>
  </r>
  <r>
    <d v="2025-10-13T15:47:00"/>
    <d v="2025-10-14T07:40:00"/>
    <n v="1.8833333335351199"/>
    <n v="458.76106189774947"/>
    <x v="2"/>
    <s v="Fabiano 22/09"/>
    <m/>
    <s v="25286/07"/>
    <s v="Envase"/>
    <n v="864"/>
    <s v="MRARBS03"/>
    <s v="BODY SPLASH ECLIPSE DOURADO"/>
    <n v="220"/>
    <s v="ml"/>
    <x v="0"/>
    <x v="1"/>
    <s v="BODY SPLASH"/>
    <x v="1"/>
    <m/>
    <m/>
    <m/>
    <m/>
    <m/>
    <m/>
    <m/>
    <m/>
    <m/>
    <m/>
    <m/>
    <m/>
    <m/>
    <m/>
    <m/>
    <m/>
    <m/>
    <m/>
    <m/>
    <m/>
    <m/>
    <s v=""/>
    <m/>
    <m/>
    <m/>
    <m/>
    <m/>
    <m/>
    <m/>
    <m/>
    <m/>
    <m/>
    <m/>
    <x v="0"/>
    <x v="8"/>
  </r>
  <r>
    <d v="2025-10-14T07:40:00"/>
    <d v="2025-10-14T15:30:00"/>
    <n v="6.8333333333721384"/>
    <n v="676.09756097177035"/>
    <x v="1"/>
    <s v="02_07"/>
    <m/>
    <s v="25283/05"/>
    <s v="Envase"/>
    <n v="4620"/>
    <s v="DPHNBS01"/>
    <s v="BODY SPLASH DAPOP HONEY BLOOM"/>
    <n v="120"/>
    <s v="ml"/>
    <x v="4"/>
    <x v="1"/>
    <s v="BODY SPLASH"/>
    <x v="1"/>
    <m/>
    <m/>
    <m/>
    <m/>
    <m/>
    <m/>
    <m/>
    <m/>
    <m/>
    <m/>
    <m/>
    <m/>
    <m/>
    <m/>
    <m/>
    <m/>
    <m/>
    <m/>
    <m/>
    <m/>
    <m/>
    <s v=""/>
    <m/>
    <m/>
    <m/>
    <m/>
    <m/>
    <m/>
    <m/>
    <m/>
    <m/>
    <m/>
    <m/>
    <x v="0"/>
    <x v="8"/>
  </r>
  <r>
    <d v="2025-10-14T13:00:00"/>
    <d v="2025-10-15T09:21:00"/>
    <n v="6.3500000000931323"/>
    <n v="165.03937007631961"/>
    <x v="2"/>
    <s v="Sassa 26/09"/>
    <m/>
    <s v="25286/03"/>
    <s v="Envase"/>
    <n v="1048"/>
    <s v="KUBPBA01"/>
    <s v="BASE PARA PERFUME FINA BASE 1l"/>
    <n v="1000"/>
    <s v="ml"/>
    <x v="5"/>
    <x v="2"/>
    <s v="BASE"/>
    <x v="1"/>
    <m/>
    <m/>
    <m/>
    <m/>
    <m/>
    <m/>
    <m/>
    <m/>
    <m/>
    <m/>
    <m/>
    <m/>
    <m/>
    <m/>
    <m/>
    <m/>
    <m/>
    <m/>
    <m/>
    <m/>
    <m/>
    <s v=""/>
    <m/>
    <m/>
    <m/>
    <m/>
    <m/>
    <m/>
    <m/>
    <m/>
    <m/>
    <m/>
    <m/>
    <x v="0"/>
    <x v="8"/>
  </r>
  <r>
    <d v="2025-10-14T15:30:00"/>
    <d v="2025-10-16T13:35:00"/>
    <n v="16.083333333430346"/>
    <n v="287.25388600862999"/>
    <x v="1"/>
    <s v="02_07"/>
    <m/>
    <s v="25286/08"/>
    <s v="Envase"/>
    <n v="4620"/>
    <s v="DPHNBS01"/>
    <s v="BODY SPLASH DAPOP HONEY BLOOM"/>
    <n v="120"/>
    <s v="ml"/>
    <x v="4"/>
    <x v="1"/>
    <s v="BODY SPLASH"/>
    <x v="1"/>
    <m/>
    <m/>
    <m/>
    <m/>
    <m/>
    <m/>
    <m/>
    <m/>
    <m/>
    <m/>
    <m/>
    <m/>
    <m/>
    <m/>
    <m/>
    <m/>
    <m/>
    <m/>
    <m/>
    <m/>
    <m/>
    <s v=""/>
    <m/>
    <m/>
    <m/>
    <m/>
    <m/>
    <m/>
    <m/>
    <m/>
    <m/>
    <m/>
    <m/>
    <x v="0"/>
    <x v="8"/>
  </r>
  <r>
    <d v="2025-10-15T13:30:00"/>
    <d v="2025-10-16T08:10:00"/>
    <n v="4.6666666668606922"/>
    <n v="493.7142856937586"/>
    <x v="2"/>
    <s v="03_07"/>
    <m/>
    <s v="25287/01"/>
    <s v="Envase"/>
    <n v="2304"/>
    <s v="IBARGB01"/>
    <s v="GELEIA DE BANHO SAIND"/>
    <n v="190"/>
    <s v="ml"/>
    <x v="11"/>
    <x v="0"/>
    <s v="SABONETE"/>
    <x v="0"/>
    <m/>
    <m/>
    <m/>
    <m/>
    <m/>
    <m/>
    <m/>
    <m/>
    <m/>
    <m/>
    <m/>
    <m/>
    <m/>
    <m/>
    <m/>
    <m/>
    <m/>
    <m/>
    <m/>
    <m/>
    <m/>
    <s v=""/>
    <m/>
    <m/>
    <m/>
    <m/>
    <m/>
    <m/>
    <m/>
    <m/>
    <m/>
    <m/>
    <m/>
    <x v="0"/>
    <x v="8"/>
  </r>
  <r>
    <d v="2025-10-15T13:35:00"/>
    <d v="2025-10-16T13:30:00"/>
    <n v="8.9166666668606922"/>
    <n v="518.1308411102209"/>
    <x v="1"/>
    <s v="02_07"/>
    <m/>
    <s v="25286/09"/>
    <s v="Envase"/>
    <n v="4620"/>
    <s v="DPHNBS01"/>
    <s v="BODY SPLASH DAPOP HONEY BLOOM"/>
    <n v="120"/>
    <s v="ml"/>
    <x v="4"/>
    <x v="1"/>
    <s v="BODY SPLASH"/>
    <x v="1"/>
    <m/>
    <m/>
    <m/>
    <m/>
    <m/>
    <m/>
    <m/>
    <m/>
    <m/>
    <m/>
    <m/>
    <m/>
    <m/>
    <m/>
    <m/>
    <m/>
    <m/>
    <m/>
    <m/>
    <m/>
    <m/>
    <s v=""/>
    <m/>
    <m/>
    <m/>
    <m/>
    <m/>
    <m/>
    <m/>
    <m/>
    <m/>
    <m/>
    <m/>
    <x v="0"/>
    <x v="8"/>
  </r>
  <r>
    <d v="2025-10-16T08:10:00"/>
    <d v="2025-10-16T11:43:00"/>
    <n v="3.5499999998719431"/>
    <n v="696.33802819413268"/>
    <x v="2"/>
    <s v="03_07"/>
    <m/>
    <s v="25286/02"/>
    <s v="Envase"/>
    <n v="2472"/>
    <s v="IBARGB01"/>
    <s v="GELEIA DE BANHO SAIND"/>
    <n v="190"/>
    <s v="ml"/>
    <x v="11"/>
    <x v="0"/>
    <s v="SABONETE"/>
    <x v="0"/>
    <m/>
    <m/>
    <m/>
    <m/>
    <m/>
    <m/>
    <m/>
    <m/>
    <m/>
    <m/>
    <m/>
    <m/>
    <m/>
    <m/>
    <m/>
    <m/>
    <m/>
    <m/>
    <m/>
    <m/>
    <m/>
    <s v=""/>
    <m/>
    <m/>
    <m/>
    <m/>
    <m/>
    <m/>
    <m/>
    <m/>
    <m/>
    <m/>
    <m/>
    <x v="0"/>
    <x v="8"/>
  </r>
  <r>
    <d v="2025-10-16T13:16:00"/>
    <d v="2025-10-17T07:10:00"/>
    <n v="3.9000000001396984"/>
    <n v="639.99999997707516"/>
    <x v="2"/>
    <s v="03_07"/>
    <m/>
    <s v="25288/03"/>
    <s v="Envase"/>
    <n v="2496"/>
    <s v="IBARGB03"/>
    <s v="GELEIA DE BANHO JADE"/>
    <n v="190"/>
    <s v="ml"/>
    <x v="11"/>
    <x v="0"/>
    <s v="SABONETE"/>
    <x v="0"/>
    <m/>
    <m/>
    <m/>
    <m/>
    <m/>
    <m/>
    <m/>
    <m/>
    <m/>
    <m/>
    <m/>
    <m/>
    <m/>
    <m/>
    <m/>
    <m/>
    <m/>
    <m/>
    <m/>
    <m/>
    <m/>
    <s v=""/>
    <m/>
    <m/>
    <m/>
    <m/>
    <m/>
    <m/>
    <m/>
    <m/>
    <m/>
    <m/>
    <m/>
    <x v="0"/>
    <x v="8"/>
  </r>
  <r>
    <d v="2025-10-16T13:30:00"/>
    <d v="2025-10-17T15:00:00"/>
    <n v="10.500000000116415"/>
    <n v="451.42857142356638"/>
    <x v="1"/>
    <s v="02_07"/>
    <m/>
    <s v="25288/05"/>
    <s v="Envase"/>
    <n v="4740"/>
    <s v="DPHNBS01"/>
    <s v="BODY SPLASH DAPOP HONEY BLOOM"/>
    <n v="120"/>
    <s v="ml"/>
    <x v="4"/>
    <x v="1"/>
    <s v="BODY SPLASH"/>
    <x v="1"/>
    <m/>
    <m/>
    <m/>
    <m/>
    <m/>
    <m/>
    <m/>
    <m/>
    <m/>
    <m/>
    <m/>
    <m/>
    <m/>
    <m/>
    <m/>
    <m/>
    <m/>
    <m/>
    <m/>
    <m/>
    <m/>
    <s v=""/>
    <m/>
    <m/>
    <m/>
    <m/>
    <m/>
    <m/>
    <m/>
    <m/>
    <m/>
    <m/>
    <m/>
    <x v="0"/>
    <x v="8"/>
  </r>
  <r>
    <d v="2025-10-17T07:10:00"/>
    <d v="2025-10-17T11:18:00"/>
    <n v="4.1333333333604969"/>
    <n v="569.0322580607766"/>
    <x v="2"/>
    <s v="03_07"/>
    <m/>
    <s v="25288/04"/>
    <s v="Envase"/>
    <n v="2352"/>
    <s v="IBARGB03"/>
    <s v="GELEIA DE BANHO JADE"/>
    <n v="190"/>
    <s v="ml"/>
    <x v="11"/>
    <x v="0"/>
    <s v="SABONETE"/>
    <x v="0"/>
    <m/>
    <m/>
    <m/>
    <m/>
    <m/>
    <m/>
    <m/>
    <m/>
    <m/>
    <m/>
    <m/>
    <m/>
    <m/>
    <m/>
    <m/>
    <m/>
    <m/>
    <m/>
    <m/>
    <m/>
    <m/>
    <s v=""/>
    <m/>
    <m/>
    <m/>
    <m/>
    <m/>
    <m/>
    <m/>
    <m/>
    <m/>
    <m/>
    <m/>
    <x v="0"/>
    <x v="8"/>
  </r>
  <r>
    <d v="2025-10-17T11:40:00"/>
    <d v="2025-10-17T15:11:00"/>
    <n v="2.5166666667792015"/>
    <n v="953.64238406331731"/>
    <x v="2"/>
    <s v="03_07"/>
    <m/>
    <s v="25289/01"/>
    <s v="Envase"/>
    <n v="2400"/>
    <s v="IBARGB04"/>
    <s v="GELEIA DE BANHO ÁRABE"/>
    <n v="190"/>
    <s v="ml"/>
    <x v="11"/>
    <x v="0"/>
    <s v="SABONETE"/>
    <x v="0"/>
    <m/>
    <m/>
    <m/>
    <m/>
    <m/>
    <m/>
    <m/>
    <m/>
    <m/>
    <m/>
    <m/>
    <m/>
    <m/>
    <m/>
    <m/>
    <m/>
    <m/>
    <m/>
    <m/>
    <m/>
    <m/>
    <s v=""/>
    <m/>
    <m/>
    <m/>
    <m/>
    <m/>
    <m/>
    <m/>
    <m/>
    <m/>
    <m/>
    <m/>
    <x v="0"/>
    <x v="8"/>
  </r>
  <r>
    <d v="2025-10-17T15:11:00"/>
    <d v="2025-10-20T08:50:00"/>
    <n v="2.6499999999068677"/>
    <n v="969.05660380764164"/>
    <x v="2"/>
    <s v="03_07"/>
    <m/>
    <s v="25289/02"/>
    <s v="Envase"/>
    <n v="2568"/>
    <s v="IBARGB04"/>
    <s v="GELEIA DE BANHO ÁRABE"/>
    <n v="190"/>
    <s v="ml"/>
    <x v="11"/>
    <x v="0"/>
    <s v="SABONETE"/>
    <x v="0"/>
    <m/>
    <m/>
    <m/>
    <m/>
    <m/>
    <m/>
    <m/>
    <m/>
    <m/>
    <m/>
    <m/>
    <m/>
    <m/>
    <m/>
    <m/>
    <m/>
    <m/>
    <m/>
    <m/>
    <m/>
    <m/>
    <s v=""/>
    <m/>
    <m/>
    <m/>
    <m/>
    <m/>
    <m/>
    <m/>
    <m/>
    <m/>
    <m/>
    <m/>
    <x v="0"/>
    <x v="8"/>
  </r>
  <r>
    <d v="2025-10-20T09:10:00"/>
    <d v="2025-10-20T11:35:00"/>
    <n v="2.4166666666860692"/>
    <n v="993.10344826788878"/>
    <x v="2"/>
    <s v="03_07"/>
    <m/>
    <s v="25289/03"/>
    <s v="Envase"/>
    <n v="2400"/>
    <s v="IBARGB05"/>
    <s v="GELEIA DE BANHO HABIB"/>
    <n v="190"/>
    <s v="ml"/>
    <x v="11"/>
    <x v="0"/>
    <s v="SABONETE"/>
    <x v="0"/>
    <m/>
    <m/>
    <m/>
    <m/>
    <m/>
    <m/>
    <m/>
    <m/>
    <m/>
    <m/>
    <m/>
    <m/>
    <m/>
    <m/>
    <m/>
    <m/>
    <m/>
    <m/>
    <m/>
    <m/>
    <m/>
    <s v=""/>
    <m/>
    <m/>
    <m/>
    <m/>
    <m/>
    <m/>
    <m/>
    <m/>
    <m/>
    <m/>
    <m/>
    <x v="0"/>
    <x v="8"/>
  </r>
  <r>
    <d v="2025-10-20T11:35:00"/>
    <d v="2025-10-20T15:20:00"/>
    <n v="2.75"/>
    <n v="890.18181818181813"/>
    <x v="2"/>
    <s v="03_07"/>
    <m/>
    <s v="25289/04"/>
    <s v="Envase"/>
    <n v="2448"/>
    <s v="IBARGB05"/>
    <s v="GELEIA DE BANHO HABIB"/>
    <n v="190"/>
    <s v="ml"/>
    <x v="11"/>
    <x v="0"/>
    <s v="SABONETE"/>
    <x v="0"/>
    <m/>
    <m/>
    <m/>
    <m/>
    <m/>
    <m/>
    <m/>
    <m/>
    <m/>
    <m/>
    <m/>
    <m/>
    <m/>
    <m/>
    <m/>
    <m/>
    <m/>
    <m/>
    <m/>
    <m/>
    <m/>
    <s v=""/>
    <m/>
    <m/>
    <m/>
    <m/>
    <m/>
    <m/>
    <m/>
    <m/>
    <m/>
    <m/>
    <m/>
    <x v="0"/>
    <x v="8"/>
  </r>
  <r>
    <d v="2025-10-20T16:00:00"/>
    <d v="2025-10-22T11:15:00"/>
    <n v="14.250000000291038"/>
    <n v="606.31578946130094"/>
    <x v="2"/>
    <s v="02_07"/>
    <m/>
    <s v="25293/01"/>
    <s v="Envase"/>
    <n v="8640"/>
    <s v="DPHNPC01"/>
    <s v="PERFUME CAPILAR HONEY"/>
    <n v="60"/>
    <s v="ml"/>
    <x v="4"/>
    <x v="1"/>
    <s v="PERFUME CAPILAR"/>
    <x v="3"/>
    <m/>
    <m/>
    <m/>
    <m/>
    <m/>
    <m/>
    <m/>
    <m/>
    <m/>
    <m/>
    <m/>
    <m/>
    <m/>
    <m/>
    <m/>
    <m/>
    <m/>
    <m/>
    <m/>
    <m/>
    <m/>
    <s v=""/>
    <m/>
    <m/>
    <m/>
    <m/>
    <m/>
    <m/>
    <m/>
    <m/>
    <m/>
    <m/>
    <m/>
    <x v="0"/>
    <x v="8"/>
  </r>
  <r>
    <d v="2025-10-21T08:15:00"/>
    <d v="2025-10-21T14:00:00"/>
    <n v="4.7500000000582077"/>
    <n v="1031.5789473557797"/>
    <x v="2"/>
    <s v="03_07"/>
    <m/>
    <s v="25276/01"/>
    <s v="Envase"/>
    <n v="4900"/>
    <s v="IBCHEC03"/>
    <s v="ESCOVA DE CHUVEIRO CHEIRINHO DE TUTTI-FRUTTI"/>
    <n v="100"/>
    <s v="ml"/>
    <x v="11"/>
    <x v="5"/>
    <s v="ESCOVA PROGRESSIVA"/>
    <x v="3"/>
    <m/>
    <m/>
    <m/>
    <m/>
    <m/>
    <m/>
    <m/>
    <m/>
    <m/>
    <m/>
    <m/>
    <m/>
    <m/>
    <m/>
    <m/>
    <m/>
    <m/>
    <m/>
    <m/>
    <m/>
    <m/>
    <s v=""/>
    <m/>
    <m/>
    <m/>
    <m/>
    <m/>
    <m/>
    <m/>
    <m/>
    <m/>
    <m/>
    <m/>
    <x v="0"/>
    <x v="8"/>
  </r>
  <r>
    <d v="2025-10-21T14:30:00"/>
    <d v="2025-10-22T08:24:00"/>
    <n v="3.9000000001396984"/>
    <n v="633.84615382344941"/>
    <x v="2"/>
    <s v="03_07"/>
    <m/>
    <s v="25289/05"/>
    <s v="Envase"/>
    <n v="2472"/>
    <s v="IBARGB06"/>
    <s v="GELEIA DE BANHO ABDALLAH"/>
    <n v="190"/>
    <s v="ml"/>
    <x v="11"/>
    <x v="0"/>
    <s v="SABONETE"/>
    <x v="0"/>
    <m/>
    <m/>
    <m/>
    <m/>
    <m/>
    <m/>
    <m/>
    <m/>
    <m/>
    <m/>
    <m/>
    <m/>
    <m/>
    <m/>
    <m/>
    <m/>
    <m/>
    <m/>
    <m/>
    <m/>
    <m/>
    <s v=""/>
    <m/>
    <m/>
    <m/>
    <m/>
    <m/>
    <m/>
    <m/>
    <m/>
    <m/>
    <m/>
    <m/>
    <x v="0"/>
    <x v="8"/>
  </r>
  <r>
    <d v="2025-10-22T08:25:00"/>
    <d v="2025-10-22T11:50:00"/>
    <n v="3.4166666666278616"/>
    <n v="737.56097561813306"/>
    <x v="2"/>
    <s v="03_07"/>
    <m/>
    <s v="25289/06"/>
    <s v="Envase"/>
    <n v="2520"/>
    <s v="IBARGB06"/>
    <s v="GELEIA DE BANHO ABDALLAH"/>
    <n v="190"/>
    <s v="ml"/>
    <x v="11"/>
    <x v="0"/>
    <s v="SABONETE"/>
    <x v="0"/>
    <m/>
    <m/>
    <m/>
    <m/>
    <m/>
    <m/>
    <m/>
    <m/>
    <m/>
    <m/>
    <m/>
    <m/>
    <m/>
    <m/>
    <m/>
    <m/>
    <m/>
    <m/>
    <m/>
    <m/>
    <m/>
    <s v=""/>
    <m/>
    <m/>
    <m/>
    <m/>
    <m/>
    <m/>
    <m/>
    <m/>
    <m/>
    <m/>
    <m/>
    <x v="0"/>
    <x v="8"/>
  </r>
  <r>
    <d v="2025-10-22T11:15:00"/>
    <d v="2025-10-27T11:35:00"/>
    <n v="26.333333333604969"/>
    <n v="328.10126581940034"/>
    <x v="1"/>
    <s v="02_07"/>
    <m/>
    <s v="25294/01"/>
    <s v="Envase"/>
    <n v="8640"/>
    <s v="DPHNPC01"/>
    <s v="PERFUME CAPILAR HONEY"/>
    <n v="60"/>
    <s v="ml"/>
    <x v="4"/>
    <x v="1"/>
    <s v="PERFUME CAPILAR"/>
    <x v="3"/>
    <m/>
    <m/>
    <m/>
    <m/>
    <m/>
    <m/>
    <m/>
    <m/>
    <m/>
    <m/>
    <m/>
    <m/>
    <m/>
    <m/>
    <m/>
    <m/>
    <m/>
    <m/>
    <m/>
    <m/>
    <m/>
    <s v=""/>
    <m/>
    <m/>
    <m/>
    <m/>
    <m/>
    <m/>
    <m/>
    <m/>
    <m/>
    <m/>
    <m/>
    <x v="0"/>
    <x v="8"/>
  </r>
  <r>
    <d v="2025-10-22T15:21:00"/>
    <d v="2025-10-23T08:20:00"/>
    <n v="2.9833333334536292"/>
    <n v="852.73743013321314"/>
    <x v="2"/>
    <s v="Fabiano 20/10"/>
    <m/>
    <s v="25295/01"/>
    <s v="Envase"/>
    <n v="2544"/>
    <s v="MRARBS01"/>
    <s v="BODY SPLASH AURORA IMPERIAL"/>
    <n v="220"/>
    <s v="ml"/>
    <x v="0"/>
    <x v="1"/>
    <s v="BODY SPLASH"/>
    <x v="1"/>
    <m/>
    <m/>
    <m/>
    <m/>
    <m/>
    <m/>
    <m/>
    <m/>
    <m/>
    <m/>
    <m/>
    <m/>
    <m/>
    <m/>
    <m/>
    <m/>
    <m/>
    <m/>
    <m/>
    <m/>
    <m/>
    <s v=""/>
    <m/>
    <m/>
    <m/>
    <m/>
    <m/>
    <m/>
    <m/>
    <m/>
    <m/>
    <m/>
    <m/>
    <x v="0"/>
    <x v="8"/>
  </r>
  <r>
    <d v="2025-10-23T08:20:00"/>
    <d v="2025-10-23T10:44:00"/>
    <n v="2.4000000001396984"/>
    <n v="1059.9999999382999"/>
    <x v="2"/>
    <s v="Fabiano 20/10"/>
    <m/>
    <s v="25295/02"/>
    <s v="Envase"/>
    <n v="2544"/>
    <s v="MRARBS01"/>
    <s v="BODY SPLASH AURORA IMPERIAL"/>
    <n v="220"/>
    <s v="ml"/>
    <x v="0"/>
    <x v="1"/>
    <s v="BODY SPLASH"/>
    <x v="1"/>
    <m/>
    <m/>
    <m/>
    <m/>
    <m/>
    <m/>
    <m/>
    <m/>
    <m/>
    <m/>
    <m/>
    <m/>
    <m/>
    <m/>
    <m/>
    <m/>
    <m/>
    <m/>
    <m/>
    <m/>
    <m/>
    <s v=""/>
    <m/>
    <m/>
    <m/>
    <m/>
    <m/>
    <m/>
    <m/>
    <m/>
    <m/>
    <m/>
    <m/>
    <x v="0"/>
    <x v="8"/>
  </r>
  <r>
    <d v="2025-10-23T10:44:00"/>
    <d v="2025-10-23T14:00:00"/>
    <n v="2.2666666666627862"/>
    <n v="1122.352941178392"/>
    <x v="2"/>
    <s v="Fabiano 20/10"/>
    <m/>
    <s v="25296/01"/>
    <s v="Envase"/>
    <n v="2544"/>
    <s v="MRARBS01"/>
    <s v="BODY SPLASH AURORA IMPERIAL"/>
    <n v="220"/>
    <s v="ml"/>
    <x v="0"/>
    <x v="1"/>
    <s v="BODY SPLASH"/>
    <x v="1"/>
    <m/>
    <m/>
    <m/>
    <m/>
    <m/>
    <m/>
    <m/>
    <m/>
    <m/>
    <m/>
    <m/>
    <m/>
    <m/>
    <m/>
    <m/>
    <m/>
    <m/>
    <m/>
    <m/>
    <m/>
    <m/>
    <s v=""/>
    <m/>
    <m/>
    <m/>
    <m/>
    <m/>
    <m/>
    <m/>
    <m/>
    <m/>
    <m/>
    <m/>
    <x v="0"/>
    <x v="8"/>
  </r>
  <r>
    <d v="2025-10-23T14:00:00"/>
    <d v="2025-10-24T07:52:00"/>
    <n v="3.8666666666977108"/>
    <n v="657.93103447747637"/>
    <x v="2"/>
    <s v="Fabiano 20/10"/>
    <m/>
    <s v="25296/02"/>
    <s v="Envase"/>
    <n v="2544"/>
    <s v="MRARBS01"/>
    <s v="BODY SPLASH AURORA IMPERIAL"/>
    <n v="220"/>
    <s v="ml"/>
    <x v="0"/>
    <x v="1"/>
    <s v="BODY SPLASH"/>
    <x v="1"/>
    <m/>
    <m/>
    <m/>
    <m/>
    <m/>
    <m/>
    <m/>
    <m/>
    <m/>
    <m/>
    <m/>
    <m/>
    <m/>
    <m/>
    <m/>
    <m/>
    <m/>
    <m/>
    <m/>
    <m/>
    <m/>
    <s v=""/>
    <m/>
    <m/>
    <m/>
    <m/>
    <m/>
    <m/>
    <m/>
    <m/>
    <m/>
    <m/>
    <m/>
    <x v="0"/>
    <x v="8"/>
  </r>
  <r>
    <d v="2025-10-24T07:52:00"/>
    <d v="2025-10-24T11:23:00"/>
    <n v="3.5166666667792015"/>
    <n v="723.41232225173201"/>
    <x v="2"/>
    <s v="Fabiano 20/10"/>
    <m/>
    <s v="25296/03"/>
    <s v="Envase"/>
    <n v="2544"/>
    <s v="MRARBS01"/>
    <s v="BODY SPLASH AURORA IMPERIAL"/>
    <n v="220"/>
    <s v="ml"/>
    <x v="0"/>
    <x v="1"/>
    <s v="BODY SPLASH"/>
    <x v="1"/>
    <m/>
    <m/>
    <m/>
    <m/>
    <m/>
    <m/>
    <m/>
    <m/>
    <m/>
    <m/>
    <m/>
    <m/>
    <m/>
    <m/>
    <m/>
    <m/>
    <m/>
    <m/>
    <m/>
    <m/>
    <m/>
    <s v=""/>
    <m/>
    <m/>
    <m/>
    <m/>
    <m/>
    <m/>
    <m/>
    <m/>
    <m/>
    <m/>
    <m/>
    <x v="0"/>
    <x v="8"/>
  </r>
  <r>
    <d v="2025-10-24T11:23:00"/>
    <d v="2025-10-24T16:50:00"/>
    <n v="3.6166666665230878"/>
    <n v="703.41013827677273"/>
    <x v="2"/>
    <s v="Fabiano 20/10"/>
    <m/>
    <s v="25297/01"/>
    <s v="Envase"/>
    <n v="2544"/>
    <s v="MRARBS01"/>
    <s v="BODY SPLASH AURORA IMPERIAL"/>
    <n v="220"/>
    <s v="ml"/>
    <x v="0"/>
    <x v="1"/>
    <s v="BODY SPLASH"/>
    <x v="1"/>
    <m/>
    <m/>
    <m/>
    <m/>
    <m/>
    <m/>
    <m/>
    <m/>
    <m/>
    <m/>
    <m/>
    <m/>
    <m/>
    <m/>
    <m/>
    <m/>
    <m/>
    <m/>
    <m/>
    <m/>
    <m/>
    <s v=""/>
    <m/>
    <m/>
    <m/>
    <m/>
    <m/>
    <m/>
    <m/>
    <m/>
    <m/>
    <m/>
    <m/>
    <x v="0"/>
    <x v="8"/>
  </r>
  <r>
    <d v="2025-10-25T14:56:00"/>
    <d v="2025-10-28T09:30:00"/>
    <n v="13.566666667000391"/>
    <n v="187.5184275138148"/>
    <x v="2"/>
    <s v="Fabiano 20/10"/>
    <m/>
    <s v="25297/03"/>
    <s v="Envase"/>
    <n v="2544"/>
    <s v="MRARBS01"/>
    <s v="BODY SPLASH AURORA IMPERIAL"/>
    <n v="220"/>
    <s v="ml"/>
    <x v="0"/>
    <x v="1"/>
    <s v="BODY SPLASH"/>
    <x v="1"/>
    <m/>
    <m/>
    <m/>
    <m/>
    <m/>
    <m/>
    <m/>
    <m/>
    <m/>
    <m/>
    <m/>
    <m/>
    <m/>
    <m/>
    <m/>
    <m/>
    <m/>
    <m/>
    <m/>
    <m/>
    <m/>
    <s v=""/>
    <m/>
    <m/>
    <m/>
    <m/>
    <m/>
    <m/>
    <m/>
    <m/>
    <m/>
    <m/>
    <m/>
    <x v="0"/>
    <x v="8"/>
  </r>
  <r>
    <d v="2025-10-27T07:00:00"/>
    <d v="2025-10-27T07:48:00"/>
    <n v="0.79999999998835847"/>
    <n v="25.000000000363798"/>
    <x v="2"/>
    <s v="KURYOS"/>
    <m/>
    <s v="25297/04"/>
    <s v="Envase"/>
    <n v="20"/>
    <s v="RETRAB05"/>
    <s v="RE.PROGRESSIVA PASSO 2"/>
    <n v="1000"/>
    <s v="ml"/>
    <x v="5"/>
    <x v="5"/>
    <s v="PROGRESSIVA"/>
    <x v="4"/>
    <m/>
    <m/>
    <m/>
    <m/>
    <m/>
    <m/>
    <m/>
    <m/>
    <m/>
    <m/>
    <m/>
    <m/>
    <m/>
    <m/>
    <m/>
    <m/>
    <m/>
    <m/>
    <m/>
    <m/>
    <m/>
    <s v=""/>
    <m/>
    <m/>
    <m/>
    <m/>
    <m/>
    <m/>
    <m/>
    <m/>
    <m/>
    <m/>
    <m/>
    <x v="0"/>
    <x v="8"/>
  </r>
  <r>
    <d v="2025-10-27T07:00:00"/>
    <d v="2025-10-27T14:56:00"/>
    <n v="6.9333333333488554"/>
    <n v="366.92307692225546"/>
    <x v="2"/>
    <s v="Fabiano 20/10"/>
    <m/>
    <s v="25297/02"/>
    <s v="Envase"/>
    <n v="2544"/>
    <s v="MRARBS01"/>
    <s v="BODY SPLASH AURORA IMPERIAL"/>
    <n v="220"/>
    <s v="ml"/>
    <x v="0"/>
    <x v="1"/>
    <s v="BODY SPLASH"/>
    <x v="1"/>
    <m/>
    <m/>
    <m/>
    <m/>
    <m/>
    <m/>
    <m/>
    <m/>
    <m/>
    <m/>
    <m/>
    <m/>
    <m/>
    <m/>
    <m/>
    <m/>
    <m/>
    <m/>
    <m/>
    <m/>
    <m/>
    <s v=""/>
    <m/>
    <m/>
    <m/>
    <m/>
    <m/>
    <m/>
    <m/>
    <m/>
    <m/>
    <m/>
    <m/>
    <x v="0"/>
    <x v="8"/>
  </r>
  <r>
    <d v="2025-10-27T11:30:00"/>
    <d v="2025-10-29T08:43:00"/>
    <n v="15.216666666907258"/>
    <n v="567.79846658466977"/>
    <x v="2"/>
    <s v="02_07"/>
    <m/>
    <s v="25294/02"/>
    <s v="Envase"/>
    <n v="8640"/>
    <s v="DPHNPC01"/>
    <s v="PERFUME CAPILAR HONEY"/>
    <n v="60"/>
    <s v="ml"/>
    <x v="4"/>
    <x v="1"/>
    <s v="PERFUME CAPILAR"/>
    <x v="3"/>
    <m/>
    <m/>
    <m/>
    <m/>
    <m/>
    <m/>
    <m/>
    <m/>
    <m/>
    <m/>
    <m/>
    <m/>
    <m/>
    <m/>
    <m/>
    <m/>
    <m/>
    <m/>
    <m/>
    <m/>
    <m/>
    <s v=""/>
    <m/>
    <m/>
    <m/>
    <m/>
    <m/>
    <m/>
    <m/>
    <m/>
    <m/>
    <m/>
    <m/>
    <x v="0"/>
    <x v="8"/>
  </r>
  <r>
    <d v="2025-10-28T09:30:00"/>
    <d v="2025-10-28T13:00:00"/>
    <n v="3.4999999998835847"/>
    <n v="726.85714288131919"/>
    <x v="2"/>
    <s v="Fabiano 20/10"/>
    <m/>
    <s v="25300/01"/>
    <s v="Envase"/>
    <n v="2544"/>
    <s v="MRARBS01"/>
    <s v="BODY SPLASH AURORA IMPERIAL"/>
    <n v="220"/>
    <s v="ml"/>
    <x v="0"/>
    <x v="1"/>
    <s v="BODY SPLASH"/>
    <x v="1"/>
    <m/>
    <m/>
    <m/>
    <m/>
    <m/>
    <m/>
    <m/>
    <m/>
    <m/>
    <m/>
    <m/>
    <m/>
    <m/>
    <m/>
    <m/>
    <m/>
    <m/>
    <m/>
    <m/>
    <m/>
    <m/>
    <s v=""/>
    <m/>
    <m/>
    <m/>
    <m/>
    <m/>
    <m/>
    <m/>
    <m/>
    <m/>
    <m/>
    <m/>
    <x v="0"/>
    <x v="8"/>
  </r>
  <r>
    <d v="2025-10-29T08:12:00"/>
    <d v="2025-10-29T14:15:00"/>
    <n v="5.0499999999883585"/>
    <n v="503.76237623878507"/>
    <x v="2"/>
    <s v="Fabiano 20/10"/>
    <m/>
    <s v="25300/02"/>
    <s v="Envase"/>
    <n v="2544"/>
    <s v="MRARBS01"/>
    <s v="BODY SPLASH AURORA IMPERIAL"/>
    <n v="220"/>
    <s v="ml"/>
    <x v="0"/>
    <x v="1"/>
    <s v="BODY SPLASH"/>
    <x v="1"/>
    <m/>
    <m/>
    <m/>
    <m/>
    <m/>
    <m/>
    <m/>
    <m/>
    <m/>
    <m/>
    <m/>
    <m/>
    <m/>
    <m/>
    <m/>
    <m/>
    <m/>
    <m/>
    <m/>
    <m/>
    <m/>
    <s v=""/>
    <m/>
    <m/>
    <m/>
    <m/>
    <m/>
    <m/>
    <m/>
    <m/>
    <m/>
    <m/>
    <m/>
    <x v="0"/>
    <x v="8"/>
  </r>
  <r>
    <d v="2025-10-29T08:40:00"/>
    <d v="2025-10-30T15:00:00"/>
    <n v="14.333333333488554"/>
    <n v="602.79069766789075"/>
    <x v="1"/>
    <s v="02_07"/>
    <m/>
    <s v="25301/02"/>
    <s v="Envase"/>
    <n v="8640"/>
    <s v="DPHNPC01"/>
    <s v="PERFUME CAPILAR HONEY"/>
    <n v="60"/>
    <s v="ml"/>
    <x v="4"/>
    <x v="1"/>
    <s v="PERFUME CAPILAR"/>
    <x v="3"/>
    <m/>
    <m/>
    <m/>
    <m/>
    <m/>
    <m/>
    <m/>
    <m/>
    <m/>
    <m/>
    <m/>
    <m/>
    <m/>
    <m/>
    <m/>
    <m/>
    <m/>
    <m/>
    <m/>
    <m/>
    <m/>
    <s v=""/>
    <m/>
    <m/>
    <m/>
    <m/>
    <m/>
    <m/>
    <m/>
    <m/>
    <m/>
    <m/>
    <m/>
    <x v="0"/>
    <x v="8"/>
  </r>
  <r>
    <d v="2025-10-29T10:30:00"/>
    <d v="2025-10-29T14:30:00"/>
    <n v="2.9999999999417923"/>
    <n v="848.00000001645333"/>
    <x v="2"/>
    <s v="MAHMUD 23/10"/>
    <m/>
    <s v="25302/01"/>
    <s v="Envase"/>
    <n v="2544"/>
    <s v="MRARBS05"/>
    <s v="BODY SPLASH FORÇA DO LEAO"/>
    <n v="220"/>
    <s v="ml"/>
    <x v="0"/>
    <x v="1"/>
    <s v="BODY SPLASH"/>
    <x v="1"/>
    <m/>
    <m/>
    <m/>
    <m/>
    <m/>
    <m/>
    <m/>
    <m/>
    <m/>
    <m/>
    <m/>
    <m/>
    <m/>
    <m/>
    <m/>
    <m/>
    <m/>
    <m/>
    <m/>
    <m/>
    <m/>
    <s v=""/>
    <m/>
    <m/>
    <m/>
    <m/>
    <m/>
    <m/>
    <m/>
    <m/>
    <m/>
    <m/>
    <m/>
    <x v="0"/>
    <x v="8"/>
  </r>
  <r>
    <d v="2025-10-30T14:15:00"/>
    <d v="2025-10-31T08:30:00"/>
    <n v="4.2500000000582077"/>
    <n v="248.47058823189107"/>
    <x v="2"/>
    <s v="Fabiano 20/10"/>
    <m/>
    <s v="25303/01"/>
    <s v="Envase"/>
    <n v="1056"/>
    <s v="MRARBS01"/>
    <s v="BODY SPLASH AURORA IMPERIAL"/>
    <n v="220"/>
    <s v="ml"/>
    <x v="0"/>
    <x v="1"/>
    <s v="BODY SPLASH"/>
    <x v="1"/>
    <m/>
    <m/>
    <m/>
    <m/>
    <m/>
    <m/>
    <m/>
    <m/>
    <m/>
    <m/>
    <m/>
    <m/>
    <m/>
    <m/>
    <m/>
    <m/>
    <m/>
    <m/>
    <m/>
    <m/>
    <m/>
    <s v=""/>
    <m/>
    <m/>
    <m/>
    <m/>
    <m/>
    <m/>
    <m/>
    <m/>
    <m/>
    <m/>
    <m/>
    <x v="0"/>
    <x v="8"/>
  </r>
  <r>
    <d v="2025-10-30T15:00:00"/>
    <d v="2025-10-31T14:00:00"/>
    <n v="8.000000000174623"/>
    <n v="558.87499998780095"/>
    <x v="2"/>
    <s v="02_07"/>
    <m/>
    <s v="25302/02"/>
    <s v="Envase"/>
    <n v="4471"/>
    <s v="DPHNPC01"/>
    <s v="PERFUME CAPILAR HONEY"/>
    <n v="60"/>
    <s v="ml"/>
    <x v="4"/>
    <x v="1"/>
    <s v="PERFUME CAPILAR"/>
    <x v="3"/>
    <m/>
    <m/>
    <m/>
    <m/>
    <m/>
    <m/>
    <m/>
    <m/>
    <m/>
    <m/>
    <m/>
    <m/>
    <m/>
    <m/>
    <m/>
    <m/>
    <m/>
    <m/>
    <m/>
    <m/>
    <m/>
    <s v=""/>
    <m/>
    <m/>
    <m/>
    <m/>
    <m/>
    <m/>
    <m/>
    <m/>
    <m/>
    <m/>
    <m/>
    <x v="0"/>
    <x v="8"/>
  </r>
  <r>
    <d v="2025-10-31T08:43:00"/>
    <d v="2025-10-31T11:40:00"/>
    <n v="2.9500000000116415"/>
    <n v="862.37288135252902"/>
    <x v="2"/>
    <s v="MAHMUD 23/10"/>
    <m/>
    <s v="25303/02"/>
    <s v="Envase"/>
    <n v="2544"/>
    <s v="MRARBS05"/>
    <s v="BODY SPLASH FORÇA DO LEAO"/>
    <n v="220"/>
    <s v="ml"/>
    <x v="0"/>
    <x v="1"/>
    <s v="BODY SPLASH"/>
    <x v="1"/>
    <m/>
    <m/>
    <m/>
    <m/>
    <m/>
    <m/>
    <m/>
    <m/>
    <m/>
    <m/>
    <m/>
    <m/>
    <m/>
    <m/>
    <m/>
    <m/>
    <m/>
    <m/>
    <m/>
    <m/>
    <m/>
    <s v=""/>
    <m/>
    <m/>
    <m/>
    <m/>
    <m/>
    <m/>
    <m/>
    <m/>
    <m/>
    <m/>
    <m/>
    <x v="0"/>
    <x v="8"/>
  </r>
  <r>
    <d v="2025-10-31T11:40:00"/>
    <d v="2025-10-31T16:50:00"/>
    <n v="3.3333333333139308"/>
    <n v="763.20000000444236"/>
    <x v="2"/>
    <s v="MAHMUD 23/10"/>
    <m/>
    <s v="25303/03"/>
    <s v="Envase"/>
    <n v="2544"/>
    <s v="MRARBS05"/>
    <s v="BODY SPLASH FORÇA DO LEAO"/>
    <n v="220"/>
    <s v="ml"/>
    <x v="0"/>
    <x v="1"/>
    <s v="BODY SPLASH"/>
    <x v="1"/>
    <m/>
    <m/>
    <m/>
    <m/>
    <m/>
    <m/>
    <m/>
    <m/>
    <m/>
    <m/>
    <m/>
    <m/>
    <m/>
    <m/>
    <m/>
    <m/>
    <m/>
    <m/>
    <m/>
    <m/>
    <m/>
    <s v=""/>
    <m/>
    <m/>
    <m/>
    <m/>
    <m/>
    <m/>
    <m/>
    <m/>
    <m/>
    <m/>
    <m/>
    <x v="0"/>
    <x v="8"/>
  </r>
  <r>
    <d v="2025-11-03T07:05:00"/>
    <d v="2025-11-03T09:15:00"/>
    <n v="2.1666666665696539"/>
    <n v="1174.1538462064191"/>
    <x v="2"/>
    <s v="MAHMUD 23/10"/>
    <m/>
    <s v="25303/04"/>
    <s v="Envase"/>
    <n v="2544"/>
    <s v="MRARBS05"/>
    <s v="BODY SPLASH FORÇA DO LEAO"/>
    <n v="220"/>
    <s v="ml"/>
    <x v="0"/>
    <x v="1"/>
    <s v="BODY SPLASH"/>
    <x v="1"/>
    <m/>
    <m/>
    <m/>
    <m/>
    <m/>
    <m/>
    <m/>
    <m/>
    <m/>
    <m/>
    <m/>
    <m/>
    <m/>
    <m/>
    <m/>
    <m/>
    <m/>
    <m/>
    <m/>
    <m/>
    <m/>
    <s v=""/>
    <m/>
    <m/>
    <m/>
    <m/>
    <m/>
    <m/>
    <m/>
    <m/>
    <m/>
    <m/>
    <m/>
    <x v="0"/>
    <x v="9"/>
  </r>
  <r>
    <d v="2025-11-03T09:15:00"/>
    <d v="2025-11-03T13:35:00"/>
    <n v="3.3333333333139308"/>
    <n v="763.20000000444236"/>
    <x v="2"/>
    <s v="MAHMUD 23/10"/>
    <m/>
    <s v="25303/05"/>
    <s v="Envase"/>
    <n v="2544"/>
    <s v="MRARBS05"/>
    <s v="BODY SPLASH FORÇA DO LEAO"/>
    <n v="220"/>
    <s v="ml"/>
    <x v="0"/>
    <x v="1"/>
    <s v="BODY SPLASH"/>
    <x v="1"/>
    <m/>
    <m/>
    <m/>
    <m/>
    <m/>
    <m/>
    <m/>
    <m/>
    <m/>
    <m/>
    <m/>
    <m/>
    <m/>
    <m/>
    <m/>
    <m/>
    <m/>
    <m/>
    <m/>
    <m/>
    <m/>
    <s v=""/>
    <m/>
    <m/>
    <m/>
    <m/>
    <m/>
    <m/>
    <m/>
    <m/>
    <m/>
    <m/>
    <m/>
    <x v="0"/>
    <x v="9"/>
  </r>
  <r>
    <d v="2025-11-03T13:35:00"/>
    <d v="2025-11-03T15:30:00"/>
    <n v="1.9166666668024845"/>
    <n v="1327.3043477320323"/>
    <x v="2"/>
    <s v="MAHMUD 23/10"/>
    <m/>
    <s v="25301/01"/>
    <s v="Envase"/>
    <n v="2544"/>
    <s v="MRARBS05"/>
    <s v="BODY SPLASH FORÇA DO LEAO"/>
    <n v="220"/>
    <s v="ml"/>
    <x v="0"/>
    <x v="1"/>
    <s v="BODY SPLASH"/>
    <x v="1"/>
    <m/>
    <m/>
    <m/>
    <m/>
    <m/>
    <m/>
    <m/>
    <m/>
    <m/>
    <m/>
    <m/>
    <m/>
    <m/>
    <m/>
    <m/>
    <m/>
    <m/>
    <m/>
    <m/>
    <m/>
    <m/>
    <s v=""/>
    <m/>
    <m/>
    <m/>
    <m/>
    <m/>
    <m/>
    <m/>
    <m/>
    <m/>
    <m/>
    <m/>
    <x v="0"/>
    <x v="9"/>
  </r>
  <r>
    <d v="2025-11-03T15:30:00"/>
    <d v="2025-11-04T08:40:00"/>
    <n v="3.1666666666860692"/>
    <n v="803.36842104770926"/>
    <x v="2"/>
    <s v="MAHMUD 23/10"/>
    <m/>
    <s v="25307/01"/>
    <s v="Envase"/>
    <n v="2544"/>
    <s v="MRARBS05"/>
    <s v="BODY SPLASH FORÇA DO LEAO"/>
    <n v="220"/>
    <s v="ml"/>
    <x v="0"/>
    <x v="1"/>
    <s v="BODY SPLASH"/>
    <x v="1"/>
    <m/>
    <m/>
    <m/>
    <m/>
    <m/>
    <m/>
    <m/>
    <m/>
    <m/>
    <m/>
    <m/>
    <m/>
    <m/>
    <m/>
    <m/>
    <m/>
    <m/>
    <m/>
    <m/>
    <m/>
    <m/>
    <s v=""/>
    <m/>
    <m/>
    <m/>
    <m/>
    <m/>
    <m/>
    <m/>
    <m/>
    <m/>
    <m/>
    <m/>
    <x v="0"/>
    <x v="9"/>
  </r>
  <r>
    <d v="2025-11-04T07:00:00"/>
    <d v="2025-11-11T14:00:00"/>
    <n v="50.000000000582077"/>
    <n v="547.19999999362972"/>
    <x v="1"/>
    <s v="RETRABALHO"/>
    <m/>
    <s v="-"/>
    <s v="Envase"/>
    <n v="27360"/>
    <s v="RETRAB06"/>
    <s v="RE.BODY SPLASH DAPOP HONEY GLOW"/>
    <n v="120"/>
    <s v="ml"/>
    <x v="4"/>
    <x v="1"/>
    <s v="BODY SPLASH"/>
    <x v="3"/>
    <m/>
    <m/>
    <m/>
    <m/>
    <m/>
    <m/>
    <m/>
    <m/>
    <m/>
    <m/>
    <m/>
    <m/>
    <m/>
    <m/>
    <m/>
    <m/>
    <m/>
    <m/>
    <m/>
    <m/>
    <m/>
    <s v=""/>
    <m/>
    <m/>
    <m/>
    <m/>
    <m/>
    <m/>
    <m/>
    <m/>
    <m/>
    <m/>
    <m/>
    <x v="0"/>
    <x v="9"/>
  </r>
  <r>
    <d v="2025-11-04T08:40:00"/>
    <d v="2025-11-04T11:20:00"/>
    <n v="2.6666666666278616"/>
    <n v="954.00000001388253"/>
    <x v="2"/>
    <s v="MAHMUD 23/10"/>
    <m/>
    <s v="25307/03"/>
    <s v="Envase"/>
    <n v="2544"/>
    <s v="MRARBS05"/>
    <s v="BODY SPLASH FORÇA DO LEAO"/>
    <n v="220"/>
    <s v="ml"/>
    <x v="0"/>
    <x v="1"/>
    <s v="BODY SPLASH"/>
    <x v="1"/>
    <m/>
    <m/>
    <m/>
    <m/>
    <m/>
    <m/>
    <m/>
    <m/>
    <m/>
    <m/>
    <m/>
    <m/>
    <m/>
    <m/>
    <m/>
    <m/>
    <m/>
    <m/>
    <m/>
    <m/>
    <m/>
    <s v=""/>
    <m/>
    <m/>
    <m/>
    <m/>
    <m/>
    <m/>
    <m/>
    <m/>
    <m/>
    <m/>
    <m/>
    <x v="0"/>
    <x v="9"/>
  </r>
  <r>
    <d v="2025-11-04T11:20:00"/>
    <d v="2025-11-04T15:00:00"/>
    <n v="2.6666666667442769"/>
    <n v="953.99999997223495"/>
    <x v="2"/>
    <s v="MAHMUD 23/10"/>
    <m/>
    <s v="25307/02"/>
    <s v="Envase"/>
    <n v="2544"/>
    <s v="MRARBS05"/>
    <s v="BODY SPLASH FORÇA DO LEAO"/>
    <n v="220"/>
    <s v="ml"/>
    <x v="0"/>
    <x v="1"/>
    <s v="BODY SPLASH"/>
    <x v="1"/>
    <m/>
    <m/>
    <m/>
    <m/>
    <m/>
    <m/>
    <m/>
    <m/>
    <m/>
    <m/>
    <m/>
    <m/>
    <m/>
    <m/>
    <m/>
    <m/>
    <m/>
    <m/>
    <m/>
    <m/>
    <m/>
    <s v=""/>
    <m/>
    <m/>
    <m/>
    <m/>
    <m/>
    <m/>
    <m/>
    <m/>
    <m/>
    <m/>
    <m/>
    <x v="0"/>
    <x v="9"/>
  </r>
  <r>
    <d v="2025-11-04T15:00:00"/>
    <d v="2025-11-05T08:50:00"/>
    <n v="3.8333333334303461"/>
    <n v="663.65217389624797"/>
    <x v="2"/>
    <s v="MAHMUD 23/10"/>
    <m/>
    <s v="25308/01"/>
    <s v="Envase"/>
    <n v="2544"/>
    <s v="MRARBS05"/>
    <s v="BODY SPLASH FORÇA DO LEAO"/>
    <n v="220"/>
    <s v="ml"/>
    <x v="0"/>
    <x v="1"/>
    <s v="BODY SPLASH"/>
    <x v="1"/>
    <m/>
    <m/>
    <m/>
    <m/>
    <m/>
    <m/>
    <m/>
    <m/>
    <m/>
    <m/>
    <m/>
    <m/>
    <m/>
    <m/>
    <m/>
    <m/>
    <m/>
    <m/>
    <m/>
    <m/>
    <m/>
    <s v=""/>
    <m/>
    <m/>
    <m/>
    <m/>
    <m/>
    <m/>
    <m/>
    <m/>
    <m/>
    <m/>
    <m/>
    <x v="0"/>
    <x v="9"/>
  </r>
  <r>
    <d v="2025-11-05T08:50:00"/>
    <d v="2025-11-05T11:30:00"/>
    <n v="2.6666666666278616"/>
    <n v="954.00000001388253"/>
    <x v="2"/>
    <s v="MAHMUD 23/10"/>
    <m/>
    <s v="25308/02"/>
    <s v="Envase"/>
    <n v="2544"/>
    <s v="MRARBS05"/>
    <s v="BODY SPLASH FORÇA DO LEAO"/>
    <n v="220"/>
    <s v="ml"/>
    <x v="0"/>
    <x v="1"/>
    <s v="BODY SPLASH"/>
    <x v="1"/>
    <m/>
    <m/>
    <m/>
    <m/>
    <m/>
    <m/>
    <m/>
    <m/>
    <m/>
    <m/>
    <m/>
    <m/>
    <m/>
    <m/>
    <m/>
    <m/>
    <m/>
    <m/>
    <m/>
    <m/>
    <m/>
    <s v=""/>
    <m/>
    <m/>
    <m/>
    <m/>
    <m/>
    <m/>
    <m/>
    <m/>
    <m/>
    <m/>
    <m/>
    <x v="0"/>
    <x v="9"/>
  </r>
  <r>
    <d v="2025-11-05T11:30:00"/>
    <d v="2025-11-05T15:00:00"/>
    <n v="2.5000000000582077"/>
    <n v="1017.5999999763071"/>
    <x v="2"/>
    <s v="MAHMUD 23/10"/>
    <m/>
    <s v="25308/03"/>
    <s v="Envase"/>
    <n v="2544"/>
    <s v="MRARBS05"/>
    <s v="BODY SPLASH FORÇA DO LEAO"/>
    <n v="220"/>
    <s v="ml"/>
    <x v="0"/>
    <x v="1"/>
    <s v="BODY SPLASH"/>
    <x v="1"/>
    <m/>
    <m/>
    <m/>
    <m/>
    <m/>
    <m/>
    <m/>
    <m/>
    <m/>
    <m/>
    <m/>
    <m/>
    <m/>
    <m/>
    <m/>
    <m/>
    <m/>
    <m/>
    <m/>
    <m/>
    <m/>
    <s v=""/>
    <m/>
    <m/>
    <m/>
    <m/>
    <m/>
    <m/>
    <m/>
    <m/>
    <m/>
    <m/>
    <m/>
    <x v="0"/>
    <x v="9"/>
  </r>
  <r>
    <d v="2025-11-05T15:00:00"/>
    <d v="2025-11-06T08:39:00"/>
    <n v="3.650000000197906"/>
    <n v="672.60273968955835"/>
    <x v="2"/>
    <s v="MAHMUD 23/10"/>
    <m/>
    <s v="25309/01"/>
    <s v="Envase"/>
    <n v="2455"/>
    <s v="MRARBS05"/>
    <s v="BODY SPLASH FORÇA DO LEAO"/>
    <n v="220"/>
    <s v="ml"/>
    <x v="0"/>
    <x v="1"/>
    <s v="BODY SPLASH"/>
    <x v="1"/>
    <m/>
    <m/>
    <m/>
    <m/>
    <m/>
    <m/>
    <m/>
    <m/>
    <m/>
    <m/>
    <m/>
    <m/>
    <m/>
    <m/>
    <m/>
    <m/>
    <m/>
    <m/>
    <m/>
    <m/>
    <m/>
    <s v=""/>
    <m/>
    <m/>
    <m/>
    <m/>
    <m/>
    <m/>
    <m/>
    <m/>
    <m/>
    <m/>
    <m/>
    <x v="0"/>
    <x v="9"/>
  </r>
  <r>
    <d v="2025-11-06T08:39:00"/>
    <d v="2025-11-06T11:10:00"/>
    <n v="2.5166666666627862"/>
    <n v="1010.8609271538766"/>
    <x v="2"/>
    <s v="MAHMUD 23/10"/>
    <m/>
    <s v="25309/02"/>
    <s v="Envase"/>
    <n v="2544"/>
    <s v="MRARBS05"/>
    <s v="BODY SPLASH FORÇA DO LEAO"/>
    <n v="220"/>
    <s v="ml"/>
    <x v="0"/>
    <x v="1"/>
    <s v="BODY SPLASH"/>
    <x v="1"/>
    <m/>
    <m/>
    <m/>
    <m/>
    <m/>
    <m/>
    <m/>
    <m/>
    <m/>
    <m/>
    <m/>
    <m/>
    <m/>
    <m/>
    <m/>
    <m/>
    <m/>
    <m/>
    <m/>
    <m/>
    <m/>
    <s v=""/>
    <m/>
    <m/>
    <m/>
    <m/>
    <m/>
    <m/>
    <m/>
    <m/>
    <m/>
    <m/>
    <m/>
    <x v="0"/>
    <x v="9"/>
  </r>
  <r>
    <d v="2025-11-06T11:10:00"/>
    <d v="2025-11-06T14:50:00"/>
    <n v="2.6666666665696539"/>
    <n v="954.00000003470632"/>
    <x v="2"/>
    <s v="MAHMUD 23/10"/>
    <m/>
    <s v="25309/03"/>
    <s v="Envase"/>
    <n v="2544"/>
    <s v="MRARBS05"/>
    <s v="BODY SPLASH FORÇA DO LEAO"/>
    <n v="220"/>
    <s v="ml"/>
    <x v="0"/>
    <x v="1"/>
    <s v="BODY SPLASH"/>
    <x v="1"/>
    <m/>
    <m/>
    <m/>
    <m/>
    <m/>
    <m/>
    <m/>
    <m/>
    <m/>
    <m/>
    <m/>
    <m/>
    <m/>
    <m/>
    <m/>
    <m/>
    <m/>
    <m/>
    <m/>
    <m/>
    <m/>
    <s v=""/>
    <m/>
    <m/>
    <m/>
    <m/>
    <m/>
    <m/>
    <m/>
    <m/>
    <m/>
    <m/>
    <m/>
    <x v="0"/>
    <x v="9"/>
  </r>
  <r>
    <d v="2025-11-06T14:50:00"/>
    <d v="2025-11-07T11:00:00"/>
    <n v="6.1666666668606922"/>
    <n v="412.54054052756055"/>
    <x v="2"/>
    <s v="MAHMUD 23/10"/>
    <m/>
    <s v="25310/01"/>
    <s v="Envase"/>
    <n v="2544"/>
    <s v="MRARBS05"/>
    <s v="BODY SPLASH FORÇA DO LEAO"/>
    <n v="220"/>
    <s v="ml"/>
    <x v="0"/>
    <x v="1"/>
    <s v="BODY SPLASH"/>
    <x v="1"/>
    <m/>
    <m/>
    <m/>
    <m/>
    <m/>
    <m/>
    <m/>
    <m/>
    <m/>
    <m/>
    <m/>
    <m/>
    <m/>
    <m/>
    <m/>
    <m/>
    <m/>
    <m/>
    <m/>
    <m/>
    <m/>
    <s v=""/>
    <m/>
    <m/>
    <m/>
    <m/>
    <m/>
    <m/>
    <m/>
    <m/>
    <m/>
    <m/>
    <m/>
    <x v="0"/>
    <x v="9"/>
  </r>
  <r>
    <d v="2025-11-07T08:00:00"/>
    <d v="2025-11-07T10:47:00"/>
    <n v="2.7833333333255723"/>
    <n v="914.01197605045286"/>
    <x v="2"/>
    <s v="MAHMUD 23/10"/>
    <m/>
    <s v="25310/02"/>
    <s v="Envase"/>
    <n v="2544"/>
    <s v="MRARBS05"/>
    <s v="BODY SPLASH FORÇA DO LEAO"/>
    <n v="220"/>
    <s v="ml"/>
    <x v="0"/>
    <x v="1"/>
    <s v="BODY SPLASH"/>
    <x v="1"/>
    <m/>
    <m/>
    <m/>
    <m/>
    <m/>
    <m/>
    <m/>
    <m/>
    <m/>
    <m/>
    <m/>
    <m/>
    <m/>
    <m/>
    <m/>
    <m/>
    <m/>
    <m/>
    <m/>
    <m/>
    <m/>
    <s v=""/>
    <m/>
    <m/>
    <m/>
    <m/>
    <m/>
    <m/>
    <m/>
    <m/>
    <m/>
    <m/>
    <m/>
    <x v="0"/>
    <x v="9"/>
  </r>
  <r>
    <d v="2025-11-07T10:50:00"/>
    <d v="2025-11-10T07:50:00"/>
    <n v="5"/>
    <n v="508.8"/>
    <x v="2"/>
    <s v="MAHMUD 23/10"/>
    <m/>
    <s v="25311/01"/>
    <s v="Envase"/>
    <n v="2544"/>
    <s v="MRARBS05"/>
    <s v="BODY SPLASH FORÇA DO LEAO"/>
    <n v="220"/>
    <s v="ml"/>
    <x v="0"/>
    <x v="1"/>
    <s v="BODY SPLASH"/>
    <x v="1"/>
    <m/>
    <m/>
    <m/>
    <m/>
    <m/>
    <m/>
    <m/>
    <m/>
    <m/>
    <m/>
    <m/>
    <m/>
    <m/>
    <m/>
    <m/>
    <m/>
    <m/>
    <m/>
    <m/>
    <m/>
    <m/>
    <s v=""/>
    <m/>
    <m/>
    <m/>
    <m/>
    <m/>
    <m/>
    <m/>
    <m/>
    <m/>
    <m/>
    <m/>
    <x v="0"/>
    <x v="9"/>
  </r>
  <r>
    <d v="2025-11-10T07:50:00"/>
    <d v="2025-11-10T10:15:00"/>
    <n v="2.4166666666860692"/>
    <n v="1052.689655163962"/>
    <x v="2"/>
    <s v="MAHMUD 23/10"/>
    <m/>
    <s v="25311/02"/>
    <s v="Envase"/>
    <n v="2544"/>
    <s v="MRARBS05"/>
    <s v="BODY SPLASH FORÇA DO LEAO"/>
    <n v="220"/>
    <s v="ml"/>
    <x v="0"/>
    <x v="1"/>
    <s v="BODY SPLASH"/>
    <x v="1"/>
    <m/>
    <m/>
    <m/>
    <m/>
    <m/>
    <m/>
    <m/>
    <m/>
    <m/>
    <m/>
    <m/>
    <m/>
    <m/>
    <m/>
    <m/>
    <m/>
    <m/>
    <m/>
    <m/>
    <m/>
    <m/>
    <s v=""/>
    <m/>
    <m/>
    <m/>
    <m/>
    <m/>
    <m/>
    <m/>
    <m/>
    <m/>
    <m/>
    <m/>
    <x v="0"/>
    <x v="9"/>
  </r>
  <r>
    <d v="2025-11-10T10:15:00"/>
    <d v="2025-11-10T13:50:00"/>
    <n v="2.5833333333139308"/>
    <n v="984.77419355578343"/>
    <x v="2"/>
    <s v="MAHMUD 23/10"/>
    <m/>
    <s v="25311/03"/>
    <s v="Envase"/>
    <n v="2544"/>
    <s v="MRARBS05"/>
    <s v="BODY SPLASH FORÇA DO LEAO"/>
    <n v="220"/>
    <s v="ml"/>
    <x v="0"/>
    <x v="1"/>
    <s v="BODY SPLASH"/>
    <x v="1"/>
    <m/>
    <m/>
    <m/>
    <m/>
    <m/>
    <m/>
    <m/>
    <m/>
    <m/>
    <m/>
    <m/>
    <m/>
    <m/>
    <m/>
    <m/>
    <m/>
    <m/>
    <m/>
    <m/>
    <m/>
    <m/>
    <s v=""/>
    <m/>
    <m/>
    <m/>
    <m/>
    <m/>
    <m/>
    <m/>
    <m/>
    <m/>
    <m/>
    <m/>
    <x v="0"/>
    <x v="9"/>
  </r>
  <r>
    <d v="2025-11-10T13:50:00"/>
    <d v="2025-11-11T07:10:00"/>
    <n v="3.3333333333721384"/>
    <n v="763.19999999111519"/>
    <x v="2"/>
    <s v="MAHMUD 23/10"/>
    <m/>
    <s v="25311/04"/>
    <s v="Envase"/>
    <n v="2544"/>
    <s v="MRARBS05"/>
    <s v="BODY SPLASH FORÇA DO LEAO"/>
    <n v="220"/>
    <s v="ml"/>
    <x v="0"/>
    <x v="1"/>
    <s v="BODY SPLASH"/>
    <x v="1"/>
    <m/>
    <m/>
    <m/>
    <m/>
    <m/>
    <m/>
    <m/>
    <m/>
    <m/>
    <m/>
    <m/>
    <m/>
    <m/>
    <m/>
    <m/>
    <m/>
    <m/>
    <m/>
    <m/>
    <m/>
    <m/>
    <s v=""/>
    <m/>
    <m/>
    <m/>
    <m/>
    <m/>
    <m/>
    <m/>
    <m/>
    <m/>
    <m/>
    <m/>
    <x v="0"/>
    <x v="9"/>
  </r>
  <r>
    <d v="2025-11-11T07:10:00"/>
    <d v="2025-11-11T09:56:00"/>
    <n v="2.7666666667792015"/>
    <n v="919.51807225175503"/>
    <x v="2"/>
    <s v="MAHMUD 23/10"/>
    <m/>
    <s v="25314/01"/>
    <s v="Envase"/>
    <n v="2544"/>
    <s v="MRARBS05"/>
    <s v="BODY SPLASH FORÇA DO LEAO"/>
    <n v="220"/>
    <s v="ml"/>
    <x v="0"/>
    <x v="1"/>
    <s v="BODY SPLASH"/>
    <x v="1"/>
    <m/>
    <m/>
    <m/>
    <m/>
    <m/>
    <m/>
    <m/>
    <m/>
    <m/>
    <m/>
    <m/>
    <m/>
    <m/>
    <m/>
    <m/>
    <m/>
    <m/>
    <m/>
    <m/>
    <m/>
    <m/>
    <s v=""/>
    <m/>
    <m/>
    <m/>
    <m/>
    <m/>
    <m/>
    <m/>
    <m/>
    <m/>
    <m/>
    <m/>
    <x v="0"/>
    <x v="9"/>
  </r>
  <r>
    <d v="2025-11-11T09:56:00"/>
    <d v="2025-11-11T13:40:00"/>
    <n v="2.7333333332790062"/>
    <n v="930.7317073355722"/>
    <x v="2"/>
    <s v="MAHMUD 23/10"/>
    <m/>
    <s v="25314/02"/>
    <s v="Envase"/>
    <n v="2544"/>
    <s v="MRARBS05"/>
    <s v="BODY SPLASH FORÇA DO LEAO"/>
    <n v="220"/>
    <s v="ml"/>
    <x v="0"/>
    <x v="1"/>
    <s v="BODY SPLASH"/>
    <x v="1"/>
    <m/>
    <m/>
    <m/>
    <m/>
    <m/>
    <m/>
    <m/>
    <m/>
    <m/>
    <m/>
    <m/>
    <m/>
    <m/>
    <m/>
    <m/>
    <m/>
    <m/>
    <m/>
    <m/>
    <m/>
    <m/>
    <s v=""/>
    <m/>
    <m/>
    <m/>
    <m/>
    <m/>
    <m/>
    <m/>
    <m/>
    <m/>
    <m/>
    <m/>
    <x v="0"/>
    <x v="9"/>
  </r>
  <r>
    <d v="2025-11-11T13:40:00"/>
    <d v="2025-11-11T16:30:00"/>
    <n v="2.8333333333139308"/>
    <n v="830.11764706450811"/>
    <x v="2"/>
    <s v="MAHMUD 23/10"/>
    <m/>
    <s v="25315/07"/>
    <s v="Envase"/>
    <n v="2352"/>
    <s v="MRARBS05"/>
    <s v="BODY SPLASH FORÇA DO LEAO"/>
    <n v="220"/>
    <s v="ml"/>
    <x v="0"/>
    <x v="1"/>
    <s v="BODY SPLASH"/>
    <x v="1"/>
    <m/>
    <m/>
    <m/>
    <m/>
    <m/>
    <m/>
    <m/>
    <m/>
    <m/>
    <m/>
    <m/>
    <m/>
    <m/>
    <m/>
    <m/>
    <m/>
    <m/>
    <m/>
    <m/>
    <m/>
    <m/>
    <s v=""/>
    <m/>
    <m/>
    <m/>
    <m/>
    <m/>
    <m/>
    <m/>
    <m/>
    <m/>
    <m/>
    <m/>
    <x v="0"/>
    <x v="9"/>
  </r>
  <r>
    <d v="2025-11-12T07:15:00"/>
    <d v="2025-11-12T10:41:00"/>
    <n v="3.4333333333488554"/>
    <n v="740.97087378305787"/>
    <x v="2"/>
    <s v="FABIANO 06/11"/>
    <m/>
    <s v="25315/01"/>
    <s v="Envase"/>
    <n v="2544"/>
    <s v="MRARBS02"/>
    <s v="BODY SPLASH DEUSA DO NILO"/>
    <n v="220"/>
    <s v="ml"/>
    <x v="0"/>
    <x v="1"/>
    <s v="BODY SPLASH"/>
    <x v="1"/>
    <m/>
    <m/>
    <m/>
    <m/>
    <m/>
    <m/>
    <m/>
    <m/>
    <m/>
    <m/>
    <m/>
    <m/>
    <m/>
    <m/>
    <m/>
    <m/>
    <m/>
    <m/>
    <m/>
    <m/>
    <m/>
    <s v=""/>
    <m/>
    <m/>
    <m/>
    <m/>
    <m/>
    <m/>
    <m/>
    <m/>
    <m/>
    <m/>
    <m/>
    <x v="0"/>
    <x v="9"/>
  </r>
  <r>
    <d v="2025-11-12T10:41:00"/>
    <d v="2025-11-12T16:30:00"/>
    <n v="4.816666666592937"/>
    <n v="528.16608997348271"/>
    <x v="2"/>
    <s v="FABIANO 06/11"/>
    <m/>
    <s v="25315/02"/>
    <s v="Envase"/>
    <n v="2544"/>
    <s v="MRARBS02"/>
    <s v="BODY SPLASH DEUSA DO NILO"/>
    <n v="220"/>
    <s v="ml"/>
    <x v="0"/>
    <x v="1"/>
    <s v="BODY SPLASH"/>
    <x v="1"/>
    <m/>
    <m/>
    <m/>
    <m/>
    <m/>
    <m/>
    <m/>
    <m/>
    <m/>
    <m/>
    <m/>
    <m/>
    <m/>
    <m/>
    <m/>
    <m/>
    <m/>
    <m/>
    <m/>
    <m/>
    <m/>
    <s v=""/>
    <m/>
    <m/>
    <m/>
    <m/>
    <m/>
    <m/>
    <m/>
    <m/>
    <m/>
    <m/>
    <m/>
    <x v="0"/>
    <x v="9"/>
  </r>
  <r>
    <d v="2025-11-12T16:30:00"/>
    <d v="2025-11-13T09:22:00"/>
    <n v="2.8666666667559184"/>
    <n v="887.44186043748641"/>
    <x v="2"/>
    <s v="FABIANO 06/11"/>
    <m/>
    <s v="25315/03"/>
    <s v="Envase"/>
    <n v="2544"/>
    <s v="MRARBS02"/>
    <s v="BODY SPLASH DEUSA DO NILO"/>
    <n v="220"/>
    <s v="ml"/>
    <x v="0"/>
    <x v="1"/>
    <s v="BODY SPLASH"/>
    <x v="1"/>
    <s v="FRASCO COM DEFEITO"/>
    <m/>
    <m/>
    <m/>
    <m/>
    <m/>
    <m/>
    <m/>
    <m/>
    <m/>
    <m/>
    <m/>
    <m/>
    <m/>
    <m/>
    <m/>
    <m/>
    <m/>
    <m/>
    <m/>
    <m/>
    <s v=""/>
    <m/>
    <m/>
    <m/>
    <m/>
    <m/>
    <m/>
    <m/>
    <m/>
    <m/>
    <m/>
    <m/>
    <x v="0"/>
    <x v="9"/>
  </r>
  <r>
    <d v="2025-11-13T09:21:00"/>
    <d v="2025-11-13T13:30:00"/>
    <n v="3.1500000000814907"/>
    <n v="807.61904759815445"/>
    <x v="2"/>
    <s v="FABIANO 06/11"/>
    <m/>
    <s v="25315/04"/>
    <s v="Envase"/>
    <n v="2544"/>
    <s v="MRARBS02"/>
    <s v="BODY SPLASH DEUSA DO NILO"/>
    <n v="220"/>
    <s v="ml"/>
    <x v="0"/>
    <x v="1"/>
    <s v="BODY SPLASH"/>
    <x v="1"/>
    <s v="FRASCO COM DEFEITO"/>
    <m/>
    <m/>
    <m/>
    <m/>
    <m/>
    <m/>
    <m/>
    <m/>
    <m/>
    <m/>
    <m/>
    <m/>
    <m/>
    <m/>
    <m/>
    <m/>
    <m/>
    <m/>
    <m/>
    <m/>
    <s v=""/>
    <m/>
    <m/>
    <m/>
    <m/>
    <m/>
    <m/>
    <m/>
    <m/>
    <m/>
    <m/>
    <m/>
    <x v="0"/>
    <x v="9"/>
  </r>
  <r>
    <d v="2025-11-13T13:30:00"/>
    <d v="2025-11-13T16:20:00"/>
    <n v="2.8333333333139308"/>
    <n v="897.8823529473251"/>
    <x v="2"/>
    <s v="FABIANO 06/11"/>
    <m/>
    <s v="25315/05"/>
    <s v="Envase"/>
    <n v="2544"/>
    <s v="MRARBS02"/>
    <s v="BODY SPLASH DEUSA DO NILO"/>
    <n v="220"/>
    <s v="ml"/>
    <x v="0"/>
    <x v="1"/>
    <s v="BODY SPLASH"/>
    <x v="1"/>
    <s v="FRASCO COM DEFEITO"/>
    <m/>
    <m/>
    <m/>
    <m/>
    <m/>
    <m/>
    <m/>
    <m/>
    <m/>
    <m/>
    <m/>
    <m/>
    <m/>
    <m/>
    <m/>
    <m/>
    <m/>
    <m/>
    <m/>
    <m/>
    <s v=""/>
    <m/>
    <m/>
    <m/>
    <m/>
    <m/>
    <m/>
    <m/>
    <m/>
    <m/>
    <m/>
    <m/>
    <x v="0"/>
    <x v="9"/>
  </r>
  <r>
    <d v="2025-11-14T07:00:00"/>
    <d v="2025-11-14T09:40:00"/>
    <n v="2.6666666668024845"/>
    <n v="953.99999995141116"/>
    <x v="2"/>
    <s v="FABIANO 06/11"/>
    <m/>
    <s v="25315/06"/>
    <s v="Envase"/>
    <n v="2544"/>
    <s v="MRARBS02"/>
    <s v="BODY SPLASH DEUSA DO NILO"/>
    <n v="220"/>
    <s v="ml"/>
    <x v="0"/>
    <x v="1"/>
    <s v="BODY SPLASH"/>
    <x v="1"/>
    <s v="FRASCO COM DEFEITO"/>
    <m/>
    <m/>
    <m/>
    <m/>
    <m/>
    <m/>
    <m/>
    <m/>
    <m/>
    <m/>
    <m/>
    <m/>
    <m/>
    <m/>
    <m/>
    <m/>
    <m/>
    <m/>
    <m/>
    <m/>
    <s v=""/>
    <m/>
    <m/>
    <m/>
    <m/>
    <m/>
    <m/>
    <m/>
    <m/>
    <m/>
    <m/>
    <m/>
    <x v="0"/>
    <x v="9"/>
  </r>
  <r>
    <d v="2025-11-14T09:40:00"/>
    <d v="2025-11-14T11:45:00"/>
    <n v="2.0833333333139308"/>
    <n v="714.24000000665183"/>
    <x v="2"/>
    <s v="FABIANO 06/11"/>
    <m/>
    <s v="25318/01"/>
    <s v="Envase"/>
    <n v="1488"/>
    <s v="MRARBS02"/>
    <s v="BODY SPLASH DEUSA DO NILO"/>
    <n v="220"/>
    <s v="ml"/>
    <x v="0"/>
    <x v="1"/>
    <s v="BODY SPLASH"/>
    <x v="1"/>
    <s v="FRASCO COM DEFEITO"/>
    <m/>
    <m/>
    <m/>
    <m/>
    <m/>
    <m/>
    <m/>
    <m/>
    <m/>
    <m/>
    <m/>
    <m/>
    <m/>
    <m/>
    <m/>
    <m/>
    <m/>
    <m/>
    <m/>
    <m/>
    <s v=""/>
    <m/>
    <m/>
    <m/>
    <m/>
    <m/>
    <m/>
    <m/>
    <m/>
    <m/>
    <m/>
    <m/>
    <x v="0"/>
    <x v="9"/>
  </r>
  <r>
    <d v="2025-11-14T14:50:00"/>
    <d v="2025-11-17T10:50:00"/>
    <n v="5.0000000000582077"/>
    <n v="276.79999999677761"/>
    <x v="3"/>
    <s v="SMAYKEL 01"/>
    <m/>
    <s v="25318/04"/>
    <s v="Envase"/>
    <n v="1384"/>
    <s v="DYPFPF01"/>
    <s v="PERFUME DALINA"/>
    <n v="57"/>
    <s v="ml"/>
    <x v="14"/>
    <x v="1"/>
    <s v="PERFUME"/>
    <x v="1"/>
    <m/>
    <m/>
    <m/>
    <m/>
    <m/>
    <m/>
    <m/>
    <m/>
    <m/>
    <m/>
    <m/>
    <m/>
    <m/>
    <m/>
    <m/>
    <m/>
    <m/>
    <m/>
    <m/>
    <m/>
    <m/>
    <s v=""/>
    <m/>
    <m/>
    <m/>
    <m/>
    <m/>
    <m/>
    <m/>
    <m/>
    <m/>
    <m/>
    <m/>
    <x v="0"/>
    <x v="9"/>
  </r>
  <r>
    <d v="2025-11-17T13:00:00"/>
    <d v="2025-11-18T08:40:00"/>
    <n v="5.6666666668024845"/>
    <n v="264.52941175836565"/>
    <x v="2"/>
    <s v="SMAYKEL 01"/>
    <m/>
    <s v="25321/01"/>
    <s v="Envase"/>
    <n v="1499"/>
    <s v="DYPFPF04"/>
    <s v="PERFUME VALENTE"/>
    <n v="57"/>
    <s v="ml"/>
    <x v="14"/>
    <x v="1"/>
    <s v="PERFUME"/>
    <x v="1"/>
    <m/>
    <m/>
    <m/>
    <m/>
    <m/>
    <m/>
    <m/>
    <m/>
    <m/>
    <m/>
    <m/>
    <m/>
    <m/>
    <m/>
    <m/>
    <m/>
    <m/>
    <m/>
    <m/>
    <m/>
    <m/>
    <s v=""/>
    <m/>
    <m/>
    <m/>
    <m/>
    <m/>
    <m/>
    <m/>
    <m/>
    <m/>
    <m/>
    <m/>
    <x v="0"/>
    <x v="9"/>
  </r>
  <r>
    <d v="2025-11-18T08:40:00"/>
    <d v="2025-11-18T14:30:00"/>
    <n v="4.8333333333139308"/>
    <n v="309.72413793227781"/>
    <x v="3"/>
    <s v="SMAYKEL 01"/>
    <m/>
    <s v="25321/02"/>
    <s v="Envase"/>
    <n v="1497"/>
    <s v="DYPFPF02"/>
    <s v="PERFUME SELVER INTENSE"/>
    <n v="57"/>
    <s v="ml"/>
    <x v="14"/>
    <x v="1"/>
    <s v="PERFUME"/>
    <x v="1"/>
    <m/>
    <m/>
    <m/>
    <m/>
    <m/>
    <m/>
    <m/>
    <m/>
    <m/>
    <m/>
    <m/>
    <m/>
    <m/>
    <m/>
    <m/>
    <m/>
    <m/>
    <m/>
    <m/>
    <m/>
    <m/>
    <s v=""/>
    <m/>
    <m/>
    <m/>
    <m/>
    <m/>
    <m/>
    <m/>
    <m/>
    <m/>
    <m/>
    <m/>
    <x v="0"/>
    <x v="9"/>
  </r>
  <r>
    <d v="2025-11-18T14:30:00"/>
    <d v="2025-11-19T10:15:00"/>
    <n v="5.7500000002328306"/>
    <n v="95.478260865699085"/>
    <x v="2"/>
    <s v="SMAYKEL 01"/>
    <m/>
    <s v="25321/03"/>
    <s v="Envase"/>
    <n v="549"/>
    <s v="DYPFPF03"/>
    <s v="PERFUME IRON"/>
    <n v="50"/>
    <s v="ml"/>
    <x v="14"/>
    <x v="1"/>
    <s v="PERFUME"/>
    <x v="1"/>
    <m/>
    <m/>
    <m/>
    <m/>
    <m/>
    <m/>
    <m/>
    <m/>
    <m/>
    <m/>
    <m/>
    <m/>
    <m/>
    <m/>
    <m/>
    <m/>
    <m/>
    <m/>
    <m/>
    <m/>
    <m/>
    <s v=""/>
    <m/>
    <m/>
    <m/>
    <m/>
    <m/>
    <m/>
    <m/>
    <m/>
    <m/>
    <m/>
    <m/>
    <x v="0"/>
    <x v="9"/>
  </r>
  <r>
    <d v="2025-11-18T15:00:00"/>
    <d v="2025-11-18T16:48:00"/>
    <n v="1.7999999999301508"/>
    <n v="1866.6666667391028"/>
    <x v="2"/>
    <s v="DAPOP - Pedido 360 mil"/>
    <m/>
    <s v="25318/02"/>
    <s v="Envase"/>
    <n v="3360"/>
    <s v="DPGLES02"/>
    <s v="ESFOLIANTE GLOW TAÇA DE CHAMPAGNE"/>
    <n v="150"/>
    <s v="g"/>
    <x v="4"/>
    <x v="0"/>
    <s v="ESFOLIANTE"/>
    <x v="0"/>
    <m/>
    <m/>
    <m/>
    <m/>
    <m/>
    <m/>
    <m/>
    <m/>
    <m/>
    <m/>
    <m/>
    <m/>
    <m/>
    <m/>
    <m/>
    <m/>
    <m/>
    <m/>
    <m/>
    <m/>
    <m/>
    <s v=""/>
    <m/>
    <m/>
    <m/>
    <m/>
    <m/>
    <m/>
    <m/>
    <m/>
    <m/>
    <m/>
    <m/>
    <x v="0"/>
    <x v="9"/>
  </r>
  <r>
    <d v="2025-11-19T10:15:00"/>
    <d v="2025-11-19T16:50:00"/>
    <n v="5.5833333333139308"/>
    <n v="604.65671642001166"/>
    <x v="2"/>
    <s v="DAPOP - Pedido 360 mil"/>
    <m/>
    <s v="25318/03"/>
    <s v="Envase"/>
    <n v="3376"/>
    <s v="DPGLES02"/>
    <s v="ESFOLIANTE GLOW TAÇA DE CHAMPAGNE"/>
    <n v="150"/>
    <s v="g"/>
    <x v="4"/>
    <x v="0"/>
    <s v="ESFOLIANTE"/>
    <x v="0"/>
    <m/>
    <m/>
    <m/>
    <m/>
    <m/>
    <m/>
    <m/>
    <m/>
    <m/>
    <m/>
    <m/>
    <m/>
    <m/>
    <m/>
    <m/>
    <m/>
    <m/>
    <m/>
    <m/>
    <m/>
    <m/>
    <s v=""/>
    <m/>
    <m/>
    <m/>
    <m/>
    <m/>
    <m/>
    <m/>
    <m/>
    <m/>
    <m/>
    <m/>
    <x v="0"/>
    <x v="9"/>
  </r>
  <r>
    <d v="2025-11-20T13:03:00"/>
    <d v="2025-11-24T10:04:00"/>
    <n v="15.016666666837409"/>
    <n v="227.74694783314854"/>
    <x v="2"/>
    <s v="DAPOP - Pedido 360 mil"/>
    <m/>
    <s v="25325/01"/>
    <s v="Envase"/>
    <n v="3420"/>
    <s v="DPMTES02"/>
    <s v="ESFOLIANTE MATTE SORVETE DE  BAUNILHA"/>
    <n v="150"/>
    <s v="g"/>
    <x v="4"/>
    <x v="0"/>
    <s v="ESFOLIANTE"/>
    <x v="0"/>
    <m/>
    <m/>
    <m/>
    <m/>
    <m/>
    <m/>
    <m/>
    <m/>
    <m/>
    <m/>
    <m/>
    <m/>
    <m/>
    <m/>
    <m/>
    <m/>
    <m/>
    <m/>
    <m/>
    <m/>
    <m/>
    <s v=""/>
    <m/>
    <m/>
    <m/>
    <m/>
    <m/>
    <m/>
    <m/>
    <m/>
    <m/>
    <m/>
    <m/>
    <x v="0"/>
    <x v="9"/>
  </r>
  <r>
    <d v="2025-11-24T11:53:00"/>
    <d v="2025-11-26T09:43:00"/>
    <n v="15.833333333663177"/>
    <n v="95.494736840115891"/>
    <x v="1"/>
    <s v="AMEERATI 01"/>
    <m/>
    <s v="25321/04"/>
    <s v="Envase"/>
    <n v="1512"/>
    <s v="AMNCBS07"/>
    <s v="BODY MIST BOUQUET CARMIM"/>
    <n v="250"/>
    <s v="ml"/>
    <x v="15"/>
    <x v="1"/>
    <s v="BODY SPLASH"/>
    <x v="1"/>
    <m/>
    <m/>
    <m/>
    <m/>
    <m/>
    <m/>
    <m/>
    <m/>
    <m/>
    <m/>
    <m/>
    <m/>
    <m/>
    <m/>
    <m/>
    <m/>
    <m/>
    <m/>
    <m/>
    <m/>
    <m/>
    <s v=""/>
    <m/>
    <m/>
    <m/>
    <m/>
    <m/>
    <m/>
    <m/>
    <m/>
    <m/>
    <m/>
    <m/>
    <x v="0"/>
    <x v="9"/>
  </r>
  <r>
    <d v="2025-11-26T09:00:00"/>
    <d v="2025-11-26T16:00:00"/>
    <n v="5.9999999999417923"/>
    <n v="190.66666666851637"/>
    <x v="3"/>
    <s v="CIDA 11/11"/>
    <m/>
    <s v="25330/01"/>
    <s v="Envase"/>
    <n v="1144"/>
    <s v="KUBPBA01 - 2"/>
    <s v="BASE PARA PERFUME FINA BASE 500ml"/>
    <n v="500"/>
    <s v="ml"/>
    <x v="5"/>
    <x v="2"/>
    <s v="BASE"/>
    <x v="1"/>
    <m/>
    <m/>
    <m/>
    <m/>
    <m/>
    <m/>
    <m/>
    <m/>
    <m/>
    <m/>
    <m/>
    <m/>
    <m/>
    <m/>
    <m/>
    <m/>
    <m/>
    <m/>
    <m/>
    <m/>
    <m/>
    <s v=""/>
    <m/>
    <m/>
    <m/>
    <m/>
    <m/>
    <m/>
    <m/>
    <m/>
    <m/>
    <m/>
    <m/>
    <x v="0"/>
    <x v="9"/>
  </r>
  <r>
    <d v="2025-11-26T10:15:00"/>
    <d v="2025-11-26T11:40:00"/>
    <n v="1.4166666665696539"/>
    <n v="1115.2941177234338"/>
    <x v="1"/>
    <s v="AMEERATI 01"/>
    <m/>
    <s v="25322/01"/>
    <s v="Envase"/>
    <n v="1580"/>
    <s v="AMNCBS07"/>
    <s v="BODY MIST BOUQUET CARMIM"/>
    <n v="250"/>
    <s v="ml"/>
    <x v="15"/>
    <x v="1"/>
    <s v="BODY SPLASH"/>
    <x v="1"/>
    <m/>
    <m/>
    <m/>
    <m/>
    <m/>
    <m/>
    <m/>
    <m/>
    <m/>
    <m/>
    <m/>
    <m/>
    <m/>
    <m/>
    <m/>
    <m/>
    <m/>
    <m/>
    <m/>
    <m/>
    <m/>
    <s v=""/>
    <m/>
    <m/>
    <m/>
    <m/>
    <m/>
    <m/>
    <m/>
    <m/>
    <m/>
    <m/>
    <m/>
    <x v="0"/>
    <x v="9"/>
  </r>
  <r>
    <d v="2025-11-26T15:00:00"/>
    <d v="2025-11-27T09:11:00"/>
    <n v="4.1833333335234784"/>
    <n v="349.96015934664308"/>
    <x v="2"/>
    <s v="AMEERATI 01"/>
    <m/>
    <s v="25322/02"/>
    <s v="Envase"/>
    <n v="1464"/>
    <s v="AMNCBS08"/>
    <s v="BODY MIST SUBLIME CEREJA"/>
    <n v="250"/>
    <s v="ml"/>
    <x v="15"/>
    <x v="1"/>
    <s v="BODY SPLASH"/>
    <x v="1"/>
    <m/>
    <m/>
    <m/>
    <m/>
    <m/>
    <m/>
    <m/>
    <m/>
    <m/>
    <m/>
    <m/>
    <m/>
    <m/>
    <m/>
    <m/>
    <m/>
    <m/>
    <m/>
    <m/>
    <m/>
    <m/>
    <s v=""/>
    <m/>
    <m/>
    <m/>
    <m/>
    <m/>
    <m/>
    <m/>
    <m/>
    <m/>
    <m/>
    <m/>
    <x v="0"/>
    <x v="9"/>
  </r>
  <r>
    <d v="2025-11-26T16:00:00"/>
    <d v="2025-11-27T09:14:00"/>
    <n v="3.2333333335700445"/>
    <n v="118.76288658924355"/>
    <x v="2"/>
    <s v="CIDA 11/11"/>
    <m/>
    <s v="25330/02"/>
    <s v="Envase"/>
    <n v="384"/>
    <s v="KUBPBA02"/>
    <s v="BASE PARA PERFUME FINA BASE PREMIUM 1l"/>
    <n v="1000"/>
    <s v="ml"/>
    <x v="5"/>
    <x v="2"/>
    <s v="BASE"/>
    <x v="1"/>
    <m/>
    <m/>
    <m/>
    <m/>
    <m/>
    <m/>
    <m/>
    <m/>
    <m/>
    <m/>
    <m/>
    <m/>
    <m/>
    <m/>
    <m/>
    <m/>
    <m/>
    <m/>
    <m/>
    <m/>
    <m/>
    <s v=""/>
    <m/>
    <m/>
    <m/>
    <m/>
    <m/>
    <m/>
    <m/>
    <m/>
    <m/>
    <m/>
    <m/>
    <x v="0"/>
    <x v="9"/>
  </r>
  <r>
    <d v="2025-11-27T11:05:00"/>
    <d v="2025-11-27T14:40:00"/>
    <n v="2.5833333333139308"/>
    <n v="650.32258065004567"/>
    <x v="2"/>
    <s v="AMEERATI 01"/>
    <m/>
    <s v="25322/03"/>
    <s v="Envase"/>
    <n v="1680"/>
    <s v="AMNCBS08"/>
    <s v="BODY MIST SUBLIME CEREJA"/>
    <n v="250"/>
    <s v="ml"/>
    <x v="15"/>
    <x v="1"/>
    <s v="BODY SPLASH"/>
    <x v="1"/>
    <m/>
    <m/>
    <m/>
    <m/>
    <m/>
    <m/>
    <m/>
    <m/>
    <m/>
    <m/>
    <m/>
    <m/>
    <m/>
    <m/>
    <m/>
    <m/>
    <m/>
    <m/>
    <m/>
    <m/>
    <m/>
    <s v=""/>
    <m/>
    <m/>
    <m/>
    <m/>
    <m/>
    <m/>
    <m/>
    <m/>
    <m/>
    <m/>
    <m/>
    <x v="0"/>
    <x v="9"/>
  </r>
  <r>
    <d v="2025-11-27T13:10:00"/>
    <d v="2025-11-27T14:48:00"/>
    <n v="1.6333333334187046"/>
    <n v="330.6122448806787"/>
    <x v="2"/>
    <s v="CIDA 11/11"/>
    <m/>
    <s v="25331/01"/>
    <s v="Envase"/>
    <n v="540"/>
    <s v="KUBPBA01"/>
    <s v="BASE PARA PERFUME FINA BASE 1l"/>
    <n v="1000"/>
    <s v="ml"/>
    <x v="5"/>
    <x v="2"/>
    <s v="BASE"/>
    <x v="1"/>
    <m/>
    <m/>
    <m/>
    <m/>
    <m/>
    <m/>
    <m/>
    <m/>
    <m/>
    <m/>
    <m/>
    <m/>
    <m/>
    <m/>
    <m/>
    <m/>
    <m/>
    <m/>
    <m/>
    <m/>
    <m/>
    <s v=""/>
    <m/>
    <m/>
    <m/>
    <m/>
    <m/>
    <m/>
    <m/>
    <m/>
    <m/>
    <m/>
    <m/>
    <x v="0"/>
    <x v="9"/>
  </r>
  <r>
    <d v="2025-11-27T14:48:00"/>
    <d v="2025-11-28T08:50:00"/>
    <n v="4.03333333338378"/>
    <n v="122.72727272573772"/>
    <x v="2"/>
    <s v="CIDA 11/11"/>
    <m/>
    <s v="25331/02"/>
    <s v="Envase"/>
    <n v="495"/>
    <s v="KUBPBA01"/>
    <s v="BASE PARA PERFUME FINA BASE 1l"/>
    <n v="1000"/>
    <s v="ml"/>
    <x v="5"/>
    <x v="2"/>
    <s v="BASE"/>
    <x v="1"/>
    <m/>
    <m/>
    <m/>
    <m/>
    <m/>
    <m/>
    <m/>
    <m/>
    <m/>
    <m/>
    <m/>
    <m/>
    <m/>
    <m/>
    <m/>
    <m/>
    <m/>
    <m/>
    <m/>
    <m/>
    <m/>
    <s v=""/>
    <m/>
    <m/>
    <m/>
    <m/>
    <m/>
    <m/>
    <m/>
    <m/>
    <m/>
    <m/>
    <m/>
    <x v="0"/>
    <x v="9"/>
  </r>
  <r>
    <d v="2025-11-28T15:15:00"/>
    <d v="2025-12-01T08:50:00"/>
    <n v="2.5833333333721384"/>
    <n v="1254.1935483682571"/>
    <x v="2"/>
    <s v="AMEERATI 01"/>
    <m/>
    <s v="25331/03"/>
    <s v="Envase"/>
    <n v="3240"/>
    <s v="AMNCBS04"/>
    <s v="BODY MIST DOCE ROSA"/>
    <n v="250"/>
    <s v="ml"/>
    <x v="15"/>
    <x v="1"/>
    <s v="BODY SPLASH"/>
    <x v="1"/>
    <m/>
    <m/>
    <m/>
    <m/>
    <m/>
    <m/>
    <m/>
    <m/>
    <m/>
    <m/>
    <m/>
    <m/>
    <m/>
    <m/>
    <m/>
    <m/>
    <m/>
    <m/>
    <m/>
    <m/>
    <m/>
    <s v=""/>
    <m/>
    <m/>
    <m/>
    <m/>
    <m/>
    <m/>
    <m/>
    <m/>
    <m/>
    <m/>
    <m/>
    <x v="0"/>
    <x v="9"/>
  </r>
  <r>
    <d v="2025-11-29T13:53:00"/>
    <d v="2025-12-02T09:15:00"/>
    <n v="14.366666666814126"/>
    <n v="298.53828305958081"/>
    <x v="2"/>
    <s v="DAPOP - Pedido 360 mil"/>
    <m/>
    <s v="25323/01"/>
    <s v="Envase"/>
    <n v="4289"/>
    <s v="DPMTES02"/>
    <s v="ESFOLIANTE MATTE SORVETE DE  BAUNILHA"/>
    <n v="150"/>
    <s v="g"/>
    <x v="4"/>
    <x v="0"/>
    <s v="ESFOLIANTE"/>
    <x v="0"/>
    <m/>
    <m/>
    <m/>
    <m/>
    <m/>
    <m/>
    <m/>
    <m/>
    <m/>
    <m/>
    <m/>
    <m/>
    <m/>
    <m/>
    <m/>
    <m/>
    <m/>
    <m/>
    <m/>
    <m/>
    <m/>
    <s v=""/>
    <m/>
    <m/>
    <m/>
    <m/>
    <m/>
    <m/>
    <m/>
    <m/>
    <m/>
    <m/>
    <m/>
    <x v="0"/>
    <x v="9"/>
  </r>
  <r>
    <d v="2025-12-01T08:53:00"/>
    <d v="2025-12-01T14:50:00"/>
    <n v="4.9500000000116415"/>
    <n v="673.93939393780897"/>
    <x v="1"/>
    <s v="AMEERATI 01"/>
    <m/>
    <s v="25331/04"/>
    <s v="Envase"/>
    <n v="3336"/>
    <s v="AMNCBS03"/>
    <s v="BODY MIST SONHO DE PISTACHE"/>
    <n v="250"/>
    <s v="ml"/>
    <x v="15"/>
    <x v="1"/>
    <s v="BODY SPLASH"/>
    <x v="1"/>
    <m/>
    <m/>
    <m/>
    <m/>
    <m/>
    <m/>
    <m/>
    <m/>
    <m/>
    <m/>
    <m/>
    <m/>
    <m/>
    <m/>
    <m/>
    <m/>
    <m/>
    <m/>
    <m/>
    <m/>
    <m/>
    <s v=""/>
    <m/>
    <m/>
    <m/>
    <m/>
    <m/>
    <m/>
    <m/>
    <m/>
    <m/>
    <m/>
    <m/>
    <x v="0"/>
    <x v="10"/>
  </r>
  <r>
    <d v="2025-12-01T14:50:00"/>
    <d v="2025-12-02T06:30:00"/>
    <n v="2.1666666667442769"/>
    <n v="775.38461535684098"/>
    <x v="2"/>
    <s v="ANDRE 06/11"/>
    <m/>
    <s v="25332/02"/>
    <s v="Envase"/>
    <n v="1680"/>
    <s v="GLMKAM07"/>
    <s v="ÁGUA MICELAR HONEY"/>
    <n v="325"/>
    <s v="ml"/>
    <x v="9"/>
    <x v="4"/>
    <s v="ÁGUA MICELAR"/>
    <x v="1"/>
    <s v="FRASCO COM DEFEITO"/>
    <m/>
    <m/>
    <m/>
    <m/>
    <m/>
    <m/>
    <m/>
    <m/>
    <m/>
    <m/>
    <m/>
    <m/>
    <m/>
    <m/>
    <m/>
    <m/>
    <m/>
    <m/>
    <m/>
    <m/>
    <s v=""/>
    <m/>
    <m/>
    <m/>
    <m/>
    <m/>
    <m/>
    <m/>
    <m/>
    <m/>
    <m/>
    <m/>
    <x v="0"/>
    <x v="10"/>
  </r>
  <r>
    <d v="2025-12-02T06:30:00"/>
    <d v="2025-12-02T09:58:00"/>
    <n v="2.9666666667326353"/>
    <n v="1035.505617954502"/>
    <x v="2"/>
    <s v="ANDRE 06/11"/>
    <m/>
    <s v="25335/01"/>
    <s v="Envase"/>
    <n v="3072"/>
    <s v="GLMKAM07"/>
    <s v="ÁGUA MICELAR HONEY"/>
    <n v="325"/>
    <s v="ml"/>
    <x v="9"/>
    <x v="4"/>
    <s v="ÁGUA MICELAR"/>
    <x v="1"/>
    <s v="FRASCO COM DEFEITO"/>
    <m/>
    <m/>
    <m/>
    <m/>
    <m/>
    <m/>
    <m/>
    <m/>
    <m/>
    <m/>
    <m/>
    <m/>
    <m/>
    <m/>
    <m/>
    <m/>
    <m/>
    <m/>
    <m/>
    <m/>
    <s v=""/>
    <m/>
    <m/>
    <m/>
    <m/>
    <m/>
    <m/>
    <m/>
    <m/>
    <m/>
    <m/>
    <m/>
    <x v="0"/>
    <x v="10"/>
  </r>
  <r>
    <d v="2025-12-02T09:58:00"/>
    <d v="2025-12-02T14:10:00"/>
    <n v="3.2000000000698492"/>
    <n v="959.99999997904524"/>
    <x v="2"/>
    <s v="ANDRE 06/11"/>
    <m/>
    <s v="25335/02"/>
    <s v="Envase"/>
    <n v="3072"/>
    <s v="GLMKAM07"/>
    <s v="ÁGUA MICELAR HONEY"/>
    <n v="325"/>
    <s v="ml"/>
    <x v="9"/>
    <x v="4"/>
    <s v="ÁGUA MICELAR"/>
    <x v="1"/>
    <m/>
    <m/>
    <m/>
    <m/>
    <m/>
    <m/>
    <m/>
    <m/>
    <m/>
    <m/>
    <m/>
    <m/>
    <m/>
    <m/>
    <m/>
    <m/>
    <m/>
    <m/>
    <m/>
    <m/>
    <m/>
    <s v=""/>
    <m/>
    <m/>
    <m/>
    <m/>
    <m/>
    <m/>
    <m/>
    <m/>
    <m/>
    <m/>
    <m/>
    <x v="0"/>
    <x v="10"/>
  </r>
  <r>
    <d v="2025-12-02T10:30:00"/>
    <d v="2025-12-02T16:20:00"/>
    <n v="4.8333333333139308"/>
    <n v="645.51724138190161"/>
    <x v="1"/>
    <s v="DAPOP - Pedido 360 mil"/>
    <m/>
    <s v="25335/05"/>
    <s v="Envase"/>
    <n v="3120"/>
    <s v="DPMTES01"/>
    <s v="ESFOLIANTE MATTE DOCE SEDUÇÃO"/>
    <n v="150"/>
    <s v="g"/>
    <x v="4"/>
    <x v="0"/>
    <s v="ESFOLIANTE"/>
    <x v="0"/>
    <m/>
    <m/>
    <m/>
    <m/>
    <m/>
    <m/>
    <m/>
    <m/>
    <m/>
    <m/>
    <m/>
    <m/>
    <m/>
    <m/>
    <m/>
    <m/>
    <m/>
    <m/>
    <m/>
    <m/>
    <m/>
    <s v=""/>
    <m/>
    <m/>
    <m/>
    <m/>
    <m/>
    <m/>
    <m/>
    <m/>
    <m/>
    <m/>
    <m/>
    <x v="0"/>
    <x v="10"/>
  </r>
  <r>
    <d v="2025-12-02T14:10:00"/>
    <d v="2025-12-02T16:30:00"/>
    <n v="2.3333333332557231"/>
    <n v="1316.5714286152197"/>
    <x v="2"/>
    <s v="ANDRE 06/11"/>
    <m/>
    <s v="25336/04"/>
    <s v="Envase"/>
    <n v="3072"/>
    <s v="GLMKAM07"/>
    <s v="ÁGUA MICELAR HONEY"/>
    <n v="325"/>
    <s v="ml"/>
    <x v="9"/>
    <x v="4"/>
    <s v="ÁGUA MICELAR"/>
    <x v="1"/>
    <m/>
    <m/>
    <m/>
    <m/>
    <m/>
    <m/>
    <m/>
    <m/>
    <m/>
    <m/>
    <m/>
    <m/>
    <m/>
    <m/>
    <m/>
    <m/>
    <m/>
    <m/>
    <m/>
    <m/>
    <m/>
    <s v=""/>
    <m/>
    <m/>
    <m/>
    <m/>
    <m/>
    <m/>
    <m/>
    <m/>
    <m/>
    <m/>
    <m/>
    <x v="0"/>
    <x v="10"/>
  </r>
  <r>
    <d v="2025-12-02T16:20:00"/>
    <d v="2025-12-02T21:30:00"/>
    <n v="5.1666666667442769"/>
    <n v="645.29032257095207"/>
    <x v="1"/>
    <s v="DAPOP - Pedido 360 mil"/>
    <m/>
    <s v="25335/06"/>
    <s v="Envase"/>
    <n v="3334"/>
    <s v="DPMTES01"/>
    <s v="ESFOLIANTE MATTE DOCE SEDUÇÃO"/>
    <n v="150"/>
    <s v="g"/>
    <x v="4"/>
    <x v="0"/>
    <s v="ESFOLIANTE"/>
    <x v="0"/>
    <m/>
    <m/>
    <m/>
    <m/>
    <m/>
    <m/>
    <m/>
    <m/>
    <m/>
    <m/>
    <m/>
    <m/>
    <m/>
    <m/>
    <m/>
    <m/>
    <m/>
    <m/>
    <m/>
    <m/>
    <m/>
    <s v=""/>
    <m/>
    <m/>
    <m/>
    <m/>
    <m/>
    <m/>
    <m/>
    <m/>
    <m/>
    <m/>
    <m/>
    <x v="0"/>
    <x v="10"/>
  </r>
  <r>
    <d v="2025-12-02T16:42:00"/>
    <d v="2025-12-03T06:42:00"/>
    <n v="5"/>
    <n v="614.4"/>
    <x v="2"/>
    <s v="ANDRE 06/11"/>
    <m/>
    <s v="25336/05"/>
    <s v="Envase"/>
    <n v="3072"/>
    <s v="GLMKAM07"/>
    <s v="ÁGUA MICELAR HONEY"/>
    <n v="325"/>
    <s v="ml"/>
    <x v="9"/>
    <x v="4"/>
    <s v="ÁGUA MICELAR"/>
    <x v="1"/>
    <m/>
    <m/>
    <m/>
    <m/>
    <m/>
    <m/>
    <m/>
    <m/>
    <m/>
    <m/>
    <m/>
    <m/>
    <m/>
    <m/>
    <m/>
    <m/>
    <m/>
    <m/>
    <m/>
    <m/>
    <m/>
    <s v=""/>
    <m/>
    <m/>
    <m/>
    <m/>
    <m/>
    <m/>
    <m/>
    <m/>
    <m/>
    <m/>
    <m/>
    <x v="0"/>
    <x v="10"/>
  </r>
  <r>
    <d v="2025-12-03T06:43:00"/>
    <d v="2025-12-03T10:19:00"/>
    <n v="3.3166666666511446"/>
    <n v="926.23115578322927"/>
    <x v="2"/>
    <s v="ANDRE 06/11"/>
    <m/>
    <s v="25336/08"/>
    <s v="Envase"/>
    <n v="3072"/>
    <s v="GLMKAM07"/>
    <s v="ÁGUA MICELAR HONEY"/>
    <n v="325"/>
    <s v="ml"/>
    <x v="9"/>
    <x v="4"/>
    <s v="ÁGUA MICELAR"/>
    <x v="1"/>
    <m/>
    <m/>
    <m/>
    <m/>
    <m/>
    <m/>
    <m/>
    <m/>
    <m/>
    <m/>
    <m/>
    <m/>
    <m/>
    <m/>
    <m/>
    <m/>
    <m/>
    <m/>
    <m/>
    <m/>
    <m/>
    <s v=""/>
    <m/>
    <m/>
    <m/>
    <m/>
    <m/>
    <m/>
    <m/>
    <m/>
    <m/>
    <m/>
    <m/>
    <x v="0"/>
    <x v="10"/>
  </r>
  <r>
    <d v="2025-12-03T10:19:00"/>
    <d v="2025-12-03T12:54:00"/>
    <n v="2.5833333333721384"/>
    <n v="827.99999998756232"/>
    <x v="2"/>
    <s v="ANDRE 06/11"/>
    <m/>
    <s v="25336/09"/>
    <s v="Envase"/>
    <n v="2139"/>
    <s v="GLMKAM07"/>
    <s v="ÁGUA MICELAR HONEY"/>
    <n v="325"/>
    <s v="ml"/>
    <x v="9"/>
    <x v="4"/>
    <s v="ÁGUA MICELAR"/>
    <x v="1"/>
    <m/>
    <m/>
    <m/>
    <m/>
    <m/>
    <m/>
    <m/>
    <m/>
    <m/>
    <m/>
    <m/>
    <m/>
    <m/>
    <m/>
    <m/>
    <m/>
    <m/>
    <m/>
    <m/>
    <m/>
    <m/>
    <s v=""/>
    <m/>
    <m/>
    <m/>
    <m/>
    <m/>
    <m/>
    <m/>
    <m/>
    <m/>
    <m/>
    <m/>
    <x v="0"/>
    <x v="10"/>
  </r>
  <r>
    <d v="2025-12-03T13:19:00"/>
    <d v="2025-12-03T16:56:00"/>
    <n v="3.6166666667559184"/>
    <n v="912.44239629084689"/>
    <x v="1"/>
    <s v="DAPOP - Pedido 360 mil"/>
    <m/>
    <s v="25336/06"/>
    <s v="Envase"/>
    <n v="3300"/>
    <s v="DPMTES03"/>
    <s v="ESFOLIANTE MATTE OITAVA MARAVILHA"/>
    <n v="150"/>
    <s v="g"/>
    <x v="4"/>
    <x v="0"/>
    <s v="ESFOLIANTE"/>
    <x v="0"/>
    <m/>
    <m/>
    <m/>
    <m/>
    <m/>
    <m/>
    <m/>
    <m/>
    <m/>
    <m/>
    <m/>
    <m/>
    <m/>
    <m/>
    <m/>
    <m/>
    <m/>
    <m/>
    <m/>
    <m/>
    <m/>
    <s v=""/>
    <m/>
    <m/>
    <m/>
    <m/>
    <m/>
    <m/>
    <m/>
    <m/>
    <m/>
    <m/>
    <m/>
    <x v="0"/>
    <x v="10"/>
  </r>
  <r>
    <d v="2025-12-03T16:40:00"/>
    <d v="2025-12-03T21:30:00"/>
    <n v="4.8333333333721384"/>
    <n v="680.6896551669488"/>
    <x v="1"/>
    <s v="DAPOP - Pedido 360 mil"/>
    <m/>
    <s v="25336/07"/>
    <s v="Envase"/>
    <n v="3290"/>
    <s v="DPMTES03"/>
    <s v="ESFOLIANTE MATTE OITAVA MARAVILHA"/>
    <n v="150"/>
    <s v="g"/>
    <x v="4"/>
    <x v="0"/>
    <s v="ESFOLIANTE"/>
    <x v="0"/>
    <m/>
    <m/>
    <m/>
    <m/>
    <m/>
    <m/>
    <m/>
    <m/>
    <m/>
    <m/>
    <m/>
    <m/>
    <m/>
    <m/>
    <m/>
    <m/>
    <m/>
    <m/>
    <m/>
    <m/>
    <m/>
    <s v=""/>
    <m/>
    <m/>
    <m/>
    <m/>
    <m/>
    <m/>
    <m/>
    <m/>
    <m/>
    <m/>
    <m/>
    <x v="0"/>
    <x v="10"/>
  </r>
  <r>
    <d v="2025-12-03T17:17:00"/>
    <d v="2025-12-04T06:40:00"/>
    <n v="4.7166666666744277"/>
    <n v="865.01766784309962"/>
    <x v="2"/>
    <s v="BRIA 01"/>
    <m/>
    <s v="25332/01"/>
    <s v="Envase"/>
    <n v="4080"/>
    <s v="BBSJBS01-2"/>
    <s v="BODY SPLASH SOL TROPICAL 61 120ml"/>
    <n v="120"/>
    <s v="ml"/>
    <x v="16"/>
    <x v="1"/>
    <s v="BODY SPLASH"/>
    <x v="1"/>
    <m/>
    <m/>
    <m/>
    <m/>
    <m/>
    <m/>
    <m/>
    <m/>
    <m/>
    <m/>
    <m/>
    <m/>
    <m/>
    <m/>
    <m/>
    <m/>
    <m/>
    <m/>
    <m/>
    <m/>
    <m/>
    <s v=""/>
    <m/>
    <m/>
    <m/>
    <m/>
    <m/>
    <m/>
    <m/>
    <m/>
    <m/>
    <m/>
    <m/>
    <x v="0"/>
    <x v="10"/>
  </r>
  <r>
    <d v="2025-12-04T06:40:00"/>
    <d v="2025-12-04T10:15:00"/>
    <n v="3.2500000001164153"/>
    <n v="1255.3846153396473"/>
    <x v="2"/>
    <s v="BRIA 01"/>
    <m/>
    <s v="25335/03"/>
    <s v="Envase"/>
    <n v="4080"/>
    <s v="BBSJBS01-2"/>
    <s v="BODY SPLASH SOL TROPICAL 61 120ml"/>
    <n v="120"/>
    <s v="ml"/>
    <x v="16"/>
    <x v="1"/>
    <s v="BODY SPLASH"/>
    <x v="1"/>
    <m/>
    <m/>
    <m/>
    <m/>
    <m/>
    <m/>
    <m/>
    <m/>
    <m/>
    <m/>
    <m/>
    <m/>
    <m/>
    <m/>
    <m/>
    <m/>
    <m/>
    <m/>
    <m/>
    <m/>
    <m/>
    <s v=""/>
    <m/>
    <m/>
    <m/>
    <m/>
    <m/>
    <m/>
    <m/>
    <m/>
    <m/>
    <m/>
    <m/>
    <x v="0"/>
    <x v="10"/>
  </r>
  <r>
    <d v="2025-12-04T08:19:00"/>
    <d v="2025-12-05T07:39:00"/>
    <n v="8.3333333333721384"/>
    <n v="189.11999999911933"/>
    <x v="1"/>
    <s v="FABIANO 19/11"/>
    <m/>
    <s v="25336/03"/>
    <s v="Envase"/>
    <n v="1576"/>
    <s v="MRARHD03"/>
    <s v="CREME HIDRATANTE CORPORAL ECLIPSE DOURADO"/>
    <n v="200"/>
    <s v="ml"/>
    <x v="0"/>
    <x v="0"/>
    <s v="CREME HIDRATANTE"/>
    <x v="2"/>
    <m/>
    <m/>
    <m/>
    <m/>
    <m/>
    <m/>
    <m/>
    <m/>
    <m/>
    <m/>
    <m/>
    <m/>
    <m/>
    <m/>
    <m/>
    <m/>
    <m/>
    <m/>
    <m/>
    <m/>
    <m/>
    <s v=""/>
    <m/>
    <m/>
    <m/>
    <m/>
    <m/>
    <m/>
    <m/>
    <m/>
    <m/>
    <m/>
    <m/>
    <x v="0"/>
    <x v="10"/>
  </r>
  <r>
    <d v="2025-12-04T10:20:00"/>
    <d v="2025-12-04T13:53:00"/>
    <n v="2.5500000000465661"/>
    <n v="1599.999999970782"/>
    <x v="2"/>
    <s v="BRIA 01"/>
    <m/>
    <s v="25335/04"/>
    <s v="Envase"/>
    <n v="4080"/>
    <s v="BBSJBS01-2"/>
    <s v="BODY SPLASH SOL TROPICAL 61 120ml"/>
    <n v="120"/>
    <s v="ml"/>
    <x v="16"/>
    <x v="1"/>
    <s v="BODY SPLASH"/>
    <x v="1"/>
    <m/>
    <m/>
    <m/>
    <m/>
    <m/>
    <m/>
    <m/>
    <m/>
    <m/>
    <m/>
    <m/>
    <m/>
    <m/>
    <m/>
    <m/>
    <m/>
    <m/>
    <m/>
    <m/>
    <m/>
    <m/>
    <s v=""/>
    <m/>
    <m/>
    <m/>
    <m/>
    <m/>
    <m/>
    <m/>
    <m/>
    <m/>
    <m/>
    <m/>
    <x v="0"/>
    <x v="10"/>
  </r>
  <r>
    <d v="2025-12-04T13:16:00"/>
    <d v="2025-12-04T16:40:00"/>
    <n v="3.4000000000814907"/>
    <n v="748.23529409971343"/>
    <x v="1"/>
    <s v="FABIANO 19/11"/>
    <m/>
    <s v="25336/02"/>
    <s v="Envase"/>
    <n v="2544"/>
    <s v="MRARHD03"/>
    <s v="CREME HIDRATANTE CORPORAL ECLIPSE DOURADO"/>
    <n v="200"/>
    <s v="ml"/>
    <x v="0"/>
    <x v="0"/>
    <s v="CREME HIDRATANTE"/>
    <x v="2"/>
    <m/>
    <m/>
    <m/>
    <m/>
    <m/>
    <m/>
    <m/>
    <m/>
    <m/>
    <m/>
    <m/>
    <m/>
    <m/>
    <m/>
    <m/>
    <m/>
    <m/>
    <m/>
    <m/>
    <m/>
    <m/>
    <s v=""/>
    <m/>
    <m/>
    <m/>
    <m/>
    <m/>
    <m/>
    <m/>
    <m/>
    <m/>
    <m/>
    <m/>
    <x v="0"/>
    <x v="10"/>
  </r>
  <r>
    <d v="2025-12-04T13:53:00"/>
    <d v="2025-12-04T19:14:00"/>
    <n v="5.3499999999767169"/>
    <n v="762.61682243322548"/>
    <x v="2"/>
    <s v="BRIA 01"/>
    <m/>
    <s v="25337/01"/>
    <s v="Envase"/>
    <n v="4080"/>
    <s v="BBSJBS01-2"/>
    <s v="BODY SPLASH SOL TROPICAL 61 120ml"/>
    <n v="120"/>
    <s v="ml"/>
    <x v="16"/>
    <x v="1"/>
    <s v="BODY SPLASH"/>
    <x v="1"/>
    <m/>
    <m/>
    <m/>
    <m/>
    <m/>
    <m/>
    <m/>
    <m/>
    <m/>
    <m/>
    <m/>
    <m/>
    <m/>
    <m/>
    <m/>
    <m/>
    <m/>
    <m/>
    <m/>
    <m/>
    <m/>
    <s v=""/>
    <m/>
    <m/>
    <m/>
    <m/>
    <m/>
    <m/>
    <m/>
    <m/>
    <m/>
    <m/>
    <m/>
    <x v="0"/>
    <x v="10"/>
  </r>
  <r>
    <d v="2025-12-04T16:40:00"/>
    <d v="2025-12-04T20:19:00"/>
    <n v="3.6500000000232831"/>
    <n v="696.98630136541703"/>
    <x v="1"/>
    <s v="FABIANO 19/11"/>
    <m/>
    <s v="25336/01"/>
    <s v="Envase"/>
    <n v="2544"/>
    <s v="MRARHD03"/>
    <s v="CREME HIDRATANTE CORPORAL ECLIPSE DOURADO"/>
    <n v="200"/>
    <s v="ml"/>
    <x v="0"/>
    <x v="0"/>
    <s v="CREME HIDRATANTE"/>
    <x v="2"/>
    <m/>
    <m/>
    <m/>
    <m/>
    <m/>
    <m/>
    <m/>
    <m/>
    <m/>
    <m/>
    <m/>
    <m/>
    <m/>
    <m/>
    <m/>
    <m/>
    <m/>
    <m/>
    <m/>
    <m/>
    <m/>
    <s v=""/>
    <m/>
    <m/>
    <m/>
    <m/>
    <m/>
    <m/>
    <m/>
    <m/>
    <m/>
    <m/>
    <m/>
    <x v="0"/>
    <x v="10"/>
  </r>
  <r>
    <d v="2025-12-04T19:15:00"/>
    <d v="2025-12-04T21:30:00"/>
    <n v="2.25"/>
    <n v="958.22222222222217"/>
    <x v="2"/>
    <s v="BRIA 01"/>
    <m/>
    <s v="25337/02"/>
    <s v="Envase"/>
    <n v="2156"/>
    <s v="BBSJBS01-2"/>
    <s v="BODY SPLASH SOL TROPICAL 61 120ml"/>
    <n v="120"/>
    <s v="ml"/>
    <x v="16"/>
    <x v="1"/>
    <s v="BODY SPLASH"/>
    <x v="1"/>
    <m/>
    <m/>
    <m/>
    <m/>
    <m/>
    <m/>
    <m/>
    <m/>
    <m/>
    <m/>
    <m/>
    <m/>
    <m/>
    <m/>
    <m/>
    <m/>
    <m/>
    <m/>
    <m/>
    <m/>
    <m/>
    <s v=""/>
    <m/>
    <m/>
    <m/>
    <m/>
    <m/>
    <m/>
    <m/>
    <m/>
    <m/>
    <m/>
    <m/>
    <x v="0"/>
    <x v="10"/>
  </r>
  <r>
    <d v="2025-12-05T07:10:00"/>
    <d v="2025-12-05T10:15:00"/>
    <n v="3.0833333334303461"/>
    <n v="1323.2432432016092"/>
    <x v="2"/>
    <s v="BRIA 01"/>
    <m/>
    <s v="25337/12"/>
    <s v="Envase"/>
    <n v="4080"/>
    <s v="BBSJBS04-2"/>
    <s v="BODY SPLASH SOL TROPICAL 58 120ml"/>
    <n v="120"/>
    <s v="ml"/>
    <x v="16"/>
    <x v="1"/>
    <s v="BODY SPLASH"/>
    <x v="1"/>
    <m/>
    <m/>
    <m/>
    <m/>
    <m/>
    <m/>
    <m/>
    <m/>
    <m/>
    <m/>
    <m/>
    <m/>
    <m/>
    <m/>
    <m/>
    <m/>
    <m/>
    <m/>
    <m/>
    <m/>
    <m/>
    <s v=""/>
    <m/>
    <m/>
    <m/>
    <m/>
    <m/>
    <m/>
    <m/>
    <m/>
    <m/>
    <m/>
    <m/>
    <x v="0"/>
    <x v="10"/>
  </r>
  <r>
    <d v="2025-12-05T07:21:00"/>
    <d v="2025-12-08T09:00:00"/>
    <n v="9.6499999999650754"/>
    <n v="65.181347150494972"/>
    <x v="1"/>
    <s v="FABIANO 19/11"/>
    <m/>
    <s v="25337/05"/>
    <s v="Envase"/>
    <n v="629"/>
    <s v="MRARHD01"/>
    <s v="CREME HIDRATANTE CORPORAL AURORA IMPERIAL"/>
    <n v="200"/>
    <s v="ml"/>
    <x v="0"/>
    <x v="0"/>
    <s v="CREME HIDRATANTE"/>
    <x v="2"/>
    <m/>
    <m/>
    <m/>
    <m/>
    <m/>
    <m/>
    <m/>
    <m/>
    <m/>
    <m/>
    <m/>
    <m/>
    <m/>
    <m/>
    <m/>
    <m/>
    <m/>
    <m/>
    <m/>
    <m/>
    <m/>
    <s v=""/>
    <m/>
    <m/>
    <m/>
    <m/>
    <m/>
    <m/>
    <m/>
    <m/>
    <m/>
    <m/>
    <m/>
    <x v="0"/>
    <x v="10"/>
  </r>
  <r>
    <d v="2025-12-05T10:15:00"/>
    <d v="2025-12-05T14:43:00"/>
    <n v="3.4666666665580124"/>
    <n v="1176.9230769599646"/>
    <x v="2"/>
    <s v="BRIA 01"/>
    <m/>
    <s v="25337/13"/>
    <s v="Envase"/>
    <n v="4080"/>
    <s v="BBSJBS04-2"/>
    <s v="BODY SPLASH SOL TROPICAL 58 120ml"/>
    <n v="120"/>
    <s v="ml"/>
    <x v="16"/>
    <x v="1"/>
    <s v="BODY SPLASH"/>
    <x v="1"/>
    <m/>
    <m/>
    <m/>
    <m/>
    <m/>
    <m/>
    <m/>
    <m/>
    <m/>
    <m/>
    <m/>
    <m/>
    <m/>
    <m/>
    <m/>
    <m/>
    <m/>
    <m/>
    <m/>
    <m/>
    <m/>
    <s v=""/>
    <m/>
    <m/>
    <m/>
    <m/>
    <m/>
    <m/>
    <m/>
    <m/>
    <m/>
    <m/>
    <m/>
    <x v="0"/>
    <x v="10"/>
  </r>
  <r>
    <d v="2025-12-05T13:00:00"/>
    <d v="2025-12-05T16:30:00"/>
    <n v="3"/>
    <n v="848"/>
    <x v="1"/>
    <s v="FABIANO 19/11"/>
    <m/>
    <s v="25337/03"/>
    <s v="Envase"/>
    <n v="2544"/>
    <s v="MRARHD01"/>
    <s v="CREME HIDRATANTE CORPORAL AURORA IMPERIAL"/>
    <n v="200"/>
    <s v="ml"/>
    <x v="0"/>
    <x v="0"/>
    <s v="CREME HIDRATANTE"/>
    <x v="2"/>
    <m/>
    <m/>
    <m/>
    <m/>
    <m/>
    <m/>
    <m/>
    <m/>
    <m/>
    <m/>
    <m/>
    <m/>
    <m/>
    <m/>
    <m/>
    <m/>
    <m/>
    <m/>
    <m/>
    <m/>
    <m/>
    <s v=""/>
    <m/>
    <m/>
    <m/>
    <m/>
    <m/>
    <m/>
    <m/>
    <m/>
    <m/>
    <m/>
    <m/>
    <x v="0"/>
    <x v="10"/>
  </r>
  <r>
    <d v="2025-12-05T14:44:00"/>
    <d v="2025-12-05T18:40:00"/>
    <n v="3.933333333407063"/>
    <n v="1037.2881355737766"/>
    <x v="2"/>
    <s v="BRIA 01"/>
    <m/>
    <s v="25337/14"/>
    <s v="Envase"/>
    <n v="4080"/>
    <s v="BBSJBS04-2"/>
    <s v="BODY SPLASH SOL TROPICAL 58 120ml"/>
    <n v="120"/>
    <s v="ml"/>
    <x v="16"/>
    <x v="1"/>
    <s v="BODY SPLASH"/>
    <x v="1"/>
    <m/>
    <m/>
    <m/>
    <m/>
    <m/>
    <m/>
    <m/>
    <m/>
    <m/>
    <m/>
    <m/>
    <m/>
    <m/>
    <m/>
    <m/>
    <m/>
    <m/>
    <m/>
    <m/>
    <m/>
    <m/>
    <s v=""/>
    <m/>
    <m/>
    <m/>
    <m/>
    <m/>
    <m/>
    <m/>
    <m/>
    <m/>
    <m/>
    <m/>
    <x v="0"/>
    <x v="10"/>
  </r>
  <r>
    <d v="2025-12-05T16:30:00"/>
    <d v="2025-12-05T19:21:00"/>
    <n v="2.8500000000349246"/>
    <n v="892.63157893642995"/>
    <x v="1"/>
    <s v="FABIANO 19/11"/>
    <m/>
    <s v="25337/04"/>
    <s v="Envase"/>
    <n v="2544"/>
    <s v="MRARHD01"/>
    <s v="CREME HIDRATANTE CORPORAL AURORA IMPERIAL"/>
    <n v="200"/>
    <s v="ml"/>
    <x v="0"/>
    <x v="0"/>
    <s v="CREME HIDRATANTE"/>
    <x v="2"/>
    <m/>
    <m/>
    <m/>
    <m/>
    <m/>
    <m/>
    <m/>
    <m/>
    <m/>
    <m/>
    <m/>
    <m/>
    <m/>
    <m/>
    <m/>
    <m/>
    <m/>
    <m/>
    <m/>
    <m/>
    <m/>
    <s v=""/>
    <m/>
    <m/>
    <m/>
    <m/>
    <m/>
    <m/>
    <m/>
    <m/>
    <m/>
    <m/>
    <m/>
    <x v="0"/>
    <x v="10"/>
  </r>
  <r>
    <d v="2025-12-05T18:40:00"/>
    <d v="2025-12-08T08:33:00"/>
    <n v="4.8833333331858739"/>
    <n v="707.30375428756963"/>
    <x v="2"/>
    <s v="BRIA 01"/>
    <m/>
    <s v="25337/15"/>
    <s v="Envase"/>
    <n v="3454"/>
    <s v="BBSJBS04-2"/>
    <s v="BODY SPLASH SOL TROPICAL 58 120ml"/>
    <n v="120"/>
    <s v="ml"/>
    <x v="16"/>
    <x v="1"/>
    <s v="BODY SPLASH"/>
    <x v="1"/>
    <m/>
    <m/>
    <m/>
    <m/>
    <m/>
    <m/>
    <m/>
    <m/>
    <m/>
    <m/>
    <m/>
    <m/>
    <m/>
    <m/>
    <m/>
    <m/>
    <m/>
    <m/>
    <m/>
    <m/>
    <m/>
    <s v=""/>
    <m/>
    <m/>
    <m/>
    <m/>
    <m/>
    <m/>
    <m/>
    <m/>
    <m/>
    <m/>
    <m/>
    <x v="0"/>
    <x v="10"/>
  </r>
  <r>
    <d v="2025-12-08T08:33:00"/>
    <d v="2025-12-08T13:12:00"/>
    <n v="3.6500000001396984"/>
    <n v="1117.8082191352996"/>
    <x v="2"/>
    <s v="BRIA 01"/>
    <m/>
    <s v="25339/01"/>
    <s v="Envase"/>
    <n v="4080"/>
    <s v="BBSJBS02-2"/>
    <s v="BODY SPLASH SOL TROPICAL 86 120ml"/>
    <n v="120"/>
    <s v="ml"/>
    <x v="16"/>
    <x v="1"/>
    <s v="BODY SPLASH"/>
    <x v="1"/>
    <m/>
    <m/>
    <m/>
    <m/>
    <m/>
    <m/>
    <m/>
    <m/>
    <m/>
    <m/>
    <m/>
    <m/>
    <m/>
    <m/>
    <m/>
    <m/>
    <m/>
    <m/>
    <m/>
    <m/>
    <m/>
    <s v=""/>
    <m/>
    <m/>
    <m/>
    <m/>
    <m/>
    <m/>
    <m/>
    <m/>
    <m/>
    <m/>
    <m/>
    <x v="0"/>
    <x v="10"/>
  </r>
  <r>
    <d v="2025-12-08T09:17:00"/>
    <d v="2025-12-08T11:00:00"/>
    <n v="1.7166666666744277"/>
    <n v="489.32038834730236"/>
    <x v="1"/>
    <s v="AMEERATI 01"/>
    <m/>
    <s v="25342/01"/>
    <s v="Envase"/>
    <n v="840"/>
    <s v="AMNCHD01"/>
    <s v="BODY CREAM BAUNILHA SELVAGEM"/>
    <n v="240"/>
    <s v="ml"/>
    <x v="15"/>
    <x v="0"/>
    <s v="CREME HIDRATANTE"/>
    <x v="2"/>
    <m/>
    <m/>
    <m/>
    <m/>
    <m/>
    <m/>
    <m/>
    <m/>
    <m/>
    <m/>
    <m/>
    <m/>
    <m/>
    <m/>
    <m/>
    <m/>
    <m/>
    <m/>
    <m/>
    <m/>
    <m/>
    <s v=""/>
    <m/>
    <m/>
    <m/>
    <m/>
    <m/>
    <m/>
    <m/>
    <m/>
    <m/>
    <m/>
    <m/>
    <x v="0"/>
    <x v="10"/>
  </r>
  <r>
    <d v="2025-12-08T11:00:00"/>
    <d v="2025-12-08T12:10:00"/>
    <n v="1.1666666666278616"/>
    <n v="720.00000002394825"/>
    <x v="1"/>
    <s v="AMEERATI 01"/>
    <m/>
    <s v="25342/02"/>
    <s v="Envase"/>
    <n v="840"/>
    <s v="AMNCHD03"/>
    <s v="BODY CREAM SONHO DE PISTACHE"/>
    <n v="240"/>
    <s v="ml"/>
    <x v="15"/>
    <x v="0"/>
    <s v="CREME HIDRATANTE"/>
    <x v="2"/>
    <m/>
    <m/>
    <m/>
    <m/>
    <m/>
    <m/>
    <m/>
    <m/>
    <m/>
    <m/>
    <m/>
    <m/>
    <m/>
    <m/>
    <m/>
    <m/>
    <m/>
    <m/>
    <m/>
    <m/>
    <m/>
    <s v=""/>
    <m/>
    <m/>
    <m/>
    <m/>
    <m/>
    <m/>
    <m/>
    <m/>
    <m/>
    <m/>
    <m/>
    <x v="0"/>
    <x v="10"/>
  </r>
  <r>
    <d v="2025-12-08T13:00:00"/>
    <d v="2025-12-08T14:10:00"/>
    <n v="1.1666666668024845"/>
    <n v="719.99999991618097"/>
    <x v="1"/>
    <s v="AMEERATI 01"/>
    <m/>
    <s v="25342/03"/>
    <s v="Envase"/>
    <n v="840"/>
    <s v="AMNCHD05"/>
    <s v="BODY CREAM FRESCOR LICHIA"/>
    <n v="240"/>
    <s v="ml"/>
    <x v="15"/>
    <x v="0"/>
    <s v="CREME HIDRATANTE"/>
    <x v="2"/>
    <m/>
    <m/>
    <m/>
    <m/>
    <m/>
    <m/>
    <m/>
    <m/>
    <m/>
    <m/>
    <m/>
    <m/>
    <m/>
    <m/>
    <m/>
    <m/>
    <m/>
    <m/>
    <m/>
    <m/>
    <m/>
    <s v=""/>
    <m/>
    <m/>
    <m/>
    <m/>
    <m/>
    <m/>
    <m/>
    <m/>
    <m/>
    <m/>
    <m/>
    <x v="0"/>
    <x v="10"/>
  </r>
  <r>
    <d v="2025-12-08T13:12:00"/>
    <d v="2025-12-08T17:57:00"/>
    <n v="4.7499999999417923"/>
    <n v="858.94736843157841"/>
    <x v="2"/>
    <s v="BRIA 01"/>
    <m/>
    <s v="25339/02"/>
    <s v="Envase"/>
    <n v="4080"/>
    <s v="BBSJBS02-2"/>
    <s v="BODY SPLASH SOL TROPICAL 86 120ml"/>
    <n v="120"/>
    <s v="ml"/>
    <x v="16"/>
    <x v="1"/>
    <s v="BODY SPLASH"/>
    <x v="1"/>
    <m/>
    <m/>
    <m/>
    <m/>
    <m/>
    <m/>
    <m/>
    <m/>
    <m/>
    <m/>
    <m/>
    <m/>
    <m/>
    <m/>
    <m/>
    <m/>
    <m/>
    <m/>
    <m/>
    <m/>
    <m/>
    <s v=""/>
    <m/>
    <m/>
    <m/>
    <m/>
    <m/>
    <m/>
    <m/>
    <m/>
    <m/>
    <m/>
    <m/>
    <x v="0"/>
    <x v="10"/>
  </r>
  <r>
    <d v="2025-12-08T14:18:00"/>
    <d v="2025-12-08T15:32:00"/>
    <n v="1.2333333333372138"/>
    <n v="681.08108107893815"/>
    <x v="2"/>
    <s v="AMEERATI 01"/>
    <m/>
    <s v="25342/04"/>
    <s v="Envase"/>
    <n v="840"/>
    <s v="AMNCHD02"/>
    <s v="BODY CREAM VERDE SUPREMO"/>
    <n v="240"/>
    <s v="ml"/>
    <x v="15"/>
    <x v="0"/>
    <s v="CREME HIDRATANTE"/>
    <x v="2"/>
    <m/>
    <m/>
    <m/>
    <m/>
    <m/>
    <m/>
    <m/>
    <m/>
    <m/>
    <m/>
    <m/>
    <m/>
    <m/>
    <m/>
    <m/>
    <m/>
    <m/>
    <m/>
    <m/>
    <m/>
    <m/>
    <s v=""/>
    <m/>
    <m/>
    <m/>
    <m/>
    <m/>
    <m/>
    <m/>
    <m/>
    <m/>
    <m/>
    <m/>
    <x v="0"/>
    <x v="10"/>
  </r>
  <r>
    <d v="2025-12-08T15:00:00"/>
    <d v="2025-12-08T17:00:00"/>
    <n v="2.0000000000582077"/>
    <n v="419.99999998777639"/>
    <x v="1"/>
    <s v="AMEERATI 01"/>
    <m/>
    <s v="25342/05"/>
    <s v="Envase"/>
    <n v="840"/>
    <s v="AMNCHD04"/>
    <s v="BODY CREAM DOCE ROSA"/>
    <n v="240"/>
    <s v="ml"/>
    <x v="15"/>
    <x v="0"/>
    <s v="CREME HIDRATANTE"/>
    <x v="2"/>
    <m/>
    <m/>
    <m/>
    <m/>
    <m/>
    <m/>
    <m/>
    <m/>
    <m/>
    <m/>
    <m/>
    <m/>
    <m/>
    <m/>
    <m/>
    <m/>
    <m/>
    <m/>
    <m/>
    <m/>
    <m/>
    <s v=""/>
    <m/>
    <m/>
    <m/>
    <m/>
    <m/>
    <m/>
    <m/>
    <m/>
    <m/>
    <m/>
    <m/>
    <x v="0"/>
    <x v="10"/>
  </r>
  <r>
    <d v="2025-12-08T17:13:00"/>
    <d v="2025-12-08T18:29:00"/>
    <n v="1.2666666666045785"/>
    <n v="663.1578947693481"/>
    <x v="1"/>
    <s v="AMEERATI 01"/>
    <m/>
    <s v="25342/06"/>
    <s v="Envase"/>
    <n v="840"/>
    <s v="AMNCHD07"/>
    <s v="BODY CREAM BOUQUET CARMIM"/>
    <n v="240"/>
    <s v="ml"/>
    <x v="15"/>
    <x v="0"/>
    <s v="CREME HIDRATANTE"/>
    <x v="2"/>
    <m/>
    <m/>
    <m/>
    <m/>
    <m/>
    <m/>
    <m/>
    <m/>
    <m/>
    <m/>
    <m/>
    <m/>
    <m/>
    <m/>
    <m/>
    <m/>
    <m/>
    <m/>
    <m/>
    <m/>
    <m/>
    <s v=""/>
    <m/>
    <m/>
    <m/>
    <m/>
    <m/>
    <m/>
    <m/>
    <m/>
    <m/>
    <m/>
    <m/>
    <x v="0"/>
    <x v="10"/>
  </r>
  <r>
    <d v="2025-12-08T17:57:00"/>
    <d v="2025-12-09T07:46:00"/>
    <n v="4.8166666666511446"/>
    <n v="847.05882353214145"/>
    <x v="2"/>
    <s v="BRIA 01"/>
    <m/>
    <s v="25339/03"/>
    <s v="Envase"/>
    <n v="4080"/>
    <s v="BBSJBS02-2"/>
    <s v="BODY SPLASH SOL TROPICAL 86 120ml"/>
    <n v="120"/>
    <s v="ml"/>
    <x v="16"/>
    <x v="1"/>
    <s v="BODY SPLASH"/>
    <x v="1"/>
    <m/>
    <m/>
    <m/>
    <m/>
    <m/>
    <m/>
    <m/>
    <m/>
    <m/>
    <m/>
    <m/>
    <m/>
    <m/>
    <m/>
    <m/>
    <m/>
    <m/>
    <m/>
    <m/>
    <m/>
    <m/>
    <s v=""/>
    <m/>
    <m/>
    <m/>
    <m/>
    <m/>
    <m/>
    <m/>
    <m/>
    <m/>
    <m/>
    <m/>
    <x v="0"/>
    <x v="10"/>
  </r>
  <r>
    <d v="2025-12-08T18:29:00"/>
    <d v="2025-12-08T21:30:00"/>
    <n v="3.0166666667209938"/>
    <n v="276.46408839281122"/>
    <x v="1"/>
    <s v="AMEERATI 01"/>
    <m/>
    <s v="25342/08"/>
    <s v="Envase"/>
    <n v="834"/>
    <s v="AMNCHD06"/>
    <s v="BODY CREAM NECTAR DA PERA"/>
    <n v="240"/>
    <s v="ml"/>
    <x v="15"/>
    <x v="0"/>
    <s v="CREME HIDRATANTE"/>
    <x v="2"/>
    <m/>
    <m/>
    <m/>
    <m/>
    <m/>
    <m/>
    <m/>
    <m/>
    <m/>
    <m/>
    <m/>
    <m/>
    <m/>
    <m/>
    <m/>
    <m/>
    <m/>
    <m/>
    <m/>
    <m/>
    <m/>
    <s v=""/>
    <m/>
    <m/>
    <m/>
    <m/>
    <m/>
    <m/>
    <m/>
    <m/>
    <m/>
    <m/>
    <m/>
    <x v="0"/>
    <x v="10"/>
  </r>
  <r>
    <d v="2025-12-08T21:30:00"/>
    <d v="2025-12-09T07:55:00"/>
    <n v="1.4166666665696539"/>
    <n v="442.58823532442591"/>
    <x v="1"/>
    <s v="AMEERATI 01"/>
    <m/>
    <s v="25342/07"/>
    <s v="Envase"/>
    <n v="627"/>
    <s v="AMNCHD08"/>
    <s v="BODY CREAM SUBLIME CEREJA"/>
    <n v="240"/>
    <s v="ml"/>
    <x v="15"/>
    <x v="0"/>
    <s v="CREME HIDRATANTE"/>
    <x v="2"/>
    <m/>
    <m/>
    <m/>
    <m/>
    <m/>
    <m/>
    <m/>
    <m/>
    <m/>
    <m/>
    <m/>
    <m/>
    <m/>
    <m/>
    <m/>
    <m/>
    <m/>
    <m/>
    <m/>
    <m/>
    <m/>
    <s v=""/>
    <m/>
    <m/>
    <m/>
    <m/>
    <m/>
    <m/>
    <m/>
    <m/>
    <m/>
    <m/>
    <m/>
    <x v="0"/>
    <x v="10"/>
  </r>
  <r>
    <d v="2025-12-09T07:48:00"/>
    <d v="2025-12-09T12:05:00"/>
    <n v="4.2833333333255723"/>
    <n v="1083.2684824922351"/>
    <x v="2"/>
    <s v="BRIA 01"/>
    <m/>
    <s v="25339/04"/>
    <s v="Envase"/>
    <n v="4640"/>
    <s v="BBSJBS02-2"/>
    <s v="BODY SPLASH SOL TROPICAL 86 120ml"/>
    <n v="120"/>
    <s v="ml"/>
    <x v="16"/>
    <x v="1"/>
    <s v="BODY SPLASH"/>
    <x v="1"/>
    <m/>
    <m/>
    <m/>
    <m/>
    <m/>
    <m/>
    <m/>
    <m/>
    <m/>
    <m/>
    <m/>
    <m/>
    <m/>
    <m/>
    <m/>
    <m/>
    <m/>
    <m/>
    <m/>
    <m/>
    <m/>
    <s v=""/>
    <m/>
    <m/>
    <m/>
    <m/>
    <m/>
    <m/>
    <m/>
    <m/>
    <m/>
    <m/>
    <m/>
    <x v="0"/>
    <x v="10"/>
  </r>
  <r>
    <d v="2025-12-09T09:38:00"/>
    <d v="2025-12-09T14:48:00"/>
    <n v="4.1666666667442769"/>
    <n v="610.5599999886274"/>
    <x v="1"/>
    <s v="FABIANO 19/11"/>
    <m/>
    <s v="25337/06"/>
    <s v="Envase"/>
    <n v="2544"/>
    <s v="MRARHD04"/>
    <s v="CREME HIDRATANTE CORPORAL NÉCTAR DAS TÂMARAS"/>
    <n v="200"/>
    <s v="ml"/>
    <x v="0"/>
    <x v="0"/>
    <s v="CREME HIDRATANTE"/>
    <x v="2"/>
    <m/>
    <m/>
    <m/>
    <m/>
    <m/>
    <m/>
    <m/>
    <m/>
    <m/>
    <m/>
    <m/>
    <m/>
    <m/>
    <m/>
    <m/>
    <m/>
    <m/>
    <m/>
    <m/>
    <m/>
    <m/>
    <s v=""/>
    <m/>
    <m/>
    <m/>
    <m/>
    <m/>
    <m/>
    <m/>
    <m/>
    <m/>
    <m/>
    <m/>
    <x v="0"/>
    <x v="10"/>
  </r>
  <r>
    <d v="2025-12-09T12:36:00"/>
    <d v="2025-12-09T12:52:00"/>
    <n v="0.26666666666278616"/>
    <n v="3165.0000000460568"/>
    <x v="2"/>
    <s v="BRIA 01"/>
    <m/>
    <s v="25339/05"/>
    <s v="Envase"/>
    <n v="844"/>
    <s v="BBSJBS02-2"/>
    <s v="BODY SPLASH SOL TROPICAL 86 120ml"/>
    <n v="120"/>
    <s v="ml"/>
    <x v="16"/>
    <x v="1"/>
    <s v="BODY SPLASH"/>
    <x v="1"/>
    <m/>
    <m/>
    <m/>
    <m/>
    <m/>
    <m/>
    <m/>
    <m/>
    <m/>
    <m/>
    <m/>
    <m/>
    <m/>
    <m/>
    <m/>
    <m/>
    <m/>
    <m/>
    <m/>
    <m/>
    <m/>
    <s v=""/>
    <m/>
    <m/>
    <m/>
    <m/>
    <m/>
    <m/>
    <m/>
    <m/>
    <m/>
    <m/>
    <m/>
    <x v="0"/>
    <x v="10"/>
  </r>
  <r>
    <d v="2025-12-09T12:50:00"/>
    <d v="2025-12-09T17:00:00"/>
    <n v="4.1666666668024845"/>
    <n v="979.19999996808167"/>
    <x v="2"/>
    <s v="BRIA 01"/>
    <m/>
    <s v="25343/01"/>
    <s v="Envase"/>
    <n v="4080"/>
    <s v="BBSJBS03-2"/>
    <s v="BODY SPLASH LUNAR 120ml"/>
    <n v="120"/>
    <s v="ml"/>
    <x v="16"/>
    <x v="1"/>
    <s v="BODY SPLASH"/>
    <x v="1"/>
    <m/>
    <m/>
    <m/>
    <m/>
    <m/>
    <m/>
    <m/>
    <m/>
    <m/>
    <m/>
    <m/>
    <m/>
    <m/>
    <m/>
    <m/>
    <m/>
    <m/>
    <m/>
    <m/>
    <m/>
    <m/>
    <s v=""/>
    <m/>
    <m/>
    <m/>
    <m/>
    <m/>
    <m/>
    <m/>
    <m/>
    <m/>
    <m/>
    <m/>
    <x v="0"/>
    <x v="10"/>
  </r>
  <r>
    <d v="2025-12-09T14:48:00"/>
    <d v="2025-12-10T09:48:00"/>
    <n v="5.0000000000582077"/>
    <n v="508.79999999407681"/>
    <x v="1"/>
    <s v="FABIANO 19/11"/>
    <m/>
    <s v="25337/07"/>
    <s v="Envase"/>
    <n v="2544"/>
    <s v="MRARHD04"/>
    <s v="CREME HIDRATANTE CORPORAL NÉCTAR DAS TÂMARAS"/>
    <n v="200"/>
    <s v="ml"/>
    <x v="0"/>
    <x v="0"/>
    <s v="CREME HIDRATANTE"/>
    <x v="2"/>
    <m/>
    <m/>
    <m/>
    <m/>
    <m/>
    <m/>
    <m/>
    <m/>
    <m/>
    <m/>
    <m/>
    <m/>
    <m/>
    <m/>
    <m/>
    <m/>
    <m/>
    <m/>
    <m/>
    <m/>
    <m/>
    <s v=""/>
    <m/>
    <m/>
    <m/>
    <m/>
    <m/>
    <m/>
    <m/>
    <m/>
    <m/>
    <m/>
    <m/>
    <x v="0"/>
    <x v="10"/>
  </r>
  <r>
    <d v="2025-12-09T17:10:00"/>
    <d v="2025-12-10T07:19:00"/>
    <n v="5.1499999998486601"/>
    <n v="792.23300973201879"/>
    <x v="2"/>
    <s v="BRIA 01"/>
    <m/>
    <s v="25343/02"/>
    <s v="Envase"/>
    <n v="4080"/>
    <s v="BBSJBS03-2"/>
    <s v="BODY SPLASH LUNAR 120ml"/>
    <n v="120"/>
    <s v="ml"/>
    <x v="16"/>
    <x v="1"/>
    <s v="BODY SPLASH"/>
    <x v="1"/>
    <m/>
    <m/>
    <m/>
    <m/>
    <m/>
    <m/>
    <m/>
    <m/>
    <m/>
    <m/>
    <m/>
    <m/>
    <m/>
    <m/>
    <m/>
    <m/>
    <m/>
    <m/>
    <m/>
    <m/>
    <m/>
    <s v=""/>
    <m/>
    <m/>
    <m/>
    <m/>
    <m/>
    <m/>
    <m/>
    <m/>
    <m/>
    <m/>
    <m/>
    <x v="0"/>
    <x v="10"/>
  </r>
  <r>
    <d v="2025-12-10T07:20:00"/>
    <d v="2025-12-10T11:11:00"/>
    <n v="3.8499999999767169"/>
    <n v="1059.7402597466685"/>
    <x v="2"/>
    <s v="BRIA 01"/>
    <m/>
    <s v="25343/03"/>
    <s v="Envase"/>
    <n v="4080"/>
    <s v="BBSJBS03-2"/>
    <s v="BODY SPLASH LUNAR 120ml"/>
    <n v="120"/>
    <s v="ml"/>
    <x v="16"/>
    <x v="1"/>
    <s v="BODY SPLASH"/>
    <x v="1"/>
    <m/>
    <m/>
    <m/>
    <m/>
    <m/>
    <m/>
    <m/>
    <m/>
    <m/>
    <m/>
    <m/>
    <m/>
    <m/>
    <m/>
    <m/>
    <m/>
    <m/>
    <m/>
    <m/>
    <m/>
    <m/>
    <s v=""/>
    <m/>
    <m/>
    <m/>
    <m/>
    <m/>
    <m/>
    <m/>
    <m/>
    <m/>
    <m/>
    <m/>
    <x v="0"/>
    <x v="10"/>
  </r>
  <r>
    <d v="2025-12-10T10:15:00"/>
    <d v="2025-12-10T11:18:00"/>
    <n v="1.0499999999301508"/>
    <n v="1485.7142858131199"/>
    <x v="1"/>
    <s v="FABIANO 19/11"/>
    <m/>
    <s v="25337/08"/>
    <s v="Envase"/>
    <n v="1560"/>
    <s v="MRARHD04"/>
    <s v="CREME HIDRATANTE CORPORAL NÉCTAR DAS TÂMARAS"/>
    <n v="200"/>
    <s v="ml"/>
    <x v="0"/>
    <x v="0"/>
    <s v="CREME HIDRATANTE"/>
    <x v="2"/>
    <m/>
    <m/>
    <m/>
    <m/>
    <m/>
    <m/>
    <m/>
    <m/>
    <m/>
    <m/>
    <m/>
    <m/>
    <m/>
    <m/>
    <m/>
    <m/>
    <m/>
    <m/>
    <m/>
    <m/>
    <m/>
    <s v=""/>
    <m/>
    <m/>
    <m/>
    <m/>
    <m/>
    <m/>
    <m/>
    <m/>
    <m/>
    <m/>
    <m/>
    <x v="0"/>
    <x v="10"/>
  </r>
  <r>
    <d v="2025-12-10T11:11:00"/>
    <d v="2025-12-11T17:57:00"/>
    <n v="19.766666666720994"/>
    <n v="206.4080944345086"/>
    <x v="2"/>
    <s v="BRIA 01"/>
    <m/>
    <s v="25343/04"/>
    <s v="Envase"/>
    <n v="4080"/>
    <s v="BBSJBS03-2"/>
    <s v="BODY SPLASH LUNAR 120ml"/>
    <n v="120"/>
    <s v="ml"/>
    <x v="16"/>
    <x v="1"/>
    <s v="BODY SPLASH"/>
    <x v="1"/>
    <m/>
    <m/>
    <m/>
    <m/>
    <m/>
    <m/>
    <m/>
    <m/>
    <m/>
    <m/>
    <m/>
    <m/>
    <m/>
    <m/>
    <m/>
    <m/>
    <m/>
    <m/>
    <m/>
    <m/>
    <m/>
    <s v=""/>
    <m/>
    <m/>
    <m/>
    <m/>
    <m/>
    <m/>
    <m/>
    <m/>
    <m/>
    <m/>
    <m/>
    <x v="0"/>
    <x v="10"/>
  </r>
  <r>
    <d v="2025-12-11T07:40:00"/>
    <d v="2025-12-11T08:40:00"/>
    <n v="0.99999999994179234"/>
    <n v="838.00000004877802"/>
    <x v="2"/>
    <s v="AMEERATI 01"/>
    <m/>
    <s v="25342/12"/>
    <s v="Envase"/>
    <n v="838"/>
    <s v="AMNCBS06"/>
    <s v="BODY MIST NECTAR DA PERA"/>
    <n v="250"/>
    <s v="ml"/>
    <x v="15"/>
    <x v="1"/>
    <s v="BODY SPLASH"/>
    <x v="1"/>
    <m/>
    <m/>
    <m/>
    <m/>
    <m/>
    <m/>
    <m/>
    <m/>
    <m/>
    <m/>
    <m/>
    <m/>
    <m/>
    <m/>
    <m/>
    <m/>
    <m/>
    <m/>
    <m/>
    <m/>
    <m/>
    <s v=""/>
    <m/>
    <m/>
    <m/>
    <m/>
    <m/>
    <m/>
    <m/>
    <m/>
    <m/>
    <m/>
    <m/>
    <x v="0"/>
    <x v="10"/>
  </r>
  <r>
    <d v="2025-12-11T07:40:00"/>
    <d v="2025-12-11T08:40:00"/>
    <n v="0.99999999994179234"/>
    <n v="799.00000004650792"/>
    <x v="2"/>
    <s v="AMEERATI 01"/>
    <m/>
    <s v="25342/11"/>
    <s v="Envase"/>
    <n v="799"/>
    <s v="AMNCBS02"/>
    <s v="BODY MIST VERDE SUPREMO"/>
    <n v="250"/>
    <s v="ml"/>
    <x v="15"/>
    <x v="1"/>
    <s v="BODY SPLASH"/>
    <x v="1"/>
    <m/>
    <m/>
    <m/>
    <m/>
    <m/>
    <m/>
    <m/>
    <m/>
    <m/>
    <m/>
    <m/>
    <m/>
    <m/>
    <m/>
    <m/>
    <m/>
    <m/>
    <m/>
    <m/>
    <m/>
    <m/>
    <s v=""/>
    <m/>
    <m/>
    <m/>
    <m/>
    <m/>
    <m/>
    <m/>
    <m/>
    <m/>
    <m/>
    <m/>
    <x v="0"/>
    <x v="10"/>
  </r>
  <r>
    <d v="2025-12-11T08:40:00"/>
    <d v="2025-12-11T09:40:00"/>
    <n v="1.0000000001164153"/>
    <n v="842.99999990186188"/>
    <x v="2"/>
    <s v="AMEERATI 01"/>
    <m/>
    <s v="25342/10"/>
    <s v="Envase"/>
    <n v="843"/>
    <s v="AMNCBS01"/>
    <s v="BODY MIST BAUNILHA SELVAGEM"/>
    <n v="250"/>
    <s v="ml"/>
    <x v="15"/>
    <x v="1"/>
    <s v="BODY SPLASH"/>
    <x v="1"/>
    <m/>
    <m/>
    <m/>
    <m/>
    <m/>
    <m/>
    <m/>
    <m/>
    <m/>
    <m/>
    <m/>
    <m/>
    <m/>
    <m/>
    <m/>
    <m/>
    <m/>
    <m/>
    <m/>
    <m/>
    <m/>
    <s v=""/>
    <m/>
    <m/>
    <m/>
    <m/>
    <m/>
    <m/>
    <m/>
    <m/>
    <m/>
    <m/>
    <m/>
    <x v="0"/>
    <x v="10"/>
  </r>
  <r>
    <d v="2025-12-11T09:40:00"/>
    <d v="2025-12-11T10:40:00"/>
    <n v="0.99999999994179234"/>
    <n v="820.00000004773028"/>
    <x v="2"/>
    <s v="AMEERATI 01"/>
    <m/>
    <s v="25342/09"/>
    <s v="Envase"/>
    <n v="820"/>
    <s v="AMNCBS05"/>
    <s v="BODY MIST FRESCOR LICHIA"/>
    <n v="250"/>
    <s v="ml"/>
    <x v="15"/>
    <x v="1"/>
    <s v="BODY SPLASH"/>
    <x v="1"/>
    <m/>
    <m/>
    <m/>
    <m/>
    <m/>
    <m/>
    <m/>
    <m/>
    <m/>
    <m/>
    <m/>
    <m/>
    <m/>
    <m/>
    <m/>
    <m/>
    <m/>
    <m/>
    <m/>
    <m/>
    <m/>
    <s v=""/>
    <m/>
    <m/>
    <m/>
    <m/>
    <m/>
    <m/>
    <m/>
    <m/>
    <m/>
    <m/>
    <m/>
    <x v="0"/>
    <x v="10"/>
  </r>
  <r>
    <d v="2025-12-11T11:40:00"/>
    <d v="2025-12-11T14:53:00"/>
    <n v="2.2166666666744277"/>
    <n v="1147.6691729283125"/>
    <x v="1"/>
    <s v="FABIANO 19/11"/>
    <m/>
    <s v="25337/09"/>
    <s v="Envase"/>
    <n v="2544"/>
    <s v="MRARHD02"/>
    <s v="CREME HIDRATANTE CORPORAL DEUSA DO NILO"/>
    <n v="200"/>
    <s v="ml"/>
    <x v="0"/>
    <x v="0"/>
    <s v="CREME HIDRATANTE"/>
    <x v="2"/>
    <m/>
    <m/>
    <m/>
    <m/>
    <m/>
    <m/>
    <m/>
    <m/>
    <m/>
    <m/>
    <m/>
    <m/>
    <m/>
    <m/>
    <m/>
    <m/>
    <m/>
    <m/>
    <m/>
    <m/>
    <m/>
    <s v=""/>
    <m/>
    <m/>
    <m/>
    <m/>
    <m/>
    <m/>
    <m/>
    <m/>
    <m/>
    <m/>
    <m/>
    <x v="0"/>
    <x v="10"/>
  </r>
  <r>
    <d v="2025-12-11T14:53:00"/>
    <d v="2025-12-11T20:48:00"/>
    <n v="5.9166666667442769"/>
    <n v="429.97183098027546"/>
    <x v="1"/>
    <s v="FABIANO 19/11"/>
    <m/>
    <s v="25337/10"/>
    <s v="Envase"/>
    <n v="2544"/>
    <s v="MRARHD02"/>
    <s v="CREME HIDRATANTE CORPORAL DEUSA DO NILO"/>
    <n v="200"/>
    <s v="ml"/>
    <x v="0"/>
    <x v="0"/>
    <s v="CREME HIDRATANTE"/>
    <x v="2"/>
    <m/>
    <m/>
    <m/>
    <m/>
    <m/>
    <m/>
    <m/>
    <m/>
    <m/>
    <m/>
    <m/>
    <m/>
    <m/>
    <m/>
    <m/>
    <m/>
    <m/>
    <m/>
    <m/>
    <m/>
    <m/>
    <s v=""/>
    <m/>
    <m/>
    <m/>
    <m/>
    <m/>
    <m/>
    <m/>
    <m/>
    <m/>
    <m/>
    <m/>
    <x v="0"/>
    <x v="10"/>
  </r>
  <r>
    <d v="2025-12-11T17:57:00"/>
    <d v="2025-12-12T07:47:00"/>
    <n v="4.8333333333721384"/>
    <n v="844.13793102770546"/>
    <x v="2"/>
    <s v="BRIA 01"/>
    <m/>
    <s v="25343/05"/>
    <s v="Envase"/>
    <n v="4080"/>
    <s v="BBSJBS03-2"/>
    <s v="BODY SPLASH LUNAR 120ml"/>
    <n v="120"/>
    <s v="ml"/>
    <x v="16"/>
    <x v="1"/>
    <s v="BODY SPLASH"/>
    <x v="1"/>
    <m/>
    <m/>
    <m/>
    <m/>
    <m/>
    <m/>
    <m/>
    <m/>
    <m/>
    <m/>
    <m/>
    <m/>
    <m/>
    <m/>
    <m/>
    <m/>
    <m/>
    <m/>
    <m/>
    <m/>
    <m/>
    <s v=""/>
    <m/>
    <m/>
    <m/>
    <m/>
    <m/>
    <m/>
    <m/>
    <m/>
    <m/>
    <m/>
    <m/>
    <x v="0"/>
    <x v="10"/>
  </r>
  <r>
    <d v="2025-12-11T20:48:00"/>
    <d v="2025-12-12T07:50:00"/>
    <n v="2.0333333333255723"/>
    <n v="779.01639344559635"/>
    <x v="1"/>
    <s v="FABIANO 19/11"/>
    <m/>
    <s v="25337/11"/>
    <s v="Envase"/>
    <n v="1584"/>
    <s v="MRARHD02"/>
    <s v="CREME HIDRATANTE CORPORAL DEUSA DO NILO"/>
    <n v="200"/>
    <s v="ml"/>
    <x v="0"/>
    <x v="0"/>
    <s v="CREME HIDRATANTE"/>
    <x v="2"/>
    <m/>
    <m/>
    <m/>
    <m/>
    <m/>
    <m/>
    <m/>
    <m/>
    <m/>
    <m/>
    <m/>
    <m/>
    <m/>
    <m/>
    <m/>
    <m/>
    <m/>
    <m/>
    <m/>
    <m/>
    <m/>
    <s v=""/>
    <m/>
    <m/>
    <m/>
    <m/>
    <m/>
    <m/>
    <m/>
    <m/>
    <m/>
    <m/>
    <m/>
    <x v="0"/>
    <x v="10"/>
  </r>
  <r>
    <d v="2025-12-12T07:46:00"/>
    <d v="2025-12-12T13:10:00"/>
    <n v="4.3999999999650754"/>
    <n v="927.27272728008745"/>
    <x v="2"/>
    <s v="BRIA 01"/>
    <m/>
    <s v="25345/01"/>
    <s v="Envase"/>
    <n v="4080"/>
    <s v="BBSJBS05-2"/>
    <s v="BODY SPLASH ZAHRA 120ml"/>
    <n v="120"/>
    <s v="ml"/>
    <x v="16"/>
    <x v="1"/>
    <s v="BODY SPLASH"/>
    <x v="1"/>
    <m/>
    <m/>
    <m/>
    <m/>
    <m/>
    <m/>
    <m/>
    <m/>
    <m/>
    <m/>
    <m/>
    <m/>
    <m/>
    <m/>
    <m/>
    <m/>
    <m/>
    <m/>
    <m/>
    <m/>
    <m/>
    <s v=""/>
    <m/>
    <m/>
    <m/>
    <m/>
    <m/>
    <m/>
    <m/>
    <m/>
    <m/>
    <m/>
    <m/>
    <x v="0"/>
    <x v="10"/>
  </r>
  <r>
    <d v="2025-12-12T09:37:00"/>
    <d v="2025-12-12T18:30:00"/>
    <n v="7.8833333334769122"/>
    <n v="517.54756870093331"/>
    <x v="2"/>
    <s v="BRIA 01"/>
    <m/>
    <s v="25345/02"/>
    <s v="Envase"/>
    <n v="4080"/>
    <s v="BBSJBS05-2"/>
    <s v="BODY SPLASH ZAHRA 120ml"/>
    <n v="120"/>
    <s v="ml"/>
    <x v="16"/>
    <x v="1"/>
    <s v="BODY SPLASH"/>
    <x v="1"/>
    <m/>
    <m/>
    <m/>
    <m/>
    <m/>
    <m/>
    <m/>
    <m/>
    <m/>
    <m/>
    <m/>
    <m/>
    <m/>
    <m/>
    <m/>
    <m/>
    <m/>
    <m/>
    <m/>
    <m/>
    <m/>
    <s v=""/>
    <m/>
    <m/>
    <m/>
    <m/>
    <m/>
    <m/>
    <m/>
    <m/>
    <m/>
    <m/>
    <m/>
    <x v="0"/>
    <x v="10"/>
  </r>
  <r>
    <d v="2025-12-12T13:10:00"/>
    <d v="2025-12-12T20:00:00"/>
    <n v="6.8333333334303461"/>
    <n v="597.07317072323065"/>
    <x v="2"/>
    <s v="BRIA 01"/>
    <m/>
    <s v="25345/03"/>
    <s v="Envase"/>
    <n v="4080"/>
    <s v="BBSJBS05-2"/>
    <s v="BODY SPLASH ZAHRA 120ml"/>
    <n v="120"/>
    <s v="ml"/>
    <x v="16"/>
    <x v="1"/>
    <s v="BODY SPLASH"/>
    <x v="1"/>
    <m/>
    <m/>
    <m/>
    <m/>
    <m/>
    <m/>
    <m/>
    <m/>
    <m/>
    <m/>
    <m/>
    <m/>
    <m/>
    <m/>
    <m/>
    <m/>
    <m/>
    <m/>
    <m/>
    <m/>
    <m/>
    <s v=""/>
    <m/>
    <m/>
    <m/>
    <m/>
    <m/>
    <m/>
    <m/>
    <m/>
    <m/>
    <m/>
    <m/>
    <x v="0"/>
    <x v="10"/>
  </r>
  <r>
    <d v="2025-12-12T15:00:00"/>
    <d v="2025-12-17T16:54:00"/>
    <n v="27.900000000314321"/>
    <n v="30.824372759509362"/>
    <x v="1"/>
    <s v="AMEERATI 01"/>
    <m/>
    <s v="25349/07"/>
    <s v="Envase"/>
    <n v="860"/>
    <s v="AMABBS06"/>
    <s v="BODY MIST ENCANTO PERSA"/>
    <n v="250"/>
    <s v="ml"/>
    <x v="15"/>
    <x v="1"/>
    <s v="BODY SPLASH"/>
    <x v="1"/>
    <m/>
    <m/>
    <m/>
    <m/>
    <m/>
    <m/>
    <m/>
    <m/>
    <m/>
    <m/>
    <m/>
    <m/>
    <m/>
    <m/>
    <m/>
    <m/>
    <m/>
    <m/>
    <m/>
    <m/>
    <m/>
    <s v=""/>
    <m/>
    <m/>
    <m/>
    <m/>
    <m/>
    <m/>
    <m/>
    <m/>
    <m/>
    <m/>
    <m/>
    <x v="0"/>
    <x v="10"/>
  </r>
  <r>
    <d v="2025-12-12T18:30:00"/>
    <d v="2025-12-15T07:14:00"/>
    <n v="3.7333333332790062"/>
    <n v="1092.8571428730461"/>
    <x v="2"/>
    <s v="BRIA 01"/>
    <m/>
    <s v="25345/04"/>
    <s v="Envase"/>
    <n v="4080"/>
    <s v="BBSJBS05-2"/>
    <s v="BODY SPLASH ZAHRA 120ml"/>
    <n v="120"/>
    <s v="ml"/>
    <x v="16"/>
    <x v="1"/>
    <s v="BODY SPLASH"/>
    <x v="1"/>
    <m/>
    <m/>
    <m/>
    <m/>
    <m/>
    <m/>
    <m/>
    <m/>
    <m/>
    <m/>
    <m/>
    <m/>
    <m/>
    <m/>
    <m/>
    <m/>
    <m/>
    <m/>
    <m/>
    <m/>
    <m/>
    <s v=""/>
    <m/>
    <m/>
    <m/>
    <m/>
    <m/>
    <m/>
    <m/>
    <m/>
    <m/>
    <m/>
    <m/>
    <x v="0"/>
    <x v="10"/>
  </r>
  <r>
    <d v="2025-12-15T07:12:00"/>
    <d v="2025-12-15T10:00:00"/>
    <n v="2.7999999998719431"/>
    <n v="828.57142860932299"/>
    <x v="1"/>
    <s v="BRIA 01"/>
    <m/>
    <s v="25345/05"/>
    <s v="Envase"/>
    <n v="2320"/>
    <s v="BBSJBS05-2"/>
    <s v="BODY SPLASH ZAHRA 120ml"/>
    <n v="120"/>
    <s v="ml"/>
    <x v="16"/>
    <x v="1"/>
    <s v="BODY SPLASH"/>
    <x v="1"/>
    <m/>
    <m/>
    <m/>
    <m/>
    <m/>
    <m/>
    <m/>
    <m/>
    <m/>
    <m/>
    <m/>
    <m/>
    <m/>
    <m/>
    <m/>
    <m/>
    <m/>
    <m/>
    <m/>
    <m/>
    <m/>
    <s v=""/>
    <m/>
    <m/>
    <m/>
    <m/>
    <m/>
    <m/>
    <m/>
    <m/>
    <m/>
    <m/>
    <m/>
    <x v="0"/>
    <x v="10"/>
  </r>
  <r>
    <d v="2025-12-15T09:43:00"/>
    <d v="2025-12-15T12:28:00"/>
    <n v="2.7499999998835847"/>
    <n v="925.09090913007083"/>
    <x v="2"/>
    <s v="FABIANO 19/11"/>
    <m/>
    <s v="25346/01"/>
    <s v="Envase"/>
    <n v="2544"/>
    <s v="MRARBS03"/>
    <s v="BODY SPLASH ECLIPSE DOURADO"/>
    <n v="220"/>
    <s v="ml"/>
    <x v="0"/>
    <x v="1"/>
    <s v="BODY SPLASH"/>
    <x v="1"/>
    <m/>
    <m/>
    <m/>
    <m/>
    <m/>
    <m/>
    <m/>
    <m/>
    <m/>
    <m/>
    <m/>
    <m/>
    <m/>
    <m/>
    <m/>
    <m/>
    <m/>
    <m/>
    <m/>
    <m/>
    <m/>
    <s v=""/>
    <m/>
    <m/>
    <m/>
    <m/>
    <m/>
    <m/>
    <m/>
    <m/>
    <m/>
    <m/>
    <m/>
    <x v="0"/>
    <x v="10"/>
  </r>
  <r>
    <d v="2025-12-15T11:20:00"/>
    <d v="2025-12-15T15:00:00"/>
    <n v="2.6666666667442769"/>
    <n v="953.99999997223495"/>
    <x v="1"/>
    <s v="FABIANO 19/11"/>
    <m/>
    <s v="25346/02"/>
    <s v="Envase"/>
    <n v="2544"/>
    <s v="MRARBS03"/>
    <s v="BODY SPLASH ECLIPSE DOURADO"/>
    <n v="220"/>
    <s v="ml"/>
    <x v="0"/>
    <x v="1"/>
    <s v="BODY SPLASH"/>
    <x v="1"/>
    <m/>
    <m/>
    <m/>
    <m/>
    <m/>
    <m/>
    <m/>
    <m/>
    <m/>
    <m/>
    <m/>
    <m/>
    <m/>
    <m/>
    <m/>
    <m/>
    <m/>
    <m/>
    <m/>
    <m/>
    <m/>
    <s v=""/>
    <m/>
    <m/>
    <m/>
    <m/>
    <m/>
    <m/>
    <m/>
    <m/>
    <m/>
    <m/>
    <m/>
    <x v="0"/>
    <x v="10"/>
  </r>
  <r>
    <d v="2025-12-15T12:28:00"/>
    <d v="2025-12-15T15:00:00"/>
    <n v="2.53333333338378"/>
    <n v="1004.2105262957925"/>
    <x v="2"/>
    <s v="FABIANO 19/11"/>
    <m/>
    <s v="25346/03"/>
    <s v="Envase"/>
    <n v="2544"/>
    <s v="MRARBS03"/>
    <s v="BODY SPLASH ECLIPSE DOURADO"/>
    <n v="220"/>
    <s v="ml"/>
    <x v="0"/>
    <x v="1"/>
    <s v="BODY SPLASH"/>
    <x v="1"/>
    <m/>
    <m/>
    <m/>
    <m/>
    <m/>
    <m/>
    <m/>
    <m/>
    <m/>
    <m/>
    <m/>
    <m/>
    <m/>
    <m/>
    <m/>
    <m/>
    <m/>
    <m/>
    <m/>
    <m/>
    <m/>
    <s v=""/>
    <m/>
    <m/>
    <m/>
    <m/>
    <m/>
    <m/>
    <m/>
    <m/>
    <m/>
    <m/>
    <m/>
    <x v="0"/>
    <x v="10"/>
  </r>
  <r>
    <d v="2025-12-15T15:00:00"/>
    <d v="2025-12-15T17:40:00"/>
    <n v="2.6666666666278616"/>
    <n v="954.00000001388253"/>
    <x v="2"/>
    <s v="FABIANO 19/11"/>
    <m/>
    <s v="25346/04"/>
    <s v="Envase"/>
    <n v="2544"/>
    <s v="MRARBS03"/>
    <s v="BODY SPLASH ECLIPSE DOURADO"/>
    <n v="220"/>
    <s v="ml"/>
    <x v="0"/>
    <x v="1"/>
    <s v="BODY SPLASH"/>
    <x v="1"/>
    <m/>
    <m/>
    <m/>
    <m/>
    <m/>
    <m/>
    <m/>
    <m/>
    <m/>
    <m/>
    <m/>
    <m/>
    <m/>
    <m/>
    <m/>
    <m/>
    <m/>
    <m/>
    <m/>
    <m/>
    <m/>
    <s v=""/>
    <m/>
    <m/>
    <m/>
    <m/>
    <m/>
    <m/>
    <m/>
    <m/>
    <m/>
    <m/>
    <m/>
    <x v="0"/>
    <x v="10"/>
  </r>
  <r>
    <d v="2025-12-15T15:40:00"/>
    <d v="2025-12-15T18:00:00"/>
    <n v="2.3333333332557231"/>
    <n v="1090.285714321979"/>
    <x v="1"/>
    <s v="FABIANO 19/11"/>
    <m/>
    <s v="25349/01"/>
    <s v="Envase"/>
    <n v="2544"/>
    <s v="MRARBS02"/>
    <s v="BODY SPLASH DEUSA DO NILO"/>
    <n v="220"/>
    <s v="ml"/>
    <x v="0"/>
    <x v="1"/>
    <s v="BODY SPLASH"/>
    <x v="1"/>
    <m/>
    <m/>
    <m/>
    <m/>
    <m/>
    <m/>
    <m/>
    <m/>
    <m/>
    <m/>
    <m/>
    <m/>
    <m/>
    <m/>
    <m/>
    <m/>
    <m/>
    <m/>
    <m/>
    <m/>
    <m/>
    <s v=""/>
    <m/>
    <m/>
    <m/>
    <m/>
    <m/>
    <m/>
    <m/>
    <m/>
    <m/>
    <m/>
    <m/>
    <x v="0"/>
    <x v="10"/>
  </r>
  <r>
    <d v="2025-12-15T17:30:00"/>
    <d v="2025-12-16T07:00:00"/>
    <n v="4.5"/>
    <n v="736"/>
    <x v="2"/>
    <s v="FABIANO 19/11"/>
    <m/>
    <s v="25349/05"/>
    <s v="Envase"/>
    <n v="3312"/>
    <s v="MRARBS02"/>
    <s v="BODY SPLASH DEUSA DO NILO"/>
    <n v="220"/>
    <s v="ml"/>
    <x v="0"/>
    <x v="1"/>
    <s v="BODY SPLASH"/>
    <x v="1"/>
    <m/>
    <m/>
    <m/>
    <m/>
    <m/>
    <m/>
    <m/>
    <m/>
    <m/>
    <m/>
    <m/>
    <m/>
    <m/>
    <m/>
    <m/>
    <m/>
    <m/>
    <m/>
    <m/>
    <m/>
    <m/>
    <s v=""/>
    <m/>
    <m/>
    <m/>
    <m/>
    <m/>
    <m/>
    <m/>
    <m/>
    <m/>
    <m/>
    <m/>
    <x v="0"/>
    <x v="10"/>
  </r>
  <r>
    <d v="2025-12-15T17:50:00"/>
    <d v="2025-12-16T07:10:00"/>
    <n v="4.3333333333139308"/>
    <n v="764.30769231111447"/>
    <x v="2"/>
    <s v="FABIANO 19/11"/>
    <m/>
    <s v="25346/05"/>
    <s v="Envase"/>
    <n v="3312"/>
    <s v="MRARBS03"/>
    <s v="BODY SPLASH ECLIPSE DOURADO"/>
    <n v="220"/>
    <s v="ml"/>
    <x v="0"/>
    <x v="1"/>
    <s v="BODY SPLASH"/>
    <x v="1"/>
    <m/>
    <m/>
    <m/>
    <m/>
    <m/>
    <m/>
    <m/>
    <m/>
    <m/>
    <m/>
    <m/>
    <m/>
    <m/>
    <m/>
    <m/>
    <m/>
    <m/>
    <m/>
    <m/>
    <m/>
    <m/>
    <s v=""/>
    <m/>
    <m/>
    <m/>
    <m/>
    <m/>
    <m/>
    <m/>
    <m/>
    <m/>
    <m/>
    <m/>
    <x v="0"/>
    <x v="10"/>
  </r>
  <r>
    <d v="2025-12-15T18:00:00"/>
    <d v="2025-12-16T07:29:00"/>
    <n v="4.4833333332790062"/>
    <n v="567.43494424479411"/>
    <x v="1"/>
    <s v="FABIANO 19/11"/>
    <m/>
    <s v="25349/02"/>
    <s v="Envase"/>
    <n v="2544"/>
    <s v="MRARBS02"/>
    <s v="BODY SPLASH DEUSA DO NILO"/>
    <n v="220"/>
    <s v="ml"/>
    <x v="0"/>
    <x v="1"/>
    <s v="BODY SPLASH"/>
    <x v="1"/>
    <m/>
    <m/>
    <m/>
    <m/>
    <m/>
    <m/>
    <m/>
    <m/>
    <m/>
    <m/>
    <m/>
    <m/>
    <m/>
    <m/>
    <m/>
    <m/>
    <m/>
    <m/>
    <m/>
    <m/>
    <m/>
    <s v=""/>
    <m/>
    <m/>
    <m/>
    <m/>
    <m/>
    <m/>
    <m/>
    <m/>
    <m/>
    <m/>
    <m/>
    <x v="0"/>
    <x v="10"/>
  </r>
  <r>
    <d v="2025-12-16T07:29:00"/>
    <d v="2025-12-16T11:14:00"/>
    <n v="3.75"/>
    <n v="678.4"/>
    <x v="1"/>
    <s v="FABIANO 19/11"/>
    <m/>
    <s v="25349/03"/>
    <s v="Envase"/>
    <n v="2544"/>
    <s v="MRARBS02"/>
    <s v="BODY SPLASH DEUSA DO NILO"/>
    <n v="220"/>
    <s v="ml"/>
    <x v="0"/>
    <x v="1"/>
    <s v="BODY SPLASH"/>
    <x v="1"/>
    <m/>
    <m/>
    <m/>
    <m/>
    <m/>
    <m/>
    <m/>
    <m/>
    <m/>
    <m/>
    <m/>
    <m/>
    <m/>
    <m/>
    <m/>
    <m/>
    <m/>
    <m/>
    <m/>
    <m/>
    <m/>
    <s v=""/>
    <m/>
    <m/>
    <m/>
    <m/>
    <m/>
    <m/>
    <m/>
    <m/>
    <m/>
    <m/>
    <m/>
    <x v="0"/>
    <x v="10"/>
  </r>
  <r>
    <d v="2025-12-16T07:42:00"/>
    <d v="2025-12-16T11:00:00"/>
    <n v="3.3000000001047738"/>
    <n v="770.90909088461478"/>
    <x v="2"/>
    <s v="FABIANO 19/11"/>
    <m/>
    <s v="25349/04"/>
    <s v="Envase"/>
    <n v="2544"/>
    <s v="MRARBS02"/>
    <s v="BODY SPLASH DEUSA DO NILO"/>
    <n v="220"/>
    <s v="ml"/>
    <x v="0"/>
    <x v="1"/>
    <s v="BODY SPLASH"/>
    <x v="1"/>
    <m/>
    <m/>
    <m/>
    <m/>
    <m/>
    <m/>
    <m/>
    <m/>
    <m/>
    <m/>
    <m/>
    <m/>
    <m/>
    <m/>
    <m/>
    <m/>
    <m/>
    <m/>
    <m/>
    <m/>
    <m/>
    <s v=""/>
    <m/>
    <m/>
    <m/>
    <m/>
    <m/>
    <m/>
    <m/>
    <m/>
    <m/>
    <m/>
    <m/>
    <x v="0"/>
    <x v="10"/>
  </r>
  <r>
    <d v="2025-12-16T15:15:00"/>
    <d v="2025-12-16T21:40:00"/>
    <n v="6.4166666668024845"/>
    <n v="89.142857140970307"/>
    <x v="1"/>
    <s v="CIDA 11/11"/>
    <m/>
    <s v="25350/01"/>
    <s v="Envase"/>
    <n v="572"/>
    <s v="KUBPBA02"/>
    <s v="BASE PARA PERFUME FINA BASE PREMIUM 1l"/>
    <n v="1000"/>
    <s v="ml"/>
    <x v="5"/>
    <x v="2"/>
    <s v="BASE"/>
    <x v="1"/>
    <m/>
    <m/>
    <m/>
    <m/>
    <m/>
    <m/>
    <m/>
    <m/>
    <m/>
    <m/>
    <m/>
    <m/>
    <m/>
    <m/>
    <m/>
    <m/>
    <m/>
    <m/>
    <m/>
    <m/>
    <m/>
    <s v=""/>
    <m/>
    <m/>
    <m/>
    <m/>
    <m/>
    <m/>
    <m/>
    <m/>
    <m/>
    <m/>
    <m/>
    <x v="0"/>
    <x v="10"/>
  </r>
  <r>
    <d v="2025-12-16T15:16:00"/>
    <d v="2025-12-16T17:10:00"/>
    <n v="1.9000000000814907"/>
    <n v="451.5789473490529"/>
    <x v="1"/>
    <s v="AMEERATI 01"/>
    <m/>
    <s v="25352/01"/>
    <s v="Envase"/>
    <n v="858"/>
    <s v="AMABBS01"/>
    <s v="BODY MIST TESOURO DO OASIS"/>
    <n v="250"/>
    <s v="ml"/>
    <x v="15"/>
    <x v="1"/>
    <s v="BODY SPLASH"/>
    <x v="1"/>
    <m/>
    <m/>
    <m/>
    <m/>
    <m/>
    <m/>
    <m/>
    <m/>
    <m/>
    <m/>
    <m/>
    <m/>
    <m/>
    <m/>
    <m/>
    <m/>
    <m/>
    <m/>
    <m/>
    <m/>
    <m/>
    <s v=""/>
    <m/>
    <m/>
    <m/>
    <m/>
    <m/>
    <m/>
    <m/>
    <m/>
    <m/>
    <m/>
    <m/>
    <x v="0"/>
    <x v="10"/>
  </r>
  <r>
    <d v="2025-12-16T17:30:00"/>
    <d v="2025-12-16T20:00:00"/>
    <n v="2.5000000001164153"/>
    <n v="341.99999998407441"/>
    <x v="1"/>
    <s v="AMEERATI 01"/>
    <m/>
    <s v="25352/02"/>
    <s v="Envase"/>
    <n v="855"/>
    <s v="AMABBS02"/>
    <s v="BODY MIST JARDINS DO ORIENTE"/>
    <n v="250"/>
    <s v="ml"/>
    <x v="15"/>
    <x v="1"/>
    <s v="BODY SPLASH"/>
    <x v="1"/>
    <m/>
    <m/>
    <m/>
    <m/>
    <m/>
    <m/>
    <m/>
    <m/>
    <m/>
    <m/>
    <m/>
    <m/>
    <m/>
    <m/>
    <m/>
    <m/>
    <m/>
    <m/>
    <m/>
    <m/>
    <m/>
    <s v=""/>
    <m/>
    <m/>
    <m/>
    <m/>
    <m/>
    <m/>
    <m/>
    <m/>
    <m/>
    <m/>
    <m/>
    <x v="0"/>
    <x v="10"/>
  </r>
  <r>
    <d v="2025-12-16T20:00:00"/>
    <d v="2025-12-16T22:00:00"/>
    <n v="1.9999999998835847"/>
    <n v="429.00000002497109"/>
    <x v="1"/>
    <s v="AMEERATI 01"/>
    <m/>
    <s v="25352/04"/>
    <s v="Envase"/>
    <n v="858"/>
    <s v="AMABBS04"/>
    <s v="BODY MIST PEROLA DO DESERTO"/>
    <n v="250"/>
    <s v="ml"/>
    <x v="15"/>
    <x v="1"/>
    <s v="BODY SPLASH"/>
    <x v="1"/>
    <m/>
    <m/>
    <m/>
    <m/>
    <m/>
    <m/>
    <m/>
    <m/>
    <m/>
    <m/>
    <m/>
    <m/>
    <m/>
    <m/>
    <m/>
    <m/>
    <m/>
    <m/>
    <m/>
    <m/>
    <m/>
    <s v=""/>
    <m/>
    <m/>
    <m/>
    <m/>
    <m/>
    <m/>
    <m/>
    <m/>
    <m/>
    <m/>
    <m/>
    <x v="0"/>
    <x v="10"/>
  </r>
  <r>
    <d v="2025-12-17T07:40:00"/>
    <d v="2025-12-17T09:36:00"/>
    <n v="1.9333333333488554"/>
    <n v="442.24137930679422"/>
    <x v="1"/>
    <s v="AMEERATI 01"/>
    <m/>
    <s v="25352/03"/>
    <s v="Envase"/>
    <n v="855"/>
    <s v="AMABBS03"/>
    <s v="BODY MIST FLOR DO DESERTO"/>
    <n v="250"/>
    <s v="ml"/>
    <x v="15"/>
    <x v="1"/>
    <s v="BODY SPLASH"/>
    <x v="1"/>
    <m/>
    <m/>
    <m/>
    <m/>
    <m/>
    <m/>
    <m/>
    <m/>
    <m/>
    <m/>
    <m/>
    <m/>
    <m/>
    <m/>
    <m/>
    <m/>
    <m/>
    <m/>
    <m/>
    <m/>
    <m/>
    <s v=""/>
    <m/>
    <m/>
    <m/>
    <m/>
    <m/>
    <m/>
    <m/>
    <m/>
    <m/>
    <m/>
    <m/>
    <x v="0"/>
    <x v="10"/>
  </r>
  <r>
    <d v="2025-12-17T09:37:00"/>
    <d v="2025-12-17T11:20:00"/>
    <n v="1.7166666666744277"/>
    <n v="501.55339805598493"/>
    <x v="1"/>
    <s v="AMEERATI 01"/>
    <m/>
    <s v="25352/05"/>
    <s v="Envase"/>
    <n v="861"/>
    <s v="AMABBS08"/>
    <s v="BODY MIST RARO ELIXIR"/>
    <n v="250"/>
    <s v="ml"/>
    <x v="15"/>
    <x v="1"/>
    <s v="BODY SPLASH"/>
    <x v="1"/>
    <m/>
    <m/>
    <m/>
    <m/>
    <m/>
    <m/>
    <m/>
    <m/>
    <m/>
    <m/>
    <m/>
    <m/>
    <m/>
    <m/>
    <m/>
    <m/>
    <m/>
    <m/>
    <m/>
    <m/>
    <m/>
    <s v=""/>
    <m/>
    <m/>
    <m/>
    <m/>
    <m/>
    <m/>
    <m/>
    <m/>
    <m/>
    <m/>
    <m/>
    <x v="0"/>
    <x v="10"/>
  </r>
  <r>
    <d v="2025-12-17T11:00:00"/>
    <d v="2025-12-17T15:30:00"/>
    <n v="3.5"/>
    <n v="132"/>
    <x v="2"/>
    <s v="CIDA 11/11"/>
    <m/>
    <s v="25352/07"/>
    <s v="Envase"/>
    <n v="462"/>
    <s v="KUBPBA02"/>
    <s v="BASE PARA PERFUME FINA BASE PREMIUM 1l"/>
    <n v="1000"/>
    <s v="ml"/>
    <x v="5"/>
    <x v="2"/>
    <s v="BASE"/>
    <x v="1"/>
    <m/>
    <m/>
    <m/>
    <m/>
    <m/>
    <m/>
    <m/>
    <m/>
    <m/>
    <m/>
    <m/>
    <m/>
    <m/>
    <m/>
    <m/>
    <m/>
    <m/>
    <m/>
    <m/>
    <m/>
    <m/>
    <s v=""/>
    <m/>
    <m/>
    <m/>
    <m/>
    <m/>
    <m/>
    <m/>
    <m/>
    <m/>
    <m/>
    <m/>
    <x v="0"/>
    <x v="10"/>
  </r>
  <r>
    <d v="2025-12-17T11:20:00"/>
    <d v="2025-12-17T14:33:00"/>
    <n v="2.2166666666744277"/>
    <n v="392.03007518659734"/>
    <x v="1"/>
    <s v="AMEERATI 01"/>
    <m/>
    <s v="25349/06"/>
    <s v="Envase"/>
    <n v="869"/>
    <s v="AMABBS07"/>
    <s v="BODY MIST MEL DE ESPECIARIAS"/>
    <n v="250"/>
    <s v="ml"/>
    <x v="15"/>
    <x v="1"/>
    <s v="BODY SPLASH"/>
    <x v="1"/>
    <m/>
    <m/>
    <m/>
    <m/>
    <m/>
    <m/>
    <m/>
    <m/>
    <m/>
    <m/>
    <m/>
    <m/>
    <m/>
    <m/>
    <m/>
    <m/>
    <m/>
    <m/>
    <m/>
    <m/>
    <m/>
    <s v=""/>
    <m/>
    <m/>
    <m/>
    <m/>
    <m/>
    <m/>
    <m/>
    <m/>
    <m/>
    <m/>
    <m/>
    <x v="0"/>
    <x v="10"/>
  </r>
  <r>
    <d v="2025-12-18T07:19:00"/>
    <d v="2025-12-18T09:10:00"/>
    <n v="1.8500000000931323"/>
    <n v="476.756756732756"/>
    <x v="1"/>
    <s v="AMEERATI 01"/>
    <m/>
    <s v="25349/08"/>
    <s v="Envase"/>
    <n v="882"/>
    <s v="AMABBS05"/>
    <s v="BODY MIST ROSA IMPERIAL"/>
    <n v="250"/>
    <s v="ml"/>
    <x v="15"/>
    <x v="1"/>
    <s v="BODY SPLASH"/>
    <x v="1"/>
    <m/>
    <m/>
    <m/>
    <m/>
    <m/>
    <m/>
    <m/>
    <m/>
    <m/>
    <m/>
    <m/>
    <m/>
    <m/>
    <m/>
    <m/>
    <m/>
    <m/>
    <m/>
    <m/>
    <m/>
    <m/>
    <s v=""/>
    <m/>
    <m/>
    <m/>
    <m/>
    <m/>
    <m/>
    <m/>
    <m/>
    <m/>
    <m/>
    <m/>
    <x v="0"/>
    <x v="10"/>
  </r>
  <r>
    <d v="2025-12-18T09:30:00"/>
    <d v="2025-12-18T10:17:00"/>
    <n v="0.78333333326736465"/>
    <n v="635.74468090460323"/>
    <x v="1"/>
    <s v="AMEERATI 01"/>
    <m/>
    <s v="25352/09"/>
    <s v="Envase"/>
    <n v="498"/>
    <s v="AMABHD01"/>
    <s v="BODY CREAM TESOURO DO OASIS"/>
    <n v="240"/>
    <s v="ml"/>
    <x v="15"/>
    <x v="0"/>
    <s v="CREME HIDRATANTE"/>
    <x v="2"/>
    <m/>
    <m/>
    <m/>
    <m/>
    <m/>
    <m/>
    <m/>
    <m/>
    <m/>
    <m/>
    <m/>
    <m/>
    <m/>
    <m/>
    <m/>
    <m/>
    <m/>
    <m/>
    <m/>
    <m/>
    <m/>
    <s v=""/>
    <m/>
    <m/>
    <m/>
    <m/>
    <m/>
    <m/>
    <m/>
    <m/>
    <m/>
    <m/>
    <m/>
    <x v="0"/>
    <x v="10"/>
  </r>
  <r>
    <d v="2025-12-18T10:19:00"/>
    <d v="2025-12-18T10:54:00"/>
    <n v="0.58333333348855376"/>
    <n v="845.14285691797124"/>
    <x v="1"/>
    <s v="AMEERATI 01"/>
    <m/>
    <s v="25352/11"/>
    <s v="Envase"/>
    <n v="493"/>
    <s v="AMABHD02"/>
    <s v="BODY CREAM JARDINS DO ORIENTE"/>
    <n v="240"/>
    <s v="ml"/>
    <x v="15"/>
    <x v="0"/>
    <s v="CREME HIDRATANTE"/>
    <x v="2"/>
    <m/>
    <m/>
    <m/>
    <m/>
    <m/>
    <m/>
    <m/>
    <m/>
    <m/>
    <m/>
    <m/>
    <m/>
    <m/>
    <m/>
    <m/>
    <m/>
    <m/>
    <m/>
    <m/>
    <m/>
    <m/>
    <s v=""/>
    <m/>
    <m/>
    <m/>
    <m/>
    <m/>
    <m/>
    <m/>
    <m/>
    <m/>
    <m/>
    <m/>
    <x v="0"/>
    <x v="10"/>
  </r>
  <r>
    <d v="2025-12-18T10:54:00"/>
    <d v="2025-12-18T11:23:00"/>
    <n v="0.48333333333721384"/>
    <n v="871.03448275162748"/>
    <x v="1"/>
    <s v="AMEERATI 01"/>
    <m/>
    <s v="25352/12"/>
    <s v="Envase"/>
    <n v="421"/>
    <s v="AMABHD03"/>
    <s v="BODY CREAM FLOR DO DESERTO"/>
    <n v="240"/>
    <s v="ml"/>
    <x v="15"/>
    <x v="0"/>
    <s v="CREME HIDRATANTE"/>
    <x v="2"/>
    <m/>
    <m/>
    <m/>
    <m/>
    <m/>
    <m/>
    <m/>
    <m/>
    <m/>
    <m/>
    <m/>
    <m/>
    <m/>
    <m/>
    <m/>
    <m/>
    <m/>
    <m/>
    <m/>
    <m/>
    <m/>
    <s v=""/>
    <m/>
    <m/>
    <m/>
    <m/>
    <m/>
    <m/>
    <m/>
    <m/>
    <m/>
    <m/>
    <m/>
    <x v="0"/>
    <x v="10"/>
  </r>
  <r>
    <d v="2025-12-18T11:31:00"/>
    <d v="2025-12-18T13:12:00"/>
    <n v="0.68333333340706304"/>
    <n v="620.48780481109998"/>
    <x v="1"/>
    <s v="AMEERATI 01"/>
    <m/>
    <s v="25352/10"/>
    <s v="Envase"/>
    <n v="424"/>
    <s v="AMABHD04"/>
    <s v="BODY CREAM PEROLA DO DESERTO"/>
    <n v="240"/>
    <s v="ml"/>
    <x v="15"/>
    <x v="0"/>
    <s v="CREME HIDRATANTE"/>
    <x v="2"/>
    <m/>
    <m/>
    <m/>
    <m/>
    <m/>
    <m/>
    <m/>
    <m/>
    <m/>
    <m/>
    <m/>
    <m/>
    <m/>
    <m/>
    <m/>
    <m/>
    <m/>
    <m/>
    <m/>
    <m/>
    <m/>
    <s v=""/>
    <m/>
    <m/>
    <m/>
    <m/>
    <m/>
    <m/>
    <m/>
    <m/>
    <m/>
    <m/>
    <m/>
    <x v="0"/>
    <x v="10"/>
  </r>
  <r>
    <d v="2025-12-18T13:12:00"/>
    <d v="2025-12-18T13:50:00"/>
    <n v="0.63333333330228925"/>
    <n v="682.10526319132953"/>
    <x v="1"/>
    <s v="AMEERATI 01"/>
    <m/>
    <s v="25352/14"/>
    <s v="Envase"/>
    <n v="432"/>
    <s v="AMABHD08"/>
    <s v="BODY CREAM RARO ELIXIR"/>
    <n v="240"/>
    <s v="ml"/>
    <x v="15"/>
    <x v="0"/>
    <s v="CREME HIDRATANTE"/>
    <x v="2"/>
    <m/>
    <m/>
    <m/>
    <m/>
    <m/>
    <m/>
    <m/>
    <m/>
    <m/>
    <m/>
    <m/>
    <m/>
    <m/>
    <m/>
    <m/>
    <m/>
    <m/>
    <m/>
    <m/>
    <m/>
    <m/>
    <s v=""/>
    <m/>
    <m/>
    <m/>
    <m/>
    <m/>
    <m/>
    <m/>
    <m/>
    <m/>
    <m/>
    <m/>
    <x v="0"/>
    <x v="10"/>
  </r>
  <r>
    <d v="2025-12-18T13:50:00"/>
    <d v="2025-12-18T14:30:00"/>
    <n v="0.6666666665696539"/>
    <n v="694.50000010106305"/>
    <x v="1"/>
    <s v="AMEERATI 01"/>
    <m/>
    <s v="25352/15"/>
    <s v="Envase"/>
    <n v="463"/>
    <s v="AMABHD06"/>
    <s v="BODY CREAM ENCANTO PERSA"/>
    <n v="240"/>
    <s v="ml"/>
    <x v="15"/>
    <x v="0"/>
    <s v="CREME HIDRATANTE"/>
    <x v="2"/>
    <m/>
    <m/>
    <m/>
    <m/>
    <m/>
    <m/>
    <m/>
    <m/>
    <m/>
    <m/>
    <m/>
    <m/>
    <m/>
    <m/>
    <m/>
    <m/>
    <m/>
    <m/>
    <m/>
    <m/>
    <m/>
    <s v=""/>
    <m/>
    <m/>
    <m/>
    <m/>
    <m/>
    <m/>
    <m/>
    <m/>
    <m/>
    <m/>
    <m/>
    <x v="0"/>
    <x v="10"/>
  </r>
  <r>
    <d v="2025-12-18T14:25:00"/>
    <d v="2025-12-18T15:00:00"/>
    <n v="0.58333333331393078"/>
    <n v="721.71428573829098"/>
    <x v="1"/>
    <s v="AMEERATI 01"/>
    <m/>
    <s v="25352/13"/>
    <s v="Envase"/>
    <n v="421"/>
    <s v="AMABHD07"/>
    <s v="BODY CREAM MEL DE ESPECIARIAS"/>
    <n v="240"/>
    <s v="ml"/>
    <x v="15"/>
    <x v="0"/>
    <s v="CREME HIDRATANTE"/>
    <x v="2"/>
    <m/>
    <m/>
    <m/>
    <m/>
    <m/>
    <m/>
    <m/>
    <m/>
    <m/>
    <m/>
    <m/>
    <m/>
    <m/>
    <m/>
    <m/>
    <m/>
    <m/>
    <m/>
    <m/>
    <m/>
    <m/>
    <s v=""/>
    <m/>
    <m/>
    <m/>
    <m/>
    <m/>
    <m/>
    <m/>
    <m/>
    <m/>
    <m/>
    <m/>
    <x v="0"/>
    <x v="10"/>
  </r>
  <r>
    <d v="2025-12-18T15:30:00"/>
    <d v="2025-12-18T16:00:00"/>
    <n v="0.49999999988358468"/>
    <n v="1388.0000003231689"/>
    <x v="1"/>
    <s v="AMEERATI 01"/>
    <m/>
    <s v="25352/16"/>
    <s v="Envase"/>
    <n v="694"/>
    <s v="AMABHD05"/>
    <s v="BODY CREAM ROSA IMPERIAL"/>
    <n v="240"/>
    <s v="ml"/>
    <x v="15"/>
    <x v="0"/>
    <s v="CREME HIDRATANTE"/>
    <x v="2"/>
    <m/>
    <m/>
    <m/>
    <m/>
    <m/>
    <m/>
    <m/>
    <m/>
    <m/>
    <m/>
    <m/>
    <m/>
    <m/>
    <m/>
    <m/>
    <m/>
    <m/>
    <m/>
    <m/>
    <m/>
    <m/>
    <s v=""/>
    <m/>
    <m/>
    <m/>
    <m/>
    <m/>
    <m/>
    <m/>
    <m/>
    <m/>
    <m/>
    <m/>
    <x v="0"/>
    <x v="10"/>
  </r>
  <r>
    <d v="2026-01-12T07:20:00"/>
    <d v="2026-01-13T09:46:00"/>
    <n v="11.433333333523478"/>
    <n v="661.22448978492173"/>
    <x v="1"/>
    <s v="BRIA 01"/>
    <m/>
    <s v="26009/01"/>
    <s v="Envase"/>
    <n v="7560"/>
    <s v="BBSJPF01"/>
    <s v="PERFUME CAPILAR SOL TROPICAL 61"/>
    <n v="60"/>
    <s v="ml"/>
    <x v="16"/>
    <x v="1"/>
    <s v="PERFUME CAPILAR"/>
    <x v="3"/>
    <m/>
    <m/>
    <m/>
    <m/>
    <m/>
    <m/>
    <m/>
    <m/>
    <m/>
    <m/>
    <m/>
    <m/>
    <m/>
    <m/>
    <m/>
    <m/>
    <m/>
    <m/>
    <m/>
    <m/>
    <m/>
    <s v=""/>
    <m/>
    <m/>
    <m/>
    <m/>
    <m/>
    <m/>
    <m/>
    <m/>
    <m/>
    <m/>
    <m/>
    <x v="1"/>
    <x v="0"/>
  </r>
  <r>
    <d v="2026-01-12T09:50:00"/>
    <d v="2026-01-13T08:00:00"/>
    <n v="7.1666666669188999"/>
    <n v="1054.8837208931056"/>
    <x v="2"/>
    <s v="BRIA 01"/>
    <m/>
    <s v="26009/02"/>
    <s v="Envase"/>
    <n v="7560"/>
    <s v="BBSJPF01"/>
    <s v="PERFUME CAPILAR SOL TROPICAL 61"/>
    <n v="60"/>
    <s v="ml"/>
    <x v="16"/>
    <x v="1"/>
    <s v="PERFUME CAPILAR"/>
    <x v="3"/>
    <m/>
    <m/>
    <m/>
    <m/>
    <m/>
    <m/>
    <m/>
    <m/>
    <m/>
    <m/>
    <m/>
    <m/>
    <m/>
    <m/>
    <m/>
    <m/>
    <m/>
    <m/>
    <m/>
    <m/>
    <m/>
    <s v=""/>
    <m/>
    <m/>
    <m/>
    <m/>
    <m/>
    <m/>
    <m/>
    <m/>
    <m/>
    <m/>
    <m/>
    <x v="1"/>
    <x v="0"/>
  </r>
  <r>
    <d v="2026-01-13T08:06:00"/>
    <d v="2026-01-13T15:35:00"/>
    <n v="6.4833333332790062"/>
    <n v="1166.0668380560435"/>
    <x v="2"/>
    <s v="BRIA 01"/>
    <m/>
    <s v="26012/01"/>
    <s v="Envase"/>
    <n v="7560"/>
    <s v="BBSJPF02"/>
    <s v="PERFUME CAPILAR SOL TROPICAL 86"/>
    <n v="60"/>
    <s v="ml"/>
    <x v="16"/>
    <x v="1"/>
    <s v="PERFUME CAPILAR"/>
    <x v="3"/>
    <m/>
    <m/>
    <m/>
    <m/>
    <m/>
    <m/>
    <m/>
    <m/>
    <m/>
    <m/>
    <m/>
    <m/>
    <m/>
    <m/>
    <m/>
    <m/>
    <m/>
    <m/>
    <m/>
    <m/>
    <m/>
    <s v=""/>
    <m/>
    <m/>
    <m/>
    <m/>
    <m/>
    <m/>
    <m/>
    <m/>
    <m/>
    <m/>
    <m/>
    <x v="1"/>
    <x v="0"/>
  </r>
  <r>
    <d v="2026-01-13T10:20:00"/>
    <d v="2026-01-14T09:30:00"/>
    <n v="8.1666666668606922"/>
    <n v="404.57142856181667"/>
    <x v="1"/>
    <s v="SAFIRA 674"/>
    <m/>
    <s v="26009/03"/>
    <s v="Envase"/>
    <n v="3304"/>
    <s v="SASCGF01"/>
    <s v="GEL FACIAL ANTI OLEOSIDADE PITAYA"/>
    <n v="100"/>
    <s v="ml"/>
    <x v="3"/>
    <x v="3"/>
    <s v="GEL"/>
    <x v="2"/>
    <m/>
    <m/>
    <m/>
    <m/>
    <m/>
    <m/>
    <m/>
    <m/>
    <m/>
    <m/>
    <m/>
    <m/>
    <m/>
    <m/>
    <m/>
    <m/>
    <m/>
    <m/>
    <m/>
    <m/>
    <m/>
    <s v=""/>
    <m/>
    <m/>
    <m/>
    <m/>
    <m/>
    <m/>
    <m/>
    <m/>
    <m/>
    <m/>
    <m/>
    <x v="1"/>
    <x v="0"/>
  </r>
  <r>
    <d v="2026-01-13T15:35:00"/>
    <d v="2026-01-14T13:44:00"/>
    <n v="7.150000000197906"/>
    <n v="1057.3426573133909"/>
    <x v="2"/>
    <s v="BRIA 01"/>
    <m/>
    <s v="26012/02"/>
    <s v="Envase"/>
    <n v="7560"/>
    <s v="BBSJPF02"/>
    <s v="PERFUME CAPILAR SOL TROPICAL 86"/>
    <n v="60"/>
    <s v="ml"/>
    <x v="16"/>
    <x v="1"/>
    <s v="PERFUME CAPILAR"/>
    <x v="3"/>
    <m/>
    <m/>
    <m/>
    <m/>
    <m/>
    <m/>
    <m/>
    <m/>
    <m/>
    <m/>
    <m/>
    <m/>
    <m/>
    <m/>
    <m/>
    <m/>
    <m/>
    <m/>
    <m/>
    <m/>
    <m/>
    <s v=""/>
    <m/>
    <m/>
    <m/>
    <m/>
    <m/>
    <m/>
    <m/>
    <m/>
    <m/>
    <m/>
    <m/>
    <x v="1"/>
    <x v="0"/>
  </r>
  <r>
    <d v="2026-01-13T15:41:00"/>
    <d v="2026-01-14T15:30:00"/>
    <n v="8.8166666668839753"/>
    <n v="331.41776936801284"/>
    <x v="1"/>
    <s v="SAFIRA 674"/>
    <m/>
    <s v="26009/04"/>
    <s v="Envase"/>
    <n v="2922"/>
    <s v="SASCGF02"/>
    <s v="GEL FACIAL ANTI OLEOSIDADE VITAMINA C"/>
    <n v="100"/>
    <s v="ml"/>
    <x v="3"/>
    <x v="3"/>
    <s v="GEL"/>
    <x v="2"/>
    <m/>
    <m/>
    <m/>
    <m/>
    <m/>
    <m/>
    <m/>
    <m/>
    <m/>
    <m/>
    <m/>
    <m/>
    <m/>
    <m/>
    <m/>
    <m/>
    <m/>
    <m/>
    <m/>
    <m/>
    <m/>
    <s v=""/>
    <m/>
    <m/>
    <m/>
    <m/>
    <m/>
    <m/>
    <m/>
    <m/>
    <m/>
    <m/>
    <m/>
    <x v="1"/>
    <x v="0"/>
  </r>
  <r>
    <d v="2026-01-14T10:20:00"/>
    <d v="2026-01-15T13:35:00"/>
    <n v="11.250000000058208"/>
    <n v="661.33333332991162"/>
    <x v="1"/>
    <s v="BRIA 01"/>
    <m/>
    <s v="26013/02"/>
    <s v="Envase"/>
    <n v="7440"/>
    <s v="BBSJPF03"/>
    <s v="PERFUME CAPILAR LUNAR"/>
    <n v="60"/>
    <s v="ml"/>
    <x v="16"/>
    <x v="1"/>
    <s v="PERFUME CAPILAR"/>
    <x v="3"/>
    <m/>
    <m/>
    <m/>
    <m/>
    <m/>
    <m/>
    <m/>
    <m/>
    <m/>
    <m/>
    <m/>
    <m/>
    <m/>
    <m/>
    <m/>
    <m/>
    <m/>
    <m/>
    <m/>
    <m/>
    <m/>
    <s v=""/>
    <m/>
    <m/>
    <m/>
    <m/>
    <m/>
    <m/>
    <m/>
    <m/>
    <m/>
    <m/>
    <m/>
    <x v="1"/>
    <x v="0"/>
  </r>
  <r>
    <d v="2026-01-14T13:54:00"/>
    <d v="2026-01-15T10:48:00"/>
    <n v="6.8999999999650754"/>
    <n v="1095.6521739185891"/>
    <x v="2"/>
    <s v="BRIA 01"/>
    <m/>
    <s v="26013/03"/>
    <s v="Envase"/>
    <n v="7560"/>
    <s v="BBSJPF03"/>
    <s v="PERFUME CAPILAR LUNAR"/>
    <n v="60"/>
    <s v="ml"/>
    <x v="16"/>
    <x v="1"/>
    <s v="PERFUME CAPILAR"/>
    <x v="3"/>
    <m/>
    <m/>
    <m/>
    <m/>
    <m/>
    <m/>
    <m/>
    <m/>
    <m/>
    <m/>
    <m/>
    <m/>
    <m/>
    <m/>
    <m/>
    <m/>
    <m/>
    <m/>
    <m/>
    <m/>
    <m/>
    <s v=""/>
    <m/>
    <m/>
    <m/>
    <m/>
    <m/>
    <m/>
    <m/>
    <m/>
    <m/>
    <m/>
    <m/>
    <x v="1"/>
    <x v="0"/>
  </r>
  <r>
    <d v="2026-01-15T11:00:00"/>
    <d v="2026-01-16T08:30:00"/>
    <n v="6.5"/>
    <n v="622"/>
    <x v="1"/>
    <s v="SAFIRA 674"/>
    <m/>
    <s v="26013/01"/>
    <s v="Envase"/>
    <n v="4043"/>
    <s v="SASCDM01"/>
    <s v="SABONETE DEMAQUILANTE PITAYA"/>
    <n v="100"/>
    <s v="ml"/>
    <x v="3"/>
    <x v="4"/>
    <s v="SABONETE"/>
    <x v="0"/>
    <m/>
    <m/>
    <m/>
    <m/>
    <m/>
    <m/>
    <m/>
    <m/>
    <m/>
    <m/>
    <m/>
    <m/>
    <m/>
    <m/>
    <m/>
    <m/>
    <m/>
    <m/>
    <m/>
    <m/>
    <m/>
    <s v=""/>
    <m/>
    <m/>
    <m/>
    <m/>
    <m/>
    <m/>
    <m/>
    <m/>
    <m/>
    <m/>
    <m/>
    <x v="1"/>
    <x v="0"/>
  </r>
  <r>
    <d v="2026-01-16T08:00:00"/>
    <d v="2026-01-16T11:34:00"/>
    <n v="3.566666666592937"/>
    <n v="713.2710280521278"/>
    <x v="2"/>
    <s v="FABIANO 09/12"/>
    <m/>
    <s v="26015/01"/>
    <s v="Envase"/>
    <n v="2544"/>
    <s v="MRARBS12"/>
    <s v="BODY SPLASH FLOR D AURA 200ml"/>
    <n v="215"/>
    <s v="ml"/>
    <x v="0"/>
    <x v="1"/>
    <s v="BODY SPLASH"/>
    <x v="1"/>
    <m/>
    <m/>
    <m/>
    <m/>
    <m/>
    <m/>
    <m/>
    <m/>
    <m/>
    <m/>
    <m/>
    <m/>
    <m/>
    <m/>
    <m/>
    <m/>
    <m/>
    <m/>
    <m/>
    <m/>
    <m/>
    <s v=""/>
    <m/>
    <m/>
    <m/>
    <m/>
    <m/>
    <m/>
    <m/>
    <m/>
    <m/>
    <m/>
    <m/>
    <x v="1"/>
    <x v="0"/>
  </r>
  <r>
    <d v="2026-01-16T08:30:00"/>
    <d v="2026-01-19T07:33:00"/>
    <n v="7.0500000000465661"/>
    <n v="456.73758864946547"/>
    <x v="1"/>
    <s v="SAFIRA 674"/>
    <m/>
    <s v="26014/01"/>
    <s v="Envase"/>
    <n v="3220"/>
    <s v="SASCDM02"/>
    <s v="SABONETE DEMAQUILANTE VITAMINA C"/>
    <n v="100"/>
    <s v="ml"/>
    <x v="3"/>
    <x v="4"/>
    <s v="SABONETE"/>
    <x v="0"/>
    <m/>
    <m/>
    <m/>
    <m/>
    <m/>
    <m/>
    <m/>
    <m/>
    <m/>
    <m/>
    <m/>
    <m/>
    <m/>
    <m/>
    <m/>
    <m/>
    <m/>
    <m/>
    <m/>
    <m/>
    <m/>
    <s v=""/>
    <m/>
    <m/>
    <m/>
    <m/>
    <m/>
    <m/>
    <m/>
    <m/>
    <m/>
    <m/>
    <m/>
    <x v="1"/>
    <x v="0"/>
  </r>
  <r>
    <d v="2026-01-16T11:34:00"/>
    <d v="2026-01-19T08:02:00"/>
    <n v="4.4666666666744277"/>
    <n v="526.5671641781895"/>
    <x v="2"/>
    <s v="FABIANO 09/12"/>
    <m/>
    <s v="26014/02"/>
    <s v="Envase"/>
    <n v="2352"/>
    <s v="MRARBS12"/>
    <s v="BODY SPLASH FLOR D AURA 200ml"/>
    <n v="215"/>
    <s v="ml"/>
    <x v="0"/>
    <x v="1"/>
    <s v="BODY SPLASH"/>
    <x v="1"/>
    <m/>
    <m/>
    <m/>
    <m/>
    <m/>
    <m/>
    <m/>
    <m/>
    <m/>
    <m/>
    <m/>
    <m/>
    <m/>
    <m/>
    <m/>
    <m/>
    <m/>
    <m/>
    <m/>
    <m/>
    <m/>
    <s v=""/>
    <m/>
    <m/>
    <m/>
    <m/>
    <m/>
    <m/>
    <m/>
    <m/>
    <m/>
    <m/>
    <m/>
    <x v="1"/>
    <x v="0"/>
  </r>
  <r>
    <d v="2026-01-19T08:02:00"/>
    <d v="2026-01-19T13:32:00"/>
    <n v="4.4999999999417923"/>
    <n v="533.333333340232"/>
    <x v="2"/>
    <s v="FABIANO 09/12"/>
    <m/>
    <s v="26016/01"/>
    <s v="Envase"/>
    <n v="2400"/>
    <s v="MRARBS12"/>
    <s v="BODY SPLASH FLOR D AURA 200ml"/>
    <n v="215"/>
    <s v="ml"/>
    <x v="0"/>
    <x v="1"/>
    <s v="BODY SPLASH"/>
    <x v="1"/>
    <m/>
    <m/>
    <m/>
    <m/>
    <m/>
    <m/>
    <m/>
    <m/>
    <m/>
    <m/>
    <m/>
    <m/>
    <m/>
    <m/>
    <m/>
    <m/>
    <m/>
    <m/>
    <m/>
    <m/>
    <m/>
    <s v=""/>
    <m/>
    <m/>
    <m/>
    <m/>
    <m/>
    <m/>
    <m/>
    <m/>
    <m/>
    <m/>
    <m/>
    <x v="1"/>
    <x v="0"/>
  </r>
  <r>
    <d v="2026-01-19T13:15:00"/>
    <d v="2026-01-20T11:40:00"/>
    <n v="8.4166666666860692"/>
    <n v="633.02970296883768"/>
    <x v="1"/>
    <s v="SAFIRA 674"/>
    <m/>
    <s v="26016/05"/>
    <s v="Envase"/>
    <n v="5328"/>
    <s v="SASCES01"/>
    <s v="ESFOLIANTE FACIAL PITAYA"/>
    <n v="100"/>
    <s v="ml"/>
    <x v="3"/>
    <x v="3"/>
    <s v="ESFOLIANTE"/>
    <x v="0"/>
    <m/>
    <m/>
    <m/>
    <m/>
    <m/>
    <m/>
    <m/>
    <m/>
    <m/>
    <m/>
    <m/>
    <m/>
    <m/>
    <m/>
    <m/>
    <m/>
    <m/>
    <m/>
    <m/>
    <m/>
    <m/>
    <s v=""/>
    <m/>
    <m/>
    <m/>
    <m/>
    <m/>
    <m/>
    <m/>
    <m/>
    <m/>
    <m/>
    <m/>
    <x v="1"/>
    <x v="0"/>
  </r>
  <r>
    <d v="2026-01-19T13:33:00"/>
    <d v="2026-01-20T07:32:00"/>
    <n v="3.9833333333954215"/>
    <n v="626.61087865132095"/>
    <x v="2"/>
    <s v="FABIANO 09/12"/>
    <m/>
    <s v="26016/02"/>
    <s v="Envase"/>
    <n v="2496"/>
    <s v="MRARBS12"/>
    <s v="BODY SPLASH FLOR D AURA 200ml"/>
    <n v="215"/>
    <s v="ml"/>
    <x v="0"/>
    <x v="1"/>
    <s v="BODY SPLASH"/>
    <x v="1"/>
    <m/>
    <m/>
    <m/>
    <m/>
    <m/>
    <m/>
    <m/>
    <m/>
    <m/>
    <m/>
    <m/>
    <m/>
    <m/>
    <m/>
    <m/>
    <m/>
    <m/>
    <m/>
    <m/>
    <m/>
    <m/>
    <s v=""/>
    <m/>
    <m/>
    <m/>
    <m/>
    <m/>
    <m/>
    <m/>
    <m/>
    <m/>
    <m/>
    <m/>
    <x v="1"/>
    <x v="0"/>
  </r>
  <r>
    <d v="2026-01-20T07:33:00"/>
    <d v="2026-01-20T11:40:00"/>
    <n v="4.1166666666395031"/>
    <n v="629.63562753451902"/>
    <x v="2"/>
    <s v="FABIANO 09/12"/>
    <m/>
    <s v="26016/03"/>
    <s v="Envase"/>
    <n v="2592"/>
    <s v="MRARBS12"/>
    <s v="BODY SPLASH FLOR D AURA 200ml"/>
    <n v="215"/>
    <s v="ml"/>
    <x v="0"/>
    <x v="1"/>
    <s v="BODY SPLASH"/>
    <x v="1"/>
    <m/>
    <m/>
    <m/>
    <m/>
    <m/>
    <m/>
    <m/>
    <m/>
    <m/>
    <m/>
    <m/>
    <m/>
    <m/>
    <m/>
    <m/>
    <m/>
    <m/>
    <m/>
    <m/>
    <m/>
    <m/>
    <s v=""/>
    <m/>
    <m/>
    <m/>
    <m/>
    <m/>
    <m/>
    <m/>
    <m/>
    <m/>
    <m/>
    <m/>
    <x v="1"/>
    <x v="0"/>
  </r>
  <r>
    <d v="2026-01-20T11:40:00"/>
    <d v="2026-01-21T11:40:00"/>
    <n v="9.0000000001164153"/>
    <n v="464.66666666065618"/>
    <x v="1"/>
    <s v="SAFIRA 674"/>
    <m/>
    <s v="26019/02"/>
    <s v="Envase"/>
    <n v="4182"/>
    <s v="SASCES02"/>
    <s v="ESFOLIANTE FACIAL VITAMINA C"/>
    <n v="100"/>
    <s v="ml"/>
    <x v="3"/>
    <x v="3"/>
    <s v="ESFOLIANTE"/>
    <x v="0"/>
    <m/>
    <m/>
    <m/>
    <m/>
    <m/>
    <m/>
    <m/>
    <m/>
    <m/>
    <m/>
    <m/>
    <m/>
    <m/>
    <m/>
    <m/>
    <m/>
    <m/>
    <m/>
    <m/>
    <m/>
    <m/>
    <s v=""/>
    <m/>
    <m/>
    <m/>
    <m/>
    <m/>
    <m/>
    <m/>
    <m/>
    <m/>
    <m/>
    <m/>
    <x v="1"/>
    <x v="0"/>
  </r>
  <r>
    <d v="2026-01-20T13:40:00"/>
    <d v="2026-01-20T15:53:00"/>
    <n v="2.2166666667326353"/>
    <n v="1047.0676691417714"/>
    <x v="2"/>
    <s v="FABIANO 09/12"/>
    <m/>
    <s v="26016/04"/>
    <s v="Envase"/>
    <n v="2321"/>
    <s v="MRARBS12"/>
    <s v="BODY SPLASH FLOR D AURA 200ml"/>
    <n v="215"/>
    <s v="ml"/>
    <x v="0"/>
    <x v="1"/>
    <s v="BODY SPLASH"/>
    <x v="1"/>
    <m/>
    <m/>
    <m/>
    <m/>
    <m/>
    <m/>
    <m/>
    <m/>
    <m/>
    <m/>
    <m/>
    <m/>
    <m/>
    <m/>
    <m/>
    <m/>
    <m/>
    <m/>
    <m/>
    <m/>
    <m/>
    <s v=""/>
    <m/>
    <m/>
    <m/>
    <m/>
    <m/>
    <m/>
    <m/>
    <m/>
    <m/>
    <m/>
    <m/>
    <x v="1"/>
    <x v="0"/>
  </r>
  <r>
    <d v="2026-01-20T15:53:00"/>
    <d v="2026-01-21T08:50:00"/>
    <n v="2.9500000000116415"/>
    <n v="862.37288135252902"/>
    <x v="2"/>
    <s v="FABIANO 09/12"/>
    <m/>
    <s v="26019/01"/>
    <s v="Envase"/>
    <n v="2544"/>
    <s v="MRARBS07"/>
    <s v="BODY SPLASH LEAO DO DESERTO BOURBON 200ml"/>
    <n v="215"/>
    <s v="ml"/>
    <x v="0"/>
    <x v="1"/>
    <s v="BODY SPLASH"/>
    <x v="1"/>
    <m/>
    <m/>
    <m/>
    <m/>
    <m/>
    <m/>
    <m/>
    <m/>
    <m/>
    <m/>
    <m/>
    <m/>
    <m/>
    <m/>
    <m/>
    <m/>
    <m/>
    <m/>
    <m/>
    <m/>
    <m/>
    <s v=""/>
    <m/>
    <m/>
    <m/>
    <m/>
    <m/>
    <m/>
    <m/>
    <m/>
    <m/>
    <m/>
    <m/>
    <x v="1"/>
    <x v="0"/>
  </r>
  <r>
    <d v="2026-01-21T09:00:00"/>
    <d v="2026-01-21T13:49:00"/>
    <n v="3.8166666666511446"/>
    <n v="676.76855895471738"/>
    <x v="2"/>
    <s v="FABIANO 09/12"/>
    <m/>
    <s v="26020/02"/>
    <s v="Envase"/>
    <n v="2583"/>
    <s v="MRARBS09"/>
    <s v="BODY SPLASH DESPERTAR DAS FLORES 200ml"/>
    <n v="215"/>
    <s v="ml"/>
    <x v="0"/>
    <x v="1"/>
    <s v="BODY SPLASH"/>
    <x v="1"/>
    <m/>
    <m/>
    <m/>
    <m/>
    <m/>
    <m/>
    <m/>
    <m/>
    <m/>
    <m/>
    <m/>
    <m/>
    <m/>
    <m/>
    <m/>
    <m/>
    <m/>
    <m/>
    <m/>
    <m/>
    <m/>
    <s v=""/>
    <m/>
    <m/>
    <m/>
    <m/>
    <m/>
    <m/>
    <m/>
    <m/>
    <m/>
    <m/>
    <m/>
    <x v="1"/>
    <x v="0"/>
  </r>
  <r>
    <d v="2026-01-21T10:40:00"/>
    <d v="2026-01-22T15:01:00"/>
    <n v="12.35000000015134"/>
    <n v="213.76518218361528"/>
    <x v="2"/>
    <s v="FABIANO 09/12"/>
    <m/>
    <s v="26021/03"/>
    <s v="Envase"/>
    <n v="2640"/>
    <s v="MRARBS10"/>
    <s v="BODY SPLASH AMBAR REAL 200ml"/>
    <n v="215"/>
    <s v="ml"/>
    <x v="0"/>
    <x v="1"/>
    <s v="BODY SPLASH"/>
    <x v="1"/>
    <m/>
    <m/>
    <m/>
    <m/>
    <m/>
    <m/>
    <m/>
    <m/>
    <m/>
    <m/>
    <m/>
    <m/>
    <m/>
    <m/>
    <m/>
    <m/>
    <m/>
    <m/>
    <m/>
    <m/>
    <m/>
    <s v=""/>
    <m/>
    <m/>
    <m/>
    <m/>
    <m/>
    <m/>
    <m/>
    <m/>
    <m/>
    <m/>
    <m/>
    <x v="1"/>
    <x v="0"/>
  </r>
  <r>
    <d v="2026-01-21T13:09:00"/>
    <d v="2026-01-22T07:25:00"/>
    <n v="4.2666666667792015"/>
    <n v="612.65624998384101"/>
    <x v="1"/>
    <s v="FABIANO 09/12"/>
    <m/>
    <s v="26020/03"/>
    <s v="Envase"/>
    <n v="2614"/>
    <s v="MRARBS08"/>
    <s v="BODY SPLASH CEU CELESTE 200ml"/>
    <n v="215"/>
    <s v="ml"/>
    <x v="0"/>
    <x v="1"/>
    <s v="BODY SPLASH"/>
    <x v="1"/>
    <m/>
    <m/>
    <m/>
    <m/>
    <m/>
    <m/>
    <m/>
    <m/>
    <m/>
    <m/>
    <m/>
    <m/>
    <m/>
    <m/>
    <m/>
    <m/>
    <m/>
    <m/>
    <m/>
    <m/>
    <m/>
    <s v=""/>
    <m/>
    <m/>
    <m/>
    <m/>
    <m/>
    <m/>
    <m/>
    <m/>
    <m/>
    <m/>
    <m/>
    <x v="1"/>
    <x v="0"/>
  </r>
  <r>
    <d v="2026-01-21T14:00:00"/>
    <d v="2026-01-22T07:25:00"/>
    <n v="3.4166666668024845"/>
    <n v="749.85365850677749"/>
    <x v="2"/>
    <s v="FABIANO 09/12"/>
    <m/>
    <s v="26020/04"/>
    <s v="Envase"/>
    <n v="2562"/>
    <s v="MRARBS06"/>
    <s v="BODY SPLASH CEU INFINITO 200ml"/>
    <n v="215"/>
    <s v="ml"/>
    <x v="0"/>
    <x v="1"/>
    <s v="BODY SPLASH"/>
    <x v="1"/>
    <m/>
    <m/>
    <m/>
    <m/>
    <m/>
    <m/>
    <m/>
    <m/>
    <m/>
    <m/>
    <m/>
    <m/>
    <m/>
    <m/>
    <m/>
    <m/>
    <m/>
    <m/>
    <m/>
    <m/>
    <m/>
    <s v=""/>
    <m/>
    <m/>
    <m/>
    <m/>
    <m/>
    <m/>
    <m/>
    <m/>
    <m/>
    <m/>
    <m/>
    <x v="1"/>
    <x v="0"/>
  </r>
  <r>
    <d v="2026-01-22T07:25:00"/>
    <d v="2026-01-22T10:34:00"/>
    <n v="3.1499999999650754"/>
    <n v="822.85714286626603"/>
    <x v="1"/>
    <s v="FABIANO 09/12"/>
    <m/>
    <s v="26021/01"/>
    <s v="Envase"/>
    <n v="2592"/>
    <s v="MRARBS10"/>
    <s v="BODY SPLASH AMBAR REAL 200ml"/>
    <n v="215"/>
    <s v="ml"/>
    <x v="0"/>
    <x v="1"/>
    <s v="BODY SPLASH"/>
    <x v="1"/>
    <m/>
    <m/>
    <m/>
    <m/>
    <m/>
    <m/>
    <m/>
    <m/>
    <m/>
    <m/>
    <m/>
    <m/>
    <m/>
    <m/>
    <m/>
    <m/>
    <m/>
    <m/>
    <m/>
    <m/>
    <m/>
    <s v=""/>
    <m/>
    <m/>
    <m/>
    <m/>
    <m/>
    <m/>
    <m/>
    <m/>
    <m/>
    <m/>
    <m/>
    <x v="1"/>
    <x v="0"/>
  </r>
  <r>
    <d v="2026-01-22T07:25:00"/>
    <d v="2026-01-22T10:40:00"/>
    <n v="3.2499999999417923"/>
    <n v="782.76923078325024"/>
    <x v="2"/>
    <s v="FABIANO 09/12"/>
    <m/>
    <s v="26020/05"/>
    <s v="Envase"/>
    <n v="2544"/>
    <s v="MRARBS10"/>
    <s v="BODY SPLASH AMBAR REAL 200ml"/>
    <n v="215"/>
    <s v="ml"/>
    <x v="0"/>
    <x v="1"/>
    <s v="BODY SPLASH"/>
    <x v="1"/>
    <m/>
    <m/>
    <m/>
    <m/>
    <m/>
    <m/>
    <m/>
    <m/>
    <m/>
    <m/>
    <m/>
    <m/>
    <m/>
    <m/>
    <m/>
    <m/>
    <m/>
    <m/>
    <m/>
    <m/>
    <m/>
    <s v=""/>
    <m/>
    <m/>
    <m/>
    <m/>
    <m/>
    <m/>
    <m/>
    <m/>
    <m/>
    <m/>
    <m/>
    <x v="1"/>
    <x v="0"/>
  </r>
  <r>
    <d v="2026-01-22T10:35:00"/>
    <d v="2026-01-22T14:50:00"/>
    <n v="3.2500000000582077"/>
    <n v="797.53846152417759"/>
    <x v="1"/>
    <s v="FABIANO 09/12"/>
    <m/>
    <s v="26021/02"/>
    <s v="Envase"/>
    <n v="2592"/>
    <s v="MRARBS10"/>
    <s v="BODY SPLASH AMBAR REAL 200ml"/>
    <n v="215"/>
    <s v="ml"/>
    <x v="0"/>
    <x v="1"/>
    <s v="BODY SPLASH"/>
    <x v="1"/>
    <m/>
    <m/>
    <m/>
    <m/>
    <m/>
    <m/>
    <m/>
    <m/>
    <m/>
    <m/>
    <m/>
    <m/>
    <m/>
    <m/>
    <m/>
    <m/>
    <m/>
    <m/>
    <m/>
    <m/>
    <m/>
    <s v=""/>
    <m/>
    <m/>
    <m/>
    <m/>
    <m/>
    <m/>
    <m/>
    <m/>
    <m/>
    <m/>
    <m/>
    <x v="1"/>
    <x v="0"/>
  </r>
  <r>
    <d v="2026-01-22T14:50:00"/>
    <d v="2026-01-23T08:10:00"/>
    <n v="3.3333333335467614"/>
    <n v="700.49999995514804"/>
    <x v="1"/>
    <s v="FABIANO 09/12"/>
    <m/>
    <s v="26021/04"/>
    <s v="Envase"/>
    <n v="2335"/>
    <s v="MRARBS10"/>
    <s v="BODY SPLASH AMBAR REAL 200ml"/>
    <n v="215"/>
    <s v="ml"/>
    <x v="0"/>
    <x v="1"/>
    <s v="BODY SPLASH"/>
    <x v="1"/>
    <m/>
    <m/>
    <m/>
    <m/>
    <m/>
    <m/>
    <m/>
    <m/>
    <m/>
    <m/>
    <m/>
    <m/>
    <m/>
    <m/>
    <m/>
    <m/>
    <m/>
    <m/>
    <m/>
    <m/>
    <m/>
    <s v=""/>
    <m/>
    <m/>
    <m/>
    <m/>
    <m/>
    <m/>
    <m/>
    <m/>
    <m/>
    <m/>
    <m/>
    <x v="1"/>
    <x v="0"/>
  </r>
  <r>
    <d v="2026-01-22T15:01:00"/>
    <d v="2026-01-23T08:10:00"/>
    <n v="3.1500000001396984"/>
    <n v="736.82539679271963"/>
    <x v="2"/>
    <s v="FABIANO 09/12"/>
    <m/>
    <s v="26021/05"/>
    <s v="Envase"/>
    <n v="2321"/>
    <s v="MRARBS10"/>
    <s v="BODY SPLASH AMBAR REAL 200ml"/>
    <n v="215"/>
    <s v="ml"/>
    <x v="0"/>
    <x v="1"/>
    <s v="BODY SPLASH"/>
    <x v="1"/>
    <m/>
    <m/>
    <m/>
    <m/>
    <m/>
    <m/>
    <m/>
    <m/>
    <m/>
    <m/>
    <m/>
    <m/>
    <m/>
    <m/>
    <m/>
    <m/>
    <m/>
    <m/>
    <m/>
    <m/>
    <m/>
    <s v=""/>
    <m/>
    <m/>
    <m/>
    <m/>
    <m/>
    <m/>
    <m/>
    <m/>
    <m/>
    <m/>
    <m/>
    <x v="1"/>
    <x v="0"/>
  </r>
  <r>
    <d v="2026-01-23T08:34:00"/>
    <d v="2026-01-26T07:30:00"/>
    <n v="6.9333333333488554"/>
    <n v="699.23076922920382"/>
    <x v="2"/>
    <s v="FABIANO 09/12"/>
    <m/>
    <s v="26022/02"/>
    <s v="Envase"/>
    <n v="4848"/>
    <s v="MRARBS07"/>
    <s v="BODY SPLASH LEAO DO DESERTO BOURBON 200ml"/>
    <n v="215"/>
    <s v="ml"/>
    <x v="0"/>
    <x v="1"/>
    <s v="BODY SPLASH"/>
    <x v="1"/>
    <m/>
    <m/>
    <m/>
    <m/>
    <m/>
    <m/>
    <m/>
    <m/>
    <m/>
    <m/>
    <m/>
    <m/>
    <m/>
    <m/>
    <m/>
    <m/>
    <m/>
    <m/>
    <m/>
    <m/>
    <m/>
    <s v=""/>
    <m/>
    <m/>
    <m/>
    <m/>
    <m/>
    <m/>
    <m/>
    <m/>
    <m/>
    <m/>
    <m/>
    <x v="1"/>
    <x v="0"/>
  </r>
  <r>
    <d v="2026-01-23T08:40:00"/>
    <d v="2026-01-23T11:35:00"/>
    <n v="2.9166666667442769"/>
    <n v="872.22857140536212"/>
    <x v="1"/>
    <s v="FABIANO 09/12"/>
    <m/>
    <s v="26019/03"/>
    <s v="Envase"/>
    <n v="2544"/>
    <s v="MRARBS07"/>
    <s v="BODY SPLASH LEAO DO DESERTO BOURBON 200ml"/>
    <n v="215"/>
    <s v="ml"/>
    <x v="0"/>
    <x v="1"/>
    <s v="BODY SPLASH"/>
    <x v="1"/>
    <m/>
    <m/>
    <m/>
    <m/>
    <m/>
    <m/>
    <m/>
    <m/>
    <m/>
    <m/>
    <m/>
    <m/>
    <m/>
    <m/>
    <m/>
    <m/>
    <m/>
    <m/>
    <m/>
    <m/>
    <m/>
    <s v=""/>
    <m/>
    <m/>
    <m/>
    <m/>
    <m/>
    <m/>
    <m/>
    <m/>
    <m/>
    <m/>
    <m/>
    <x v="1"/>
    <x v="0"/>
  </r>
  <r>
    <d v="2026-01-23T11:35:00"/>
    <d v="2026-01-23T15:40:00"/>
    <n v="3.0833333333721384"/>
    <n v="825.08108107069711"/>
    <x v="1"/>
    <s v="FABIANO 09/12"/>
    <m/>
    <s v="26020/01"/>
    <s v="Envase"/>
    <n v="2544"/>
    <s v="MRARBS07"/>
    <s v="BODY SPLASH LEAO DO DESERTO BOURBON 200ml"/>
    <n v="215"/>
    <s v="ml"/>
    <x v="0"/>
    <x v="1"/>
    <s v="BODY SPLASH"/>
    <x v="1"/>
    <m/>
    <m/>
    <m/>
    <m/>
    <m/>
    <m/>
    <m/>
    <m/>
    <m/>
    <m/>
    <m/>
    <m/>
    <m/>
    <m/>
    <m/>
    <m/>
    <m/>
    <m/>
    <m/>
    <m/>
    <m/>
    <s v=""/>
    <m/>
    <m/>
    <m/>
    <m/>
    <m/>
    <m/>
    <m/>
    <m/>
    <m/>
    <m/>
    <m/>
    <x v="1"/>
    <x v="0"/>
  </r>
  <r>
    <d v="2026-01-26T07:30:00"/>
    <d v="2026-01-26T10:00:00"/>
    <n v="2.4999999999417923"/>
    <n v="1022.0000000237953"/>
    <x v="2"/>
    <s v="FABIANO 09/12"/>
    <m/>
    <s v="26022/01"/>
    <s v="Envase"/>
    <n v="2555"/>
    <s v="MRARBS07"/>
    <s v="BODY SPLASH LEAO DO DESERTO BOURBON 200ml"/>
    <n v="215"/>
    <s v="ml"/>
    <x v="0"/>
    <x v="1"/>
    <s v="BODY SPLASH"/>
    <x v="1"/>
    <m/>
    <m/>
    <m/>
    <m/>
    <m/>
    <m/>
    <m/>
    <m/>
    <m/>
    <m/>
    <m/>
    <m/>
    <m/>
    <m/>
    <m/>
    <m/>
    <m/>
    <m/>
    <m/>
    <m/>
    <m/>
    <s v=""/>
    <m/>
    <m/>
    <m/>
    <m/>
    <m/>
    <m/>
    <m/>
    <m/>
    <m/>
    <m/>
    <m/>
    <x v="1"/>
    <x v="0"/>
  </r>
  <r>
    <d v="2026-01-26T10:42:00"/>
    <d v="2026-01-26T16:00:00"/>
    <n v="4.2999999999883585"/>
    <n v="580.46511628064127"/>
    <x v="2"/>
    <s v="FABIANO 09/12"/>
    <m/>
    <s v="26023/01"/>
    <s v="Envase"/>
    <n v="2496"/>
    <s v="MRARBS06"/>
    <s v="BODY SPLASH CEU INFINITO 200ml"/>
    <n v="215"/>
    <s v="ml"/>
    <x v="0"/>
    <x v="1"/>
    <s v="BODY SPLASH"/>
    <x v="1"/>
    <m/>
    <m/>
    <m/>
    <m/>
    <m/>
    <m/>
    <m/>
    <m/>
    <m/>
    <m/>
    <m/>
    <m/>
    <m/>
    <m/>
    <m/>
    <m/>
    <m/>
    <m/>
    <m/>
    <m/>
    <m/>
    <s v=""/>
    <m/>
    <m/>
    <m/>
    <m/>
    <m/>
    <m/>
    <m/>
    <m/>
    <m/>
    <m/>
    <m/>
    <x v="1"/>
    <x v="0"/>
  </r>
  <r>
    <d v="2026-01-26T10:50:00"/>
    <d v="2026-01-27T09:00:00"/>
    <n v="7.1666666667442769"/>
    <n v="663.06976743467987"/>
    <x v="1"/>
    <s v="FABIANO 09/12"/>
    <m/>
    <s v="26023/02"/>
    <s v="Envase"/>
    <n v="4752"/>
    <s v="MRARBS06"/>
    <s v="BODY SPLASH CEU INFINITO 200ml"/>
    <n v="215"/>
    <s v="ml"/>
    <x v="0"/>
    <x v="1"/>
    <s v="BODY SPLASH"/>
    <x v="1"/>
    <m/>
    <m/>
    <m/>
    <m/>
    <m/>
    <m/>
    <m/>
    <m/>
    <m/>
    <m/>
    <m/>
    <m/>
    <m/>
    <m/>
    <m/>
    <m/>
    <m/>
    <m/>
    <m/>
    <m/>
    <m/>
    <s v=""/>
    <m/>
    <m/>
    <m/>
    <m/>
    <m/>
    <m/>
    <m/>
    <m/>
    <m/>
    <m/>
    <m/>
    <x v="1"/>
    <x v="0"/>
  </r>
  <r>
    <d v="2026-01-26T16:00:00"/>
    <d v="2026-01-27T11:00:00"/>
    <n v="5.0000000002328306"/>
    <n v="979.19999995440241"/>
    <x v="2"/>
    <s v="FABIANO 09/12"/>
    <m/>
    <s v="26026/01"/>
    <s v="Envase"/>
    <n v="4896"/>
    <s v="MRARBS06"/>
    <s v="BODY SPLASH CEU INFINITO 200ml"/>
    <n v="215"/>
    <s v="ml"/>
    <x v="0"/>
    <x v="1"/>
    <s v="BODY SPLASH"/>
    <x v="1"/>
    <m/>
    <m/>
    <m/>
    <m/>
    <m/>
    <m/>
    <m/>
    <m/>
    <m/>
    <m/>
    <m/>
    <m/>
    <m/>
    <m/>
    <m/>
    <m/>
    <m/>
    <m/>
    <m/>
    <m/>
    <m/>
    <s v=""/>
    <m/>
    <m/>
    <m/>
    <m/>
    <m/>
    <m/>
    <m/>
    <m/>
    <m/>
    <m/>
    <m/>
    <x v="1"/>
    <x v="0"/>
  </r>
  <r>
    <d v="2026-01-27T11:10:00"/>
    <d v="2026-01-27T15:00:00"/>
    <n v="2.8333333332557231"/>
    <n v="897.88235296577113"/>
    <x v="1"/>
    <s v="FABIANO 09/12"/>
    <m/>
    <s v="26026/02"/>
    <s v="Envase"/>
    <n v="2544"/>
    <s v="MRARBS08"/>
    <s v="BODY SPLASH CEU CELESTE 200ml"/>
    <n v="215"/>
    <s v="ml"/>
    <x v="0"/>
    <x v="1"/>
    <s v="BODY SPLASH"/>
    <x v="1"/>
    <m/>
    <m/>
    <m/>
    <m/>
    <m/>
    <m/>
    <m/>
    <m/>
    <m/>
    <m/>
    <m/>
    <m/>
    <m/>
    <m/>
    <m/>
    <m/>
    <m/>
    <m/>
    <m/>
    <m/>
    <m/>
    <s v=""/>
    <m/>
    <m/>
    <m/>
    <m/>
    <m/>
    <m/>
    <m/>
    <m/>
    <m/>
    <m/>
    <m/>
    <x v="1"/>
    <x v="0"/>
  </r>
  <r>
    <d v="2026-01-27T15:00:00"/>
    <d v="2026-01-28T10:24:00"/>
    <n v="5.4000000001396984"/>
    <n v="897.77777775455218"/>
    <x v="1"/>
    <s v="FABIANO 09/12"/>
    <m/>
    <s v="26027/01"/>
    <s v="Envase"/>
    <n v="4848"/>
    <s v="MRARBS08"/>
    <s v="BODY SPLASH CEU CELESTE 200ml"/>
    <n v="215"/>
    <s v="ml"/>
    <x v="0"/>
    <x v="1"/>
    <s v="BODY SPLASH"/>
    <x v="1"/>
    <m/>
    <m/>
    <m/>
    <m/>
    <m/>
    <m/>
    <m/>
    <m/>
    <m/>
    <m/>
    <m/>
    <m/>
    <m/>
    <m/>
    <m/>
    <m/>
    <m/>
    <m/>
    <m/>
    <m/>
    <m/>
    <s v=""/>
    <m/>
    <m/>
    <m/>
    <m/>
    <m/>
    <m/>
    <m/>
    <m/>
    <m/>
    <m/>
    <m/>
    <x v="1"/>
    <x v="0"/>
  </r>
  <r>
    <d v="2026-01-28T07:33:00"/>
    <d v="2026-01-28T15:50:00"/>
    <n v="7.2833333332673647"/>
    <n v="682.65446224874609"/>
    <x v="1"/>
    <s v="FABIANO 09/12"/>
    <m/>
    <s v="29027/02"/>
    <s v="Envase"/>
    <n v="4972"/>
    <s v="MRARBS08"/>
    <s v="BODY SPLASH CEU CELESTE 200ml"/>
    <n v="215"/>
    <s v="ml"/>
    <x v="0"/>
    <x v="1"/>
    <s v="BODY SPLASH"/>
    <x v="1"/>
    <m/>
    <m/>
    <m/>
    <m/>
    <m/>
    <m/>
    <m/>
    <m/>
    <m/>
    <m/>
    <m/>
    <m/>
    <m/>
    <m/>
    <m/>
    <m/>
    <m/>
    <m/>
    <m/>
    <m/>
    <m/>
    <s v=""/>
    <m/>
    <m/>
    <m/>
    <m/>
    <m/>
    <m/>
    <m/>
    <m/>
    <m/>
    <m/>
    <m/>
    <x v="1"/>
    <x v="0"/>
  </r>
  <r>
    <d v="2026-01-28T13:00:00"/>
    <d v="2026-01-28T16:00:00"/>
    <n v="3"/>
    <n v="848"/>
    <x v="2"/>
    <s v="FABIANO 09/12"/>
    <m/>
    <s v="26027/03"/>
    <s v="Envase"/>
    <n v="2544"/>
    <s v="MRARBS09"/>
    <s v="BODY SPLASH DESPERTAR DAS FLORES 200ml"/>
    <n v="215"/>
    <s v="ml"/>
    <x v="0"/>
    <x v="1"/>
    <s v="BODY SPLASH"/>
    <x v="1"/>
    <m/>
    <m/>
    <m/>
    <m/>
    <m/>
    <m/>
    <m/>
    <m/>
    <m/>
    <m/>
    <m/>
    <m/>
    <m/>
    <m/>
    <m/>
    <m/>
    <m/>
    <m/>
    <m/>
    <m/>
    <m/>
    <s v=""/>
    <m/>
    <m/>
    <m/>
    <m/>
    <m/>
    <m/>
    <m/>
    <m/>
    <m/>
    <m/>
    <m/>
    <x v="1"/>
    <x v="0"/>
  </r>
  <r>
    <d v="2026-01-28T15:40:00"/>
    <d v="2026-01-29T11:29:00"/>
    <n v="5.8166666667675599"/>
    <n v="826.59025786531845"/>
    <x v="1"/>
    <s v="FABIANO 09/12"/>
    <m/>
    <s v="26027/04"/>
    <s v="Envase"/>
    <n v="4808"/>
    <s v="MRARBS09"/>
    <s v="BODY SPLASH DESPERTAR DAS FLORES 200ml"/>
    <n v="215"/>
    <s v="ml"/>
    <x v="0"/>
    <x v="1"/>
    <s v="BODY SPLASH"/>
    <x v="1"/>
    <m/>
    <m/>
    <m/>
    <m/>
    <m/>
    <m/>
    <m/>
    <m/>
    <m/>
    <m/>
    <m/>
    <m/>
    <m/>
    <m/>
    <m/>
    <m/>
    <m/>
    <m/>
    <m/>
    <m/>
    <m/>
    <s v=""/>
    <m/>
    <m/>
    <m/>
    <m/>
    <m/>
    <m/>
    <m/>
    <m/>
    <m/>
    <m/>
    <m/>
    <x v="1"/>
    <x v="0"/>
  </r>
  <r>
    <d v="2026-01-28T16:15:00"/>
    <d v="2026-01-29T13:30:00"/>
    <n v="6.2500000000582077"/>
    <n v="780.7999999927282"/>
    <x v="2"/>
    <s v="FABIANO 09/12"/>
    <m/>
    <s v="26027/05"/>
    <s v="Envase"/>
    <n v="4880"/>
    <s v="MRARBS09"/>
    <s v="BODY SPLASH DESPERTAR DAS FLORES 200ml"/>
    <n v="215"/>
    <s v="ml"/>
    <x v="0"/>
    <x v="1"/>
    <s v="BODY SPLASH"/>
    <x v="1"/>
    <m/>
    <m/>
    <m/>
    <m/>
    <m/>
    <m/>
    <m/>
    <m/>
    <m/>
    <m/>
    <m/>
    <m/>
    <m/>
    <m/>
    <m/>
    <m/>
    <m/>
    <m/>
    <m/>
    <m/>
    <m/>
    <s v=""/>
    <m/>
    <m/>
    <m/>
    <m/>
    <m/>
    <m/>
    <m/>
    <m/>
    <m/>
    <m/>
    <m/>
    <x v="1"/>
    <x v="0"/>
  </r>
  <r>
    <d v="2026-01-29T14:01:00"/>
    <d v="2026-01-29T16:14:00"/>
    <n v="2.2166666667326353"/>
    <n v="1147.6691728981759"/>
    <x v="1"/>
    <s v="FABIANO 20/01/26"/>
    <m/>
    <s v="26029/01"/>
    <s v="Envase"/>
    <n v="2544"/>
    <s v="MRARBS01"/>
    <s v="BODY SPLASH AURORA IMPERIAL"/>
    <n v="220"/>
    <s v="ml"/>
    <x v="0"/>
    <x v="1"/>
    <s v="BODY SPLASH"/>
    <x v="1"/>
    <m/>
    <m/>
    <m/>
    <m/>
    <m/>
    <m/>
    <m/>
    <m/>
    <m/>
    <m/>
    <m/>
    <m/>
    <m/>
    <m/>
    <m/>
    <m/>
    <m/>
    <m/>
    <m/>
    <m/>
    <m/>
    <s v=""/>
    <m/>
    <m/>
    <m/>
    <m/>
    <m/>
    <m/>
    <m/>
    <m/>
    <m/>
    <m/>
    <m/>
    <x v="1"/>
    <x v="0"/>
  </r>
  <r>
    <d v="2026-01-29T16:15:00"/>
    <d v="2026-01-30T10:39:00"/>
    <n v="4.4000000000232831"/>
    <n v="1069.090909085252"/>
    <x v="1"/>
    <s v="FABIANO 20/01/26"/>
    <m/>
    <s v="26029/02"/>
    <s v="Envase"/>
    <n v="4704"/>
    <s v="MRARBS01"/>
    <s v="BODY SPLASH AURORA IMPERIAL"/>
    <n v="220"/>
    <s v="ml"/>
    <x v="0"/>
    <x v="1"/>
    <s v="BODY SPLASH"/>
    <x v="1"/>
    <m/>
    <m/>
    <m/>
    <m/>
    <m/>
    <m/>
    <m/>
    <m/>
    <m/>
    <m/>
    <m/>
    <m/>
    <m/>
    <m/>
    <m/>
    <m/>
    <m/>
    <m/>
    <m/>
    <m/>
    <m/>
    <s v=""/>
    <m/>
    <m/>
    <m/>
    <m/>
    <m/>
    <m/>
    <m/>
    <m/>
    <m/>
    <m/>
    <m/>
    <x v="1"/>
    <x v="0"/>
  </r>
  <r>
    <d v="2026-01-30T10:40:00"/>
    <d v="2026-01-30T14:35:00"/>
    <n v="2.9166666666860692"/>
    <n v="1546.9714285611376"/>
    <x v="1"/>
    <s v="FABIANO 20/01/26"/>
    <m/>
    <s v="26029/03"/>
    <s v="Envase"/>
    <n v="4512"/>
    <s v="MRARBS01"/>
    <s v="BODY SPLASH AURORA IMPERIAL"/>
    <n v="220"/>
    <s v="ml"/>
    <x v="0"/>
    <x v="1"/>
    <s v="BODY SPLASH"/>
    <x v="1"/>
    <m/>
    <m/>
    <m/>
    <m/>
    <m/>
    <m/>
    <m/>
    <m/>
    <m/>
    <m/>
    <m/>
    <m/>
    <m/>
    <m/>
    <m/>
    <m/>
    <m/>
    <m/>
    <m/>
    <m/>
    <m/>
    <s v=""/>
    <m/>
    <m/>
    <m/>
    <m/>
    <m/>
    <m/>
    <m/>
    <m/>
    <m/>
    <m/>
    <m/>
    <x v="1"/>
    <x v="0"/>
  </r>
  <r>
    <d v="2026-01-30T14:35:00"/>
    <d v="2026-02-02T09:44:00"/>
    <n v="4.1499999999068677"/>
    <n v="1110.3614458080508"/>
    <x v="1"/>
    <s v="FABIANO 20/01/26"/>
    <m/>
    <s v="26029/04"/>
    <s v="Envase"/>
    <n v="4608"/>
    <s v="MRARBS01"/>
    <s v="BODY SPLASH AURORA IMPERIAL"/>
    <n v="220"/>
    <s v="ml"/>
    <x v="0"/>
    <x v="1"/>
    <s v="BODY SPLASH"/>
    <x v="1"/>
    <m/>
    <m/>
    <m/>
    <m/>
    <m/>
    <m/>
    <m/>
    <m/>
    <m/>
    <m/>
    <m/>
    <m/>
    <m/>
    <m/>
    <m/>
    <m/>
    <m/>
    <m/>
    <m/>
    <m/>
    <m/>
    <s v=""/>
    <m/>
    <m/>
    <m/>
    <m/>
    <m/>
    <m/>
    <m/>
    <m/>
    <m/>
    <m/>
    <m/>
    <x v="1"/>
    <x v="0"/>
  </r>
  <r>
    <d v="2026-02-02T09:45:00"/>
    <d v="2026-02-03T13:50:00"/>
    <n v="12.083333333488554"/>
    <n v="266.15172413451211"/>
    <x v="1"/>
    <s v="FABIANO 20/01/26"/>
    <m/>
    <s v="26029/05"/>
    <s v="Envase"/>
    <n v="3216"/>
    <s v="MRARBS01"/>
    <s v="BODY SPLASH AURORA IMPERIAL"/>
    <n v="220"/>
    <s v="ml"/>
    <x v="0"/>
    <x v="1"/>
    <s v="BODY SPLASH"/>
    <x v="1"/>
    <m/>
    <m/>
    <m/>
    <m/>
    <m/>
    <m/>
    <m/>
    <m/>
    <m/>
    <m/>
    <m/>
    <m/>
    <m/>
    <m/>
    <m/>
    <m/>
    <m/>
    <m/>
    <m/>
    <m/>
    <m/>
    <s v=""/>
    <m/>
    <m/>
    <m/>
    <m/>
    <m/>
    <m/>
    <m/>
    <m/>
    <m/>
    <m/>
    <m/>
    <x v="1"/>
    <x v="11"/>
  </r>
  <r>
    <d v="2026-02-02T11:40:00"/>
    <d v="2026-02-02T16:00:00"/>
    <n v="3.3333333333139308"/>
    <n v="763.20000000444236"/>
    <x v="2"/>
    <s v="FABIANO 09/12"/>
    <m/>
    <s v="26030/01"/>
    <s v="Envase"/>
    <n v="2544"/>
    <s v="MRARBS11"/>
    <s v="BODY SPLASH ROSA RAINHA 200ml"/>
    <n v="215"/>
    <s v="ml"/>
    <x v="0"/>
    <x v="1"/>
    <s v="BODY SPLASH"/>
    <x v="1"/>
    <m/>
    <m/>
    <m/>
    <m/>
    <m/>
    <m/>
    <m/>
    <m/>
    <m/>
    <m/>
    <m/>
    <m/>
    <m/>
    <m/>
    <m/>
    <m/>
    <m/>
    <m/>
    <m/>
    <m/>
    <m/>
    <s v=""/>
    <m/>
    <m/>
    <m/>
    <m/>
    <m/>
    <m/>
    <m/>
    <m/>
    <m/>
    <m/>
    <m/>
    <x v="1"/>
    <x v="11"/>
  </r>
  <r>
    <d v="2026-02-02T16:00:00"/>
    <d v="2026-02-03T09:32:00"/>
    <n v="3.5333333335001953"/>
    <n v="719.99999996599797"/>
    <x v="2"/>
    <s v="FABIANO 09/12"/>
    <m/>
    <s v="26030/02"/>
    <s v="Envase"/>
    <n v="2544"/>
    <s v="MRARBS11"/>
    <s v="BODY SPLASH ROSA RAINHA 200ml"/>
    <n v="215"/>
    <s v="ml"/>
    <x v="0"/>
    <x v="1"/>
    <s v="BODY SPLASH"/>
    <x v="1"/>
    <m/>
    <m/>
    <m/>
    <m/>
    <m/>
    <m/>
    <m/>
    <m/>
    <m/>
    <m/>
    <m/>
    <m/>
    <m/>
    <m/>
    <m/>
    <m/>
    <m/>
    <m/>
    <m/>
    <m/>
    <m/>
    <s v=""/>
    <m/>
    <m/>
    <m/>
    <m/>
    <m/>
    <m/>
    <m/>
    <m/>
    <m/>
    <m/>
    <m/>
    <x v="1"/>
    <x v="11"/>
  </r>
  <r>
    <d v="2026-02-03T07:44:00"/>
    <d v="2026-02-04T13:43:00"/>
    <n v="13.983333333395422"/>
    <n v="329.53516090437711"/>
    <x v="1"/>
    <s v="BRIA 01"/>
    <m/>
    <s v="26033/05"/>
    <s v="Envase"/>
    <n v="4608"/>
    <s v="BBSJBS01"/>
    <s v="BODY SPLASH SOL TROPICAL 61 200ml"/>
    <n v="200"/>
    <s v="ml"/>
    <x v="16"/>
    <x v="1"/>
    <s v="BODY SPLASH"/>
    <x v="1"/>
    <m/>
    <m/>
    <m/>
    <m/>
    <m/>
    <m/>
    <m/>
    <m/>
    <m/>
    <m/>
    <m/>
    <m/>
    <m/>
    <m/>
    <m/>
    <m/>
    <m/>
    <m/>
    <m/>
    <m/>
    <m/>
    <s v=""/>
    <m/>
    <m/>
    <m/>
    <m/>
    <m/>
    <m/>
    <m/>
    <m/>
    <m/>
    <m/>
    <m/>
    <x v="1"/>
    <x v="11"/>
  </r>
  <r>
    <d v="2026-02-03T09:32:00"/>
    <d v="2026-02-03T13:49:00"/>
    <n v="3.2833333333255723"/>
    <n v="818.68020304762047"/>
    <x v="2"/>
    <s v="FABIANO 09/12"/>
    <m/>
    <s v="26033/01"/>
    <s v="Envase"/>
    <n v="2688"/>
    <s v="MRARBS11"/>
    <s v="BODY SPLASH ROSA RAINHA 200ml"/>
    <n v="215"/>
    <s v="ml"/>
    <x v="0"/>
    <x v="1"/>
    <s v="BODY SPLASH"/>
    <x v="1"/>
    <m/>
    <m/>
    <m/>
    <m/>
    <m/>
    <m/>
    <m/>
    <m/>
    <m/>
    <m/>
    <m/>
    <m/>
    <m/>
    <m/>
    <m/>
    <m/>
    <m/>
    <m/>
    <m/>
    <m/>
    <m/>
    <s v=""/>
    <m/>
    <m/>
    <m/>
    <m/>
    <m/>
    <m/>
    <m/>
    <m/>
    <m/>
    <m/>
    <m/>
    <x v="1"/>
    <x v="11"/>
  </r>
  <r>
    <d v="2026-02-03T13:56:00"/>
    <d v="2026-02-04T07:40:00"/>
    <n v="3.7333333334536292"/>
    <n v="694.28571426334292"/>
    <x v="2"/>
    <s v="FABIANO 09/12"/>
    <m/>
    <s v="26033/02"/>
    <s v="Envase"/>
    <n v="2592"/>
    <s v="MRARBS11"/>
    <s v="BODY SPLASH ROSA RAINHA 200ml"/>
    <n v="215"/>
    <s v="ml"/>
    <x v="0"/>
    <x v="1"/>
    <s v="BODY SPLASH"/>
    <x v="1"/>
    <m/>
    <m/>
    <m/>
    <m/>
    <m/>
    <m/>
    <m/>
    <m/>
    <m/>
    <m/>
    <m/>
    <m/>
    <m/>
    <m/>
    <m/>
    <m/>
    <m/>
    <m/>
    <m/>
    <m/>
    <m/>
    <s v=""/>
    <m/>
    <m/>
    <m/>
    <m/>
    <m/>
    <m/>
    <m/>
    <m/>
    <m/>
    <m/>
    <m/>
    <x v="1"/>
    <x v="11"/>
  </r>
  <r>
    <d v="2026-02-03T14:15:00"/>
    <d v="2026-02-03T16:46:00"/>
    <n v="2.5166666666627862"/>
    <n v="896.42384106098484"/>
    <x v="1"/>
    <s v="FABIANO 09/12"/>
    <m/>
    <s v="26033/04"/>
    <s v="Envase"/>
    <n v="2256"/>
    <s v="MRARBS11"/>
    <s v="BODY SPLASH ROSA RAINHA 200ml"/>
    <n v="215"/>
    <s v="ml"/>
    <x v="0"/>
    <x v="1"/>
    <s v="BODY SPLASH"/>
    <x v="1"/>
    <m/>
    <m/>
    <m/>
    <m/>
    <m/>
    <m/>
    <m/>
    <m/>
    <m/>
    <m/>
    <m/>
    <m/>
    <m/>
    <m/>
    <m/>
    <m/>
    <m/>
    <m/>
    <m/>
    <m/>
    <m/>
    <s v=""/>
    <m/>
    <m/>
    <m/>
    <m/>
    <m/>
    <m/>
    <m/>
    <m/>
    <m/>
    <m/>
    <m/>
    <x v="1"/>
    <x v="11"/>
  </r>
  <r>
    <d v="2026-02-04T07:20:00"/>
    <d v="2026-02-04T07:44:00"/>
    <n v="0.40000000008149073"/>
    <n v="959.99999980442226"/>
    <x v="1"/>
    <s v="BRIA 01"/>
    <m/>
    <s v="26033/07"/>
    <s v="Envase"/>
    <n v="384"/>
    <s v="BBSJBS01"/>
    <s v="BODY SPLASH SOL TROPICAL 61 200ml"/>
    <n v="200"/>
    <s v="ml"/>
    <x v="16"/>
    <x v="1"/>
    <s v="BODY SPLASH"/>
    <x v="1"/>
    <m/>
    <m/>
    <m/>
    <m/>
    <m/>
    <m/>
    <m/>
    <m/>
    <m/>
    <m/>
    <m/>
    <m/>
    <m/>
    <m/>
    <m/>
    <m/>
    <m/>
    <m/>
    <m/>
    <m/>
    <m/>
    <s v=""/>
    <m/>
    <m/>
    <m/>
    <m/>
    <m/>
    <m/>
    <m/>
    <m/>
    <m/>
    <m/>
    <m/>
    <x v="1"/>
    <x v="11"/>
  </r>
  <r>
    <d v="2026-02-04T07:40:00"/>
    <d v="2026-02-04T09:20:00"/>
    <n v="1.6666666666860692"/>
    <n v="593.99999999308488"/>
    <x v="2"/>
    <s v="FABIANO 09/12"/>
    <m/>
    <s v="26033/03"/>
    <s v="Envase"/>
    <n v="990"/>
    <s v="MRARBS11"/>
    <s v="BODY SPLASH ROSA RAINHA 200ml"/>
    <n v="215"/>
    <s v="ml"/>
    <x v="0"/>
    <x v="1"/>
    <s v="BODY SPLASH"/>
    <x v="1"/>
    <m/>
    <m/>
    <m/>
    <m/>
    <m/>
    <m/>
    <m/>
    <m/>
    <m/>
    <m/>
    <m/>
    <m/>
    <m/>
    <m/>
    <m/>
    <m/>
    <m/>
    <m/>
    <m/>
    <m/>
    <m/>
    <s v=""/>
    <m/>
    <m/>
    <m/>
    <m/>
    <m/>
    <m/>
    <m/>
    <m/>
    <m/>
    <m/>
    <m/>
    <x v="1"/>
    <x v="11"/>
  </r>
  <r>
    <d v="2026-02-04T09:50:00"/>
    <d v="2026-02-04T10:23:00"/>
    <n v="0.55000000004656613"/>
    <n v="698.18181812270609"/>
    <x v="2"/>
    <s v="BRIA 01"/>
    <m/>
    <s v="26034/03"/>
    <s v="Envase"/>
    <n v="384"/>
    <s v="BBSJBS02"/>
    <s v="BODY SPLASH SOL TROPICAL 86 200ml"/>
    <n v="200"/>
    <s v="ml"/>
    <x v="16"/>
    <x v="1"/>
    <s v="BODY SPLASH"/>
    <x v="1"/>
    <m/>
    <m/>
    <m/>
    <m/>
    <m/>
    <m/>
    <m/>
    <m/>
    <m/>
    <m/>
    <m/>
    <m/>
    <m/>
    <m/>
    <m/>
    <m/>
    <m/>
    <m/>
    <m/>
    <m/>
    <m/>
    <s v=""/>
    <m/>
    <m/>
    <m/>
    <m/>
    <m/>
    <m/>
    <m/>
    <m/>
    <m/>
    <m/>
    <m/>
    <x v="1"/>
    <x v="11"/>
  </r>
  <r>
    <d v="2026-02-04T10:15:00"/>
    <d v="2026-02-06T09:34:00"/>
    <n v="17.31666666676756"/>
    <n v="270.0288739156548"/>
    <x v="2"/>
    <s v="BRIA 01"/>
    <m/>
    <s v="26034/02"/>
    <s v="Envase"/>
    <n v="4676"/>
    <s v="BBSJBS02"/>
    <s v="BODY SPLASH SOL TROPICAL 86 200ml"/>
    <n v="200"/>
    <s v="ml"/>
    <x v="16"/>
    <x v="1"/>
    <s v="BODY SPLASH"/>
    <x v="1"/>
    <m/>
    <m/>
    <m/>
    <m/>
    <m/>
    <m/>
    <m/>
    <m/>
    <m/>
    <m/>
    <m/>
    <m/>
    <m/>
    <m/>
    <m/>
    <m/>
    <m/>
    <m/>
    <m/>
    <m/>
    <m/>
    <s v=""/>
    <m/>
    <m/>
    <m/>
    <m/>
    <m/>
    <m/>
    <m/>
    <m/>
    <m/>
    <m/>
    <m/>
    <x v="1"/>
    <x v="11"/>
  </r>
  <r>
    <d v="2026-02-04T10:23:00"/>
    <d v="2026-02-05T10:15:00"/>
    <n v="8.8666666668723337"/>
    <n v="523.42105261943789"/>
    <x v="2"/>
    <s v="BRIA 01"/>
    <m/>
    <s v="26034/01"/>
    <s v="Envase"/>
    <n v="4641"/>
    <s v="BBSJBS02"/>
    <s v="BODY SPLASH SOL TROPICAL 86 200ml"/>
    <n v="200"/>
    <s v="ml"/>
    <x v="16"/>
    <x v="1"/>
    <s v="BODY SPLASH"/>
    <x v="1"/>
    <m/>
    <m/>
    <m/>
    <m/>
    <m/>
    <m/>
    <m/>
    <m/>
    <m/>
    <m/>
    <m/>
    <m/>
    <m/>
    <m/>
    <m/>
    <m/>
    <m/>
    <m/>
    <m/>
    <m/>
    <m/>
    <s v=""/>
    <m/>
    <m/>
    <m/>
    <m/>
    <m/>
    <m/>
    <m/>
    <m/>
    <m/>
    <m/>
    <m/>
    <x v="1"/>
    <x v="11"/>
  </r>
  <r>
    <d v="2026-02-04T13:43:00"/>
    <d v="2026-02-05T09:01:00"/>
    <n v="5.3000000001629815"/>
    <n v="891.13207544429474"/>
    <x v="1"/>
    <s v="BRIA 01"/>
    <m/>
    <s v="26033/06"/>
    <s v="Envase"/>
    <n v="4723"/>
    <s v="BBSJBS01"/>
    <s v="BODY SPLASH SOL TROPICAL 61 200ml"/>
    <n v="200"/>
    <s v="ml"/>
    <x v="16"/>
    <x v="1"/>
    <s v="BODY SPLASH"/>
    <x v="1"/>
    <m/>
    <m/>
    <m/>
    <m/>
    <m/>
    <m/>
    <m/>
    <m/>
    <m/>
    <m/>
    <m/>
    <m/>
    <m/>
    <m/>
    <m/>
    <m/>
    <m/>
    <m/>
    <m/>
    <m/>
    <m/>
    <s v=""/>
    <m/>
    <m/>
    <m/>
    <m/>
    <m/>
    <m/>
    <m/>
    <m/>
    <m/>
    <m/>
    <m/>
    <x v="1"/>
    <x v="11"/>
  </r>
  <r>
    <d v="2026-02-05T09:19:00"/>
    <d v="2026-02-05T10:12:00"/>
    <n v="0.88333333341870457"/>
    <n v="489.05660372631922"/>
    <x v="1"/>
    <s v="BRIA 01"/>
    <m/>
    <s v="26035/01"/>
    <s v="Envase"/>
    <n v="432"/>
    <s v="BBSJBS03"/>
    <s v="BODY SPLASH LUNAR 200ml"/>
    <n v="200"/>
    <s v="ml"/>
    <x v="16"/>
    <x v="1"/>
    <s v="BODY SPLASH"/>
    <x v="1"/>
    <m/>
    <m/>
    <m/>
    <m/>
    <m/>
    <m/>
    <m/>
    <m/>
    <m/>
    <m/>
    <m/>
    <m/>
    <m/>
    <m/>
    <m/>
    <m/>
    <m/>
    <m/>
    <m/>
    <m/>
    <m/>
    <s v=""/>
    <m/>
    <m/>
    <m/>
    <m/>
    <m/>
    <m/>
    <m/>
    <m/>
    <m/>
    <m/>
    <m/>
    <x v="1"/>
    <x v="11"/>
  </r>
  <r>
    <d v="2026-02-05T10:40:00"/>
    <d v="2026-02-06T08:44:00"/>
    <n v="7.0666666667675599"/>
    <n v="658.86792451889505"/>
    <x v="1"/>
    <s v="BRIA 01"/>
    <m/>
    <s v="25035/02"/>
    <s v="Envase"/>
    <n v="4656"/>
    <s v="BBSJBS03"/>
    <s v="BODY SPLASH LUNAR 200ml"/>
    <n v="200"/>
    <s v="ml"/>
    <x v="16"/>
    <x v="1"/>
    <s v="BODY SPLASH"/>
    <x v="1"/>
    <m/>
    <m/>
    <m/>
    <m/>
    <m/>
    <m/>
    <m/>
    <m/>
    <m/>
    <m/>
    <m/>
    <m/>
    <m/>
    <m/>
    <m/>
    <m/>
    <m/>
    <m/>
    <m/>
    <m/>
    <m/>
    <s v=""/>
    <m/>
    <m/>
    <m/>
    <m/>
    <m/>
    <m/>
    <m/>
    <m/>
    <m/>
    <m/>
    <m/>
    <x v="1"/>
    <x v="11"/>
  </r>
  <r>
    <d v="2026-02-06T08:44:00"/>
    <d v="2026-02-06T15:25:00"/>
    <n v="5.6833333332906477"/>
    <n v="827.68328446369446"/>
    <x v="1"/>
    <s v="BRIA 01"/>
    <m/>
    <s v="26035/03"/>
    <s v="Envase"/>
    <n v="4704"/>
    <s v="BBSJBS03"/>
    <s v="BODY SPLASH LUNAR 200ml"/>
    <n v="200"/>
    <s v="ml"/>
    <x v="16"/>
    <x v="1"/>
    <s v="BODY SPLASH"/>
    <x v="1"/>
    <m/>
    <m/>
    <m/>
    <m/>
    <m/>
    <m/>
    <m/>
    <m/>
    <m/>
    <m/>
    <m/>
    <m/>
    <m/>
    <m/>
    <m/>
    <m/>
    <m/>
    <m/>
    <m/>
    <m/>
    <m/>
    <s v=""/>
    <m/>
    <m/>
    <m/>
    <m/>
    <m/>
    <m/>
    <m/>
    <m/>
    <m/>
    <m/>
    <m/>
    <x v="1"/>
    <x v="11"/>
  </r>
  <r>
    <d v="2026-02-06T10:30:00"/>
    <d v="2026-02-06T16:00:00"/>
    <n v="4.4999999999417923"/>
    <n v="746.66666667632478"/>
    <x v="2"/>
    <s v="FABIANO 19/11"/>
    <m/>
    <s v="26036/01"/>
    <s v="Envase"/>
    <n v="3360"/>
    <s v="MRARBS03"/>
    <s v="BODY SPLASH ECLIPSE DOURADO"/>
    <n v="220"/>
    <s v="ml"/>
    <x v="0"/>
    <x v="1"/>
    <s v="BODY SPLASH"/>
    <x v="1"/>
    <m/>
    <m/>
    <m/>
    <m/>
    <m/>
    <m/>
    <m/>
    <m/>
    <m/>
    <m/>
    <m/>
    <m/>
    <m/>
    <m/>
    <m/>
    <m/>
    <m/>
    <m/>
    <m/>
    <m/>
    <m/>
    <s v=""/>
    <m/>
    <m/>
    <m/>
    <m/>
    <m/>
    <m/>
    <m/>
    <m/>
    <m/>
    <m/>
    <m/>
    <x v="1"/>
    <x v="11"/>
  </r>
  <r>
    <d v="2026-02-09T07:40:00"/>
    <d v="2026-02-09T11:08:00"/>
    <n v="3.46666666661622"/>
    <n v="943.55769232142291"/>
    <x v="2"/>
    <s v="FABIANO 19/11"/>
    <m/>
    <s v="26036/02"/>
    <s v="Envase"/>
    <n v="3271"/>
    <s v="MRARBS03"/>
    <s v="BODY SPLASH ECLIPSE DOURADO"/>
    <n v="220"/>
    <s v="ml"/>
    <x v="0"/>
    <x v="1"/>
    <s v="BODY SPLASH"/>
    <x v="1"/>
    <m/>
    <m/>
    <m/>
    <m/>
    <m/>
    <m/>
    <m/>
    <m/>
    <m/>
    <m/>
    <m/>
    <m/>
    <m/>
    <m/>
    <m/>
    <m/>
    <m/>
    <m/>
    <m/>
    <m/>
    <m/>
    <s v=""/>
    <m/>
    <m/>
    <m/>
    <m/>
    <m/>
    <m/>
    <m/>
    <m/>
    <m/>
    <m/>
    <m/>
    <x v="1"/>
    <x v="11"/>
  </r>
  <r>
    <d v="2026-02-09T08:20:00"/>
    <d v="2026-02-09T11:15:00"/>
    <n v="2.9166666667442769"/>
    <n v="346.97142856219591"/>
    <x v="1"/>
    <s v="CIDA 02.25"/>
    <m/>
    <s v="26037/01"/>
    <s v="Envase"/>
    <n v="1012"/>
    <s v="KUBPBA02 - 2"/>
    <s v="BASE PARA PERFUME FINA BASE PREMIUM 500ml"/>
    <n v="500"/>
    <s v="ml"/>
    <x v="5"/>
    <x v="2"/>
    <s v="BASE"/>
    <x v="1"/>
    <m/>
    <m/>
    <m/>
    <m/>
    <m/>
    <m/>
    <m/>
    <m/>
    <m/>
    <m/>
    <m/>
    <m/>
    <m/>
    <m/>
    <m/>
    <m/>
    <m/>
    <m/>
    <m/>
    <m/>
    <m/>
    <s v=""/>
    <m/>
    <m/>
    <m/>
    <m/>
    <m/>
    <m/>
    <m/>
    <m/>
    <m/>
    <m/>
    <m/>
    <x v="1"/>
    <x v="11"/>
  </r>
  <r>
    <d v="2026-02-09T11:18:00"/>
    <d v="2026-02-09T14:02:00"/>
    <n v="1.7333333333372138"/>
    <n v="305.19230769162442"/>
    <x v="2"/>
    <s v="CIDA 02.25"/>
    <m/>
    <s v="26037/02"/>
    <s v="Envase"/>
    <n v="529"/>
    <s v="KUBPBA02"/>
    <s v="BASE PARA PERFUME FINA BASE PREMIUM 1l"/>
    <n v="1000"/>
    <s v="ml"/>
    <x v="5"/>
    <x v="2"/>
    <s v="BASE"/>
    <x v="1"/>
    <m/>
    <m/>
    <m/>
    <m/>
    <m/>
    <m/>
    <m/>
    <m/>
    <m/>
    <m/>
    <m/>
    <m/>
    <m/>
    <m/>
    <m/>
    <m/>
    <m/>
    <m/>
    <m/>
    <m/>
    <m/>
    <s v=""/>
    <m/>
    <m/>
    <m/>
    <m/>
    <m/>
    <m/>
    <m/>
    <m/>
    <m/>
    <m/>
    <m/>
    <x v="1"/>
    <x v="11"/>
  </r>
  <r>
    <d v="2026-02-09T11:30:00"/>
    <d v="2026-02-09T11:54:00"/>
    <n v="0.40000000008149073"/>
    <n v="677.49999986197508"/>
    <x v="2"/>
    <s v="FABIANO 19/11"/>
    <m/>
    <s v="26037/04"/>
    <s v="Envase"/>
    <n v="271"/>
    <s v="MRARBS02"/>
    <s v="BODY SPLASH DEUSA DO NILO"/>
    <n v="220"/>
    <s v="ml"/>
    <x v="0"/>
    <x v="1"/>
    <s v="BODY SPLASH"/>
    <x v="1"/>
    <m/>
    <m/>
    <m/>
    <m/>
    <m/>
    <m/>
    <m/>
    <m/>
    <m/>
    <m/>
    <m/>
    <m/>
    <m/>
    <m/>
    <m/>
    <m/>
    <m/>
    <m/>
    <m/>
    <m/>
    <m/>
    <s v=""/>
    <m/>
    <m/>
    <m/>
    <m/>
    <m/>
    <m/>
    <m/>
    <m/>
    <m/>
    <m/>
    <m/>
    <x v="1"/>
    <x v="11"/>
  </r>
  <r>
    <d v="2026-02-09T11:55:00"/>
    <d v="2026-02-09T16:25:00"/>
    <n v="3.5"/>
    <n v="754.28571428571433"/>
    <x v="2"/>
    <s v="FABIANO 19/11"/>
    <m/>
    <s v="26037/03"/>
    <s v="Envase"/>
    <n v="2640"/>
    <s v="MRARBS02"/>
    <s v="BODY SPLASH DEUSA DO NILO"/>
    <n v="220"/>
    <s v="ml"/>
    <x v="0"/>
    <x v="1"/>
    <s v="BODY SPLASH"/>
    <x v="1"/>
    <m/>
    <m/>
    <m/>
    <m/>
    <m/>
    <m/>
    <m/>
    <m/>
    <m/>
    <m/>
    <m/>
    <m/>
    <m/>
    <m/>
    <m/>
    <m/>
    <m/>
    <m/>
    <m/>
    <m/>
    <m/>
    <s v=""/>
    <m/>
    <m/>
    <m/>
    <m/>
    <m/>
    <m/>
    <m/>
    <m/>
    <m/>
    <m/>
    <m/>
    <x v="1"/>
    <x v="11"/>
  </r>
  <r>
    <d v="2026-02-09T14:05:00"/>
    <d v="2026-02-09T15:23:00"/>
    <n v="1.3000000000465661"/>
    <n v="337.69230768021151"/>
    <x v="1"/>
    <s v="CIDA 02.25"/>
    <m/>
    <s v="26040/06"/>
    <s v="Envase"/>
    <n v="439"/>
    <s v="KUBPBA02"/>
    <s v="BASE PARA PERFUME FINA BASE PREMIUM 1l"/>
    <n v="1000"/>
    <s v="ml"/>
    <x v="5"/>
    <x v="2"/>
    <s v="BASE"/>
    <x v="1"/>
    <m/>
    <m/>
    <m/>
    <m/>
    <m/>
    <m/>
    <m/>
    <m/>
    <m/>
    <m/>
    <m/>
    <m/>
    <m/>
    <m/>
    <m/>
    <m/>
    <m/>
    <m/>
    <m/>
    <m/>
    <m/>
    <s v=""/>
    <m/>
    <m/>
    <m/>
    <m/>
    <m/>
    <m/>
    <m/>
    <m/>
    <m/>
    <m/>
    <m/>
    <x v="1"/>
    <x v="11"/>
  </r>
  <r>
    <d v="2026-02-09T16:25:00"/>
    <d v="2026-02-10T09:24:00"/>
    <n v="2.9833333334536292"/>
    <n v="797.09497203489809"/>
    <x v="2"/>
    <s v="FABIANO 19/11"/>
    <m/>
    <s v="26040/01"/>
    <s v="Envase"/>
    <n v="2378"/>
    <s v="MRARBS02"/>
    <s v="BODY SPLASH DEUSA DO NILO"/>
    <n v="220"/>
    <s v="ml"/>
    <x v="0"/>
    <x v="1"/>
    <s v="BODY SPLASH"/>
    <x v="1"/>
    <m/>
    <m/>
    <m/>
    <m/>
    <m/>
    <m/>
    <m/>
    <m/>
    <m/>
    <m/>
    <m/>
    <m/>
    <m/>
    <m/>
    <m/>
    <m/>
    <m/>
    <m/>
    <m/>
    <m/>
    <m/>
    <s v=""/>
    <m/>
    <m/>
    <m/>
    <m/>
    <m/>
    <m/>
    <m/>
    <m/>
    <m/>
    <m/>
    <m/>
    <x v="1"/>
    <x v="11"/>
  </r>
  <r>
    <d v="2026-02-10T09:25:06"/>
    <d v="2026-02-10T13:00:00"/>
    <n v="3.5816666666069068"/>
    <n v="734.01582132448527"/>
    <x v="2"/>
    <s v="FABIANO 19/11"/>
    <m/>
    <s v="26040/02"/>
    <s v="Envase"/>
    <n v="2629"/>
    <s v="MRARBS02"/>
    <s v="BODY SPLASH DEUSA DO NILO"/>
    <n v="220"/>
    <s v="ml"/>
    <x v="0"/>
    <x v="1"/>
    <s v="BODY SPLASH"/>
    <x v="1"/>
    <m/>
    <m/>
    <m/>
    <m/>
    <m/>
    <m/>
    <m/>
    <m/>
    <m/>
    <m/>
    <m/>
    <m/>
    <m/>
    <m/>
    <m/>
    <m/>
    <m/>
    <m/>
    <m/>
    <m/>
    <m/>
    <s v=""/>
    <m/>
    <m/>
    <m/>
    <m/>
    <m/>
    <m/>
    <m/>
    <m/>
    <m/>
    <m/>
    <m/>
    <x v="1"/>
    <x v="11"/>
  </r>
  <r>
    <d v="2026-02-10T10:00:00"/>
    <d v="2026-02-10T11:41:00"/>
    <n v="1.683333333407063"/>
    <n v="343.36633661862396"/>
    <x v="1"/>
    <s v="CIDA 02.25"/>
    <m/>
    <s v="26040/07"/>
    <s v="Envase"/>
    <n v="578"/>
    <s v="KUBPBA01"/>
    <s v="BASE PARA PERFUME FINA BASE 1l"/>
    <n v="1000"/>
    <s v="ml"/>
    <x v="5"/>
    <x v="2"/>
    <s v="BASE"/>
    <x v="1"/>
    <m/>
    <m/>
    <m/>
    <m/>
    <m/>
    <m/>
    <m/>
    <m/>
    <m/>
    <m/>
    <m/>
    <m/>
    <m/>
    <m/>
    <m/>
    <m/>
    <m/>
    <m/>
    <m/>
    <m/>
    <m/>
    <s v=""/>
    <m/>
    <m/>
    <m/>
    <m/>
    <m/>
    <m/>
    <m/>
    <m/>
    <m/>
    <m/>
    <m/>
    <x v="1"/>
    <x v="11"/>
  </r>
  <r>
    <d v="2026-02-10T11:41:00"/>
    <d v="2026-02-10T16:15:00"/>
    <n v="3.5666666667093523"/>
    <n v="86.074766354110054"/>
    <x v="1"/>
    <s v="CIDA 02.25"/>
    <m/>
    <s v="26040/08"/>
    <s v="Envase"/>
    <n v="307"/>
    <s v="KUBPBA01"/>
    <s v="                                                                                                                                                 "/>
    <n v="1000"/>
    <s v="ml"/>
    <x v="5"/>
    <x v="2"/>
    <s v="BASE"/>
    <x v="1"/>
    <m/>
    <m/>
    <m/>
    <m/>
    <m/>
    <m/>
    <m/>
    <m/>
    <m/>
    <m/>
    <m/>
    <m/>
    <m/>
    <m/>
    <m/>
    <m/>
    <m/>
    <m/>
    <m/>
    <m/>
    <m/>
    <s v=""/>
    <m/>
    <m/>
    <m/>
    <m/>
    <m/>
    <m/>
    <m/>
    <m/>
    <m/>
    <m/>
    <m/>
    <x v="1"/>
    <x v="11"/>
  </r>
  <r>
    <d v="2026-02-10T14:00:00"/>
    <d v="2026-02-10T16:15:00"/>
    <n v="2.25"/>
    <n v="1015.5555555555555"/>
    <x v="2"/>
    <s v="FABIANO 19/11"/>
    <m/>
    <s v="26040/05"/>
    <s v="Envase"/>
    <n v="2285"/>
    <s v="MRARBS02"/>
    <s v="BODY SPLASH DEUSA DO NILO"/>
    <n v="220"/>
    <s v="ml"/>
    <x v="0"/>
    <x v="1"/>
    <s v="BODY SPLASH"/>
    <x v="1"/>
    <m/>
    <m/>
    <m/>
    <m/>
    <m/>
    <m/>
    <m/>
    <m/>
    <m/>
    <m/>
    <m/>
    <m/>
    <m/>
    <m/>
    <m/>
    <m/>
    <m/>
    <m/>
    <m/>
    <m/>
    <m/>
    <s v=""/>
    <m/>
    <m/>
    <m/>
    <m/>
    <m/>
    <m/>
    <m/>
    <m/>
    <m/>
    <m/>
    <m/>
    <x v="1"/>
    <x v="11"/>
  </r>
  <r>
    <d v="2026-02-11T08:37:00"/>
    <d v="2026-02-11T11:42:00"/>
    <n v="3.0833333334303461"/>
    <n v="503.3513513355141"/>
    <x v="1"/>
    <s v="ANDRE 14/01/26"/>
    <m/>
    <s v="26041/03"/>
    <s v="Envase"/>
    <n v="1552"/>
    <s v="GLMKAM05"/>
    <s v="ÁGUA MICELAR ROSA MOSQUETA"/>
    <n v="325"/>
    <s v="ml"/>
    <x v="9"/>
    <x v="4"/>
    <s v="ÁGUA MICELAR"/>
    <x v="1"/>
    <m/>
    <m/>
    <m/>
    <m/>
    <m/>
    <m/>
    <m/>
    <m/>
    <m/>
    <m/>
    <m/>
    <m/>
    <m/>
    <m/>
    <m/>
    <m/>
    <m/>
    <m/>
    <m/>
    <m/>
    <m/>
    <s v=""/>
    <m/>
    <m/>
    <m/>
    <m/>
    <m/>
    <m/>
    <m/>
    <m/>
    <m/>
    <m/>
    <m/>
    <x v="1"/>
    <x v="11"/>
  </r>
  <r>
    <d v="2026-02-11T09:20:00"/>
    <d v="2026-02-11T13:31:00"/>
    <n v="3.1833333333488554"/>
    <n v="583.35078533746969"/>
    <x v="2"/>
    <s v="ANDRE 14/01/26"/>
    <m/>
    <s v="26041/04"/>
    <s v="Envase"/>
    <n v="1857"/>
    <s v="GLMKAM05"/>
    <s v="ÁGUA MICELAR ROSA MOSQUETA"/>
    <n v="325"/>
    <s v="ml"/>
    <x v="9"/>
    <x v="4"/>
    <s v="ÁGUA MICELAR"/>
    <x v="1"/>
    <m/>
    <m/>
    <m/>
    <m/>
    <m/>
    <m/>
    <m/>
    <m/>
    <m/>
    <m/>
    <m/>
    <m/>
    <m/>
    <m/>
    <m/>
    <m/>
    <m/>
    <m/>
    <m/>
    <m/>
    <m/>
    <s v=""/>
    <m/>
    <m/>
    <m/>
    <m/>
    <m/>
    <m/>
    <m/>
    <m/>
    <m/>
    <m/>
    <m/>
    <x v="1"/>
    <x v="11"/>
  </r>
  <r>
    <d v="2026-02-11T13:00:00"/>
    <d v="2026-02-11T15:25:00"/>
    <n v="2.4166666666860692"/>
    <n v="701.79310344264138"/>
    <x v="1"/>
    <s v="ANDRE 14/01/26"/>
    <m/>
    <s v="26042/01"/>
    <s v="Envase"/>
    <n v="1696"/>
    <s v="GLMKAM06"/>
    <s v="ÁGUA MICELAR BABA GLOW"/>
    <n v="325"/>
    <s v="ml"/>
    <x v="9"/>
    <x v="4"/>
    <s v="ÁGUA MICELAR"/>
    <x v="1"/>
    <m/>
    <m/>
    <m/>
    <m/>
    <m/>
    <m/>
    <m/>
    <m/>
    <m/>
    <m/>
    <m/>
    <m/>
    <m/>
    <m/>
    <m/>
    <m/>
    <m/>
    <m/>
    <m/>
    <m/>
    <m/>
    <s v=""/>
    <m/>
    <m/>
    <m/>
    <m/>
    <m/>
    <m/>
    <m/>
    <m/>
    <m/>
    <m/>
    <m/>
    <x v="1"/>
    <x v="11"/>
  </r>
  <r>
    <d v="2026-02-11T13:30:00"/>
    <d v="2026-02-11T15:40:00"/>
    <n v="2.1666666667442769"/>
    <n v="814.15384612468313"/>
    <x v="2"/>
    <s v="ANDRE 14/01/26"/>
    <m/>
    <s v="26042/02"/>
    <s v="Envase"/>
    <n v="1764"/>
    <s v="GLMKAM06"/>
    <s v="ÁGUA MICELAR BABA GLOW"/>
    <n v="325"/>
    <s v="ml"/>
    <x v="9"/>
    <x v="4"/>
    <s v="ÁGUA MICELAR"/>
    <x v="1"/>
    <m/>
    <m/>
    <m/>
    <m/>
    <m/>
    <m/>
    <m/>
    <m/>
    <m/>
    <m/>
    <m/>
    <m/>
    <m/>
    <m/>
    <m/>
    <m/>
    <m/>
    <m/>
    <m/>
    <m/>
    <m/>
    <s v=""/>
    <m/>
    <m/>
    <m/>
    <m/>
    <m/>
    <m/>
    <m/>
    <m/>
    <m/>
    <m/>
    <m/>
    <x v="1"/>
    <x v="11"/>
  </r>
  <r>
    <d v="2026-02-11T15:30:00"/>
    <d v="2026-02-12T08:30:00"/>
    <n v="3"/>
    <n v="592"/>
    <x v="1"/>
    <s v="ANDRE 14/01/26"/>
    <m/>
    <s v="26042/03"/>
    <s v="Envase"/>
    <n v="1776"/>
    <s v="GLMKAM06"/>
    <s v="ÁGUA MICELAR BABA GLOW"/>
    <n v="325"/>
    <s v="ml"/>
    <x v="9"/>
    <x v="4"/>
    <s v="ÁGUA MICELAR"/>
    <x v="1"/>
    <m/>
    <m/>
    <m/>
    <m/>
    <m/>
    <m/>
    <m/>
    <m/>
    <m/>
    <m/>
    <m/>
    <m/>
    <m/>
    <m/>
    <m/>
    <m/>
    <m/>
    <m/>
    <m/>
    <m/>
    <m/>
    <s v=""/>
    <m/>
    <m/>
    <m/>
    <m/>
    <m/>
    <m/>
    <m/>
    <m/>
    <m/>
    <m/>
    <m/>
    <x v="1"/>
    <x v="11"/>
  </r>
  <r>
    <d v="2026-02-11T16:35:00"/>
    <d v="2026-02-12T09:16:00"/>
    <n v="2.6833333335234784"/>
    <n v="608.19875772087732"/>
    <x v="2"/>
    <s v="ANDRE 14/01/26"/>
    <m/>
    <s v="26042/04"/>
    <s v="Envase"/>
    <n v="1632"/>
    <s v="GLMKAM06"/>
    <s v="ÁGUA MICELAR BABA GLOW"/>
    <n v="325"/>
    <s v="ml"/>
    <x v="9"/>
    <x v="4"/>
    <s v="ÁGUA MICELAR"/>
    <x v="1"/>
    <m/>
    <m/>
    <m/>
    <m/>
    <m/>
    <m/>
    <m/>
    <m/>
    <m/>
    <m/>
    <m/>
    <m/>
    <m/>
    <m/>
    <m/>
    <m/>
    <m/>
    <m/>
    <m/>
    <m/>
    <m/>
    <s v=""/>
    <m/>
    <m/>
    <m/>
    <m/>
    <m/>
    <m/>
    <m/>
    <m/>
    <m/>
    <m/>
    <m/>
    <x v="1"/>
    <x v="11"/>
  </r>
  <r>
    <d v="2026-02-12T08:07:00"/>
    <d v="2026-02-12T09:14:00"/>
    <n v="1.1166666668141261"/>
    <n v="1447.1641789133751"/>
    <x v="2"/>
    <s v="ANDRE 14/01/26"/>
    <m/>
    <s v="26042/05"/>
    <s v="Envase"/>
    <n v="1616"/>
    <s v="GLMKAM06"/>
    <s v="ÁGUA MICELAR BABA GLOW"/>
    <n v="325"/>
    <s v="ml"/>
    <x v="9"/>
    <x v="4"/>
    <s v="ÁGUA MICELAR"/>
    <x v="1"/>
    <m/>
    <m/>
    <m/>
    <m/>
    <m/>
    <m/>
    <m/>
    <m/>
    <m/>
    <m/>
    <m/>
    <m/>
    <m/>
    <m/>
    <m/>
    <m/>
    <m/>
    <m/>
    <m/>
    <m/>
    <m/>
    <s v=""/>
    <m/>
    <m/>
    <m/>
    <m/>
    <m/>
    <m/>
    <m/>
    <m/>
    <m/>
    <m/>
    <m/>
    <x v="1"/>
    <x v="11"/>
  </r>
  <r>
    <d v="2026-02-12T09:32:00"/>
    <d v="2026-02-12T12:00:00"/>
    <n v="2.4666666666744277"/>
    <n v="688.37837837621248"/>
    <x v="1"/>
    <s v="ANDRE 14/01/26"/>
    <m/>
    <s v="26042/06"/>
    <s v="Envase"/>
    <n v="1698"/>
    <s v="GLMKAM03"/>
    <s v="ÁGUA MICELAR CARVÃO ATIVADO"/>
    <n v="325"/>
    <s v="ml"/>
    <x v="9"/>
    <x v="4"/>
    <s v="ÁGUA MICELAR"/>
    <x v="1"/>
    <m/>
    <m/>
    <m/>
    <m/>
    <m/>
    <m/>
    <m/>
    <m/>
    <m/>
    <m/>
    <m/>
    <m/>
    <m/>
    <m/>
    <m/>
    <m/>
    <m/>
    <m/>
    <m/>
    <m/>
    <m/>
    <s v=""/>
    <m/>
    <m/>
    <m/>
    <m/>
    <m/>
    <m/>
    <m/>
    <m/>
    <m/>
    <m/>
    <m/>
    <x v="1"/>
    <x v="11"/>
  </r>
  <r>
    <d v="2026-02-12T11:52:00"/>
    <d v="2026-02-12T15:21:00"/>
    <n v="2.4833333333372138"/>
    <n v="988.99328858905858"/>
    <x v="2"/>
    <s v="FABIANO 19/11"/>
    <m/>
    <s v="26040/04"/>
    <s v="Envase"/>
    <n v="2456"/>
    <s v="MRARBS02"/>
    <s v="BODY SPLASH DEUSA DO NILO"/>
    <n v="220"/>
    <s v="ml"/>
    <x v="0"/>
    <x v="1"/>
    <s v="BODY SPLASH"/>
    <x v="1"/>
    <m/>
    <m/>
    <m/>
    <m/>
    <m/>
    <m/>
    <m/>
    <m/>
    <m/>
    <m/>
    <m/>
    <m/>
    <m/>
    <m/>
    <m/>
    <m/>
    <m/>
    <m/>
    <m/>
    <m/>
    <m/>
    <s v=""/>
    <m/>
    <m/>
    <m/>
    <m/>
    <m/>
    <m/>
    <m/>
    <m/>
    <m/>
    <m/>
    <m/>
    <x v="1"/>
    <x v="11"/>
  </r>
  <r>
    <d v="2026-02-12T13:03:00"/>
    <d v="2026-02-12T15:05:00"/>
    <n v="2.0333333333255723"/>
    <n v="795.73770492107008"/>
    <x v="1"/>
    <s v="ANDRE 14/01/26"/>
    <m/>
    <s v="26042/07"/>
    <s v="Envase"/>
    <n v="1618"/>
    <s v="GLMKAM03"/>
    <s v="ÁGUA MICELAR CARVÃO ATIVADO"/>
    <n v="325"/>
    <s v="ml"/>
    <x v="9"/>
    <x v="4"/>
    <s v="ÁGUA MICELAR"/>
    <x v="1"/>
    <m/>
    <m/>
    <m/>
    <m/>
    <m/>
    <m/>
    <m/>
    <m/>
    <m/>
    <m/>
    <m/>
    <m/>
    <m/>
    <m/>
    <m/>
    <m/>
    <m/>
    <m/>
    <m/>
    <m/>
    <m/>
    <s v=""/>
    <m/>
    <m/>
    <m/>
    <m/>
    <m/>
    <m/>
    <m/>
    <m/>
    <m/>
    <m/>
    <m/>
    <x v="1"/>
    <x v="11"/>
  </r>
  <r>
    <d v="2026-02-12T15:05:00"/>
    <d v="2026-02-13T07:50:00"/>
    <n v="2.7500000002328306"/>
    <n v="575.99999995123255"/>
    <x v="1"/>
    <s v="ANDRE 14/01/26"/>
    <m/>
    <s v="26042/08"/>
    <s v="Envase"/>
    <n v="1584"/>
    <s v="GLMKAM03"/>
    <s v="ÁGUA MICELAR CARVÃO ATIVADO"/>
    <n v="325"/>
    <s v="ml"/>
    <x v="9"/>
    <x v="4"/>
    <s v="ÁGUA MICELAR"/>
    <x v="1"/>
    <m/>
    <m/>
    <m/>
    <m/>
    <m/>
    <m/>
    <m/>
    <m/>
    <m/>
    <m/>
    <m/>
    <m/>
    <m/>
    <m/>
    <m/>
    <m/>
    <m/>
    <m/>
    <m/>
    <m/>
    <m/>
    <s v=""/>
    <m/>
    <m/>
    <m/>
    <m/>
    <m/>
    <m/>
    <m/>
    <m/>
    <m/>
    <m/>
    <m/>
    <x v="1"/>
    <x v="11"/>
  </r>
  <r>
    <d v="2026-02-12T15:23:00"/>
    <d v="2026-02-13T08:15:00"/>
    <n v="2.8666666667559184"/>
    <n v="887.44186043748641"/>
    <x v="2"/>
    <s v="FABIANO 19/11"/>
    <m/>
    <s v="26040/03"/>
    <s v="Envase"/>
    <n v="2544"/>
    <s v="MRARBS02"/>
    <s v="BODY SPLASH DEUSA DO NILO"/>
    <n v="220"/>
    <s v="ml"/>
    <x v="0"/>
    <x v="1"/>
    <s v="BODY SPLASH"/>
    <x v="1"/>
    <m/>
    <m/>
    <m/>
    <m/>
    <m/>
    <m/>
    <m/>
    <m/>
    <m/>
    <m/>
    <m/>
    <m/>
    <m/>
    <m/>
    <m/>
    <m/>
    <m/>
    <m/>
    <m/>
    <m/>
    <m/>
    <s v=""/>
    <m/>
    <m/>
    <m/>
    <m/>
    <m/>
    <m/>
    <m/>
    <m/>
    <m/>
    <m/>
    <m/>
    <x v="1"/>
    <x v="11"/>
  </r>
  <r>
    <d v="2026-02-13T07:51:00"/>
    <d v="2026-02-13T09:30:00"/>
    <n v="1.6500000001396984"/>
    <n v="989.09090900716706"/>
    <x v="1"/>
    <s v="ANDRE 14/01/26"/>
    <m/>
    <s v="26043/02"/>
    <s v="Envase"/>
    <n v="1632"/>
    <s v="GLMKAM03"/>
    <s v="ÁGUA MICELAR CARVÃO ATIVADO"/>
    <n v="325"/>
    <s v="ml"/>
    <x v="9"/>
    <x v="4"/>
    <s v="ÁGUA MICELAR"/>
    <x v="1"/>
    <m/>
    <m/>
    <m/>
    <m/>
    <m/>
    <m/>
    <m/>
    <m/>
    <m/>
    <m/>
    <m/>
    <m/>
    <m/>
    <m/>
    <m/>
    <m/>
    <m/>
    <m/>
    <m/>
    <m/>
    <m/>
    <s v=""/>
    <m/>
    <m/>
    <m/>
    <m/>
    <m/>
    <m/>
    <m/>
    <m/>
    <m/>
    <m/>
    <m/>
    <x v="1"/>
    <x v="11"/>
  </r>
  <r>
    <d v="2026-02-13T09:30:00"/>
    <d v="2026-02-13T11:35:00"/>
    <n v="2.0833333333139308"/>
    <n v="779.5200000072598"/>
    <x v="1"/>
    <s v="ANDRE 14/01/26"/>
    <m/>
    <s v="26043/01"/>
    <s v="Envase"/>
    <n v="1624"/>
    <s v="GLMKAM03"/>
    <s v="ÁGUA MICELAR CARVÃO ATIVADO"/>
    <n v="325"/>
    <s v="ml"/>
    <x v="9"/>
    <x v="4"/>
    <s v="ÁGUA MICELAR"/>
    <x v="1"/>
    <m/>
    <m/>
    <m/>
    <m/>
    <m/>
    <m/>
    <m/>
    <m/>
    <m/>
    <m/>
    <m/>
    <m/>
    <m/>
    <m/>
    <m/>
    <m/>
    <m/>
    <m/>
    <m/>
    <m/>
    <m/>
    <s v=""/>
    <m/>
    <m/>
    <m/>
    <m/>
    <m/>
    <m/>
    <m/>
    <m/>
    <m/>
    <m/>
    <m/>
    <x v="1"/>
    <x v="11"/>
  </r>
  <r>
    <d v="2026-02-13T09:50:00"/>
    <d v="2026-02-13T11:43:00"/>
    <n v="1.8833333333604969"/>
    <n v="978.05309733102615"/>
    <x v="1"/>
    <s v="ANDRE 14/01/26"/>
    <m/>
    <s v="26043/03"/>
    <s v="Envase"/>
    <n v="1842"/>
    <s v="GLMKAM03"/>
    <s v="ÁGUA MICELAR CARVÃO ATIVADO"/>
    <n v="325"/>
    <s v="ml"/>
    <x v="9"/>
    <x v="4"/>
    <s v="ÁGUA MICELAR"/>
    <x v="1"/>
    <m/>
    <m/>
    <m/>
    <m/>
    <m/>
    <m/>
    <m/>
    <m/>
    <m/>
    <m/>
    <m/>
    <m/>
    <m/>
    <m/>
    <m/>
    <m/>
    <m/>
    <m/>
    <m/>
    <m/>
    <m/>
    <s v=""/>
    <m/>
    <m/>
    <m/>
    <m/>
    <m/>
    <m/>
    <m/>
    <m/>
    <m/>
    <m/>
    <m/>
    <x v="1"/>
    <x v="11"/>
  </r>
  <r>
    <d v="2026-02-13T11:40:00"/>
    <d v="2026-02-13T15:18:00"/>
    <n v="2.6333333333022892"/>
    <n v="544.17721519628867"/>
    <x v="1"/>
    <s v="ANDRE 14/01/26"/>
    <m/>
    <s v="26043/05"/>
    <s v="Envase"/>
    <n v="1433"/>
    <s v="GLMKAM03"/>
    <s v="ÁGUA MICELAR CARVÃO ATIVADO"/>
    <n v="325"/>
    <s v="ml"/>
    <x v="9"/>
    <x v="4"/>
    <s v="ÁGUA MICELAR"/>
    <x v="1"/>
    <m/>
    <m/>
    <m/>
    <m/>
    <m/>
    <m/>
    <m/>
    <m/>
    <m/>
    <m/>
    <m/>
    <m/>
    <m/>
    <m/>
    <m/>
    <m/>
    <m/>
    <m/>
    <m/>
    <m/>
    <m/>
    <s v=""/>
    <m/>
    <m/>
    <m/>
    <m/>
    <m/>
    <m/>
    <m/>
    <m/>
    <m/>
    <m/>
    <m/>
    <x v="1"/>
    <x v="11"/>
  </r>
  <r>
    <d v="2026-02-13T13:18:00"/>
    <d v="2026-02-13T15:40:00"/>
    <n v="2.3666666666977108"/>
    <n v="784.64788731365127"/>
    <x v="1"/>
    <s v="ANDRE 14/01/26"/>
    <m/>
    <s v="26043/04"/>
    <s v="Envase"/>
    <n v="1857"/>
    <s v="GLMKAM03"/>
    <s v="ÁGUA MICELAR CARVÃO ATIVADO"/>
    <n v="325"/>
    <s v="ml"/>
    <x v="9"/>
    <x v="4"/>
    <s v="ÁGUA MICELAR"/>
    <x v="1"/>
    <m/>
    <m/>
    <m/>
    <m/>
    <m/>
    <m/>
    <m/>
    <m/>
    <m/>
    <m/>
    <m/>
    <m/>
    <m/>
    <m/>
    <m/>
    <m/>
    <m/>
    <m/>
    <m/>
    <m/>
    <m/>
    <s v=""/>
    <m/>
    <m/>
    <m/>
    <m/>
    <m/>
    <m/>
    <m/>
    <m/>
    <m/>
    <m/>
    <m/>
    <x v="1"/>
    <x v="11"/>
  </r>
  <r>
    <d v="2026-02-18T08:16:00"/>
    <d v="2026-02-18T10:10:00"/>
    <n v="1.8999999999068677"/>
    <n v="858.94736846315561"/>
    <x v="2"/>
    <s v="ANDRE 14/01/26"/>
    <m/>
    <s v="26049/01"/>
    <s v="Envase"/>
    <n v="1632"/>
    <s v="GLMKAM03"/>
    <s v="ÁGUA MICELAR CARVÃO ATIVADO"/>
    <n v="325"/>
    <s v="ml"/>
    <x v="9"/>
    <x v="4"/>
    <s v="ÁGUA MICELAR"/>
    <x v="1"/>
    <m/>
    <m/>
    <m/>
    <m/>
    <m/>
    <m/>
    <m/>
    <m/>
    <m/>
    <m/>
    <m/>
    <m/>
    <m/>
    <m/>
    <m/>
    <m/>
    <m/>
    <m/>
    <m/>
    <m/>
    <m/>
    <s v=""/>
    <m/>
    <m/>
    <m/>
    <m/>
    <m/>
    <m/>
    <m/>
    <m/>
    <m/>
    <m/>
    <m/>
    <x v="1"/>
    <x v="11"/>
  </r>
  <r>
    <d v="2026-02-18T09:10:00"/>
    <d v="2026-02-18T10:49:00"/>
    <n v="1.6499999999650754"/>
    <n v="687.27272728727439"/>
    <x v="1"/>
    <s v="ANDRE 14/01/26"/>
    <m/>
    <s v="26044/01"/>
    <s v="Envase"/>
    <n v="1134"/>
    <s v="GLMKAM04"/>
    <s v="ÁGUA MICELAR COLÁGENO"/>
    <n v="325"/>
    <s v="ml"/>
    <x v="9"/>
    <x v="4"/>
    <s v="ÁGUA MICELAR"/>
    <x v="1"/>
    <m/>
    <m/>
    <m/>
    <m/>
    <m/>
    <m/>
    <m/>
    <m/>
    <m/>
    <m/>
    <m/>
    <m/>
    <m/>
    <m/>
    <m/>
    <m/>
    <m/>
    <m/>
    <m/>
    <m/>
    <m/>
    <s v=""/>
    <m/>
    <m/>
    <m/>
    <m/>
    <m/>
    <m/>
    <m/>
    <m/>
    <m/>
    <m/>
    <m/>
    <x v="1"/>
    <x v="11"/>
  </r>
  <r>
    <d v="2026-02-18T11:00:00"/>
    <d v="2026-02-18T13:47:00"/>
    <n v="1.7833333333255723"/>
    <n v="869.15887850845547"/>
    <x v="1"/>
    <s v="ANDRE 14/01/26"/>
    <m/>
    <s v="26049/02"/>
    <s v="Envase"/>
    <n v="1550"/>
    <s v="GLMKAM04"/>
    <s v="ÁGUA MICELAR COLÁGENO"/>
    <n v="325"/>
    <s v="ml"/>
    <x v="9"/>
    <x v="4"/>
    <s v="ÁGUA MICELAR"/>
    <x v="1"/>
    <m/>
    <m/>
    <m/>
    <m/>
    <m/>
    <m/>
    <m/>
    <m/>
    <m/>
    <m/>
    <m/>
    <m/>
    <m/>
    <m/>
    <m/>
    <m/>
    <m/>
    <m/>
    <m/>
    <m/>
    <m/>
    <s v=""/>
    <m/>
    <m/>
    <m/>
    <m/>
    <m/>
    <m/>
    <m/>
    <m/>
    <m/>
    <m/>
    <m/>
    <x v="1"/>
    <x v="11"/>
  </r>
  <r>
    <d v="2026-02-18T11:26:00"/>
    <d v="2026-02-18T14:51:00"/>
    <n v="2.4166666666278616"/>
    <n v="675.31034483842984"/>
    <x v="2"/>
    <s v="ANDRE 14/01/26"/>
    <m/>
    <s v="26049/03"/>
    <s v="Envase"/>
    <n v="1632"/>
    <s v="GLMKAM02"/>
    <s v="ÁGUA MICELAR ÁCIDO HIAULURÔNICO"/>
    <n v="325"/>
    <s v="ml"/>
    <x v="9"/>
    <x v="4"/>
    <s v="ÁGUA MICELAR"/>
    <x v="1"/>
    <m/>
    <m/>
    <m/>
    <m/>
    <m/>
    <m/>
    <m/>
    <m/>
    <m/>
    <m/>
    <m/>
    <m/>
    <m/>
    <m/>
    <m/>
    <m/>
    <m/>
    <m/>
    <m/>
    <m/>
    <m/>
    <s v=""/>
    <m/>
    <m/>
    <m/>
    <m/>
    <m/>
    <m/>
    <m/>
    <m/>
    <m/>
    <m/>
    <m/>
    <x v="1"/>
    <x v="11"/>
  </r>
  <r>
    <d v="2026-02-18T13:53:00"/>
    <d v="2026-02-18T15:35:00"/>
    <n v="1.6999999999534339"/>
    <n v="979.41176473271025"/>
    <x v="1"/>
    <s v="ANDRE 14/01/26"/>
    <m/>
    <s v="26049/04"/>
    <s v="Envase"/>
    <n v="1665"/>
    <s v="GLMKAM02"/>
    <s v="ÁGUA MICELAR ÁCIDO HIAULURÔNICO"/>
    <n v="325"/>
    <s v="ml"/>
    <x v="9"/>
    <x v="4"/>
    <s v="ÁGUA MICELAR"/>
    <x v="1"/>
    <m/>
    <m/>
    <m/>
    <m/>
    <m/>
    <m/>
    <m/>
    <m/>
    <m/>
    <m/>
    <m/>
    <m/>
    <m/>
    <m/>
    <m/>
    <m/>
    <m/>
    <m/>
    <m/>
    <m/>
    <m/>
    <s v=""/>
    <m/>
    <m/>
    <m/>
    <m/>
    <m/>
    <m/>
    <m/>
    <m/>
    <m/>
    <m/>
    <m/>
    <x v="1"/>
    <x v="11"/>
  </r>
  <r>
    <d v="2026-02-18T14:51:00"/>
    <d v="2026-02-19T07:19:00"/>
    <n v="2.4666666666744277"/>
    <n v="681.08108107893815"/>
    <x v="2"/>
    <s v="ANDRE 14/01/26"/>
    <m/>
    <s v="26049/05"/>
    <s v="Envase"/>
    <n v="1680"/>
    <s v="GLMKAM02"/>
    <s v="ÁGUA MICELAR ÁCIDO HIAULURÔNICO"/>
    <n v="325"/>
    <s v="ml"/>
    <x v="9"/>
    <x v="4"/>
    <s v="ÁGUA MICELAR"/>
    <x v="1"/>
    <m/>
    <m/>
    <m/>
    <m/>
    <m/>
    <m/>
    <m/>
    <m/>
    <m/>
    <m/>
    <m/>
    <m/>
    <m/>
    <m/>
    <m/>
    <m/>
    <m/>
    <m/>
    <m/>
    <m/>
    <m/>
    <s v=""/>
    <m/>
    <m/>
    <m/>
    <m/>
    <m/>
    <m/>
    <m/>
    <m/>
    <m/>
    <m/>
    <m/>
    <x v="1"/>
    <x v="11"/>
  </r>
  <r>
    <d v="2026-02-18T15:17:00"/>
    <d v="2026-02-19T07:45:00"/>
    <n v="2.4666666666744277"/>
    <n v="681.08108107893815"/>
    <x v="1"/>
    <s v="ANDRE 14/01/26"/>
    <m/>
    <s v="26049/06"/>
    <s v="Envase"/>
    <n v="1680"/>
    <s v="GLMKAM02"/>
    <s v="ÁGUA MICELAR ÁCIDO HIAULURÔNICO"/>
    <n v="325"/>
    <s v="ml"/>
    <x v="9"/>
    <x v="4"/>
    <s v="ÁGUA MICELAR"/>
    <x v="1"/>
    <m/>
    <m/>
    <m/>
    <m/>
    <m/>
    <m/>
    <m/>
    <m/>
    <m/>
    <m/>
    <m/>
    <m/>
    <m/>
    <m/>
    <m/>
    <m/>
    <m/>
    <m/>
    <m/>
    <m/>
    <m/>
    <s v=""/>
    <m/>
    <m/>
    <m/>
    <m/>
    <m/>
    <m/>
    <m/>
    <m/>
    <m/>
    <m/>
    <m/>
    <x v="1"/>
    <x v="11"/>
  </r>
  <r>
    <d v="2026-02-19T07:20:00"/>
    <d v="2026-02-19T10:11:00"/>
    <n v="2.8500000000349246"/>
    <n v="639.99999999215731"/>
    <x v="2"/>
    <s v="ANDRE 14/01/26"/>
    <m/>
    <s v="26049/07"/>
    <s v="Envase"/>
    <n v="1824"/>
    <s v="GLMKAM02"/>
    <s v="ÁGUA MICELAR ÁCIDO HIAULURÔNICO"/>
    <n v="325"/>
    <s v="ml"/>
    <x v="9"/>
    <x v="4"/>
    <s v="ÁGUA MICELAR"/>
    <x v="1"/>
    <m/>
    <m/>
    <m/>
    <m/>
    <m/>
    <m/>
    <m/>
    <m/>
    <m/>
    <m/>
    <m/>
    <m/>
    <m/>
    <m/>
    <m/>
    <m/>
    <m/>
    <m/>
    <m/>
    <m/>
    <m/>
    <s v=""/>
    <m/>
    <m/>
    <m/>
    <m/>
    <m/>
    <m/>
    <m/>
    <m/>
    <m/>
    <m/>
    <m/>
    <x v="1"/>
    <x v="11"/>
  </r>
  <r>
    <d v="2026-02-19T07:46:00"/>
    <d v="2026-02-19T10:00:00"/>
    <n v="2.2333333332790062"/>
    <n v="795.22388061635922"/>
    <x v="1"/>
    <s v="ANDRE 14/01/26"/>
    <m/>
    <s v="26049/08"/>
    <s v="Envase"/>
    <n v="1776"/>
    <s v="GLMKAM02"/>
    <s v="ÁGUA MICELAR ÁCIDO HIAULURÔNICO"/>
    <n v="325"/>
    <s v="ml"/>
    <x v="9"/>
    <x v="4"/>
    <s v="ÁGUA MICELAR"/>
    <x v="1"/>
    <m/>
    <m/>
    <m/>
    <m/>
    <m/>
    <m/>
    <m/>
    <m/>
    <m/>
    <m/>
    <m/>
    <m/>
    <m/>
    <m/>
    <m/>
    <m/>
    <m/>
    <m/>
    <m/>
    <m/>
    <m/>
    <s v=""/>
    <m/>
    <m/>
    <m/>
    <m/>
    <m/>
    <m/>
    <m/>
    <m/>
    <m/>
    <m/>
    <m/>
    <x v="1"/>
    <x v="11"/>
  </r>
  <r>
    <d v="2026-02-19T10:05:00"/>
    <d v="2026-02-19T13:32:00"/>
    <n v="2.4499999998952262"/>
    <n v="724.89795921467362"/>
    <x v="1"/>
    <s v="ANDRE 14/01/26"/>
    <m/>
    <s v="26049/09"/>
    <s v="Envase"/>
    <n v="1776"/>
    <s v="GLMKAM02"/>
    <s v="ÁGUA MICELAR ÁCIDO HIAULURÔNICO"/>
    <n v="325"/>
    <s v="ml"/>
    <x v="9"/>
    <x v="4"/>
    <s v="ÁGUA MICELAR"/>
    <x v="1"/>
    <m/>
    <m/>
    <m/>
    <m/>
    <m/>
    <m/>
    <m/>
    <m/>
    <m/>
    <m/>
    <m/>
    <m/>
    <m/>
    <m/>
    <m/>
    <m/>
    <m/>
    <m/>
    <m/>
    <m/>
    <m/>
    <s v=""/>
    <m/>
    <m/>
    <m/>
    <m/>
    <m/>
    <m/>
    <m/>
    <m/>
    <m/>
    <m/>
    <m/>
    <x v="1"/>
    <x v="11"/>
  </r>
  <r>
    <d v="2026-02-19T10:24:00"/>
    <d v="2026-02-19T14:00:00"/>
    <n v="2.6000000000349246"/>
    <n v="646.15384614516665"/>
    <x v="2"/>
    <s v="ANDRE 14/01/26"/>
    <m/>
    <s v="26050/01"/>
    <s v="Envase"/>
    <n v="1680"/>
    <s v="GLMKAM05"/>
    <s v="ÁGUA MICELAR ROSA MOSQUETA"/>
    <n v="325"/>
    <s v="ml"/>
    <x v="9"/>
    <x v="4"/>
    <s v="ÁGUA MICELAR"/>
    <x v="1"/>
    <m/>
    <m/>
    <m/>
    <m/>
    <m/>
    <m/>
    <m/>
    <m/>
    <m/>
    <m/>
    <m/>
    <m/>
    <m/>
    <m/>
    <m/>
    <m/>
    <m/>
    <m/>
    <m/>
    <m/>
    <m/>
    <s v=""/>
    <m/>
    <m/>
    <m/>
    <m/>
    <m/>
    <m/>
    <m/>
    <m/>
    <m/>
    <m/>
    <m/>
    <x v="1"/>
    <x v="11"/>
  </r>
  <r>
    <d v="2026-02-19T13:35:00"/>
    <d v="2026-02-19T16:00:00"/>
    <n v="2.4166666666860692"/>
    <n v="734.89655171823767"/>
    <x v="1"/>
    <s v="ANDRE 14/01/26"/>
    <m/>
    <s v="26050/07"/>
    <s v="Envase"/>
    <n v="1776"/>
    <s v="GLMKAM02"/>
    <s v="ÁGUA MICELAR ÁCIDO HIAULURÔNICO"/>
    <n v="325"/>
    <s v="ml"/>
    <x v="9"/>
    <x v="4"/>
    <s v="ÁGUA MICELAR"/>
    <x v="1"/>
    <m/>
    <m/>
    <m/>
    <m/>
    <m/>
    <m/>
    <m/>
    <m/>
    <m/>
    <m/>
    <m/>
    <m/>
    <m/>
    <m/>
    <m/>
    <m/>
    <m/>
    <m/>
    <m/>
    <m/>
    <m/>
    <s v=""/>
    <m/>
    <m/>
    <m/>
    <m/>
    <m/>
    <m/>
    <m/>
    <m/>
    <m/>
    <m/>
    <m/>
    <x v="1"/>
    <x v="11"/>
  </r>
  <r>
    <d v="2026-02-19T14:00:00"/>
    <d v="2026-02-20T07:30:00"/>
    <n v="3.5000000000582077"/>
    <n v="493.71428570607486"/>
    <x v="2"/>
    <s v="ANDRE 14/01/26"/>
    <m/>
    <s v="26050/02"/>
    <s v="Envase"/>
    <n v="1728"/>
    <s v="GLMKAM05"/>
    <s v="ÁGUA MICELAR ROSA MOSQUETA"/>
    <n v="325"/>
    <s v="ml"/>
    <x v="9"/>
    <x v="4"/>
    <s v="ÁGUA MICELAR"/>
    <x v="1"/>
    <m/>
    <m/>
    <m/>
    <m/>
    <m/>
    <m/>
    <m/>
    <m/>
    <m/>
    <m/>
    <m/>
    <m/>
    <m/>
    <m/>
    <m/>
    <m/>
    <m/>
    <m/>
    <m/>
    <m/>
    <m/>
    <s v=""/>
    <m/>
    <m/>
    <m/>
    <m/>
    <m/>
    <m/>
    <m/>
    <m/>
    <m/>
    <m/>
    <m/>
    <x v="1"/>
    <x v="11"/>
  </r>
  <r>
    <d v="2026-02-19T16:00:00"/>
    <d v="2026-02-20T07:16:00"/>
    <n v="1.2666666667792015"/>
    <n v="795.78947361351004"/>
    <x v="1"/>
    <s v="ANDRE 14/01/26"/>
    <m/>
    <s v="26050/08"/>
    <s v="Envase"/>
    <n v="1008"/>
    <s v="GLMKAM02"/>
    <s v="ÁGUA MICELAR ÁCIDO HIAULURÔNICO"/>
    <n v="325"/>
    <s v="ml"/>
    <x v="9"/>
    <x v="4"/>
    <s v="ÁGUA MICELAR"/>
    <x v="1"/>
    <m/>
    <m/>
    <m/>
    <m/>
    <m/>
    <m/>
    <m/>
    <m/>
    <m/>
    <m/>
    <m/>
    <m/>
    <m/>
    <m/>
    <m/>
    <m/>
    <m/>
    <m/>
    <m/>
    <m/>
    <m/>
    <s v=""/>
    <m/>
    <m/>
    <m/>
    <m/>
    <m/>
    <m/>
    <m/>
    <m/>
    <m/>
    <m/>
    <m/>
    <x v="1"/>
    <x v="11"/>
  </r>
  <r>
    <d v="2026-02-20T07:49:00"/>
    <d v="2026-02-20T09:12:00"/>
    <n v="1.3833333333022892"/>
    <n v="1214.4578313525556"/>
    <x v="2"/>
    <s v="ANDRE 14/01/26"/>
    <m/>
    <s v="26050/03"/>
    <s v="Envase"/>
    <n v="1680"/>
    <s v="GLMKAM05"/>
    <s v="ÁGUA MICELAR ROSA MOSQUETA"/>
    <n v="325"/>
    <s v="ml"/>
    <x v="9"/>
    <x v="4"/>
    <s v="ÁGUA MICELAR"/>
    <x v="1"/>
    <m/>
    <m/>
    <m/>
    <m/>
    <m/>
    <m/>
    <m/>
    <m/>
    <m/>
    <m/>
    <m/>
    <m/>
    <m/>
    <m/>
    <m/>
    <m/>
    <m/>
    <m/>
    <m/>
    <m/>
    <m/>
    <s v=""/>
    <m/>
    <m/>
    <m/>
    <m/>
    <m/>
    <m/>
    <m/>
    <m/>
    <m/>
    <m/>
    <m/>
    <x v="1"/>
    <x v="11"/>
  </r>
  <r>
    <d v="2026-02-20T09:02:00"/>
    <d v="2026-02-20T11:02:00"/>
    <n v="2.0000000000582077"/>
    <n v="839.99999997555278"/>
    <x v="2"/>
    <s v="ANDRE 14/01/26"/>
    <m/>
    <s v="26050/06"/>
    <s v="Envase"/>
    <n v="1680"/>
    <s v="GLMKAM05"/>
    <s v="ÁGUA MICELAR ROSA MOSQUETA"/>
    <n v="325"/>
    <s v="ml"/>
    <x v="9"/>
    <x v="4"/>
    <s v="ÁGUA MICELAR"/>
    <x v="1"/>
    <m/>
    <m/>
    <m/>
    <m/>
    <m/>
    <m/>
    <m/>
    <m/>
    <m/>
    <m/>
    <m/>
    <m/>
    <m/>
    <m/>
    <m/>
    <m/>
    <m/>
    <m/>
    <m/>
    <m/>
    <m/>
    <s v=""/>
    <m/>
    <m/>
    <m/>
    <m/>
    <m/>
    <m/>
    <m/>
    <m/>
    <m/>
    <m/>
    <m/>
    <x v="1"/>
    <x v="11"/>
  </r>
  <r>
    <d v="2026-02-20T09:15:00"/>
    <d v="2026-02-20T11:21:00"/>
    <n v="2.1000000000349246"/>
    <n v="822.85714284345806"/>
    <x v="1"/>
    <s v="ANDRE 14/01/26"/>
    <m/>
    <s v="26050/05"/>
    <s v="Envase"/>
    <n v="1728"/>
    <s v="GLMKAM05"/>
    <s v="ÁGUA MICELAR ROSA MOSQUETA"/>
    <n v="325"/>
    <s v="ml"/>
    <x v="9"/>
    <x v="4"/>
    <s v="ÁGUA MICELAR"/>
    <x v="1"/>
    <m/>
    <m/>
    <m/>
    <m/>
    <m/>
    <m/>
    <m/>
    <m/>
    <m/>
    <m/>
    <m/>
    <m/>
    <m/>
    <m/>
    <m/>
    <m/>
    <m/>
    <m/>
    <m/>
    <m/>
    <m/>
    <s v=""/>
    <m/>
    <m/>
    <m/>
    <m/>
    <m/>
    <m/>
    <m/>
    <m/>
    <m/>
    <m/>
    <m/>
    <x v="1"/>
    <x v="11"/>
  </r>
  <r>
    <d v="2026-02-20T11:28:00"/>
    <d v="2026-02-20T14:39:00"/>
    <n v="2.183333333407063"/>
    <n v="769.46564882897746"/>
    <x v="2"/>
    <s v="ANDRE 14/01/26"/>
    <m/>
    <s v="26050/04"/>
    <s v="Envase"/>
    <n v="1680"/>
    <s v="GLMKAM05"/>
    <s v="ÁGUA MICELAR ROSA MOSQUETA"/>
    <n v="325"/>
    <s v="ml"/>
    <x v="9"/>
    <x v="4"/>
    <s v="ÁGUA MICELAR"/>
    <x v="1"/>
    <m/>
    <m/>
    <m/>
    <m/>
    <m/>
    <m/>
    <m/>
    <m/>
    <m/>
    <m/>
    <m/>
    <m/>
    <m/>
    <m/>
    <m/>
    <m/>
    <m/>
    <m/>
    <m/>
    <m/>
    <m/>
    <s v=""/>
    <m/>
    <m/>
    <m/>
    <m/>
    <m/>
    <m/>
    <m/>
    <m/>
    <m/>
    <m/>
    <m/>
    <x v="1"/>
    <x v="11"/>
  </r>
  <r>
    <d v="2026-02-20T13:39:00"/>
    <d v="2026-02-20T15:26:00"/>
    <n v="1.78333333338378"/>
    <n v="915.14018689000056"/>
    <x v="2"/>
    <s v="ANDRE 14/01/26"/>
    <m/>
    <s v="26051/01"/>
    <s v="Envase"/>
    <n v="1632"/>
    <s v="GLMKAM06"/>
    <s v="ÁGUA MICELAR BABA GLOW"/>
    <n v="325"/>
    <s v="ml"/>
    <x v="9"/>
    <x v="4"/>
    <s v="ÁGUA MICELAR"/>
    <x v="1"/>
    <m/>
    <m/>
    <m/>
    <m/>
    <m/>
    <m/>
    <m/>
    <m/>
    <m/>
    <m/>
    <m/>
    <m/>
    <m/>
    <m/>
    <m/>
    <m/>
    <m/>
    <m/>
    <m/>
    <m/>
    <m/>
    <s v=""/>
    <m/>
    <m/>
    <m/>
    <m/>
    <m/>
    <m/>
    <m/>
    <m/>
    <m/>
    <m/>
    <m/>
    <x v="1"/>
    <x v="11"/>
  </r>
  <r>
    <d v="2026-02-20T15:27:00"/>
    <d v="2026-02-23T08:51:00"/>
    <n v="2.3999999999650754"/>
    <n v="660.00000000960426"/>
    <x v="2"/>
    <s v="ANDRE 14/01/26"/>
    <m/>
    <s v="26051/02"/>
    <s v="Envase"/>
    <n v="1584"/>
    <s v="GLMKAM06"/>
    <s v="ÁGUA MICELAR BABA GLOW"/>
    <n v="325"/>
    <s v="ml"/>
    <x v="9"/>
    <x v="4"/>
    <s v="ÁGUA MICELAR"/>
    <x v="1"/>
    <m/>
    <m/>
    <m/>
    <m/>
    <m/>
    <m/>
    <m/>
    <m/>
    <m/>
    <m/>
    <m/>
    <m/>
    <m/>
    <m/>
    <m/>
    <m/>
    <m/>
    <m/>
    <m/>
    <m/>
    <m/>
    <s v=""/>
    <m/>
    <m/>
    <m/>
    <m/>
    <m/>
    <m/>
    <m/>
    <m/>
    <m/>
    <m/>
    <m/>
    <x v="1"/>
    <x v="11"/>
  </r>
  <r>
    <d v="2026-02-20T15:40:00"/>
    <d v="2026-02-23T07:48:00"/>
    <n v="1.1333333331858739"/>
    <n v="1320.8823531130381"/>
    <x v="1"/>
    <s v="ANDRE 14/01/26"/>
    <m/>
    <s v="26051/04"/>
    <s v="Envase"/>
    <n v="1497"/>
    <s v="GLMKAM05"/>
    <s v="ÁGUA MICELAR ROSA MOSQUETA"/>
    <n v="325"/>
    <s v="ml"/>
    <x v="9"/>
    <x v="4"/>
    <s v="ÁGUA MICELAR"/>
    <x v="1"/>
    <m/>
    <m/>
    <m/>
    <m/>
    <m/>
    <m/>
    <m/>
    <m/>
    <m/>
    <m/>
    <m/>
    <m/>
    <m/>
    <m/>
    <m/>
    <m/>
    <m/>
    <m/>
    <m/>
    <m/>
    <m/>
    <s v=""/>
    <m/>
    <m/>
    <m/>
    <m/>
    <m/>
    <m/>
    <m/>
    <m/>
    <m/>
    <m/>
    <m/>
    <x v="1"/>
    <x v="11"/>
  </r>
  <r>
    <d v="2026-02-23T08:05:00"/>
    <d v="2026-02-23T09:50:00"/>
    <n v="1.7499999999417923"/>
    <n v="960.00000003193111"/>
    <x v="1"/>
    <s v="ANDRE 14/01/26"/>
    <m/>
    <s v="26054/01"/>
    <s v="Envase"/>
    <n v="1680"/>
    <s v="GLMKAM04"/>
    <s v="ÁGUA MICELAR COLÁGENO"/>
    <n v="325"/>
    <s v="ml"/>
    <x v="9"/>
    <x v="4"/>
    <s v="ÁGUA MICELAR"/>
    <x v="1"/>
    <m/>
    <m/>
    <m/>
    <m/>
    <m/>
    <m/>
    <m/>
    <m/>
    <m/>
    <m/>
    <m/>
    <m/>
    <m/>
    <m/>
    <m/>
    <m/>
    <m/>
    <m/>
    <m/>
    <m/>
    <m/>
    <s v=""/>
    <m/>
    <m/>
    <m/>
    <m/>
    <m/>
    <m/>
    <m/>
    <m/>
    <m/>
    <m/>
    <m/>
    <x v="1"/>
    <x v="11"/>
  </r>
  <r>
    <d v="2026-02-23T08:53:00"/>
    <d v="2026-02-23T10:58:00"/>
    <n v="2.0833333333139308"/>
    <n v="787.68000000733582"/>
    <x v="2"/>
    <s v="ANDRE 14/01/26"/>
    <m/>
    <s v="26051/03"/>
    <s v="Envase"/>
    <n v="1641"/>
    <s v="GLMKAM06"/>
    <s v="ÁGUA MICELAR BABA GLOW"/>
    <n v="325"/>
    <s v="ml"/>
    <x v="9"/>
    <x v="4"/>
    <s v="ÁGUA MICELAR"/>
    <x v="1"/>
    <m/>
    <m/>
    <m/>
    <m/>
    <m/>
    <m/>
    <m/>
    <m/>
    <m/>
    <m/>
    <m/>
    <m/>
    <m/>
    <m/>
    <m/>
    <m/>
    <m/>
    <m/>
    <m/>
    <m/>
    <m/>
    <s v=""/>
    <m/>
    <m/>
    <m/>
    <m/>
    <m/>
    <m/>
    <m/>
    <m/>
    <m/>
    <m/>
    <m/>
    <x v="1"/>
    <x v="11"/>
  </r>
  <r>
    <d v="2026-02-23T09:50:00"/>
    <d v="2026-02-23T11:41:00"/>
    <n v="1.8500000000931323"/>
    <n v="959.99999995167195"/>
    <x v="1"/>
    <s v="ANDRE 14/01/26"/>
    <m/>
    <s v="26054/02"/>
    <s v="Envase"/>
    <n v="1776"/>
    <s v="GLMKAM04"/>
    <s v="ÁGUA MICELAR COLÁGENO"/>
    <n v="325"/>
    <s v="ml"/>
    <x v="9"/>
    <x v="4"/>
    <s v="ÁGUA MICELAR"/>
    <x v="1"/>
    <m/>
    <m/>
    <m/>
    <m/>
    <m/>
    <m/>
    <m/>
    <m/>
    <m/>
    <m/>
    <m/>
    <m/>
    <m/>
    <m/>
    <m/>
    <m/>
    <m/>
    <m/>
    <m/>
    <m/>
    <m/>
    <s v=""/>
    <m/>
    <m/>
    <m/>
    <m/>
    <m/>
    <m/>
    <m/>
    <m/>
    <m/>
    <m/>
    <m/>
    <x v="1"/>
    <x v="11"/>
  </r>
  <r>
    <d v="2026-02-23T11:10:00"/>
    <d v="2026-02-23T15:32:00"/>
    <n v="3.3666666665812954"/>
    <n v="491.88118813128489"/>
    <x v="2"/>
    <s v="ANDRE 14/01/26"/>
    <m/>
    <s v="26054/03"/>
    <s v="Envase"/>
    <n v="1656"/>
    <s v="GLMKAM04"/>
    <s v="ÁGUA MICELAR COLÁGENO"/>
    <n v="325"/>
    <s v="ml"/>
    <x v="9"/>
    <x v="4"/>
    <s v="ÁGUA MICELAR"/>
    <x v="1"/>
    <m/>
    <m/>
    <m/>
    <m/>
    <m/>
    <m/>
    <m/>
    <m/>
    <m/>
    <m/>
    <m/>
    <m/>
    <m/>
    <m/>
    <m/>
    <m/>
    <m/>
    <m/>
    <m/>
    <m/>
    <m/>
    <s v=""/>
    <m/>
    <m/>
    <m/>
    <m/>
    <m/>
    <m/>
    <m/>
    <m/>
    <m/>
    <m/>
    <m/>
    <x v="1"/>
    <x v="11"/>
  </r>
  <r>
    <d v="2026-02-23T11:41:00"/>
    <d v="2026-02-23T14:50:00"/>
    <n v="2.1499999999650754"/>
    <n v="803.72093024561377"/>
    <x v="1"/>
    <s v="ANDRE 14/01/26"/>
    <m/>
    <s v="26054/04"/>
    <s v="Envase"/>
    <n v="1728"/>
    <s v="GLMKAM04"/>
    <s v="ÁGUA MICELAR COLÁGENO"/>
    <n v="325"/>
    <s v="ml"/>
    <x v="9"/>
    <x v="4"/>
    <s v="ÁGUA MICELAR"/>
    <x v="1"/>
    <m/>
    <m/>
    <m/>
    <m/>
    <m/>
    <m/>
    <m/>
    <m/>
    <m/>
    <m/>
    <m/>
    <m/>
    <m/>
    <m/>
    <m/>
    <m/>
    <m/>
    <m/>
    <m/>
    <m/>
    <m/>
    <s v=""/>
    <m/>
    <m/>
    <m/>
    <m/>
    <m/>
    <m/>
    <m/>
    <m/>
    <m/>
    <m/>
    <m/>
    <x v="1"/>
    <x v="11"/>
  </r>
  <r>
    <d v="2026-02-23T14:53:00"/>
    <d v="2026-02-24T07:15:00"/>
    <n v="2.3666666668723337"/>
    <n v="709.85915486788963"/>
    <x v="1"/>
    <s v="ANDRE 14/01/26"/>
    <m/>
    <s v="26054/06"/>
    <s v="Envase"/>
    <n v="1680"/>
    <s v="GLMKAM04"/>
    <s v="ÁGUA MICELAR COLÁGENO"/>
    <n v="325"/>
    <s v="ml"/>
    <x v="9"/>
    <x v="4"/>
    <s v="ÁGUA MICELAR"/>
    <x v="1"/>
    <m/>
    <m/>
    <m/>
    <m/>
    <m/>
    <m/>
    <m/>
    <m/>
    <m/>
    <m/>
    <m/>
    <m/>
    <m/>
    <m/>
    <m/>
    <m/>
    <m/>
    <m/>
    <m/>
    <m/>
    <m/>
    <s v=""/>
    <m/>
    <m/>
    <m/>
    <m/>
    <m/>
    <m/>
    <m/>
    <m/>
    <m/>
    <m/>
    <m/>
    <x v="1"/>
    <x v="11"/>
  </r>
  <r>
    <d v="2026-02-23T15:32:00"/>
    <d v="2026-02-24T08:28:00"/>
    <n v="2.9333333334652707"/>
    <n v="638.18181815311368"/>
    <x v="1"/>
    <s v="ANDRE 14/01/26"/>
    <m/>
    <s v="26054/05"/>
    <s v="Envase"/>
    <n v="1872"/>
    <s v="GLMKAM04"/>
    <s v="ÁGUA MICELAR COLÁGENO"/>
    <n v="325"/>
    <s v="ml"/>
    <x v="9"/>
    <x v="4"/>
    <s v="ÁGUA MICELAR"/>
    <x v="1"/>
    <m/>
    <m/>
    <m/>
    <m/>
    <m/>
    <m/>
    <m/>
    <m/>
    <m/>
    <m/>
    <m/>
    <m/>
    <m/>
    <m/>
    <m/>
    <m/>
    <m/>
    <m/>
    <m/>
    <m/>
    <m/>
    <s v=""/>
    <m/>
    <m/>
    <m/>
    <m/>
    <m/>
    <m/>
    <m/>
    <m/>
    <m/>
    <m/>
    <m/>
    <x v="1"/>
    <x v="11"/>
  </r>
  <r>
    <d v="2026-02-24T09:50:00"/>
    <d v="2026-02-24T11:05:00"/>
    <n v="1.2500000000582077"/>
    <n v="1420.7999999338388"/>
    <x v="1"/>
    <s v="ANDRE 14/01/26"/>
    <m/>
    <s v="26056/01"/>
    <s v="Envase"/>
    <n v="1776"/>
    <s v="GLMKAM04"/>
    <s v="ÁGUA MICELAR COLÁGENO"/>
    <n v="325"/>
    <s v="ml"/>
    <x v="9"/>
    <x v="4"/>
    <s v="ÁGUA MICELAR"/>
    <x v="1"/>
    <m/>
    <m/>
    <m/>
    <m/>
    <m/>
    <m/>
    <m/>
    <m/>
    <m/>
    <m/>
    <m/>
    <m/>
    <m/>
    <m/>
    <m/>
    <m/>
    <m/>
    <m/>
    <m/>
    <m/>
    <m/>
    <s v=""/>
    <m/>
    <m/>
    <m/>
    <m/>
    <m/>
    <m/>
    <m/>
    <m/>
    <m/>
    <m/>
    <m/>
    <x v="1"/>
    <x v="11"/>
  </r>
  <r>
    <d v="2026-02-24T11:32:00"/>
    <d v="2026-02-24T11:50:00"/>
    <n v="0.29999999993015081"/>
    <n v="496.66666678230587"/>
    <x v="2"/>
    <s v="ANDRE 14/01/26"/>
    <m/>
    <s v="26056/02"/>
    <s v="Envase"/>
    <n v="149"/>
    <s v="GLMKAM06"/>
    <s v="ÁGUA MICELAR BABA GLOW"/>
    <n v="325"/>
    <s v="ml"/>
    <x v="9"/>
    <x v="4"/>
    <s v="ÁGUA MICELAR"/>
    <x v="1"/>
    <m/>
    <m/>
    <m/>
    <m/>
    <m/>
    <m/>
    <m/>
    <m/>
    <m/>
    <m/>
    <m/>
    <m/>
    <m/>
    <m/>
    <m/>
    <m/>
    <m/>
    <m/>
    <m/>
    <m/>
    <m/>
    <s v=""/>
    <m/>
    <m/>
    <m/>
    <m/>
    <m/>
    <m/>
    <m/>
    <m/>
    <m/>
    <m/>
    <m/>
    <x v="1"/>
    <x v="11"/>
  </r>
  <r>
    <d v="2026-02-24T13:12:00"/>
    <d v="2026-02-24T13:30:00"/>
    <n v="0.29999999993015081"/>
    <n v="440.00000010244548"/>
    <x v="1"/>
    <s v="ANDRE 14/01/26"/>
    <m/>
    <s v="26055/01"/>
    <s v="Envase"/>
    <n v="132"/>
    <s v="GLMKAM05"/>
    <s v="ÁGUA MICELAR ROSA MOSQUETA"/>
    <n v="325"/>
    <s v="ml"/>
    <x v="9"/>
    <x v="4"/>
    <s v="ÁGUA MICELAR"/>
    <x v="1"/>
    <m/>
    <m/>
    <m/>
    <m/>
    <m/>
    <m/>
    <m/>
    <m/>
    <m/>
    <m/>
    <m/>
    <m/>
    <m/>
    <m/>
    <m/>
    <m/>
    <m/>
    <m/>
    <m/>
    <m/>
    <m/>
    <s v=""/>
    <m/>
    <m/>
    <m/>
    <m/>
    <m/>
    <m/>
    <m/>
    <m/>
    <m/>
    <m/>
    <m/>
    <x v="1"/>
    <x v="11"/>
  </r>
  <r>
    <d v="2026-02-25T09:30:00"/>
    <d v="2026-02-25T09:52:00"/>
    <n v="0.36666666663950309"/>
    <n v="128.18181819131422"/>
    <x v="0"/>
    <m/>
    <m/>
    <s v="26054/07"/>
    <s v="Envase"/>
    <n v="47"/>
    <s v="IMEDIATT LISS PASSO 1"/>
    <s v="-"/>
    <s v="-"/>
    <s v="-"/>
    <x v="1"/>
    <x v="6"/>
    <s v="-"/>
    <x v="5"/>
    <m/>
    <m/>
    <m/>
    <m/>
    <m/>
    <m/>
    <m/>
    <m/>
    <m/>
    <m/>
    <m/>
    <m/>
    <m/>
    <m/>
    <m/>
    <m/>
    <m/>
    <m/>
    <m/>
    <m/>
    <m/>
    <s v=""/>
    <m/>
    <m/>
    <m/>
    <m/>
    <m/>
    <m/>
    <m/>
    <m/>
    <m/>
    <m/>
    <m/>
    <x v="1"/>
    <x v="11"/>
  </r>
  <r>
    <d v="2026-02-25T10:00:00"/>
    <d v="2026-02-25T10:29:00"/>
    <n v="0.48333333333721384"/>
    <n v="97.24137930956411"/>
    <x v="0"/>
    <m/>
    <m/>
    <s v="26051/06"/>
    <s v="Envase"/>
    <n v="47"/>
    <s v="IMEDIATT LISS PASSO 2"/>
    <s v="-"/>
    <s v="-"/>
    <s v="-"/>
    <x v="1"/>
    <x v="6"/>
    <s v="-"/>
    <x v="5"/>
    <m/>
    <m/>
    <m/>
    <m/>
    <m/>
    <m/>
    <m/>
    <m/>
    <m/>
    <m/>
    <m/>
    <m/>
    <m/>
    <m/>
    <m/>
    <m/>
    <m/>
    <m/>
    <m/>
    <m/>
    <m/>
    <s v=""/>
    <m/>
    <m/>
    <m/>
    <m/>
    <m/>
    <m/>
    <m/>
    <m/>
    <m/>
    <m/>
    <m/>
    <x v="1"/>
    <x v="11"/>
  </r>
  <r>
    <d v="2026-02-26T10:50:00"/>
    <d v="2026-02-26T16:50:00"/>
    <n v="5"/>
    <n v="195"/>
    <x v="1"/>
    <s v="FILATO 02/26"/>
    <m/>
    <s v="RET 56/01"/>
    <s v="Envase"/>
    <n v="975"/>
    <s v="FBPF0002"/>
    <s v="PERFUME OSTINATO 100ML"/>
    <n v="100"/>
    <s v="ml"/>
    <x v="17"/>
    <x v="1"/>
    <s v="PERFUME"/>
    <x v="1"/>
    <m/>
    <m/>
    <m/>
    <m/>
    <m/>
    <m/>
    <m/>
    <m/>
    <m/>
    <m/>
    <m/>
    <m/>
    <m/>
    <m/>
    <m/>
    <m/>
    <m/>
    <m/>
    <m/>
    <m/>
    <m/>
    <s v=""/>
    <m/>
    <m/>
    <m/>
    <m/>
    <m/>
    <m/>
    <m/>
    <m/>
    <m/>
    <m/>
    <m/>
    <x v="1"/>
    <x v="11"/>
  </r>
  <r>
    <d v="2026-02-27T08:00:00"/>
    <d v="2026-03-02T09:50:00"/>
    <n v="9.8333333331975155"/>
    <n v="102.71186440819831"/>
    <x v="1"/>
    <s v="FILATO 02/26"/>
    <m/>
    <s v="26057/01"/>
    <s v="Envase"/>
    <n v="1010"/>
    <s v="FBPF0001"/>
    <s v="PERFUME RAFINATTO 100ML"/>
    <n v="100"/>
    <s v="ml"/>
    <x v="17"/>
    <x v="1"/>
    <s v="PERFUME"/>
    <x v="1"/>
    <m/>
    <m/>
    <m/>
    <m/>
    <m/>
    <m/>
    <m/>
    <m/>
    <m/>
    <m/>
    <m/>
    <m/>
    <m/>
    <m/>
    <m/>
    <m/>
    <m/>
    <m/>
    <m/>
    <m/>
    <m/>
    <s v=""/>
    <m/>
    <m/>
    <m/>
    <m/>
    <m/>
    <m/>
    <m/>
    <m/>
    <m/>
    <m/>
    <m/>
    <x v="1"/>
    <x v="11"/>
  </r>
  <r>
    <d v="2026-03-02T09:50:00"/>
    <d v="2026-03-02T14:00:00"/>
    <n v="3.1666666668024845"/>
    <n v="565.89473681783409"/>
    <x v="1"/>
    <s v="FABIANO 03/02/26"/>
    <m/>
    <s v="P-26061-04"/>
    <s v="Envase"/>
    <n v="1792"/>
    <s v="MRFX0001"/>
    <s v="FIXADOR FIX MATTE 120ml"/>
    <n v="120"/>
    <s v="ml"/>
    <x v="0"/>
    <x v="4"/>
    <s v="FIXADOR"/>
    <x v="1"/>
    <m/>
    <m/>
    <m/>
    <m/>
    <m/>
    <m/>
    <m/>
    <m/>
    <m/>
    <m/>
    <m/>
    <m/>
    <m/>
    <m/>
    <m/>
    <m/>
    <m/>
    <m/>
    <m/>
    <m/>
    <m/>
    <s v=""/>
    <m/>
    <m/>
    <m/>
    <m/>
    <m/>
    <m/>
    <m/>
    <m/>
    <m/>
    <m/>
    <m/>
    <x v="1"/>
    <x v="1"/>
  </r>
  <r>
    <d v="2026-03-02T14:00:00"/>
    <d v="2026-03-03T09:43:00"/>
    <n v="5.716666666790843"/>
    <n v="825.65597665845007"/>
    <x v="1"/>
    <s v="FABIANO 03/02/26"/>
    <m/>
    <s v="26061/01"/>
    <s v="Envase"/>
    <n v="4720"/>
    <s v="MRFX0001"/>
    <s v="FIXADOR FIX MATTE 120ml"/>
    <n v="120"/>
    <s v="ml"/>
    <x v="0"/>
    <x v="4"/>
    <s v="FIXADOR"/>
    <x v="1"/>
    <m/>
    <m/>
    <m/>
    <m/>
    <m/>
    <m/>
    <m/>
    <m/>
    <m/>
    <m/>
    <m/>
    <m/>
    <m/>
    <m/>
    <m/>
    <m/>
    <m/>
    <m/>
    <m/>
    <m/>
    <m/>
    <s v=""/>
    <m/>
    <m/>
    <m/>
    <m/>
    <m/>
    <m/>
    <m/>
    <m/>
    <m/>
    <m/>
    <m/>
    <x v="1"/>
    <x v="1"/>
  </r>
  <r>
    <d v="2026-03-03T09:46:00"/>
    <d v="2026-03-04T07:30:00"/>
    <n v="6.7333333333954215"/>
    <n v="693.86138613221578"/>
    <x v="1"/>
    <s v="FABIANO 03/02/26"/>
    <m/>
    <s v="26061/02"/>
    <s v="Envase"/>
    <n v="4672"/>
    <s v="MRFX0001"/>
    <s v="FIXADOR FIX MATTE 120ml"/>
    <n v="120"/>
    <s v="ml"/>
    <x v="0"/>
    <x v="4"/>
    <s v="FIXADOR"/>
    <x v="1"/>
    <m/>
    <m/>
    <m/>
    <m/>
    <m/>
    <m/>
    <m/>
    <m/>
    <m/>
    <m/>
    <m/>
    <m/>
    <m/>
    <m/>
    <m/>
    <m/>
    <m/>
    <m/>
    <m/>
    <m/>
    <m/>
    <s v=""/>
    <m/>
    <m/>
    <m/>
    <m/>
    <m/>
    <m/>
    <m/>
    <m/>
    <m/>
    <m/>
    <m/>
    <x v="1"/>
    <x v="1"/>
  </r>
  <r>
    <d v="2026-03-03T10:47:00"/>
    <d v="2026-03-04T14:23:00"/>
    <n v="11.60000000015134"/>
    <n v="408.27586206363895"/>
    <x v="1"/>
    <s v="FABIANO 03/02/26"/>
    <m/>
    <s v="26062/01"/>
    <s v="Envase"/>
    <n v="4736"/>
    <s v="MRFX0001"/>
    <s v="FIXADOR FIX MATTE 120ml"/>
    <n v="120"/>
    <s v="ml"/>
    <x v="0"/>
    <x v="4"/>
    <s v="FIXADOR"/>
    <x v="1"/>
    <m/>
    <m/>
    <m/>
    <m/>
    <m/>
    <m/>
    <m/>
    <m/>
    <m/>
    <m/>
    <m/>
    <m/>
    <m/>
    <m/>
    <m/>
    <m/>
    <m/>
    <m/>
    <m/>
    <m/>
    <m/>
    <s v=""/>
    <m/>
    <m/>
    <m/>
    <m/>
    <m/>
    <m/>
    <m/>
    <m/>
    <m/>
    <m/>
    <m/>
    <x v="1"/>
    <x v="1"/>
  </r>
  <r>
    <d v="2026-03-04T07:30:00"/>
    <d v="2026-03-04T14:22:00"/>
    <n v="5.8666666666977108"/>
    <n v="777.27272726861429"/>
    <x v="1"/>
    <s v="FABIANO 03/02/26"/>
    <m/>
    <s v="26061/03"/>
    <s v="Envase"/>
    <n v="4560"/>
    <s v="MRFX0001"/>
    <s v="FIXADOR FIX MATTE 120ml"/>
    <n v="120"/>
    <s v="ml"/>
    <x v="0"/>
    <x v="4"/>
    <s v="FIXADOR"/>
    <x v="1"/>
    <m/>
    <m/>
    <m/>
    <m/>
    <m/>
    <m/>
    <m/>
    <m/>
    <m/>
    <m/>
    <m/>
    <m/>
    <m/>
    <m/>
    <m/>
    <m/>
    <m/>
    <m/>
    <m/>
    <m/>
    <m/>
    <s v=""/>
    <m/>
    <m/>
    <m/>
    <m/>
    <m/>
    <m/>
    <m/>
    <m/>
    <m/>
    <m/>
    <m/>
    <x v="1"/>
    <x v="1"/>
  </r>
  <r>
    <d v="2026-03-04T15:00:00"/>
    <d v="2026-03-05T15:44:00"/>
    <n v="9.7333333333954215"/>
    <n v="22.602739725883215"/>
    <x v="2"/>
    <s v="HABIBI 01"/>
    <m/>
    <s v="P-26062/04"/>
    <s v="Envase"/>
    <n v="220"/>
    <s v="HBHD0005"/>
    <s v="HIDRATANTE BISNAGA LUX AMBER 200g"/>
    <n v="200"/>
    <s v="g"/>
    <x v="18"/>
    <x v="0"/>
    <s v="CREME HIDRATANTE"/>
    <x v="2"/>
    <s v="RETIRADA 2 PEÇAS: GUSTAVO E MOSTRUARIO"/>
    <m/>
    <m/>
    <m/>
    <m/>
    <m/>
    <m/>
    <m/>
    <m/>
    <m/>
    <m/>
    <m/>
    <m/>
    <m/>
    <m/>
    <m/>
    <m/>
    <m/>
    <m/>
    <m/>
    <m/>
    <s v=""/>
    <m/>
    <m/>
    <m/>
    <m/>
    <m/>
    <m/>
    <m/>
    <m/>
    <m/>
    <m/>
    <m/>
    <x v="1"/>
    <x v="1"/>
  </r>
  <r>
    <d v="2026-03-04T15:30:00"/>
    <d v="2026-03-04T16:10:00"/>
    <n v="0.6666666665696539"/>
    <n v="235.50000003426976"/>
    <x v="2"/>
    <s v="HABIBI 01"/>
    <m/>
    <s v="P-26063/01"/>
    <s v="Envase"/>
    <n v="157"/>
    <s v="HBHD0001"/>
    <s v="HIDRATANTE BISNAGA CELESTIA 200g"/>
    <n v="200"/>
    <s v="g"/>
    <x v="18"/>
    <x v="0"/>
    <s v="CREME HIDRATANTE"/>
    <x v="2"/>
    <s v="RETIRADA 2 PEÇAS: GUSTAVO E MOSTRUARIO"/>
    <m/>
    <m/>
    <m/>
    <m/>
    <m/>
    <m/>
    <m/>
    <m/>
    <m/>
    <m/>
    <m/>
    <m/>
    <m/>
    <m/>
    <m/>
    <m/>
    <m/>
    <m/>
    <m/>
    <m/>
    <s v=""/>
    <m/>
    <m/>
    <m/>
    <m/>
    <m/>
    <m/>
    <m/>
    <m/>
    <m/>
    <m/>
    <m/>
    <x v="1"/>
    <x v="1"/>
  </r>
  <r>
    <d v="2026-03-05T09:00:00"/>
    <d v="2026-03-05T10:20:00"/>
    <n v="1.3333333333139308"/>
    <n v="104.25000000151704"/>
    <x v="2"/>
    <s v="HABIBI 01"/>
    <m/>
    <s v="P-26063/02"/>
    <s v="Envase"/>
    <n v="139"/>
    <s v="HBHD0002"/>
    <s v="HIDRATANTE BISNAGA IMPERIUM 200g"/>
    <n v="200"/>
    <s v="g"/>
    <x v="18"/>
    <x v="0"/>
    <s v="CREME HIDRATANTE"/>
    <x v="2"/>
    <s v="RETIRADA 2 PEÇAS: GUSTAVO E MOSTRUARIO"/>
    <m/>
    <m/>
    <m/>
    <m/>
    <m/>
    <m/>
    <m/>
    <m/>
    <m/>
    <m/>
    <m/>
    <m/>
    <m/>
    <m/>
    <m/>
    <m/>
    <m/>
    <m/>
    <m/>
    <m/>
    <s v=""/>
    <m/>
    <m/>
    <m/>
    <m/>
    <m/>
    <m/>
    <m/>
    <m/>
    <m/>
    <m/>
    <m/>
    <x v="1"/>
    <x v="1"/>
  </r>
  <r>
    <d v="2026-03-05T10:30:00"/>
    <d v="2026-03-05T11:15:00"/>
    <n v="0.75"/>
    <n v="173.33333333333334"/>
    <x v="2"/>
    <s v="HABIBI 01"/>
    <m/>
    <s v="P-26063/03"/>
    <s v="Envase"/>
    <n v="130"/>
    <s v="HBHD0007"/>
    <s v="HIDRATANTE BISNAGA IMPERIUM BOURBON 200g"/>
    <n v="200"/>
    <s v="g"/>
    <x v="18"/>
    <x v="0"/>
    <s v="CREME HIDRATANTE"/>
    <x v="2"/>
    <s v="RETIRADA 2 PEÇAS: GUSTAVO E MOSTRUARIO"/>
    <m/>
    <m/>
    <m/>
    <m/>
    <m/>
    <m/>
    <m/>
    <m/>
    <m/>
    <m/>
    <m/>
    <m/>
    <m/>
    <m/>
    <m/>
    <m/>
    <m/>
    <m/>
    <m/>
    <m/>
    <s v=""/>
    <m/>
    <m/>
    <m/>
    <m/>
    <m/>
    <m/>
    <m/>
    <m/>
    <m/>
    <m/>
    <m/>
    <x v="1"/>
    <x v="1"/>
  </r>
  <r>
    <d v="2026-03-05T10:56:00"/>
    <d v="2026-03-06T08:20:00"/>
    <n v="6.4000000000232831"/>
    <n v="754.99999999725333"/>
    <x v="1"/>
    <s v="FABIANO 03/02/26"/>
    <m/>
    <s v="26062/03"/>
    <s v="Envase"/>
    <n v="4832"/>
    <s v="MRFX0001"/>
    <s v="FIXADOR FIX MATTE 120ml"/>
    <n v="120"/>
    <s v="ml"/>
    <x v="0"/>
    <x v="4"/>
    <s v="FIXADOR"/>
    <x v="1"/>
    <m/>
    <m/>
    <m/>
    <m/>
    <m/>
    <m/>
    <m/>
    <m/>
    <m/>
    <m/>
    <m/>
    <m/>
    <m/>
    <m/>
    <m/>
    <m/>
    <m/>
    <m/>
    <m/>
    <m/>
    <m/>
    <s v=""/>
    <m/>
    <m/>
    <m/>
    <m/>
    <m/>
    <m/>
    <m/>
    <m/>
    <m/>
    <m/>
    <m/>
    <x v="1"/>
    <x v="1"/>
  </r>
  <r>
    <d v="2026-03-05T14:50:00"/>
    <d v="2026-03-05T15:00:00"/>
    <n v="0.16666666668606922"/>
    <n v="947.99999988963827"/>
    <x v="2"/>
    <s v="HABIBI 01"/>
    <m/>
    <s v="P-26064/06"/>
    <s v="Envase"/>
    <n v="158"/>
    <s v="HBHD0004"/>
    <s v="HIDRATANTE BISNAGA ROSE AURORA 200g"/>
    <n v="200"/>
    <s v="g"/>
    <x v="18"/>
    <x v="0"/>
    <s v="CREME HIDRATANTE"/>
    <x v="2"/>
    <s v="RETIRADA 2 PEÇAS: GUSTAVO E MOSTRUARIO"/>
    <m/>
    <m/>
    <m/>
    <m/>
    <m/>
    <m/>
    <m/>
    <m/>
    <m/>
    <m/>
    <m/>
    <m/>
    <m/>
    <m/>
    <m/>
    <m/>
    <m/>
    <m/>
    <m/>
    <m/>
    <s v=""/>
    <m/>
    <m/>
    <m/>
    <m/>
    <m/>
    <m/>
    <m/>
    <m/>
    <m/>
    <m/>
    <m/>
    <x v="1"/>
    <x v="1"/>
  </r>
  <r>
    <d v="2026-03-05T16:00:00"/>
    <d v="2026-03-05T16:35:00"/>
    <n v="0.58333333331393078"/>
    <n v="246.85714286535369"/>
    <x v="2"/>
    <s v="HABIBI 01"/>
    <m/>
    <s v="P-26064/04"/>
    <s v="Envase"/>
    <n v="144"/>
    <s v="HBHD0006"/>
    <s v="HIDRATANTE BISNAGA ANGELUS 200g"/>
    <n v="200"/>
    <s v="g"/>
    <x v="18"/>
    <x v="0"/>
    <s v="CREME HIDRATANTE"/>
    <x v="2"/>
    <s v="RETIRADA 2 PEÇAS: GUSTAVO E MOSTRUARIO"/>
    <m/>
    <m/>
    <m/>
    <m/>
    <m/>
    <m/>
    <m/>
    <m/>
    <m/>
    <m/>
    <m/>
    <m/>
    <m/>
    <m/>
    <m/>
    <m/>
    <m/>
    <m/>
    <m/>
    <m/>
    <s v=""/>
    <m/>
    <m/>
    <m/>
    <m/>
    <m/>
    <m/>
    <m/>
    <m/>
    <m/>
    <m/>
    <m/>
    <x v="1"/>
    <x v="1"/>
  </r>
  <r>
    <d v="2026-03-06T07:18:00"/>
    <d v="2026-03-06T07:40:00"/>
    <n v="0.36666666663950309"/>
    <n v="392.72727275636692"/>
    <x v="2"/>
    <s v="HABIBI 01"/>
    <m/>
    <s v="P-26064/05"/>
    <s v="Envase"/>
    <n v="144"/>
    <s v="HBHD0008"/>
    <s v="HIDRATANTE BISNAGA DELICADA 200g"/>
    <n v="200"/>
    <s v="g"/>
    <x v="18"/>
    <x v="0"/>
    <s v="CREME HIDRATANTE"/>
    <x v="2"/>
    <s v="RETIRADA 2 PEÇAS: GUSTAVO E MOSTRUARIO"/>
    <m/>
    <m/>
    <m/>
    <m/>
    <m/>
    <m/>
    <m/>
    <m/>
    <m/>
    <m/>
    <m/>
    <m/>
    <m/>
    <m/>
    <m/>
    <m/>
    <m/>
    <m/>
    <m/>
    <m/>
    <s v=""/>
    <m/>
    <m/>
    <m/>
    <m/>
    <m/>
    <m/>
    <m/>
    <m/>
    <m/>
    <m/>
    <m/>
    <x v="1"/>
    <x v="1"/>
  </r>
  <r>
    <d v="2026-03-06T08:21:00"/>
    <d v="2026-03-06T09:18:00"/>
    <n v="0.94999999995343387"/>
    <n v="158.94736842884376"/>
    <x v="2"/>
    <s v="HABIBI 01"/>
    <m/>
    <s v="P-2664/07"/>
    <s v="Envase"/>
    <n v="151"/>
    <s v="HBHD0003"/>
    <s v="HIDRATANTE BISNAGA ROSA SUBLIME 200g"/>
    <n v="200"/>
    <s v="g"/>
    <x v="18"/>
    <x v="0"/>
    <s v="CREME HIDRATANTE"/>
    <x v="2"/>
    <s v="RETIRADA 2 PEÇAS: GUSTAVO E MOSTRUARIO"/>
    <m/>
    <m/>
    <m/>
    <m/>
    <m/>
    <m/>
    <m/>
    <m/>
    <m/>
    <m/>
    <m/>
    <m/>
    <m/>
    <m/>
    <m/>
    <m/>
    <m/>
    <m/>
    <m/>
    <m/>
    <s v=""/>
    <m/>
    <m/>
    <m/>
    <m/>
    <m/>
    <m/>
    <m/>
    <m/>
    <m/>
    <m/>
    <m/>
    <x v="1"/>
    <x v="1"/>
  </r>
  <r>
    <d v="2026-03-06T10:56:00"/>
    <d v="2026-03-07T13:00:00"/>
    <n v="10.066666666592937"/>
    <n v="460.9271523212567"/>
    <x v="1"/>
    <s v="FABIANO 03/02/26"/>
    <m/>
    <s v="26062/02"/>
    <s v="Envase"/>
    <n v="4640"/>
    <s v="MRFX0001"/>
    <s v="FIXADOR FIX MATTE 120ml"/>
    <n v="120"/>
    <s v="ml"/>
    <x v="0"/>
    <x v="4"/>
    <s v="FIXADOR"/>
    <x v="1"/>
    <m/>
    <m/>
    <m/>
    <m/>
    <m/>
    <m/>
    <m/>
    <m/>
    <m/>
    <m/>
    <m/>
    <m/>
    <m/>
    <m/>
    <m/>
    <m/>
    <m/>
    <m/>
    <m/>
    <m/>
    <m/>
    <s v=""/>
    <m/>
    <m/>
    <m/>
    <m/>
    <m/>
    <m/>
    <m/>
    <m/>
    <m/>
    <m/>
    <m/>
    <x v="1"/>
    <x v="1"/>
  </r>
  <r>
    <d v="2026-03-06T13:00:00"/>
    <d v="2026-03-07T09:24:00"/>
    <n v="5.4000000001396984"/>
    <n v="865.18518516280278"/>
    <x v="1"/>
    <s v="FABIANO 03/02/26"/>
    <m/>
    <s v="26064/01"/>
    <s v="Envase"/>
    <n v="4672"/>
    <s v="MRFX0001"/>
    <s v="FIXADOR FIX MATTE 120ml"/>
    <n v="120"/>
    <s v="ml"/>
    <x v="0"/>
    <x v="4"/>
    <s v="FIXADOR"/>
    <x v="1"/>
    <m/>
    <m/>
    <m/>
    <m/>
    <m/>
    <m/>
    <m/>
    <m/>
    <m/>
    <m/>
    <m/>
    <m/>
    <m/>
    <m/>
    <m/>
    <m/>
    <m/>
    <m/>
    <m/>
    <m/>
    <m/>
    <s v=""/>
    <m/>
    <m/>
    <m/>
    <m/>
    <m/>
    <m/>
    <m/>
    <m/>
    <m/>
    <m/>
    <m/>
    <x v="1"/>
    <x v="1"/>
  </r>
  <r>
    <d v="2026-03-07T09:24:00"/>
    <d v="2026-03-09T07:40:00"/>
    <n v="7.2666666667209938"/>
    <n v="693.57798164619078"/>
    <x v="1"/>
    <s v="FABIANO 03/02/26"/>
    <m/>
    <s v="26064/02"/>
    <s v="Envase"/>
    <n v="5040"/>
    <s v="MRFX0001"/>
    <s v="FIXADOR FIX MATTE 120ml"/>
    <n v="120"/>
    <s v="ml"/>
    <x v="0"/>
    <x v="4"/>
    <s v="FIXADOR"/>
    <x v="1"/>
    <m/>
    <m/>
    <m/>
    <m/>
    <m/>
    <m/>
    <m/>
    <m/>
    <m/>
    <m/>
    <m/>
    <m/>
    <m/>
    <m/>
    <m/>
    <m/>
    <m/>
    <m/>
    <m/>
    <m/>
    <m/>
    <s v=""/>
    <m/>
    <m/>
    <m/>
    <m/>
    <m/>
    <m/>
    <m/>
    <m/>
    <m/>
    <m/>
    <m/>
    <x v="1"/>
    <x v="1"/>
  </r>
  <r>
    <d v="2026-03-09T07:40:00"/>
    <d v="2026-03-09T10:37:00"/>
    <n v="2.9500000000116415"/>
    <n v="954.57627118267362"/>
    <x v="1"/>
    <s v="FABIANO 03/02/26"/>
    <m/>
    <s v="26064/03"/>
    <s v="Envase"/>
    <n v="2816"/>
    <s v="MRFX0001"/>
    <s v="FIXADOR FIX MATTE 120ml"/>
    <n v="120"/>
    <s v="ml"/>
    <x v="0"/>
    <x v="4"/>
    <s v="FIXADOR"/>
    <x v="1"/>
    <m/>
    <m/>
    <m/>
    <m/>
    <m/>
    <m/>
    <m/>
    <m/>
    <m/>
    <m/>
    <m/>
    <m/>
    <m/>
    <m/>
    <m/>
    <m/>
    <m/>
    <m/>
    <m/>
    <m/>
    <m/>
    <s v=""/>
    <m/>
    <m/>
    <m/>
    <m/>
    <m/>
    <m/>
    <m/>
    <m/>
    <m/>
    <m/>
    <m/>
    <x v="1"/>
    <x v="1"/>
  </r>
  <r>
    <d v="2026-03-09T10:31:00"/>
    <d v="2026-03-09T15:26:00"/>
    <n v="3.9166666666278616"/>
    <n v="1123.4042553302793"/>
    <x v="1"/>
    <s v="REPOSICAO BRIA 01"/>
    <m/>
    <s v="26068/01"/>
    <s v="Envase"/>
    <n v="4400"/>
    <s v="BBSJBS05-2"/>
    <s v="BODY SPLASH ZAHRA 120ml"/>
    <n v="120"/>
    <s v="ml"/>
    <x v="16"/>
    <x v="1"/>
    <s v="BODY SPLASH"/>
    <x v="1"/>
    <m/>
    <m/>
    <m/>
    <m/>
    <m/>
    <m/>
    <m/>
    <m/>
    <m/>
    <m/>
    <m/>
    <m/>
    <m/>
    <m/>
    <m/>
    <m/>
    <m/>
    <m/>
    <m/>
    <m/>
    <m/>
    <s v=""/>
    <m/>
    <m/>
    <m/>
    <m/>
    <m/>
    <m/>
    <m/>
    <m/>
    <m/>
    <m/>
    <m/>
    <x v="1"/>
    <x v="1"/>
  </r>
  <r>
    <d v="2026-03-09T15:27:00"/>
    <d v="2026-03-10T11:50:00"/>
    <n v="6.3833333333604969"/>
    <n v="777.02349869121042"/>
    <x v="1"/>
    <s v="REPOSICAO BRIA 01"/>
    <m/>
    <s v="26068/03"/>
    <s v="Envase"/>
    <n v="4960"/>
    <s v="BBSJBS05-2"/>
    <s v="BODY SPLASH ZAHRA 120ml"/>
    <n v="120"/>
    <s v="ml"/>
    <x v="16"/>
    <x v="1"/>
    <s v="BODY SPLASH"/>
    <x v="1"/>
    <m/>
    <m/>
    <m/>
    <m/>
    <m/>
    <m/>
    <m/>
    <m/>
    <m/>
    <m/>
    <m/>
    <m/>
    <m/>
    <m/>
    <m/>
    <m/>
    <m/>
    <m/>
    <m/>
    <m/>
    <m/>
    <s v=""/>
    <m/>
    <m/>
    <m/>
    <m/>
    <m/>
    <m/>
    <m/>
    <m/>
    <m/>
    <m/>
    <m/>
    <x v="1"/>
    <x v="1"/>
  </r>
  <r>
    <d v="2026-03-10T11:30:00"/>
    <d v="2026-03-10T16:30:00"/>
    <n v="4.0000000000582077"/>
    <n v="999.99999998544808"/>
    <x v="1"/>
    <s v="REPOSICAO BRIA 01"/>
    <m/>
    <s v="26068/05"/>
    <s v="Envase"/>
    <n v="4000"/>
    <s v="BBSJBS05-2"/>
    <s v="BODY SPLASH ZAHRA 120ml"/>
    <n v="120"/>
    <s v="ml"/>
    <x v="16"/>
    <x v="1"/>
    <s v="BODY SPLASH"/>
    <x v="1"/>
    <m/>
    <m/>
    <m/>
    <m/>
    <m/>
    <m/>
    <m/>
    <m/>
    <m/>
    <m/>
    <m/>
    <m/>
    <m/>
    <m/>
    <m/>
    <m/>
    <m/>
    <m/>
    <m/>
    <m/>
    <m/>
    <s v=""/>
    <m/>
    <m/>
    <m/>
    <m/>
    <m/>
    <m/>
    <m/>
    <m/>
    <m/>
    <m/>
    <m/>
    <x v="1"/>
    <x v="1"/>
  </r>
  <r>
    <d v="2026-03-10T11:30:00"/>
    <d v="2026-03-11T09:10:00"/>
    <n v="6.6666666668606922"/>
    <n v="671.99999998044223"/>
    <x v="2"/>
    <s v="REPOSICAO BRIA 01"/>
    <m/>
    <s v="26068/04"/>
    <s v="Envase"/>
    <n v="4480"/>
    <s v="BBSJBS05-2"/>
    <s v="BODY SPLASH ZAHRA 120ml"/>
    <n v="120"/>
    <s v="ml"/>
    <x v="16"/>
    <x v="1"/>
    <s v="BODY SPLASH"/>
    <x v="1"/>
    <m/>
    <m/>
    <m/>
    <m/>
    <m/>
    <m/>
    <m/>
    <m/>
    <m/>
    <m/>
    <m/>
    <m/>
    <m/>
    <m/>
    <m/>
    <m/>
    <m/>
    <m/>
    <m/>
    <m/>
    <m/>
    <s v=""/>
    <m/>
    <m/>
    <m/>
    <m/>
    <m/>
    <m/>
    <m/>
    <m/>
    <m/>
    <m/>
    <m/>
    <x v="1"/>
    <x v="1"/>
  </r>
  <r>
    <d v="2026-03-11T08:10:00"/>
    <d v="2026-03-11T11:34:00"/>
    <n v="3.3999999999068677"/>
    <n v="790.58823531577332"/>
    <x v="1"/>
    <s v="MARIO 09/02/26"/>
    <m/>
    <s v="26069/04"/>
    <s v="Envase"/>
    <n v="2688"/>
    <s v="GZLBBS01"/>
    <s v="BODY SPLASH GOTA LOVE"/>
    <n v="210"/>
    <s v="ml"/>
    <x v="8"/>
    <x v="1"/>
    <s v="BODY SPLASH"/>
    <x v="1"/>
    <m/>
    <m/>
    <m/>
    <m/>
    <m/>
    <m/>
    <m/>
    <m/>
    <m/>
    <m/>
    <m/>
    <m/>
    <m/>
    <m/>
    <m/>
    <m/>
    <m/>
    <m/>
    <m/>
    <m/>
    <m/>
    <s v=""/>
    <m/>
    <m/>
    <m/>
    <m/>
    <m/>
    <m/>
    <m/>
    <m/>
    <m/>
    <m/>
    <m/>
    <x v="1"/>
    <x v="1"/>
  </r>
  <r>
    <d v="2026-03-11T09:13:00"/>
    <d v="2026-03-11T15:35:00"/>
    <n v="5.3666666666395031"/>
    <n v="804.96894410345328"/>
    <x v="1"/>
    <s v="REPOSICAO BRIA 01"/>
    <m/>
    <s v="26068/02"/>
    <s v="Envase"/>
    <n v="4320"/>
    <s v="BBSJBS05-2"/>
    <s v="BODY SPLASH ZAHRA 120ml"/>
    <n v="120"/>
    <s v="ml"/>
    <x v="16"/>
    <x v="1"/>
    <s v="BODY SPLASH"/>
    <x v="1"/>
    <m/>
    <m/>
    <m/>
    <m/>
    <m/>
    <m/>
    <m/>
    <m/>
    <m/>
    <m/>
    <m/>
    <m/>
    <m/>
    <m/>
    <m/>
    <m/>
    <m/>
    <m/>
    <m/>
    <m/>
    <m/>
    <s v=""/>
    <m/>
    <m/>
    <m/>
    <m/>
    <m/>
    <m/>
    <m/>
    <m/>
    <m/>
    <m/>
    <m/>
    <x v="1"/>
    <x v="1"/>
  </r>
  <r>
    <d v="2026-03-11T11:40:00"/>
    <d v="2026-03-11T14:30:00"/>
    <n v="1.8333333333139308"/>
    <n v="1461.8181818336525"/>
    <x v="2"/>
    <s v="MARIO 09/02/26"/>
    <m/>
    <s v="26070/01"/>
    <s v="Envase"/>
    <n v="2680"/>
    <s v="GZLBBS02"/>
    <s v="BODY SPLASH ARABYS' AMBAR"/>
    <n v="210"/>
    <s v="ml"/>
    <x v="8"/>
    <x v="1"/>
    <s v="BODY SPLASH"/>
    <x v="1"/>
    <m/>
    <m/>
    <m/>
    <m/>
    <m/>
    <m/>
    <m/>
    <m/>
    <m/>
    <m/>
    <m/>
    <m/>
    <m/>
    <m/>
    <m/>
    <m/>
    <m/>
    <m/>
    <m/>
    <m/>
    <m/>
    <s v=""/>
    <m/>
    <m/>
    <m/>
    <m/>
    <m/>
    <m/>
    <m/>
    <m/>
    <m/>
    <m/>
    <m/>
    <x v="1"/>
    <x v="1"/>
  </r>
  <r>
    <d v="2026-03-11T16:00:00"/>
    <d v="2026-03-12T10:30:00"/>
    <n v="4.500000000174623"/>
    <n v="728.88888886060431"/>
    <x v="1"/>
    <s v="REPOSICAO BRIA 01"/>
    <m/>
    <s v="26069/01"/>
    <s v="Envase"/>
    <n v="3280"/>
    <s v="BBSJBS05-2"/>
    <s v="BODY SPLASH ZAHRA 120ml"/>
    <n v="120"/>
    <s v="ml"/>
    <x v="16"/>
    <x v="1"/>
    <s v="BODY SPLASH"/>
    <x v="1"/>
    <m/>
    <m/>
    <m/>
    <m/>
    <m/>
    <m/>
    <m/>
    <m/>
    <m/>
    <m/>
    <m/>
    <m/>
    <m/>
    <m/>
    <m/>
    <m/>
    <m/>
    <m/>
    <m/>
    <m/>
    <m/>
    <s v=""/>
    <m/>
    <m/>
    <m/>
    <m/>
    <m/>
    <m/>
    <m/>
    <m/>
    <m/>
    <m/>
    <m/>
    <x v="1"/>
    <x v="1"/>
  </r>
  <r>
    <d v="2026-03-12T07:20:00"/>
    <d v="2026-03-12T10:21:00"/>
    <n v="3.0166666667209938"/>
    <n v="902.98342539810278"/>
    <x v="2"/>
    <s v="MARIO 09/02/26"/>
    <m/>
    <s v="26070/02"/>
    <s v="Envase"/>
    <n v="2724"/>
    <s v="GZLBBS03"/>
    <s v="BODY SPLASH GOTA BELLE"/>
    <n v="210"/>
    <s v="ml"/>
    <x v="8"/>
    <x v="1"/>
    <s v="BODY SPLASH"/>
    <x v="1"/>
    <m/>
    <m/>
    <m/>
    <m/>
    <m/>
    <m/>
    <m/>
    <m/>
    <m/>
    <m/>
    <m/>
    <m/>
    <m/>
    <m/>
    <m/>
    <m/>
    <m/>
    <m/>
    <m/>
    <m/>
    <m/>
    <s v=""/>
    <m/>
    <m/>
    <m/>
    <m/>
    <m/>
    <m/>
    <m/>
    <m/>
    <m/>
    <m/>
    <m/>
    <x v="1"/>
    <x v="1"/>
  </r>
  <r>
    <d v="2026-03-12T10:35:00"/>
    <d v="2026-03-12T15:32:00"/>
    <n v="3.9500000000698492"/>
    <n v="688.10126581061684"/>
    <x v="2"/>
    <s v="MARIO 09/02/26"/>
    <m/>
    <s v="26070/03"/>
    <s v="Envase"/>
    <n v="2718"/>
    <s v="GZLBBS04"/>
    <s v="BODY SPLASH ARABYS' FEROZ"/>
    <n v="210"/>
    <s v="ml"/>
    <x v="8"/>
    <x v="1"/>
    <s v="BODY SPLASH"/>
    <x v="1"/>
    <m/>
    <m/>
    <m/>
    <m/>
    <m/>
    <m/>
    <m/>
    <m/>
    <m/>
    <m/>
    <m/>
    <m/>
    <m/>
    <m/>
    <m/>
    <m/>
    <m/>
    <m/>
    <m/>
    <m/>
    <m/>
    <s v=""/>
    <m/>
    <m/>
    <m/>
    <m/>
    <m/>
    <m/>
    <m/>
    <m/>
    <m/>
    <m/>
    <m/>
    <x v="1"/>
    <x v="1"/>
  </r>
  <r>
    <d v="2026-03-12T10:35:00"/>
    <d v="2026-03-12T14:15:00"/>
    <n v="2.6666666667442769"/>
    <n v="620.24999998194835"/>
    <x v="1"/>
    <s v="REPOSICAO BRIA 01"/>
    <m/>
    <s v="26069/02"/>
    <s v="Envase"/>
    <n v="1654"/>
    <s v="BBSJBS05-2"/>
    <s v="BODY SPLASH ZAHRA 120ml"/>
    <n v="120"/>
    <s v="ml"/>
    <x v="16"/>
    <x v="1"/>
    <s v="BODY SPLASH"/>
    <x v="1"/>
    <m/>
    <m/>
    <m/>
    <m/>
    <m/>
    <m/>
    <m/>
    <m/>
    <m/>
    <m/>
    <m/>
    <m/>
    <m/>
    <m/>
    <m/>
    <m/>
    <m/>
    <m/>
    <m/>
    <m/>
    <m/>
    <s v=""/>
    <m/>
    <m/>
    <m/>
    <m/>
    <m/>
    <m/>
    <m/>
    <m/>
    <m/>
    <m/>
    <m/>
    <x v="1"/>
    <x v="1"/>
  </r>
  <r>
    <d v="2026-03-12T14:42:00"/>
    <d v="2026-03-13T11:00:00"/>
    <n v="6.3000000001047738"/>
    <n v="787.30158728849392"/>
    <x v="1"/>
    <s v="REPOSICAO BRIA 01"/>
    <m/>
    <s v="26071/02"/>
    <s v="Envase"/>
    <n v="4960"/>
    <s v="BBSJBS04-2"/>
    <s v="BODY SPLASH SOL TROPICAL 58 120ml"/>
    <n v="120"/>
    <s v="ml"/>
    <x v="16"/>
    <x v="1"/>
    <s v="BODY SPLASH"/>
    <x v="1"/>
    <m/>
    <m/>
    <m/>
    <m/>
    <m/>
    <m/>
    <m/>
    <m/>
    <m/>
    <m/>
    <m/>
    <m/>
    <m/>
    <m/>
    <m/>
    <m/>
    <m/>
    <m/>
    <m/>
    <m/>
    <m/>
    <s v=""/>
    <m/>
    <m/>
    <m/>
    <m/>
    <m/>
    <m/>
    <m/>
    <m/>
    <m/>
    <m/>
    <m/>
    <x v="1"/>
    <x v="1"/>
  </r>
  <r>
    <d v="2026-03-12T16:00:00"/>
    <d v="2026-03-13T14:34:00"/>
    <n v="7.5666666668257676"/>
    <n v="592.07048456904863"/>
    <x v="2"/>
    <s v="REPOSICAO BRIA 01"/>
    <m/>
    <s v="26071/03"/>
    <s v="Envase"/>
    <n v="4480"/>
    <s v="BBSJBS04-2"/>
    <s v="BODY SPLASH SOL TROPICAL 58 120ml"/>
    <n v="120"/>
    <s v="ml"/>
    <x v="16"/>
    <x v="1"/>
    <s v="BODY SPLASH"/>
    <x v="1"/>
    <m/>
    <m/>
    <m/>
    <m/>
    <m/>
    <m/>
    <m/>
    <m/>
    <m/>
    <m/>
    <m/>
    <m/>
    <m/>
    <m/>
    <m/>
    <m/>
    <m/>
    <m/>
    <m/>
    <m/>
    <m/>
    <s v=""/>
    <m/>
    <m/>
    <m/>
    <m/>
    <m/>
    <m/>
    <m/>
    <m/>
    <m/>
    <m/>
    <m/>
    <x v="1"/>
    <x v="1"/>
  </r>
  <r>
    <d v="2026-03-13T14:34:00"/>
    <d v="2026-03-16T14:00:00"/>
    <n v="7.433333333407063"/>
    <n v="581.16591927674676"/>
    <x v="2"/>
    <s v="REPOSICAO BRIA 01"/>
    <m/>
    <s v="26071/04"/>
    <s v="Envase"/>
    <n v="4320"/>
    <s v="BBSJBS04-2"/>
    <s v="BODY SPLASH SOL TROPICAL 58 120ml"/>
    <n v="120"/>
    <s v="ml"/>
    <x v="16"/>
    <x v="1"/>
    <s v="BODY SPLASH"/>
    <x v="1"/>
    <m/>
    <m/>
    <m/>
    <m/>
    <m/>
    <m/>
    <m/>
    <m/>
    <m/>
    <m/>
    <m/>
    <m/>
    <m/>
    <m/>
    <m/>
    <m/>
    <m/>
    <m/>
    <m/>
    <m/>
    <m/>
    <s v=""/>
    <m/>
    <m/>
    <m/>
    <m/>
    <m/>
    <m/>
    <m/>
    <m/>
    <m/>
    <m/>
    <m/>
    <x v="1"/>
    <x v="1"/>
  </r>
  <r>
    <d v="2026-03-16T11:45:00"/>
    <d v="2026-03-16T15:52:00"/>
    <n v="3.1166666666395031"/>
    <n v="556.6844919834615"/>
    <x v="1"/>
    <s v="HABIBI 01"/>
    <m/>
    <s v="26075/01"/>
    <s v="Envase"/>
    <n v="1735"/>
    <s v="HBHD0008"/>
    <s v="HIDRATANTE BISNAGA DELICADA 200g"/>
    <n v="200"/>
    <s v="g"/>
    <x v="18"/>
    <x v="0"/>
    <s v="CREME HIDRATANTE"/>
    <x v="2"/>
    <m/>
    <m/>
    <m/>
    <m/>
    <m/>
    <m/>
    <m/>
    <m/>
    <m/>
    <m/>
    <m/>
    <m/>
    <m/>
    <m/>
    <m/>
    <m/>
    <m/>
    <m/>
    <m/>
    <m/>
    <m/>
    <s v=""/>
    <m/>
    <m/>
    <m/>
    <m/>
    <m/>
    <m/>
    <m/>
    <m/>
    <m/>
    <m/>
    <m/>
    <x v="1"/>
    <x v="1"/>
  </r>
  <r>
    <d v="2026-03-16T14:00:00"/>
    <d v="2026-03-17T09:45:00"/>
    <n v="5.7500000000582077"/>
    <n v="595.99999999396664"/>
    <x v="2"/>
    <s v="REPOSICAO BRIA 01"/>
    <m/>
    <s v="26071/05"/>
    <s v="Envase"/>
    <n v="3427"/>
    <s v="BBSJBS04-2"/>
    <s v="BODY SPLASH SOL TROPICAL 58 120ml"/>
    <n v="120"/>
    <s v="ml"/>
    <x v="16"/>
    <x v="1"/>
    <s v="BODY SPLASH"/>
    <x v="1"/>
    <m/>
    <m/>
    <m/>
    <m/>
    <m/>
    <m/>
    <m/>
    <m/>
    <m/>
    <m/>
    <m/>
    <m/>
    <m/>
    <m/>
    <m/>
    <m/>
    <m/>
    <m/>
    <m/>
    <m/>
    <m/>
    <s v=""/>
    <m/>
    <m/>
    <m/>
    <m/>
    <m/>
    <m/>
    <m/>
    <m/>
    <m/>
    <m/>
    <m/>
    <x v="1"/>
    <x v="1"/>
  </r>
  <r>
    <d v="2026-03-16T15:15:00"/>
    <d v="2026-03-17T10:15:00"/>
    <n v="5.0000000002328306"/>
    <n v="392.99999998169949"/>
    <x v="1"/>
    <s v="HABIBI 01"/>
    <m/>
    <s v="26075/02"/>
    <s v="Envase"/>
    <n v="1965"/>
    <s v="HBHD0002"/>
    <s v="HIDRATANTE BISNAGA IMPERIUM 200g"/>
    <n v="200"/>
    <s v="g"/>
    <x v="18"/>
    <x v="0"/>
    <s v="CREME HIDRATANTE"/>
    <x v="2"/>
    <m/>
    <m/>
    <m/>
    <m/>
    <m/>
    <m/>
    <m/>
    <m/>
    <m/>
    <m/>
    <m/>
    <m/>
    <m/>
    <m/>
    <m/>
    <m/>
    <m/>
    <m/>
    <m/>
    <m/>
    <m/>
    <s v=""/>
    <m/>
    <m/>
    <m/>
    <m/>
    <m/>
    <m/>
    <m/>
    <m/>
    <m/>
    <m/>
    <m/>
    <x v="1"/>
    <x v="1"/>
  </r>
  <r>
    <d v="2026-03-17T10:20:00"/>
    <d v="2026-03-17T15:20:00"/>
    <n v="4.0000000000582077"/>
    <n v="483.99999999295687"/>
    <x v="1"/>
    <s v="HABIBI 01"/>
    <m/>
    <s v="26076/01"/>
    <s v="Envase"/>
    <n v="1936"/>
    <s v="HBHD0007"/>
    <s v="HIDRATANTE BISNAGA IMPERIUM BOURBON 200g"/>
    <n v="200"/>
    <s v="g"/>
    <x v="18"/>
    <x v="0"/>
    <s v="CREME HIDRATANTE"/>
    <x v="2"/>
    <m/>
    <m/>
    <m/>
    <m/>
    <m/>
    <m/>
    <m/>
    <m/>
    <m/>
    <m/>
    <m/>
    <m/>
    <m/>
    <m/>
    <m/>
    <m/>
    <m/>
    <m/>
    <m/>
    <m/>
    <m/>
    <s v=""/>
    <m/>
    <m/>
    <m/>
    <m/>
    <m/>
    <m/>
    <m/>
    <m/>
    <m/>
    <m/>
    <m/>
    <x v="1"/>
    <x v="1"/>
  </r>
  <r>
    <d v="2026-03-17T15:20:00"/>
    <d v="2026-03-18T08:16:00"/>
    <n v="2.9333333334652707"/>
    <n v="1472.7272726610315"/>
    <x v="2"/>
    <s v="REPOSICAO BRIA 01"/>
    <m/>
    <s v="26076/02"/>
    <s v="Envase"/>
    <n v="4320"/>
    <s v="BBSJBS03-2"/>
    <s v="BODY SPLASH LUNAR 120ml"/>
    <n v="120"/>
    <s v="ml"/>
    <x v="16"/>
    <x v="1"/>
    <s v="BODY SPLASH"/>
    <x v="1"/>
    <m/>
    <m/>
    <m/>
    <m/>
    <m/>
    <m/>
    <m/>
    <m/>
    <m/>
    <m/>
    <m/>
    <m/>
    <m/>
    <m/>
    <m/>
    <m/>
    <m/>
    <m/>
    <m/>
    <m/>
    <m/>
    <s v=""/>
    <m/>
    <m/>
    <m/>
    <m/>
    <m/>
    <m/>
    <m/>
    <m/>
    <m/>
    <m/>
    <m/>
    <x v="1"/>
    <x v="1"/>
  </r>
  <r>
    <d v="2026-03-17T15:40:00"/>
    <d v="2026-03-18T09:34:00"/>
    <n v="3.8999999999650754"/>
    <n v="479.23076923506073"/>
    <x v="1"/>
    <s v="HABIBI 01"/>
    <m/>
    <s v="26076/07"/>
    <s v="Envase"/>
    <n v="1869"/>
    <s v="HBHD0006"/>
    <s v="HIDRATANTE BISNAGA ANGELUS 200g"/>
    <n v="200"/>
    <s v="g"/>
    <x v="18"/>
    <x v="0"/>
    <s v="CREME HIDRATANTE"/>
    <x v="2"/>
    <m/>
    <m/>
    <m/>
    <m/>
    <m/>
    <m/>
    <m/>
    <m/>
    <m/>
    <m/>
    <m/>
    <m/>
    <m/>
    <m/>
    <m/>
    <m/>
    <m/>
    <m/>
    <m/>
    <m/>
    <m/>
    <s v=""/>
    <m/>
    <m/>
    <m/>
    <m/>
    <m/>
    <m/>
    <m/>
    <m/>
    <m/>
    <m/>
    <m/>
    <x v="1"/>
    <x v="1"/>
  </r>
  <r>
    <d v="2026-03-18T08:17:00"/>
    <d v="2026-03-18T15:40:00"/>
    <n v="6.3833333334769122"/>
    <n v="690.70496081997328"/>
    <x v="2"/>
    <s v="REPOSICAO BRIA 01"/>
    <m/>
    <s v="26076/03"/>
    <s v="Envase"/>
    <n v="4409"/>
    <s v="BBSJBS03-2"/>
    <s v="BODY SPLASH LUNAR 120ml"/>
    <n v="120"/>
    <s v="ml"/>
    <x v="16"/>
    <x v="1"/>
    <s v="BODY SPLASH"/>
    <x v="1"/>
    <m/>
    <m/>
    <m/>
    <m/>
    <m/>
    <m/>
    <m/>
    <m/>
    <m/>
    <m/>
    <m/>
    <m/>
    <m/>
    <m/>
    <m/>
    <m/>
    <m/>
    <m/>
    <m/>
    <m/>
    <m/>
    <s v=""/>
    <m/>
    <m/>
    <m/>
    <m/>
    <m/>
    <m/>
    <m/>
    <m/>
    <m/>
    <m/>
    <m/>
    <x v="1"/>
    <x v="1"/>
  </r>
  <r>
    <d v="2026-03-18T10:45:00"/>
    <d v="2026-03-18T14:53:00"/>
    <n v="3.1333333333604969"/>
    <n v="628.08510637753375"/>
    <x v="1"/>
    <s v="HABIBI 01"/>
    <m/>
    <s v="26076/08"/>
    <s v="Envase"/>
    <n v="1968"/>
    <s v="HBHD0003"/>
    <s v="HIDRATANTE BISNAGA ROSA SUBLIME 200g"/>
    <n v="200"/>
    <s v="g"/>
    <x v="18"/>
    <x v="0"/>
    <s v="CREME HIDRATANTE"/>
    <x v="2"/>
    <m/>
    <m/>
    <m/>
    <m/>
    <m/>
    <m/>
    <m/>
    <m/>
    <m/>
    <m/>
    <m/>
    <m/>
    <m/>
    <m/>
    <m/>
    <m/>
    <m/>
    <m/>
    <m/>
    <m/>
    <m/>
    <s v=""/>
    <m/>
    <m/>
    <m/>
    <m/>
    <m/>
    <m/>
    <m/>
    <m/>
    <m/>
    <m/>
    <m/>
    <x v="1"/>
    <x v="1"/>
  </r>
  <r>
    <d v="2026-03-18T15:46:00"/>
    <d v="2026-03-19T11:45:00"/>
    <n v="5.9833333334536292"/>
    <n v="722.00557101612469"/>
    <x v="2"/>
    <s v="REPOSICAO BRIA 01"/>
    <m/>
    <s v="26076/04"/>
    <s v="Envase"/>
    <n v="4320"/>
    <s v="BBSJBS02-2"/>
    <s v="BODY SPLASH SOL TROPICAL 86 120ml"/>
    <n v="120"/>
    <s v="ml"/>
    <x v="16"/>
    <x v="1"/>
    <s v="BODY SPLASH"/>
    <x v="1"/>
    <s v="PARADA P/ROTULAGEM MANUAL"/>
    <m/>
    <m/>
    <m/>
    <m/>
    <m/>
    <m/>
    <m/>
    <m/>
    <m/>
    <m/>
    <m/>
    <m/>
    <m/>
    <m/>
    <m/>
    <m/>
    <m/>
    <m/>
    <m/>
    <m/>
    <s v=""/>
    <m/>
    <m/>
    <m/>
    <m/>
    <m/>
    <m/>
    <m/>
    <m/>
    <m/>
    <m/>
    <m/>
    <x v="1"/>
    <x v="1"/>
  </r>
  <r>
    <d v="2026-03-19T08:14:00"/>
    <d v="2026-03-19T13:18:00"/>
    <n v="4.0666666667675599"/>
    <n v="597.04918031305613"/>
    <x v="1"/>
    <s v="MARIO 09/02/26"/>
    <m/>
    <s v="26071/07"/>
    <s v="Envase"/>
    <n v="2428"/>
    <s v="GZLBBS06"/>
    <s v="BODY SPLASH ESCAN DALOSA"/>
    <n v="210"/>
    <s v="ml"/>
    <x v="8"/>
    <x v="1"/>
    <s v="BODY SPLASH"/>
    <x v="1"/>
    <m/>
    <m/>
    <m/>
    <m/>
    <m/>
    <m/>
    <m/>
    <m/>
    <m/>
    <m/>
    <m/>
    <m/>
    <m/>
    <m/>
    <m/>
    <m/>
    <m/>
    <m/>
    <m/>
    <m/>
    <m/>
    <s v=""/>
    <m/>
    <m/>
    <m/>
    <m/>
    <m/>
    <m/>
    <m/>
    <m/>
    <m/>
    <m/>
    <m/>
    <x v="1"/>
    <x v="1"/>
  </r>
  <r>
    <d v="2026-03-19T11:45:00"/>
    <d v="2026-03-20T10:14:00"/>
    <n v="7.4833333333954215"/>
    <n v="607.34966591923705"/>
    <x v="2"/>
    <s v="REPOSICAO BRIA 01"/>
    <m/>
    <s v="26077/01"/>
    <s v="Envase"/>
    <n v="4545"/>
    <s v="BBSJBS02-2"/>
    <s v="BODY SPLASH SOL TROPICAL 86 120ml"/>
    <n v="120"/>
    <s v="ml"/>
    <x v="16"/>
    <x v="1"/>
    <s v="BODY SPLASH"/>
    <x v="1"/>
    <m/>
    <m/>
    <m/>
    <m/>
    <m/>
    <m/>
    <m/>
    <m/>
    <m/>
    <m/>
    <m/>
    <m/>
    <m/>
    <m/>
    <m/>
    <m/>
    <m/>
    <m/>
    <m/>
    <m/>
    <m/>
    <s v=""/>
    <m/>
    <m/>
    <m/>
    <m/>
    <m/>
    <m/>
    <m/>
    <m/>
    <m/>
    <m/>
    <m/>
    <x v="1"/>
    <x v="1"/>
  </r>
  <r>
    <d v="2026-03-19T14:00:00"/>
    <d v="2026-03-19T16:40:00"/>
    <n v="2.6666666666278616"/>
    <n v="732.000000010652"/>
    <x v="1"/>
    <s v="HABIBI 01"/>
    <m/>
    <s v="26076/09"/>
    <s v="Envase"/>
    <n v="1952"/>
    <s v="HBHD0005"/>
    <s v="HIDRATANTE BISNAGA LUX AMBER 200g"/>
    <n v="200"/>
    <s v="g"/>
    <x v="18"/>
    <x v="0"/>
    <s v="CREME HIDRATANTE"/>
    <x v="2"/>
    <m/>
    <m/>
    <m/>
    <m/>
    <m/>
    <m/>
    <m/>
    <m/>
    <m/>
    <m/>
    <m/>
    <m/>
    <m/>
    <m/>
    <m/>
    <m/>
    <m/>
    <m/>
    <m/>
    <m/>
    <m/>
    <s v=""/>
    <m/>
    <m/>
    <m/>
    <m/>
    <m/>
    <m/>
    <m/>
    <m/>
    <m/>
    <m/>
    <m/>
    <x v="1"/>
    <x v="1"/>
  </r>
  <r>
    <d v="2026-03-20T07:10:00"/>
    <d v="2026-03-20T11:38:00"/>
    <n v="4.4666666667326353"/>
    <n v="443.28358208300534"/>
    <x v="1"/>
    <s v="HABIBI 01"/>
    <m/>
    <s v="26076/10"/>
    <s v="Envase"/>
    <n v="1980"/>
    <s v="HBHD0001"/>
    <s v="HIDRATANTE BISNAGA CELESTIA 200g"/>
    <n v="200"/>
    <s v="g"/>
    <x v="18"/>
    <x v="0"/>
    <s v="CREME HIDRATANTE"/>
    <x v="2"/>
    <m/>
    <m/>
    <m/>
    <m/>
    <m/>
    <m/>
    <m/>
    <m/>
    <m/>
    <m/>
    <m/>
    <m/>
    <m/>
    <m/>
    <m/>
    <m/>
    <m/>
    <m/>
    <m/>
    <m/>
    <m/>
    <s v=""/>
    <m/>
    <m/>
    <m/>
    <m/>
    <m/>
    <m/>
    <m/>
    <m/>
    <m/>
    <m/>
    <m/>
    <x v="1"/>
    <x v="1"/>
  </r>
  <r>
    <d v="2026-03-20T10:11:00"/>
    <d v="2026-03-23T08:00:00"/>
    <n v="5.8166666667093523"/>
    <n v="728.93982807487987"/>
    <x v="2"/>
    <s v="REPOSICAO BRIA 01"/>
    <m/>
    <s v="26079/01"/>
    <s v="Envase"/>
    <n v="4240"/>
    <s v="BBSJBS01-2"/>
    <s v="BODY SPLASH SOL TROPICAL 61 120ml"/>
    <n v="120"/>
    <s v="ml"/>
    <x v="16"/>
    <x v="1"/>
    <s v="BODY SPLASH"/>
    <x v="1"/>
    <m/>
    <m/>
    <m/>
    <m/>
    <m/>
    <m/>
    <m/>
    <m/>
    <m/>
    <m/>
    <m/>
    <m/>
    <m/>
    <m/>
    <m/>
    <m/>
    <m/>
    <m/>
    <m/>
    <m/>
    <m/>
    <s v=""/>
    <m/>
    <m/>
    <m/>
    <m/>
    <m/>
    <m/>
    <m/>
    <m/>
    <m/>
    <m/>
    <m/>
    <x v="1"/>
    <x v="1"/>
  </r>
  <r>
    <d v="2026-03-20T13:00:00"/>
    <d v="2026-03-23T07:36:00"/>
    <n v="3.6000000000349246"/>
    <n v="547.49999999468855"/>
    <x v="1"/>
    <s v="HABIBI 01"/>
    <m/>
    <s v="26076/06"/>
    <s v="Envase"/>
    <n v="1971"/>
    <s v="HBHD0004"/>
    <s v="HIDRATANTE BISNAGA ROSE AURORA 200g"/>
    <n v="200"/>
    <s v="g"/>
    <x v="18"/>
    <x v="0"/>
    <s v="CREME HIDRATANTE"/>
    <x v="2"/>
    <m/>
    <m/>
    <m/>
    <m/>
    <m/>
    <m/>
    <m/>
    <m/>
    <m/>
    <m/>
    <m/>
    <m/>
    <m/>
    <m/>
    <m/>
    <m/>
    <m/>
    <m/>
    <m/>
    <m/>
    <m/>
    <s v=""/>
    <m/>
    <m/>
    <m/>
    <m/>
    <m/>
    <m/>
    <m/>
    <m/>
    <m/>
    <m/>
    <m/>
    <x v="1"/>
    <x v="1"/>
  </r>
  <r>
    <d v="2026-03-23T08:00:00"/>
    <d v="2026-03-23T15:25:00"/>
    <n v="6.4166666665696539"/>
    <n v="698.18181819237395"/>
    <x v="2"/>
    <s v="REPOSICAO BRIA 01"/>
    <m/>
    <s v="26079/02"/>
    <s v="Envase"/>
    <n v="4480"/>
    <s v="BBSJBS01-2"/>
    <s v="BODY SPLASH SOL TROPICAL 61 120ml"/>
    <n v="120"/>
    <s v="ml"/>
    <x v="16"/>
    <x v="1"/>
    <s v="BODY SPLASH"/>
    <x v="1"/>
    <m/>
    <m/>
    <m/>
    <m/>
    <m/>
    <m/>
    <m/>
    <m/>
    <m/>
    <m/>
    <m/>
    <m/>
    <m/>
    <m/>
    <m/>
    <m/>
    <m/>
    <m/>
    <m/>
    <m/>
    <m/>
    <s v=""/>
    <m/>
    <m/>
    <m/>
    <m/>
    <m/>
    <m/>
    <m/>
    <m/>
    <m/>
    <m/>
    <m/>
    <x v="1"/>
    <x v="1"/>
  </r>
  <r>
    <d v="2026-03-23T09:34:00"/>
    <d v="2026-03-23T11:22:00"/>
    <n v="1.8000000001047738"/>
    <n v="773.33333328831941"/>
    <x v="1"/>
    <s v="MARIO 09/02/26"/>
    <m/>
    <s v="26076/05"/>
    <s v="Envase"/>
    <n v="1392"/>
    <s v="GZLBBS05"/>
    <s v="BODY SPLASH GLOW CHAMPAGNE"/>
    <n v="210"/>
    <s v="ml"/>
    <x v="8"/>
    <x v="1"/>
    <s v="BODY SPLASH"/>
    <x v="1"/>
    <m/>
    <m/>
    <m/>
    <m/>
    <m/>
    <m/>
    <m/>
    <m/>
    <m/>
    <m/>
    <m/>
    <m/>
    <m/>
    <m/>
    <m/>
    <m/>
    <m/>
    <m/>
    <m/>
    <m/>
    <m/>
    <s v=""/>
    <m/>
    <m/>
    <m/>
    <m/>
    <m/>
    <m/>
    <m/>
    <m/>
    <m/>
    <m/>
    <m/>
    <x v="1"/>
    <x v="1"/>
  </r>
  <r>
    <d v="2026-03-23T10:00:00"/>
    <d v="2026-03-26T08:10:00"/>
    <n v="25.166666667151731"/>
    <n v="115.98675496465188"/>
    <x v="3"/>
    <s v="CAMIE 04/03"/>
    <m/>
    <s v="26079/05"/>
    <s v="Envase"/>
    <n v="2919"/>
    <s v="CMGL0001"/>
    <s v="GLOSS LABIAL CAMIE BEAUTY 4mL"/>
    <n v="4"/>
    <s v="ml"/>
    <x v="19"/>
    <x v="4"/>
    <s v="LABIAL"/>
    <x v="0"/>
    <m/>
    <m/>
    <m/>
    <m/>
    <m/>
    <m/>
    <m/>
    <m/>
    <m/>
    <m/>
    <m/>
    <m/>
    <m/>
    <m/>
    <m/>
    <m/>
    <m/>
    <m/>
    <m/>
    <m/>
    <m/>
    <s v=""/>
    <m/>
    <m/>
    <m/>
    <m/>
    <m/>
    <m/>
    <m/>
    <m/>
    <m/>
    <m/>
    <m/>
    <x v="1"/>
    <x v="1"/>
  </r>
  <r>
    <d v="2026-03-23T11:17:00"/>
    <d v="2026-03-23T16:00:00"/>
    <n v="3.7166666666744277"/>
    <n v="387.44394618753176"/>
    <x v="1"/>
    <s v="MARIO 09/02/26"/>
    <m/>
    <s v="26079/04"/>
    <s v="Envase"/>
    <n v="1440"/>
    <s v="GZLBBS05"/>
    <s v="BODY SPLASH GLOW CHAMPAGNE"/>
    <n v="210"/>
    <s v="ml"/>
    <x v="8"/>
    <x v="1"/>
    <s v="BODY SPLASH"/>
    <x v="1"/>
    <m/>
    <m/>
    <m/>
    <m/>
    <m/>
    <m/>
    <m/>
    <m/>
    <m/>
    <m/>
    <m/>
    <m/>
    <m/>
    <m/>
    <m/>
    <m/>
    <m/>
    <m/>
    <m/>
    <m/>
    <m/>
    <s v=""/>
    <m/>
    <m/>
    <m/>
    <m/>
    <m/>
    <m/>
    <m/>
    <m/>
    <m/>
    <m/>
    <m/>
    <x v="1"/>
    <x v="1"/>
  </r>
  <r>
    <d v="2026-03-23T15:25:00"/>
    <d v="2026-03-24T10:03:00"/>
    <n v="4.6333333334187046"/>
    <n v="880.57553955212029"/>
    <x v="2"/>
    <s v="REPOSICAO BRIA 01"/>
    <m/>
    <s v="26082/01"/>
    <s v="Envase"/>
    <n v="4080"/>
    <s v="BBSJBS01-2"/>
    <s v="BODY SPLASH SOL TROPICAL 61 120ml"/>
    <n v="120"/>
    <s v="ml"/>
    <x v="16"/>
    <x v="1"/>
    <s v="BODY SPLASH"/>
    <x v="1"/>
    <m/>
    <m/>
    <m/>
    <m/>
    <m/>
    <m/>
    <m/>
    <m/>
    <m/>
    <m/>
    <m/>
    <m/>
    <m/>
    <m/>
    <m/>
    <m/>
    <m/>
    <m/>
    <m/>
    <m/>
    <m/>
    <s v=""/>
    <m/>
    <m/>
    <m/>
    <m/>
    <m/>
    <m/>
    <m/>
    <m/>
    <m/>
    <m/>
    <m/>
    <x v="1"/>
    <x v="1"/>
  </r>
  <r>
    <d v="2026-03-23T15:40:00"/>
    <d v="2026-03-23T16:10:00"/>
    <n v="0.49999999988358468"/>
    <n v="192.00000004470348"/>
    <x v="1"/>
    <s v="MARIO 09/02/26"/>
    <m/>
    <s v="26082/03"/>
    <s v="Envase"/>
    <n v="96"/>
    <s v="GZLBBS05"/>
    <s v="BODY SPLASH GLOW CHAMPAGNE"/>
    <n v="210"/>
    <s v="ml"/>
    <x v="8"/>
    <x v="1"/>
    <s v="BODY SPLASH"/>
    <x v="1"/>
    <m/>
    <m/>
    <m/>
    <m/>
    <m/>
    <m/>
    <m/>
    <m/>
    <m/>
    <m/>
    <m/>
    <m/>
    <m/>
    <m/>
    <m/>
    <m/>
    <m/>
    <m/>
    <m/>
    <m/>
    <m/>
    <s v=""/>
    <m/>
    <m/>
    <m/>
    <m/>
    <m/>
    <m/>
    <m/>
    <m/>
    <m/>
    <m/>
    <m/>
    <x v="1"/>
    <x v="1"/>
  </r>
  <r>
    <d v="2026-03-24T08:12:00"/>
    <d v="2026-03-24T08:29:00"/>
    <n v="0.28333333338377997"/>
    <n v="434.11764698153019"/>
    <x v="1"/>
    <s v="MARIO 09/02/26"/>
    <m/>
    <s v="26083/01"/>
    <s v="Envase"/>
    <n v="123"/>
    <s v="GZLBBS06"/>
    <s v="BODY SPLASH ESCAN DALOSA"/>
    <n v="210"/>
    <s v="ml"/>
    <x v="8"/>
    <x v="1"/>
    <s v="BODY SPLASH"/>
    <x v="1"/>
    <m/>
    <m/>
    <m/>
    <m/>
    <m/>
    <m/>
    <m/>
    <m/>
    <m/>
    <m/>
    <m/>
    <m/>
    <m/>
    <m/>
    <m/>
    <m/>
    <m/>
    <m/>
    <m/>
    <m/>
    <m/>
    <s v=""/>
    <m/>
    <m/>
    <m/>
    <m/>
    <m/>
    <m/>
    <m/>
    <m/>
    <m/>
    <m/>
    <m/>
    <x v="1"/>
    <x v="1"/>
  </r>
  <r>
    <d v="2026-03-24T10:02:00"/>
    <d v="2026-03-24T16:04:00"/>
    <n v="5.0333333332673647"/>
    <n v="890.06622517722849"/>
    <x v="2"/>
    <s v="REPOSICAO BRIA 01"/>
    <m/>
    <s v="26082/02"/>
    <s v="Envase"/>
    <n v="4480"/>
    <s v="BBSJBS01-2"/>
    <s v="BODY SPLASH SOL TROPICAL 61 120ml"/>
    <n v="120"/>
    <s v="ml"/>
    <x v="16"/>
    <x v="1"/>
    <s v="BODY SPLASH"/>
    <x v="1"/>
    <m/>
    <m/>
    <m/>
    <m/>
    <m/>
    <m/>
    <m/>
    <m/>
    <m/>
    <m/>
    <m/>
    <m/>
    <m/>
    <m/>
    <m/>
    <m/>
    <m/>
    <m/>
    <m/>
    <m/>
    <m/>
    <s v=""/>
    <m/>
    <m/>
    <m/>
    <m/>
    <m/>
    <m/>
    <m/>
    <m/>
    <m/>
    <m/>
    <m/>
    <x v="1"/>
    <x v="1"/>
  </r>
  <r>
    <d v="2026-03-24T13:00:00"/>
    <d v="2026-03-25T10:00:00"/>
    <n v="7.0000000001164153"/>
    <n v="440.28571427839199"/>
    <x v="1"/>
    <s v="CAMIE 04/03"/>
    <m/>
    <s v="26079/07"/>
    <s v="Envase"/>
    <n v="3082"/>
    <s v="CMBS0001"/>
    <s v="BODY SPLASH CAMIE BEAUTY 120mL"/>
    <n v="120"/>
    <s v="ml"/>
    <x v="19"/>
    <x v="1"/>
    <s v="BODY SPLASH"/>
    <x v="1"/>
    <m/>
    <m/>
    <m/>
    <m/>
    <m/>
    <m/>
    <m/>
    <m/>
    <m/>
    <m/>
    <m/>
    <m/>
    <m/>
    <m/>
    <m/>
    <m/>
    <m/>
    <m/>
    <m/>
    <m/>
    <m/>
    <s v=""/>
    <m/>
    <m/>
    <m/>
    <m/>
    <m/>
    <m/>
    <m/>
    <m/>
    <m/>
    <m/>
    <m/>
    <x v="1"/>
    <x v="1"/>
  </r>
  <r>
    <d v="2026-03-25T08:10:00"/>
    <d v="2026-03-26T09:00:00"/>
    <n v="9.8333333333721384"/>
    <n v="17.694915254167459"/>
    <x v="2"/>
    <s v="MARIO 09/02/26"/>
    <m/>
    <s v="26084/06"/>
    <s v="Envase"/>
    <n v="174"/>
    <s v="GZLBBS01"/>
    <s v="BODY SPLASH GOTA LOVE"/>
    <n v="210"/>
    <s v="ml"/>
    <x v="8"/>
    <x v="1"/>
    <s v="BODY SPLASH"/>
    <x v="1"/>
    <m/>
    <m/>
    <m/>
    <m/>
    <m/>
    <m/>
    <m/>
    <m/>
    <m/>
    <m/>
    <m/>
    <m/>
    <m/>
    <m/>
    <m/>
    <m/>
    <m/>
    <m/>
    <m/>
    <m/>
    <m/>
    <s v=""/>
    <m/>
    <m/>
    <m/>
    <m/>
    <m/>
    <m/>
    <m/>
    <m/>
    <m/>
    <m/>
    <m/>
    <x v="1"/>
    <x v="1"/>
  </r>
  <r>
    <d v="2026-03-25T10:00:00"/>
    <d v="2026-03-25T15:30:00"/>
    <n v="4.5000000001164153"/>
    <n v="609.77777776200276"/>
    <x v="0"/>
    <s v="CAMIE 04/03"/>
    <m/>
    <s v="26079/06"/>
    <s v="Envase"/>
    <n v="2744"/>
    <s v="CMOC0001"/>
    <s v="OLEO CAPILAR CAMIE BEAUTY 60mL"/>
    <n v="60"/>
    <s v="ml"/>
    <x v="19"/>
    <x v="5"/>
    <s v="OLEO CAPILAR"/>
    <x v="0"/>
    <m/>
    <m/>
    <m/>
    <m/>
    <m/>
    <m/>
    <m/>
    <m/>
    <m/>
    <m/>
    <m/>
    <m/>
    <m/>
    <m/>
    <m/>
    <m/>
    <m/>
    <m/>
    <m/>
    <m/>
    <m/>
    <s v=""/>
    <m/>
    <m/>
    <m/>
    <m/>
    <m/>
    <m/>
    <m/>
    <m/>
    <m/>
    <m/>
    <m/>
    <x v="1"/>
    <x v="1"/>
  </r>
  <r>
    <d v="2026-03-26T07:00:00"/>
    <d v="2026-03-26T08:00:00"/>
    <n v="1.0000000001164153"/>
    <n v="371.9999999566935"/>
    <x v="2"/>
    <s v="MARIO 09/02/26"/>
    <m/>
    <s v="26079/03"/>
    <s v="Envase"/>
    <n v="372"/>
    <s v="GZLBBS06"/>
    <s v="BODY SPLASH ESCAN DALOSA"/>
    <n v="210"/>
    <s v="ml"/>
    <x v="8"/>
    <x v="1"/>
    <s v="BODY SPLASH"/>
    <x v="1"/>
    <m/>
    <m/>
    <m/>
    <m/>
    <m/>
    <m/>
    <m/>
    <m/>
    <m/>
    <m/>
    <m/>
    <m/>
    <m/>
    <m/>
    <m/>
    <m/>
    <m/>
    <m/>
    <m/>
    <m/>
    <m/>
    <s v=""/>
    <m/>
    <m/>
    <m/>
    <m/>
    <m/>
    <m/>
    <m/>
    <m/>
    <m/>
    <m/>
    <m/>
    <x v="1"/>
    <x v="1"/>
  </r>
  <r>
    <d v="2026-03-26T09:15:00"/>
    <d v="2026-03-26T10:45:00"/>
    <n v="1.5"/>
    <n v="870"/>
    <x v="0"/>
    <s v="AMEERATI 01"/>
    <m/>
    <s v="26083/02"/>
    <s v="Envase"/>
    <n v="1305"/>
    <s v="AMNCBS02"/>
    <s v="BODY MIST VERDE SUPREMO"/>
    <n v="250"/>
    <s v="ml"/>
    <x v="15"/>
    <x v="1"/>
    <s v="BODY SPLASH"/>
    <x v="1"/>
    <m/>
    <m/>
    <m/>
    <m/>
    <m/>
    <m/>
    <m/>
    <m/>
    <m/>
    <m/>
    <m/>
    <m/>
    <m/>
    <m/>
    <m/>
    <m/>
    <m/>
    <m/>
    <m/>
    <m/>
    <m/>
    <s v=""/>
    <m/>
    <m/>
    <m/>
    <m/>
    <m/>
    <m/>
    <m/>
    <m/>
    <m/>
    <m/>
    <m/>
    <x v="1"/>
    <x v="1"/>
  </r>
  <r>
    <d v="2026-03-26T10:50:00"/>
    <d v="2026-03-26T14:30:00"/>
    <n v="2.6666666665696539"/>
    <n v="578.25000002103661"/>
    <x v="2"/>
    <s v="AMEERATI 01"/>
    <m/>
    <s v="26084/07"/>
    <s v="Envase"/>
    <n v="1542"/>
    <s v="AMNCBS02"/>
    <s v="BODY MIST VERDE SUPREMO"/>
    <n v="250"/>
    <s v="ml"/>
    <x v="15"/>
    <x v="1"/>
    <s v="BODY SPLASH"/>
    <x v="1"/>
    <m/>
    <m/>
    <m/>
    <m/>
    <m/>
    <m/>
    <m/>
    <m/>
    <m/>
    <m/>
    <m/>
    <m/>
    <m/>
    <m/>
    <m/>
    <m/>
    <m/>
    <m/>
    <m/>
    <m/>
    <m/>
    <s v=""/>
    <m/>
    <m/>
    <m/>
    <m/>
    <m/>
    <m/>
    <m/>
    <m/>
    <m/>
    <m/>
    <m/>
    <x v="1"/>
    <x v="1"/>
  </r>
  <r>
    <d v="2026-03-26T15:13:00"/>
    <d v="2026-03-27T09:17:00"/>
    <n v="4.0666666668257676"/>
    <n v="1081.9672130724241"/>
    <x v="2"/>
    <s v="REPOSICAO BRIA 01"/>
    <m/>
    <s v="26084/01"/>
    <s v="Envase"/>
    <n v="4400"/>
    <s v="BBSJBS02-2"/>
    <s v="BODY SPLASH SOL TROPICAL 86 120ml"/>
    <n v="120"/>
    <s v="ml"/>
    <x v="16"/>
    <x v="1"/>
    <s v="BODY SPLASH"/>
    <x v="1"/>
    <m/>
    <m/>
    <m/>
    <m/>
    <m/>
    <m/>
    <m/>
    <m/>
    <m/>
    <m/>
    <m/>
    <m/>
    <m/>
    <m/>
    <m/>
    <m/>
    <m/>
    <m/>
    <m/>
    <m/>
    <m/>
    <s v=""/>
    <m/>
    <m/>
    <m/>
    <m/>
    <m/>
    <m/>
    <m/>
    <m/>
    <m/>
    <m/>
    <m/>
    <x v="1"/>
    <x v="1"/>
  </r>
  <r>
    <d v="2026-03-27T09:17:00"/>
    <d v="2026-03-27T13:20:00"/>
    <n v="3.0499999999301508"/>
    <n v="1390.1639344580663"/>
    <x v="1"/>
    <s v="REPOSICAO BRIA 01"/>
    <m/>
    <s v="26084/02"/>
    <s v="Envase"/>
    <n v="4240"/>
    <s v="BBSJBS02-2"/>
    <s v="BODY SPLASH SOL TROPICAL 86 120ml"/>
    <n v="120"/>
    <s v="ml"/>
    <x v="16"/>
    <x v="1"/>
    <s v="BODY SPLASH"/>
    <x v="1"/>
    <m/>
    <m/>
    <m/>
    <m/>
    <m/>
    <m/>
    <m/>
    <m/>
    <m/>
    <m/>
    <m/>
    <m/>
    <m/>
    <m/>
    <m/>
    <m/>
    <m/>
    <m/>
    <m/>
    <m/>
    <m/>
    <s v=""/>
    <m/>
    <m/>
    <m/>
    <m/>
    <m/>
    <m/>
    <m/>
    <m/>
    <m/>
    <m/>
    <m/>
    <x v="1"/>
    <x v="1"/>
  </r>
  <r>
    <d v="2026-03-27T13:20:00"/>
    <d v="2026-03-27T15:50:00"/>
    <n v="2.4999999999417923"/>
    <n v="978.00000002277079"/>
    <x v="1"/>
    <s v="REPOSICAO BRIA 01"/>
    <m/>
    <s v="26085/01"/>
    <s v="Envase"/>
    <n v="2445"/>
    <s v="BBSJBS02-2"/>
    <s v="BODY SPLASH SOL TROPICAL 86 120ml"/>
    <n v="120"/>
    <s v="ml"/>
    <x v="16"/>
    <x v="1"/>
    <s v="BODY SPLASH"/>
    <x v="1"/>
    <m/>
    <m/>
    <m/>
    <m/>
    <m/>
    <m/>
    <m/>
    <m/>
    <m/>
    <m/>
    <m/>
    <m/>
    <m/>
    <m/>
    <m/>
    <m/>
    <m/>
    <m/>
    <m/>
    <m/>
    <m/>
    <s v=""/>
    <m/>
    <m/>
    <m/>
    <m/>
    <m/>
    <m/>
    <m/>
    <m/>
    <m/>
    <m/>
    <m/>
    <x v="1"/>
    <x v="1"/>
  </r>
  <r>
    <d v="2026-03-30T07:32:00"/>
    <d v="2026-03-30T11:16:00"/>
    <n v="3.7333333334536292"/>
    <n v="1049.9999999661668"/>
    <x v="1"/>
    <s v="REPOSICAO BRIA 01"/>
    <m/>
    <s v="26085/02"/>
    <s v="Envase"/>
    <n v="3920"/>
    <s v="BBSJBS03-2"/>
    <s v="BODY SPLASH LUNAR 120ml"/>
    <n v="120"/>
    <s v="ml"/>
    <x v="16"/>
    <x v="1"/>
    <s v="BODY SPLASH"/>
    <x v="1"/>
    <m/>
    <m/>
    <m/>
    <m/>
    <m/>
    <m/>
    <m/>
    <m/>
    <m/>
    <m/>
    <m/>
    <m/>
    <m/>
    <m/>
    <m/>
    <m/>
    <m/>
    <m/>
    <m/>
    <m/>
    <m/>
    <s v=""/>
    <m/>
    <m/>
    <m/>
    <m/>
    <m/>
    <m/>
    <m/>
    <m/>
    <m/>
    <m/>
    <m/>
    <x v="1"/>
    <x v="1"/>
  </r>
  <r>
    <d v="2026-03-30T11:16:00"/>
    <d v="2026-03-30T15:29:00"/>
    <n v="3.21666666661622"/>
    <n v="1182.9015544226963"/>
    <x v="1"/>
    <s v="REPOSICAO BRIA 01"/>
    <m/>
    <s v="26085/03"/>
    <s v="Envase"/>
    <n v="3805"/>
    <s v="BBSJBS03-2"/>
    <s v="BODY SPLASH LUNAR 120ml"/>
    <n v="120"/>
    <s v="ml"/>
    <x v="16"/>
    <x v="1"/>
    <s v="BODY SPLASH"/>
    <x v="1"/>
    <m/>
    <m/>
    <m/>
    <m/>
    <m/>
    <m/>
    <m/>
    <m/>
    <m/>
    <m/>
    <m/>
    <m/>
    <m/>
    <m/>
    <m/>
    <m/>
    <m/>
    <m/>
    <m/>
    <m/>
    <m/>
    <s v=""/>
    <m/>
    <m/>
    <m/>
    <m/>
    <m/>
    <m/>
    <m/>
    <m/>
    <m/>
    <m/>
    <m/>
    <x v="1"/>
    <x v="1"/>
  </r>
  <r>
    <d v="2026-03-30T15:02:00"/>
    <d v="2026-03-31T08:21:00"/>
    <n v="3.3166666668257676"/>
    <n v="781.50753765095317"/>
    <x v="2"/>
    <s v="PROG 01 25/03/26"/>
    <m/>
    <s v="26086/01"/>
    <s v="Envase"/>
    <n v="2592"/>
    <s v="MRARBS01"/>
    <s v="BODY SPLASH AURORA IMPERIAL"/>
    <n v="220"/>
    <s v="ml"/>
    <x v="0"/>
    <x v="1"/>
    <s v="BODY SPLASH"/>
    <x v="1"/>
    <m/>
    <m/>
    <m/>
    <m/>
    <m/>
    <m/>
    <m/>
    <m/>
    <m/>
    <m/>
    <m/>
    <m/>
    <m/>
    <m/>
    <m/>
    <m/>
    <m/>
    <m/>
    <m/>
    <m/>
    <m/>
    <s v=""/>
    <m/>
    <m/>
    <m/>
    <m/>
    <m/>
    <m/>
    <m/>
    <m/>
    <m/>
    <m/>
    <m/>
    <x v="1"/>
    <x v="1"/>
  </r>
  <r>
    <d v="2026-03-31T08:21:00"/>
    <d v="2026-03-31T10:57:00"/>
    <n v="2.6000000000931323"/>
    <n v="1107.69230765263"/>
    <x v="2"/>
    <s v="PROG 01 25/03/26"/>
    <m/>
    <s v="26086/02"/>
    <s v="Envase"/>
    <n v="2880"/>
    <s v="MRARBS01"/>
    <s v="BODY SPLASH AURORA IMPERIAL"/>
    <n v="220"/>
    <s v="ml"/>
    <x v="0"/>
    <x v="1"/>
    <s v="BODY SPLASH"/>
    <x v="1"/>
    <m/>
    <m/>
    <m/>
    <m/>
    <m/>
    <m/>
    <m/>
    <m/>
    <m/>
    <m/>
    <m/>
    <m/>
    <m/>
    <m/>
    <m/>
    <m/>
    <m/>
    <m/>
    <m/>
    <m/>
    <m/>
    <s v=""/>
    <m/>
    <m/>
    <m/>
    <m/>
    <m/>
    <m/>
    <m/>
    <m/>
    <m/>
    <m/>
    <m/>
    <x v="1"/>
    <x v="1"/>
  </r>
  <r>
    <d v="2026-03-31T10:57:00"/>
    <d v="2026-03-31T15:49:00"/>
    <n v="3.8666666666395031"/>
    <n v="732.4137931085935"/>
    <x v="2"/>
    <s v="PROG 01 25/03/26"/>
    <m/>
    <s v="26086/03"/>
    <s v="Envase"/>
    <n v="2832"/>
    <s v="MRARBS01"/>
    <s v="BODY SPLASH AURORA IMPERIAL"/>
    <n v="220"/>
    <s v="ml"/>
    <x v="0"/>
    <x v="1"/>
    <s v="BODY SPLASH"/>
    <x v="1"/>
    <m/>
    <m/>
    <m/>
    <m/>
    <m/>
    <m/>
    <m/>
    <m/>
    <m/>
    <m/>
    <m/>
    <m/>
    <m/>
    <m/>
    <m/>
    <m/>
    <m/>
    <m/>
    <m/>
    <m/>
    <m/>
    <s v=""/>
    <m/>
    <m/>
    <m/>
    <m/>
    <m/>
    <m/>
    <m/>
    <m/>
    <m/>
    <m/>
    <m/>
    <x v="1"/>
    <x v="1"/>
  </r>
  <r>
    <d v="2026-03-31T13:00:00"/>
    <d v="2026-03-31T15:38:00"/>
    <n v="2.6333333333604969"/>
    <n v="528.60759493125613"/>
    <x v="1"/>
    <s v="AMEERATI 01"/>
    <m/>
    <s v="26083/03"/>
    <s v="Envase"/>
    <n v="1392"/>
    <s v="AMNCBS05"/>
    <s v="BODY MIST FRESCOR LICHIA"/>
    <n v="250"/>
    <s v="ml"/>
    <x v="15"/>
    <x v="1"/>
    <s v="BODY SPLASH"/>
    <x v="1"/>
    <m/>
    <m/>
    <m/>
    <m/>
    <m/>
    <m/>
    <m/>
    <m/>
    <m/>
    <m/>
    <m/>
    <m/>
    <m/>
    <m/>
    <m/>
    <m/>
    <m/>
    <m/>
    <m/>
    <m/>
    <m/>
    <s v=""/>
    <m/>
    <m/>
    <m/>
    <m/>
    <m/>
    <m/>
    <m/>
    <m/>
    <m/>
    <m/>
    <m/>
    <x v="1"/>
    <x v="1"/>
  </r>
  <r>
    <d v="2026-03-31T15:39:00"/>
    <d v="2026-04-01T08:43:00"/>
    <n v="3.0666666667093523"/>
    <n v="493.0434782540068"/>
    <x v="1"/>
    <s v="AMEERATI 01"/>
    <m/>
    <s v="26083/05"/>
    <s v="Envase"/>
    <n v="1512"/>
    <s v="AMNCBS05"/>
    <s v="BODY MIST FRESCOR LICHIA"/>
    <n v="250"/>
    <s v="ml"/>
    <x v="15"/>
    <x v="1"/>
    <s v="BODY SPLASH"/>
    <x v="1"/>
    <m/>
    <m/>
    <m/>
    <m/>
    <m/>
    <m/>
    <m/>
    <m/>
    <m/>
    <m/>
    <m/>
    <m/>
    <m/>
    <m/>
    <m/>
    <m/>
    <m/>
    <m/>
    <m/>
    <m/>
    <m/>
    <s v=""/>
    <m/>
    <m/>
    <m/>
    <m/>
    <m/>
    <m/>
    <m/>
    <m/>
    <m/>
    <m/>
    <m/>
    <x v="1"/>
    <x v="1"/>
  </r>
  <r>
    <d v="2026-03-31T16:00:00"/>
    <d v="2026-03-31T16:55:00"/>
    <n v="0.91666666668606922"/>
    <n v="680.72727271286419"/>
    <x v="2"/>
    <s v="PROG 01 25/03/26"/>
    <m/>
    <s v="26089/01"/>
    <s v="Envase"/>
    <n v="624"/>
    <s v="MRARBS01"/>
    <s v="BODY SPLASH AURORA IMPERIAL"/>
    <n v="220"/>
    <s v="ml"/>
    <x v="0"/>
    <x v="1"/>
    <s v="BODY SPLASH"/>
    <x v="1"/>
    <m/>
    <m/>
    <m/>
    <m/>
    <m/>
    <m/>
    <m/>
    <m/>
    <m/>
    <m/>
    <m/>
    <m/>
    <m/>
    <m/>
    <m/>
    <m/>
    <m/>
    <m/>
    <m/>
    <m/>
    <m/>
    <s v=""/>
    <m/>
    <m/>
    <m/>
    <m/>
    <m/>
    <m/>
    <m/>
    <m/>
    <m/>
    <m/>
    <m/>
    <x v="1"/>
    <x v="1"/>
  </r>
  <r>
    <d v="2026-04-01T09:13:00"/>
    <d v="2026-04-01T11:00:00"/>
    <n v="1.78333333338378"/>
    <n v="645.98130839294151"/>
    <x v="1"/>
    <s v="AMEERATI 01"/>
    <m/>
    <s v="26091/01"/>
    <s v="Envase"/>
    <n v="1152"/>
    <s v="AMNCBS01"/>
    <s v="BODY MIST BAUNILHA SELVAGEM"/>
    <n v="250"/>
    <s v="ml"/>
    <x v="15"/>
    <x v="1"/>
    <s v="BODY SPLASH"/>
    <x v="1"/>
    <m/>
    <m/>
    <m/>
    <m/>
    <m/>
    <m/>
    <m/>
    <m/>
    <m/>
    <m/>
    <m/>
    <m/>
    <m/>
    <m/>
    <m/>
    <m/>
    <m/>
    <m/>
    <m/>
    <m/>
    <m/>
    <s v=""/>
    <m/>
    <m/>
    <m/>
    <m/>
    <m/>
    <m/>
    <m/>
    <m/>
    <m/>
    <m/>
    <m/>
    <x v="1"/>
    <x v="2"/>
  </r>
  <r>
    <d v="2026-04-01T11:35:00"/>
    <d v="2026-04-01T14:35:00"/>
    <n v="2"/>
    <n v="641"/>
    <x v="1"/>
    <s v="AMEERATI 01"/>
    <m/>
    <s v="26091/02"/>
    <s v="Envase"/>
    <n v="1282"/>
    <s v="AMNCBS01"/>
    <s v="BODY MIST BAUNILHA SELVAGEM"/>
    <n v="250"/>
    <s v="ml"/>
    <x v="15"/>
    <x v="1"/>
    <s v="BODY SPLASH"/>
    <x v="1"/>
    <m/>
    <m/>
    <m/>
    <m/>
    <m/>
    <m/>
    <m/>
    <m/>
    <m/>
    <m/>
    <m/>
    <m/>
    <m/>
    <m/>
    <m/>
    <m/>
    <m/>
    <m/>
    <m/>
    <m/>
    <m/>
    <s v=""/>
    <m/>
    <m/>
    <m/>
    <m/>
    <m/>
    <m/>
    <m/>
    <m/>
    <m/>
    <m/>
    <m/>
    <x v="1"/>
    <x v="2"/>
  </r>
  <r>
    <d v="2026-04-01T14:31:00"/>
    <d v="2026-04-01T15:38:00"/>
    <n v="1.1166666666395031"/>
    <n v="1139.1044776396498"/>
    <x v="1"/>
    <s v="AMEERATI 01"/>
    <m/>
    <s v="26091/03"/>
    <s v="Envase"/>
    <n v="1272"/>
    <s v="AMNCBS06"/>
    <s v="BODY MIST NECTAR DA PERA"/>
    <n v="250"/>
    <s v="ml"/>
    <x v="15"/>
    <x v="1"/>
    <s v="BODY SPLASH"/>
    <x v="1"/>
    <m/>
    <m/>
    <m/>
    <m/>
    <m/>
    <m/>
    <m/>
    <m/>
    <m/>
    <m/>
    <m/>
    <m/>
    <m/>
    <m/>
    <m/>
    <m/>
    <m/>
    <m/>
    <m/>
    <m/>
    <m/>
    <s v=""/>
    <m/>
    <m/>
    <m/>
    <m/>
    <m/>
    <m/>
    <m/>
    <m/>
    <m/>
    <m/>
    <m/>
    <x v="1"/>
    <x v="2"/>
  </r>
  <r>
    <d v="2026-04-01T16:07:00"/>
    <d v="2026-04-02T07:56:00"/>
    <n v="1.8166666668257676"/>
    <n v="649.54128434678387"/>
    <x v="1"/>
    <s v="AMEERATI 01"/>
    <m/>
    <s v="26091/04"/>
    <s v="Envase"/>
    <n v="1180"/>
    <s v="AMNCBS06"/>
    <s v="BODY MIST NECTAR DA PERA"/>
    <n v="250"/>
    <s v="ml"/>
    <x v="15"/>
    <x v="1"/>
    <s v="BODY SPLASH"/>
    <x v="1"/>
    <m/>
    <m/>
    <m/>
    <m/>
    <m/>
    <m/>
    <m/>
    <m/>
    <m/>
    <m/>
    <m/>
    <m/>
    <m/>
    <m/>
    <m/>
    <m/>
    <m/>
    <m/>
    <m/>
    <m/>
    <m/>
    <s v=""/>
    <m/>
    <m/>
    <m/>
    <m/>
    <m/>
    <m/>
    <m/>
    <m/>
    <m/>
    <m/>
    <m/>
    <x v="1"/>
    <x v="2"/>
  </r>
  <r>
    <d v="2026-04-02T08:43:00"/>
    <d v="2026-04-02T10:43:00"/>
    <n v="2.0000000000582077"/>
    <n v="623.99999998183921"/>
    <x v="1"/>
    <s v="AMEERATI 01"/>
    <m/>
    <s v="26092/01"/>
    <s v="Envase"/>
    <n v="1248"/>
    <s v="AMABBS02"/>
    <s v="BODY MIST JARDINS DO ORIENTE"/>
    <n v="250"/>
    <s v="ml"/>
    <x v="15"/>
    <x v="1"/>
    <s v="BODY SPLASH"/>
    <x v="1"/>
    <m/>
    <m/>
    <m/>
    <m/>
    <m/>
    <m/>
    <m/>
    <m/>
    <m/>
    <m/>
    <m/>
    <m/>
    <m/>
    <m/>
    <m/>
    <m/>
    <m/>
    <m/>
    <m/>
    <m/>
    <m/>
    <s v=""/>
    <m/>
    <m/>
    <m/>
    <m/>
    <m/>
    <m/>
    <m/>
    <m/>
    <m/>
    <m/>
    <m/>
    <x v="1"/>
    <x v="2"/>
  </r>
  <r>
    <d v="2026-04-02T10:12:00"/>
    <d v="2026-04-02T14:47:00"/>
    <n v="3.5833333332557231"/>
    <n v="365.58139535675519"/>
    <x v="1"/>
    <s v="AMEERATI 01"/>
    <m/>
    <s v="26092/02"/>
    <s v="Envase"/>
    <n v="1310"/>
    <s v="AMABBS02"/>
    <s v="BODY MIST JARDINS DO ORIENTE"/>
    <n v="250"/>
    <s v="ml"/>
    <x v="15"/>
    <x v="1"/>
    <s v="BODY SPLASH"/>
    <x v="1"/>
    <m/>
    <m/>
    <m/>
    <m/>
    <m/>
    <m/>
    <m/>
    <m/>
    <m/>
    <m/>
    <m/>
    <m/>
    <m/>
    <m/>
    <m/>
    <m/>
    <m/>
    <m/>
    <m/>
    <m/>
    <m/>
    <s v=""/>
    <m/>
    <m/>
    <m/>
    <m/>
    <m/>
    <m/>
    <m/>
    <m/>
    <m/>
    <m/>
    <m/>
    <x v="1"/>
    <x v="2"/>
  </r>
  <r>
    <d v="2026-04-02T14:30:00"/>
    <d v="2026-04-02T15:54:00"/>
    <n v="1.4000000000232831"/>
    <n v="942.85714284146241"/>
    <x v="1"/>
    <s v="AMEERATI 01"/>
    <m/>
    <s v="26092/03"/>
    <s v="Envase"/>
    <n v="1320"/>
    <s v="AMABBS01"/>
    <s v="BODY MIST TESOURO DO OASIS"/>
    <n v="250"/>
    <s v="ml"/>
    <x v="15"/>
    <x v="1"/>
    <s v="BODY SPLASH"/>
    <x v="1"/>
    <m/>
    <m/>
    <m/>
    <m/>
    <m/>
    <m/>
    <m/>
    <m/>
    <m/>
    <m/>
    <m/>
    <m/>
    <m/>
    <m/>
    <m/>
    <m/>
    <m/>
    <m/>
    <m/>
    <m/>
    <m/>
    <s v=""/>
    <m/>
    <m/>
    <m/>
    <m/>
    <m/>
    <m/>
    <m/>
    <m/>
    <m/>
    <m/>
    <m/>
    <x v="1"/>
    <x v="2"/>
  </r>
  <r>
    <d v="2026-04-02T15:45:00"/>
    <d v="2026-04-06T07:53:00"/>
    <n v="10.133333333476912"/>
    <n v="123.65131578772167"/>
    <x v="1"/>
    <s v="AMEERATI 01"/>
    <m/>
    <s v="26092/04"/>
    <s v="Envase"/>
    <n v="1253"/>
    <s v="AMABBS01"/>
    <s v="BODY MIST TESOURO DO OASIS"/>
    <n v="250"/>
    <s v="ml"/>
    <x v="15"/>
    <x v="1"/>
    <s v="BODY SPLASH"/>
    <x v="1"/>
    <m/>
    <m/>
    <m/>
    <m/>
    <m/>
    <m/>
    <m/>
    <m/>
    <m/>
    <m/>
    <m/>
    <m/>
    <m/>
    <m/>
    <m/>
    <m/>
    <m/>
    <m/>
    <m/>
    <m/>
    <m/>
    <s v=""/>
    <m/>
    <m/>
    <m/>
    <m/>
    <m/>
    <m/>
    <m/>
    <m/>
    <m/>
    <m/>
    <m/>
    <x v="1"/>
    <x v="2"/>
  </r>
  <r>
    <d v="2026-04-06T08:21:00"/>
    <d v="2026-04-06T10:28:00"/>
    <n v="2.1166666667559184"/>
    <n v="1292.5984251423465"/>
    <x v="2"/>
    <s v="PROG 01 25/03/26"/>
    <m/>
    <s v="26096/01"/>
    <s v="Envase"/>
    <n v="2736"/>
    <s v="MRARBS01"/>
    <s v="BODY SPLASH AURORA IMPERIAL"/>
    <n v="220"/>
    <s v="ml"/>
    <x v="0"/>
    <x v="1"/>
    <s v="BODY SPLASH"/>
    <x v="1"/>
    <m/>
    <m/>
    <m/>
    <m/>
    <m/>
    <m/>
    <m/>
    <m/>
    <m/>
    <m/>
    <m/>
    <m/>
    <m/>
    <m/>
    <m/>
    <m/>
    <m/>
    <m/>
    <m/>
    <m/>
    <m/>
    <s v=""/>
    <m/>
    <m/>
    <m/>
    <m/>
    <m/>
    <m/>
    <m/>
    <m/>
    <m/>
    <m/>
    <m/>
    <x v="1"/>
    <x v="2"/>
  </r>
  <r>
    <d v="2026-04-06T10:28:00"/>
    <d v="2026-04-06T13:40:00"/>
    <n v="2.1999999999534339"/>
    <n v="1178.1818182067561"/>
    <x v="2"/>
    <s v="PROG 01 25/03/26"/>
    <m/>
    <s v="26096/07"/>
    <s v="Envase"/>
    <n v="2592"/>
    <s v="MRARBS01"/>
    <s v="BODY SPLASH AURORA IMPERIAL"/>
    <n v="220"/>
    <s v="ml"/>
    <x v="0"/>
    <x v="1"/>
    <s v="BODY SPLASH"/>
    <x v="1"/>
    <m/>
    <m/>
    <m/>
    <m/>
    <m/>
    <m/>
    <m/>
    <m/>
    <m/>
    <m/>
    <m/>
    <m/>
    <m/>
    <m/>
    <m/>
    <m/>
    <m/>
    <m/>
    <m/>
    <m/>
    <m/>
    <s v=""/>
    <m/>
    <m/>
    <m/>
    <m/>
    <m/>
    <m/>
    <m/>
    <m/>
    <m/>
    <m/>
    <m/>
    <x v="1"/>
    <x v="2"/>
  </r>
  <r>
    <d v="2026-04-06T13:05:00"/>
    <d v="2026-04-06T14:23:00"/>
    <n v="1.3000000000465661"/>
    <n v="978.46153842648982"/>
    <x v="1"/>
    <s v="AMEERATI 01"/>
    <m/>
    <s v="26096/02"/>
    <s v="Envase"/>
    <n v="1272"/>
    <s v="AMABBS08"/>
    <s v="BODY MIST RARO ELIXIR"/>
    <n v="250"/>
    <s v="ml"/>
    <x v="15"/>
    <x v="1"/>
    <s v="BODY SPLASH"/>
    <x v="1"/>
    <m/>
    <m/>
    <m/>
    <m/>
    <m/>
    <m/>
    <m/>
    <m/>
    <m/>
    <m/>
    <m/>
    <m/>
    <m/>
    <m/>
    <m/>
    <m/>
    <m/>
    <m/>
    <m/>
    <m/>
    <m/>
    <s v=""/>
    <m/>
    <m/>
    <m/>
    <m/>
    <m/>
    <m/>
    <m/>
    <m/>
    <m/>
    <m/>
    <m/>
    <x v="1"/>
    <x v="2"/>
  </r>
  <r>
    <d v="2026-04-06T13:43:00"/>
    <d v="2026-04-06T16:35:00"/>
    <n v="2.8666666665812954"/>
    <n v="971.16279072659631"/>
    <x v="2"/>
    <s v="PROG 01 25/03/26"/>
    <m/>
    <s v="26096/08"/>
    <s v="Envase"/>
    <n v="2784"/>
    <s v="MRARBS01"/>
    <s v="BODY SPLASH AURORA IMPERIAL"/>
    <n v="220"/>
    <s v="ml"/>
    <x v="0"/>
    <x v="1"/>
    <s v="BODY SPLASH"/>
    <x v="1"/>
    <m/>
    <m/>
    <m/>
    <m/>
    <m/>
    <m/>
    <m/>
    <m/>
    <m/>
    <m/>
    <m/>
    <m/>
    <m/>
    <m/>
    <m/>
    <m/>
    <m/>
    <m/>
    <m/>
    <m/>
    <m/>
    <s v=""/>
    <m/>
    <m/>
    <m/>
    <m/>
    <m/>
    <m/>
    <m/>
    <m/>
    <m/>
    <m/>
    <m/>
    <x v="1"/>
    <x v="2"/>
  </r>
  <r>
    <d v="2026-04-06T14:23:00"/>
    <d v="2026-04-06T16:26:00"/>
    <n v="2.0499999998719431"/>
    <n v="655.60975613851474"/>
    <x v="1"/>
    <s v="AMEERATI 01"/>
    <m/>
    <s v="26096/03"/>
    <s v="Envase"/>
    <n v="1344"/>
    <s v="AMABBS08"/>
    <s v="BODY MIST RARO ELIXIR"/>
    <n v="250"/>
    <s v="ml"/>
    <x v="15"/>
    <x v="1"/>
    <s v="BODY SPLASH"/>
    <x v="1"/>
    <m/>
    <m/>
    <m/>
    <m/>
    <m/>
    <m/>
    <m/>
    <m/>
    <m/>
    <m/>
    <m/>
    <m/>
    <m/>
    <m/>
    <m/>
    <m/>
    <m/>
    <m/>
    <m/>
    <m/>
    <m/>
    <s v=""/>
    <m/>
    <m/>
    <m/>
    <m/>
    <m/>
    <m/>
    <m/>
    <m/>
    <m/>
    <m/>
    <m/>
    <x v="1"/>
    <x v="2"/>
  </r>
  <r>
    <d v="2026-04-06T16:37:00"/>
    <d v="2026-04-07T08:45:00"/>
    <n v="2.1333333334769122"/>
    <n v="1237.499999916713"/>
    <x v="2"/>
    <s v="PROG 01 25/03/26"/>
    <m/>
    <s v="26096/09"/>
    <s v="Envase"/>
    <n v="2640"/>
    <s v="MRARBS01"/>
    <s v="BODY SPLASH AURORA IMPERIAL"/>
    <n v="220"/>
    <s v="ml"/>
    <x v="0"/>
    <x v="1"/>
    <s v="BODY SPLASH"/>
    <x v="1"/>
    <m/>
    <m/>
    <m/>
    <m/>
    <m/>
    <m/>
    <m/>
    <m/>
    <m/>
    <m/>
    <m/>
    <m/>
    <m/>
    <m/>
    <m/>
    <m/>
    <m/>
    <m/>
    <m/>
    <m/>
    <m/>
    <s v=""/>
    <m/>
    <m/>
    <m/>
    <m/>
    <m/>
    <m/>
    <m/>
    <m/>
    <m/>
    <m/>
    <m/>
    <x v="1"/>
    <x v="2"/>
  </r>
  <r>
    <d v="2026-04-07T08:49:00"/>
    <d v="2026-04-07T10:28:00"/>
    <n v="1.6500000001396984"/>
    <n v="712.72727266692914"/>
    <x v="1"/>
    <s v="AMEERATI 01"/>
    <m/>
    <s v="26096/04"/>
    <s v="Envase"/>
    <n v="1176"/>
    <s v="AMABBS07"/>
    <s v="BODY MIST MEL DE ESPECIARIAS"/>
    <n v="250"/>
    <s v="ml"/>
    <x v="15"/>
    <x v="1"/>
    <s v="BODY SPLASH"/>
    <x v="1"/>
    <m/>
    <m/>
    <m/>
    <m/>
    <m/>
    <m/>
    <m/>
    <m/>
    <m/>
    <m/>
    <m/>
    <m/>
    <m/>
    <m/>
    <m/>
    <m/>
    <m/>
    <m/>
    <m/>
    <m/>
    <m/>
    <s v=""/>
    <m/>
    <m/>
    <m/>
    <m/>
    <m/>
    <m/>
    <m/>
    <m/>
    <m/>
    <m/>
    <m/>
    <x v="1"/>
    <x v="2"/>
  </r>
  <r>
    <d v="2026-04-07T10:28:00"/>
    <d v="2026-04-07T14:30:00"/>
    <n v="3.033333333209157"/>
    <n v="447.69230771063496"/>
    <x v="1"/>
    <s v="AMEERATI 01"/>
    <m/>
    <s v="26096/05"/>
    <s v="Envase"/>
    <n v="1358"/>
    <s v="AMABBS07"/>
    <s v="BODY MIST MEL DE ESPECIARIAS"/>
    <n v="250"/>
    <s v="ml"/>
    <x v="15"/>
    <x v="1"/>
    <s v="BODY SPLASH"/>
    <x v="1"/>
    <m/>
    <m/>
    <m/>
    <m/>
    <m/>
    <m/>
    <m/>
    <m/>
    <m/>
    <m/>
    <m/>
    <m/>
    <m/>
    <m/>
    <m/>
    <m/>
    <m/>
    <m/>
    <m/>
    <m/>
    <m/>
    <s v=""/>
    <m/>
    <m/>
    <m/>
    <m/>
    <m/>
    <m/>
    <m/>
    <m/>
    <m/>
    <m/>
    <m/>
    <x v="1"/>
    <x v="2"/>
  </r>
  <r>
    <d v="2026-04-07T14:34:00"/>
    <d v="2026-04-07T16:11:00"/>
    <n v="1.6166666666977108"/>
    <n v="771.95876287177441"/>
    <x v="1"/>
    <s v="AMEERATI 01"/>
    <m/>
    <s v="26096/06"/>
    <s v="Envase"/>
    <n v="1248"/>
    <s v="AMABBS06"/>
    <s v="BODY MIST ENCANTO PERSA"/>
    <n v="250"/>
    <s v="ml"/>
    <x v="15"/>
    <x v="1"/>
    <s v="BODY SPLASH"/>
    <x v="1"/>
    <m/>
    <m/>
    <m/>
    <m/>
    <m/>
    <m/>
    <m/>
    <m/>
    <m/>
    <m/>
    <m/>
    <m/>
    <m/>
    <m/>
    <m/>
    <m/>
    <m/>
    <m/>
    <m/>
    <m/>
    <m/>
    <s v=""/>
    <m/>
    <m/>
    <m/>
    <m/>
    <m/>
    <m/>
    <m/>
    <m/>
    <m/>
    <m/>
    <m/>
    <x v="1"/>
    <x v="2"/>
  </r>
  <r>
    <d v="2026-04-07T16:11:00"/>
    <d v="2026-04-08T08:33:00"/>
    <n v="2.3666666666977108"/>
    <n v="540.42253520417876"/>
    <x v="1"/>
    <s v="AMEERATI 01"/>
    <m/>
    <s v="26096/007"/>
    <s v="Envase"/>
    <n v="1279"/>
    <s v="AMABBS06"/>
    <s v="BODY MIST ENCANTO PERSA"/>
    <n v="250"/>
    <s v="ml"/>
    <x v="15"/>
    <x v="1"/>
    <s v="BODY SPLASH"/>
    <x v="1"/>
    <m/>
    <m/>
    <m/>
    <m/>
    <m/>
    <m/>
    <m/>
    <m/>
    <m/>
    <m/>
    <m/>
    <m/>
    <m/>
    <m/>
    <m/>
    <m/>
    <m/>
    <m/>
    <m/>
    <m/>
    <m/>
    <s v=""/>
    <m/>
    <m/>
    <m/>
    <m/>
    <m/>
    <m/>
    <m/>
    <m/>
    <m/>
    <m/>
    <m/>
    <x v="1"/>
    <x v="2"/>
  </r>
  <r>
    <d v="2026-04-08T08:00:00"/>
    <d v="2026-04-08T09:37:00"/>
    <n v="1.6166666665230878"/>
    <n v="797.3195876996773"/>
    <x v="2"/>
    <s v="AMEERATI 01"/>
    <m/>
    <s v="26097/01"/>
    <s v="Envase"/>
    <n v="1289"/>
    <s v="AMABBS05"/>
    <s v="BODY MIST ROSA IMPERIAL"/>
    <n v="250"/>
    <s v="ml"/>
    <x v="15"/>
    <x v="1"/>
    <s v="BODY SPLASH"/>
    <x v="1"/>
    <m/>
    <m/>
    <m/>
    <m/>
    <m/>
    <m/>
    <m/>
    <m/>
    <m/>
    <m/>
    <m/>
    <m/>
    <m/>
    <m/>
    <m/>
    <m/>
    <m/>
    <m/>
    <m/>
    <m/>
    <m/>
    <s v=""/>
    <m/>
    <m/>
    <m/>
    <m/>
    <m/>
    <m/>
    <m/>
    <m/>
    <m/>
    <m/>
    <m/>
    <x v="1"/>
    <x v="2"/>
  </r>
  <r>
    <d v="2026-04-08T09:24:00"/>
    <d v="2026-04-08T11:00:00"/>
    <n v="1.5999999999767169"/>
    <n v="763.75000001111403"/>
    <x v="1"/>
    <s v="AMEERATI 01"/>
    <m/>
    <s v="26097/02"/>
    <s v="Envase"/>
    <n v="1222"/>
    <s v="AMABBS05"/>
    <s v="BODY MIST ROSA IMPERIAL"/>
    <n v="250"/>
    <s v="ml"/>
    <x v="15"/>
    <x v="1"/>
    <s v="BODY SPLASH"/>
    <x v="1"/>
    <m/>
    <m/>
    <m/>
    <m/>
    <m/>
    <m/>
    <m/>
    <m/>
    <m/>
    <m/>
    <m/>
    <m/>
    <m/>
    <m/>
    <m/>
    <m/>
    <m/>
    <m/>
    <m/>
    <m/>
    <m/>
    <s v=""/>
    <m/>
    <m/>
    <m/>
    <m/>
    <m/>
    <m/>
    <m/>
    <m/>
    <m/>
    <m/>
    <m/>
    <x v="1"/>
    <x v="2"/>
  </r>
  <r>
    <d v="2026-04-08T11:00:00"/>
    <d v="2026-04-08T13:58:00"/>
    <n v="1.9666666665580124"/>
    <n v="610.16949155913437"/>
    <x v="1"/>
    <s v="AMEERATI 01"/>
    <m/>
    <s v="26097/03"/>
    <s v="Envase"/>
    <n v="1200"/>
    <s v="AMABBS04"/>
    <s v="BODY MIST PEROLA DO DESERTO"/>
    <n v="250"/>
    <s v="ml"/>
    <x v="15"/>
    <x v="1"/>
    <s v="BODY SPLASH"/>
    <x v="1"/>
    <m/>
    <m/>
    <m/>
    <m/>
    <m/>
    <m/>
    <m/>
    <m/>
    <m/>
    <m/>
    <m/>
    <m/>
    <m/>
    <m/>
    <m/>
    <m/>
    <m/>
    <m/>
    <m/>
    <m/>
    <m/>
    <s v=""/>
    <m/>
    <m/>
    <m/>
    <m/>
    <m/>
    <m/>
    <m/>
    <m/>
    <m/>
    <m/>
    <m/>
    <x v="1"/>
    <x v="2"/>
  </r>
  <r>
    <d v="2026-04-08T14:00:00"/>
    <d v="2026-04-08T16:18:00"/>
    <n v="2.2999999999883585"/>
    <n v="571.73913043767652"/>
    <x v="1"/>
    <s v="AMEERATI 01"/>
    <m/>
    <s v="26097/04"/>
    <s v="Envase"/>
    <n v="1315"/>
    <s v="AMABBS04"/>
    <s v="BODY MIST PEROLA DO DESERTO"/>
    <n v="250"/>
    <s v="ml"/>
    <x v="15"/>
    <x v="1"/>
    <s v="BODY SPLASH"/>
    <x v="1"/>
    <m/>
    <m/>
    <m/>
    <m/>
    <m/>
    <m/>
    <m/>
    <m/>
    <m/>
    <m/>
    <m/>
    <m/>
    <m/>
    <m/>
    <m/>
    <m/>
    <m/>
    <m/>
    <m/>
    <m/>
    <m/>
    <s v=""/>
    <m/>
    <m/>
    <m/>
    <m/>
    <m/>
    <m/>
    <m/>
    <m/>
    <m/>
    <m/>
    <m/>
    <x v="1"/>
    <x v="2"/>
  </r>
  <r>
    <d v="2026-04-08T14:44:00"/>
    <d v="2026-04-09T08:00:00"/>
    <n v="3.2666666668374091"/>
    <n v="822.85714281413368"/>
    <x v="2"/>
    <s v="PROG 01 25/03/26"/>
    <m/>
    <s v="26098/03"/>
    <s v="Envase"/>
    <n v="2688"/>
    <s v="MRARBS04"/>
    <s v="BODY SPLASH NÉCTAR DAS TAMARAS"/>
    <n v="220"/>
    <s v="ml"/>
    <x v="0"/>
    <x v="1"/>
    <s v="BODY SPLASH"/>
    <x v="1"/>
    <m/>
    <m/>
    <m/>
    <m/>
    <m/>
    <m/>
    <m/>
    <m/>
    <m/>
    <m/>
    <m/>
    <m/>
    <m/>
    <m/>
    <m/>
    <m/>
    <m/>
    <m/>
    <m/>
    <m/>
    <m/>
    <s v=""/>
    <m/>
    <m/>
    <m/>
    <m/>
    <m/>
    <m/>
    <m/>
    <m/>
    <m/>
    <m/>
    <m/>
    <x v="1"/>
    <x v="2"/>
  </r>
  <r>
    <d v="2026-04-09T07:20:00"/>
    <d v="2026-04-09T13:30:00"/>
    <n v="5.1666666666860692"/>
    <n v="158.90322580585487"/>
    <x v="3"/>
    <s v="COMPLEMENTO PEDIDO 01/25"/>
    <m/>
    <s v="26099/07"/>
    <s v="Envase"/>
    <n v="821"/>
    <s v="FBPF0001"/>
    <s v="PERFUME RAFINATTO 100ML"/>
    <n v="100"/>
    <s v="ml"/>
    <x v="17"/>
    <x v="1"/>
    <s v="PERFUME"/>
    <x v="1"/>
    <m/>
    <m/>
    <m/>
    <m/>
    <m/>
    <m/>
    <m/>
    <m/>
    <m/>
    <m/>
    <m/>
    <m/>
    <m/>
    <m/>
    <m/>
    <m/>
    <m/>
    <m/>
    <m/>
    <m/>
    <m/>
    <s v=""/>
    <m/>
    <m/>
    <m/>
    <m/>
    <m/>
    <m/>
    <m/>
    <m/>
    <m/>
    <m/>
    <m/>
    <x v="1"/>
    <x v="2"/>
  </r>
  <r>
    <d v="2026-04-09T08:10:00"/>
    <d v="2026-04-09T11:05:00"/>
    <n v="2.9166666665696539"/>
    <n v="872.22857145758303"/>
    <x v="1"/>
    <s v="PROG 01 25/03/26"/>
    <m/>
    <s v="26098/04"/>
    <s v="Envase"/>
    <n v="2544"/>
    <s v="MRARBS04"/>
    <s v="BODY SPLASH NÉCTAR DAS TAMARAS"/>
    <n v="220"/>
    <s v="ml"/>
    <x v="0"/>
    <x v="1"/>
    <s v="BODY SPLASH"/>
    <x v="1"/>
    <m/>
    <m/>
    <m/>
    <m/>
    <m/>
    <m/>
    <m/>
    <m/>
    <m/>
    <m/>
    <m/>
    <m/>
    <m/>
    <m/>
    <m/>
    <m/>
    <m/>
    <m/>
    <m/>
    <m/>
    <m/>
    <s v=""/>
    <m/>
    <m/>
    <m/>
    <m/>
    <m/>
    <m/>
    <m/>
    <m/>
    <m/>
    <m/>
    <m/>
    <x v="1"/>
    <x v="2"/>
  </r>
  <r>
    <d v="2026-04-09T08:40:00"/>
    <d v="2026-04-09T11:48:00"/>
    <n v="3.1333333334187046"/>
    <n v="796.59574465914693"/>
    <x v="2"/>
    <s v="PROG 01 25/03/26"/>
    <m/>
    <s v="26098/05"/>
    <s v="Envase"/>
    <n v="2496"/>
    <s v="MRARBS04"/>
    <s v="BODY SPLASH NÉCTAR DAS TAMARAS"/>
    <n v="220"/>
    <s v="ml"/>
    <x v="0"/>
    <x v="1"/>
    <s v="BODY SPLASH"/>
    <x v="1"/>
    <m/>
    <m/>
    <m/>
    <m/>
    <m/>
    <m/>
    <m/>
    <m/>
    <m/>
    <m/>
    <m/>
    <m/>
    <m/>
    <m/>
    <m/>
    <m/>
    <m/>
    <m/>
    <m/>
    <m/>
    <m/>
    <s v=""/>
    <m/>
    <m/>
    <m/>
    <m/>
    <m/>
    <m/>
    <m/>
    <m/>
    <m/>
    <m/>
    <m/>
    <x v="1"/>
    <x v="2"/>
  </r>
  <r>
    <d v="2026-04-09T13:05:00"/>
    <d v="2026-04-10T10:00:00"/>
    <n v="6.9166666666860692"/>
    <n v="423.3253012036318"/>
    <x v="1"/>
    <s v="REPOSICAO 23/03"/>
    <m/>
    <s v="26099/04"/>
    <s v="Envase"/>
    <n v="2928"/>
    <s v="MRARBS07"/>
    <s v="BODY SPLASH LEAO DO DESERTO BOURBON 200ml"/>
    <n v="215"/>
    <s v="ml"/>
    <x v="0"/>
    <x v="1"/>
    <s v="BODY SPLASH"/>
    <x v="1"/>
    <m/>
    <m/>
    <m/>
    <m/>
    <m/>
    <m/>
    <m/>
    <m/>
    <m/>
    <m/>
    <m/>
    <m/>
    <m/>
    <m/>
    <m/>
    <m/>
    <m/>
    <m/>
    <m/>
    <m/>
    <m/>
    <s v=""/>
    <m/>
    <m/>
    <m/>
    <m/>
    <m/>
    <m/>
    <m/>
    <m/>
    <m/>
    <m/>
    <m/>
    <x v="1"/>
    <x v="2"/>
  </r>
  <r>
    <d v="2026-04-09T13:30:00"/>
    <d v="2026-04-10T09:30:00"/>
    <n v="6.000000000174623"/>
    <n v="150.6666666622817"/>
    <x v="3"/>
    <s v="COMPLEMENTO PEDIDO 01/25"/>
    <m/>
    <s v="26100/01"/>
    <s v="Envase"/>
    <n v="904"/>
    <s v="FBPF0002"/>
    <s v="PERFUME OSTINATO 100ML"/>
    <n v="100"/>
    <s v="ml"/>
    <x v="17"/>
    <x v="1"/>
    <s v="PERFUME"/>
    <x v="1"/>
    <m/>
    <m/>
    <m/>
    <m/>
    <m/>
    <m/>
    <m/>
    <m/>
    <m/>
    <m/>
    <m/>
    <m/>
    <m/>
    <m/>
    <m/>
    <m/>
    <m/>
    <m/>
    <m/>
    <m/>
    <m/>
    <s v=""/>
    <m/>
    <m/>
    <m/>
    <m/>
    <m/>
    <m/>
    <m/>
    <m/>
    <m/>
    <m/>
    <m/>
    <x v="1"/>
    <x v="2"/>
  </r>
  <r>
    <d v="2026-04-09T15:50:00"/>
    <d v="2026-04-10T09:30:00"/>
    <n v="3.6666666669188999"/>
    <n v="693.81818177045341"/>
    <x v="2"/>
    <s v="PROG 01 25/03/26"/>
    <m/>
    <s v="26099/01"/>
    <s v="Envase"/>
    <n v="2544"/>
    <s v="MRARBS04"/>
    <s v="BODY SPLASH NÉCTAR DAS TAMARAS"/>
    <n v="220"/>
    <s v="ml"/>
    <x v="0"/>
    <x v="1"/>
    <s v="BODY SPLASH"/>
    <x v="1"/>
    <m/>
    <m/>
    <m/>
    <m/>
    <m/>
    <m/>
    <m/>
    <m/>
    <m/>
    <m/>
    <m/>
    <m/>
    <m/>
    <m/>
    <m/>
    <m/>
    <m/>
    <m/>
    <m/>
    <m/>
    <m/>
    <s v=""/>
    <m/>
    <m/>
    <m/>
    <m/>
    <m/>
    <m/>
    <m/>
    <m/>
    <m/>
    <m/>
    <m/>
    <x v="1"/>
    <x v="2"/>
  </r>
  <r>
    <d v="2026-04-10T10:00:00"/>
    <d v="2026-04-10T14:33:00"/>
    <n v="3.5499999999883585"/>
    <n v="811.26760563646326"/>
    <x v="1"/>
    <s v="REPOSICAO 23/03"/>
    <m/>
    <s v="26099/03"/>
    <s v="Envase"/>
    <n v="2880"/>
    <s v="MRARBS07"/>
    <s v="BODY SPLASH LEAO DO DESERTO BOURBON 200ml"/>
    <n v="215"/>
    <s v="ml"/>
    <x v="0"/>
    <x v="1"/>
    <s v="BODY SPLASH"/>
    <x v="1"/>
    <m/>
    <m/>
    <m/>
    <m/>
    <m/>
    <m/>
    <m/>
    <m/>
    <m/>
    <m/>
    <m/>
    <m/>
    <m/>
    <m/>
    <m/>
    <m/>
    <m/>
    <m/>
    <m/>
    <m/>
    <m/>
    <s v=""/>
    <m/>
    <m/>
    <m/>
    <m/>
    <m/>
    <m/>
    <m/>
    <m/>
    <m/>
    <m/>
    <m/>
    <x v="1"/>
    <x v="2"/>
  </r>
  <r>
    <d v="2026-04-10T14:33:00"/>
    <d v="2026-04-13T09:37:00"/>
    <n v="4.0666666666511446"/>
    <n v="607.62295082199137"/>
    <x v="1"/>
    <s v="REPOSICAO 23/03"/>
    <m/>
    <s v="26099/05"/>
    <s v="Envase"/>
    <n v="2471"/>
    <s v="MRARBS07"/>
    <s v="BODY SPLASH LEAO DO DESERTO BOURBON 200ml"/>
    <n v="215"/>
    <s v="ml"/>
    <x v="0"/>
    <x v="1"/>
    <s v="BODY SPLASH"/>
    <x v="1"/>
    <m/>
    <m/>
    <m/>
    <m/>
    <m/>
    <m/>
    <m/>
    <m/>
    <m/>
    <m/>
    <m/>
    <m/>
    <m/>
    <m/>
    <m/>
    <m/>
    <m/>
    <m/>
    <m/>
    <m/>
    <m/>
    <s v=""/>
    <m/>
    <m/>
    <m/>
    <m/>
    <m/>
    <m/>
    <m/>
    <m/>
    <m/>
    <m/>
    <m/>
    <x v="1"/>
    <x v="2"/>
  </r>
  <r>
    <d v="2026-04-13T07:45:00"/>
    <d v="2026-04-13T10:18:00"/>
    <n v="2.5500000001047738"/>
    <n v="508.23529409676479"/>
    <x v="2"/>
    <s v="AMEERATI 01"/>
    <m/>
    <s v="26097/05"/>
    <s v="Envase"/>
    <n v="1296"/>
    <s v="AMABBS03"/>
    <s v="BODY MIST FLOR DO DESERTO"/>
    <n v="250"/>
    <s v="ml"/>
    <x v="15"/>
    <x v="1"/>
    <s v="BODY SPLASH"/>
    <x v="1"/>
    <m/>
    <m/>
    <m/>
    <m/>
    <m/>
    <m/>
    <m/>
    <m/>
    <m/>
    <m/>
    <m/>
    <m/>
    <m/>
    <m/>
    <m/>
    <m/>
    <m/>
    <m/>
    <m/>
    <m/>
    <m/>
    <s v=""/>
    <m/>
    <m/>
    <m/>
    <m/>
    <m/>
    <m/>
    <m/>
    <m/>
    <m/>
    <m/>
    <m/>
    <x v="1"/>
    <x v="2"/>
  </r>
  <r>
    <d v="2026-04-13T10:18:00"/>
    <d v="2026-04-13T13:00:00"/>
    <n v="2.6999999998952262"/>
    <n v="444.44444446169115"/>
    <x v="1"/>
    <s v="AMEERATI 01"/>
    <m/>
    <s v="26097/06"/>
    <s v="Envase"/>
    <n v="1200"/>
    <s v="AMABBS03"/>
    <s v="BODY MIST FLOR DO DESERTO"/>
    <n v="250"/>
    <s v="ml"/>
    <x v="15"/>
    <x v="1"/>
    <s v="BODY SPLASH"/>
    <x v="1"/>
    <m/>
    <m/>
    <m/>
    <m/>
    <m/>
    <m/>
    <m/>
    <m/>
    <m/>
    <m/>
    <m/>
    <m/>
    <m/>
    <m/>
    <m/>
    <m/>
    <m/>
    <m/>
    <m/>
    <m/>
    <m/>
    <s v=""/>
    <m/>
    <m/>
    <m/>
    <m/>
    <m/>
    <m/>
    <m/>
    <m/>
    <m/>
    <m/>
    <m/>
    <x v="1"/>
    <x v="2"/>
  </r>
  <r>
    <d v="2026-04-13T13:00:00"/>
    <d v="2026-04-13T15:57:00"/>
    <n v="2.9500000000116415"/>
    <n v="829.83050847130153"/>
    <x v="1"/>
    <s v="REPOSICAO 23/03"/>
    <m/>
    <s v="26100/02"/>
    <s v="Envase"/>
    <n v="2448"/>
    <s v="MRARBS11"/>
    <s v="BODY SPLASH ROSA RAINHA 200ml"/>
    <n v="215"/>
    <s v="ml"/>
    <x v="0"/>
    <x v="1"/>
    <s v="BODY SPLASH"/>
    <x v="1"/>
    <m/>
    <m/>
    <m/>
    <m/>
    <m/>
    <m/>
    <m/>
    <m/>
    <m/>
    <m/>
    <m/>
    <m/>
    <m/>
    <m/>
    <m/>
    <m/>
    <m/>
    <m/>
    <m/>
    <m/>
    <m/>
    <s v=""/>
    <m/>
    <m/>
    <m/>
    <m/>
    <m/>
    <m/>
    <m/>
    <m/>
    <m/>
    <m/>
    <m/>
    <x v="1"/>
    <x v="2"/>
  </r>
  <r>
    <d v="2026-04-13T13:37:00"/>
    <d v="2026-04-13T16:14:00"/>
    <n v="2.6166666666395031"/>
    <n v="953.88535032837365"/>
    <x v="2"/>
    <s v="PROG 01 25/03/26"/>
    <m/>
    <s v="26097/11"/>
    <s v="Envase"/>
    <n v="2496"/>
    <s v="MRARBS03"/>
    <s v="BODY SPLASH ECLIPSE DOURADO"/>
    <n v="220"/>
    <s v="ml"/>
    <x v="0"/>
    <x v="1"/>
    <s v="BODY SPLASH"/>
    <x v="1"/>
    <m/>
    <m/>
    <m/>
    <m/>
    <m/>
    <m/>
    <m/>
    <m/>
    <m/>
    <m/>
    <m/>
    <m/>
    <m/>
    <m/>
    <m/>
    <m/>
    <m/>
    <m/>
    <m/>
    <m/>
    <m/>
    <s v=""/>
    <m/>
    <m/>
    <m/>
    <m/>
    <m/>
    <m/>
    <m/>
    <m/>
    <m/>
    <m/>
    <m/>
    <x v="1"/>
    <x v="2"/>
  </r>
  <r>
    <d v="2026-04-13T15:57:00"/>
    <d v="2026-04-14T09:33:00"/>
    <n v="3.6000000002095476"/>
    <n v="714.99999995838152"/>
    <x v="1"/>
    <s v="REPOSICAO 23/03"/>
    <m/>
    <s v="26100/03"/>
    <s v="Envase"/>
    <n v="2574"/>
    <s v="MRARBS11"/>
    <s v="BODY SPLASH ROSA RAINHA 200ml"/>
    <n v="215"/>
    <s v="ml"/>
    <x v="0"/>
    <x v="1"/>
    <s v="BODY SPLASH"/>
    <x v="1"/>
    <m/>
    <m/>
    <m/>
    <m/>
    <m/>
    <m/>
    <m/>
    <m/>
    <m/>
    <m/>
    <m/>
    <m/>
    <m/>
    <m/>
    <m/>
    <m/>
    <m/>
    <m/>
    <m/>
    <m/>
    <m/>
    <s v=""/>
    <m/>
    <m/>
    <m/>
    <m/>
    <m/>
    <m/>
    <m/>
    <m/>
    <m/>
    <m/>
    <m/>
    <x v="1"/>
    <x v="2"/>
  </r>
  <r>
    <d v="2026-04-13T16:14:00"/>
    <d v="2026-04-14T09:40:00"/>
    <n v="3.4333333335234784"/>
    <n v="754.95145626886881"/>
    <x v="2"/>
    <s v="PROG 01 25/03/26"/>
    <m/>
    <s v="26098/06"/>
    <s v="Envase"/>
    <n v="2592"/>
    <s v="MRARBS03"/>
    <s v="BODY SPLASH ECLIPSE DOURADO"/>
    <n v="220"/>
    <s v="ml"/>
    <x v="0"/>
    <x v="1"/>
    <s v="BODY SPLASH"/>
    <x v="1"/>
    <m/>
    <m/>
    <m/>
    <m/>
    <m/>
    <m/>
    <m/>
    <m/>
    <m/>
    <m/>
    <m/>
    <m/>
    <m/>
    <m/>
    <m/>
    <m/>
    <m/>
    <m/>
    <m/>
    <m/>
    <m/>
    <s v=""/>
    <m/>
    <m/>
    <m/>
    <m/>
    <m/>
    <m/>
    <m/>
    <m/>
    <m/>
    <m/>
    <m/>
    <x v="1"/>
    <x v="2"/>
  </r>
  <r>
    <d v="2026-04-14T09:33:00"/>
    <d v="2026-04-14T10:32:00"/>
    <n v="0.98333333322079852"/>
    <n v="751.52542381481976"/>
    <x v="1"/>
    <s v="REPOSICAO 23/03"/>
    <m/>
    <s v="26100/04"/>
    <s v="Envase"/>
    <n v="739"/>
    <s v="MRARBS11"/>
    <s v="BODY SPLASH ROSA RAINHA 200ml"/>
    <n v="215"/>
    <s v="ml"/>
    <x v="0"/>
    <x v="1"/>
    <s v="BODY SPLASH"/>
    <x v="1"/>
    <m/>
    <m/>
    <m/>
    <m/>
    <m/>
    <m/>
    <m/>
    <m/>
    <m/>
    <m/>
    <m/>
    <m/>
    <m/>
    <m/>
    <m/>
    <m/>
    <m/>
    <m/>
    <m/>
    <m/>
    <m/>
    <s v=""/>
    <m/>
    <m/>
    <m/>
    <m/>
    <m/>
    <m/>
    <m/>
    <m/>
    <m/>
    <m/>
    <m/>
    <x v="1"/>
    <x v="2"/>
  </r>
  <r>
    <d v="2026-04-14T09:40:00"/>
    <d v="2026-04-14T13:55:00"/>
    <n v="3.2499999998835847"/>
    <n v="827.07692310654909"/>
    <x v="2"/>
    <s v="PROG 01 25/03/26"/>
    <m/>
    <s v="26098/07"/>
    <s v="Envase"/>
    <n v="2688"/>
    <s v="MRARBS03"/>
    <s v="BODY SPLASH ECLIPSE DOURADO"/>
    <n v="220"/>
    <s v="ml"/>
    <x v="0"/>
    <x v="1"/>
    <s v="BODY SPLASH"/>
    <x v="1"/>
    <m/>
    <m/>
    <m/>
    <m/>
    <m/>
    <m/>
    <m/>
    <m/>
    <m/>
    <m/>
    <m/>
    <m/>
    <m/>
    <m/>
    <m/>
    <m/>
    <m/>
    <m/>
    <m/>
    <m/>
    <m/>
    <s v=""/>
    <m/>
    <m/>
    <m/>
    <m/>
    <m/>
    <m/>
    <m/>
    <m/>
    <m/>
    <m/>
    <m/>
    <x v="1"/>
    <x v="2"/>
  </r>
  <r>
    <d v="2026-04-14T09:50:00"/>
    <d v="2026-04-15T10:10:00"/>
    <n v="9.3333333334885538"/>
    <n v="464.46428570656133"/>
    <x v="1"/>
    <s v="FABIANO 03/02/26"/>
    <m/>
    <s v="26105/01"/>
    <s v="Envase"/>
    <n v="4335"/>
    <s v="MRBR0001"/>
    <s v=" BRUMA MATTE FIX 120ml"/>
    <n v="120"/>
    <s v="ml"/>
    <x v="0"/>
    <x v="4"/>
    <s v="BRUMA"/>
    <x v="1"/>
    <m/>
    <m/>
    <m/>
    <m/>
    <m/>
    <m/>
    <m/>
    <m/>
    <m/>
    <m/>
    <m/>
    <m/>
    <m/>
    <m/>
    <m/>
    <m/>
    <m/>
    <m/>
    <m/>
    <m/>
    <m/>
    <s v=""/>
    <m/>
    <m/>
    <m/>
    <m/>
    <m/>
    <m/>
    <m/>
    <m/>
    <m/>
    <m/>
    <m/>
    <x v="1"/>
    <x v="2"/>
  </r>
  <r>
    <d v="2026-04-14T13:55:00"/>
    <d v="2026-04-15T16:25:00"/>
    <n v="11.500000000232831"/>
    <n v="230.17391303881811"/>
    <x v="2"/>
    <s v="PROG 01 25/03/26"/>
    <m/>
    <s v="26098/08"/>
    <s v="Envase"/>
    <n v="2647"/>
    <s v="MRARBS03"/>
    <s v="BODY SPLASH ECLIPSE DOURADO"/>
    <n v="220"/>
    <s v="ml"/>
    <x v="0"/>
    <x v="1"/>
    <s v="BODY SPLASH"/>
    <x v="1"/>
    <m/>
    <m/>
    <m/>
    <m/>
    <m/>
    <m/>
    <m/>
    <m/>
    <m/>
    <m/>
    <m/>
    <m/>
    <m/>
    <m/>
    <m/>
    <m/>
    <m/>
    <m/>
    <m/>
    <m/>
    <m/>
    <s v=""/>
    <m/>
    <m/>
    <m/>
    <m/>
    <m/>
    <m/>
    <m/>
    <m/>
    <m/>
    <m/>
    <m/>
    <x v="1"/>
    <x v="2"/>
  </r>
  <r>
    <d v="2026-04-14T14:32:00"/>
    <d v="2026-04-15T10:15:00"/>
    <n v="5.716666666790843"/>
    <n v="766.18075800084989"/>
    <x v="1"/>
    <s v="FABIANO 03/02/26"/>
    <m/>
    <s v="26104/01"/>
    <s v="Envase"/>
    <n v="4380"/>
    <s v="MRBR0001"/>
    <s v=" BRUMA MATTE FIX 120ml"/>
    <n v="120"/>
    <s v="ml"/>
    <x v="0"/>
    <x v="4"/>
    <s v="BRUMA"/>
    <x v="1"/>
    <m/>
    <m/>
    <m/>
    <m/>
    <m/>
    <m/>
    <m/>
    <m/>
    <m/>
    <m/>
    <m/>
    <m/>
    <m/>
    <m/>
    <m/>
    <m/>
    <m/>
    <m/>
    <m/>
    <m/>
    <m/>
    <s v=""/>
    <m/>
    <m/>
    <m/>
    <m/>
    <m/>
    <m/>
    <m/>
    <m/>
    <m/>
    <m/>
    <m/>
    <x v="1"/>
    <x v="2"/>
  </r>
  <r>
    <d v="2026-04-16T07:10:00"/>
    <d v="2026-04-16T11:50:00"/>
    <n v="4.6666666666860692"/>
    <n v="944.99999999607098"/>
    <x v="1"/>
    <s v="FABIANO 03/02/26"/>
    <m/>
    <s v="26106/01"/>
    <s v="Envase"/>
    <n v="4410"/>
    <s v="MRBR0001"/>
    <s v=" BRUMA MATTE FIX 120ml"/>
    <n v="120"/>
    <s v="ml"/>
    <x v="0"/>
    <x v="4"/>
    <s v="BRUMA"/>
    <x v="1"/>
    <m/>
    <m/>
    <m/>
    <m/>
    <m/>
    <m/>
    <m/>
    <m/>
    <m/>
    <m/>
    <m/>
    <m/>
    <m/>
    <m/>
    <m/>
    <m/>
    <m/>
    <m/>
    <m/>
    <m/>
    <m/>
    <s v=""/>
    <m/>
    <m/>
    <m/>
    <m/>
    <m/>
    <m/>
    <m/>
    <m/>
    <m/>
    <m/>
    <m/>
    <x v="1"/>
    <x v="2"/>
  </r>
  <r>
    <d v="2026-04-16T11:50:00"/>
    <d v="2026-04-17T09:31:00"/>
    <n v="6.683333333407063"/>
    <n v="700.24937655087842"/>
    <x v="1"/>
    <s v="FABIANO 03/02/26"/>
    <m/>
    <s v="26107/01"/>
    <s v="Envase"/>
    <n v="4680"/>
    <s v="MRBR0001"/>
    <s v=" BRUMA MATTE FIX 120ml"/>
    <n v="120"/>
    <s v="ml"/>
    <x v="0"/>
    <x v="4"/>
    <s v="BRUMA"/>
    <x v="1"/>
    <m/>
    <m/>
    <m/>
    <m/>
    <m/>
    <m/>
    <m/>
    <m/>
    <m/>
    <m/>
    <m/>
    <m/>
    <m/>
    <m/>
    <m/>
    <m/>
    <m/>
    <m/>
    <m/>
    <m/>
    <m/>
    <s v=""/>
    <m/>
    <m/>
    <m/>
    <m/>
    <m/>
    <m/>
    <m/>
    <m/>
    <m/>
    <m/>
    <m/>
    <x v="1"/>
    <x v="2"/>
  </r>
  <r>
    <d v="2026-04-17T09:31:00"/>
    <d v="2026-04-21T07:42:00"/>
    <n v="15.183333333465271"/>
    <n v="292.4259055957026"/>
    <x v="1"/>
    <s v="FABIANO 03/02/26"/>
    <m/>
    <s v="26107/02"/>
    <s v="Envase"/>
    <n v="4440"/>
    <s v="MRBR0001"/>
    <s v=" BRUMA MATTE FIX 120ml"/>
    <n v="120"/>
    <s v="ml"/>
    <x v="0"/>
    <x v="4"/>
    <s v="BRUMA"/>
    <x v="1"/>
    <m/>
    <m/>
    <m/>
    <m/>
    <m/>
    <m/>
    <m/>
    <m/>
    <m/>
    <m/>
    <m/>
    <m/>
    <m/>
    <m/>
    <m/>
    <m/>
    <m/>
    <m/>
    <m/>
    <m/>
    <m/>
    <s v=""/>
    <m/>
    <m/>
    <m/>
    <m/>
    <m/>
    <m/>
    <m/>
    <m/>
    <m/>
    <m/>
    <m/>
    <x v="1"/>
    <x v="2"/>
  </r>
  <r>
    <d v="2026-04-21T07:35:00"/>
    <d v="2026-04-21T11:14:00"/>
    <n v="3.6500000000232831"/>
    <n v="733.15068492683019"/>
    <x v="2"/>
    <s v="PROG 01 25/03/26"/>
    <m/>
    <s v="26099/02"/>
    <s v="Envase"/>
    <n v="2676"/>
    <s v="MRARBS03"/>
    <s v="BODY SPLASH ECLIPSE DOURADO"/>
    <n v="220"/>
    <s v="ml"/>
    <x v="0"/>
    <x v="1"/>
    <s v="BODY SPLASH"/>
    <x v="1"/>
    <m/>
    <m/>
    <m/>
    <m/>
    <m/>
    <m/>
    <m/>
    <m/>
    <m/>
    <m/>
    <m/>
    <m/>
    <m/>
    <m/>
    <m/>
    <m/>
    <m/>
    <m/>
    <m/>
    <m/>
    <m/>
    <s v=""/>
    <m/>
    <m/>
    <m/>
    <m/>
    <m/>
    <m/>
    <m/>
    <m/>
    <m/>
    <m/>
    <m/>
    <x v="1"/>
    <x v="2"/>
  </r>
  <r>
    <d v="2026-04-21T07:42:00"/>
    <d v="2026-04-21T14:43:00"/>
    <n v="6.0166666666627862"/>
    <n v="777.8393351805571"/>
    <x v="1"/>
    <s v="FABIANO 03/02/26"/>
    <m/>
    <s v="26107/03"/>
    <s v="Envase"/>
    <n v="4680"/>
    <s v="MRBR0001"/>
    <s v=" BRUMA MATTE FIX 120ml"/>
    <n v="120"/>
    <s v="ml"/>
    <x v="0"/>
    <x v="4"/>
    <s v="BRUMA"/>
    <x v="1"/>
    <m/>
    <m/>
    <m/>
    <m/>
    <m/>
    <m/>
    <m/>
    <m/>
    <m/>
    <m/>
    <m/>
    <m/>
    <m/>
    <m/>
    <m/>
    <m/>
    <m/>
    <m/>
    <m/>
    <m/>
    <m/>
    <s v=""/>
    <m/>
    <m/>
    <m/>
    <m/>
    <m/>
    <m/>
    <m/>
    <m/>
    <m/>
    <m/>
    <m/>
    <x v="1"/>
    <x v="2"/>
  </r>
  <r>
    <d v="2026-04-21T11:14:00"/>
    <d v="2026-04-21T15:02:00"/>
    <n v="2.7999999999883585"/>
    <n v="509.28571428783175"/>
    <x v="2"/>
    <s v="PROG 01 25/03/26"/>
    <m/>
    <s v="26111/05"/>
    <s v="Envase"/>
    <n v="1426"/>
    <s v="MRARBS03"/>
    <s v="BODY SPLASH ECLIPSE DOURADO"/>
    <n v="220"/>
    <s v="ml"/>
    <x v="0"/>
    <x v="1"/>
    <s v="BODY SPLASH"/>
    <x v="1"/>
    <m/>
    <m/>
    <m/>
    <m/>
    <m/>
    <m/>
    <m/>
    <m/>
    <m/>
    <m/>
    <m/>
    <m/>
    <m/>
    <m/>
    <m/>
    <m/>
    <m/>
    <m/>
    <m/>
    <m/>
    <m/>
    <s v=""/>
    <m/>
    <m/>
    <m/>
    <m/>
    <m/>
    <m/>
    <m/>
    <m/>
    <m/>
    <m/>
    <m/>
    <x v="1"/>
    <x v="2"/>
  </r>
  <r>
    <d v="2026-04-21T13:05:00"/>
    <d v="2026-04-21T14:05:00"/>
    <n v="0.99999999994179234"/>
    <n v="98.000000005704351"/>
    <x v="3"/>
    <s v="-"/>
    <m/>
    <s v="26111/12"/>
    <s v="Envase"/>
    <n v="98"/>
    <m/>
    <s v="-"/>
    <s v="-"/>
    <s v="-"/>
    <x v="1"/>
    <x v="6"/>
    <s v="-"/>
    <x v="5"/>
    <m/>
    <m/>
    <m/>
    <m/>
    <m/>
    <m/>
    <m/>
    <m/>
    <m/>
    <m/>
    <m/>
    <m/>
    <m/>
    <m/>
    <m/>
    <m/>
    <m/>
    <m/>
    <m/>
    <m/>
    <m/>
    <s v=""/>
    <m/>
    <m/>
    <m/>
    <m/>
    <m/>
    <m/>
    <m/>
    <m/>
    <m/>
    <m/>
    <m/>
    <x v="1"/>
    <x v="2"/>
  </r>
  <r>
    <d v="2026-04-21T13:10:00"/>
    <d v="2026-04-21T13:35:00"/>
    <n v="0.41666666662786156"/>
    <n v="240.00000002235174"/>
    <x v="3"/>
    <s v="-"/>
    <m/>
    <m/>
    <s v="Envase"/>
    <n v="100"/>
    <m/>
    <s v="-"/>
    <s v="-"/>
    <s v="-"/>
    <x v="1"/>
    <x v="6"/>
    <s v="-"/>
    <x v="5"/>
    <m/>
    <m/>
    <m/>
    <m/>
    <m/>
    <m/>
    <m/>
    <m/>
    <m/>
    <m/>
    <m/>
    <m/>
    <m/>
    <m/>
    <m/>
    <m/>
    <m/>
    <m/>
    <m/>
    <m/>
    <m/>
    <s v=""/>
    <m/>
    <m/>
    <m/>
    <m/>
    <m/>
    <m/>
    <m/>
    <m/>
    <m/>
    <m/>
    <m/>
    <x v="1"/>
    <x v="2"/>
  </r>
  <r>
    <d v="2026-04-21T13:35:00"/>
    <d v="2026-04-21T14:05:00"/>
    <n v="0.50000000005820766"/>
    <n v="199.99999997671694"/>
    <x v="3"/>
    <s v="-"/>
    <m/>
    <s v="26111/11"/>
    <s v="Envase"/>
    <n v="100"/>
    <m/>
    <s v="-"/>
    <s v="-"/>
    <s v="-"/>
    <x v="1"/>
    <x v="6"/>
    <s v="-"/>
    <x v="5"/>
    <m/>
    <m/>
    <m/>
    <m/>
    <m/>
    <m/>
    <m/>
    <m/>
    <m/>
    <m/>
    <m/>
    <m/>
    <m/>
    <m/>
    <m/>
    <m/>
    <m/>
    <m/>
    <m/>
    <m/>
    <m/>
    <s v=""/>
    <m/>
    <m/>
    <m/>
    <m/>
    <m/>
    <m/>
    <m/>
    <m/>
    <m/>
    <m/>
    <m/>
    <x v="1"/>
    <x v="2"/>
  </r>
  <r>
    <d v="2026-04-21T14:05:00"/>
    <d v="2026-04-21T14:35:00"/>
    <n v="0.50000000005820766"/>
    <n v="199.99999997671694"/>
    <x v="3"/>
    <s v="-"/>
    <m/>
    <m/>
    <s v="Envase"/>
    <n v="100"/>
    <m/>
    <s v="-"/>
    <s v="-"/>
    <s v="-"/>
    <x v="1"/>
    <x v="6"/>
    <s v="-"/>
    <x v="5"/>
    <m/>
    <m/>
    <m/>
    <m/>
    <m/>
    <m/>
    <m/>
    <m/>
    <m/>
    <m/>
    <m/>
    <m/>
    <m/>
    <m/>
    <m/>
    <m/>
    <m/>
    <m/>
    <m/>
    <m/>
    <m/>
    <s v=""/>
    <m/>
    <m/>
    <m/>
    <m/>
    <m/>
    <m/>
    <m/>
    <m/>
    <m/>
    <m/>
    <m/>
    <x v="1"/>
    <x v="2"/>
  </r>
  <r>
    <d v="2026-04-21T14:05:00"/>
    <d v="2026-04-21T14:35:00"/>
    <n v="0.50000000005820766"/>
    <n v="3251.9999996214174"/>
    <x v="3"/>
    <s v="HABIBI 01"/>
    <m/>
    <s v="26111/03"/>
    <s v="Envase"/>
    <n v="1626"/>
    <s v="HBHD0002"/>
    <s v="HIDRATANTE BISNAGA IMPERIUM 200g"/>
    <n v="200"/>
    <s v="g"/>
    <x v="18"/>
    <x v="0"/>
    <s v="CREME HIDRATANTE"/>
    <x v="2"/>
    <m/>
    <m/>
    <m/>
    <m/>
    <m/>
    <m/>
    <m/>
    <m/>
    <m/>
    <m/>
    <m/>
    <m/>
    <m/>
    <m/>
    <m/>
    <m/>
    <m/>
    <m/>
    <m/>
    <m/>
    <m/>
    <s v=""/>
    <m/>
    <m/>
    <m/>
    <m/>
    <m/>
    <m/>
    <m/>
    <m/>
    <m/>
    <m/>
    <m/>
    <x v="1"/>
    <x v="2"/>
  </r>
  <r>
    <d v="2026-04-21T14:35:00"/>
    <d v="2026-04-21T15:00:00"/>
    <n v="0.41666666662786156"/>
    <n v="240.00000002235174"/>
    <x v="3"/>
    <s v="-"/>
    <m/>
    <s v="26111/08"/>
    <s v="Envase"/>
    <n v="100"/>
    <m/>
    <s v="-"/>
    <s v="-"/>
    <s v="-"/>
    <x v="1"/>
    <x v="6"/>
    <s v="-"/>
    <x v="5"/>
    <m/>
    <m/>
    <m/>
    <m/>
    <m/>
    <m/>
    <m/>
    <m/>
    <m/>
    <m/>
    <m/>
    <m/>
    <m/>
    <m/>
    <m/>
    <m/>
    <m/>
    <m/>
    <m/>
    <m/>
    <m/>
    <s v=""/>
    <m/>
    <m/>
    <m/>
    <m/>
    <m/>
    <m/>
    <m/>
    <m/>
    <m/>
    <m/>
    <m/>
    <x v="1"/>
    <x v="2"/>
  </r>
  <r>
    <d v="2026-04-21T14:35:00"/>
    <d v="2026-04-21T15:00:00"/>
    <n v="0.41666666662786156"/>
    <n v="235.20000002190471"/>
    <x v="3"/>
    <s v="-"/>
    <m/>
    <s v="26111/07"/>
    <s v="Envase"/>
    <n v="98"/>
    <m/>
    <s v="-"/>
    <s v="-"/>
    <s v="-"/>
    <x v="1"/>
    <x v="6"/>
    <s v="-"/>
    <x v="5"/>
    <m/>
    <m/>
    <m/>
    <m/>
    <m/>
    <m/>
    <m/>
    <m/>
    <m/>
    <m/>
    <m/>
    <m/>
    <m/>
    <m/>
    <m/>
    <m/>
    <m/>
    <m/>
    <m/>
    <m/>
    <m/>
    <s v=""/>
    <m/>
    <m/>
    <m/>
    <m/>
    <m/>
    <m/>
    <m/>
    <m/>
    <m/>
    <m/>
    <m/>
    <x v="1"/>
    <x v="2"/>
  </r>
  <r>
    <d v="2026-04-21T14:43:00"/>
    <d v="2026-04-22T11:30:00"/>
    <n v="6.7833333334419876"/>
    <n v="689.92628991523884"/>
    <x v="1"/>
    <s v="FABIANO 03/02/26"/>
    <m/>
    <s v="26111/06"/>
    <s v="Envase"/>
    <n v="4680"/>
    <s v="MRBR0001"/>
    <s v=" BRUMA MATTE FIX 120ml"/>
    <n v="120"/>
    <s v="ml"/>
    <x v="0"/>
    <x v="4"/>
    <s v="BRUMA"/>
    <x v="1"/>
    <m/>
    <m/>
    <m/>
    <m/>
    <m/>
    <m/>
    <m/>
    <m/>
    <m/>
    <m/>
    <m/>
    <m/>
    <m/>
    <m/>
    <m/>
    <m/>
    <m/>
    <m/>
    <m/>
    <m/>
    <m/>
    <s v=""/>
    <m/>
    <m/>
    <m/>
    <m/>
    <m/>
    <m/>
    <m/>
    <m/>
    <m/>
    <m/>
    <m/>
    <x v="1"/>
    <x v="2"/>
  </r>
  <r>
    <d v="2026-04-21T15:02:00"/>
    <d v="2026-04-22T09:52:00"/>
    <n v="4.8333333335467614"/>
    <n v="294.20689653873268"/>
    <x v="2"/>
    <s v="PROG 01 25/03/26"/>
    <m/>
    <s v="26111/04"/>
    <s v="Envase"/>
    <n v="1422"/>
    <s v="MRARBS03"/>
    <s v="BODY SPLASH ECLIPSE DOURADO"/>
    <n v="220"/>
    <s v="ml"/>
    <x v="0"/>
    <x v="1"/>
    <s v="BODY SPLASH"/>
    <x v="1"/>
    <m/>
    <m/>
    <m/>
    <m/>
    <m/>
    <m/>
    <m/>
    <m/>
    <m/>
    <m/>
    <m/>
    <m/>
    <m/>
    <m/>
    <m/>
    <m/>
    <m/>
    <m/>
    <m/>
    <m/>
    <m/>
    <s v=""/>
    <m/>
    <m/>
    <m/>
    <m/>
    <m/>
    <m/>
    <m/>
    <m/>
    <m/>
    <m/>
    <m/>
    <x v="1"/>
    <x v="2"/>
  </r>
  <r>
    <d v="2026-04-22T11:30:00"/>
    <d v="2026-04-23T09:12:00"/>
    <n v="6.7000000001280569"/>
    <n v="680.5970149123649"/>
    <x v="1"/>
    <s v="FABIANO 03/02/26"/>
    <m/>
    <s v="26113/03"/>
    <s v="Envase"/>
    <n v="4560"/>
    <s v="MRBR0001"/>
    <s v=" BRUMA MATTE FIX 120ml"/>
    <n v="120"/>
    <s v="ml"/>
    <x v="0"/>
    <x v="4"/>
    <s v="BRUMA"/>
    <x v="1"/>
    <m/>
    <m/>
    <m/>
    <m/>
    <m/>
    <m/>
    <m/>
    <m/>
    <m/>
    <m/>
    <m/>
    <m/>
    <m/>
    <m/>
    <m/>
    <m/>
    <m/>
    <m/>
    <m/>
    <m/>
    <m/>
    <s v=""/>
    <m/>
    <m/>
    <m/>
    <m/>
    <m/>
    <m/>
    <m/>
    <m/>
    <m/>
    <m/>
    <m/>
    <x v="1"/>
    <x v="2"/>
  </r>
  <r>
    <d v="2026-04-22T13:20:00"/>
    <d v="2026-04-23T07:42:00"/>
    <n v="4.3666666667559184"/>
    <n v="431.67938930415386"/>
    <x v="2"/>
    <s v="HABIBI 01"/>
    <m/>
    <s v="26111/01"/>
    <s v="Envase"/>
    <n v="1885"/>
    <s v="HBHD0004"/>
    <s v="HIDRATANTE BISNAGA ROSE AURORA 200g"/>
    <n v="200"/>
    <s v="g"/>
    <x v="18"/>
    <x v="0"/>
    <s v="CREME HIDRATANTE"/>
    <x v="2"/>
    <m/>
    <m/>
    <m/>
    <m/>
    <m/>
    <m/>
    <m/>
    <m/>
    <m/>
    <m/>
    <m/>
    <m/>
    <m/>
    <m/>
    <m/>
    <m/>
    <m/>
    <m/>
    <m/>
    <m/>
    <m/>
    <s v=""/>
    <m/>
    <m/>
    <m/>
    <m/>
    <m/>
    <m/>
    <m/>
    <m/>
    <m/>
    <m/>
    <m/>
    <x v="1"/>
    <x v="2"/>
  </r>
  <r>
    <d v="2026-04-23T09:12:00"/>
    <d v="2026-04-23T16:40:00"/>
    <n v="6.4666666667326353"/>
    <n v="742.26804122954127"/>
    <x v="1"/>
    <s v="FABIANO 03/02/26"/>
    <m/>
    <s v="26114/04"/>
    <s v="Envase"/>
    <n v="4800"/>
    <s v="MRBR0001"/>
    <s v=" BRUMA MATTE FIX 120ml"/>
    <n v="120"/>
    <s v="ml"/>
    <x v="0"/>
    <x v="4"/>
    <s v="BRUMA"/>
    <x v="1"/>
    <m/>
    <m/>
    <m/>
    <m/>
    <m/>
    <m/>
    <m/>
    <m/>
    <m/>
    <m/>
    <m/>
    <m/>
    <m/>
    <m/>
    <m/>
    <m/>
    <m/>
    <m/>
    <m/>
    <m/>
    <m/>
    <s v=""/>
    <m/>
    <m/>
    <m/>
    <m/>
    <m/>
    <m/>
    <m/>
    <m/>
    <m/>
    <m/>
    <m/>
    <x v="1"/>
    <x v="2"/>
  </r>
  <r>
    <d v="2026-04-23T16:40:00"/>
    <d v="2026-04-24T13:18:00"/>
    <n v="5.6333333334769122"/>
    <n v="774.8520709861682"/>
    <x v="1"/>
    <s v="FABIANO 03/02/26"/>
    <m/>
    <s v="26115/03"/>
    <s v="Envase"/>
    <n v="4365"/>
    <s v="MRBR0001"/>
    <s v=" BRUMA MATTE FIX 120ml"/>
    <n v="120"/>
    <s v="ml"/>
    <x v="0"/>
    <x v="4"/>
    <s v="BRUMA"/>
    <x v="1"/>
    <m/>
    <m/>
    <m/>
    <m/>
    <m/>
    <m/>
    <m/>
    <m/>
    <m/>
    <m/>
    <m/>
    <m/>
    <m/>
    <m/>
    <m/>
    <m/>
    <m/>
    <m/>
    <m/>
    <m/>
    <m/>
    <s v=""/>
    <m/>
    <m/>
    <m/>
    <m/>
    <m/>
    <m/>
    <m/>
    <m/>
    <m/>
    <m/>
    <m/>
    <x v="1"/>
    <x v="2"/>
  </r>
  <r>
    <d v="2026-04-24T13:00:00"/>
    <d v="2026-04-25T17:00:00"/>
    <n v="18.000000000116415"/>
    <n v="167.4444444433615"/>
    <x v="1"/>
    <s v="REPOSICAO 23/03"/>
    <m/>
    <s v="26115/07"/>
    <s v="Envase"/>
    <n v="3014"/>
    <s v="MRARBS09"/>
    <s v="BODY SPLASH DESPERTAR DAS FLORES 200ml"/>
    <n v="215"/>
    <s v="ml"/>
    <x v="0"/>
    <x v="1"/>
    <s v="BODY SPLASH"/>
    <x v="1"/>
    <m/>
    <m/>
    <m/>
    <m/>
    <m/>
    <m/>
    <m/>
    <m/>
    <m/>
    <m/>
    <m/>
    <m/>
    <m/>
    <m/>
    <m/>
    <m/>
    <m/>
    <m/>
    <m/>
    <m/>
    <m/>
    <s v=""/>
    <m/>
    <m/>
    <m/>
    <m/>
    <m/>
    <m/>
    <m/>
    <m/>
    <m/>
    <m/>
    <m/>
    <x v="1"/>
    <x v="2"/>
  </r>
  <r>
    <d v="2026-04-24T13:18:00"/>
    <d v="2026-04-25T07:38:00"/>
    <n v="3.3333333333721384"/>
    <n v="764.99999999109423"/>
    <x v="1"/>
    <s v="FABIANO 03/02/26"/>
    <m/>
    <s v="26115/04"/>
    <s v="Envase"/>
    <n v="2550"/>
    <s v="MRBR0001"/>
    <s v=" BRUMA MATTE FIX 120ml"/>
    <n v="120"/>
    <s v="ml"/>
    <x v="0"/>
    <x v="4"/>
    <s v="BRUMA"/>
    <x v="1"/>
    <m/>
    <m/>
    <m/>
    <m/>
    <m/>
    <m/>
    <m/>
    <m/>
    <m/>
    <m/>
    <m/>
    <m/>
    <m/>
    <m/>
    <m/>
    <m/>
    <m/>
    <m/>
    <m/>
    <m/>
    <m/>
    <s v=""/>
    <m/>
    <m/>
    <m/>
    <m/>
    <m/>
    <m/>
    <m/>
    <m/>
    <m/>
    <m/>
    <m/>
    <x v="1"/>
    <x v="2"/>
  </r>
  <r>
    <d v="2026-04-25T08:22:00"/>
    <d v="2026-04-25T11:44:00"/>
    <n v="3.3666666666395031"/>
    <n v="866.13861386837448"/>
    <x v="1"/>
    <s v="REPOSICAO 23/03"/>
    <m/>
    <s v="26115/06"/>
    <s v="Envase"/>
    <n v="2916"/>
    <s v="MRARBS09"/>
    <s v="BODY SPLASH DESPERTAR DAS FLORES 200ml"/>
    <n v="215"/>
    <s v="ml"/>
    <x v="0"/>
    <x v="1"/>
    <s v="BODY SPLASH"/>
    <x v="1"/>
    <m/>
    <m/>
    <m/>
    <m/>
    <m/>
    <m/>
    <m/>
    <m/>
    <m/>
    <m/>
    <m/>
    <m/>
    <m/>
    <m/>
    <m/>
    <m/>
    <m/>
    <m/>
    <m/>
    <m/>
    <m/>
    <s v=""/>
    <m/>
    <m/>
    <m/>
    <m/>
    <m/>
    <m/>
    <m/>
    <m/>
    <m/>
    <m/>
    <m/>
    <x v="1"/>
    <x v="2"/>
  </r>
  <r>
    <d v="2026-04-27T07:21:00"/>
    <d v="2026-04-27T11:25:00"/>
    <n v="4.0666666666511446"/>
    <n v="885.2459016427232"/>
    <x v="1"/>
    <s v="REPOSICAO 23/03"/>
    <m/>
    <s v="26114/07"/>
    <s v="Envase"/>
    <n v="3600"/>
    <s v="MRARBS10"/>
    <s v="BODY SPLASH AMBAR REAL 200ml"/>
    <n v="215"/>
    <s v="ml"/>
    <x v="0"/>
    <x v="1"/>
    <s v="BODY SPLASH"/>
    <x v="1"/>
    <m/>
    <m/>
    <m/>
    <m/>
    <m/>
    <m/>
    <m/>
    <m/>
    <m/>
    <m/>
    <m/>
    <m/>
    <m/>
    <m/>
    <m/>
    <m/>
    <m/>
    <m/>
    <m/>
    <m/>
    <m/>
    <s v=""/>
    <m/>
    <m/>
    <m/>
    <m/>
    <m/>
    <m/>
    <m/>
    <m/>
    <m/>
    <m/>
    <m/>
    <x v="1"/>
    <x v="2"/>
  </r>
  <r>
    <d v="2026-04-27T10:15:00"/>
    <d v="2026-04-28T08:00:00"/>
    <n v="6.7500000001164153"/>
    <n v="314.37037036494854"/>
    <x v="1"/>
    <s v="HABIBI 01"/>
    <m/>
    <s v="26111/02"/>
    <s v="Envase"/>
    <n v="2122"/>
    <s v="HBHD0004"/>
    <s v="HIDRATANTE BISNAGA ROSE AURORA 200g"/>
    <n v="200"/>
    <s v="g"/>
    <x v="18"/>
    <x v="0"/>
    <s v="CREME HIDRATANTE"/>
    <x v="2"/>
    <m/>
    <m/>
    <m/>
    <m/>
    <m/>
    <m/>
    <m/>
    <m/>
    <m/>
    <m/>
    <m/>
    <m/>
    <m/>
    <m/>
    <m/>
    <m/>
    <m/>
    <m/>
    <m/>
    <m/>
    <m/>
    <s v=""/>
    <m/>
    <m/>
    <m/>
    <m/>
    <m/>
    <m/>
    <m/>
    <m/>
    <m/>
    <m/>
    <m/>
    <x v="1"/>
    <x v="2"/>
  </r>
  <r>
    <d v="2026-04-27T11:25:00"/>
    <d v="2026-04-27T11:30:00"/>
    <n v="8.3333333255723119E-2"/>
    <n v="2304.0000021457672"/>
    <x v="1"/>
    <s v="REPOSICAO 23/03"/>
    <m/>
    <s v="26114/06"/>
    <s v="Envase"/>
    <n v="192"/>
    <s v="MRARBS10"/>
    <s v="BODY SPLASH AMBAR REAL 200ml"/>
    <n v="215"/>
    <s v="ml"/>
    <x v="0"/>
    <x v="1"/>
    <s v="BODY SPLASH"/>
    <x v="1"/>
    <m/>
    <m/>
    <m/>
    <m/>
    <m/>
    <m/>
    <m/>
    <m/>
    <m/>
    <m/>
    <m/>
    <m/>
    <m/>
    <m/>
    <m/>
    <m/>
    <m/>
    <m/>
    <m/>
    <m/>
    <m/>
    <s v=""/>
    <m/>
    <m/>
    <m/>
    <m/>
    <m/>
    <m/>
    <m/>
    <m/>
    <m/>
    <m/>
    <m/>
    <x v="1"/>
    <x v="2"/>
  </r>
  <r>
    <d v="2026-04-27T11:36:00"/>
    <d v="2026-04-28T08:20:00"/>
    <n v="5.7333333334536292"/>
    <n v="689.12790696228501"/>
    <x v="1"/>
    <s v="REPOSICAO 23/03"/>
    <m/>
    <s v="26114/08"/>
    <s v="Envase"/>
    <n v="3951"/>
    <s v="MRARBS10"/>
    <s v="BODY SPLASH AMBAR REAL 200ml"/>
    <n v="215"/>
    <s v="ml"/>
    <x v="0"/>
    <x v="1"/>
    <s v="BODY SPLASH"/>
    <x v="1"/>
    <m/>
    <m/>
    <m/>
    <m/>
    <m/>
    <m/>
    <m/>
    <m/>
    <m/>
    <m/>
    <m/>
    <m/>
    <m/>
    <m/>
    <m/>
    <m/>
    <m/>
    <m/>
    <m/>
    <m/>
    <m/>
    <s v=""/>
    <m/>
    <m/>
    <m/>
    <m/>
    <m/>
    <m/>
    <m/>
    <m/>
    <m/>
    <m/>
    <m/>
    <x v="1"/>
    <x v="2"/>
  </r>
  <r>
    <d v="2026-04-28T08:24:00"/>
    <d v="2026-04-28T09:29:00"/>
    <n v="1.0833333333721384"/>
    <n v="502.15384613585894"/>
    <x v="3"/>
    <s v="REPOSICAO BRIA 01"/>
    <m/>
    <s v="P-25115/08"/>
    <s v="Envase"/>
    <n v="544"/>
    <s v="BBPF0004"/>
    <s v="PERFUME CAPILAR ZAHRA"/>
    <n v="60"/>
    <s v="ml"/>
    <x v="16"/>
    <x v="1"/>
    <s v="PERFUME CAPILAR"/>
    <x v="3"/>
    <m/>
    <m/>
    <m/>
    <m/>
    <m/>
    <m/>
    <m/>
    <m/>
    <m/>
    <m/>
    <m/>
    <m/>
    <m/>
    <m/>
    <m/>
    <m/>
    <m/>
    <m/>
    <m/>
    <m/>
    <m/>
    <s v=""/>
    <m/>
    <m/>
    <m/>
    <m/>
    <m/>
    <m/>
    <m/>
    <m/>
    <m/>
    <m/>
    <m/>
    <x v="1"/>
    <x v="2"/>
  </r>
  <r>
    <d v="2026-04-28T08:45:00"/>
    <d v="2026-04-28T08:59:00"/>
    <n v="0.23333333322079852"/>
    <n v="1028.5714290675005"/>
    <x v="1"/>
    <s v="REPOSICAO 23/03"/>
    <m/>
    <s v="26117/05"/>
    <s v="Envase"/>
    <n v="240"/>
    <s v="MRARBS09"/>
    <s v="BODY SPLASH DESPERTAR DAS FLORES 200ml"/>
    <n v="215"/>
    <s v="ml"/>
    <x v="0"/>
    <x v="1"/>
    <s v="BODY SPLASH"/>
    <x v="1"/>
    <m/>
    <m/>
    <m/>
    <m/>
    <m/>
    <m/>
    <m/>
    <m/>
    <m/>
    <m/>
    <m/>
    <m/>
    <m/>
    <m/>
    <m/>
    <m/>
    <m/>
    <m/>
    <m/>
    <m/>
    <m/>
    <s v=""/>
    <m/>
    <m/>
    <m/>
    <m/>
    <m/>
    <m/>
    <m/>
    <m/>
    <m/>
    <m/>
    <m/>
    <x v="1"/>
    <x v="2"/>
  </r>
  <r>
    <d v="2026-04-28T09:10:00"/>
    <d v="2026-04-28T13:57:00"/>
    <n v="3.78333333338378"/>
    <n v="850.04405285210169"/>
    <x v="1"/>
    <s v="PROG 01 25/03/26"/>
    <m/>
    <s v="26117/02"/>
    <s v="Envase"/>
    <n v="3216"/>
    <s v="MRARBS03"/>
    <s v="BODY SPLASH ECLIPSE DOURADO"/>
    <n v="220"/>
    <s v="ml"/>
    <x v="0"/>
    <x v="1"/>
    <s v="BODY SPLASH"/>
    <x v="1"/>
    <m/>
    <m/>
    <m/>
    <m/>
    <m/>
    <m/>
    <m/>
    <m/>
    <m/>
    <m/>
    <m/>
    <m/>
    <m/>
    <m/>
    <m/>
    <m/>
    <m/>
    <m/>
    <m/>
    <m/>
    <m/>
    <s v=""/>
    <m/>
    <m/>
    <m/>
    <m/>
    <m/>
    <m/>
    <m/>
    <m/>
    <m/>
    <m/>
    <m/>
    <x v="1"/>
    <x v="2"/>
  </r>
  <r>
    <d v="2026-04-28T09:30:00"/>
    <d v="2026-04-29T14:44:00"/>
    <n v="13.233333333395422"/>
    <n v="507.80856422935551"/>
    <x v="3"/>
    <s v="REPOSICAO BRIA 01"/>
    <m/>
    <s v="26117/01"/>
    <s v="Envase"/>
    <n v="6720"/>
    <s v="BBPF0004"/>
    <s v="PERFUME CAPILAR ZAHRA"/>
    <n v="60"/>
    <s v="ml"/>
    <x v="16"/>
    <x v="1"/>
    <s v="PERFUME CAPILAR"/>
    <x v="3"/>
    <m/>
    <m/>
    <m/>
    <m/>
    <m/>
    <m/>
    <m/>
    <m/>
    <m/>
    <m/>
    <m/>
    <m/>
    <m/>
    <m/>
    <m/>
    <m/>
    <m/>
    <m/>
    <m/>
    <m/>
    <m/>
    <s v=""/>
    <m/>
    <m/>
    <m/>
    <m/>
    <m/>
    <m/>
    <m/>
    <m/>
    <m/>
    <m/>
    <m/>
    <x v="1"/>
    <x v="2"/>
  </r>
  <r>
    <d v="2026-04-28T11:15:00"/>
    <d v="2026-04-28T16:50:00"/>
    <n v="4.5833333333721384"/>
    <n v="374.61818181501008"/>
    <x v="2"/>
    <s v="HABIBI 01"/>
    <m/>
    <s v="26112/01"/>
    <s v="Envase"/>
    <n v="1717"/>
    <s v="HBHD0002"/>
    <s v="HIDRATANTE BISNAGA IMPERIUM 200g"/>
    <n v="200"/>
    <s v="g"/>
    <x v="18"/>
    <x v="0"/>
    <s v="CREME HIDRATANTE"/>
    <x v="2"/>
    <m/>
    <m/>
    <m/>
    <m/>
    <m/>
    <m/>
    <m/>
    <m/>
    <m/>
    <m/>
    <m/>
    <m/>
    <m/>
    <m/>
    <m/>
    <m/>
    <m/>
    <m/>
    <m/>
    <m/>
    <m/>
    <s v=""/>
    <m/>
    <m/>
    <m/>
    <m/>
    <m/>
    <m/>
    <m/>
    <m/>
    <m/>
    <m/>
    <m/>
    <x v="1"/>
    <x v="2"/>
  </r>
  <r>
    <d v="2026-04-28T13:53:00"/>
    <d v="2026-04-29T08:00:00"/>
    <n v="4.1166666668141261"/>
    <n v="775.62753033658942"/>
    <x v="1"/>
    <s v="PROG 01 25/03/26"/>
    <m/>
    <s v="26117/03"/>
    <s v="Envase"/>
    <n v="3193"/>
    <s v="MRARBS03"/>
    <s v="BODY SPLASH ECLIPSE DOURADO"/>
    <n v="220"/>
    <s v="ml"/>
    <x v="0"/>
    <x v="1"/>
    <s v="BODY SPLASH"/>
    <x v="1"/>
    <m/>
    <m/>
    <m/>
    <m/>
    <m/>
    <m/>
    <m/>
    <m/>
    <m/>
    <m/>
    <m/>
    <m/>
    <m/>
    <m/>
    <m/>
    <m/>
    <m/>
    <m/>
    <m/>
    <m/>
    <m/>
    <s v=""/>
    <m/>
    <m/>
    <m/>
    <m/>
    <m/>
    <m/>
    <m/>
    <m/>
    <m/>
    <m/>
    <m/>
    <x v="1"/>
    <x v="2"/>
  </r>
  <r>
    <d v="2026-04-29T07:20:00"/>
    <d v="2026-04-29T08:38:00"/>
    <n v="1.3000000000465661"/>
    <n v="384.61538460160767"/>
    <x v="2"/>
    <s v="HABIBI 01"/>
    <m/>
    <s v="26114/05"/>
    <s v="Envase"/>
    <n v="500"/>
    <s v="HBHD0002"/>
    <s v="HIDRATANTE BISNAGA IMPERIUM 200g"/>
    <n v="200"/>
    <s v="g"/>
    <x v="18"/>
    <x v="0"/>
    <s v="CREME HIDRATANTE"/>
    <x v="2"/>
    <m/>
    <m/>
    <m/>
    <m/>
    <m/>
    <m/>
    <m/>
    <m/>
    <m/>
    <m/>
    <m/>
    <m/>
    <m/>
    <m/>
    <m/>
    <m/>
    <m/>
    <m/>
    <m/>
    <m/>
    <m/>
    <s v=""/>
    <m/>
    <m/>
    <m/>
    <m/>
    <m/>
    <m/>
    <m/>
    <m/>
    <m/>
    <m/>
    <m/>
    <x v="1"/>
    <x v="2"/>
  </r>
  <r>
    <d v="2026-04-29T08:00:00"/>
    <d v="2026-04-29T13:30:00"/>
    <n v="4.4999999999417923"/>
    <n v="746.66666667632478"/>
    <x v="1"/>
    <s v="PROG 01 25/03/26"/>
    <m/>
    <s v="26117/04"/>
    <s v="Envase"/>
    <n v="3360"/>
    <s v="MRARBS03"/>
    <s v="BODY SPLASH ECLIPSE DOURADO"/>
    <n v="220"/>
    <s v="ml"/>
    <x v="0"/>
    <x v="1"/>
    <s v="BODY SPLASH"/>
    <x v="1"/>
    <m/>
    <m/>
    <m/>
    <m/>
    <m/>
    <m/>
    <m/>
    <m/>
    <m/>
    <m/>
    <m/>
    <m/>
    <m/>
    <m/>
    <m/>
    <m/>
    <m/>
    <m/>
    <m/>
    <m/>
    <m/>
    <s v=""/>
    <m/>
    <m/>
    <m/>
    <m/>
    <m/>
    <m/>
    <m/>
    <m/>
    <m/>
    <m/>
    <m/>
    <x v="1"/>
    <x v="2"/>
  </r>
  <r>
    <d v="2026-04-29T09:10:00"/>
    <d v="2026-04-29T15:01:00"/>
    <n v="4.8500000000349246"/>
    <n v="357.11340205928411"/>
    <x v="2"/>
    <s v="HABIBI 01"/>
    <m/>
    <s v="26112/02"/>
    <s v="Envase"/>
    <n v="1732"/>
    <s v="HBHD0007"/>
    <s v="HIDRATANTE BISNAGA IMPERIUM BOURBON 200g"/>
    <n v="200"/>
    <s v="g"/>
    <x v="18"/>
    <x v="0"/>
    <s v="CREME HIDRATANTE"/>
    <x v="2"/>
    <m/>
    <m/>
    <m/>
    <m/>
    <m/>
    <m/>
    <n v="33"/>
    <m/>
    <m/>
    <m/>
    <m/>
    <m/>
    <m/>
    <m/>
    <m/>
    <m/>
    <m/>
    <m/>
    <m/>
    <m/>
    <m/>
    <s v=""/>
    <m/>
    <m/>
    <m/>
    <m/>
    <m/>
    <m/>
    <m/>
    <m/>
    <m/>
    <m/>
    <m/>
    <x v="1"/>
    <x v="2"/>
  </r>
  <r>
    <d v="2026-04-29T13:31:00"/>
    <d v="2026-04-30T09:40:00"/>
    <n v="6.1500000001396984"/>
    <n v="600.9756097424463"/>
    <x v="1"/>
    <s v="REPOSICAO 23/03"/>
    <m/>
    <s v="26118/01"/>
    <s v="Envase"/>
    <n v="3696"/>
    <s v="MRARBS06"/>
    <s v="BODY SPLASH CEU INFINITO 200ml"/>
    <n v="215"/>
    <s v="ml"/>
    <x v="0"/>
    <x v="1"/>
    <s v="BODY SPLASH"/>
    <x v="1"/>
    <m/>
    <m/>
    <m/>
    <m/>
    <m/>
    <m/>
    <m/>
    <m/>
    <m/>
    <m/>
    <m/>
    <m/>
    <m/>
    <m/>
    <m/>
    <m/>
    <m/>
    <m/>
    <m/>
    <m/>
    <m/>
    <s v=""/>
    <m/>
    <m/>
    <m/>
    <m/>
    <m/>
    <m/>
    <m/>
    <m/>
    <m/>
    <m/>
    <m/>
    <x v="1"/>
    <x v="2"/>
  </r>
  <r>
    <d v="2026-04-29T14:41:00"/>
    <d v="2026-05-08T15:12:00"/>
    <n v="62.51666666730307"/>
    <n v="108.49906691438471"/>
    <x v="3"/>
    <s v="REPOSICAO BRIA 01"/>
    <m/>
    <s v="26117/06"/>
    <s v="Envase"/>
    <n v="6783"/>
    <s v="BBPF0004"/>
    <s v="PERFUME CAPILAR ZAHRA"/>
    <n v="60"/>
    <s v="ml"/>
    <x v="16"/>
    <x v="1"/>
    <s v="PERFUME CAPILAR"/>
    <x v="3"/>
    <m/>
    <m/>
    <m/>
    <m/>
    <m/>
    <m/>
    <m/>
    <m/>
    <m/>
    <m/>
    <m/>
    <m/>
    <m/>
    <m/>
    <m/>
    <m/>
    <m/>
    <m/>
    <m/>
    <m/>
    <m/>
    <s v=""/>
    <m/>
    <m/>
    <m/>
    <m/>
    <m/>
    <m/>
    <m/>
    <m/>
    <m/>
    <m/>
    <m/>
    <x v="1"/>
    <x v="2"/>
  </r>
  <r>
    <d v="2026-04-29T15:05:00"/>
    <d v="2026-04-30T11:05:00"/>
    <n v="6.000000000174623"/>
    <n v="282.99999999176362"/>
    <x v="2"/>
    <s v="HABIBI 01"/>
    <m/>
    <s v="26113/01"/>
    <s v="Envase"/>
    <n v="1698"/>
    <s v="HBHD0007"/>
    <s v="HIDRATANTE BISNAGA IMPERIUM BOURBON 200g"/>
    <n v="200"/>
    <s v="g"/>
    <x v="18"/>
    <x v="0"/>
    <s v="CREME HIDRATANTE"/>
    <x v="2"/>
    <m/>
    <m/>
    <m/>
    <m/>
    <m/>
    <m/>
    <n v="23"/>
    <m/>
    <m/>
    <m/>
    <m/>
    <m/>
    <m/>
    <m/>
    <m/>
    <m/>
    <m/>
    <m/>
    <m/>
    <m/>
    <m/>
    <s v=""/>
    <m/>
    <m/>
    <m/>
    <m/>
    <m/>
    <m/>
    <m/>
    <m/>
    <m/>
    <m/>
    <m/>
    <x v="1"/>
    <x v="2"/>
  </r>
  <r>
    <d v="2026-04-30T09:40:00"/>
    <d v="2026-05-04T08:02:00"/>
    <n v="15.366666666697711"/>
    <n v="259.26247288450878"/>
    <x v="1"/>
    <s v="REPOSICAO 23/03"/>
    <m/>
    <s v="26118/02"/>
    <s v="Envase"/>
    <n v="3984"/>
    <s v="MRARBS06"/>
    <s v="BODY SPLASH CEU INFINITO 200ml"/>
    <n v="215"/>
    <s v="ml"/>
    <x v="0"/>
    <x v="1"/>
    <s v="BODY SPLASH"/>
    <x v="1"/>
    <m/>
    <m/>
    <m/>
    <m/>
    <m/>
    <m/>
    <m/>
    <m/>
    <m/>
    <m/>
    <m/>
    <m/>
    <m/>
    <m/>
    <m/>
    <m/>
    <m/>
    <m/>
    <m/>
    <m/>
    <m/>
    <s v=""/>
    <m/>
    <m/>
    <m/>
    <m/>
    <m/>
    <m/>
    <m/>
    <m/>
    <m/>
    <m/>
    <m/>
    <x v="1"/>
    <x v="2"/>
  </r>
  <r>
    <d v="2026-04-30T11:05:00"/>
    <d v="2026-04-30T14:19:00"/>
    <n v="2.2333333333954215"/>
    <n v="233.73134327708419"/>
    <x v="2"/>
    <s v="HABIBI 01"/>
    <m/>
    <s v="26115/05"/>
    <s v="Envase"/>
    <n v="522"/>
    <s v="HBHD0007"/>
    <s v="HIDRATANTE BISNAGA IMPERIUM BOURBON 200g"/>
    <n v="200"/>
    <s v="g"/>
    <x v="18"/>
    <x v="0"/>
    <s v="CREME HIDRATANTE"/>
    <x v="2"/>
    <m/>
    <m/>
    <m/>
    <m/>
    <m/>
    <m/>
    <n v="19"/>
    <m/>
    <m/>
    <m/>
    <m/>
    <m/>
    <m/>
    <m/>
    <m/>
    <m/>
    <m/>
    <m/>
    <m/>
    <m/>
    <m/>
    <s v=""/>
    <m/>
    <m/>
    <m/>
    <m/>
    <m/>
    <m/>
    <m/>
    <m/>
    <m/>
    <m/>
    <m/>
    <x v="1"/>
    <x v="2"/>
  </r>
  <r>
    <d v="2026-04-30T14:30:00"/>
    <d v="2026-05-04T10:13:00"/>
    <n v="13.716666666790843"/>
    <n v="120.29161603779315"/>
    <x v="2"/>
    <s v="HABIBI 01"/>
    <m/>
    <s v="26119/01"/>
    <s v="Envase"/>
    <n v="1650"/>
    <s v="HBHD0008"/>
    <s v="HIDRATANTE BISNAGA DELICADA 200g"/>
    <n v="200"/>
    <s v="g"/>
    <x v="18"/>
    <x v="0"/>
    <s v="CREME HIDRATANTE"/>
    <x v="2"/>
    <m/>
    <m/>
    <m/>
    <m/>
    <m/>
    <m/>
    <m/>
    <m/>
    <m/>
    <m/>
    <m/>
    <m/>
    <m/>
    <m/>
    <m/>
    <m/>
    <m/>
    <m/>
    <m/>
    <m/>
    <m/>
    <s v=""/>
    <m/>
    <m/>
    <m/>
    <m/>
    <m/>
    <m/>
    <m/>
    <m/>
    <m/>
    <m/>
    <m/>
    <x v="1"/>
    <x v="2"/>
  </r>
  <r>
    <d v="2026-05-04T10:00:00"/>
    <d v="2026-05-04T14:50:00"/>
    <n v="3.8333333333721384"/>
    <n v="976.69565216402589"/>
    <x v="1"/>
    <s v="REPOSICAO 23/03"/>
    <m/>
    <s v="26125/01"/>
    <s v="Envase"/>
    <n v="3744"/>
    <s v="MRARBS12"/>
    <s v="BODY SPLASH FLOR D AURA 200ml"/>
    <n v="215"/>
    <s v="ml"/>
    <x v="0"/>
    <x v="1"/>
    <s v="BODY SPLASH"/>
    <x v="1"/>
    <m/>
    <m/>
    <m/>
    <m/>
    <m/>
    <m/>
    <m/>
    <m/>
    <m/>
    <m/>
    <m/>
    <m/>
    <m/>
    <m/>
    <m/>
    <m/>
    <m/>
    <m/>
    <m/>
    <m/>
    <m/>
    <s v=""/>
    <m/>
    <m/>
    <m/>
    <m/>
    <m/>
    <m/>
    <m/>
    <m/>
    <m/>
    <m/>
    <m/>
    <x v="1"/>
    <x v="3"/>
  </r>
  <r>
    <d v="2026-05-04T10:18:00"/>
    <d v="2026-05-04T16:14:00"/>
    <n v="4.9333333332906477"/>
    <n v="360.00000000311491"/>
    <x v="2"/>
    <s v="HABIBI 01"/>
    <m/>
    <s v="26119/02"/>
    <s v="Envase"/>
    <n v="1776"/>
    <s v="HBHD0008"/>
    <s v="HIDRATANTE BISNAGA DELICADA 200g"/>
    <n v="200"/>
    <s v="g"/>
    <x v="18"/>
    <x v="0"/>
    <s v="CREME HIDRATANTE"/>
    <x v="2"/>
    <m/>
    <m/>
    <m/>
    <m/>
    <m/>
    <m/>
    <m/>
    <m/>
    <m/>
    <m/>
    <m/>
    <m/>
    <m/>
    <m/>
    <m/>
    <m/>
    <m/>
    <m/>
    <m/>
    <m/>
    <m/>
    <s v=""/>
    <m/>
    <m/>
    <m/>
    <m/>
    <m/>
    <m/>
    <m/>
    <m/>
    <m/>
    <m/>
    <m/>
    <x v="1"/>
    <x v="3"/>
  </r>
  <r>
    <d v="2026-05-04T14:50:00"/>
    <d v="2026-05-05T08:36:00"/>
    <n v="3.7666666667209938"/>
    <n v="1002.7433628173957"/>
    <x v="1"/>
    <s v="REPOSICAO 23/03"/>
    <m/>
    <s v="26125/02"/>
    <s v="Envase"/>
    <n v="3777"/>
    <s v="MRARBS12"/>
    <s v="BODY SPLASH FLOR D AURA 200ml"/>
    <n v="215"/>
    <s v="ml"/>
    <x v="0"/>
    <x v="1"/>
    <s v="BODY SPLASH"/>
    <x v="1"/>
    <m/>
    <m/>
    <n v="4"/>
    <m/>
    <n v="20"/>
    <m/>
    <m/>
    <m/>
    <m/>
    <m/>
    <m/>
    <m/>
    <m/>
    <m/>
    <m/>
    <m/>
    <m/>
    <m/>
    <m/>
    <m/>
    <m/>
    <s v=""/>
    <m/>
    <m/>
    <m/>
    <m/>
    <m/>
    <m/>
    <m/>
    <m/>
    <m/>
    <m/>
    <m/>
    <x v="1"/>
    <x v="3"/>
  </r>
  <r>
    <d v="2026-05-04T16:15:00"/>
    <d v="2026-05-05T08:30:00"/>
    <n v="2.25"/>
    <n v="224.88888888888889"/>
    <x v="2"/>
    <s v="HABIBI 01"/>
    <m/>
    <s v="26119/03"/>
    <s v="Envase"/>
    <n v="506"/>
    <s v="HBHD0008"/>
    <s v="HIDRATANTE BISNAGA DELICADA 200g"/>
    <n v="200"/>
    <s v="g"/>
    <x v="18"/>
    <x v="0"/>
    <s v="CREME HIDRATANTE"/>
    <x v="2"/>
    <m/>
    <m/>
    <m/>
    <m/>
    <m/>
    <m/>
    <m/>
    <m/>
    <m/>
    <m/>
    <m/>
    <m/>
    <m/>
    <m/>
    <m/>
    <m/>
    <m/>
    <m/>
    <m/>
    <m/>
    <m/>
    <s v=""/>
    <m/>
    <m/>
    <m/>
    <m/>
    <m/>
    <m/>
    <m/>
    <m/>
    <m/>
    <m/>
    <m/>
    <x v="1"/>
    <x v="3"/>
  </r>
  <r>
    <d v="2026-05-05T08:55:00"/>
    <d v="2026-05-05T13:20:00"/>
    <n v="3.4166666665696539"/>
    <n v="499.60975611174689"/>
    <x v="2"/>
    <s v="HABIBI 01"/>
    <m/>
    <s v="26125/03"/>
    <s v="Envase"/>
    <n v="1707"/>
    <s v="HBHD0005"/>
    <s v="HIDRATANTE BISNAGA LUX AMBER 200g"/>
    <n v="200"/>
    <s v="g"/>
    <x v="18"/>
    <x v="0"/>
    <s v="CREME HIDRATANTE"/>
    <x v="2"/>
    <m/>
    <m/>
    <m/>
    <m/>
    <m/>
    <m/>
    <n v="15"/>
    <m/>
    <m/>
    <m/>
    <m/>
    <m/>
    <m/>
    <m/>
    <m/>
    <m/>
    <m/>
    <m/>
    <m/>
    <m/>
    <m/>
    <s v=""/>
    <m/>
    <m/>
    <m/>
    <m/>
    <m/>
    <m/>
    <m/>
    <m/>
    <m/>
    <m/>
    <m/>
    <x v="1"/>
    <x v="3"/>
  </r>
  <r>
    <d v="2026-05-05T10:15:00"/>
    <d v="2026-05-05T13:20:00"/>
    <n v="2.0833333332557231"/>
    <n v="646.08000002406834"/>
    <x v="2"/>
    <s v="FABIANO 06/02/26"/>
    <m/>
    <s v="P-26124/03"/>
    <s v="Envase"/>
    <n v="1346"/>
    <s v="WKBM0001"/>
    <s v="BRUMA MATTE #ENTREGOUTUDOO 120ml"/>
    <n v="120"/>
    <s v="ml"/>
    <x v="20"/>
    <x v="4"/>
    <s v="BRUMA"/>
    <x v="1"/>
    <m/>
    <m/>
    <m/>
    <m/>
    <m/>
    <m/>
    <m/>
    <m/>
    <m/>
    <m/>
    <m/>
    <m/>
    <m/>
    <m/>
    <m/>
    <m/>
    <m/>
    <m/>
    <m/>
    <m/>
    <m/>
    <s v=""/>
    <d v="1899-12-30T07:30:00"/>
    <d v="1899-12-30T08:30:00"/>
    <s v="FALTOU PRODUTO"/>
    <m/>
    <m/>
    <m/>
    <m/>
    <m/>
    <m/>
    <m/>
    <m/>
    <x v="1"/>
    <x v="3"/>
  </r>
  <r>
    <d v="2026-05-05T13:18:00"/>
    <d v="2026-05-05T16:35:00"/>
    <n v="3.283333333209157"/>
    <n v="517.4619289535807"/>
    <x v="2"/>
    <s v="HABIBI 01"/>
    <m/>
    <s v="26126/01"/>
    <s v="Envase"/>
    <n v="1699"/>
    <s v="HBHD0005"/>
    <s v="HIDRATANTE BISNAGA LUX AMBER 200g"/>
    <n v="200"/>
    <s v="g"/>
    <x v="18"/>
    <x v="0"/>
    <s v="CREME HIDRATANTE"/>
    <x v="2"/>
    <m/>
    <m/>
    <m/>
    <n v="15"/>
    <m/>
    <m/>
    <m/>
    <m/>
    <m/>
    <m/>
    <m/>
    <m/>
    <m/>
    <m/>
    <m/>
    <m/>
    <m/>
    <m/>
    <m/>
    <m/>
    <m/>
    <s v=""/>
    <m/>
    <m/>
    <m/>
    <m/>
    <m/>
    <m/>
    <m/>
    <m/>
    <m/>
    <m/>
    <m/>
    <x v="1"/>
    <x v="3"/>
  </r>
  <r>
    <d v="2026-05-05T13:21:00"/>
    <d v="2026-05-06T08:36:00"/>
    <n v="5.25"/>
    <n v="821.33333333333337"/>
    <x v="1"/>
    <s v="FABIANO 06/02/26"/>
    <m/>
    <s v="26125/04"/>
    <s v="Envase"/>
    <n v="4312"/>
    <s v="WKBM0001"/>
    <s v="BRUMA MATTE #ENTREGOUTUDOO 120ml"/>
    <n v="120"/>
    <s v="ml"/>
    <x v="20"/>
    <x v="4"/>
    <s v="BRUMA"/>
    <x v="1"/>
    <m/>
    <m/>
    <m/>
    <m/>
    <m/>
    <m/>
    <m/>
    <m/>
    <m/>
    <m/>
    <d v="2026-05-05T14:50:00"/>
    <d v="2026-05-05T15:15:00"/>
    <s v="SETUP"/>
    <m/>
    <m/>
    <m/>
    <m/>
    <m/>
    <m/>
    <m/>
    <m/>
    <s v=""/>
    <m/>
    <m/>
    <m/>
    <m/>
    <m/>
    <m/>
    <m/>
    <m/>
    <m/>
    <m/>
    <m/>
    <x v="1"/>
    <x v="3"/>
  </r>
  <r>
    <d v="2026-05-06T08:37:00"/>
    <d v="2026-05-06T16:00:00"/>
    <n v="6.3833333333022892"/>
    <n v="665.48302872386307"/>
    <x v="1"/>
    <s v="FABIANO 06/02/26"/>
    <m/>
    <s v="26125/05"/>
    <s v="Envase"/>
    <n v="4248"/>
    <s v="WKBM0001"/>
    <s v="BRUMA MATTE #ENTREGOUTUDOO 120ml"/>
    <n v="120"/>
    <s v="ml"/>
    <x v="20"/>
    <x v="4"/>
    <s v="BRUMA"/>
    <x v="1"/>
    <m/>
    <m/>
    <n v="143"/>
    <m/>
    <m/>
    <m/>
    <m/>
    <m/>
    <m/>
    <m/>
    <m/>
    <m/>
    <m/>
    <m/>
    <m/>
    <m/>
    <m/>
    <m/>
    <m/>
    <m/>
    <m/>
    <s v=""/>
    <d v="2026-05-06T14:15:00"/>
    <m/>
    <m/>
    <d v="2026-05-06T10:45:00"/>
    <d v="2026-05-06T11:30:00"/>
    <s v="FALTOU FRASCO"/>
    <d v="2026-05-06T13:40:00"/>
    <d v="2026-05-06T14:00:00"/>
    <s v="FALTOU FRASCO"/>
    <m/>
    <m/>
    <x v="1"/>
    <x v="3"/>
  </r>
  <r>
    <d v="2026-05-06T09:30:00"/>
    <d v="2026-05-06T13:37:00"/>
    <n v="3.1166666666395031"/>
    <n v="575.61497326704887"/>
    <x v="2"/>
    <s v="HABIBI 01"/>
    <m/>
    <s v="26126/03"/>
    <s v="Envase"/>
    <n v="1794"/>
    <s v="HBHD0006"/>
    <s v="HIDRATANTE BISNAGA ANGELUS 200g"/>
    <n v="200"/>
    <s v="g"/>
    <x v="18"/>
    <x v="0"/>
    <s v="CREME HIDRATANTE"/>
    <x v="2"/>
    <m/>
    <m/>
    <m/>
    <m/>
    <m/>
    <m/>
    <n v="2"/>
    <m/>
    <m/>
    <m/>
    <m/>
    <m/>
    <m/>
    <m/>
    <m/>
    <m/>
    <m/>
    <m/>
    <m/>
    <m/>
    <m/>
    <s v=""/>
    <m/>
    <m/>
    <m/>
    <m/>
    <m/>
    <m/>
    <m/>
    <m/>
    <m/>
    <m/>
    <m/>
    <x v="1"/>
    <x v="3"/>
  </r>
  <r>
    <d v="2026-05-06T14:00:00"/>
    <d v="2026-05-06T15:10:00"/>
    <n v="1.1666666666278616"/>
    <n v="450.85714287213904"/>
    <x v="2"/>
    <s v="HABIBI 01"/>
    <m/>
    <s v="26126/02"/>
    <s v="Envase"/>
    <n v="526"/>
    <s v="HBHD0005"/>
    <s v="HIDRATANTE BISNAGA LUX AMBER 200g"/>
    <n v="200"/>
    <s v="g"/>
    <x v="18"/>
    <x v="0"/>
    <s v="CREME HIDRATANTE"/>
    <x v="2"/>
    <m/>
    <m/>
    <m/>
    <m/>
    <m/>
    <m/>
    <m/>
    <m/>
    <m/>
    <m/>
    <m/>
    <m/>
    <m/>
    <m/>
    <m/>
    <m/>
    <m/>
    <m/>
    <m/>
    <m/>
    <m/>
    <s v=""/>
    <m/>
    <m/>
    <m/>
    <m/>
    <m/>
    <m/>
    <m/>
    <m/>
    <m/>
    <m/>
    <m/>
    <x v="1"/>
    <x v="3"/>
  </r>
  <r>
    <d v="2026-05-06T15:22:00"/>
    <d v="2026-05-07T08:57:00"/>
    <n v="3.5833333334885538"/>
    <n v="478.8837209094886"/>
    <x v="2"/>
    <s v="HABIBI 01"/>
    <m/>
    <s v="26126/04"/>
    <s v="Envase"/>
    <n v="1716"/>
    <s v="HBHD0006"/>
    <s v="HIDRATANTE BISNAGA ANGELUS 200g"/>
    <n v="200"/>
    <s v="g"/>
    <x v="18"/>
    <x v="0"/>
    <s v="CREME HIDRATANTE"/>
    <x v="2"/>
    <m/>
    <m/>
    <m/>
    <m/>
    <m/>
    <m/>
    <m/>
    <m/>
    <m/>
    <m/>
    <m/>
    <m/>
    <m/>
    <m/>
    <m/>
    <m/>
    <m/>
    <m/>
    <m/>
    <m/>
    <m/>
    <s v=""/>
    <m/>
    <m/>
    <m/>
    <m/>
    <m/>
    <m/>
    <m/>
    <m/>
    <m/>
    <m/>
    <m/>
    <x v="1"/>
    <x v="3"/>
  </r>
  <r>
    <d v="2026-05-07T07:00:00"/>
    <d v="2026-05-07T15:15:00"/>
    <n v="7.25"/>
    <n v="566.06896551724139"/>
    <x v="1"/>
    <s v="FABIANO 06/02/26"/>
    <m/>
    <s v="26125/06"/>
    <s v="Envase"/>
    <n v="4104"/>
    <s v="WKBM0001"/>
    <s v="BRUMA MATTE #ENTREGOUTUDOO 120ml"/>
    <n v="120"/>
    <s v="ml"/>
    <x v="20"/>
    <x v="4"/>
    <s v="BRUMA"/>
    <x v="1"/>
    <m/>
    <n v="120"/>
    <n v="66"/>
    <m/>
    <m/>
    <m/>
    <m/>
    <m/>
    <m/>
    <m/>
    <m/>
    <m/>
    <m/>
    <m/>
    <m/>
    <m/>
    <m/>
    <m/>
    <m/>
    <m/>
    <m/>
    <s v=""/>
    <d v="2026-05-07T11:00:00"/>
    <d v="2026-05-07T11:25:00"/>
    <s v="MANUTENÇÃO DE MÁQUINAS"/>
    <m/>
    <m/>
    <m/>
    <m/>
    <m/>
    <m/>
    <m/>
    <m/>
    <x v="1"/>
    <x v="3"/>
  </r>
  <r>
    <d v="2026-05-07T09:00:00"/>
    <d v="2026-05-08T08:22:00"/>
    <n v="8.3666666668141261"/>
    <n v="187.88844621182798"/>
    <x v="2"/>
    <s v="HABIBI 01"/>
    <m/>
    <s v="26126/05"/>
    <s v="Envase"/>
    <n v="1572"/>
    <s v="HBHD0006"/>
    <s v="HIDRATANTE BISNAGA ANGELUS 200g"/>
    <n v="200"/>
    <s v="g"/>
    <x v="18"/>
    <x v="0"/>
    <s v="CREME HIDRATANTE"/>
    <x v="2"/>
    <m/>
    <m/>
    <m/>
    <m/>
    <m/>
    <m/>
    <m/>
    <m/>
    <m/>
    <m/>
    <m/>
    <m/>
    <m/>
    <m/>
    <m/>
    <m/>
    <m/>
    <m/>
    <m/>
    <m/>
    <m/>
    <s v=""/>
    <d v="2026-05-07T10:30:00"/>
    <d v="2026-05-07T11:30:00"/>
    <s v="MANUTENÇÃO DE MÁQUINAS"/>
    <m/>
    <m/>
    <m/>
    <m/>
    <m/>
    <m/>
    <m/>
    <m/>
    <x v="1"/>
    <x v="3"/>
  </r>
  <r>
    <d v="2026-05-07T15:16:00"/>
    <d v="2026-05-08T11:00:00"/>
    <n v="5.7333333335118368"/>
    <n v="766.0465116040566"/>
    <x v="1"/>
    <s v="FABIANO 06/02/26"/>
    <m/>
    <s v="26126/10"/>
    <s v="Envase"/>
    <n v="4392"/>
    <s v="WKBM0001"/>
    <s v="BRUMA MATTE #ENTREGOUTUDOO 120ml"/>
    <n v="120"/>
    <s v="ml"/>
    <x v="20"/>
    <x v="4"/>
    <s v="BRUMA"/>
    <x v="1"/>
    <m/>
    <m/>
    <m/>
    <m/>
    <m/>
    <m/>
    <m/>
    <m/>
    <m/>
    <m/>
    <m/>
    <m/>
    <m/>
    <m/>
    <m/>
    <m/>
    <m/>
    <m/>
    <m/>
    <m/>
    <m/>
    <s v=""/>
    <m/>
    <m/>
    <m/>
    <m/>
    <m/>
    <m/>
    <m/>
    <m/>
    <m/>
    <m/>
    <m/>
    <x v="1"/>
    <x v="3"/>
  </r>
  <r>
    <d v="2026-05-08T08:22:00"/>
    <d v="2026-05-08T14:05:00"/>
    <n v="4.71666666661622"/>
    <n v="353.63957597551376"/>
    <x v="2"/>
    <s v="HABIBI 01"/>
    <m/>
    <s v="26126/06"/>
    <s v="Envase"/>
    <n v="1668"/>
    <s v="HBHD0001"/>
    <s v="HIDRATANTE BISNAGA CELESTIA 200g"/>
    <n v="200"/>
    <s v="g"/>
    <x v="18"/>
    <x v="0"/>
    <s v="CREME HIDRATANTE"/>
    <x v="2"/>
    <m/>
    <m/>
    <m/>
    <m/>
    <m/>
    <m/>
    <m/>
    <m/>
    <m/>
    <m/>
    <m/>
    <m/>
    <m/>
    <m/>
    <m/>
    <m/>
    <m/>
    <m/>
    <m/>
    <m/>
    <m/>
    <s v=""/>
    <d v="2026-05-08T10:15:00"/>
    <d v="2026-05-08T11:15:00"/>
    <s v="MANUTENÇÃO DE MÁQUINAS"/>
    <m/>
    <m/>
    <m/>
    <m/>
    <m/>
    <m/>
    <m/>
    <m/>
    <x v="1"/>
    <x v="3"/>
  </r>
  <r>
    <d v="2026-05-08T14:10:00"/>
    <d v="2026-05-11T10:00:00"/>
    <n v="4.8333333331975155"/>
    <n v="345.93103449247934"/>
    <x v="2"/>
    <s v="HABIBI 01"/>
    <m/>
    <s v="26126/07"/>
    <s v="Envase"/>
    <n v="1672"/>
    <s v="HBHD0001"/>
    <s v="HIDRATANTE BISNAGA CELESTIA 200g"/>
    <n v="200"/>
    <s v="g"/>
    <x v="18"/>
    <x v="0"/>
    <s v="CREME HIDRATANTE"/>
    <x v="2"/>
    <m/>
    <m/>
    <m/>
    <m/>
    <m/>
    <m/>
    <m/>
    <m/>
    <m/>
    <m/>
    <m/>
    <m/>
    <m/>
    <m/>
    <m/>
    <m/>
    <m/>
    <m/>
    <m/>
    <m/>
    <m/>
    <s v=""/>
    <m/>
    <m/>
    <m/>
    <m/>
    <m/>
    <m/>
    <m/>
    <m/>
    <m/>
    <m/>
    <m/>
    <x v="1"/>
    <x v="3"/>
  </r>
  <r>
    <d v="2026-05-11T11:05:00"/>
    <d v="2026-05-12T07:40:00"/>
    <n v="5.5833333334885538"/>
    <n v="314.32835820021666"/>
    <x v="2"/>
    <s v="HABIBI 01"/>
    <m/>
    <s v="26128/01"/>
    <s v="Envase"/>
    <n v="1755"/>
    <s v="HBHD0003"/>
    <s v="HIDRATANTE BISNAGA ROSA SUBLIME 200g"/>
    <n v="200"/>
    <s v="g"/>
    <x v="18"/>
    <x v="0"/>
    <s v="CREME HIDRATANTE"/>
    <x v="2"/>
    <m/>
    <m/>
    <m/>
    <m/>
    <m/>
    <m/>
    <n v="42"/>
    <m/>
    <m/>
    <m/>
    <m/>
    <m/>
    <m/>
    <m/>
    <m/>
    <m/>
    <m/>
    <m/>
    <m/>
    <m/>
    <m/>
    <s v=""/>
    <m/>
    <m/>
    <m/>
    <m/>
    <m/>
    <m/>
    <m/>
    <m/>
    <m/>
    <m/>
    <m/>
    <x v="1"/>
    <x v="3"/>
  </r>
  <r>
    <d v="2026-05-11T13:05:00"/>
    <d v="2026-05-12T07:51:00"/>
    <n v="4.7666666666627862"/>
    <n v="533.70629370672816"/>
    <x v="1"/>
    <s v="REPOSICAO 23/03"/>
    <m/>
    <s v="26120/01"/>
    <s v="Envase"/>
    <n v="2544"/>
    <s v="MRARBS08"/>
    <s v="BODY SPLASH CEU CELESTE 200ml"/>
    <n v="215"/>
    <s v="ml"/>
    <x v="0"/>
    <x v="1"/>
    <s v="BODY SPLASH"/>
    <x v="1"/>
    <m/>
    <m/>
    <m/>
    <m/>
    <m/>
    <m/>
    <m/>
    <m/>
    <m/>
    <m/>
    <m/>
    <m/>
    <m/>
    <m/>
    <m/>
    <m/>
    <m/>
    <m/>
    <m/>
    <m/>
    <m/>
    <s v=""/>
    <m/>
    <m/>
    <m/>
    <m/>
    <m/>
    <m/>
    <m/>
    <m/>
    <m/>
    <m/>
    <m/>
    <x v="1"/>
    <x v="3"/>
  </r>
  <r>
    <d v="2026-05-12T07:45:00"/>
    <d v="2026-05-12T10:52:00"/>
    <n v="3.1166666666977108"/>
    <n v="523.6363636311479"/>
    <x v="2"/>
    <s v="HABIBI 01"/>
    <m/>
    <s v="26128/02"/>
    <s v="Envase"/>
    <n v="1632"/>
    <s v="HBHD0003"/>
    <s v="HIDRATANTE BISNAGA ROSA SUBLIME 200g"/>
    <n v="200"/>
    <s v="g"/>
    <x v="18"/>
    <x v="0"/>
    <s v="CREME HIDRATANTE"/>
    <x v="2"/>
    <m/>
    <m/>
    <m/>
    <m/>
    <m/>
    <m/>
    <m/>
    <m/>
    <m/>
    <m/>
    <m/>
    <m/>
    <m/>
    <m/>
    <m/>
    <m/>
    <m/>
    <m/>
    <m/>
    <m/>
    <m/>
    <s v=""/>
    <m/>
    <m/>
    <m/>
    <m/>
    <m/>
    <m/>
    <m/>
    <m/>
    <m/>
    <m/>
    <m/>
    <x v="1"/>
    <x v="3"/>
  </r>
  <r>
    <d v="2026-05-12T07:54:00"/>
    <d v="2026-05-12T10:56:00"/>
    <n v="3.0333333332673647"/>
    <n v="821.86813188600581"/>
    <x v="1"/>
    <s v="REPOSICAO 23/03"/>
    <m/>
    <s v="26120/02"/>
    <s v="Envase"/>
    <n v="2493"/>
    <s v="MRARBS08"/>
    <s v="BODY SPLASH CEU CELESTE 200ml"/>
    <n v="215"/>
    <s v="ml"/>
    <x v="0"/>
    <x v="1"/>
    <s v="BODY SPLASH"/>
    <x v="1"/>
    <m/>
    <m/>
    <m/>
    <m/>
    <m/>
    <m/>
    <m/>
    <m/>
    <m/>
    <m/>
    <m/>
    <m/>
    <m/>
    <m/>
    <m/>
    <m/>
    <m/>
    <m/>
    <m/>
    <m/>
    <m/>
    <s v=""/>
    <d v="2026-05-12T10:50:00"/>
    <m/>
    <s v="RETRABALHO"/>
    <m/>
    <m/>
    <m/>
    <m/>
    <m/>
    <m/>
    <m/>
    <m/>
    <x v="1"/>
    <x v="3"/>
  </r>
  <r>
    <d v="2026-05-12T10:53:00"/>
    <d v="2026-05-12T13:30:00"/>
    <n v="1.6166666666395031"/>
    <n v="139.79381443533853"/>
    <x v="2"/>
    <s v="HABIBI 01"/>
    <m/>
    <s v="26128/03"/>
    <s v="Envase"/>
    <n v="226"/>
    <s v="HBHD0003"/>
    <s v="HIDRATANTE BISNAGA ROSA SUBLIME 200g"/>
    <n v="200"/>
    <s v="g"/>
    <x v="18"/>
    <x v="0"/>
    <s v="CREME HIDRATANTE"/>
    <x v="2"/>
    <m/>
    <m/>
    <m/>
    <m/>
    <m/>
    <m/>
    <m/>
    <m/>
    <m/>
    <m/>
    <m/>
    <m/>
    <m/>
    <m/>
    <m/>
    <m/>
    <m/>
    <m/>
    <m/>
    <m/>
    <m/>
    <s v=""/>
    <m/>
    <m/>
    <m/>
    <m/>
    <m/>
    <m/>
    <m/>
    <m/>
    <m/>
    <m/>
    <m/>
    <x v="1"/>
    <x v="3"/>
  </r>
  <r>
    <d v="2026-05-12T13:00:00"/>
    <d v="2026-05-13T08:30:00"/>
    <n v="5.5000000001164153"/>
    <n v="513.27272726186311"/>
    <x v="1"/>
    <s v="0005"/>
    <m/>
    <s v="26124/02"/>
    <s v="Envase"/>
    <n v="2823"/>
    <s v="SASCES02"/>
    <s v="ESFOLIANTE FACIAL VITAMINA C"/>
    <n v="100"/>
    <s v="ml"/>
    <x v="3"/>
    <x v="3"/>
    <s v="ESFOLIANTE"/>
    <x v="0"/>
    <m/>
    <m/>
    <m/>
    <n v="34"/>
    <m/>
    <m/>
    <m/>
    <m/>
    <m/>
    <m/>
    <m/>
    <m/>
    <m/>
    <m/>
    <m/>
    <m/>
    <m/>
    <m/>
    <m/>
    <m/>
    <m/>
    <s v=""/>
    <m/>
    <m/>
    <m/>
    <m/>
    <m/>
    <m/>
    <m/>
    <m/>
    <m/>
    <m/>
    <m/>
    <x v="1"/>
    <x v="3"/>
  </r>
  <r>
    <d v="2026-05-13T08:31:00"/>
    <d v="2026-05-13T11:30:00"/>
    <n v="2.9833333332790062"/>
    <n v="474.63687151702311"/>
    <x v="1"/>
    <s v="0005"/>
    <m/>
    <s v="26124/01"/>
    <s v="Envase"/>
    <n v="1416"/>
    <s v="SASCES01"/>
    <s v="ESFOLIANTE FACIAL PITAYA"/>
    <n v="100"/>
    <s v="ml"/>
    <x v="3"/>
    <x v="3"/>
    <s v="ESFOLIANTE"/>
    <x v="0"/>
    <m/>
    <m/>
    <m/>
    <m/>
    <m/>
    <m/>
    <m/>
    <m/>
    <m/>
    <m/>
    <m/>
    <m/>
    <m/>
    <m/>
    <m/>
    <m/>
    <m/>
    <m/>
    <m/>
    <m/>
    <m/>
    <s v=""/>
    <m/>
    <m/>
    <m/>
    <m/>
    <m/>
    <m/>
    <m/>
    <m/>
    <m/>
    <m/>
    <m/>
    <x v="1"/>
    <x v="3"/>
  </r>
  <r>
    <d v="2026-05-13T10:55:00"/>
    <d v="2026-05-13T13:40:00"/>
    <n v="1.7500000000582077"/>
    <n v="381.71428570158929"/>
    <x v="2"/>
    <s v="AMEERATI 01"/>
    <m/>
    <s v="26132/01"/>
    <s v="Envase"/>
    <n v="668"/>
    <s v="AMNCHD01"/>
    <s v="BODY CREAM BAUNILHA SELVAGEM"/>
    <n v="240"/>
    <s v="ml"/>
    <x v="15"/>
    <x v="0"/>
    <s v="CREME HIDRATANTE"/>
    <x v="2"/>
    <m/>
    <m/>
    <m/>
    <m/>
    <m/>
    <m/>
    <m/>
    <m/>
    <m/>
    <m/>
    <m/>
    <m/>
    <m/>
    <m/>
    <m/>
    <m/>
    <m/>
    <m/>
    <m/>
    <m/>
    <s v=" "/>
    <s v=""/>
    <m/>
    <m/>
    <m/>
    <m/>
    <m/>
    <m/>
    <m/>
    <m/>
    <m/>
    <m/>
    <m/>
    <x v="1"/>
    <x v="3"/>
  </r>
  <r>
    <d v="2026-05-13T14:30:00"/>
    <d v="2026-05-13T15:45:00"/>
    <n v="1.2500000000582077"/>
    <n v="681.59999996826048"/>
    <x v="2"/>
    <s v="AMEERATI 01"/>
    <m/>
    <s v="26132/02"/>
    <s v="Envase"/>
    <n v="852"/>
    <s v="AMNCHD05"/>
    <s v="BODY CREAM FRESCOR LICHIA"/>
    <n v="240"/>
    <s v="ml"/>
    <x v="15"/>
    <x v="0"/>
    <s v="CREME HIDRATANTE"/>
    <x v="2"/>
    <m/>
    <m/>
    <m/>
    <m/>
    <m/>
    <m/>
    <m/>
    <m/>
    <m/>
    <m/>
    <m/>
    <m/>
    <m/>
    <m/>
    <m/>
    <m/>
    <m/>
    <m/>
    <m/>
    <d v="2026-05-13T14:25:00"/>
    <d v="2026-05-13T14:27:00"/>
    <d v="1899-12-30T00:02:00"/>
    <m/>
    <m/>
    <m/>
    <m/>
    <m/>
    <m/>
    <m/>
    <m/>
    <m/>
    <m/>
    <m/>
    <x v="1"/>
    <x v="3"/>
  </r>
  <r>
    <d v="2026-05-13T16:05:00"/>
    <d v="2026-05-14T09:55:00"/>
    <n v="3.8333333334303461"/>
    <n v="757.82608693734289"/>
    <x v="1"/>
    <s v="0005"/>
    <m/>
    <s v="26133/03"/>
    <s v="Envase"/>
    <n v="2905"/>
    <s v="SASCDM01"/>
    <s v="SABONETE DEMAQUILANTE PITAYA"/>
    <n v="100"/>
    <s v="ml"/>
    <x v="3"/>
    <x v="4"/>
    <s v="SABONETE"/>
    <x v="0"/>
    <m/>
    <m/>
    <m/>
    <m/>
    <m/>
    <m/>
    <m/>
    <m/>
    <m/>
    <m/>
    <m/>
    <m/>
    <m/>
    <m/>
    <m/>
    <m/>
    <m/>
    <m/>
    <m/>
    <m/>
    <m/>
    <s v=""/>
    <d v="2026-05-13T13:10:00"/>
    <m/>
    <s v="MANUTENÇÃO DE MÁQUINA"/>
    <n v="46156.340277777781"/>
    <s v="14;05/26 08:30"/>
    <s v="MANUTENÇÃO DE MÁQUINA"/>
    <n v="46156.395833333336"/>
    <n v="46156.496527777781"/>
    <s v="MANUTENÇÃO DE MÁQUINA"/>
    <m/>
    <m/>
    <x v="1"/>
    <x v="3"/>
  </r>
  <r>
    <d v="2026-05-14T07:15:00"/>
    <d v="2026-05-14T09:15:00"/>
    <n v="1.9999999998835847"/>
    <n v="422.50000002459274"/>
    <x v="2"/>
    <s v="AMEERATI 01"/>
    <m/>
    <s v="26132/03"/>
    <s v="Envase"/>
    <n v="845"/>
    <s v="AMNCHD07"/>
    <s v="BODY CREAM BOUQUET CARMIM"/>
    <n v="240"/>
    <s v="ml"/>
    <x v="15"/>
    <x v="0"/>
    <s v="CREME HIDRATANTE"/>
    <x v="2"/>
    <m/>
    <m/>
    <m/>
    <m/>
    <m/>
    <m/>
    <m/>
    <m/>
    <m/>
    <m/>
    <m/>
    <m/>
    <m/>
    <m/>
    <m/>
    <m/>
    <m/>
    <m/>
    <m/>
    <d v="2026-05-14T07:05:00"/>
    <d v="2026-05-14T07:07:00"/>
    <d v="1899-12-30T00:02:00"/>
    <d v="2026-05-14T08:35:00"/>
    <d v="2026-05-14T08:40:00"/>
    <s v="MANUTENÇÃO DA JET"/>
    <m/>
    <m/>
    <m/>
    <m/>
    <m/>
    <m/>
    <m/>
    <m/>
    <x v="1"/>
    <x v="3"/>
  </r>
  <r>
    <d v="2026-05-14T09:40:00"/>
    <d v="2026-05-14T11:41:00"/>
    <n v="2.0166666666045785"/>
    <n v="389.25619835909168"/>
    <x v="2"/>
    <s v="AMEERATI 01"/>
    <m/>
    <s v="26132/04"/>
    <s v="Envase"/>
    <n v="785"/>
    <s v="AMNCHD04"/>
    <s v="BODY CREAM DOCE ROSA"/>
    <n v="240"/>
    <s v="ml"/>
    <x v="15"/>
    <x v="0"/>
    <s v="CREME HIDRATANTE"/>
    <x v="2"/>
    <m/>
    <m/>
    <m/>
    <m/>
    <m/>
    <m/>
    <m/>
    <m/>
    <m/>
    <m/>
    <m/>
    <m/>
    <m/>
    <m/>
    <m/>
    <m/>
    <m/>
    <m/>
    <m/>
    <m/>
    <m/>
    <s v=""/>
    <d v="2026-05-15T10:50:00"/>
    <m/>
    <s v="MANUTENÇÃO DE MÁQUINA"/>
    <m/>
    <m/>
    <m/>
    <m/>
    <m/>
    <m/>
    <m/>
    <m/>
    <x v="1"/>
    <x v="3"/>
  </r>
  <r>
    <d v="2026-05-14T11:30:00"/>
    <d v="2026-05-14T13:25:00"/>
    <n v="0.91666666680248454"/>
    <n v="773.45454533994655"/>
    <x v="2"/>
    <s v="AMEERATI 01"/>
    <m/>
    <s v="26134/03"/>
    <s v="Envase"/>
    <n v="709"/>
    <s v="AMABHD05"/>
    <s v="BODY CREAM ROSA IMPERIAL"/>
    <n v="240"/>
    <s v="ml"/>
    <x v="15"/>
    <x v="0"/>
    <s v="CREME HIDRATANTE"/>
    <x v="2"/>
    <m/>
    <m/>
    <m/>
    <m/>
    <m/>
    <m/>
    <m/>
    <m/>
    <m/>
    <m/>
    <m/>
    <m/>
    <m/>
    <m/>
    <m/>
    <m/>
    <m/>
    <m/>
    <m/>
    <d v="2026-05-14T11:20:00"/>
    <d v="2026-05-14T11:23:00"/>
    <d v="1899-12-30T00:03:00"/>
    <m/>
    <m/>
    <m/>
    <m/>
    <m/>
    <m/>
    <m/>
    <m/>
    <m/>
    <m/>
    <m/>
    <x v="1"/>
    <x v="3"/>
  </r>
  <r>
    <d v="2026-05-14T13:30:00"/>
    <d v="2026-05-14T15:14:00"/>
    <n v="1.7333333333954215"/>
    <n v="488.65384613634251"/>
    <x v="2"/>
    <s v="AMEERATI 01"/>
    <m/>
    <s v="26135/01"/>
    <s v="Envase"/>
    <n v="847"/>
    <s v="AMNCHD03"/>
    <s v="BODY CREAM SONHO DE PISTACHE"/>
    <n v="240"/>
    <s v="ml"/>
    <x v="15"/>
    <x v="0"/>
    <s v="CREME HIDRATANTE"/>
    <x v="2"/>
    <m/>
    <m/>
    <m/>
    <m/>
    <m/>
    <m/>
    <m/>
    <m/>
    <m/>
    <m/>
    <m/>
    <m/>
    <m/>
    <m/>
    <m/>
    <m/>
    <m/>
    <m/>
    <m/>
    <d v="2026-05-14T13:25:00"/>
    <d v="2026-05-14T13:30:00"/>
    <d v="1899-12-30T00:05:00"/>
    <m/>
    <m/>
    <m/>
    <m/>
    <m/>
    <m/>
    <m/>
    <m/>
    <m/>
    <m/>
    <m/>
    <x v="1"/>
    <x v="3"/>
  </r>
  <r>
    <d v="2026-05-14T15:15:00"/>
    <d v="2026-05-14T15:40:00"/>
    <n v="0.41666666680248454"/>
    <n v="1958.3999993616342"/>
    <x v="2"/>
    <s v="AMEERATI 01"/>
    <m/>
    <s v="26135/02"/>
    <s v="Envase"/>
    <n v="816"/>
    <s v="AMNCHD08"/>
    <s v="BODY CREAM SUBLIME CEREJA"/>
    <n v="240"/>
    <s v="ml"/>
    <x v="15"/>
    <x v="0"/>
    <s v="CREME HIDRATANTE"/>
    <x v="2"/>
    <m/>
    <m/>
    <m/>
    <m/>
    <m/>
    <m/>
    <m/>
    <m/>
    <m/>
    <m/>
    <m/>
    <m/>
    <m/>
    <m/>
    <m/>
    <m/>
    <m/>
    <m/>
    <m/>
    <d v="2026-05-14T15:10:00"/>
    <d v="2026-05-14T15:15:00"/>
    <d v="1899-12-30T00:05:00"/>
    <m/>
    <m/>
    <m/>
    <m/>
    <m/>
    <m/>
    <m/>
    <m/>
    <m/>
    <m/>
    <m/>
    <x v="1"/>
    <x v="3"/>
  </r>
  <r>
    <d v="2026-05-14T16:37:00"/>
    <d v="2026-05-15T08:33:00"/>
    <n v="1.9333333333488554"/>
    <n v="542.06896551288935"/>
    <x v="2"/>
    <s v="AMEERATI 01"/>
    <m/>
    <s v="26132/05"/>
    <s v="Envase"/>
    <n v="1048"/>
    <s v="AMABHD06"/>
    <s v="BODY CREAM ENCANTO PERSA"/>
    <n v="240"/>
    <s v="ml"/>
    <x v="15"/>
    <x v="0"/>
    <s v="CREME HIDRATANTE"/>
    <x v="2"/>
    <m/>
    <m/>
    <m/>
    <m/>
    <m/>
    <m/>
    <m/>
    <m/>
    <m/>
    <m/>
    <m/>
    <m/>
    <m/>
    <m/>
    <m/>
    <m/>
    <m/>
    <m/>
    <m/>
    <d v="2026-05-14T16:30:00"/>
    <d v="2026-05-14T16:35:00"/>
    <d v="1899-12-30T00:05:00"/>
    <m/>
    <m/>
    <m/>
    <m/>
    <m/>
    <m/>
    <m/>
    <m/>
    <m/>
    <m/>
    <m/>
    <x v="1"/>
    <x v="3"/>
  </r>
  <r>
    <d v="2026-05-15T08:42:00"/>
    <d v="2026-05-15T10:05:00"/>
    <n v="1.3833333333022892"/>
    <n v="686.02409640093754"/>
    <x v="2"/>
    <s v="AMEERATI 01"/>
    <m/>
    <s v="26133/02"/>
    <s v="Envase"/>
    <n v="949"/>
    <s v="AMNCHD06"/>
    <s v="BODY CREAM NECTAR DA PERA"/>
    <n v="240"/>
    <s v="ml"/>
    <x v="15"/>
    <x v="0"/>
    <s v="CREME HIDRATANTE"/>
    <x v="2"/>
    <m/>
    <m/>
    <m/>
    <m/>
    <m/>
    <m/>
    <m/>
    <m/>
    <m/>
    <m/>
    <m/>
    <m/>
    <m/>
    <m/>
    <m/>
    <m/>
    <m/>
    <m/>
    <m/>
    <d v="2026-05-15T08:33:00"/>
    <d v="2026-05-15T08:40:00"/>
    <d v="1899-12-30T00:07:00"/>
    <m/>
    <m/>
    <m/>
    <m/>
    <m/>
    <m/>
    <m/>
    <m/>
    <m/>
    <m/>
    <m/>
    <x v="1"/>
    <x v="3"/>
  </r>
  <r>
    <d v="2026-05-15T09:20:00"/>
    <d v="2026-05-15T14:16:00"/>
    <n v="3.9333333333488554"/>
    <n v="826.52542372555183"/>
    <x v="1"/>
    <s v="0005"/>
    <m/>
    <s v="26133/04"/>
    <s v="Envase"/>
    <n v="3251"/>
    <s v="SASCDM02"/>
    <s v="SABONETE DEMAQUILANTE VITAMINA C"/>
    <n v="100"/>
    <s v="ml"/>
    <x v="3"/>
    <x v="4"/>
    <s v="SABONETE"/>
    <x v="0"/>
    <m/>
    <m/>
    <m/>
    <m/>
    <m/>
    <m/>
    <m/>
    <m/>
    <m/>
    <m/>
    <m/>
    <m/>
    <m/>
    <m/>
    <m/>
    <m/>
    <m/>
    <m/>
    <m/>
    <d v="2026-05-15T09:10:00"/>
    <d v="2026-05-15T09:16:00"/>
    <d v="1899-12-30T00:06:00"/>
    <m/>
    <m/>
    <m/>
    <m/>
    <m/>
    <m/>
    <m/>
    <m/>
    <m/>
    <m/>
    <m/>
    <x v="1"/>
    <x v="3"/>
  </r>
  <r>
    <d v="2026-05-15T10:15:00"/>
    <d v="2026-05-15T13:16:00"/>
    <n v="2.0166666665463708"/>
    <n v="714.04958681945311"/>
    <x v="2"/>
    <s v="AMEERATI 01"/>
    <m/>
    <s v="26133/01"/>
    <s v="Envase"/>
    <n v="1440"/>
    <s v="AMABHD07"/>
    <s v="BODY CREAM MEL DE ESPECIARIAS"/>
    <n v="240"/>
    <s v="ml"/>
    <x v="15"/>
    <x v="0"/>
    <s v="CREME HIDRATANTE"/>
    <x v="2"/>
    <m/>
    <m/>
    <m/>
    <m/>
    <m/>
    <m/>
    <m/>
    <m/>
    <m/>
    <m/>
    <m/>
    <m/>
    <m/>
    <m/>
    <m/>
    <m/>
    <m/>
    <m/>
    <m/>
    <d v="2026-05-15T10:05:00"/>
    <d v="2026-05-15T10:10:00"/>
    <d v="1899-12-30T00:05:00"/>
    <d v="2026-05-10T10:08:00"/>
    <d v="2026-05-15T10:15:00"/>
    <s v="ESPERANDO LIBERAÇÃO DE PRODUTO"/>
    <m/>
    <m/>
    <m/>
    <m/>
    <m/>
    <m/>
    <m/>
    <m/>
    <x v="1"/>
    <x v="3"/>
  </r>
  <r>
    <d v="2026-05-15T13:18:00"/>
    <d v="2026-05-15T16:50:00"/>
    <n v="2.6999999998952262"/>
    <n v="501.11111113055676"/>
    <x v="2"/>
    <s v="AMEERATI 01"/>
    <m/>
    <s v="26134/01"/>
    <s v="Envase"/>
    <n v="1353"/>
    <s v="AMABHD04"/>
    <s v="BODY CREAM PEROLA DO DESERTO"/>
    <n v="240"/>
    <s v="ml"/>
    <x v="15"/>
    <x v="0"/>
    <s v="CREME HIDRATANTE"/>
    <x v="2"/>
    <m/>
    <m/>
    <m/>
    <m/>
    <m/>
    <m/>
    <m/>
    <m/>
    <m/>
    <m/>
    <m/>
    <m/>
    <m/>
    <m/>
    <m/>
    <m/>
    <m/>
    <m/>
    <m/>
    <d v="2026-05-15T13:16:00"/>
    <d v="2026-05-15T13:17:00"/>
    <d v="1899-12-30T00:01:00"/>
    <m/>
    <m/>
    <m/>
    <m/>
    <m/>
    <m/>
    <m/>
    <m/>
    <m/>
    <m/>
    <m/>
    <x v="1"/>
    <x v="3"/>
  </r>
  <r>
    <d v="2026-05-15T15:20:00"/>
    <d v="2026-05-18T16:55:00"/>
    <n v="9.5833333332557231"/>
    <n v="494.40000000400386"/>
    <x v="1"/>
    <s v="0006"/>
    <m/>
    <s v="26135/05"/>
    <s v="Envase"/>
    <n v="4738"/>
    <s v="MRARBS05"/>
    <s v="BODY SPLASH FORÇA DO LEAO"/>
    <n v="220"/>
    <s v="ml"/>
    <x v="0"/>
    <x v="1"/>
    <s v="BODY SPLASH"/>
    <x v="1"/>
    <m/>
    <m/>
    <m/>
    <m/>
    <m/>
    <m/>
    <m/>
    <m/>
    <m/>
    <m/>
    <m/>
    <m/>
    <m/>
    <m/>
    <m/>
    <m/>
    <m/>
    <m/>
    <m/>
    <d v="2026-05-15T14:30:00"/>
    <d v="2026-05-15T15:15:00"/>
    <d v="1899-12-30T00:45:00"/>
    <d v="2026-05-18T09:20:00"/>
    <d v="2026-05-18T09:35:00"/>
    <s v="REGULAGEM DE MAQUINA"/>
    <d v="2026-05-18T15:00:00"/>
    <d v="2026-05-18T16:55:00"/>
    <s v="RETRABALHO DO ROTULO"/>
    <m/>
    <m/>
    <m/>
    <m/>
    <m/>
    <x v="1"/>
    <x v="3"/>
  </r>
  <r>
    <d v="2026-05-18T07:35:00"/>
    <d v="2026-05-19T09:20:00"/>
    <n v="10.750000000232831"/>
    <n v="415.25581394449449"/>
    <x v="1"/>
    <s v="0006"/>
    <m/>
    <s v="26138/02"/>
    <s v="Envase"/>
    <n v="4464"/>
    <s v="MRARBS05"/>
    <s v="BODY SPLASH FORÇA DO LEAO"/>
    <n v="220"/>
    <s v="ml"/>
    <x v="0"/>
    <x v="1"/>
    <s v="BODY SPLASH"/>
    <x v="1"/>
    <m/>
    <m/>
    <m/>
    <m/>
    <m/>
    <m/>
    <m/>
    <m/>
    <m/>
    <m/>
    <m/>
    <m/>
    <m/>
    <m/>
    <m/>
    <m/>
    <m/>
    <m/>
    <m/>
    <d v="2026-05-19T07:00:00"/>
    <d v="2026-05-19T07:30:00"/>
    <d v="1899-12-30T00:30:00"/>
    <d v="2026-05-19T09:50:00"/>
    <d v="2026-05-19T10:30:00"/>
    <s v="REGULAGEM DE MÁQUINA"/>
    <m/>
    <m/>
    <m/>
    <m/>
    <m/>
    <m/>
    <m/>
    <m/>
    <x v="1"/>
    <x v="3"/>
  </r>
  <r>
    <d v="2026-05-18T07:49:00"/>
    <d v="2026-05-18T10:02:00"/>
    <n v="2.2166666667326353"/>
    <n v="629.32330825194788"/>
    <x v="2"/>
    <s v="AMEERATI 01"/>
    <m/>
    <s v="26134/02"/>
    <s v="Envase"/>
    <n v="1395"/>
    <s v="AMABHD08"/>
    <s v="BODY CREAM RARO ELIXIR"/>
    <n v="240"/>
    <s v="ml"/>
    <x v="15"/>
    <x v="0"/>
    <s v="CREME HIDRATANTE"/>
    <x v="2"/>
    <m/>
    <m/>
    <m/>
    <m/>
    <m/>
    <m/>
    <m/>
    <m/>
    <m/>
    <m/>
    <m/>
    <m/>
    <m/>
    <m/>
    <m/>
    <m/>
    <m/>
    <m/>
    <m/>
    <d v="2026-05-18T07:00:00"/>
    <d v="2026-05-18T07:47:00"/>
    <d v="1899-12-30T00:47:00"/>
    <m/>
    <m/>
    <m/>
    <m/>
    <m/>
    <m/>
    <m/>
    <m/>
    <m/>
    <m/>
    <m/>
    <x v="1"/>
    <x v="3"/>
  </r>
  <r>
    <d v="2026-05-18T10:06:00"/>
    <d v="2026-05-18T13:35:00"/>
    <n v="2.4833333333372138"/>
    <n v="550.06711409310014"/>
    <x v="2"/>
    <s v="AMEERATI 01"/>
    <m/>
    <s v="26135/03"/>
    <s v="Envase"/>
    <n v="1366"/>
    <s v="AMABHD01"/>
    <s v="BODY CREAM TESOURO DO OASIS"/>
    <n v="240"/>
    <s v="ml"/>
    <x v="15"/>
    <x v="0"/>
    <s v="CREME HIDRATANTE"/>
    <x v="2"/>
    <m/>
    <m/>
    <m/>
    <m/>
    <m/>
    <m/>
    <m/>
    <m/>
    <m/>
    <m/>
    <m/>
    <m/>
    <m/>
    <m/>
    <m/>
    <m/>
    <m/>
    <m/>
    <m/>
    <d v="2026-05-18T10:03:00"/>
    <d v="2026-05-18T10:05:00"/>
    <d v="1899-12-30T00:02:00"/>
    <m/>
    <m/>
    <m/>
    <m/>
    <m/>
    <m/>
    <m/>
    <m/>
    <m/>
    <m/>
    <m/>
    <x v="1"/>
    <x v="3"/>
  </r>
  <r>
    <d v="2026-05-18T13:34:00"/>
    <d v="2026-05-18T16:50:00"/>
    <n v="3.2666666666627862"/>
    <n v="450.00000000053456"/>
    <x v="2"/>
    <s v="AMEERATI 01"/>
    <m/>
    <s v="26135/04"/>
    <s v="Envase"/>
    <n v="1470"/>
    <s v="AMABHD03"/>
    <s v="BODY CREAM FLOR DO DESERTO"/>
    <n v="240"/>
    <s v="ml"/>
    <x v="15"/>
    <x v="0"/>
    <s v="CREME HIDRATANTE"/>
    <x v="2"/>
    <m/>
    <m/>
    <m/>
    <m/>
    <m/>
    <m/>
    <m/>
    <m/>
    <m/>
    <m/>
    <m/>
    <m/>
    <m/>
    <m/>
    <m/>
    <m/>
    <m/>
    <m/>
    <m/>
    <d v="2026-05-18T13:25:00"/>
    <d v="2026-05-18T13:33:00"/>
    <d v="1899-12-30T00:08:00"/>
    <d v="2026-05-18T15:10:00"/>
    <d v="2026-05-18T15:40:00"/>
    <s v="MANUTENÇÃO DE MÁQUINA"/>
    <m/>
    <m/>
    <m/>
    <m/>
    <m/>
    <m/>
    <m/>
    <m/>
    <x v="1"/>
    <x v="3"/>
  </r>
  <r>
    <d v="2026-05-19T07:22:00"/>
    <d v="2026-05-19T14:43:00"/>
    <n v="6.3500000000349246"/>
    <n v="209.44881889648585"/>
    <x v="2"/>
    <s v="AMEERATI 01"/>
    <m/>
    <s v="26139/02"/>
    <s v="Envase"/>
    <n v="1330"/>
    <s v="AMABHD02"/>
    <s v="BODY CREAM JARDINS DO ORIENTE"/>
    <n v="240"/>
    <s v="ml"/>
    <x v="15"/>
    <x v="0"/>
    <s v="CREME HIDRATANTE"/>
    <x v="2"/>
    <m/>
    <m/>
    <m/>
    <m/>
    <m/>
    <m/>
    <m/>
    <m/>
    <m/>
    <m/>
    <m/>
    <m/>
    <m/>
    <m/>
    <m/>
    <m/>
    <m/>
    <m/>
    <m/>
    <d v="2026-05-19T07:00:00"/>
    <d v="2026-05-19T07:21:00"/>
    <d v="1899-12-30T00:21:00"/>
    <d v="2026-05-19T07:53:00"/>
    <d v="2026-05-19T10:00:00"/>
    <s v="MANUTENÇÃO DE MÁQUINA"/>
    <d v="2026-05-19T11:40:00"/>
    <m/>
    <s v="MANUTENÇÃO DE MÁQUINA"/>
    <m/>
    <m/>
    <m/>
    <m/>
    <m/>
    <x v="1"/>
    <x v="3"/>
  </r>
  <r>
    <d v="2026-05-19T10:00:00"/>
    <d v="2026-05-19T15:40:00"/>
    <n v="4.6666666668024845"/>
    <n v="606.42857141092202"/>
    <x v="1"/>
    <s v="PROG 01 25/03/26"/>
    <m/>
    <s v="26134/04"/>
    <s v="Envase"/>
    <n v="2830"/>
    <s v="MRARBS01"/>
    <s v="BODY SPLASH AURORA IMPERIAL"/>
    <n v="220"/>
    <s v="ml"/>
    <x v="0"/>
    <x v="1"/>
    <s v="BODY SPLASH"/>
    <x v="1"/>
    <m/>
    <m/>
    <m/>
    <m/>
    <m/>
    <m/>
    <m/>
    <m/>
    <m/>
    <m/>
    <m/>
    <m/>
    <m/>
    <m/>
    <m/>
    <m/>
    <m/>
    <m/>
    <m/>
    <d v="2026-05-19T09:30:00"/>
    <d v="2026-05-19T09:57:00"/>
    <d v="1899-12-30T00:27:00"/>
    <d v="2026-05-19T10:20:00"/>
    <d v="2026-05-19T11:16:00"/>
    <s v="MANUTENÇÃO DE MÁQUINA"/>
    <d v="2026-05-19T09:57:00"/>
    <d v="2026-05-19T10:05:00"/>
    <s v="REGULAGEM DE ROSQUEADEIRA"/>
    <m/>
    <m/>
    <m/>
    <m/>
    <m/>
    <x v="1"/>
    <x v="3"/>
  </r>
  <r>
    <d v="2026-05-19T14:34:00"/>
    <d v="2026-05-20T09:30:00"/>
    <n v="4.9333333335234784"/>
    <n v="199.45945945177172"/>
    <x v="2"/>
    <s v="AMEERATI 01"/>
    <m/>
    <s v="26139/03"/>
    <s v="Envase"/>
    <n v="984"/>
    <s v="AMNCHD02"/>
    <s v="BODY CREAM VERDE SUPREMO"/>
    <n v="240"/>
    <s v="ml"/>
    <x v="15"/>
    <x v="0"/>
    <s v="CREME HIDRATANTE"/>
    <x v="2"/>
    <m/>
    <m/>
    <m/>
    <m/>
    <m/>
    <m/>
    <m/>
    <m/>
    <m/>
    <m/>
    <m/>
    <m/>
    <m/>
    <m/>
    <m/>
    <m/>
    <m/>
    <m/>
    <m/>
    <d v="2026-05-19T14:25:00"/>
    <d v="2026-05-19T14:34:00"/>
    <d v="1899-12-30T00:09:00"/>
    <m/>
    <m/>
    <m/>
    <m/>
    <m/>
    <m/>
    <m/>
    <m/>
    <m/>
    <m/>
    <m/>
    <x v="1"/>
    <x v="3"/>
  </r>
  <r>
    <d v="2026-05-20T07:38:00"/>
    <d v="2026-05-20T08:29:00"/>
    <n v="0.84999999997671694"/>
    <n v="1072.9411764999782"/>
    <x v="1"/>
    <s v="05"/>
    <m/>
    <s v="P-26138/01"/>
    <s v="Envase"/>
    <n v="912"/>
    <s v="FBBS0003"/>
    <s v="BODY SPLASH AMBER BLOOM 200ML"/>
    <n v="200"/>
    <s v="ml"/>
    <x v="21"/>
    <x v="1"/>
    <s v="BODY SPLASH"/>
    <x v="1"/>
    <m/>
    <m/>
    <m/>
    <m/>
    <m/>
    <m/>
    <m/>
    <m/>
    <m/>
    <m/>
    <m/>
    <m/>
    <m/>
    <m/>
    <m/>
    <m/>
    <m/>
    <m/>
    <m/>
    <d v="2026-05-20T07:00:00"/>
    <d v="2026-05-20T07:36:00"/>
    <d v="1899-12-30T00:36:00"/>
    <d v="2026-05-19T15:50:00"/>
    <d v="2026-05-20T16:55:00"/>
    <s v="ESPERANDO INSUMO"/>
    <d v="2026-05-20T07:00:00"/>
    <d v="2026-05-20T07:38:00"/>
    <s v="LIBERAÇÃO DE PRODUTO"/>
    <m/>
    <m/>
    <m/>
    <m/>
    <m/>
    <x v="1"/>
    <x v="3"/>
  </r>
  <r>
    <d v="2026-05-20T08:32:00"/>
    <d v="2026-05-20T14:50:00"/>
    <n v="5.2999999999301508"/>
    <n v="858.49056604905002"/>
    <x v="1"/>
    <s v="05"/>
    <m/>
    <s v="26138/03"/>
    <s v="Envase"/>
    <n v="4550"/>
    <s v="FBBS0003"/>
    <s v="BODY SPLASH AMBER BLOOM 200ML"/>
    <n v="200"/>
    <s v="ml"/>
    <x v="21"/>
    <x v="1"/>
    <s v="BODY SPLASH"/>
    <x v="1"/>
    <m/>
    <m/>
    <m/>
    <m/>
    <m/>
    <m/>
    <m/>
    <m/>
    <m/>
    <m/>
    <m/>
    <m/>
    <m/>
    <m/>
    <m/>
    <m/>
    <m/>
    <m/>
    <m/>
    <d v="2026-05-20T08:29:00"/>
    <d v="2026-05-20T08:30:00"/>
    <d v="1899-12-30T00:01:00"/>
    <d v="2026-05-20T08:29:00"/>
    <d v="2026-05-20T14:50:00"/>
    <s v="AGUARDANDO FRASCO"/>
    <m/>
    <m/>
    <m/>
    <m/>
    <m/>
    <m/>
    <m/>
    <m/>
    <x v="1"/>
    <x v="3"/>
  </r>
  <r>
    <d v="2026-05-20T15:22:00"/>
    <d v="2026-05-21T11:50:00"/>
    <n v="6.466666666790843"/>
    <n v="563.65979380360932"/>
    <x v="1"/>
    <s v="05"/>
    <m/>
    <s v="26139/05"/>
    <s v="Envase"/>
    <n v="3645"/>
    <s v="FBBS0003"/>
    <s v="BODY SPLASH AMBER BLOOM 200ML"/>
    <n v="200"/>
    <s v="ml"/>
    <x v="21"/>
    <x v="1"/>
    <s v="BODY SPLASH"/>
    <x v="1"/>
    <m/>
    <m/>
    <m/>
    <m/>
    <m/>
    <m/>
    <m/>
    <m/>
    <m/>
    <m/>
    <m/>
    <m/>
    <m/>
    <m/>
    <m/>
    <m/>
    <m/>
    <m/>
    <m/>
    <d v="2026-05-20T14:50:00"/>
    <d v="2026-05-20T15:22:00"/>
    <d v="1899-12-30T00:32:00"/>
    <d v="2026-05-20T14:55:00"/>
    <d v="2026-05-20T15:22:00"/>
    <s v="ESPERANDO FRASCO"/>
    <m/>
    <m/>
    <m/>
    <m/>
    <m/>
    <m/>
    <m/>
    <m/>
    <x v="1"/>
    <x v="3"/>
  </r>
  <r>
    <d v="2026-05-20T15:25:00"/>
    <d v="2026-05-20T16:40:00"/>
    <n v="1.2500000000582077"/>
    <n v="641.59999997012312"/>
    <x v="3"/>
    <s v="REPOSICAO BRIA 01"/>
    <m/>
    <s v="26140/02"/>
    <s v="Envase"/>
    <n v="802"/>
    <s v="bbpf0004"/>
    <s v="PERFUME CAPILAR ZAHRA"/>
    <n v="60"/>
    <s v="ml"/>
    <x v="16"/>
    <x v="1"/>
    <s v="PERFUME CAPILAR"/>
    <x v="3"/>
    <m/>
    <m/>
    <m/>
    <m/>
    <m/>
    <m/>
    <m/>
    <m/>
    <m/>
    <m/>
    <m/>
    <m/>
    <m/>
    <m/>
    <m/>
    <m/>
    <m/>
    <m/>
    <m/>
    <d v="2026-05-20T14:50:00"/>
    <d v="2026-05-20T15:20:00"/>
    <d v="1899-12-30T00:30:00"/>
    <m/>
    <m/>
    <m/>
    <m/>
    <m/>
    <m/>
    <m/>
    <m/>
    <m/>
    <m/>
    <m/>
    <x v="1"/>
    <x v="3"/>
  </r>
  <r>
    <d v="2026-05-21T07:10:00"/>
    <d v="2026-05-21T15:22:00"/>
    <n v="7.2000000000116415"/>
    <n v="711.11111110996137"/>
    <x v="2"/>
    <s v="0008"/>
    <m/>
    <s v="26138/04"/>
    <s v="Envase"/>
    <n v="5120"/>
    <s v="MRARBS07"/>
    <s v="BODY SPLASH LEAO DO DESERTO BOURBON 200ml"/>
    <n v="215"/>
    <s v="ml"/>
    <x v="0"/>
    <x v="1"/>
    <s v="BODY SPLASH"/>
    <x v="1"/>
    <m/>
    <m/>
    <m/>
    <m/>
    <m/>
    <m/>
    <m/>
    <m/>
    <m/>
    <m/>
    <m/>
    <m/>
    <m/>
    <m/>
    <m/>
    <m/>
    <m/>
    <m/>
    <m/>
    <d v="2026-05-21T07:00:00"/>
    <d v="2026-05-21T07:05:00"/>
    <d v="1899-12-30T00:05:00"/>
    <d v="2026-05-21T08:00:00"/>
    <d v="2026-05-21T08:10:00"/>
    <s v="MANUTENÇÃO DE MÁQUINA"/>
    <n v="46163.611111111109"/>
    <n v="46163.617361111108"/>
    <s v="AGUARDANDO FRASCO"/>
    <m/>
    <m/>
    <m/>
    <m/>
    <m/>
    <x v="1"/>
    <x v="3"/>
  </r>
  <r>
    <d v="2026-05-21T14:40:00"/>
    <d v="2026-05-22T10:30:00"/>
    <n v="5.8333333334885538"/>
    <n v="748.79999998007497"/>
    <x v="1"/>
    <s v="05"/>
    <m/>
    <s v="26141/03"/>
    <s v="Envase"/>
    <n v="4368"/>
    <s v="FBBS0004"/>
    <s v="BODY SPLASH OUD NIGHT 200ML"/>
    <n v="200"/>
    <s v="ml"/>
    <x v="21"/>
    <x v="1"/>
    <s v="BODY SPLASH"/>
    <x v="1"/>
    <m/>
    <m/>
    <m/>
    <m/>
    <m/>
    <m/>
    <m/>
    <m/>
    <m/>
    <m/>
    <m/>
    <m/>
    <m/>
    <m/>
    <m/>
    <m/>
    <m/>
    <m/>
    <m/>
    <d v="2026-05-21T13:30:00"/>
    <d v="2026-05-21T14:40:00"/>
    <d v="1899-12-30T01:10:00"/>
    <d v="2026-05-21T13:30:00"/>
    <d v="2026-05-21T14:40:00"/>
    <s v="AGUARDANDO FRASCO"/>
    <d v="2026-05-21T15:00:00"/>
    <d v="2026-05-21T15:03:00"/>
    <s v="AGUARDANDO FRASCO"/>
    <d v="2026-05-21T15:25:00"/>
    <d v="2026-05-21T15:32:00"/>
    <s v="AGUARDANDO FRASCO"/>
    <d v="2026-05-22T10:30:00"/>
    <m/>
    <x v="1"/>
    <x v="3"/>
  </r>
  <r>
    <d v="2026-05-21T16:08:00"/>
    <d v="2026-05-22T14:00:00"/>
    <n v="6.8666666668141261"/>
    <n v="754.95145629446722"/>
    <x v="2"/>
    <s v="0008"/>
    <m/>
    <s v="26139/07"/>
    <s v="Envase"/>
    <n v="5184"/>
    <s v="MRARBS07"/>
    <s v="BODY SPLASH LEAO DO DESERTO BOURBON 200ml"/>
    <n v="215"/>
    <s v="ml"/>
    <x v="0"/>
    <x v="1"/>
    <s v="BODY SPLASH"/>
    <x v="1"/>
    <m/>
    <m/>
    <m/>
    <m/>
    <m/>
    <m/>
    <m/>
    <m/>
    <m/>
    <m/>
    <m/>
    <m/>
    <m/>
    <m/>
    <m/>
    <m/>
    <m/>
    <m/>
    <m/>
    <d v="2026-05-21T15:22:00"/>
    <d v="2026-05-21T15:30:00"/>
    <d v="1899-12-30T00:08:00"/>
    <d v="2026-05-21T15:22:00"/>
    <d v="2026-05-21T16:08:00"/>
    <s v="AGUARDANDO FRASCO"/>
    <d v="2026-05-21T15:22:00"/>
    <d v="2026-05-21T16:08:00"/>
    <s v="AGUARDANDO LIBERAÇÃO DO PRODUTO"/>
    <d v="2026-05-21T13:40:00"/>
    <d v="2026-05-21T13:45:00"/>
    <s v="AGUARDANDO FRASCO"/>
    <m/>
    <m/>
    <x v="1"/>
    <x v="3"/>
  </r>
  <r>
    <d v="2026-05-22T11:28:00"/>
    <d v="2026-05-25T08:04:00"/>
    <n v="4.5999999999185093"/>
    <n v="1095.6521739324535"/>
    <x v="1"/>
    <s v="05"/>
    <m/>
    <s v="26142/01"/>
    <s v="Envase"/>
    <n v="5040"/>
    <s v="FBBS0004"/>
    <s v="BODY SPLASH OUD NIGHT 200ML"/>
    <n v="200"/>
    <s v="ml"/>
    <x v="21"/>
    <x v="1"/>
    <s v="BODY SPLASH"/>
    <x v="1"/>
    <m/>
    <m/>
    <m/>
    <m/>
    <m/>
    <m/>
    <m/>
    <m/>
    <m/>
    <m/>
    <m/>
    <m/>
    <m/>
    <m/>
    <m/>
    <m/>
    <m/>
    <m/>
    <m/>
    <d v="2026-05-22T10:30:00"/>
    <d v="2026-05-22T10:35:00"/>
    <d v="1899-12-30T00:05:00"/>
    <d v="2026-05-25T10:30:00"/>
    <d v="2026-05-25T11:28:00"/>
    <s v="AGUARDANDO LIBERAÇÃO DE PRODUTO"/>
    <d v="2026-05-25T07:54:00"/>
    <m/>
    <s v="FALTOU FRASCO"/>
    <m/>
    <m/>
    <m/>
    <m/>
    <m/>
    <x v="1"/>
    <x v="3"/>
  </r>
  <r>
    <d v="2026-05-22T14:50:00"/>
    <d v="2026-05-25T11:50:00"/>
    <n v="6"/>
    <n v="773.5"/>
    <x v="2"/>
    <s v="0008"/>
    <m/>
    <s v="26140/01"/>
    <s v="Envase"/>
    <n v="4641"/>
    <s v="MRARBS07"/>
    <s v="BODY SPLASH LEAO DO DESERTO BOURBON 200ml"/>
    <n v="215"/>
    <s v="ml"/>
    <x v="0"/>
    <x v="1"/>
    <s v="BODY SPLASH"/>
    <x v="1"/>
    <m/>
    <m/>
    <m/>
    <m/>
    <m/>
    <m/>
    <m/>
    <m/>
    <m/>
    <m/>
    <m/>
    <m/>
    <m/>
    <m/>
    <m/>
    <m/>
    <m/>
    <m/>
    <m/>
    <d v="2026-05-22T14:02:00"/>
    <d v="2026-05-22T14:05:00"/>
    <d v="1899-12-30T00:03:00"/>
    <d v="2026-05-22T14:05:00"/>
    <d v="2026-05-22T14:50:00"/>
    <s v="AGUARDANDO LIBERAÇÃO DE PRODUTO"/>
    <m/>
    <m/>
    <m/>
    <m/>
    <m/>
    <m/>
    <m/>
    <m/>
    <x v="1"/>
    <x v="3"/>
  </r>
  <r>
    <d v="2026-05-25T08:10:00"/>
    <d v="2026-05-25T08:20:00"/>
    <n v="0.16666666651144624"/>
    <n v="1152.0000010728836"/>
    <x v="1"/>
    <s v="05"/>
    <m/>
    <s v="P-26145/01"/>
    <s v="Envase"/>
    <n v="192"/>
    <s v="FBBS0005"/>
    <s v="BODY SPLASH ROSE MIRAGE 200ML"/>
    <n v="200"/>
    <s v="ml"/>
    <x v="21"/>
    <x v="1"/>
    <s v="BODY SPLASH"/>
    <x v="1"/>
    <m/>
    <m/>
    <m/>
    <m/>
    <m/>
    <m/>
    <m/>
    <m/>
    <m/>
    <m/>
    <m/>
    <m/>
    <m/>
    <m/>
    <m/>
    <m/>
    <m/>
    <m/>
    <m/>
    <d v="2026-05-25T08:05:00"/>
    <d v="2026-05-25T08:10:00"/>
    <d v="1899-12-30T00:05:00"/>
    <m/>
    <m/>
    <m/>
    <m/>
    <m/>
    <m/>
    <m/>
    <m/>
    <m/>
    <m/>
    <m/>
    <x v="1"/>
    <x v="3"/>
  </r>
  <r>
    <d v="2026-05-25T09:06:00"/>
    <d v="2026-05-25T16:11:00"/>
    <n v="6.0833333333721384"/>
    <n v="812.71232876193903"/>
    <x v="1"/>
    <s v="05"/>
    <m/>
    <s v="26145/02"/>
    <s v="Envase"/>
    <n v="4944"/>
    <s v="FBBS0005"/>
    <s v="BODY SPLASH ROSE MIRAGE 200ML"/>
    <n v="200"/>
    <s v="ml"/>
    <x v="21"/>
    <x v="1"/>
    <s v="BODY SPLASH"/>
    <x v="1"/>
    <m/>
    <m/>
    <m/>
    <m/>
    <m/>
    <m/>
    <m/>
    <m/>
    <m/>
    <m/>
    <m/>
    <m/>
    <m/>
    <m/>
    <m/>
    <m/>
    <m/>
    <m/>
    <m/>
    <d v="2026-05-25T09:00:00"/>
    <d v="2026-05-25T09:05:00"/>
    <d v="1899-12-30T00:05:00"/>
    <d v="2026-05-25T08:20:00"/>
    <d v="2026-05-25T09:06:00"/>
    <s v="AGUARDANDO LIBERAÇÃO DE PRODUTO"/>
    <d v="2026-05-25T11:31:00"/>
    <d v="2026-05-25T13:00:00"/>
    <s v="RETRABALHO DO ROTULO"/>
    <d v="2026-05-25T11:32:00"/>
    <d v="2026-05-25T13:00:00"/>
    <s v="FALTOU FRASCO ROTULADO"/>
    <m/>
    <m/>
    <x v="1"/>
    <x v="3"/>
  </r>
  <r>
    <d v="2026-05-25T11:55:00"/>
    <d v="2026-05-26T08:28:00"/>
    <n v="5.5500000000465661"/>
    <n v="821.62162161472793"/>
    <x v="2"/>
    <s v="0008"/>
    <m/>
    <s v="26141/01"/>
    <s v="Envase"/>
    <n v="4560"/>
    <s v="MRARBS07"/>
    <s v="BODY SPLASH LEAO DO DESERTO BOURBON 200ml"/>
    <n v="215"/>
    <s v="ml"/>
    <x v="0"/>
    <x v="1"/>
    <s v="BODY SPLASH"/>
    <x v="1"/>
    <m/>
    <m/>
    <m/>
    <m/>
    <n v="37"/>
    <m/>
    <m/>
    <m/>
    <m/>
    <m/>
    <m/>
    <m/>
    <m/>
    <m/>
    <m/>
    <m/>
    <m/>
    <m/>
    <m/>
    <d v="2026-05-25T11:50:00"/>
    <d v="2026-05-25T11:52:00"/>
    <d v="1899-12-30T00:02:00"/>
    <d v="2026-05-26T08:00:00"/>
    <m/>
    <s v="AGUARDANDO DESCER PRODUTO"/>
    <m/>
    <m/>
    <m/>
    <m/>
    <m/>
    <m/>
    <m/>
    <m/>
    <x v="1"/>
    <x v="3"/>
  </r>
  <r>
    <d v="2026-05-25T16:11:00"/>
    <d v="2026-05-26T10:27:00"/>
    <n v="4.2666666667792015"/>
    <n v="896.95312497634256"/>
    <x v="1"/>
    <s v="05"/>
    <m/>
    <s v="26145/03"/>
    <s v="Envase"/>
    <n v="3827"/>
    <s v="FBBS0005"/>
    <s v="BODY SPLASH ROSE MIRAGE 200ML"/>
    <n v="200"/>
    <s v="ml"/>
    <x v="21"/>
    <x v="1"/>
    <s v="BODY SPLASH"/>
    <x v="1"/>
    <m/>
    <m/>
    <m/>
    <m/>
    <m/>
    <m/>
    <m/>
    <m/>
    <m/>
    <m/>
    <m/>
    <m/>
    <m/>
    <m/>
    <m/>
    <m/>
    <m/>
    <m/>
    <m/>
    <d v="2026-05-25T16:10:00"/>
    <d v="2026-05-25T16:11:00"/>
    <d v="1899-12-30T00:01:00"/>
    <d v="2026-05-26T07:26:00"/>
    <d v="2026-05-26T07:33:00"/>
    <s v="AGUARDANDO FRASCO"/>
    <n v="46168.367361111108"/>
    <m/>
    <s v="MANUTENÇÃO DE MÁQUINA"/>
    <m/>
    <m/>
    <m/>
    <m/>
    <m/>
    <x v="1"/>
    <x v="3"/>
  </r>
  <r>
    <d v="2026-05-26T08:28:00"/>
    <d v="2026-05-26T10:40:00"/>
    <n v="2.2000000000116415"/>
    <n v="718.63636363256091"/>
    <x v="2"/>
    <s v="0008"/>
    <m/>
    <s v="26141/02"/>
    <s v="Envase"/>
    <n v="1581"/>
    <s v="MRARBS07"/>
    <s v="BODY SPLASH LEAO DO DESERTO BOURBON 200ml"/>
    <n v="215"/>
    <s v="ml"/>
    <x v="0"/>
    <x v="1"/>
    <s v="BODY SPLASH"/>
    <x v="1"/>
    <m/>
    <m/>
    <m/>
    <m/>
    <m/>
    <m/>
    <m/>
    <m/>
    <m/>
    <m/>
    <m/>
    <m/>
    <m/>
    <m/>
    <m/>
    <m/>
    <m/>
    <m/>
    <m/>
    <d v="2026-05-26T08:20:00"/>
    <d v="2026-05-26T08:27:00"/>
    <d v="1899-12-30T00:07:00"/>
    <m/>
    <m/>
    <m/>
    <m/>
    <m/>
    <m/>
    <m/>
    <m/>
    <m/>
    <m/>
    <m/>
    <x v="1"/>
    <x v="3"/>
  </r>
  <r>
    <d v="2026-05-26T11:01:00"/>
    <d v="2026-05-26T16:55:00"/>
    <n v="4.9000000000232831"/>
    <n v="920.81632652623682"/>
    <x v="2"/>
    <s v="0008"/>
    <m/>
    <s v="26146/01"/>
    <s v="Envase"/>
    <n v="4512"/>
    <s v="MRARBS06"/>
    <s v="BODY SPLASH CEU INFINITO 200ml"/>
    <n v="215"/>
    <s v="ml"/>
    <x v="0"/>
    <x v="1"/>
    <s v="BODY SPLASH"/>
    <x v="1"/>
    <m/>
    <m/>
    <m/>
    <m/>
    <m/>
    <m/>
    <m/>
    <m/>
    <m/>
    <m/>
    <m/>
    <m/>
    <m/>
    <m/>
    <m/>
    <m/>
    <m/>
    <m/>
    <m/>
    <m/>
    <m/>
    <s v=""/>
    <m/>
    <m/>
    <m/>
    <m/>
    <m/>
    <m/>
    <m/>
    <m/>
    <m/>
    <m/>
    <m/>
    <x v="1"/>
    <x v="3"/>
  </r>
  <r>
    <d v="2026-05-26T13:00:00"/>
    <d v="2026-05-27T07:30:00"/>
    <n v="4.500000000174623"/>
    <n v="970.66666662899979"/>
    <x v="1"/>
    <s v="05"/>
    <m/>
    <s v="26146/02"/>
    <s v="Envase"/>
    <n v="4368"/>
    <s v="FBBS0006"/>
    <s v="BODY SPLASH ROUGE OUT 200ML"/>
    <n v="200"/>
    <s v="ml"/>
    <x v="21"/>
    <x v="1"/>
    <s v="BODY SPLASH"/>
    <x v="1"/>
    <m/>
    <m/>
    <m/>
    <m/>
    <m/>
    <m/>
    <m/>
    <m/>
    <m/>
    <m/>
    <m/>
    <m/>
    <m/>
    <m/>
    <m/>
    <m/>
    <m/>
    <m/>
    <m/>
    <m/>
    <m/>
    <s v=""/>
    <m/>
    <m/>
    <m/>
    <m/>
    <m/>
    <m/>
    <m/>
    <m/>
    <m/>
    <m/>
    <m/>
    <x v="1"/>
    <x v="3"/>
  </r>
  <r>
    <d v="2026-05-27T07:30:00"/>
    <d v="2026-05-27T10:12:00"/>
    <n v="2.7000000000698492"/>
    <n v="746.66666664735033"/>
    <x v="2"/>
    <s v="0008"/>
    <m/>
    <s v="26148/01"/>
    <s v="Envase"/>
    <n v="2016"/>
    <s v="MRARBS06"/>
    <s v="BODY SPLASH CEU INFINITO 200ml"/>
    <n v="215"/>
    <s v="ml"/>
    <x v="0"/>
    <x v="1"/>
    <s v="BODY SPLASH"/>
    <x v="1"/>
    <m/>
    <m/>
    <m/>
    <m/>
    <m/>
    <m/>
    <m/>
    <m/>
    <m/>
    <m/>
    <m/>
    <m/>
    <m/>
    <m/>
    <m/>
    <m/>
    <m/>
    <m/>
    <m/>
    <m/>
    <m/>
    <s v=""/>
    <d v="2026-05-27T07:20:00"/>
    <d v="2026-05-27T08:50:00"/>
    <s v="ROTULAGEM MANUAL"/>
    <m/>
    <m/>
    <m/>
    <m/>
    <m/>
    <m/>
    <m/>
    <m/>
    <x v="1"/>
    <x v="3"/>
  </r>
  <r>
    <d v="2026-05-27T07:30:00"/>
    <d v="2026-05-27T13:45:00"/>
    <n v="5.2499999999417923"/>
    <n v="927.42857143885396"/>
    <x v="1"/>
    <s v="05"/>
    <m/>
    <s v="26147/03"/>
    <s v="Envase"/>
    <n v="4869"/>
    <s v="FBBS0006"/>
    <s v="BODY SPLASH ROUGE OUT 200ML"/>
    <n v="200"/>
    <s v="ml"/>
    <x v="21"/>
    <x v="1"/>
    <s v="BODY SPLASH"/>
    <x v="1"/>
    <m/>
    <m/>
    <m/>
    <m/>
    <m/>
    <m/>
    <m/>
    <m/>
    <m/>
    <m/>
    <m/>
    <m/>
    <m/>
    <m/>
    <m/>
    <m/>
    <m/>
    <m/>
    <m/>
    <m/>
    <m/>
    <s v=""/>
    <d v="2026-05-27T07:15:00"/>
    <d v="2026-05-27T08:32:00"/>
    <s v="NÃO ESTAVA SENDO FILTRADO"/>
    <m/>
    <m/>
    <m/>
    <m/>
    <m/>
    <m/>
    <m/>
    <m/>
    <x v="1"/>
    <x v="3"/>
  </r>
  <r>
    <d v="2026-05-27T10:13:00"/>
    <d v="2026-05-27T16:10:00"/>
    <n v="4.9500000000116415"/>
    <n v="901.81818181606093"/>
    <x v="2"/>
    <s v="0008"/>
    <m/>
    <s v="26147/01"/>
    <s v="Envase"/>
    <n v="4464"/>
    <s v="MRARBS06"/>
    <s v="BODY SPLASH CEU INFINITO 200ml"/>
    <n v="215"/>
    <s v="ml"/>
    <x v="0"/>
    <x v="1"/>
    <s v="BODY SPLASH"/>
    <x v="1"/>
    <m/>
    <m/>
    <m/>
    <m/>
    <m/>
    <m/>
    <m/>
    <m/>
    <m/>
    <m/>
    <m/>
    <m/>
    <m/>
    <m/>
    <m/>
    <m/>
    <m/>
    <m/>
    <m/>
    <m/>
    <m/>
    <s v=""/>
    <m/>
    <m/>
    <m/>
    <m/>
    <m/>
    <m/>
    <m/>
    <m/>
    <m/>
    <m/>
    <m/>
    <x v="1"/>
    <x v="3"/>
  </r>
  <r>
    <d v="2026-05-27T14:05:00"/>
    <d v="2026-05-28T08:27:00"/>
    <n v="4.3666666667559184"/>
    <n v="1121.2213740228844"/>
    <x v="1"/>
    <s v="0006"/>
    <m/>
    <s v="26147/04"/>
    <s v="Envase"/>
    <n v="4896"/>
    <s v="MRARBS05"/>
    <s v="BODY SPLASH FORÇA DO LEAO"/>
    <n v="220"/>
    <s v="ml"/>
    <x v="0"/>
    <x v="1"/>
    <s v="BODY SPLASH"/>
    <x v="1"/>
    <m/>
    <m/>
    <m/>
    <m/>
    <m/>
    <m/>
    <m/>
    <m/>
    <m/>
    <m/>
    <m/>
    <m/>
    <m/>
    <m/>
    <m/>
    <m/>
    <m/>
    <m/>
    <m/>
    <d v="2026-05-27T13:45:00"/>
    <d v="2026-05-27T13:50:00"/>
    <d v="1899-12-30T00:05:00"/>
    <m/>
    <m/>
    <m/>
    <m/>
    <m/>
    <m/>
    <m/>
    <m/>
    <m/>
    <m/>
    <m/>
    <x v="1"/>
    <x v="3"/>
  </r>
  <r>
    <d v="2026-05-27T16:23:00"/>
    <d v="2026-05-28T10:15:00"/>
    <n v="3.8666666668723337"/>
    <n v="1124.2241378712372"/>
    <x v="2"/>
    <s v="0008"/>
    <m/>
    <s v="26147/02"/>
    <s v="Envase"/>
    <n v="4347"/>
    <s v="MRARBS06"/>
    <s v="BODY SPLASH CEU INFINITO 200ml"/>
    <n v="215"/>
    <s v="ml"/>
    <x v="0"/>
    <x v="1"/>
    <s v="BODY SPLASH"/>
    <x v="1"/>
    <m/>
    <m/>
    <m/>
    <m/>
    <m/>
    <m/>
    <m/>
    <m/>
    <m/>
    <m/>
    <m/>
    <m/>
    <m/>
    <m/>
    <m/>
    <m/>
    <m/>
    <m/>
    <m/>
    <m/>
    <m/>
    <s v=""/>
    <m/>
    <m/>
    <m/>
    <m/>
    <m/>
    <m/>
    <m/>
    <m/>
    <m/>
    <m/>
    <m/>
    <x v="1"/>
    <x v="3"/>
  </r>
  <r>
    <d v="2026-05-28T08:40:00"/>
    <d v="2026-05-28T15:30:00"/>
    <n v="5.8333333334303461"/>
    <n v="791.48571427255126"/>
    <x v="1"/>
    <s v="0006"/>
    <m/>
    <s v="26148/03"/>
    <s v="Envase"/>
    <n v="4617"/>
    <s v="MRARBS05"/>
    <s v="BODY SPLASH FORÇA DO LEAO"/>
    <n v="220"/>
    <s v="ml"/>
    <x v="0"/>
    <x v="1"/>
    <s v="BODY SPLASH"/>
    <x v="1"/>
    <m/>
    <m/>
    <m/>
    <m/>
    <m/>
    <m/>
    <m/>
    <m/>
    <m/>
    <m/>
    <m/>
    <m/>
    <m/>
    <m/>
    <m/>
    <m/>
    <m/>
    <m/>
    <m/>
    <d v="2026-05-28T08:30:00"/>
    <d v="2026-05-28T08:35:00"/>
    <d v="1899-12-30T00:05:00"/>
    <m/>
    <m/>
    <m/>
    <m/>
    <m/>
    <m/>
    <m/>
    <m/>
    <m/>
    <m/>
    <m/>
    <x v="1"/>
    <x v="3"/>
  </r>
  <r>
    <d v="2026-05-28T10:10:00"/>
    <d v="2026-05-28T17:30:00"/>
    <n v="6.3333333333139308"/>
    <n v="697.26315789687294"/>
    <x v="2"/>
    <s v="0008"/>
    <m/>
    <s v="26147/05"/>
    <s v="Envase"/>
    <n v="4416"/>
    <s v="MRARBS10"/>
    <s v="BODY SPLASH AMBAR REAL 200ml"/>
    <n v="215"/>
    <s v="ml"/>
    <x v="0"/>
    <x v="1"/>
    <s v="BODY SPLASH"/>
    <x v="1"/>
    <m/>
    <m/>
    <m/>
    <m/>
    <m/>
    <m/>
    <m/>
    <m/>
    <m/>
    <m/>
    <m/>
    <m/>
    <m/>
    <m/>
    <m/>
    <m/>
    <m/>
    <m/>
    <m/>
    <d v="2026-05-28T10:00:00"/>
    <d v="2026-05-28T10:05:00"/>
    <d v="1899-12-30T00:05:00"/>
    <m/>
    <m/>
    <m/>
    <m/>
    <m/>
    <m/>
    <m/>
    <m/>
    <m/>
    <m/>
    <m/>
    <x v="1"/>
    <x v="3"/>
  </r>
  <r>
    <d v="2026-05-29T17:30:00"/>
    <d v="2026-05-29T18:57:00"/>
    <n v="1.4500000000116415"/>
    <n v="309.65517241130698"/>
    <x v="1"/>
    <s v="FABIANO 22/01/26"/>
    <m/>
    <s v="P-26148/10"/>
    <s v="Envase"/>
    <n v="449"/>
    <s v="WKBS0005"/>
    <s v="BODY SPLASH CLAIRE 120ml"/>
    <n v="120"/>
    <s v="ml"/>
    <x v="20"/>
    <x v="1"/>
    <s v="BODY SPLASH"/>
    <x v="1"/>
    <m/>
    <m/>
    <m/>
    <m/>
    <m/>
    <m/>
    <m/>
    <m/>
    <m/>
    <m/>
    <m/>
    <m/>
    <m/>
    <m/>
    <m/>
    <m/>
    <m/>
    <m/>
    <m/>
    <d v="2026-05-29T17:00:00"/>
    <d v="2026-05-29T17:20:00"/>
    <d v="1899-12-30T00:20:00"/>
    <m/>
    <m/>
    <m/>
    <m/>
    <m/>
    <m/>
    <m/>
    <m/>
    <m/>
    <m/>
    <m/>
    <x v="1"/>
    <x v="3"/>
  </r>
  <r>
    <d v="2026-05-28T15:35:00"/>
    <d v="2026-05-29T18:55:00"/>
    <n v="17.333333333372138"/>
    <n v="143.88461538429326"/>
    <x v="2"/>
    <s v="0008"/>
    <m/>
    <s v="26149/01"/>
    <s v="Envase"/>
    <n v="2494"/>
    <s v="MRARBS10"/>
    <s v="BODY SPLASH AMBAR REAL 200ml"/>
    <n v="215"/>
    <s v="ml"/>
    <x v="0"/>
    <x v="1"/>
    <s v="BODY SPLASH"/>
    <x v="1"/>
    <m/>
    <m/>
    <m/>
    <m/>
    <m/>
    <m/>
    <m/>
    <m/>
    <m/>
    <m/>
    <m/>
    <m/>
    <m/>
    <m/>
    <m/>
    <m/>
    <m/>
    <m/>
    <m/>
    <d v="2026-05-29T15:15:00"/>
    <d v="2026-05-29T15:15:00"/>
    <d v="1899-12-30T00:00:00"/>
    <m/>
    <m/>
    <m/>
    <m/>
    <m/>
    <m/>
    <m/>
    <m/>
    <m/>
    <m/>
    <m/>
    <x v="1"/>
    <x v="3"/>
  </r>
  <r>
    <d v="2026-05-29T09:18:00"/>
    <d v="2026-05-29T15:11:00"/>
    <n v="4.8833333334769122"/>
    <n v="871.94539246583076"/>
    <x v="2"/>
    <s v="0008"/>
    <m/>
    <s v="26148/09"/>
    <s v="Envase"/>
    <n v="4258"/>
    <s v="MRARBS10"/>
    <s v="BODY SPLASH AMBAR REAL 200ml"/>
    <n v="215"/>
    <s v="ml"/>
    <x v="0"/>
    <x v="1"/>
    <s v="BODY SPLASH"/>
    <x v="1"/>
    <m/>
    <m/>
    <m/>
    <m/>
    <m/>
    <m/>
    <m/>
    <m/>
    <m/>
    <m/>
    <m/>
    <m/>
    <m/>
    <m/>
    <m/>
    <m/>
    <m/>
    <m/>
    <m/>
    <d v="2026-05-29T09:15:00"/>
    <d v="2026-05-29T09:16:00"/>
    <d v="1899-12-30T00:01:00"/>
    <m/>
    <m/>
    <m/>
    <m/>
    <m/>
    <m/>
    <m/>
    <m/>
    <m/>
    <m/>
    <m/>
    <x v="1"/>
    <x v="3"/>
  </r>
  <r>
    <d v="2026-05-29T15:37:00"/>
    <d v="2026-05-29T16:58:00"/>
    <n v="0.38333333336049691"/>
    <n v="2436.5217389577792"/>
    <x v="1"/>
    <s v="0006"/>
    <m/>
    <s v="26139/04"/>
    <s v="Envase"/>
    <n v="934"/>
    <s v="MRARBS05"/>
    <s v="BODY SPLASH FORÇA DO LEAO"/>
    <n v="220"/>
    <s v="ml"/>
    <x v="0"/>
    <x v="1"/>
    <s v="BODY SPLASH"/>
    <x v="1"/>
    <m/>
    <m/>
    <m/>
    <m/>
    <m/>
    <m/>
    <m/>
    <m/>
    <m/>
    <m/>
    <m/>
    <m/>
    <m/>
    <m/>
    <m/>
    <m/>
    <m/>
    <m/>
    <m/>
    <d v="2026-05-29T15:30:00"/>
    <d v="2026-05-29T15:31:00"/>
    <d v="1899-12-30T00:01:00"/>
    <m/>
    <m/>
    <m/>
    <m/>
    <m/>
    <m/>
    <m/>
    <m/>
    <m/>
    <m/>
    <m/>
    <x v="1"/>
    <x v="3"/>
  </r>
  <r>
    <d v="2026-05-28T15:35:00"/>
    <d v="2026-05-29T06:50:00"/>
    <n v="1.4166666667442769"/>
    <n v="3354.3529409927069"/>
    <x v="1"/>
    <s v="0006"/>
    <m/>
    <s v="26148/04"/>
    <s v="Envase"/>
    <n v="4752"/>
    <s v="MRARBS05"/>
    <s v="BODY SPLASH FORÇA DO LEAO"/>
    <n v="220"/>
    <s v="ml"/>
    <x v="0"/>
    <x v="1"/>
    <s v="BODY SPLASH"/>
    <x v="1"/>
    <m/>
    <m/>
    <m/>
    <m/>
    <m/>
    <m/>
    <m/>
    <m/>
    <m/>
    <m/>
    <m/>
    <m/>
    <m/>
    <m/>
    <m/>
    <m/>
    <m/>
    <m/>
    <m/>
    <d v="2026-05-28T15:30:00"/>
    <d v="2026-05-28T15:35:00"/>
    <d v="1899-12-30T00:05:00"/>
    <m/>
    <m/>
    <m/>
    <m/>
    <m/>
    <m/>
    <m/>
    <m/>
    <m/>
    <m/>
    <m/>
    <x v="1"/>
    <x v="3"/>
  </r>
  <r>
    <d v="2026-05-29T20:47:00"/>
    <d v="2026-06-01T10:40:00"/>
    <n v="4.8833333333604969"/>
    <n v="933.78839589924269"/>
    <x v="2"/>
    <s v="0008"/>
    <m/>
    <s v="26152/01"/>
    <s v="Envase"/>
    <n v="4560"/>
    <s v="MRARBS08"/>
    <s v="BODY SPLASH CEU CELESTE 200ml"/>
    <n v="215"/>
    <s v="ml"/>
    <x v="0"/>
    <x v="1"/>
    <s v="BODY SPLASH"/>
    <x v="1"/>
    <m/>
    <m/>
    <m/>
    <m/>
    <m/>
    <m/>
    <m/>
    <m/>
    <m/>
    <m/>
    <m/>
    <m/>
    <m/>
    <m/>
    <m/>
    <m/>
    <m/>
    <m/>
    <m/>
    <d v="2026-05-29T20:40:00"/>
    <d v="2026-05-29T20:47:00"/>
    <d v="1899-12-30T00:07:00"/>
    <d v="2026-06-01T10:15:00"/>
    <d v="2026-06-01T10:35:00"/>
    <s v="ARRUMAR ROTULO"/>
    <m/>
    <m/>
    <m/>
    <m/>
    <m/>
    <m/>
    <m/>
    <m/>
    <x v="1"/>
    <x v="3"/>
  </r>
  <r>
    <d v="2026-06-01T17:50:00"/>
    <d v="2026-06-01T21:15:00"/>
    <n v="3.4166666666278616"/>
    <n v="486.1463414689361"/>
    <x v="2"/>
    <s v="0008"/>
    <m/>
    <s v="26152/03"/>
    <s v="Envase"/>
    <n v="1661"/>
    <s v="MRARBS08"/>
    <s v="BODY SPLASH CEU CELESTE 200ml"/>
    <n v="215"/>
    <s v="ml"/>
    <x v="0"/>
    <x v="1"/>
    <s v="BODY SPLASH"/>
    <x v="1"/>
    <m/>
    <m/>
    <m/>
    <m/>
    <m/>
    <m/>
    <m/>
    <m/>
    <m/>
    <m/>
    <m/>
    <m/>
    <m/>
    <m/>
    <m/>
    <m/>
    <m/>
    <m/>
    <m/>
    <d v="2026-06-01T17:43:00"/>
    <d v="2026-06-01T17:50:00"/>
    <d v="1899-12-30T00:07:00"/>
    <m/>
    <m/>
    <m/>
    <m/>
    <m/>
    <m/>
    <m/>
    <m/>
    <m/>
    <m/>
    <m/>
    <x v="1"/>
    <x v="4"/>
  </r>
  <r>
    <d v="2026-06-01T10:40:00"/>
    <d v="2026-06-01T17:43:00"/>
    <n v="6.0499999999301508"/>
    <n v="761.652892570777"/>
    <x v="2"/>
    <s v="0008"/>
    <m/>
    <s v="26152/02"/>
    <s v="Envase"/>
    <n v="4608"/>
    <s v="MRARBS08"/>
    <s v="BODY SPLASH CEU CELESTE 200ml"/>
    <n v="215"/>
    <s v="ml"/>
    <x v="0"/>
    <x v="1"/>
    <s v="BODY SPLASH"/>
    <x v="1"/>
    <m/>
    <m/>
    <m/>
    <m/>
    <m/>
    <m/>
    <m/>
    <m/>
    <m/>
    <m/>
    <m/>
    <m/>
    <m/>
    <m/>
    <m/>
    <m/>
    <m/>
    <m/>
    <m/>
    <d v="2026-06-01T10:32:00"/>
    <d v="2026-06-01T10:35:00"/>
    <d v="1899-12-30T00:03:00"/>
    <d v="2026-06-01T12:50:00"/>
    <d v="2026-06-01T13:00:00"/>
    <s v="REGULAGEM DE MÁQUINA"/>
    <m/>
    <m/>
    <m/>
    <m/>
    <m/>
    <m/>
    <m/>
    <m/>
    <x v="1"/>
    <x v="4"/>
  </r>
  <r>
    <d v="2026-05-08T11:05:00"/>
    <d v="2026-05-08T16:53:00"/>
    <n v="3.9166666666278616"/>
    <n v="743.23404256055517"/>
    <x v="1"/>
    <s v="FABIANO 06/02/26"/>
    <m/>
    <s v="P-26061/05"/>
    <s v="Envase"/>
    <n v="2911"/>
    <s v="WKBM0001"/>
    <s v="BRUMA MATTE #ENTREGOUTUDOO 120ml"/>
    <n v="120"/>
    <s v="ml"/>
    <x v="20"/>
    <x v="4"/>
    <s v="BRUMA"/>
    <x v="1"/>
    <m/>
    <m/>
    <m/>
    <m/>
    <m/>
    <m/>
    <m/>
    <m/>
    <m/>
    <m/>
    <m/>
    <m/>
    <m/>
    <m/>
    <m/>
    <m/>
    <m/>
    <m/>
    <m/>
    <d v="2026-05-08T11:00:00"/>
    <d v="2026-05-08T11:05:00"/>
    <d v="1899-12-30T00:05:00"/>
    <m/>
    <m/>
    <m/>
    <m/>
    <m/>
    <m/>
    <m/>
    <m/>
    <m/>
    <m/>
    <m/>
    <x v="1"/>
    <x v="3"/>
  </r>
  <r>
    <d v="2026-04-07T08:45:00"/>
    <d v="2026-04-07T11:54:00"/>
    <n v="3.1499999999650754"/>
    <n v="847.30158731098152"/>
    <x v="2"/>
    <s v="PROG 01 25/03/26"/>
    <m/>
    <s v="26097/07"/>
    <s v="Envase"/>
    <n v="2669"/>
    <s v="MRARBS01"/>
    <s v="BODY SPLASH AURORA IMPERIAL"/>
    <n v="220"/>
    <s v="ml"/>
    <x v="0"/>
    <x v="1"/>
    <s v="BODY SPLASH"/>
    <x v="1"/>
    <m/>
    <m/>
    <m/>
    <m/>
    <m/>
    <m/>
    <m/>
    <m/>
    <m/>
    <m/>
    <m/>
    <m/>
    <m/>
    <m/>
    <m/>
    <m/>
    <m/>
    <m/>
    <m/>
    <m/>
    <m/>
    <s v=""/>
    <m/>
    <m/>
    <m/>
    <m/>
    <m/>
    <m/>
    <m/>
    <m/>
    <m/>
    <m/>
    <m/>
    <x v="1"/>
    <x v="2"/>
  </r>
  <r>
    <d v="2026-04-07T11:54:00"/>
    <d v="2026-04-07T16:00:00"/>
    <n v="3.0999999999185093"/>
    <n v="852.90322582887211"/>
    <x v="2"/>
    <s v="PROG 01 25/03/26"/>
    <m/>
    <s v="26097/08"/>
    <s v="Envase"/>
    <n v="2644"/>
    <s v="MRARBS01"/>
    <s v="BODY SPLASH AURORA IMPERIAL"/>
    <n v="220"/>
    <s v="ml"/>
    <x v="0"/>
    <x v="1"/>
    <s v="BODY SPLASH"/>
    <x v="1"/>
    <m/>
    <m/>
    <m/>
    <m/>
    <m/>
    <m/>
    <m/>
    <m/>
    <m/>
    <m/>
    <m/>
    <m/>
    <m/>
    <m/>
    <m/>
    <m/>
    <m/>
    <m/>
    <m/>
    <m/>
    <m/>
    <s v=""/>
    <m/>
    <m/>
    <m/>
    <m/>
    <m/>
    <m/>
    <m/>
    <m/>
    <m/>
    <m/>
    <m/>
    <x v="1"/>
    <x v="2"/>
  </r>
  <r>
    <d v="2026-05-08T15:04:00"/>
    <d v="2026-05-11T09:00:00"/>
    <n v="2.9333333332906477"/>
    <n v="368.18181818717591"/>
    <x v="1"/>
    <s v="FABIANO 06/02/26"/>
    <m/>
    <s v="26131/01"/>
    <s v="Envase"/>
    <n v="1080"/>
    <s v="WKBM0001"/>
    <s v="BRUMA MATTE #ENTREGOUTUDOO 120ml"/>
    <n v="120"/>
    <s v="ml"/>
    <x v="20"/>
    <x v="4"/>
    <s v="BRUMA"/>
    <x v="1"/>
    <m/>
    <m/>
    <m/>
    <m/>
    <m/>
    <m/>
    <m/>
    <m/>
    <m/>
    <m/>
    <m/>
    <m/>
    <m/>
    <m/>
    <m/>
    <m/>
    <m/>
    <m/>
    <m/>
    <d v="2026-05-08T15:00:00"/>
    <d v="2026-05-08T15:03:00"/>
    <d v="1899-12-30T00:03:00"/>
    <d v="2026-05-08T14:59:00"/>
    <m/>
    <s v="LIBERAÇÃO DE PRODUTO"/>
    <m/>
    <m/>
    <m/>
    <m/>
    <m/>
    <m/>
    <m/>
    <m/>
    <x v="1"/>
    <x v="3"/>
  </r>
  <r>
    <d v="2026-06-01T15:40:00"/>
    <d v="2026-06-02T08:42:00"/>
    <n v="3.0333333334419876"/>
    <n v="2204.8351647561876"/>
    <x v="1"/>
    <s v="FABIANO 22/01/26"/>
    <m/>
    <s v="26149/02"/>
    <s v="Envase"/>
    <n v="6688"/>
    <s v="WKBS0005"/>
    <s v="BODY SPLASH CLAIRE 120ml"/>
    <n v="120"/>
    <s v="ml"/>
    <x v="20"/>
    <x v="1"/>
    <s v="BODY SPLASH"/>
    <x v="1"/>
    <m/>
    <m/>
    <m/>
    <m/>
    <n v="250"/>
    <m/>
    <m/>
    <m/>
    <m/>
    <m/>
    <m/>
    <m/>
    <m/>
    <m/>
    <m/>
    <m/>
    <m/>
    <m/>
    <m/>
    <d v="2026-06-01T15:30:00"/>
    <d v="2026-06-01T15:40:00"/>
    <d v="1899-12-30T00:10:00"/>
    <m/>
    <m/>
    <m/>
    <m/>
    <m/>
    <m/>
    <m/>
    <m/>
    <m/>
    <m/>
    <m/>
    <x v="1"/>
    <x v="4"/>
  </r>
  <r>
    <d v="2026-06-02T09:05:00"/>
    <d v="2026-06-02T09:22:00"/>
    <n v="0.28333333338377997"/>
    <n v="847.05882337859555"/>
    <x v="1"/>
    <s v="FABIANO 22/01/26"/>
    <m/>
    <s v="P-26154/04"/>
    <s v="Envase"/>
    <n v="240"/>
    <s v="WKBS0001"/>
    <s v="BODY SPLASH DESERTO DOURADO 120ml"/>
    <n v="120"/>
    <s v="ml"/>
    <x v="20"/>
    <x v="1"/>
    <s v="BODY SPLASH"/>
    <x v="1"/>
    <m/>
    <m/>
    <m/>
    <m/>
    <m/>
    <m/>
    <m/>
    <m/>
    <m/>
    <m/>
    <m/>
    <m/>
    <m/>
    <m/>
    <m/>
    <m/>
    <m/>
    <m/>
    <m/>
    <d v="2026-06-02T08:50:00"/>
    <d v="2026-06-02T09:00:00"/>
    <d v="1899-12-30T00:10:00"/>
    <m/>
    <m/>
    <m/>
    <m/>
    <m/>
    <m/>
    <m/>
    <m/>
    <m/>
    <m/>
    <m/>
    <x v="1"/>
    <x v="4"/>
  </r>
  <r>
    <d v="2026-06-01T21:22:00"/>
    <d v="2026-06-02T10:03:00"/>
    <n v="3.6833333332906477"/>
    <n v="1146.7873303300321"/>
    <x v="2"/>
    <s v="0008"/>
    <m/>
    <s v="26154/01"/>
    <s v="Envase"/>
    <n v="4224"/>
    <s v="MRARBS12"/>
    <s v="BODY SPLASH FLOR D AURA 200ml"/>
    <n v="215"/>
    <s v="ml"/>
    <x v="0"/>
    <x v="1"/>
    <s v="BODY SPLASH"/>
    <x v="1"/>
    <m/>
    <m/>
    <m/>
    <m/>
    <m/>
    <m/>
    <m/>
    <m/>
    <m/>
    <m/>
    <m/>
    <m/>
    <m/>
    <m/>
    <m/>
    <m/>
    <m/>
    <m/>
    <m/>
    <d v="2026-06-01T21:00:00"/>
    <d v="2026-06-01T21:21:00"/>
    <d v="1899-12-30T00:21:00"/>
    <m/>
    <m/>
    <m/>
    <m/>
    <m/>
    <m/>
    <m/>
    <m/>
    <m/>
    <m/>
    <m/>
    <x v="1"/>
    <x v="4"/>
  </r>
  <r>
    <d v="2026-04-09T11:00:00"/>
    <d v="2026-04-09T15:50:00"/>
    <n v="3.8333333331975155"/>
    <n v="601.04347828216498"/>
    <x v="2"/>
    <s v="PROG 01 25/03/26"/>
    <m/>
    <s v="26098/10"/>
    <s v="Envase"/>
    <n v="2304"/>
    <s v="MRARBS04"/>
    <s v="BODY SPLASH NÉCTAR DAS TAMARAS"/>
    <n v="220"/>
    <s v="ml"/>
    <x v="0"/>
    <x v="1"/>
    <s v="BODY SPLASH"/>
    <x v="1"/>
    <m/>
    <m/>
    <m/>
    <m/>
    <m/>
    <m/>
    <m/>
    <m/>
    <m/>
    <m/>
    <m/>
    <m/>
    <m/>
    <m/>
    <m/>
    <m/>
    <m/>
    <m/>
    <m/>
    <m/>
    <m/>
    <s v=""/>
    <m/>
    <m/>
    <m/>
    <m/>
    <m/>
    <m/>
    <m/>
    <m/>
    <m/>
    <m/>
    <m/>
    <x v="1"/>
    <x v="2"/>
  </r>
  <r>
    <d v="2026-04-08T10:40:00"/>
    <d v="2026-04-08T14:44:00"/>
    <n v="3.0666666666511446"/>
    <n v="876.52173913487138"/>
    <x v="2"/>
    <s v="PROG 01 25/03/26"/>
    <m/>
    <s v="26097/10"/>
    <s v="Envase"/>
    <n v="2688"/>
    <s v="MRARBS04"/>
    <s v="BODY SPLASH NÉCTAR DAS TAMARAS"/>
    <n v="220"/>
    <s v="ml"/>
    <x v="0"/>
    <x v="1"/>
    <s v="BODY SPLASH"/>
    <x v="1"/>
    <m/>
    <m/>
    <m/>
    <m/>
    <m/>
    <m/>
    <m/>
    <m/>
    <m/>
    <m/>
    <m/>
    <m/>
    <m/>
    <m/>
    <m/>
    <m/>
    <m/>
    <m/>
    <m/>
    <m/>
    <m/>
    <s v=""/>
    <d v="2026-04-08T09:40:00"/>
    <d v="2026-04-08T10:31:00"/>
    <s v="RETRABALHO DE PRODUTO"/>
    <m/>
    <m/>
    <m/>
    <m/>
    <m/>
    <m/>
    <m/>
    <m/>
    <x v="1"/>
    <x v="2"/>
  </r>
  <r>
    <d v="2026-06-03T08:50:00"/>
    <d v="2026-06-03T13:10:00"/>
    <n v="3.3333333333139308"/>
    <n v="722.70000000420669"/>
    <x v="2"/>
    <s v="0008"/>
    <m/>
    <s v="26153/02"/>
    <s v="Envase"/>
    <n v="2409"/>
    <s v="MRARBS09"/>
    <s v="BODY SPLASH DESPERTAR DAS FLORES 200ml"/>
    <n v="215"/>
    <s v="ml"/>
    <x v="0"/>
    <x v="1"/>
    <s v="BODY SPLASH"/>
    <x v="1"/>
    <m/>
    <m/>
    <m/>
    <m/>
    <m/>
    <m/>
    <m/>
    <m/>
    <m/>
    <m/>
    <m/>
    <m/>
    <m/>
    <m/>
    <m/>
    <m/>
    <m/>
    <m/>
    <m/>
    <d v="2026-06-03T08:40:00"/>
    <d v="2026-06-03T08:45:00"/>
    <d v="1899-12-30T00:05:00"/>
    <m/>
    <m/>
    <m/>
    <m/>
    <m/>
    <m/>
    <m/>
    <m/>
    <m/>
    <m/>
    <m/>
    <x v="1"/>
    <x v="4"/>
  </r>
  <r>
    <d v="2026-06-02T09:30:00"/>
    <d v="2026-06-02T14:01:00"/>
    <n v="3.5166666665463708"/>
    <n v="2293.0805687988195"/>
    <x v="1"/>
    <s v="FABIANO 22/01/26"/>
    <m/>
    <s v="26154/05"/>
    <s v="Envase"/>
    <n v="8064"/>
    <s v="WKBS0001"/>
    <s v="BODY SPLASH DESERTO DOURADO 120ml"/>
    <n v="120"/>
    <s v="ml"/>
    <x v="20"/>
    <x v="1"/>
    <s v="BODY SPLASH"/>
    <x v="1"/>
    <m/>
    <m/>
    <m/>
    <m/>
    <m/>
    <m/>
    <m/>
    <m/>
    <m/>
    <m/>
    <m/>
    <m/>
    <m/>
    <m/>
    <m/>
    <m/>
    <m/>
    <m/>
    <m/>
    <d v="2026-06-02T09:22:00"/>
    <d v="2026-06-02T09:25:00"/>
    <d v="1899-12-30T00:03:00"/>
    <m/>
    <m/>
    <m/>
    <m/>
    <m/>
    <m/>
    <m/>
    <m/>
    <m/>
    <m/>
    <m/>
    <x v="1"/>
    <x v="4"/>
  </r>
  <r>
    <d v="2026-06-02T10:05:00"/>
    <d v="2026-06-02T13:26:00"/>
    <n v="2.3499999999185093"/>
    <n v="1920.0000000665796"/>
    <x v="2"/>
    <s v="0008"/>
    <m/>
    <s v="26154/02"/>
    <s v="Envase"/>
    <n v="4512"/>
    <s v="MRARBS12"/>
    <s v="BODY SPLASH FLOR D AURA 200ml"/>
    <n v="215"/>
    <s v="ml"/>
    <x v="0"/>
    <x v="1"/>
    <s v="BODY SPLASH"/>
    <x v="1"/>
    <m/>
    <m/>
    <m/>
    <m/>
    <m/>
    <m/>
    <m/>
    <m/>
    <m/>
    <m/>
    <m/>
    <m/>
    <m/>
    <m/>
    <m/>
    <m/>
    <m/>
    <m/>
    <m/>
    <d v="2026-06-02T10:00:00"/>
    <d v="2026-06-02T10:03:00"/>
    <d v="1899-12-30T00:03:00"/>
    <m/>
    <m/>
    <m/>
    <m/>
    <m/>
    <m/>
    <m/>
    <m/>
    <m/>
    <m/>
    <m/>
    <x v="1"/>
    <x v="4"/>
  </r>
  <r>
    <d v="2026-06-02T14:10:00"/>
    <d v="2026-06-02T18:54:00"/>
    <n v="4.7333333332207985"/>
    <n v="673.09859156529865"/>
    <x v="2"/>
    <s v="0008"/>
    <m/>
    <s v="26153/01"/>
    <s v="Envase"/>
    <n v="3186"/>
    <s v="MRARBS09"/>
    <s v="BODY SPLASH DESPERTAR DAS FLORES 200ml"/>
    <n v="215"/>
    <s v="ml"/>
    <x v="0"/>
    <x v="1"/>
    <s v="BODY SPLASH"/>
    <x v="1"/>
    <m/>
    <m/>
    <m/>
    <m/>
    <m/>
    <m/>
    <m/>
    <m/>
    <m/>
    <m/>
    <m/>
    <m/>
    <m/>
    <m/>
    <m/>
    <m/>
    <m/>
    <m/>
    <m/>
    <d v="2026-06-02T14:00:00"/>
    <d v="2026-06-02T14:10:00"/>
    <d v="1899-12-30T00:10:00"/>
    <d v="2026-06-02T15:20:00"/>
    <d v="2026-06-02T15:25:00"/>
    <s v="FALTOU FRASCO"/>
    <m/>
    <m/>
    <m/>
    <m/>
    <m/>
    <m/>
    <m/>
    <m/>
    <x v="1"/>
    <x v="4"/>
  </r>
  <r>
    <d v="2026-06-02T21:05:00"/>
    <d v="2026-06-03T16:50:00"/>
    <n v="9.7500000001164153"/>
    <n v="1024.6153846031507"/>
    <x v="1"/>
    <s v="FABIANO 22/01/26"/>
    <m/>
    <s v="26154/06"/>
    <s v="Envase"/>
    <n v="9990"/>
    <s v="WKBS0001"/>
    <s v="BODY SPLASH DESERTO DOURADO 120ml"/>
    <n v="120"/>
    <s v="ml"/>
    <x v="20"/>
    <x v="1"/>
    <s v="BODY SPLASH"/>
    <x v="1"/>
    <m/>
    <m/>
    <m/>
    <m/>
    <m/>
    <m/>
    <m/>
    <m/>
    <m/>
    <m/>
    <m/>
    <m/>
    <m/>
    <m/>
    <m/>
    <m/>
    <m/>
    <m/>
    <m/>
    <d v="2026-06-02T21:01:00"/>
    <d v="2026-06-02T21:05:00"/>
    <d v="1899-12-30T00:04:00"/>
    <m/>
    <m/>
    <m/>
    <m/>
    <m/>
    <m/>
    <m/>
    <m/>
    <m/>
    <m/>
    <m/>
    <x v="1"/>
    <x v="4"/>
  </r>
  <r>
    <d v="2026-06-01T13:16:00"/>
    <d v="2026-06-03T13:39:00"/>
    <n v="18.383333333593328"/>
    <n v="13.055303716950446"/>
    <x v="2"/>
    <s v="FABIANO 22/01/26"/>
    <m/>
    <s v="P-26154/08"/>
    <s v="Envase"/>
    <n v="240"/>
    <s v="WKBS0006"/>
    <s v="BODY SPLASH IDOLA 120ml"/>
    <n v="120"/>
    <s v="ml"/>
    <x v="20"/>
    <x v="1"/>
    <s v="BODY SPLASH"/>
    <x v="1"/>
    <m/>
    <m/>
    <m/>
    <m/>
    <m/>
    <m/>
    <m/>
    <m/>
    <m/>
    <m/>
    <m/>
    <m/>
    <m/>
    <m/>
    <m/>
    <m/>
    <m/>
    <m/>
    <m/>
    <d v="2026-06-03T13:10:00"/>
    <d v="2026-06-03T13:15:00"/>
    <d v="1899-12-30T00:05:00"/>
    <m/>
    <m/>
    <m/>
    <m/>
    <m/>
    <m/>
    <m/>
    <m/>
    <m/>
    <m/>
    <m/>
    <x v="1"/>
    <x v="4"/>
  </r>
  <r>
    <d v="2026-06-03T13:41:00"/>
    <d v="2026-06-05T13:41:00"/>
    <n v="18.000000000232831"/>
    <n v="389.33333332829727"/>
    <x v="2"/>
    <s v="FABIANO 22/01/26"/>
    <m/>
    <s v="26153/03"/>
    <s v="Envase"/>
    <n v="7008"/>
    <s v="WKBS0006"/>
    <s v="BODY SPLASH IDOLA 120ml"/>
    <n v="120"/>
    <s v="ml"/>
    <x v="20"/>
    <x v="1"/>
    <s v="BODY SPLASH"/>
    <x v="1"/>
    <m/>
    <m/>
    <m/>
    <m/>
    <m/>
    <m/>
    <m/>
    <m/>
    <m/>
    <m/>
    <m/>
    <m/>
    <m/>
    <m/>
    <m/>
    <m/>
    <m/>
    <m/>
    <m/>
    <d v="2026-06-03T13:33:00"/>
    <d v="2026-06-03T13:35:00"/>
    <d v="1899-12-30T00:02:00"/>
    <m/>
    <m/>
    <m/>
    <m/>
    <m/>
    <m/>
    <m/>
    <m/>
    <m/>
    <m/>
    <m/>
    <x v="1"/>
    <x v="4"/>
  </r>
  <r>
    <d v="2026-06-03T17:06:00"/>
    <d v="2026-06-05T10:30:00"/>
    <n v="22.399999999965075"/>
    <n v="347.14285714339837"/>
    <x v="1"/>
    <s v="FABIANO 22/01/26"/>
    <m/>
    <s v="26156/03"/>
    <s v="Envase"/>
    <n v="7776"/>
    <s v="WKBS0002"/>
    <s v="BODY SPLASH JARDIM DO ORIENTE 120ml"/>
    <n v="120"/>
    <s v="ml"/>
    <x v="20"/>
    <x v="1"/>
    <s v="BODY SPLASH"/>
    <x v="1"/>
    <s v="LOTE ROUBADO"/>
    <m/>
    <m/>
    <m/>
    <m/>
    <m/>
    <m/>
    <m/>
    <m/>
    <m/>
    <m/>
    <m/>
    <m/>
    <m/>
    <m/>
    <m/>
    <m/>
    <m/>
    <m/>
    <d v="2026-06-03T16:50:00"/>
    <d v="2026-06-03T16:52:00"/>
    <d v="1899-12-30T00:02:00"/>
    <m/>
    <m/>
    <m/>
    <m/>
    <m/>
    <m/>
    <m/>
    <m/>
    <m/>
    <m/>
    <m/>
    <x v="1"/>
    <x v="4"/>
  </r>
  <r>
    <d v="2026-06-05T08:40:00"/>
    <d v="2026-06-05T20:49:00"/>
    <n v="11.149999999965075"/>
    <n v="744.75336323103227"/>
    <x v="2"/>
    <s v="FABIANO 22/01/26"/>
    <m/>
    <s v="26153/04"/>
    <s v="Envase"/>
    <n v="8304"/>
    <s v="WKBS0006"/>
    <s v="BODY SPLASH IDOLA 120ml"/>
    <n v="120"/>
    <s v="ml"/>
    <x v="20"/>
    <x v="1"/>
    <s v="BODY SPLASH"/>
    <x v="1"/>
    <s v="LOTE ROUBADO"/>
    <m/>
    <m/>
    <m/>
    <m/>
    <m/>
    <m/>
    <m/>
    <m/>
    <m/>
    <m/>
    <m/>
    <m/>
    <m/>
    <m/>
    <m/>
    <m/>
    <m/>
    <m/>
    <d v="2026-06-05T08:39:00"/>
    <d v="2026-06-05T08:40:00"/>
    <d v="1899-12-30T00:01:00"/>
    <m/>
    <m/>
    <m/>
    <m/>
    <m/>
    <m/>
    <m/>
    <m/>
    <m/>
    <m/>
    <m/>
    <x v="1"/>
    <x v="4"/>
  </r>
  <r>
    <d v="2026-06-10T07:15:00"/>
    <d v="2026-06-10T11:01:00"/>
    <n v="3.7666666665463708"/>
    <n v="1006.7256637489659"/>
    <x v="1"/>
    <s v="FABIANO 22/01/26"/>
    <m/>
    <s v="26156/04"/>
    <s v="Envase"/>
    <n v="3792"/>
    <s v="WKBS0002"/>
    <s v="BODY SPLASH JARDIM DO ORIENTE 120ml"/>
    <n v="120"/>
    <s v="ml"/>
    <x v="20"/>
    <x v="1"/>
    <s v="BODY SPLASH"/>
    <x v="1"/>
    <m/>
    <m/>
    <m/>
    <m/>
    <m/>
    <m/>
    <m/>
    <m/>
    <m/>
    <m/>
    <m/>
    <m/>
    <m/>
    <m/>
    <m/>
    <m/>
    <m/>
    <m/>
    <m/>
    <m/>
    <m/>
    <s v=""/>
    <m/>
    <m/>
    <m/>
    <m/>
    <m/>
    <m/>
    <m/>
    <m/>
    <m/>
    <m/>
    <m/>
    <x v="1"/>
    <x v="4"/>
  </r>
  <r>
    <d v="2026-06-10T13:15:00"/>
    <d v="2026-06-10T14:20:00"/>
    <n v="1.0833333331975155"/>
    <n v="770.76923086586237"/>
    <x v="1"/>
    <s v="FABIANO 22/01/26"/>
    <m/>
    <s v="26162/01"/>
    <s v="Envase"/>
    <n v="835"/>
    <s v="WKBS0002"/>
    <s v="BODY SPLASH JARDIM DO ORIENTE 120ml"/>
    <n v="120"/>
    <s v="ml"/>
    <x v="20"/>
    <x v="1"/>
    <s v="BODY SPLASH"/>
    <x v="1"/>
    <m/>
    <m/>
    <m/>
    <m/>
    <m/>
    <m/>
    <m/>
    <m/>
    <m/>
    <m/>
    <m/>
    <m/>
    <m/>
    <m/>
    <m/>
    <m/>
    <m/>
    <m/>
    <m/>
    <d v="2026-06-10T13:00:00"/>
    <d v="2026-06-10T13:05:00"/>
    <d v="1899-12-30T00:05:00"/>
    <m/>
    <m/>
    <m/>
    <m/>
    <m/>
    <m/>
    <m/>
    <m/>
    <m/>
    <m/>
    <m/>
    <x v="1"/>
    <x v="4"/>
  </r>
  <r>
    <d v="2026-06-10T14:05:00"/>
    <d v="2026-06-10T14:25:00"/>
    <n v="0.33333333337213844"/>
    <n v="719.99999991618097"/>
    <x v="2"/>
    <s v="FABIANO 22/01/26"/>
    <m/>
    <s v="P-26156/05"/>
    <s v="Envase"/>
    <n v="240"/>
    <s v="WKBS0003"/>
    <s v="BODY SPLASH NOITE DE AMBAR 120ml"/>
    <n v="120"/>
    <s v="ml"/>
    <x v="20"/>
    <x v="1"/>
    <s v="BODY SPLASH"/>
    <x v="1"/>
    <m/>
    <m/>
    <m/>
    <m/>
    <m/>
    <m/>
    <m/>
    <m/>
    <m/>
    <m/>
    <m/>
    <m/>
    <m/>
    <m/>
    <m/>
    <m/>
    <m/>
    <m/>
    <m/>
    <d v="2026-06-10T14:00:00"/>
    <d v="2026-06-10T14:05:00"/>
    <d v="1899-12-30T00:05:00"/>
    <m/>
    <m/>
    <m/>
    <m/>
    <m/>
    <m/>
    <m/>
    <m/>
    <m/>
    <m/>
    <m/>
    <x v="1"/>
    <x v="4"/>
  </r>
  <r>
    <d v="2026-06-10T11:01:00"/>
    <d v="2026-06-10T14:00:00"/>
    <n v="1.9833333334536292"/>
    <n v="1045.210083970218"/>
    <x v="2"/>
    <s v="FABIANO 22/01/26"/>
    <m/>
    <s v="26161/01"/>
    <s v="Envase"/>
    <n v="2073"/>
    <s v="WKBS0006"/>
    <s v="BODY SPLASH IDOLA 120ml"/>
    <n v="120"/>
    <s v="ml"/>
    <x v="20"/>
    <x v="1"/>
    <s v="BODY SPLASH"/>
    <x v="1"/>
    <m/>
    <m/>
    <m/>
    <m/>
    <m/>
    <m/>
    <m/>
    <m/>
    <m/>
    <m/>
    <m/>
    <m/>
    <m/>
    <m/>
    <m/>
    <m/>
    <m/>
    <m/>
    <m/>
    <m/>
    <m/>
    <s v=""/>
    <m/>
    <m/>
    <m/>
    <m/>
    <m/>
    <m/>
    <m/>
    <m/>
    <m/>
    <m/>
    <m/>
    <x v="1"/>
    <x v="4"/>
  </r>
  <r>
    <d v="2026-06-12T07:57:00"/>
    <d v="2026-06-12T13:57:00"/>
    <n v="5"/>
    <n v="844.8"/>
    <x v="2"/>
    <s v="0006"/>
    <m/>
    <s v="26162/02"/>
    <s v="Envase"/>
    <n v="4224"/>
    <s v="MRARBS05"/>
    <s v="BODY SPLASH FORÇA DO LEAO"/>
    <n v="220"/>
    <s v="ml"/>
    <x v="0"/>
    <x v="1"/>
    <s v="BODY SPLASH"/>
    <x v="1"/>
    <m/>
    <m/>
    <m/>
    <m/>
    <m/>
    <m/>
    <m/>
    <m/>
    <m/>
    <m/>
    <m/>
    <m/>
    <m/>
    <m/>
    <m/>
    <m/>
    <m/>
    <m/>
    <m/>
    <d v="2026-06-12T07:50:00"/>
    <d v="2026-06-12T07:55:00"/>
    <d v="1899-12-30T00:05:00"/>
    <m/>
    <m/>
    <m/>
    <m/>
    <m/>
    <m/>
    <m/>
    <m/>
    <m/>
    <m/>
    <m/>
    <x v="1"/>
    <x v="4"/>
  </r>
  <r>
    <d v="2026-06-10T14:27:00"/>
    <d v="2026-06-11T13:59:00"/>
    <n v="8.5333333335001953"/>
    <n v="933.74999998174133"/>
    <x v="1"/>
    <s v="FABIANO 22/01/26"/>
    <m/>
    <s v="26156/07"/>
    <s v="Envase"/>
    <n v="7968"/>
    <s v="WKBS0003"/>
    <s v="BODY SPLASH NOITE DE AMBAR 120ml"/>
    <n v="120"/>
    <s v="ml"/>
    <x v="20"/>
    <x v="1"/>
    <s v="BODY SPLASH"/>
    <x v="1"/>
    <m/>
    <m/>
    <m/>
    <m/>
    <m/>
    <m/>
    <m/>
    <m/>
    <m/>
    <m/>
    <m/>
    <m/>
    <m/>
    <m/>
    <m/>
    <m/>
    <m/>
    <m/>
    <m/>
    <d v="2026-06-10T15:15:00"/>
    <d v="2026-06-10T14:26:00"/>
    <s v=" "/>
    <m/>
    <m/>
    <m/>
    <m/>
    <m/>
    <m/>
    <m/>
    <m/>
    <m/>
    <m/>
    <m/>
    <x v="1"/>
    <x v="4"/>
  </r>
  <r>
    <d v="2026-06-10T14:25:00"/>
    <d v="2026-06-11T13:40:00"/>
    <n v="8.2500000001164153"/>
    <n v="959.99999998645353"/>
    <x v="2"/>
    <s v="FABIANO 22/01/26"/>
    <m/>
    <s v="26156/06"/>
    <s v="Envase"/>
    <n v="7920"/>
    <s v="WKBS0003"/>
    <s v="BODY SPLASH NOITE DE AMBAR 120ml"/>
    <n v="120"/>
    <s v="ml"/>
    <x v="20"/>
    <x v="1"/>
    <s v="BODY SPLASH"/>
    <x v="1"/>
    <m/>
    <m/>
    <m/>
    <m/>
    <m/>
    <m/>
    <m/>
    <m/>
    <m/>
    <m/>
    <m/>
    <m/>
    <m/>
    <m/>
    <m/>
    <m/>
    <m/>
    <m/>
    <m/>
    <d v="2026-06-10T14:15:00"/>
    <d v="2026-06-10T14:20:00"/>
    <d v="1899-12-30T00:05:00"/>
    <m/>
    <m/>
    <m/>
    <m/>
    <m/>
    <m/>
    <m/>
    <m/>
    <m/>
    <m/>
    <m/>
    <x v="1"/>
    <x v="4"/>
  </r>
  <r>
    <d v="2026-06-11T13:28:00"/>
    <d v="2026-06-11T16:10:00"/>
    <n v="2.6999999998952262"/>
    <n v="1066.6666667080588"/>
    <x v="2"/>
    <s v="FABIANO 22/01/26"/>
    <m/>
    <s v="26159/04"/>
    <s v="Envase"/>
    <n v="2880"/>
    <s v="WKBS0003"/>
    <s v="BODY SPLASH NOITE DE AMBAR 120ml"/>
    <n v="120"/>
    <s v="ml"/>
    <x v="20"/>
    <x v="1"/>
    <s v="BODY SPLASH"/>
    <x v="1"/>
    <m/>
    <m/>
    <m/>
    <m/>
    <m/>
    <m/>
    <m/>
    <m/>
    <m/>
    <m/>
    <m/>
    <m/>
    <m/>
    <m/>
    <m/>
    <m/>
    <m/>
    <m/>
    <m/>
    <d v="2026-06-11T13:27:00"/>
    <d v="2026-06-11T13:28:00"/>
    <d v="1899-12-30T00:01:00"/>
    <m/>
    <m/>
    <m/>
    <m/>
    <m/>
    <m/>
    <m/>
    <m/>
    <m/>
    <m/>
    <m/>
    <x v="1"/>
    <x v="4"/>
  </r>
  <r>
    <d v="2026-06-11T16:23:00"/>
    <d v="2026-06-13T07:45:00"/>
    <n v="9.3666666667559184"/>
    <n v="89.466192169966007"/>
    <x v="2"/>
    <s v="FABIANO 22/01/26"/>
    <m/>
    <s v="26162/04"/>
    <s v="Envase"/>
    <n v="838"/>
    <s v="WKBS0003"/>
    <s v="BODY SPLASH NOITE DE AMBAR 120ml"/>
    <n v="120"/>
    <s v="ml"/>
    <x v="20"/>
    <x v="1"/>
    <s v="BODY SPLASH"/>
    <x v="1"/>
    <m/>
    <m/>
    <m/>
    <m/>
    <m/>
    <m/>
    <m/>
    <m/>
    <m/>
    <m/>
    <m/>
    <m/>
    <m/>
    <m/>
    <m/>
    <m/>
    <m/>
    <m/>
    <m/>
    <d v="2026-06-11T16:15:00"/>
    <d v="2026-06-11T16:16:00"/>
    <d v="1899-12-30T00:01:00"/>
    <m/>
    <m/>
    <m/>
    <m/>
    <m/>
    <m/>
    <m/>
    <m/>
    <m/>
    <m/>
    <m/>
    <x v="1"/>
    <x v="4"/>
  </r>
  <r>
    <d v="2026-06-12T13:59:00"/>
    <d v="2026-06-15T08:00:00"/>
    <n v="3.0166666667209938"/>
    <n v="1543.4254143368453"/>
    <x v="2"/>
    <s v="0006"/>
    <m/>
    <s v="26162/03"/>
    <s v="Envase"/>
    <n v="4656"/>
    <s v="MRARBS05"/>
    <s v="BODY SPLASH FORÇA DO LEAO"/>
    <n v="220"/>
    <s v="ml"/>
    <x v="0"/>
    <x v="1"/>
    <s v="BODY SPLASH"/>
    <x v="1"/>
    <m/>
    <m/>
    <m/>
    <m/>
    <m/>
    <m/>
    <m/>
    <m/>
    <m/>
    <m/>
    <m/>
    <m/>
    <m/>
    <m/>
    <m/>
    <m/>
    <m/>
    <m/>
    <m/>
    <d v="2026-06-12T13:56:00"/>
    <d v="2026-06-12T13:57:00"/>
    <d v="1899-12-30T00:01:00"/>
    <m/>
    <m/>
    <m/>
    <m/>
    <m/>
    <m/>
    <m/>
    <m/>
    <m/>
    <m/>
    <m/>
    <x v="1"/>
    <x v="4"/>
  </r>
  <r>
    <d v="2026-06-12T11:56:00"/>
    <m/>
    <n v="0"/>
    <s v=""/>
    <x v="1"/>
    <s v="0008"/>
    <m/>
    <s v="26160/01"/>
    <s v="Envase"/>
    <n v="4360"/>
    <s v="MRARBS09"/>
    <s v="BODY SPLASH DESPERTAR DAS FLORES 200ml"/>
    <n v="215"/>
    <s v="ml"/>
    <x v="0"/>
    <x v="1"/>
    <s v="BODY SPLASH"/>
    <x v="1"/>
    <m/>
    <m/>
    <m/>
    <m/>
    <m/>
    <m/>
    <m/>
    <m/>
    <m/>
    <m/>
    <m/>
    <m/>
    <m/>
    <m/>
    <m/>
    <m/>
    <m/>
    <m/>
    <m/>
    <d v="2026-06-12T11:40:00"/>
    <d v="2026-06-12T11:45:00"/>
    <d v="1899-12-30T00:05:00"/>
    <m/>
    <m/>
    <m/>
    <m/>
    <m/>
    <m/>
    <m/>
    <m/>
    <m/>
    <m/>
    <m/>
    <x v="1"/>
    <x v="4"/>
  </r>
  <r>
    <d v="2026-06-05T20:51:00"/>
    <m/>
    <n v="0"/>
    <s v=""/>
    <x v="1"/>
    <s v="FABIANO 22/01/26"/>
    <m/>
    <s v="26155/02"/>
    <s v="Envase"/>
    <n v="983"/>
    <s v="WKBS0006"/>
    <s v="BODY SPLASH IDOLA 120ml"/>
    <n v="120"/>
    <s v="ml"/>
    <x v="20"/>
    <x v="1"/>
    <s v="BODY SPLASH"/>
    <x v="1"/>
    <m/>
    <m/>
    <m/>
    <m/>
    <m/>
    <m/>
    <m/>
    <m/>
    <m/>
    <m/>
    <m/>
    <m/>
    <m/>
    <m/>
    <m/>
    <m/>
    <m/>
    <m/>
    <m/>
    <d v="2026-06-05T20:50:00"/>
    <d v="2026-06-05T20:51:00"/>
    <d v="1899-12-30T00:01:00"/>
    <m/>
    <m/>
    <m/>
    <m/>
    <m/>
    <m/>
    <m/>
    <m/>
    <m/>
    <m/>
    <m/>
    <x v="1"/>
    <x v="4"/>
  </r>
  <r>
    <d v="2026-06-15T15:10:00"/>
    <d v="2026-06-15T20:17:00"/>
    <n v="5.1166666665812954"/>
    <n v="633.81107492914191"/>
    <x v="2"/>
    <s v="0006"/>
    <m/>
    <s v="26166/01"/>
    <s v="Envase"/>
    <n v="3243"/>
    <s v="MRARBS05"/>
    <s v="BODY SPLASH FORÇA DO LEAO"/>
    <n v="220"/>
    <s v="ml"/>
    <x v="0"/>
    <x v="1"/>
    <s v="BODY SPLASH"/>
    <x v="1"/>
    <m/>
    <m/>
    <m/>
    <m/>
    <m/>
    <m/>
    <m/>
    <m/>
    <m/>
    <m/>
    <m/>
    <m/>
    <m/>
    <m/>
    <m/>
    <m/>
    <m/>
    <m/>
    <m/>
    <d v="2026-06-15T15:40:00"/>
    <d v="2026-06-15T15:50:00"/>
    <d v="1899-12-30T00:10:00"/>
    <m/>
    <m/>
    <m/>
    <m/>
    <m/>
    <m/>
    <m/>
    <m/>
    <m/>
    <m/>
    <m/>
    <x v="1"/>
    <x v="4"/>
  </r>
  <r>
    <d v="2026-06-15T17:10:00"/>
    <d v="2026-06-15T17:50:00"/>
    <n v="0.6666666665696539"/>
    <n v="360.00000005238689"/>
    <x v="1"/>
    <s v="FABIANO 22/01/26"/>
    <m/>
    <s v="26166/04"/>
    <s v="Envase"/>
    <n v="240"/>
    <s v="WKBS0004"/>
    <s v="BODY SPLASH LINDA VIDA 120ml"/>
    <n v="120"/>
    <s v="ml"/>
    <x v="20"/>
    <x v="1"/>
    <s v="BODY SPLASH"/>
    <x v="1"/>
    <m/>
    <m/>
    <m/>
    <m/>
    <m/>
    <m/>
    <m/>
    <m/>
    <m/>
    <m/>
    <m/>
    <m/>
    <m/>
    <m/>
    <m/>
    <m/>
    <m/>
    <m/>
    <m/>
    <d v="2026-06-15T17:10:00"/>
    <d v="2026-06-15T17:50:00"/>
    <d v="1899-12-30T00:40:00"/>
    <m/>
    <m/>
    <m/>
    <m/>
    <m/>
    <m/>
    <m/>
    <m/>
    <m/>
    <m/>
    <m/>
    <x v="1"/>
    <x v="4"/>
  </r>
  <r>
    <m/>
    <m/>
    <n v="0"/>
    <s v=""/>
    <x v="2"/>
    <s v="0006"/>
    <m/>
    <s v="26163/01"/>
    <s v="Envase"/>
    <n v="4752"/>
    <s v="MRARBS05"/>
    <s v="BODY SPLASH FORÇA DO LEAO"/>
    <n v="220"/>
    <s v="ml"/>
    <x v="0"/>
    <x v="1"/>
    <s v="BODY SPLASH"/>
    <x v="1"/>
    <m/>
    <m/>
    <m/>
    <m/>
    <m/>
    <m/>
    <m/>
    <m/>
    <m/>
    <m/>
    <m/>
    <m/>
    <m/>
    <m/>
    <m/>
    <m/>
    <m/>
    <m/>
    <m/>
    <d v="2026-06-15T08:20:00"/>
    <m/>
    <s v=""/>
    <m/>
    <m/>
    <m/>
    <m/>
    <m/>
    <m/>
    <m/>
    <m/>
    <m/>
    <m/>
    <m/>
    <x v="2"/>
    <x v="12"/>
  </r>
  <r>
    <m/>
    <m/>
    <n v="0"/>
    <s v=""/>
    <x v="1"/>
    <s v="0008"/>
    <m/>
    <s v="26154/03"/>
    <s v="Envase"/>
    <n v="3324"/>
    <s v="MRARBS12"/>
    <s v="BODY SPLASH FLOR D AURA 200ml"/>
    <n v="215"/>
    <s v="ml"/>
    <x v="0"/>
    <x v="1"/>
    <s v="BODY SPLASH"/>
    <x v="1"/>
    <m/>
    <m/>
    <m/>
    <m/>
    <m/>
    <m/>
    <m/>
    <m/>
    <m/>
    <m/>
    <m/>
    <m/>
    <m/>
    <m/>
    <m/>
    <m/>
    <m/>
    <m/>
    <m/>
    <m/>
    <m/>
    <s v=""/>
    <m/>
    <m/>
    <m/>
    <m/>
    <m/>
    <m/>
    <m/>
    <m/>
    <m/>
    <m/>
    <m/>
    <x v="2"/>
    <x v="12"/>
  </r>
  <r>
    <d v="2026-06-15T20:35:00"/>
    <d v="2026-06-16T08:16:00"/>
    <n v="2.6833333333488554"/>
    <n v="2844.2236024680192"/>
    <x v="1"/>
    <s v="FABIANO 22/01/26"/>
    <m/>
    <s v="26166/05"/>
    <s v="Envase"/>
    <n v="7632"/>
    <s v="WKBS0004"/>
    <s v="BODY SPLASH LINDA VIDA 120ml"/>
    <n v="120"/>
    <s v="ml"/>
    <x v="20"/>
    <x v="1"/>
    <s v="BODY SPLASH"/>
    <x v="1"/>
    <m/>
    <m/>
    <m/>
    <m/>
    <m/>
    <m/>
    <m/>
    <m/>
    <m/>
    <m/>
    <m/>
    <m/>
    <m/>
    <m/>
    <m/>
    <m/>
    <m/>
    <m/>
    <m/>
    <d v="2026-06-15T20:17:00"/>
    <d v="2026-06-15T20:35:00"/>
    <d v="1899-12-30T00:18:00"/>
    <d v="2026-06-16T07:12:00"/>
    <d v="2026-06-16T07:17:00"/>
    <s v="FALTA DE EMBALAGEM"/>
    <m/>
    <m/>
    <m/>
    <m/>
    <m/>
    <m/>
    <m/>
    <m/>
    <x v="1"/>
    <x v="4"/>
  </r>
  <r>
    <d v="2026-06-16T15:45:00"/>
    <d v="2026-06-16T21:40:00"/>
    <n v="5.9166666667442769"/>
    <n v="609.8028168934095"/>
    <x v="2"/>
    <s v="FABIANO 22/01/26"/>
    <m/>
    <s v="26166/07"/>
    <s v="Envase"/>
    <n v="3608"/>
    <s v="WKBS0004"/>
    <s v="BODY SPLASH LINDA VIDA 120ml"/>
    <n v="120"/>
    <s v="ml"/>
    <x v="20"/>
    <x v="1"/>
    <s v="BODY SPLASH"/>
    <x v="1"/>
    <m/>
    <m/>
    <m/>
    <m/>
    <m/>
    <m/>
    <m/>
    <m/>
    <m/>
    <m/>
    <m/>
    <m/>
    <m/>
    <m/>
    <m/>
    <m/>
    <m/>
    <m/>
    <m/>
    <d v="2026-06-16T15:42:00"/>
    <d v="2026-06-16T15:45:00"/>
    <d v="1899-12-30T00:03:00"/>
    <m/>
    <m/>
    <m/>
    <m/>
    <m/>
    <m/>
    <m/>
    <m/>
    <m/>
    <m/>
    <m/>
    <x v="1"/>
    <x v="4"/>
  </r>
  <r>
    <d v="2026-06-16T08:16:00"/>
    <d v="2026-06-16T15:40:00"/>
    <n v="6.4000000000232831"/>
    <n v="1297.4999999952797"/>
    <x v="2"/>
    <s v="FABIANO 22/01/26"/>
    <m/>
    <s v="26166/06"/>
    <s v="Envase"/>
    <n v="8304"/>
    <s v="WKBS0004"/>
    <s v="BODY SPLASH LINDA VIDA 120ml"/>
    <n v="120"/>
    <s v="ml"/>
    <x v="20"/>
    <x v="1"/>
    <s v="BODY SPLASH"/>
    <x v="1"/>
    <m/>
    <m/>
    <m/>
    <m/>
    <m/>
    <m/>
    <m/>
    <m/>
    <m/>
    <m/>
    <m/>
    <m/>
    <m/>
    <m/>
    <m/>
    <m/>
    <m/>
    <m/>
    <m/>
    <d v="2026-06-16T08:10:00"/>
    <d v="2026-06-16T08:15:00"/>
    <d v="1899-12-30T00:05:00"/>
    <m/>
    <m/>
    <m/>
    <m/>
    <m/>
    <m/>
    <m/>
    <m/>
    <m/>
    <m/>
    <m/>
    <x v="1"/>
    <x v="4"/>
  </r>
  <r>
    <d v="2026-06-17T14:30:00"/>
    <d v="2026-06-17T15:50:00"/>
    <n v="1.3333333333139308"/>
    <n v="315.00000000458385"/>
    <x v="1"/>
    <s v="0007"/>
    <m/>
    <s v="P-26160/02"/>
    <s v="Envase"/>
    <n v="420"/>
    <s v="DPMTBS02"/>
    <s v="BODY SPLASH MATTE SORVETE DE BAUNILHA"/>
    <n v="120"/>
    <s v="ml"/>
    <x v="4"/>
    <x v="1"/>
    <s v="BODY SPLASH"/>
    <x v="1"/>
    <m/>
    <m/>
    <m/>
    <m/>
    <m/>
    <m/>
    <m/>
    <m/>
    <m/>
    <m/>
    <m/>
    <m/>
    <m/>
    <m/>
    <m/>
    <m/>
    <m/>
    <m/>
    <m/>
    <d v="2026-06-17T14:00:00"/>
    <d v="2026-06-17T14:30:00"/>
    <d v="1899-12-30T00:30:00"/>
    <m/>
    <m/>
    <m/>
    <m/>
    <m/>
    <m/>
    <m/>
    <m/>
    <m/>
    <m/>
    <m/>
    <x v="1"/>
    <x v="4"/>
  </r>
  <r>
    <d v="2026-06-17T12:09:00"/>
    <d v="2026-06-17T12:40:00"/>
    <n v="0.51666666677920148"/>
    <n v="739.35483854863901"/>
    <x v="1"/>
    <s v="FABIANO 22/01/26"/>
    <m/>
    <s v="26168/03"/>
    <s v="Envase"/>
    <n v="382"/>
    <s v="WKBS0004"/>
    <s v="BODY SPLASH LINDA VIDA 120ml"/>
    <n v="120"/>
    <s v="ml"/>
    <x v="20"/>
    <x v="1"/>
    <s v="BODY SPLASH"/>
    <x v="1"/>
    <m/>
    <m/>
    <m/>
    <m/>
    <m/>
    <m/>
    <m/>
    <m/>
    <m/>
    <m/>
    <m/>
    <m/>
    <m/>
    <m/>
    <m/>
    <m/>
    <m/>
    <m/>
    <m/>
    <d v="2026-06-17T10:20:00"/>
    <d v="2026-06-17T10:20:00"/>
    <d v="1899-12-30T00:00:00"/>
    <d v="2026-06-17T09:20:00"/>
    <d v="2026-06-17T10:24:00"/>
    <s v="FALTA DE PRODUTO"/>
    <d v="2026-06-17T10:00:00"/>
    <d v="2026-06-10T11:00:00"/>
    <s v="FALTA DE PRODUTO"/>
    <d v="2026-06-17T12:39:00"/>
    <d v="2026-06-17T12:40:00"/>
    <s v="FALTA DE PRODUTO"/>
    <m/>
    <m/>
    <x v="1"/>
    <x v="4"/>
  </r>
  <r>
    <d v="2026-06-17T15:51:00"/>
    <d v="2026-06-18T12:30:00"/>
    <n v="6.650000000197906"/>
    <n v="1064.6616541036537"/>
    <x v="2"/>
    <s v="0007"/>
    <m/>
    <s v="26160/02"/>
    <s v="Envase"/>
    <n v="7080"/>
    <s v="DPMTBS02"/>
    <s v="BODY SPLASH MATTE SORVETE DE BAUNILHA"/>
    <n v="120"/>
    <s v="ml"/>
    <x v="4"/>
    <x v="1"/>
    <s v="BODY SPLASH"/>
    <x v="1"/>
    <m/>
    <m/>
    <m/>
    <m/>
    <m/>
    <m/>
    <m/>
    <m/>
    <m/>
    <m/>
    <m/>
    <m/>
    <m/>
    <m/>
    <m/>
    <m/>
    <m/>
    <m/>
    <m/>
    <d v="2026-06-17T15:50:00"/>
    <d v="2026-06-17T15:51:00"/>
    <d v="1899-12-30T00:01:00"/>
    <d v="2026-06-17T16:00:00"/>
    <d v="2026-06-17T16:15:00"/>
    <s v="ACUMULO DE FRASCO"/>
    <m/>
    <m/>
    <m/>
    <m/>
    <m/>
    <m/>
    <m/>
    <m/>
    <x v="1"/>
    <x v="4"/>
  </r>
  <r>
    <d v="2026-06-17T08:45:00"/>
    <d v="2026-06-18T10:12:00"/>
    <n v="10.450000000128057"/>
    <n v="832.91866027687456"/>
    <x v="2"/>
    <s v="FABIANO 03/02/26"/>
    <m/>
    <s v="26166/03"/>
    <s v="Envase"/>
    <n v="8704"/>
    <s v="MRFX0001"/>
    <s v="FIXADOR FIX MATTE 120ml"/>
    <n v="120"/>
    <s v="ml"/>
    <x v="0"/>
    <x v="4"/>
    <s v="FIXADOR"/>
    <x v="1"/>
    <m/>
    <m/>
    <m/>
    <m/>
    <m/>
    <m/>
    <m/>
    <m/>
    <m/>
    <m/>
    <m/>
    <m/>
    <m/>
    <m/>
    <m/>
    <m/>
    <m/>
    <m/>
    <m/>
    <d v="2026-06-17T08:40:00"/>
    <d v="2026-06-17T08:40:00"/>
    <d v="1899-12-30T00:00:00"/>
    <d v="2026-06-17T09:20:00"/>
    <d v="2026-06-17T09:57:00"/>
    <s v="FALTOU FRASCO"/>
    <d v="2026-06-17T10:15:00"/>
    <d v="2026-06-17T11:00:00"/>
    <s v="FALTOU FRASCO"/>
    <d v="2026-06-18T06:30:00"/>
    <m/>
    <s v="FALTOU FRASCO"/>
    <m/>
    <m/>
    <x v="1"/>
    <x v="4"/>
  </r>
  <r>
    <d v="2026-06-15T06:20:00"/>
    <d v="2026-06-15T12:00:00"/>
    <n v="5.0000000000582077"/>
    <n v="937.19999998908952"/>
    <x v="1"/>
    <s v="0008"/>
    <m/>
    <s v="26159/03"/>
    <s v="Envase"/>
    <n v="4686"/>
    <s v="MRARBS09"/>
    <s v="BODY SPLASH DESPERTAR DAS FLORES 200ml"/>
    <n v="215"/>
    <s v="ml"/>
    <x v="0"/>
    <x v="1"/>
    <s v="BODY SPLASH"/>
    <x v="1"/>
    <m/>
    <m/>
    <m/>
    <m/>
    <m/>
    <m/>
    <m/>
    <m/>
    <m/>
    <m/>
    <m/>
    <m/>
    <m/>
    <m/>
    <m/>
    <m/>
    <m/>
    <m/>
    <m/>
    <m/>
    <m/>
    <s v=""/>
    <m/>
    <m/>
    <m/>
    <m/>
    <m/>
    <m/>
    <m/>
    <m/>
    <m/>
    <m/>
    <m/>
    <x v="1"/>
    <x v="4"/>
  </r>
  <r>
    <d v="2026-06-16T13:10:00"/>
    <d v="2026-06-17T09:20:00"/>
    <n v="6.1666666668606922"/>
    <n v="1411.4594594150499"/>
    <x v="2"/>
    <s v="FABIANO 03/02/26"/>
    <m/>
    <s v="26166/02"/>
    <s v="Envase"/>
    <n v="8704"/>
    <s v="MRFX0001"/>
    <s v="FIXADOR FIX MATTE 120ml"/>
    <n v="120"/>
    <s v="ml"/>
    <x v="0"/>
    <x v="4"/>
    <s v="FIXADOR"/>
    <x v="1"/>
    <m/>
    <m/>
    <m/>
    <m/>
    <m/>
    <m/>
    <m/>
    <m/>
    <m/>
    <m/>
    <m/>
    <m/>
    <m/>
    <m/>
    <m/>
    <m/>
    <m/>
    <m/>
    <m/>
    <d v="2026-06-16T13:00:00"/>
    <d v="2026-06-16T13:05:00"/>
    <d v="1899-12-30T00:05:00"/>
    <m/>
    <m/>
    <m/>
    <m/>
    <m/>
    <m/>
    <m/>
    <m/>
    <m/>
    <m/>
    <m/>
    <x v="1"/>
    <x v="4"/>
  </r>
  <r>
    <d v="2026-06-19T16:45:00"/>
    <d v="2026-05-19T00:00:00"/>
    <m/>
    <m/>
    <x v="1"/>
    <s v="FABIANO 03/02/26"/>
    <m/>
    <s v="26168/01"/>
    <s v="Envase"/>
    <n v="1664"/>
    <s v="MRFX0001"/>
    <s v="FIXADOR FIX MATTE 120ml"/>
    <n v="120"/>
    <s v="ml"/>
    <x v="0"/>
    <x v="4"/>
    <s v="FIXADOR"/>
    <x v="1"/>
    <m/>
    <m/>
    <m/>
    <m/>
    <m/>
    <m/>
    <m/>
    <m/>
    <m/>
    <m/>
    <m/>
    <m/>
    <m/>
    <m/>
    <m/>
    <m/>
    <m/>
    <m/>
    <m/>
    <d v="2026-06-19T16:44:00"/>
    <d v="2026-06-19T16:45:00"/>
    <d v="1899-12-30T00:01:00"/>
    <m/>
    <m/>
    <m/>
    <m/>
    <m/>
    <m/>
    <m/>
    <m/>
    <m/>
    <m/>
    <m/>
    <x v="1"/>
    <x v="4"/>
  </r>
  <r>
    <d v="2026-06-18T10:13:00"/>
    <d v="2026-06-19T10:13:00"/>
    <n v="9.0000000001164153"/>
    <n v="967.11111109860144"/>
    <x v="2"/>
    <s v="FABIANO 03/02/26"/>
    <m/>
    <s v="26167/01"/>
    <s v="Envase"/>
    <n v="8704"/>
    <s v="MRFX0001"/>
    <s v="FIXADOR FIX MATTE 120ml"/>
    <n v="120"/>
    <s v="ml"/>
    <x v="0"/>
    <x v="4"/>
    <s v="FIXADOR"/>
    <x v="1"/>
    <m/>
    <m/>
    <m/>
    <m/>
    <m/>
    <m/>
    <m/>
    <m/>
    <m/>
    <m/>
    <m/>
    <m/>
    <m/>
    <m/>
    <m/>
    <m/>
    <m/>
    <m/>
    <m/>
    <d v="2026-06-18T10:12:00"/>
    <d v="2026-06-18T10:13:00"/>
    <d v="1899-12-30T00:01:00"/>
    <d v="2026-06-18T12:45:00"/>
    <m/>
    <s v="FALTOU FRASCO"/>
    <m/>
    <m/>
    <m/>
    <m/>
    <m/>
    <m/>
    <m/>
    <m/>
    <x v="1"/>
    <x v="4"/>
  </r>
  <r>
    <d v="2026-06-18T12:32:00"/>
    <m/>
    <n v="0"/>
    <s v=""/>
    <x v="1"/>
    <s v="0007"/>
    <m/>
    <s v="26168/02"/>
    <s v="Envase"/>
    <n v="6540"/>
    <s v="DPMTBS02"/>
    <s v="BODY SPLASH MATTE SORVETE DE BAUNILHA"/>
    <n v="120"/>
    <s v="ml"/>
    <x v="4"/>
    <x v="1"/>
    <s v="BODY SPLASH"/>
    <x v="1"/>
    <m/>
    <m/>
    <m/>
    <m/>
    <m/>
    <m/>
    <m/>
    <m/>
    <m/>
    <m/>
    <m/>
    <m/>
    <m/>
    <m/>
    <m/>
    <m/>
    <m/>
    <m/>
    <m/>
    <d v="2026-06-18T12:30:00"/>
    <d v="2026-06-18T12:32:00"/>
    <d v="1899-12-30T00:02:00"/>
    <m/>
    <m/>
    <m/>
    <m/>
    <m/>
    <m/>
    <m/>
    <m/>
    <m/>
    <m/>
    <m/>
    <x v="1"/>
    <x v="4"/>
  </r>
  <r>
    <d v="2026-06-19T06:30:00"/>
    <d v="2026-06-19T18:40:00"/>
    <n v="10.666666666802485"/>
    <n v="751.12499999043598"/>
    <x v="1"/>
    <s v="0007"/>
    <m/>
    <s v="26159/01"/>
    <s v="Envase"/>
    <n v="8012"/>
    <s v="DPMTBS01"/>
    <s v="BODY SPLASH MATTE DOCE SEDUÇÃO"/>
    <n v="120"/>
    <s v="ml"/>
    <x v="4"/>
    <x v="1"/>
    <s v="BODY SPLASH"/>
    <x v="1"/>
    <m/>
    <m/>
    <m/>
    <m/>
    <m/>
    <m/>
    <m/>
    <m/>
    <m/>
    <m/>
    <m/>
    <m/>
    <m/>
    <m/>
    <m/>
    <m/>
    <m/>
    <m/>
    <m/>
    <m/>
    <m/>
    <s v=""/>
    <m/>
    <m/>
    <m/>
    <m/>
    <m/>
    <m/>
    <m/>
    <m/>
    <m/>
    <m/>
    <m/>
    <x v="1"/>
    <x v="4"/>
  </r>
  <r>
    <d v="2026-06-22T16:07:00"/>
    <d v="2026-06-23T10:34:00"/>
    <n v="4.4500000001862645"/>
    <n v="1024.7191010807037"/>
    <x v="1"/>
    <s v="0006"/>
    <m/>
    <s v="26170/01"/>
    <s v="Envase"/>
    <n v="4560"/>
    <s v="MRARBS05"/>
    <s v="BODY SPLASH FORÇA DO LEAO"/>
    <n v="220"/>
    <s v="ml"/>
    <x v="0"/>
    <x v="1"/>
    <s v="BODY SPLASH"/>
    <x v="1"/>
    <m/>
    <m/>
    <m/>
    <m/>
    <m/>
    <m/>
    <m/>
    <m/>
    <m/>
    <m/>
    <m/>
    <m/>
    <m/>
    <m/>
    <m/>
    <m/>
    <m/>
    <m/>
    <m/>
    <d v="2026-06-22T15:05:00"/>
    <d v="2026-06-22T15:07:00"/>
    <d v="1899-12-30T00:02:00"/>
    <m/>
    <m/>
    <m/>
    <m/>
    <m/>
    <m/>
    <m/>
    <m/>
    <m/>
    <m/>
    <m/>
    <x v="1"/>
    <x v="4"/>
  </r>
  <r>
    <d v="2026-06-23T10:06:00"/>
    <d v="2026-06-23T16:40:00"/>
    <n v="5.5666666667675599"/>
    <n v="935.38922153993269"/>
    <x v="2"/>
    <s v="0007"/>
    <m/>
    <s v="26173/04"/>
    <s v="Envase"/>
    <n v="5207"/>
    <s v="DPMTBS03"/>
    <s v="BODY SPLASH MATTE OITAVA MARAVILHA"/>
    <n v="120"/>
    <s v="ml"/>
    <x v="4"/>
    <x v="1"/>
    <s v="BODY SPLASH"/>
    <x v="1"/>
    <m/>
    <m/>
    <m/>
    <m/>
    <m/>
    <m/>
    <m/>
    <m/>
    <m/>
    <m/>
    <m/>
    <m/>
    <m/>
    <m/>
    <m/>
    <m/>
    <m/>
    <m/>
    <m/>
    <d v="2026-06-23T10:05:00"/>
    <d v="2026-06-23T10:05:00"/>
    <d v="1899-12-30T00:00:00"/>
    <m/>
    <m/>
    <m/>
    <m/>
    <m/>
    <m/>
    <m/>
    <m/>
    <m/>
    <m/>
    <m/>
    <x v="1"/>
    <x v="4"/>
  </r>
  <r>
    <d v="2026-06-24T07:06:00"/>
    <d v="2026-06-24T13:00:00"/>
    <n v="5.9000000000232831"/>
    <n v="764.74576270884654"/>
    <x v="2"/>
    <s v="0011"/>
    <m/>
    <s v="26174/01"/>
    <s v="Envase"/>
    <n v="4512"/>
    <s v="MRARBS07"/>
    <s v="BODY SPLASH LEAO DO DESERTO BOURBON 200ml"/>
    <n v="215"/>
    <s v="ml"/>
    <x v="0"/>
    <x v="1"/>
    <s v="BODY SPLASH"/>
    <x v="1"/>
    <m/>
    <m/>
    <m/>
    <m/>
    <m/>
    <m/>
    <m/>
    <m/>
    <m/>
    <m/>
    <m/>
    <m/>
    <m/>
    <m/>
    <m/>
    <m/>
    <m/>
    <m/>
    <m/>
    <d v="2026-06-24T07:00:00"/>
    <d v="2026-06-24T07:05:00"/>
    <d v="1899-12-30T00:05:00"/>
    <m/>
    <m/>
    <m/>
    <m/>
    <m/>
    <m/>
    <m/>
    <m/>
    <m/>
    <m/>
    <m/>
    <x v="1"/>
    <x v="4"/>
  </r>
  <r>
    <d v="2026-06-24T08:40:00"/>
    <d v="2026-06-24T13:16:00"/>
    <n v="3.5999999999767169"/>
    <n v="1266.6666666748588"/>
    <x v="1"/>
    <s v="0008"/>
    <m/>
    <s v="26174/03"/>
    <s v="Envase"/>
    <n v="4560"/>
    <s v="MRARBS11"/>
    <s v="BODY SPLASH ROSA RAINHA 200ml"/>
    <n v="215"/>
    <s v="ml"/>
    <x v="0"/>
    <x v="1"/>
    <s v="BODY SPLASH"/>
    <x v="1"/>
    <m/>
    <m/>
    <m/>
    <m/>
    <m/>
    <m/>
    <m/>
    <m/>
    <m/>
    <m/>
    <m/>
    <m/>
    <m/>
    <m/>
    <m/>
    <m/>
    <m/>
    <m/>
    <m/>
    <d v="2026-06-24T08:35:00"/>
    <d v="2026-06-24T08:36:00"/>
    <d v="1899-12-30T00:01:00"/>
    <m/>
    <m/>
    <m/>
    <m/>
    <m/>
    <m/>
    <m/>
    <m/>
    <m/>
    <m/>
    <m/>
    <x v="1"/>
    <x v="4"/>
  </r>
  <r>
    <d v="2026-06-24T11:16:00"/>
    <d v="2026-06-24T16:05:00"/>
    <n v="3.8166666666511446"/>
    <n v="465.327510918923"/>
    <x v="3"/>
    <s v="HABIBI 01"/>
    <m/>
    <s v="26173/01"/>
    <s v="Envase"/>
    <n v="1776"/>
    <s v="HBHD0004"/>
    <s v="HIDRATANTE BISNAGA ROSE AURORA 200g"/>
    <n v="200"/>
    <s v="g"/>
    <x v="18"/>
    <x v="0"/>
    <s v="CREME HIDRATANTE"/>
    <x v="2"/>
    <m/>
    <m/>
    <m/>
    <m/>
    <m/>
    <m/>
    <m/>
    <m/>
    <m/>
    <m/>
    <m/>
    <m/>
    <m/>
    <m/>
    <m/>
    <m/>
    <m/>
    <m/>
    <m/>
    <d v="2026-06-24T11:15:00"/>
    <d v="2026-06-24T11:15:00"/>
    <d v="1899-12-30T00:00:00"/>
    <m/>
    <m/>
    <m/>
    <m/>
    <m/>
    <m/>
    <m/>
    <m/>
    <m/>
    <m/>
    <m/>
    <x v="1"/>
    <x v="4"/>
  </r>
  <r>
    <d v="2026-06-23T10:40:00"/>
    <d v="2026-06-23T16:00:00"/>
    <n v="4.3333333332557231"/>
    <n v="994.15384617165148"/>
    <x v="1"/>
    <s v="0006"/>
    <m/>
    <s v="26170/02"/>
    <s v="Envase"/>
    <n v="4308"/>
    <s v="MRARBS05"/>
    <s v="BODY SPLASH FORÇA DO LEAO"/>
    <n v="220"/>
    <s v="ml"/>
    <x v="0"/>
    <x v="1"/>
    <s v="BODY SPLASH"/>
    <x v="1"/>
    <m/>
    <m/>
    <m/>
    <m/>
    <m/>
    <m/>
    <m/>
    <m/>
    <m/>
    <m/>
    <m/>
    <m/>
    <m/>
    <m/>
    <m/>
    <m/>
    <m/>
    <m/>
    <m/>
    <d v="2026-06-23T10:39:00"/>
    <d v="2026-06-23T10:40:00"/>
    <d v="1899-12-30T00:01:00"/>
    <m/>
    <m/>
    <m/>
    <m/>
    <m/>
    <m/>
    <m/>
    <m/>
    <m/>
    <m/>
    <m/>
    <x v="1"/>
    <x v="4"/>
  </r>
  <r>
    <d v="2026-06-24T07:30:00"/>
    <d v="2026-06-24T11:15:00"/>
    <n v="3.75"/>
    <n v="430.66666666666669"/>
    <x v="3"/>
    <s v="HABIBI 01"/>
    <m/>
    <s v="26175/05"/>
    <s v="Envase"/>
    <n v="1615"/>
    <s v="HBHD0004"/>
    <s v="HIDRATANTE BISNAGA ROSE AURORA 200g"/>
    <n v="200"/>
    <s v="g"/>
    <x v="18"/>
    <x v="0"/>
    <s v="CREME HIDRATANTE"/>
    <x v="2"/>
    <m/>
    <m/>
    <m/>
    <m/>
    <m/>
    <m/>
    <m/>
    <m/>
    <m/>
    <m/>
    <m/>
    <m/>
    <m/>
    <m/>
    <m/>
    <m/>
    <m/>
    <m/>
    <m/>
    <d v="2026-06-24T07:00:00"/>
    <d v="2026-06-24T07:25:00"/>
    <d v="1899-12-30T00:25:00"/>
    <d v="2026-06-24T07:40:00"/>
    <d v="2026-06-24T08:15:00"/>
    <s v="PARADA DE SELEFONADEIRA"/>
    <d v="2026-06-25T09:15:00"/>
    <d v="2026-06-24T09:40:00"/>
    <s v="PARADA DE SELEFONADEIRA"/>
    <m/>
    <m/>
    <m/>
    <m/>
    <m/>
    <x v="1"/>
    <x v="4"/>
  </r>
  <r>
    <d v="2026-06-23T16:02:00"/>
    <d v="2026-06-24T08:35:00"/>
    <n v="2.5500000001047738"/>
    <n v="985.09803917521083"/>
    <x v="1"/>
    <s v="0006"/>
    <m/>
    <s v="26170/03"/>
    <s v="Envase"/>
    <n v="2512"/>
    <s v="MRARBS05"/>
    <s v="BODY SPLASH FORÇA DO LEAO"/>
    <n v="220"/>
    <s v="ml"/>
    <x v="0"/>
    <x v="1"/>
    <s v="BODY SPLASH"/>
    <x v="1"/>
    <m/>
    <m/>
    <m/>
    <m/>
    <m/>
    <m/>
    <m/>
    <m/>
    <m/>
    <m/>
    <m/>
    <m/>
    <m/>
    <m/>
    <m/>
    <m/>
    <m/>
    <m/>
    <m/>
    <d v="2026-06-23T16:00:00"/>
    <d v="2026-06-23T16:01:00"/>
    <d v="1899-12-30T00:01:00"/>
    <m/>
    <m/>
    <m/>
    <m/>
    <m/>
    <m/>
    <m/>
    <m/>
    <m/>
    <m/>
    <m/>
    <x v="1"/>
    <x v="4"/>
  </r>
  <r>
    <d v="2026-06-24T16:06:00"/>
    <d v="2026-06-25T07:30:00"/>
    <n v="1.400000000197906"/>
    <n v="377.14285708954367"/>
    <x v="3"/>
    <s v="HABIBI 01"/>
    <m/>
    <s v="26175/06"/>
    <s v="Envase"/>
    <n v="528"/>
    <s v="HBHD0004"/>
    <s v="HIDRATANTE BISNAGA ROSE AURORA 200g"/>
    <n v="200"/>
    <s v="g"/>
    <x v="18"/>
    <x v="0"/>
    <s v="CREME HIDRATANTE"/>
    <x v="2"/>
    <m/>
    <m/>
    <m/>
    <m/>
    <m/>
    <m/>
    <m/>
    <m/>
    <m/>
    <m/>
    <m/>
    <m/>
    <m/>
    <m/>
    <m/>
    <m/>
    <m/>
    <m/>
    <m/>
    <d v="2026-06-24T16:05:00"/>
    <d v="2026-06-24T16:06:00"/>
    <d v="1899-12-30T00:01:00"/>
    <m/>
    <m/>
    <m/>
    <m/>
    <m/>
    <m/>
    <m/>
    <m/>
    <m/>
    <m/>
    <m/>
    <x v="1"/>
    <x v="4"/>
  </r>
  <r>
    <d v="2026-06-24T13:13:00"/>
    <d v="2026-06-25T07:34:00"/>
    <n v="4.3500000002095476"/>
    <n v="1070.3448275346464"/>
    <x v="1"/>
    <s v="0011"/>
    <m/>
    <s v="26180/01"/>
    <s v="Envase"/>
    <n v="4656"/>
    <s v="MRARBS07"/>
    <s v="BODY SPLASH LEAO DO DESERTO BOURBON 200ml"/>
    <n v="215"/>
    <s v="ml"/>
    <x v="0"/>
    <x v="1"/>
    <s v="BODY SPLASH"/>
    <x v="1"/>
    <m/>
    <m/>
    <m/>
    <m/>
    <m/>
    <m/>
    <m/>
    <m/>
    <m/>
    <m/>
    <m/>
    <m/>
    <m/>
    <m/>
    <m/>
    <m/>
    <m/>
    <m/>
    <m/>
    <d v="2026-06-24T13:10:00"/>
    <d v="2026-06-24T13:10:00"/>
    <d v="1899-12-30T00:00:00"/>
    <m/>
    <m/>
    <m/>
    <m/>
    <m/>
    <m/>
    <m/>
    <m/>
    <m/>
    <m/>
    <m/>
    <x v="1"/>
    <x v="4"/>
  </r>
  <r>
    <d v="2026-06-24T13:20:00"/>
    <d v="2026-06-25T08:00:00"/>
    <n v="4.6666666668606922"/>
    <n v="987.4285713875172"/>
    <x v="1"/>
    <s v="0008"/>
    <m/>
    <s v="26175/03"/>
    <s v="Envase"/>
    <s v="4608"/>
    <s v="MRARBS11"/>
    <s v="BODY SPLASH ROSA RAINHA 200ml"/>
    <n v="215"/>
    <s v="ml"/>
    <x v="0"/>
    <x v="1"/>
    <s v="BODY SPLASH"/>
    <x v="1"/>
    <m/>
    <m/>
    <m/>
    <m/>
    <m/>
    <m/>
    <m/>
    <m/>
    <m/>
    <m/>
    <m/>
    <m/>
    <m/>
    <m/>
    <m/>
    <m/>
    <m/>
    <m/>
    <m/>
    <d v="2026-06-24T13:19:00"/>
    <d v="2026-06-24T13:20:00"/>
    <d v="1899-12-30T00:01:00"/>
    <m/>
    <m/>
    <m/>
    <m/>
    <m/>
    <m/>
    <m/>
    <m/>
    <m/>
    <m/>
    <m/>
    <x v="1"/>
    <x v="4"/>
  </r>
  <r>
    <d v="2026-06-25T07:36:00"/>
    <d v="2026-06-25T11:58:00"/>
    <n v="4.3666666667559184"/>
    <n v="1055.2671755509502"/>
    <x v="2"/>
    <s v="0011"/>
    <m/>
    <s v="26174/02"/>
    <s v="Envase"/>
    <n v="4608"/>
    <s v="MRARBS07"/>
    <s v="BODY SPLASH LEAO DO DESERTO BOURBON 200ml"/>
    <n v="215"/>
    <s v="ml"/>
    <x v="0"/>
    <x v="1"/>
    <s v="BODY SPLASH"/>
    <x v="1"/>
    <m/>
    <m/>
    <m/>
    <m/>
    <m/>
    <m/>
    <m/>
    <m/>
    <m/>
    <m/>
    <m/>
    <m/>
    <m/>
    <m/>
    <m/>
    <m/>
    <m/>
    <m/>
    <m/>
    <d v="2026-06-25T07:35:00"/>
    <d v="2026-06-25T07:36:00"/>
    <d v="1899-12-30T00:01:00"/>
    <m/>
    <m/>
    <m/>
    <m/>
    <m/>
    <m/>
    <m/>
    <m/>
    <m/>
    <m/>
    <m/>
    <x v="1"/>
    <x v="4"/>
  </r>
  <r>
    <d v="2026-06-25T07:30:00"/>
    <d v="2026-06-25T12:23:00"/>
    <n v="4.8833333333604969"/>
    <n v="357.74744027104759"/>
    <x v="3"/>
    <s v="HABIBI 01"/>
    <m/>
    <s v="26175/08"/>
    <s v="Envase"/>
    <n v="1747"/>
    <s v="HBHD0002"/>
    <s v="HIDRATANTE BISNAGA IMPERIUM 200g"/>
    <n v="200"/>
    <s v="g"/>
    <x v="18"/>
    <x v="0"/>
    <s v="CREME HIDRATANTE"/>
    <x v="2"/>
    <m/>
    <m/>
    <m/>
    <m/>
    <m/>
    <m/>
    <m/>
    <m/>
    <m/>
    <m/>
    <m/>
    <m/>
    <m/>
    <m/>
    <m/>
    <m/>
    <m/>
    <m/>
    <m/>
    <d v="2026-06-25T07:25:00"/>
    <d v="2026-06-25T07:26:00"/>
    <d v="1899-12-30T00:01:00"/>
    <m/>
    <m/>
    <m/>
    <m/>
    <m/>
    <m/>
    <m/>
    <m/>
    <m/>
    <m/>
    <m/>
    <x v="1"/>
    <x v="4"/>
  </r>
  <r>
    <d v="2026-06-25T12:30:00"/>
    <d v="2026-06-26T07:15:00"/>
    <n v="4.7500000001164153"/>
    <n v="287.3684210455886"/>
    <x v="3"/>
    <s v="HABIBI 01"/>
    <m/>
    <s v="26/175/07"/>
    <s v="Envase"/>
    <n v="1365"/>
    <s v="HBHD0002"/>
    <s v="HIDRATANTE BISNAGA IMPERIUM 200g"/>
    <n v="200"/>
    <s v="g"/>
    <x v="18"/>
    <x v="0"/>
    <s v="CREME HIDRATANTE"/>
    <x v="2"/>
    <m/>
    <m/>
    <m/>
    <m/>
    <m/>
    <m/>
    <m/>
    <m/>
    <m/>
    <m/>
    <m/>
    <m/>
    <m/>
    <m/>
    <m/>
    <m/>
    <m/>
    <m/>
    <m/>
    <d v="2026-06-25T07:25:00"/>
    <d v="2026-06-26T07:29:00"/>
    <d v="1899-12-31T00:04:00"/>
    <m/>
    <m/>
    <m/>
    <m/>
    <m/>
    <m/>
    <m/>
    <m/>
    <m/>
    <m/>
    <m/>
    <x v="1"/>
    <x v="4"/>
  </r>
  <r>
    <d v="2026-06-25T13:03:00"/>
    <d v="2026-06-26T08:25:00"/>
    <n v="5.3666666668723337"/>
    <n v="912.2981366110007"/>
    <x v="2"/>
    <s v="05"/>
    <m/>
    <s v="26176/08"/>
    <s v="Envase"/>
    <n v="4896"/>
    <s v="FBBS0006"/>
    <s v="BODY SPLASH ROUGE OUT 200ML"/>
    <n v="200"/>
    <s v="ml"/>
    <x v="21"/>
    <x v="1"/>
    <s v="BODY SPLASH"/>
    <x v="1"/>
    <m/>
    <m/>
    <m/>
    <m/>
    <m/>
    <m/>
    <m/>
    <m/>
    <m/>
    <m/>
    <m/>
    <m/>
    <m/>
    <m/>
    <m/>
    <m/>
    <m/>
    <m/>
    <m/>
    <d v="2026-06-25T13:00:00"/>
    <d v="2026-06-25T13:03:00"/>
    <d v="1899-12-30T00:03:00"/>
    <m/>
    <m/>
    <m/>
    <m/>
    <m/>
    <m/>
    <m/>
    <m/>
    <m/>
    <m/>
    <m/>
    <x v="1"/>
    <x v="4"/>
  </r>
  <r>
    <d v="2026-06-25T08:01:00"/>
    <d v="2026-06-25T11:14:00"/>
    <n v="3.2166666666744277"/>
    <n v="891.29533678541429"/>
    <x v="1"/>
    <s v="0008"/>
    <m/>
    <s v="26175/04"/>
    <s v="Envase"/>
    <n v="2867"/>
    <s v="MRARBS11"/>
    <s v="BODY SPLASH ROSA RAINHA 200ml"/>
    <n v="215"/>
    <s v="ml"/>
    <x v="0"/>
    <x v="1"/>
    <s v="BODY SPLASH"/>
    <x v="1"/>
    <m/>
    <m/>
    <m/>
    <m/>
    <m/>
    <m/>
    <m/>
    <m/>
    <m/>
    <m/>
    <m/>
    <m/>
    <m/>
    <m/>
    <m/>
    <m/>
    <m/>
    <m/>
    <m/>
    <d v="2026-06-25T08:00:00"/>
    <d v="2026-06-25T08:01:00"/>
    <d v="1899-12-30T00:01:00"/>
    <m/>
    <m/>
    <m/>
    <m/>
    <m/>
    <m/>
    <m/>
    <m/>
    <m/>
    <m/>
    <m/>
    <x v="1"/>
    <x v="4"/>
  </r>
  <r>
    <d v="2026-06-25T11:20:00"/>
    <d v="2026-06-26T08:09:00"/>
    <n v="5.8166666668839753"/>
    <n v="783.95415469850548"/>
    <x v="1"/>
    <s v="0011"/>
    <m/>
    <s v="26175/02"/>
    <s v="Envase"/>
    <n v="4560"/>
    <s v="MRARBS07"/>
    <s v="BODY SPLASH LEAO DO DESERTO BOURBON 200ml"/>
    <n v="215"/>
    <s v="ml"/>
    <x v="0"/>
    <x v="1"/>
    <s v="BODY SPLASH"/>
    <x v="1"/>
    <m/>
    <m/>
    <m/>
    <m/>
    <m/>
    <m/>
    <m/>
    <m/>
    <m/>
    <m/>
    <m/>
    <m/>
    <m/>
    <m/>
    <m/>
    <m/>
    <m/>
    <m/>
    <m/>
    <d v="2026-06-25T11:19:00"/>
    <d v="2026-06-25T11:20:00"/>
    <d v="1899-12-30T00:01:00"/>
    <d v="2026-06-25T11:43:00"/>
    <d v="2026-06-25T13:20:00"/>
    <s v="PRODUTO TURVO"/>
    <d v="2026-06-25T11:43:00"/>
    <d v="2026-06-25T13:30:00"/>
    <s v="RETRABALHO"/>
    <m/>
    <m/>
    <m/>
    <m/>
    <m/>
    <x v="1"/>
    <x v="4"/>
  </r>
  <r>
    <d v="2026-06-26T11:08:00"/>
    <d v="2026-06-29T08:10:00"/>
    <n v="5.0333333334419876"/>
    <n v="346.68874171437034"/>
    <x v="3"/>
    <s v="HABIBI 01"/>
    <m/>
    <s v="26177/03"/>
    <s v="Envase"/>
    <n v="1745"/>
    <s v="HBHD0003"/>
    <s v="HIDRATANTE BISNAGA ROSA SUBLIME 200g"/>
    <n v="200"/>
    <s v="g"/>
    <x v="18"/>
    <x v="0"/>
    <s v="CREME HIDRATANTE"/>
    <x v="2"/>
    <m/>
    <m/>
    <m/>
    <m/>
    <m/>
    <m/>
    <m/>
    <m/>
    <m/>
    <m/>
    <m/>
    <m/>
    <m/>
    <m/>
    <m/>
    <m/>
    <m/>
    <m/>
    <m/>
    <d v="2026-06-26T11:00:00"/>
    <d v="2026-06-26T11:07:00"/>
    <d v="1899-12-30T00:07:00"/>
    <m/>
    <m/>
    <m/>
    <m/>
    <m/>
    <m/>
    <m/>
    <m/>
    <m/>
    <m/>
    <m/>
    <x v="1"/>
    <x v="4"/>
  </r>
  <r>
    <d v="2026-06-26T13:57:00"/>
    <d v="2026-06-29T09:49:00"/>
    <n v="4.8666666666395031"/>
    <n v="1045.4794520606299"/>
    <x v="1"/>
    <s v="0011"/>
    <m/>
    <s v="26176/01"/>
    <s v="Envase"/>
    <n v="5088"/>
    <s v="MRARBS07"/>
    <s v="BODY SPLASH LEAO DO DESERTO BOURBON 200ml"/>
    <n v="215"/>
    <s v="ml"/>
    <x v="0"/>
    <x v="1"/>
    <s v="BODY SPLASH"/>
    <x v="1"/>
    <m/>
    <m/>
    <m/>
    <m/>
    <m/>
    <m/>
    <m/>
    <m/>
    <m/>
    <m/>
    <m/>
    <m/>
    <m/>
    <m/>
    <m/>
    <m/>
    <m/>
    <m/>
    <m/>
    <d v="2026-06-26T13:57:00"/>
    <d v="2026-06-26T13:57:00"/>
    <d v="1899-12-30T00:00:00"/>
    <m/>
    <m/>
    <m/>
    <m/>
    <m/>
    <m/>
    <m/>
    <m/>
    <m/>
    <m/>
    <m/>
    <x v="1"/>
    <x v="4"/>
  </r>
  <r>
    <d v="2026-06-29T08:11:00"/>
    <d v="2026-06-30T07:30:00"/>
    <n v="8.3166666668257676"/>
    <n v="202.24448897408689"/>
    <x v="3"/>
    <s v="HABIBI 01"/>
    <m/>
    <s v="26177/04"/>
    <s v="Envase"/>
    <n v="1682"/>
    <s v="HBHD0003"/>
    <s v="HIDRATANTE BISNAGA ROSA SUBLIME 200g"/>
    <n v="200"/>
    <s v="g"/>
    <x v="18"/>
    <x v="0"/>
    <s v="CREME HIDRATANTE"/>
    <x v="2"/>
    <m/>
    <m/>
    <m/>
    <m/>
    <m/>
    <m/>
    <m/>
    <m/>
    <m/>
    <m/>
    <m/>
    <m/>
    <m/>
    <m/>
    <m/>
    <m/>
    <m/>
    <m/>
    <m/>
    <d v="2026-06-29T08:10:00"/>
    <d v="2026-06-29T08:10:00"/>
    <d v="1899-12-30T00:00:00"/>
    <m/>
    <m/>
    <m/>
    <m/>
    <m/>
    <m/>
    <m/>
    <m/>
    <m/>
    <m/>
    <m/>
    <x v="1"/>
    <x v="4"/>
  </r>
  <r>
    <d v="2026-06-29T07:19:00"/>
    <d v="2026-06-29T11:38:00"/>
    <n v="4.3166666667675599"/>
    <n v="1100.8494208236907"/>
    <x v="1"/>
    <s v="PROG 01 25/03/26"/>
    <m/>
    <s v="26180/02"/>
    <s v="Envase"/>
    <n v="4752"/>
    <s v="MRARBS01"/>
    <s v="BODY SPLASH AURORA IMPERIAL"/>
    <n v="220"/>
    <s v="ml"/>
    <x v="0"/>
    <x v="1"/>
    <s v="BODY SPLASH"/>
    <x v="1"/>
    <m/>
    <m/>
    <m/>
    <m/>
    <m/>
    <m/>
    <m/>
    <m/>
    <m/>
    <m/>
    <m/>
    <m/>
    <m/>
    <m/>
    <m/>
    <m/>
    <m/>
    <m/>
    <m/>
    <d v="2026-06-29T07:00:00"/>
    <d v="2026-06-29T07:18:00"/>
    <d v="1899-12-30T00:18:00"/>
    <m/>
    <m/>
    <m/>
    <m/>
    <m/>
    <m/>
    <m/>
    <m/>
    <m/>
    <m/>
    <m/>
    <x v="1"/>
    <x v="4"/>
  </r>
  <r>
    <d v="2026-06-26T08:10:00"/>
    <d v="2026-06-26T14:00:00"/>
    <n v="4.8333333333139308"/>
    <n v="923.5862069002593"/>
    <x v="1"/>
    <s v="0011"/>
    <m/>
    <s v="26175/01"/>
    <s v="Envase"/>
    <n v="4464"/>
    <s v="MRARBS07"/>
    <s v="BODY SPLASH LEAO DO DESERTO BOURBON 200ml"/>
    <n v="215"/>
    <s v="ml"/>
    <x v="0"/>
    <x v="1"/>
    <s v="BODY SPLASH"/>
    <x v="1"/>
    <m/>
    <m/>
    <m/>
    <m/>
    <m/>
    <m/>
    <m/>
    <m/>
    <m/>
    <m/>
    <m/>
    <m/>
    <m/>
    <m/>
    <m/>
    <m/>
    <m/>
    <m/>
    <m/>
    <d v="2026-06-26T08:09:00"/>
    <d v="2026-06-26T08:10:00"/>
    <d v="1899-12-30T00:01:00"/>
    <m/>
    <m/>
    <m/>
    <m/>
    <m/>
    <m/>
    <m/>
    <m/>
    <m/>
    <m/>
    <m/>
    <x v="1"/>
    <x v="4"/>
  </r>
  <r>
    <d v="2026-06-26T07:25:00"/>
    <d v="2026-06-26T11:10:00"/>
    <n v="3.75"/>
    <n v="355.73333333333335"/>
    <x v="3"/>
    <s v="HABIBI 01"/>
    <m/>
    <s v="26176/03"/>
    <s v="Envase"/>
    <n v="1334"/>
    <s v="HBHD0002"/>
    <s v="HIDRATANTE BISNAGA IMPERIUM 200g"/>
    <n v="200"/>
    <s v="g"/>
    <x v="18"/>
    <x v="0"/>
    <s v="CREME HIDRATANTE"/>
    <x v="2"/>
    <m/>
    <m/>
    <m/>
    <m/>
    <m/>
    <m/>
    <m/>
    <m/>
    <m/>
    <m/>
    <m/>
    <m/>
    <m/>
    <m/>
    <m/>
    <m/>
    <m/>
    <m/>
    <m/>
    <d v="2026-06-26T07:20:00"/>
    <d v="2026-06-26T07:25:00"/>
    <d v="1899-12-30T00:05:00"/>
    <m/>
    <m/>
    <m/>
    <m/>
    <m/>
    <m/>
    <m/>
    <m/>
    <m/>
    <m/>
    <m/>
    <x v="1"/>
    <x v="4"/>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s v="-"/>
    <s v="-"/>
    <s v="-"/>
    <x v="1"/>
    <x v="6"/>
    <s v="-"/>
    <x v="5"/>
    <m/>
    <m/>
    <m/>
    <m/>
    <m/>
    <m/>
    <m/>
    <m/>
    <m/>
    <m/>
    <m/>
    <m/>
    <m/>
    <m/>
    <m/>
    <m/>
    <m/>
    <m/>
    <m/>
    <m/>
    <m/>
    <s v=""/>
    <m/>
    <m/>
    <m/>
    <m/>
    <m/>
    <m/>
    <m/>
    <m/>
    <m/>
    <m/>
    <m/>
    <x v="2"/>
    <x v="12"/>
  </r>
  <r>
    <m/>
    <m/>
    <n v="0"/>
    <s v=""/>
    <x v="0"/>
    <m/>
    <m/>
    <m/>
    <m/>
    <m/>
    <m/>
    <m/>
    <s v="-"/>
    <s v="-"/>
    <x v="1"/>
    <x v="6"/>
    <s v="-"/>
    <x v="5"/>
    <m/>
    <m/>
    <m/>
    <m/>
    <m/>
    <m/>
    <m/>
    <m/>
    <m/>
    <m/>
    <m/>
    <m/>
    <m/>
    <m/>
    <m/>
    <m/>
    <m/>
    <m/>
    <m/>
    <m/>
    <m/>
    <s v=""/>
    <m/>
    <m/>
    <m/>
    <m/>
    <m/>
    <m/>
    <m/>
    <m/>
    <m/>
    <m/>
    <m/>
    <x v="2"/>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274ACC-B9D1-4366-A6BD-F5FA7FFC6A35}"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1">
  <location ref="A3:D17" firstHeaderRow="1" firstDataRow="2" firstDataCol="1"/>
  <pivotFields count="53">
    <pivotField numFmtId="164"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axis="axisRow" showAll="0">
      <items count="15">
        <item x="0"/>
        <item x="11"/>
        <item x="1"/>
        <item x="2"/>
        <item x="3"/>
        <item x="4"/>
        <item x="5"/>
        <item x="6"/>
        <item x="7"/>
        <item x="8"/>
        <item x="9"/>
        <item x="10"/>
        <item x="12"/>
        <item m="1" x="13"/>
        <item t="default"/>
      </items>
    </pivotField>
  </pivotFields>
  <rowFields count="1">
    <field x="52"/>
  </rowFields>
  <rowItems count="13">
    <i>
      <x/>
    </i>
    <i>
      <x v="1"/>
    </i>
    <i>
      <x v="2"/>
    </i>
    <i>
      <x v="3"/>
    </i>
    <i>
      <x v="4"/>
    </i>
    <i>
      <x v="5"/>
    </i>
    <i>
      <x v="6"/>
    </i>
    <i>
      <x v="7"/>
    </i>
    <i>
      <x v="8"/>
    </i>
    <i>
      <x v="9"/>
    </i>
    <i>
      <x v="10"/>
    </i>
    <i>
      <x v="11"/>
    </i>
    <i t="grand">
      <x/>
    </i>
  </rowItems>
  <colFields count="1">
    <field x="51"/>
  </colFields>
  <colItems count="3">
    <i>
      <x/>
    </i>
    <i>
      <x v="1"/>
    </i>
    <i t="grand">
      <x/>
    </i>
  </colItems>
  <dataFields count="1">
    <dataField name="Sum of Unidades" fld="9" baseField="0" baseItem="0" numFmtId="3"/>
  </dataFields>
  <formats count="72">
    <format dxfId="1949">
      <pivotArea outline="0" collapsedLevelsAreSubtotals="1" fieldPosition="0">
        <references count="1">
          <reference field="4294967294" count="1" selected="0">
            <x v="0"/>
          </reference>
        </references>
      </pivotArea>
    </format>
    <format dxfId="1948">
      <pivotArea dataOnly="0" labelOnly="1" outline="0" axis="axisValues" fieldPosition="0"/>
    </format>
    <format dxfId="1947">
      <pivotArea dataOnly="0" labelOnly="1" outline="0" axis="axisValues" fieldPosition="0"/>
    </format>
    <format dxfId="1946">
      <pivotArea dataOnly="0" grandRow="1" fieldPosition="0"/>
    </format>
    <format dxfId="1945">
      <pivotArea dataOnly="0" grandRow="1" fieldPosition="0"/>
    </format>
    <format dxfId="1944">
      <pivotArea type="all" dataOnly="0" outline="0" fieldPosition="0"/>
    </format>
    <format dxfId="1943">
      <pivotArea outline="0" collapsedLevelsAreSubtotals="1" fieldPosition="0"/>
    </format>
    <format dxfId="1942">
      <pivotArea dataOnly="0" labelOnly="1" grandRow="1" outline="0" fieldPosition="0"/>
    </format>
    <format dxfId="1941">
      <pivotArea dataOnly="0" labelOnly="1" outline="0" axis="axisValues" fieldPosition="0"/>
    </format>
    <format dxfId="1940">
      <pivotArea collapsedLevelsAreSubtotals="1" fieldPosition="0">
        <references count="2">
          <reference field="51" count="1" selected="0">
            <x v="0"/>
          </reference>
          <reference field="52" count="1">
            <x v="0"/>
          </reference>
        </references>
      </pivotArea>
    </format>
    <format dxfId="1939">
      <pivotArea collapsedLevelsAreSubtotals="1" fieldPosition="0">
        <references count="2">
          <reference field="51" count="1" selected="0">
            <x v="1"/>
          </reference>
          <reference field="52" count="1">
            <x v="0"/>
          </reference>
        </references>
      </pivotArea>
    </format>
    <format dxfId="1938">
      <pivotArea field="52" grandCol="1" collapsedLevelsAreSubtotals="1" axis="axisRow" fieldPosition="0">
        <references count="1">
          <reference field="52" count="1">
            <x v="0"/>
          </reference>
        </references>
      </pivotArea>
    </format>
    <format dxfId="1937">
      <pivotArea collapsedLevelsAreSubtotals="1" fieldPosition="0">
        <references count="2">
          <reference field="51" count="1" selected="0">
            <x v="0"/>
          </reference>
          <reference field="52" count="1">
            <x v="1"/>
          </reference>
        </references>
      </pivotArea>
    </format>
    <format dxfId="1936">
      <pivotArea collapsedLevelsAreSubtotals="1" fieldPosition="0">
        <references count="2">
          <reference field="51" count="1" selected="0">
            <x v="1"/>
          </reference>
          <reference field="52" count="1">
            <x v="1"/>
          </reference>
        </references>
      </pivotArea>
    </format>
    <format dxfId="1935">
      <pivotArea field="52" grandCol="1" collapsedLevelsAreSubtotals="1" axis="axisRow" fieldPosition="0">
        <references count="1">
          <reference field="52" count="1">
            <x v="1"/>
          </reference>
        </references>
      </pivotArea>
    </format>
    <format dxfId="1934">
      <pivotArea collapsedLevelsAreSubtotals="1" fieldPosition="0">
        <references count="2">
          <reference field="51" count="1" selected="0">
            <x v="0"/>
          </reference>
          <reference field="52" count="1">
            <x v="2"/>
          </reference>
        </references>
      </pivotArea>
    </format>
    <format dxfId="1933">
      <pivotArea collapsedLevelsAreSubtotals="1" fieldPosition="0">
        <references count="2">
          <reference field="51" count="1" selected="0">
            <x v="1"/>
          </reference>
          <reference field="52" count="1">
            <x v="2"/>
          </reference>
        </references>
      </pivotArea>
    </format>
    <format dxfId="1932">
      <pivotArea field="52" grandCol="1" collapsedLevelsAreSubtotals="1" axis="axisRow" fieldPosition="0">
        <references count="1">
          <reference field="52" count="1">
            <x v="2"/>
          </reference>
        </references>
      </pivotArea>
    </format>
    <format dxfId="1931">
      <pivotArea collapsedLevelsAreSubtotals="1" fieldPosition="0">
        <references count="2">
          <reference field="51" count="1" selected="0">
            <x v="0"/>
          </reference>
          <reference field="52" count="1">
            <x v="3"/>
          </reference>
        </references>
      </pivotArea>
    </format>
    <format dxfId="1930">
      <pivotArea collapsedLevelsAreSubtotals="1" fieldPosition="0">
        <references count="2">
          <reference field="51" count="1" selected="0">
            <x v="1"/>
          </reference>
          <reference field="52" count="1">
            <x v="3"/>
          </reference>
        </references>
      </pivotArea>
    </format>
    <format dxfId="1929">
      <pivotArea field="52" grandCol="1" collapsedLevelsAreSubtotals="1" axis="axisRow" fieldPosition="0">
        <references count="1">
          <reference field="52" count="1">
            <x v="3"/>
          </reference>
        </references>
      </pivotArea>
    </format>
    <format dxfId="1928">
      <pivotArea collapsedLevelsAreSubtotals="1" fieldPosition="0">
        <references count="2">
          <reference field="51" count="1" selected="0">
            <x v="0"/>
          </reference>
          <reference field="52" count="1">
            <x v="4"/>
          </reference>
        </references>
      </pivotArea>
    </format>
    <format dxfId="1927">
      <pivotArea collapsedLevelsAreSubtotals="1" fieldPosition="0">
        <references count="2">
          <reference field="51" count="1" selected="0">
            <x v="1"/>
          </reference>
          <reference field="52" count="1">
            <x v="4"/>
          </reference>
        </references>
      </pivotArea>
    </format>
    <format dxfId="1926">
      <pivotArea field="52" grandCol="1" collapsedLevelsAreSubtotals="1" axis="axisRow" fieldPosition="0">
        <references count="1">
          <reference field="52" count="1">
            <x v="4"/>
          </reference>
        </references>
      </pivotArea>
    </format>
    <format dxfId="1925">
      <pivotArea collapsedLevelsAreSubtotals="1" fieldPosition="0">
        <references count="2">
          <reference field="51" count="1" selected="0">
            <x v="0"/>
          </reference>
          <reference field="52" count="1">
            <x v="5"/>
          </reference>
        </references>
      </pivotArea>
    </format>
    <format dxfId="1924">
      <pivotArea collapsedLevelsAreSubtotals="1" fieldPosition="0">
        <references count="2">
          <reference field="51" count="1" selected="0">
            <x v="1"/>
          </reference>
          <reference field="52" count="1">
            <x v="5"/>
          </reference>
        </references>
      </pivotArea>
    </format>
    <format dxfId="1923">
      <pivotArea field="52" grandCol="1" collapsedLevelsAreSubtotals="1" axis="axisRow" fieldPosition="0">
        <references count="1">
          <reference field="52" count="1">
            <x v="5"/>
          </reference>
        </references>
      </pivotArea>
    </format>
    <format dxfId="1922">
      <pivotArea collapsedLevelsAreSubtotals="1" fieldPosition="0">
        <references count="2">
          <reference field="51" count="1" selected="0">
            <x v="0"/>
          </reference>
          <reference field="52" count="1">
            <x v="6"/>
          </reference>
        </references>
      </pivotArea>
    </format>
    <format dxfId="1921">
      <pivotArea collapsedLevelsAreSubtotals="1" fieldPosition="0">
        <references count="2">
          <reference field="51" count="1" selected="0">
            <x v="1"/>
          </reference>
          <reference field="52" count="1">
            <x v="6"/>
          </reference>
        </references>
      </pivotArea>
    </format>
    <format dxfId="1920">
      <pivotArea field="52" grandCol="1" collapsedLevelsAreSubtotals="1" axis="axisRow" fieldPosition="0">
        <references count="1">
          <reference field="52" count="1">
            <x v="6"/>
          </reference>
        </references>
      </pivotArea>
    </format>
    <format dxfId="1919">
      <pivotArea collapsedLevelsAreSubtotals="1" fieldPosition="0">
        <references count="2">
          <reference field="51" count="1" selected="0">
            <x v="0"/>
          </reference>
          <reference field="52" count="1">
            <x v="7"/>
          </reference>
        </references>
      </pivotArea>
    </format>
    <format dxfId="1918">
      <pivotArea collapsedLevelsAreSubtotals="1" fieldPosition="0">
        <references count="2">
          <reference field="51" count="1" selected="0">
            <x v="1"/>
          </reference>
          <reference field="52" count="1">
            <x v="7"/>
          </reference>
        </references>
      </pivotArea>
    </format>
    <format dxfId="1917">
      <pivotArea field="52" grandCol="1" collapsedLevelsAreSubtotals="1" axis="axisRow" fieldPosition="0">
        <references count="1">
          <reference field="52" count="1">
            <x v="7"/>
          </reference>
        </references>
      </pivotArea>
    </format>
    <format dxfId="1916">
      <pivotArea collapsedLevelsAreSubtotals="1" fieldPosition="0">
        <references count="2">
          <reference field="51" count="1" selected="0">
            <x v="0"/>
          </reference>
          <reference field="52" count="1">
            <x v="8"/>
          </reference>
        </references>
      </pivotArea>
    </format>
    <format dxfId="1915">
      <pivotArea collapsedLevelsAreSubtotals="1" fieldPosition="0">
        <references count="2">
          <reference field="51" count="1" selected="0">
            <x v="1"/>
          </reference>
          <reference field="52" count="1">
            <x v="8"/>
          </reference>
        </references>
      </pivotArea>
    </format>
    <format dxfId="1914">
      <pivotArea field="52" grandCol="1" collapsedLevelsAreSubtotals="1" axis="axisRow" fieldPosition="0">
        <references count="1">
          <reference field="52" count="1">
            <x v="8"/>
          </reference>
        </references>
      </pivotArea>
    </format>
    <format dxfId="1913">
      <pivotArea collapsedLevelsAreSubtotals="1" fieldPosition="0">
        <references count="2">
          <reference field="51" count="1" selected="0">
            <x v="0"/>
          </reference>
          <reference field="52" count="1">
            <x v="9"/>
          </reference>
        </references>
      </pivotArea>
    </format>
    <format dxfId="1912">
      <pivotArea collapsedLevelsAreSubtotals="1" fieldPosition="0">
        <references count="2">
          <reference field="51" count="1" selected="0">
            <x v="1"/>
          </reference>
          <reference field="52" count="1">
            <x v="9"/>
          </reference>
        </references>
      </pivotArea>
    </format>
    <format dxfId="1911">
      <pivotArea field="52" grandCol="1" collapsedLevelsAreSubtotals="1" axis="axisRow" fieldPosition="0">
        <references count="1">
          <reference field="52" count="1">
            <x v="9"/>
          </reference>
        </references>
      </pivotArea>
    </format>
    <format dxfId="1910">
      <pivotArea collapsedLevelsAreSubtotals="1" fieldPosition="0">
        <references count="2">
          <reference field="51" count="1" selected="0">
            <x v="0"/>
          </reference>
          <reference field="52" count="1">
            <x v="10"/>
          </reference>
        </references>
      </pivotArea>
    </format>
    <format dxfId="1909">
      <pivotArea collapsedLevelsAreSubtotals="1" fieldPosition="0">
        <references count="2">
          <reference field="51" count="1" selected="0">
            <x v="1"/>
          </reference>
          <reference field="52" count="1">
            <x v="10"/>
          </reference>
        </references>
      </pivotArea>
    </format>
    <format dxfId="1908">
      <pivotArea field="52" grandCol="1" collapsedLevelsAreSubtotals="1" axis="axisRow" fieldPosition="0">
        <references count="1">
          <reference field="52" count="1">
            <x v="10"/>
          </reference>
        </references>
      </pivotArea>
    </format>
    <format dxfId="1907">
      <pivotArea collapsedLevelsAreSubtotals="1" fieldPosition="0">
        <references count="2">
          <reference field="51" count="1" selected="0">
            <x v="0"/>
          </reference>
          <reference field="52" count="1">
            <x v="11"/>
          </reference>
        </references>
      </pivotArea>
    </format>
    <format dxfId="1906">
      <pivotArea collapsedLevelsAreSubtotals="1" fieldPosition="0">
        <references count="2">
          <reference field="51" count="1" selected="0">
            <x v="1"/>
          </reference>
          <reference field="52" count="1">
            <x v="11"/>
          </reference>
        </references>
      </pivotArea>
    </format>
    <format dxfId="1905">
      <pivotArea field="52" grandCol="1" collapsedLevelsAreSubtotals="1" axis="axisRow" fieldPosition="0">
        <references count="1">
          <reference field="52" count="1">
            <x v="11"/>
          </reference>
        </references>
      </pivotArea>
    </format>
    <format dxfId="1904">
      <pivotArea field="51" grandRow="1" outline="0" collapsedLevelsAreSubtotals="1" axis="axisCol" fieldPosition="0">
        <references count="1">
          <reference field="51" count="1" selected="0">
            <x v="0"/>
          </reference>
        </references>
      </pivotArea>
    </format>
    <format dxfId="1903">
      <pivotArea field="51" grandRow="1" outline="0" collapsedLevelsAreSubtotals="1" axis="axisCol" fieldPosition="0">
        <references count="1">
          <reference field="51" count="1" selected="0">
            <x v="1"/>
          </reference>
        </references>
      </pivotArea>
    </format>
    <format dxfId="1902">
      <pivotArea grandRow="1" grandCol="1" outline="0" collapsedLevelsAreSubtotals="1" fieldPosition="0"/>
    </format>
    <format dxfId="1901">
      <pivotArea type="origin" dataOnly="0" labelOnly="1" outline="0" fieldPosition="0"/>
    </format>
    <format dxfId="1900">
      <pivotArea field="51" type="button" dataOnly="0" labelOnly="1" outline="0" axis="axisCol" fieldPosition="0"/>
    </format>
    <format dxfId="1899">
      <pivotArea type="topRight" dataOnly="0" labelOnly="1" outline="0" fieldPosition="0"/>
    </format>
    <format dxfId="1898">
      <pivotArea field="52" type="button" dataOnly="0" labelOnly="1" outline="0" axis="axisRow" fieldPosition="0"/>
    </format>
    <format dxfId="1897">
      <pivotArea dataOnly="0" labelOnly="1" fieldPosition="0">
        <references count="1">
          <reference field="51" count="0"/>
        </references>
      </pivotArea>
    </format>
    <format dxfId="1896">
      <pivotArea dataOnly="0" labelOnly="1" grandCol="1" outline="0" fieldPosition="0"/>
    </format>
    <format dxfId="1895">
      <pivotArea type="origin" dataOnly="0" labelOnly="1" outline="0" fieldPosition="0"/>
    </format>
    <format dxfId="1894">
      <pivotArea field="51" type="button" dataOnly="0" labelOnly="1" outline="0" axis="axisCol" fieldPosition="0"/>
    </format>
    <format dxfId="1893">
      <pivotArea type="topRight" dataOnly="0" labelOnly="1" outline="0" fieldPosition="0"/>
    </format>
    <format dxfId="1892">
      <pivotArea field="52" type="button" dataOnly="0" labelOnly="1" outline="0" axis="axisRow" fieldPosition="0"/>
    </format>
    <format dxfId="1891">
      <pivotArea dataOnly="0" labelOnly="1" fieldPosition="0">
        <references count="1">
          <reference field="51" count="0"/>
        </references>
      </pivotArea>
    </format>
    <format dxfId="1890">
      <pivotArea dataOnly="0" labelOnly="1" grandCol="1" outline="0" fieldPosition="0"/>
    </format>
    <format dxfId="1889">
      <pivotArea type="origin" dataOnly="0" labelOnly="1" outline="0" fieldPosition="0"/>
    </format>
    <format dxfId="1888">
      <pivotArea field="51" type="button" dataOnly="0" labelOnly="1" outline="0" axis="axisCol" fieldPosition="0"/>
    </format>
    <format dxfId="1887">
      <pivotArea type="topRight" dataOnly="0" labelOnly="1" outline="0" fieldPosition="0"/>
    </format>
    <format dxfId="1886">
      <pivotArea field="52" type="button" dataOnly="0" labelOnly="1" outline="0" axis="axisRow" fieldPosition="0"/>
    </format>
    <format dxfId="1885">
      <pivotArea dataOnly="0" labelOnly="1" fieldPosition="0">
        <references count="1">
          <reference field="51" count="0"/>
        </references>
      </pivotArea>
    </format>
    <format dxfId="1884">
      <pivotArea dataOnly="0" labelOnly="1" grandCol="1" outline="0" fieldPosition="0"/>
    </format>
    <format dxfId="1883">
      <pivotArea grandRow="1" outline="0" collapsedLevelsAreSubtotals="1" fieldPosition="0"/>
    </format>
    <format dxfId="1882">
      <pivotArea dataOnly="0" labelOnly="1" grandRow="1" outline="0" fieldPosition="0"/>
    </format>
    <format dxfId="1881">
      <pivotArea grandRow="1" outline="0" collapsedLevelsAreSubtotals="1" fieldPosition="0"/>
    </format>
    <format dxfId="1880">
      <pivotArea dataOnly="0" labelOnly="1" grandRow="1" outline="0" fieldPosition="0"/>
    </format>
    <format dxfId="1879">
      <pivotArea grandRow="1" outline="0" collapsedLevelsAreSubtotals="1" fieldPosition="0"/>
    </format>
    <format dxfId="1878">
      <pivotArea dataOnly="0" labelOnly="1" grandRow="1" outline="0" fieldPosition="0"/>
    </format>
  </formats>
  <chartFormats count="4">
    <chartFormat chart="0" format="0"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51" count="1" selected="0">
            <x v="1"/>
          </reference>
        </references>
      </pivotArea>
    </chartFormat>
    <chartFormat chart="0" format="4" series="1">
      <pivotArea type="data" outline="0" fieldPosition="0">
        <references count="2">
          <reference field="4294967294" count="1" selected="0">
            <x v="0"/>
          </reference>
          <reference field="51" count="1" selected="0">
            <x v="2"/>
          </reference>
        </references>
      </pivotArea>
    </chartFormat>
    <chartFormat chart="0" format="5" series="1">
      <pivotArea type="data" outline="0" fieldPosition="0">
        <references count="2">
          <reference field="4294967294" count="1" selected="0">
            <x v="0"/>
          </reference>
          <reference field="5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E04B60-C8AD-470F-9382-8CC1C8FDDE54}" name="PivotViscosida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9:G68" firstHeaderRow="1" firstDataRow="3" firstDataCol="1"/>
  <pivotFields count="53">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7">
        <item x="5"/>
        <item x="2"/>
        <item x="4"/>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showAll="0"/>
  </pivotFields>
  <rowFields count="1">
    <field x="17"/>
  </rowFields>
  <rowItems count="7">
    <i>
      <x/>
    </i>
    <i>
      <x v="1"/>
    </i>
    <i>
      <x v="2"/>
    </i>
    <i>
      <x v="3"/>
    </i>
    <i>
      <x v="4"/>
    </i>
    <i>
      <x v="5"/>
    </i>
    <i t="grand">
      <x/>
    </i>
  </rowItems>
  <colFields count="2">
    <field x="-2"/>
    <field x="51"/>
  </colFields>
  <colItems count="6">
    <i>
      <x/>
      <x/>
    </i>
    <i r="1">
      <x v="1"/>
    </i>
    <i i="1">
      <x v="1"/>
      <x/>
    </i>
    <i r="1" i="1">
      <x v="1"/>
    </i>
    <i t="grand">
      <x/>
    </i>
    <i t="grand" i="1">
      <x/>
    </i>
  </colItems>
  <dataFields count="2">
    <dataField name="Média de Unidades p/ Hora" fld="3" subtotal="average" baseField="0" baseItem="0"/>
    <dataField name="Sum of Unidades" fld="9" baseField="0" baseItem="0"/>
  </dataFields>
  <formats count="78">
    <format dxfId="2027">
      <pivotArea collapsedLevelsAreSubtotals="1" fieldPosition="0">
        <references count="3">
          <reference field="4294967294" count="1" selected="0">
            <x v="0"/>
          </reference>
          <reference field="17" count="1">
            <x v="0"/>
          </reference>
          <reference field="51" count="1" selected="0">
            <x v="0"/>
          </reference>
        </references>
      </pivotArea>
    </format>
    <format dxfId="2026">
      <pivotArea collapsedLevelsAreSubtotals="1" fieldPosition="0">
        <references count="3">
          <reference field="4294967294" count="1" selected="0">
            <x v="0"/>
          </reference>
          <reference field="17" count="1">
            <x v="0"/>
          </reference>
          <reference field="51" count="1" selected="0">
            <x v="1"/>
          </reference>
        </references>
      </pivotArea>
    </format>
    <format dxfId="2025">
      <pivotArea collapsedLevelsAreSubtotals="1" fieldPosition="0">
        <references count="3">
          <reference field="4294967294" count="1" selected="0">
            <x v="1"/>
          </reference>
          <reference field="17" count="1">
            <x v="0"/>
          </reference>
          <reference field="51" count="1" selected="0">
            <x v="0"/>
          </reference>
        </references>
      </pivotArea>
    </format>
    <format dxfId="2024">
      <pivotArea collapsedLevelsAreSubtotals="1" fieldPosition="0">
        <references count="3">
          <reference field="4294967294" count="1" selected="0">
            <x v="1"/>
          </reference>
          <reference field="17" count="1">
            <x v="0"/>
          </reference>
          <reference field="51" count="1" selected="0">
            <x v="1"/>
          </reference>
        </references>
      </pivotArea>
    </format>
    <format dxfId="2023">
      <pivotArea field="17" grandCol="1" collapsedLevelsAreSubtotals="1" axis="axisRow" fieldPosition="0">
        <references count="2">
          <reference field="4294967294" count="1" selected="0">
            <x v="0"/>
          </reference>
          <reference field="17" count="1">
            <x v="0"/>
          </reference>
        </references>
      </pivotArea>
    </format>
    <format dxfId="2022">
      <pivotArea field="17" grandCol="1" collapsedLevelsAreSubtotals="1" axis="axisRow" fieldPosition="0">
        <references count="2">
          <reference field="4294967294" count="1" selected="0">
            <x v="1"/>
          </reference>
          <reference field="17" count="1">
            <x v="0"/>
          </reference>
        </references>
      </pivotArea>
    </format>
    <format dxfId="2021">
      <pivotArea collapsedLevelsAreSubtotals="1" fieldPosition="0">
        <references count="3">
          <reference field="4294967294" count="1" selected="0">
            <x v="0"/>
          </reference>
          <reference field="17" count="1">
            <x v="1"/>
          </reference>
          <reference field="51" count="1" selected="0">
            <x v="0"/>
          </reference>
        </references>
      </pivotArea>
    </format>
    <format dxfId="2020">
      <pivotArea collapsedLevelsAreSubtotals="1" fieldPosition="0">
        <references count="3">
          <reference field="4294967294" count="1" selected="0">
            <x v="0"/>
          </reference>
          <reference field="17" count="1">
            <x v="1"/>
          </reference>
          <reference field="51" count="1" selected="0">
            <x v="1"/>
          </reference>
        </references>
      </pivotArea>
    </format>
    <format dxfId="2019">
      <pivotArea collapsedLevelsAreSubtotals="1" fieldPosition="0">
        <references count="3">
          <reference field="4294967294" count="1" selected="0">
            <x v="1"/>
          </reference>
          <reference field="17" count="1">
            <x v="1"/>
          </reference>
          <reference field="51" count="1" selected="0">
            <x v="0"/>
          </reference>
        </references>
      </pivotArea>
    </format>
    <format dxfId="2018">
      <pivotArea collapsedLevelsAreSubtotals="1" fieldPosition="0">
        <references count="3">
          <reference field="4294967294" count="1" selected="0">
            <x v="1"/>
          </reference>
          <reference field="17" count="1">
            <x v="1"/>
          </reference>
          <reference field="51" count="1" selected="0">
            <x v="1"/>
          </reference>
        </references>
      </pivotArea>
    </format>
    <format dxfId="2017">
      <pivotArea field="17" grandCol="1" collapsedLevelsAreSubtotals="1" axis="axisRow" fieldPosition="0">
        <references count="2">
          <reference field="4294967294" count="1" selected="0">
            <x v="0"/>
          </reference>
          <reference field="17" count="1">
            <x v="1"/>
          </reference>
        </references>
      </pivotArea>
    </format>
    <format dxfId="2016">
      <pivotArea field="17" grandCol="1" collapsedLevelsAreSubtotals="1" axis="axisRow" fieldPosition="0">
        <references count="2">
          <reference field="4294967294" count="1" selected="0">
            <x v="1"/>
          </reference>
          <reference field="17" count="1">
            <x v="1"/>
          </reference>
        </references>
      </pivotArea>
    </format>
    <format dxfId="2015">
      <pivotArea collapsedLevelsAreSubtotals="1" fieldPosition="0">
        <references count="3">
          <reference field="4294967294" count="1" selected="0">
            <x v="0"/>
          </reference>
          <reference field="17" count="1">
            <x v="2"/>
          </reference>
          <reference field="51" count="1" selected="0">
            <x v="0"/>
          </reference>
        </references>
      </pivotArea>
    </format>
    <format dxfId="2014">
      <pivotArea collapsedLevelsAreSubtotals="1" fieldPosition="0">
        <references count="3">
          <reference field="4294967294" count="1" selected="0">
            <x v="0"/>
          </reference>
          <reference field="17" count="1">
            <x v="2"/>
          </reference>
          <reference field="51" count="1" selected="0">
            <x v="1"/>
          </reference>
        </references>
      </pivotArea>
    </format>
    <format dxfId="2013">
      <pivotArea collapsedLevelsAreSubtotals="1" fieldPosition="0">
        <references count="3">
          <reference field="4294967294" count="1" selected="0">
            <x v="1"/>
          </reference>
          <reference field="17" count="1">
            <x v="2"/>
          </reference>
          <reference field="51" count="1" selected="0">
            <x v="0"/>
          </reference>
        </references>
      </pivotArea>
    </format>
    <format dxfId="2012">
      <pivotArea collapsedLevelsAreSubtotals="1" fieldPosition="0">
        <references count="3">
          <reference field="4294967294" count="1" selected="0">
            <x v="1"/>
          </reference>
          <reference field="17" count="1">
            <x v="2"/>
          </reference>
          <reference field="51" count="1" selected="0">
            <x v="1"/>
          </reference>
        </references>
      </pivotArea>
    </format>
    <format dxfId="2011">
      <pivotArea field="17" grandCol="1" collapsedLevelsAreSubtotals="1" axis="axisRow" fieldPosition="0">
        <references count="2">
          <reference field="4294967294" count="1" selected="0">
            <x v="0"/>
          </reference>
          <reference field="17" count="1">
            <x v="2"/>
          </reference>
        </references>
      </pivotArea>
    </format>
    <format dxfId="2010">
      <pivotArea field="17" grandCol="1" collapsedLevelsAreSubtotals="1" axis="axisRow" fieldPosition="0">
        <references count="2">
          <reference field="4294967294" count="1" selected="0">
            <x v="1"/>
          </reference>
          <reference field="17" count="1">
            <x v="2"/>
          </reference>
        </references>
      </pivotArea>
    </format>
    <format dxfId="2009">
      <pivotArea collapsedLevelsAreSubtotals="1" fieldPosition="0">
        <references count="3">
          <reference field="4294967294" count="1" selected="0">
            <x v="0"/>
          </reference>
          <reference field="17" count="1">
            <x v="3"/>
          </reference>
          <reference field="51" count="1" selected="0">
            <x v="0"/>
          </reference>
        </references>
      </pivotArea>
    </format>
    <format dxfId="2008">
      <pivotArea collapsedLevelsAreSubtotals="1" fieldPosition="0">
        <references count="3">
          <reference field="4294967294" count="1" selected="0">
            <x v="0"/>
          </reference>
          <reference field="17" count="1">
            <x v="3"/>
          </reference>
          <reference field="51" count="1" selected="0">
            <x v="1"/>
          </reference>
        </references>
      </pivotArea>
    </format>
    <format dxfId="2007">
      <pivotArea collapsedLevelsAreSubtotals="1" fieldPosition="0">
        <references count="3">
          <reference field="4294967294" count="1" selected="0">
            <x v="1"/>
          </reference>
          <reference field="17" count="1">
            <x v="3"/>
          </reference>
          <reference field="51" count="1" selected="0">
            <x v="0"/>
          </reference>
        </references>
      </pivotArea>
    </format>
    <format dxfId="2006">
      <pivotArea collapsedLevelsAreSubtotals="1" fieldPosition="0">
        <references count="3">
          <reference field="4294967294" count="1" selected="0">
            <x v="1"/>
          </reference>
          <reference field="17" count="1">
            <x v="3"/>
          </reference>
          <reference field="51" count="1" selected="0">
            <x v="1"/>
          </reference>
        </references>
      </pivotArea>
    </format>
    <format dxfId="2005">
      <pivotArea field="17" grandCol="1" collapsedLevelsAreSubtotals="1" axis="axisRow" fieldPosition="0">
        <references count="2">
          <reference field="4294967294" count="1" selected="0">
            <x v="0"/>
          </reference>
          <reference field="17" count="1">
            <x v="3"/>
          </reference>
        </references>
      </pivotArea>
    </format>
    <format dxfId="2004">
      <pivotArea field="17" grandCol="1" collapsedLevelsAreSubtotals="1" axis="axisRow" fieldPosition="0">
        <references count="2">
          <reference field="4294967294" count="1" selected="0">
            <x v="1"/>
          </reference>
          <reference field="17" count="1">
            <x v="3"/>
          </reference>
        </references>
      </pivotArea>
    </format>
    <format dxfId="2003">
      <pivotArea collapsedLevelsAreSubtotals="1" fieldPosition="0">
        <references count="3">
          <reference field="4294967294" count="1" selected="0">
            <x v="0"/>
          </reference>
          <reference field="17" count="1">
            <x v="4"/>
          </reference>
          <reference field="51" count="1" selected="0">
            <x v="0"/>
          </reference>
        </references>
      </pivotArea>
    </format>
    <format dxfId="2002">
      <pivotArea collapsedLevelsAreSubtotals="1" fieldPosition="0">
        <references count="3">
          <reference field="4294967294" count="1" selected="0">
            <x v="0"/>
          </reference>
          <reference field="17" count="1">
            <x v="4"/>
          </reference>
          <reference field="51" count="1" selected="0">
            <x v="1"/>
          </reference>
        </references>
      </pivotArea>
    </format>
    <format dxfId="2001">
      <pivotArea collapsedLevelsAreSubtotals="1" fieldPosition="0">
        <references count="3">
          <reference field="4294967294" count="1" selected="0">
            <x v="1"/>
          </reference>
          <reference field="17" count="1">
            <x v="4"/>
          </reference>
          <reference field="51" count="1" selected="0">
            <x v="0"/>
          </reference>
        </references>
      </pivotArea>
    </format>
    <format dxfId="2000">
      <pivotArea collapsedLevelsAreSubtotals="1" fieldPosition="0">
        <references count="3">
          <reference field="4294967294" count="1" selected="0">
            <x v="1"/>
          </reference>
          <reference field="17" count="1">
            <x v="4"/>
          </reference>
          <reference field="51" count="1" selected="0">
            <x v="1"/>
          </reference>
        </references>
      </pivotArea>
    </format>
    <format dxfId="1999">
      <pivotArea field="17" grandCol="1" collapsedLevelsAreSubtotals="1" axis="axisRow" fieldPosition="0">
        <references count="2">
          <reference field="4294967294" count="1" selected="0">
            <x v="0"/>
          </reference>
          <reference field="17" count="1">
            <x v="4"/>
          </reference>
        </references>
      </pivotArea>
    </format>
    <format dxfId="1998">
      <pivotArea field="17" grandCol="1" collapsedLevelsAreSubtotals="1" axis="axisRow" fieldPosition="0">
        <references count="2">
          <reference field="4294967294" count="1" selected="0">
            <x v="1"/>
          </reference>
          <reference field="17" count="1">
            <x v="4"/>
          </reference>
        </references>
      </pivotArea>
    </format>
    <format dxfId="1997">
      <pivotArea collapsedLevelsAreSubtotals="1" fieldPosition="0">
        <references count="3">
          <reference field="4294967294" count="1" selected="0">
            <x v="0"/>
          </reference>
          <reference field="17" count="1">
            <x v="5"/>
          </reference>
          <reference field="51" count="1" selected="0">
            <x v="0"/>
          </reference>
        </references>
      </pivotArea>
    </format>
    <format dxfId="1996">
      <pivotArea collapsedLevelsAreSubtotals="1" fieldPosition="0">
        <references count="3">
          <reference field="4294967294" count="1" selected="0">
            <x v="0"/>
          </reference>
          <reference field="17" count="1">
            <x v="5"/>
          </reference>
          <reference field="51" count="1" selected="0">
            <x v="1"/>
          </reference>
        </references>
      </pivotArea>
    </format>
    <format dxfId="1995">
      <pivotArea collapsedLevelsAreSubtotals="1" fieldPosition="0">
        <references count="3">
          <reference field="4294967294" count="1" selected="0">
            <x v="1"/>
          </reference>
          <reference field="17" count="1">
            <x v="5"/>
          </reference>
          <reference field="51" count="1" selected="0">
            <x v="0"/>
          </reference>
        </references>
      </pivotArea>
    </format>
    <format dxfId="1994">
      <pivotArea collapsedLevelsAreSubtotals="1" fieldPosition="0">
        <references count="3">
          <reference field="4294967294" count="1" selected="0">
            <x v="1"/>
          </reference>
          <reference field="17" count="1">
            <x v="5"/>
          </reference>
          <reference field="51" count="1" selected="0">
            <x v="1"/>
          </reference>
        </references>
      </pivotArea>
    </format>
    <format dxfId="1993">
      <pivotArea field="17" grandCol="1" collapsedLevelsAreSubtotals="1" axis="axisRow" fieldPosition="0">
        <references count="2">
          <reference field="4294967294" count="1" selected="0">
            <x v="0"/>
          </reference>
          <reference field="17" count="1">
            <x v="5"/>
          </reference>
        </references>
      </pivotArea>
    </format>
    <format dxfId="1992">
      <pivotArea field="17" grandCol="1" collapsedLevelsAreSubtotals="1" axis="axisRow" fieldPosition="0">
        <references count="2">
          <reference field="4294967294" count="1" selected="0">
            <x v="1"/>
          </reference>
          <reference field="17" count="1">
            <x v="5"/>
          </reference>
        </references>
      </pivotArea>
    </format>
    <format dxfId="1991">
      <pivotArea field="51" grandRow="1" outline="0" collapsedLevelsAreSubtotals="1" axis="axisCol" fieldPosition="1">
        <references count="2">
          <reference field="4294967294" count="1" selected="0">
            <x v="0"/>
          </reference>
          <reference field="51" count="1" selected="0">
            <x v="0"/>
          </reference>
        </references>
      </pivotArea>
    </format>
    <format dxfId="1990">
      <pivotArea field="51" grandRow="1" outline="0" collapsedLevelsAreSubtotals="1" axis="axisCol" fieldPosition="1">
        <references count="2">
          <reference field="4294967294" count="1" selected="0">
            <x v="0"/>
          </reference>
          <reference field="51" count="1" selected="0">
            <x v="1"/>
          </reference>
        </references>
      </pivotArea>
    </format>
    <format dxfId="1989">
      <pivotArea field="51" grandRow="1" outline="0" collapsedLevelsAreSubtotals="1" axis="axisCol" fieldPosition="1">
        <references count="2">
          <reference field="4294967294" count="1" selected="0">
            <x v="1"/>
          </reference>
          <reference field="51" count="1" selected="0">
            <x v="0"/>
          </reference>
        </references>
      </pivotArea>
    </format>
    <format dxfId="1988">
      <pivotArea field="51" grandRow="1" outline="0" collapsedLevelsAreSubtotals="1" axis="axisCol" fieldPosition="1">
        <references count="2">
          <reference field="4294967294" count="1" selected="0">
            <x v="1"/>
          </reference>
          <reference field="51" count="1" selected="0">
            <x v="1"/>
          </reference>
        </references>
      </pivotArea>
    </format>
    <format dxfId="1987">
      <pivotArea grandRow="1" grandCol="1" outline="0" collapsedLevelsAreSubtotals="1" fieldPosition="0">
        <references count="1">
          <reference field="4294967294" count="1" selected="0">
            <x v="0"/>
          </reference>
        </references>
      </pivotArea>
    </format>
    <format dxfId="1986">
      <pivotArea grandRow="1" grandCol="1" outline="0" collapsedLevelsAreSubtotals="1" fieldPosition="0">
        <references count="1">
          <reference field="4294967294" count="1" selected="0">
            <x v="1"/>
          </reference>
        </references>
      </pivotArea>
    </format>
    <format dxfId="1985">
      <pivotArea type="origin" dataOnly="0" labelOnly="1" outline="0" fieldPosition="0"/>
    </format>
    <format dxfId="1984">
      <pivotArea field="-2" type="button" dataOnly="0" labelOnly="1" outline="0" axis="axisCol" fieldPosition="0"/>
    </format>
    <format dxfId="1983">
      <pivotArea field="51" type="button" dataOnly="0" labelOnly="1" outline="0" axis="axisCol" fieldPosition="1"/>
    </format>
    <format dxfId="1982">
      <pivotArea type="topRight" dataOnly="0" labelOnly="1" outline="0" fieldPosition="0"/>
    </format>
    <format dxfId="1981">
      <pivotArea field="17" type="button" dataOnly="0" labelOnly="1" outline="0" axis="axisRow" fieldPosition="0"/>
    </format>
    <format dxfId="1980">
      <pivotArea dataOnly="0" labelOnly="1" outline="0" fieldPosition="0">
        <references count="1">
          <reference field="4294967294" count="2">
            <x v="0"/>
            <x v="1"/>
          </reference>
        </references>
      </pivotArea>
    </format>
    <format dxfId="1979">
      <pivotArea field="51" dataOnly="0" labelOnly="1" grandCol="1" outline="0" axis="axisCol" fieldPosition="1">
        <references count="1">
          <reference field="4294967294" count="1" selected="0">
            <x v="0"/>
          </reference>
        </references>
      </pivotArea>
    </format>
    <format dxfId="1978">
      <pivotArea field="51" dataOnly="0" labelOnly="1" grandCol="1" outline="0" axis="axisCol" fieldPosition="1">
        <references count="1">
          <reference field="4294967294" count="1" selected="0">
            <x v="1"/>
          </reference>
        </references>
      </pivotArea>
    </format>
    <format dxfId="1977">
      <pivotArea dataOnly="0" labelOnly="1" fieldPosition="0">
        <references count="2">
          <reference field="4294967294" count="1" selected="0">
            <x v="0"/>
          </reference>
          <reference field="51" count="0"/>
        </references>
      </pivotArea>
    </format>
    <format dxfId="1976">
      <pivotArea dataOnly="0" labelOnly="1" fieldPosition="0">
        <references count="2">
          <reference field="4294967294" count="1" selected="0">
            <x v="1"/>
          </reference>
          <reference field="51" count="0"/>
        </references>
      </pivotArea>
    </format>
    <format dxfId="1975">
      <pivotArea type="origin" dataOnly="0" labelOnly="1" outline="0" fieldPosition="0"/>
    </format>
    <format dxfId="1974">
      <pivotArea field="-2" type="button" dataOnly="0" labelOnly="1" outline="0" axis="axisCol" fieldPosition="0"/>
    </format>
    <format dxfId="1973">
      <pivotArea field="51" type="button" dataOnly="0" labelOnly="1" outline="0" axis="axisCol" fieldPosition="1"/>
    </format>
    <format dxfId="1972">
      <pivotArea type="topRight" dataOnly="0" labelOnly="1" outline="0" fieldPosition="0"/>
    </format>
    <format dxfId="1971">
      <pivotArea field="17" type="button" dataOnly="0" labelOnly="1" outline="0" axis="axisRow" fieldPosition="0"/>
    </format>
    <format dxfId="1970">
      <pivotArea dataOnly="0" labelOnly="1" outline="0" fieldPosition="0">
        <references count="1">
          <reference field="4294967294" count="2">
            <x v="0"/>
            <x v="1"/>
          </reference>
        </references>
      </pivotArea>
    </format>
    <format dxfId="1969">
      <pivotArea field="51" dataOnly="0" labelOnly="1" grandCol="1" outline="0" axis="axisCol" fieldPosition="1">
        <references count="1">
          <reference field="4294967294" count="1" selected="0">
            <x v="0"/>
          </reference>
        </references>
      </pivotArea>
    </format>
    <format dxfId="1968">
      <pivotArea field="51" dataOnly="0" labelOnly="1" grandCol="1" outline="0" axis="axisCol" fieldPosition="1">
        <references count="1">
          <reference field="4294967294" count="1" selected="0">
            <x v="1"/>
          </reference>
        </references>
      </pivotArea>
    </format>
    <format dxfId="1967">
      <pivotArea dataOnly="0" labelOnly="1" fieldPosition="0">
        <references count="2">
          <reference field="4294967294" count="1" selected="0">
            <x v="0"/>
          </reference>
          <reference field="51" count="0"/>
        </references>
      </pivotArea>
    </format>
    <format dxfId="1966">
      <pivotArea dataOnly="0" labelOnly="1" fieldPosition="0">
        <references count="2">
          <reference field="4294967294" count="1" selected="0">
            <x v="1"/>
          </reference>
          <reference field="51" count="0"/>
        </references>
      </pivotArea>
    </format>
    <format dxfId="1965">
      <pivotArea type="origin" dataOnly="0" labelOnly="1" outline="0" fieldPosition="0"/>
    </format>
    <format dxfId="1964">
      <pivotArea field="-2" type="button" dataOnly="0" labelOnly="1" outline="0" axis="axisCol" fieldPosition="0"/>
    </format>
    <format dxfId="1963">
      <pivotArea field="51" type="button" dataOnly="0" labelOnly="1" outline="0" axis="axisCol" fieldPosition="1"/>
    </format>
    <format dxfId="1962">
      <pivotArea type="topRight" dataOnly="0" labelOnly="1" outline="0" fieldPosition="0"/>
    </format>
    <format dxfId="1961">
      <pivotArea field="17" type="button" dataOnly="0" labelOnly="1" outline="0" axis="axisRow" fieldPosition="0"/>
    </format>
    <format dxfId="1960">
      <pivotArea dataOnly="0" labelOnly="1" outline="0" fieldPosition="0">
        <references count="1">
          <reference field="4294967294" count="2">
            <x v="0"/>
            <x v="1"/>
          </reference>
        </references>
      </pivotArea>
    </format>
    <format dxfId="1959">
      <pivotArea field="51" dataOnly="0" labelOnly="1" grandCol="1" outline="0" axis="axisCol" fieldPosition="1">
        <references count="1">
          <reference field="4294967294" count="1" selected="0">
            <x v="0"/>
          </reference>
        </references>
      </pivotArea>
    </format>
    <format dxfId="1958">
      <pivotArea field="51" dataOnly="0" labelOnly="1" grandCol="1" outline="0" axis="axisCol" fieldPosition="1">
        <references count="1">
          <reference field="4294967294" count="1" selected="0">
            <x v="1"/>
          </reference>
        </references>
      </pivotArea>
    </format>
    <format dxfId="1957">
      <pivotArea dataOnly="0" labelOnly="1" fieldPosition="0">
        <references count="2">
          <reference field="4294967294" count="1" selected="0">
            <x v="0"/>
          </reference>
          <reference field="51" count="0"/>
        </references>
      </pivotArea>
    </format>
    <format dxfId="1956">
      <pivotArea dataOnly="0" labelOnly="1" fieldPosition="0">
        <references count="2">
          <reference field="4294967294" count="1" selected="0">
            <x v="1"/>
          </reference>
          <reference field="51" count="0"/>
        </references>
      </pivotArea>
    </format>
    <format dxfId="1955">
      <pivotArea grandRow="1" outline="0" collapsedLevelsAreSubtotals="1" fieldPosition="0"/>
    </format>
    <format dxfId="1954">
      <pivotArea dataOnly="0" labelOnly="1" grandRow="1" outline="0" fieldPosition="0"/>
    </format>
    <format dxfId="1953">
      <pivotArea grandRow="1" outline="0" collapsedLevelsAreSubtotals="1" fieldPosition="0"/>
    </format>
    <format dxfId="1952">
      <pivotArea dataOnly="0" labelOnly="1" grandRow="1" outline="0" fieldPosition="0"/>
    </format>
    <format dxfId="1951">
      <pivotArea grandRow="1" outline="0" collapsedLevelsAreSubtotals="1" fieldPosition="0"/>
    </format>
    <format dxfId="195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2CC2E8-2F26-4824-B5BE-B1EC54FD588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0:G55" firstHeaderRow="1" firstDataRow="3" firstDataCol="1"/>
  <pivotFields count="53">
    <pivotField numFmtId="164" showAll="0"/>
    <pivotField showAll="0"/>
    <pivotField showAll="0"/>
    <pivotField showAll="0"/>
    <pivotField showAll="0"/>
    <pivotField showAll="0"/>
    <pivotField showAll="0"/>
    <pivotField showAll="0"/>
    <pivotField showAll="0"/>
    <pivotField dataField="1"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23">
        <item sd="0" x="1"/>
        <item sd="0" x="15"/>
        <item sd="0" x="2"/>
        <item sd="0" x="10"/>
        <item sd="0" x="16"/>
        <item sd="0" x="12"/>
        <item sd="0" x="4"/>
        <item sd="0" x="14"/>
        <item sd="0" x="9"/>
        <item sd="0" x="8"/>
        <item sd="0" x="11"/>
        <item sd="0" x="5"/>
        <item sd="0" x="6"/>
        <item sd="0" x="13"/>
        <item sd="0" x="0"/>
        <item sd="0" x="7"/>
        <item sd="0" x="3"/>
        <item x="17"/>
        <item x="18"/>
        <item x="19"/>
        <item x="20"/>
        <item x="2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showAll="0"/>
  </pivotFields>
  <rowFields count="1">
    <field x="14"/>
  </rowFields>
  <rowItems count="23">
    <i>
      <x v="14"/>
    </i>
    <i>
      <x v="6"/>
    </i>
    <i>
      <x v="4"/>
    </i>
    <i>
      <x v="8"/>
    </i>
    <i>
      <x v="10"/>
    </i>
    <i>
      <x v="20"/>
    </i>
    <i>
      <x v="16"/>
    </i>
    <i>
      <x v="1"/>
    </i>
    <i>
      <x v="18"/>
    </i>
    <i>
      <x v="12"/>
    </i>
    <i>
      <x v="3"/>
    </i>
    <i>
      <x v="21"/>
    </i>
    <i>
      <x/>
    </i>
    <i>
      <x v="9"/>
    </i>
    <i>
      <x v="11"/>
    </i>
    <i>
      <x v="15"/>
    </i>
    <i>
      <x v="2"/>
    </i>
    <i>
      <x v="19"/>
    </i>
    <i>
      <x v="13"/>
    </i>
    <i>
      <x v="7"/>
    </i>
    <i>
      <x v="17"/>
    </i>
    <i>
      <x v="5"/>
    </i>
    <i t="grand">
      <x/>
    </i>
  </rowItems>
  <colFields count="2">
    <field x="-2"/>
    <field x="51"/>
  </colFields>
  <colItems count="6">
    <i>
      <x/>
      <x/>
    </i>
    <i r="1">
      <x v="1"/>
    </i>
    <i i="1">
      <x v="1"/>
      <x/>
    </i>
    <i r="1" i="1">
      <x v="1"/>
    </i>
    <i t="grand">
      <x/>
    </i>
    <i t="grand" i="1">
      <x/>
    </i>
  </colItems>
  <dataFields count="2">
    <dataField name="Sum of Unidades" fld="9" baseField="14" baseItem="0" numFmtId="3"/>
    <dataField name="% Total" fld="9" baseField="14" baseItem="14" numFmtId="10">
      <extLst>
        <ext xmlns:x14="http://schemas.microsoft.com/office/spreadsheetml/2009/9/main" uri="{E15A36E0-9728-4e99-A89B-3F7291B0FE68}">
          <x14:dataField pivotShowAs="percentOfParentRow"/>
        </ext>
      </extLst>
    </dataField>
  </dataFields>
  <formats count="186">
    <format dxfId="2213">
      <pivotArea outline="0" collapsedLevelsAreSubtotals="1" fieldPosition="0"/>
    </format>
    <format dxfId="2212">
      <pivotArea outline="0" fieldPosition="0">
        <references count="1">
          <reference field="4294967294" count="1">
            <x v="0"/>
          </reference>
        </references>
      </pivotArea>
    </format>
    <format dxfId="2211">
      <pivotArea outline="0" fieldPosition="0">
        <references count="1">
          <reference field="4294967294" count="1">
            <x v="1"/>
          </reference>
        </references>
      </pivotArea>
    </format>
    <format dxfId="2210">
      <pivotArea field="14" type="button" dataOnly="0" labelOnly="1" outline="0" axis="axisRow" fieldPosition="0"/>
    </format>
    <format dxfId="2209">
      <pivotArea dataOnly="0" labelOnly="1" outline="0" fieldPosition="0">
        <references count="1">
          <reference field="4294967294" count="2">
            <x v="0"/>
            <x v="1"/>
          </reference>
        </references>
      </pivotArea>
    </format>
    <format dxfId="2208">
      <pivotArea field="14" type="button" dataOnly="0" labelOnly="1" outline="0" axis="axisRow" fieldPosition="0"/>
    </format>
    <format dxfId="2207">
      <pivotArea dataOnly="0" labelOnly="1" outline="0" fieldPosition="0">
        <references count="1">
          <reference field="4294967294" count="2">
            <x v="0"/>
            <x v="1"/>
          </reference>
        </references>
      </pivotArea>
    </format>
    <format dxfId="2206">
      <pivotArea grandRow="1" outline="0" collapsedLevelsAreSubtotals="1" fieldPosition="0"/>
    </format>
    <format dxfId="2205">
      <pivotArea dataOnly="0" labelOnly="1" grandRow="1" outline="0" fieldPosition="0"/>
    </format>
    <format dxfId="2204">
      <pivotArea grandRow="1" outline="0" collapsedLevelsAreSubtotals="1" fieldPosition="0"/>
    </format>
    <format dxfId="2203">
      <pivotArea dataOnly="0" labelOnly="1" grandRow="1" outline="0" fieldPosition="0"/>
    </format>
    <format dxfId="2202">
      <pivotArea dataOnly="0" labelOnly="1" outline="0" fieldPosition="0">
        <references count="1">
          <reference field="4294967294" count="1">
            <x v="1"/>
          </reference>
        </references>
      </pivotArea>
    </format>
    <format dxfId="2201">
      <pivotArea collapsedLevelsAreSubtotals="1" fieldPosition="0">
        <references count="3">
          <reference field="4294967294" count="1" selected="0">
            <x v="0"/>
          </reference>
          <reference field="14" count="1">
            <x v="14"/>
          </reference>
          <reference field="51" count="1" selected="0">
            <x v="0"/>
          </reference>
        </references>
      </pivotArea>
    </format>
    <format dxfId="2200">
      <pivotArea collapsedLevelsAreSubtotals="1" fieldPosition="0">
        <references count="3">
          <reference field="4294967294" count="1" selected="0">
            <x v="0"/>
          </reference>
          <reference field="14" count="1">
            <x v="14"/>
          </reference>
          <reference field="51" count="1" selected="0">
            <x v="1"/>
          </reference>
        </references>
      </pivotArea>
    </format>
    <format dxfId="2199">
      <pivotArea collapsedLevelsAreSubtotals="1" fieldPosition="0">
        <references count="3">
          <reference field="4294967294" count="1" selected="0">
            <x v="0"/>
          </reference>
          <reference field="14" count="1">
            <x v="6"/>
          </reference>
          <reference field="51" count="1" selected="0">
            <x v="0"/>
          </reference>
        </references>
      </pivotArea>
    </format>
    <format dxfId="2198">
      <pivotArea collapsedLevelsAreSubtotals="1" fieldPosition="0">
        <references count="3">
          <reference field="4294967294" count="1" selected="0">
            <x v="0"/>
          </reference>
          <reference field="14" count="1">
            <x v="6"/>
          </reference>
          <reference field="51" count="1" selected="0">
            <x v="1"/>
          </reference>
        </references>
      </pivotArea>
    </format>
    <format dxfId="2197">
      <pivotArea collapsedLevelsAreSubtotals="1" fieldPosition="0">
        <references count="3">
          <reference field="4294967294" count="1" selected="0">
            <x v="0"/>
          </reference>
          <reference field="14" count="1">
            <x v="4"/>
          </reference>
          <reference field="51" count="1" selected="0">
            <x v="0"/>
          </reference>
        </references>
      </pivotArea>
    </format>
    <format dxfId="2196">
      <pivotArea collapsedLevelsAreSubtotals="1" fieldPosition="0">
        <references count="3">
          <reference field="4294967294" count="1" selected="0">
            <x v="0"/>
          </reference>
          <reference field="14" count="1">
            <x v="4"/>
          </reference>
          <reference field="51" count="1" selected="0">
            <x v="1"/>
          </reference>
        </references>
      </pivotArea>
    </format>
    <format dxfId="2195">
      <pivotArea collapsedLevelsAreSubtotals="1" fieldPosition="0">
        <references count="3">
          <reference field="4294967294" count="1" selected="0">
            <x v="0"/>
          </reference>
          <reference field="14" count="1">
            <x v="8"/>
          </reference>
          <reference field="51" count="1" selected="0">
            <x v="0"/>
          </reference>
        </references>
      </pivotArea>
    </format>
    <format dxfId="2194">
      <pivotArea collapsedLevelsAreSubtotals="1" fieldPosition="0">
        <references count="3">
          <reference field="4294967294" count="1" selected="0">
            <x v="0"/>
          </reference>
          <reference field="14" count="1">
            <x v="8"/>
          </reference>
          <reference field="51" count="1" selected="0">
            <x v="1"/>
          </reference>
        </references>
      </pivotArea>
    </format>
    <format dxfId="2193">
      <pivotArea collapsedLevelsAreSubtotals="1" fieldPosition="0">
        <references count="3">
          <reference field="4294967294" count="1" selected="0">
            <x v="0"/>
          </reference>
          <reference field="14" count="1">
            <x v="10"/>
          </reference>
          <reference field="51" count="1" selected="0">
            <x v="0"/>
          </reference>
        </references>
      </pivotArea>
    </format>
    <format dxfId="2192">
      <pivotArea collapsedLevelsAreSubtotals="1" fieldPosition="0">
        <references count="3">
          <reference field="4294967294" count="1" selected="0">
            <x v="0"/>
          </reference>
          <reference field="14" count="1">
            <x v="10"/>
          </reference>
          <reference field="51" count="1" selected="0">
            <x v="1"/>
          </reference>
        </references>
      </pivotArea>
    </format>
    <format dxfId="2191">
      <pivotArea collapsedLevelsAreSubtotals="1" fieldPosition="0">
        <references count="3">
          <reference field="4294967294" count="1" selected="0">
            <x v="0"/>
          </reference>
          <reference field="14" count="1">
            <x v="20"/>
          </reference>
          <reference field="51" count="1" selected="0">
            <x v="0"/>
          </reference>
        </references>
      </pivotArea>
    </format>
    <format dxfId="2190">
      <pivotArea collapsedLevelsAreSubtotals="1" fieldPosition="0">
        <references count="3">
          <reference field="4294967294" count="1" selected="0">
            <x v="0"/>
          </reference>
          <reference field="14" count="1">
            <x v="20"/>
          </reference>
          <reference field="51" count="1" selected="0">
            <x v="1"/>
          </reference>
        </references>
      </pivotArea>
    </format>
    <format dxfId="2189">
      <pivotArea collapsedLevelsAreSubtotals="1" fieldPosition="0">
        <references count="3">
          <reference field="4294967294" count="1" selected="0">
            <x v="0"/>
          </reference>
          <reference field="14" count="1">
            <x v="16"/>
          </reference>
          <reference field="51" count="1" selected="0">
            <x v="0"/>
          </reference>
        </references>
      </pivotArea>
    </format>
    <format dxfId="2188">
      <pivotArea collapsedLevelsAreSubtotals="1" fieldPosition="0">
        <references count="3">
          <reference field="4294967294" count="1" selected="0">
            <x v="0"/>
          </reference>
          <reference field="14" count="1">
            <x v="16"/>
          </reference>
          <reference field="51" count="1" selected="0">
            <x v="1"/>
          </reference>
        </references>
      </pivotArea>
    </format>
    <format dxfId="2187">
      <pivotArea collapsedLevelsAreSubtotals="1" fieldPosition="0">
        <references count="3">
          <reference field="4294967294" count="1" selected="0">
            <x v="0"/>
          </reference>
          <reference field="14" count="1">
            <x v="1"/>
          </reference>
          <reference field="51" count="1" selected="0">
            <x v="0"/>
          </reference>
        </references>
      </pivotArea>
    </format>
    <format dxfId="2186">
      <pivotArea collapsedLevelsAreSubtotals="1" fieldPosition="0">
        <references count="3">
          <reference field="4294967294" count="1" selected="0">
            <x v="0"/>
          </reference>
          <reference field="14" count="1">
            <x v="1"/>
          </reference>
          <reference field="51" count="1" selected="0">
            <x v="1"/>
          </reference>
        </references>
      </pivotArea>
    </format>
    <format dxfId="2185">
      <pivotArea collapsedLevelsAreSubtotals="1" fieldPosition="0">
        <references count="3">
          <reference field="4294967294" count="1" selected="0">
            <x v="0"/>
          </reference>
          <reference field="14" count="1">
            <x v="18"/>
          </reference>
          <reference field="51" count="1" selected="0">
            <x v="0"/>
          </reference>
        </references>
      </pivotArea>
    </format>
    <format dxfId="2184">
      <pivotArea collapsedLevelsAreSubtotals="1" fieldPosition="0">
        <references count="3">
          <reference field="4294967294" count="1" selected="0">
            <x v="0"/>
          </reference>
          <reference field="14" count="1">
            <x v="18"/>
          </reference>
          <reference field="51" count="1" selected="0">
            <x v="1"/>
          </reference>
        </references>
      </pivotArea>
    </format>
    <format dxfId="2183">
      <pivotArea collapsedLevelsAreSubtotals="1" fieldPosition="0">
        <references count="3">
          <reference field="4294967294" count="1" selected="0">
            <x v="0"/>
          </reference>
          <reference field="14" count="1">
            <x v="12"/>
          </reference>
          <reference field="51" count="1" selected="0">
            <x v="0"/>
          </reference>
        </references>
      </pivotArea>
    </format>
    <format dxfId="2182">
      <pivotArea collapsedLevelsAreSubtotals="1" fieldPosition="0">
        <references count="3">
          <reference field="4294967294" count="1" selected="0">
            <x v="0"/>
          </reference>
          <reference field="14" count="1">
            <x v="12"/>
          </reference>
          <reference field="51" count="1" selected="0">
            <x v="1"/>
          </reference>
        </references>
      </pivotArea>
    </format>
    <format dxfId="2181">
      <pivotArea collapsedLevelsAreSubtotals="1" fieldPosition="0">
        <references count="3">
          <reference field="4294967294" count="1" selected="0">
            <x v="0"/>
          </reference>
          <reference field="14" count="1">
            <x v="3"/>
          </reference>
          <reference field="51" count="1" selected="0">
            <x v="0"/>
          </reference>
        </references>
      </pivotArea>
    </format>
    <format dxfId="2180">
      <pivotArea collapsedLevelsAreSubtotals="1" fieldPosition="0">
        <references count="3">
          <reference field="4294967294" count="1" selected="0">
            <x v="0"/>
          </reference>
          <reference field="14" count="1">
            <x v="3"/>
          </reference>
          <reference field="51" count="1" selected="0">
            <x v="1"/>
          </reference>
        </references>
      </pivotArea>
    </format>
    <format dxfId="2179">
      <pivotArea collapsedLevelsAreSubtotals="1" fieldPosition="0">
        <references count="3">
          <reference field="4294967294" count="1" selected="0">
            <x v="0"/>
          </reference>
          <reference field="14" count="1">
            <x v="21"/>
          </reference>
          <reference field="51" count="1" selected="0">
            <x v="0"/>
          </reference>
        </references>
      </pivotArea>
    </format>
    <format dxfId="2178">
      <pivotArea collapsedLevelsAreSubtotals="1" fieldPosition="0">
        <references count="3">
          <reference field="4294967294" count="1" selected="0">
            <x v="0"/>
          </reference>
          <reference field="14" count="1">
            <x v="21"/>
          </reference>
          <reference field="51" count="1" selected="0">
            <x v="1"/>
          </reference>
        </references>
      </pivotArea>
    </format>
    <format dxfId="2177">
      <pivotArea collapsedLevelsAreSubtotals="1" fieldPosition="0">
        <references count="3">
          <reference field="4294967294" count="1" selected="0">
            <x v="0"/>
          </reference>
          <reference field="14" count="1">
            <x v="0"/>
          </reference>
          <reference field="51" count="1" selected="0">
            <x v="0"/>
          </reference>
        </references>
      </pivotArea>
    </format>
    <format dxfId="2176">
      <pivotArea collapsedLevelsAreSubtotals="1" fieldPosition="0">
        <references count="3">
          <reference field="4294967294" count="1" selected="0">
            <x v="0"/>
          </reference>
          <reference field="14" count="1">
            <x v="0"/>
          </reference>
          <reference field="51" count="1" selected="0">
            <x v="1"/>
          </reference>
        </references>
      </pivotArea>
    </format>
    <format dxfId="2175">
      <pivotArea collapsedLevelsAreSubtotals="1" fieldPosition="0">
        <references count="3">
          <reference field="4294967294" count="1" selected="0">
            <x v="0"/>
          </reference>
          <reference field="14" count="1">
            <x v="9"/>
          </reference>
          <reference field="51" count="1" selected="0">
            <x v="0"/>
          </reference>
        </references>
      </pivotArea>
    </format>
    <format dxfId="2174">
      <pivotArea collapsedLevelsAreSubtotals="1" fieldPosition="0">
        <references count="3">
          <reference field="4294967294" count="1" selected="0">
            <x v="0"/>
          </reference>
          <reference field="14" count="1">
            <x v="9"/>
          </reference>
          <reference field="51" count="1" selected="0">
            <x v="1"/>
          </reference>
        </references>
      </pivotArea>
    </format>
    <format dxfId="2173">
      <pivotArea collapsedLevelsAreSubtotals="1" fieldPosition="0">
        <references count="3">
          <reference field="4294967294" count="1" selected="0">
            <x v="0"/>
          </reference>
          <reference field="14" count="1">
            <x v="11"/>
          </reference>
          <reference field="51" count="1" selected="0">
            <x v="0"/>
          </reference>
        </references>
      </pivotArea>
    </format>
    <format dxfId="2172">
      <pivotArea collapsedLevelsAreSubtotals="1" fieldPosition="0">
        <references count="3">
          <reference field="4294967294" count="1" selected="0">
            <x v="0"/>
          </reference>
          <reference field="14" count="1">
            <x v="11"/>
          </reference>
          <reference field="51" count="1" selected="0">
            <x v="1"/>
          </reference>
        </references>
      </pivotArea>
    </format>
    <format dxfId="2171">
      <pivotArea collapsedLevelsAreSubtotals="1" fieldPosition="0">
        <references count="3">
          <reference field="4294967294" count="1" selected="0">
            <x v="0"/>
          </reference>
          <reference field="14" count="1">
            <x v="15"/>
          </reference>
          <reference field="51" count="1" selected="0">
            <x v="0"/>
          </reference>
        </references>
      </pivotArea>
    </format>
    <format dxfId="2170">
      <pivotArea collapsedLevelsAreSubtotals="1" fieldPosition="0">
        <references count="3">
          <reference field="4294967294" count="1" selected="0">
            <x v="0"/>
          </reference>
          <reference field="14" count="1">
            <x v="15"/>
          </reference>
          <reference field="51" count="1" selected="0">
            <x v="1"/>
          </reference>
        </references>
      </pivotArea>
    </format>
    <format dxfId="2169">
      <pivotArea collapsedLevelsAreSubtotals="1" fieldPosition="0">
        <references count="3">
          <reference field="4294967294" count="1" selected="0">
            <x v="0"/>
          </reference>
          <reference field="14" count="1">
            <x v="2"/>
          </reference>
          <reference field="51" count="1" selected="0">
            <x v="0"/>
          </reference>
        </references>
      </pivotArea>
    </format>
    <format dxfId="2168">
      <pivotArea collapsedLevelsAreSubtotals="1" fieldPosition="0">
        <references count="3">
          <reference field="4294967294" count="1" selected="0">
            <x v="0"/>
          </reference>
          <reference field="14" count="1">
            <x v="2"/>
          </reference>
          <reference field="51" count="1" selected="0">
            <x v="1"/>
          </reference>
        </references>
      </pivotArea>
    </format>
    <format dxfId="2167">
      <pivotArea collapsedLevelsAreSubtotals="1" fieldPosition="0">
        <references count="3">
          <reference field="4294967294" count="1" selected="0">
            <x v="0"/>
          </reference>
          <reference field="14" count="1">
            <x v="19"/>
          </reference>
          <reference field="51" count="1" selected="0">
            <x v="0"/>
          </reference>
        </references>
      </pivotArea>
    </format>
    <format dxfId="2166">
      <pivotArea collapsedLevelsAreSubtotals="1" fieldPosition="0">
        <references count="3">
          <reference field="4294967294" count="1" selected="0">
            <x v="0"/>
          </reference>
          <reference field="14" count="1">
            <x v="19"/>
          </reference>
          <reference field="51" count="1" selected="0">
            <x v="1"/>
          </reference>
        </references>
      </pivotArea>
    </format>
    <format dxfId="2165">
      <pivotArea collapsedLevelsAreSubtotals="1" fieldPosition="0">
        <references count="3">
          <reference field="4294967294" count="1" selected="0">
            <x v="0"/>
          </reference>
          <reference field="14" count="1">
            <x v="13"/>
          </reference>
          <reference field="51" count="1" selected="0">
            <x v="0"/>
          </reference>
        </references>
      </pivotArea>
    </format>
    <format dxfId="2164">
      <pivotArea collapsedLevelsAreSubtotals="1" fieldPosition="0">
        <references count="3">
          <reference field="4294967294" count="1" selected="0">
            <x v="0"/>
          </reference>
          <reference field="14" count="1">
            <x v="13"/>
          </reference>
          <reference field="51" count="1" selected="0">
            <x v="1"/>
          </reference>
        </references>
      </pivotArea>
    </format>
    <format dxfId="2163">
      <pivotArea collapsedLevelsAreSubtotals="1" fieldPosition="0">
        <references count="3">
          <reference field="4294967294" count="1" selected="0">
            <x v="0"/>
          </reference>
          <reference field="14" count="1">
            <x v="7"/>
          </reference>
          <reference field="51" count="1" selected="0">
            <x v="0"/>
          </reference>
        </references>
      </pivotArea>
    </format>
    <format dxfId="2162">
      <pivotArea collapsedLevelsAreSubtotals="1" fieldPosition="0">
        <references count="3">
          <reference field="4294967294" count="1" selected="0">
            <x v="0"/>
          </reference>
          <reference field="14" count="1">
            <x v="7"/>
          </reference>
          <reference field="51" count="1" selected="0">
            <x v="1"/>
          </reference>
        </references>
      </pivotArea>
    </format>
    <format dxfId="2161">
      <pivotArea collapsedLevelsAreSubtotals="1" fieldPosition="0">
        <references count="3">
          <reference field="4294967294" count="1" selected="0">
            <x v="0"/>
          </reference>
          <reference field="14" count="1">
            <x v="17"/>
          </reference>
          <reference field="51" count="1" selected="0">
            <x v="0"/>
          </reference>
        </references>
      </pivotArea>
    </format>
    <format dxfId="2160">
      <pivotArea collapsedLevelsAreSubtotals="1" fieldPosition="0">
        <references count="3">
          <reference field="4294967294" count="1" selected="0">
            <x v="0"/>
          </reference>
          <reference field="14" count="1">
            <x v="17"/>
          </reference>
          <reference field="51" count="1" selected="0">
            <x v="1"/>
          </reference>
        </references>
      </pivotArea>
    </format>
    <format dxfId="2159">
      <pivotArea collapsedLevelsAreSubtotals="1" fieldPosition="0">
        <references count="3">
          <reference field="4294967294" count="1" selected="0">
            <x v="0"/>
          </reference>
          <reference field="14" count="1">
            <x v="5"/>
          </reference>
          <reference field="51" count="1" selected="0">
            <x v="0"/>
          </reference>
        </references>
      </pivotArea>
    </format>
    <format dxfId="2158">
      <pivotArea collapsedLevelsAreSubtotals="1" fieldPosition="0">
        <references count="3">
          <reference field="4294967294" count="1" selected="0">
            <x v="0"/>
          </reference>
          <reference field="14" count="1">
            <x v="5"/>
          </reference>
          <reference field="51" count="1" selected="0">
            <x v="1"/>
          </reference>
        </references>
      </pivotArea>
    </format>
    <format dxfId="2157">
      <pivotArea field="51" grandRow="1" outline="0" collapsedLevelsAreSubtotals="1" axis="axisCol" fieldPosition="1">
        <references count="2">
          <reference field="4294967294" count="1" selected="0">
            <x v="0"/>
          </reference>
          <reference field="51" count="1" selected="0">
            <x v="0"/>
          </reference>
        </references>
      </pivotArea>
    </format>
    <format dxfId="2156">
      <pivotArea field="51" grandRow="1" outline="0" collapsedLevelsAreSubtotals="1" axis="axisCol" fieldPosition="1">
        <references count="2">
          <reference field="4294967294" count="1" selected="0">
            <x v="0"/>
          </reference>
          <reference field="51" count="1" selected="0">
            <x v="1"/>
          </reference>
        </references>
      </pivotArea>
    </format>
    <format dxfId="2155">
      <pivotArea field="14" grandCol="1" collapsedLevelsAreSubtotals="1" axis="axisRow" fieldPosition="0">
        <references count="2">
          <reference field="4294967294" count="1" selected="0">
            <x v="0"/>
          </reference>
          <reference field="14" count="1">
            <x v="14"/>
          </reference>
        </references>
      </pivotArea>
    </format>
    <format dxfId="2154">
      <pivotArea field="14" grandCol="1" collapsedLevelsAreSubtotals="1" axis="axisRow" fieldPosition="0">
        <references count="2">
          <reference field="4294967294" count="1" selected="0">
            <x v="0"/>
          </reference>
          <reference field="14" count="1">
            <x v="6"/>
          </reference>
        </references>
      </pivotArea>
    </format>
    <format dxfId="2153">
      <pivotArea field="14" grandCol="1" collapsedLevelsAreSubtotals="1" axis="axisRow" fieldPosition="0">
        <references count="2">
          <reference field="4294967294" count="1" selected="0">
            <x v="0"/>
          </reference>
          <reference field="14" count="1">
            <x v="4"/>
          </reference>
        </references>
      </pivotArea>
    </format>
    <format dxfId="2152">
      <pivotArea field="14" grandCol="1" collapsedLevelsAreSubtotals="1" axis="axisRow" fieldPosition="0">
        <references count="2">
          <reference field="4294967294" count="1" selected="0">
            <x v="0"/>
          </reference>
          <reference field="14" count="1">
            <x v="8"/>
          </reference>
        </references>
      </pivotArea>
    </format>
    <format dxfId="2151">
      <pivotArea field="14" grandCol="1" collapsedLevelsAreSubtotals="1" axis="axisRow" fieldPosition="0">
        <references count="2">
          <reference field="4294967294" count="1" selected="0">
            <x v="0"/>
          </reference>
          <reference field="14" count="1">
            <x v="10"/>
          </reference>
        </references>
      </pivotArea>
    </format>
    <format dxfId="2150">
      <pivotArea field="14" grandCol="1" collapsedLevelsAreSubtotals="1" axis="axisRow" fieldPosition="0">
        <references count="2">
          <reference field="4294967294" count="1" selected="0">
            <x v="0"/>
          </reference>
          <reference field="14" count="1">
            <x v="20"/>
          </reference>
        </references>
      </pivotArea>
    </format>
    <format dxfId="2149">
      <pivotArea field="14" grandCol="1" collapsedLevelsAreSubtotals="1" axis="axisRow" fieldPosition="0">
        <references count="2">
          <reference field="4294967294" count="1" selected="0">
            <x v="0"/>
          </reference>
          <reference field="14" count="1">
            <x v="16"/>
          </reference>
        </references>
      </pivotArea>
    </format>
    <format dxfId="2148">
      <pivotArea field="14" grandCol="1" collapsedLevelsAreSubtotals="1" axis="axisRow" fieldPosition="0">
        <references count="2">
          <reference field="4294967294" count="1" selected="0">
            <x v="0"/>
          </reference>
          <reference field="14" count="1">
            <x v="1"/>
          </reference>
        </references>
      </pivotArea>
    </format>
    <format dxfId="2147">
      <pivotArea field="14" grandCol="1" collapsedLevelsAreSubtotals="1" axis="axisRow" fieldPosition="0">
        <references count="2">
          <reference field="4294967294" count="1" selected="0">
            <x v="0"/>
          </reference>
          <reference field="14" count="1">
            <x v="18"/>
          </reference>
        </references>
      </pivotArea>
    </format>
    <format dxfId="2146">
      <pivotArea field="14" grandCol="1" collapsedLevelsAreSubtotals="1" axis="axisRow" fieldPosition="0">
        <references count="2">
          <reference field="4294967294" count="1" selected="0">
            <x v="0"/>
          </reference>
          <reference field="14" count="1">
            <x v="12"/>
          </reference>
        </references>
      </pivotArea>
    </format>
    <format dxfId="2145">
      <pivotArea field="14" grandCol="1" collapsedLevelsAreSubtotals="1" axis="axisRow" fieldPosition="0">
        <references count="2">
          <reference field="4294967294" count="1" selected="0">
            <x v="0"/>
          </reference>
          <reference field="14" count="1">
            <x v="3"/>
          </reference>
        </references>
      </pivotArea>
    </format>
    <format dxfId="2144">
      <pivotArea field="14" grandCol="1" collapsedLevelsAreSubtotals="1" axis="axisRow" fieldPosition="0">
        <references count="2">
          <reference field="4294967294" count="1" selected="0">
            <x v="0"/>
          </reference>
          <reference field="14" count="1">
            <x v="21"/>
          </reference>
        </references>
      </pivotArea>
    </format>
    <format dxfId="2143">
      <pivotArea field="14" grandCol="1" collapsedLevelsAreSubtotals="1" axis="axisRow" fieldPosition="0">
        <references count="2">
          <reference field="4294967294" count="1" selected="0">
            <x v="0"/>
          </reference>
          <reference field="14" count="1">
            <x v="0"/>
          </reference>
        </references>
      </pivotArea>
    </format>
    <format dxfId="2142">
      <pivotArea field="14" grandCol="1" collapsedLevelsAreSubtotals="1" axis="axisRow" fieldPosition="0">
        <references count="2">
          <reference field="4294967294" count="1" selected="0">
            <x v="0"/>
          </reference>
          <reference field="14" count="1">
            <x v="9"/>
          </reference>
        </references>
      </pivotArea>
    </format>
    <format dxfId="2141">
      <pivotArea field="14" grandCol="1" collapsedLevelsAreSubtotals="1" axis="axisRow" fieldPosition="0">
        <references count="2">
          <reference field="4294967294" count="1" selected="0">
            <x v="0"/>
          </reference>
          <reference field="14" count="1">
            <x v="11"/>
          </reference>
        </references>
      </pivotArea>
    </format>
    <format dxfId="2140">
      <pivotArea field="14" grandCol="1" collapsedLevelsAreSubtotals="1" axis="axisRow" fieldPosition="0">
        <references count="2">
          <reference field="4294967294" count="1" selected="0">
            <x v="0"/>
          </reference>
          <reference field="14" count="1">
            <x v="15"/>
          </reference>
        </references>
      </pivotArea>
    </format>
    <format dxfId="2139">
      <pivotArea field="14" grandCol="1" collapsedLevelsAreSubtotals="1" axis="axisRow" fieldPosition="0">
        <references count="2">
          <reference field="4294967294" count="1" selected="0">
            <x v="0"/>
          </reference>
          <reference field="14" count="1">
            <x v="2"/>
          </reference>
        </references>
      </pivotArea>
    </format>
    <format dxfId="2138">
      <pivotArea field="14" grandCol="1" collapsedLevelsAreSubtotals="1" axis="axisRow" fieldPosition="0">
        <references count="2">
          <reference field="4294967294" count="1" selected="0">
            <x v="0"/>
          </reference>
          <reference field="14" count="1">
            <x v="19"/>
          </reference>
        </references>
      </pivotArea>
    </format>
    <format dxfId="2137">
      <pivotArea field="14" grandCol="1" collapsedLevelsAreSubtotals="1" axis="axisRow" fieldPosition="0">
        <references count="2">
          <reference field="4294967294" count="1" selected="0">
            <x v="0"/>
          </reference>
          <reference field="14" count="1">
            <x v="13"/>
          </reference>
        </references>
      </pivotArea>
    </format>
    <format dxfId="2136">
      <pivotArea field="14" grandCol="1" collapsedLevelsAreSubtotals="1" axis="axisRow" fieldPosition="0">
        <references count="2">
          <reference field="4294967294" count="1" selected="0">
            <x v="0"/>
          </reference>
          <reference field="14" count="1">
            <x v="7"/>
          </reference>
        </references>
      </pivotArea>
    </format>
    <format dxfId="2135">
      <pivotArea field="14" grandCol="1" collapsedLevelsAreSubtotals="1" axis="axisRow" fieldPosition="0">
        <references count="2">
          <reference field="4294967294" count="1" selected="0">
            <x v="0"/>
          </reference>
          <reference field="14" count="1">
            <x v="17"/>
          </reference>
        </references>
      </pivotArea>
    </format>
    <format dxfId="2134">
      <pivotArea field="14" grandCol="1" collapsedLevelsAreSubtotals="1" axis="axisRow" fieldPosition="0">
        <references count="2">
          <reference field="4294967294" count="1" selected="0">
            <x v="0"/>
          </reference>
          <reference field="14" count="1">
            <x v="5"/>
          </reference>
        </references>
      </pivotArea>
    </format>
    <format dxfId="2133">
      <pivotArea grandRow="1" grandCol="1" outline="0" collapsedLevelsAreSubtotals="1" fieldPosition="0">
        <references count="1">
          <reference field="4294967294" count="1" selected="0">
            <x v="0"/>
          </reference>
        </references>
      </pivotArea>
    </format>
    <format dxfId="2132">
      <pivotArea collapsedLevelsAreSubtotals="1" fieldPosition="0">
        <references count="3">
          <reference field="4294967294" count="1" selected="0">
            <x v="1"/>
          </reference>
          <reference field="14" count="1">
            <x v="14"/>
          </reference>
          <reference field="51" count="1" selected="0">
            <x v="0"/>
          </reference>
        </references>
      </pivotArea>
    </format>
    <format dxfId="2131">
      <pivotArea collapsedLevelsAreSubtotals="1" fieldPosition="0">
        <references count="3">
          <reference field="4294967294" count="1" selected="0">
            <x v="1"/>
          </reference>
          <reference field="14" count="1">
            <x v="14"/>
          </reference>
          <reference field="51" count="1" selected="0">
            <x v="1"/>
          </reference>
        </references>
      </pivotArea>
    </format>
    <format dxfId="2130">
      <pivotArea collapsedLevelsAreSubtotals="1" fieldPosition="0">
        <references count="3">
          <reference field="4294967294" count="1" selected="0">
            <x v="1"/>
          </reference>
          <reference field="14" count="1">
            <x v="6"/>
          </reference>
          <reference field="51" count="1" selected="0">
            <x v="0"/>
          </reference>
        </references>
      </pivotArea>
    </format>
    <format dxfId="2129">
      <pivotArea collapsedLevelsAreSubtotals="1" fieldPosition="0">
        <references count="3">
          <reference field="4294967294" count="1" selected="0">
            <x v="1"/>
          </reference>
          <reference field="14" count="1">
            <x v="6"/>
          </reference>
          <reference field="51" count="1" selected="0">
            <x v="1"/>
          </reference>
        </references>
      </pivotArea>
    </format>
    <format dxfId="2128">
      <pivotArea collapsedLevelsAreSubtotals="1" fieldPosition="0">
        <references count="3">
          <reference field="4294967294" count="1" selected="0">
            <x v="1"/>
          </reference>
          <reference field="14" count="1">
            <x v="4"/>
          </reference>
          <reference field="51" count="1" selected="0">
            <x v="0"/>
          </reference>
        </references>
      </pivotArea>
    </format>
    <format dxfId="2127">
      <pivotArea collapsedLevelsAreSubtotals="1" fieldPosition="0">
        <references count="3">
          <reference field="4294967294" count="1" selected="0">
            <x v="1"/>
          </reference>
          <reference field="14" count="1">
            <x v="4"/>
          </reference>
          <reference field="51" count="1" selected="0">
            <x v="1"/>
          </reference>
        </references>
      </pivotArea>
    </format>
    <format dxfId="2126">
      <pivotArea collapsedLevelsAreSubtotals="1" fieldPosition="0">
        <references count="3">
          <reference field="4294967294" count="1" selected="0">
            <x v="1"/>
          </reference>
          <reference field="14" count="1">
            <x v="8"/>
          </reference>
          <reference field="51" count="1" selected="0">
            <x v="0"/>
          </reference>
        </references>
      </pivotArea>
    </format>
    <format dxfId="2125">
      <pivotArea collapsedLevelsAreSubtotals="1" fieldPosition="0">
        <references count="3">
          <reference field="4294967294" count="1" selected="0">
            <x v="1"/>
          </reference>
          <reference field="14" count="1">
            <x v="8"/>
          </reference>
          <reference field="51" count="1" selected="0">
            <x v="1"/>
          </reference>
        </references>
      </pivotArea>
    </format>
    <format dxfId="2124">
      <pivotArea collapsedLevelsAreSubtotals="1" fieldPosition="0">
        <references count="3">
          <reference field="4294967294" count="1" selected="0">
            <x v="1"/>
          </reference>
          <reference field="14" count="1">
            <x v="10"/>
          </reference>
          <reference field="51" count="1" selected="0">
            <x v="0"/>
          </reference>
        </references>
      </pivotArea>
    </format>
    <format dxfId="2123">
      <pivotArea collapsedLevelsAreSubtotals="1" fieldPosition="0">
        <references count="3">
          <reference field="4294967294" count="1" selected="0">
            <x v="1"/>
          </reference>
          <reference field="14" count="1">
            <x v="10"/>
          </reference>
          <reference field="51" count="1" selected="0">
            <x v="1"/>
          </reference>
        </references>
      </pivotArea>
    </format>
    <format dxfId="2122">
      <pivotArea collapsedLevelsAreSubtotals="1" fieldPosition="0">
        <references count="3">
          <reference field="4294967294" count="1" selected="0">
            <x v="1"/>
          </reference>
          <reference field="14" count="1">
            <x v="20"/>
          </reference>
          <reference field="51" count="1" selected="0">
            <x v="0"/>
          </reference>
        </references>
      </pivotArea>
    </format>
    <format dxfId="2121">
      <pivotArea collapsedLevelsAreSubtotals="1" fieldPosition="0">
        <references count="3">
          <reference field="4294967294" count="1" selected="0">
            <x v="1"/>
          </reference>
          <reference field="14" count="1">
            <x v="20"/>
          </reference>
          <reference field="51" count="1" selected="0">
            <x v="1"/>
          </reference>
        </references>
      </pivotArea>
    </format>
    <format dxfId="2120">
      <pivotArea collapsedLevelsAreSubtotals="1" fieldPosition="0">
        <references count="3">
          <reference field="4294967294" count="1" selected="0">
            <x v="1"/>
          </reference>
          <reference field="14" count="1">
            <x v="16"/>
          </reference>
          <reference field="51" count="1" selected="0">
            <x v="0"/>
          </reference>
        </references>
      </pivotArea>
    </format>
    <format dxfId="2119">
      <pivotArea collapsedLevelsAreSubtotals="1" fieldPosition="0">
        <references count="3">
          <reference field="4294967294" count="1" selected="0">
            <x v="1"/>
          </reference>
          <reference field="14" count="1">
            <x v="16"/>
          </reference>
          <reference field="51" count="1" selected="0">
            <x v="1"/>
          </reference>
        </references>
      </pivotArea>
    </format>
    <format dxfId="2118">
      <pivotArea collapsedLevelsAreSubtotals="1" fieldPosition="0">
        <references count="3">
          <reference field="4294967294" count="1" selected="0">
            <x v="1"/>
          </reference>
          <reference field="14" count="1">
            <x v="1"/>
          </reference>
          <reference field="51" count="1" selected="0">
            <x v="0"/>
          </reference>
        </references>
      </pivotArea>
    </format>
    <format dxfId="2117">
      <pivotArea collapsedLevelsAreSubtotals="1" fieldPosition="0">
        <references count="3">
          <reference field="4294967294" count="1" selected="0">
            <x v="1"/>
          </reference>
          <reference field="14" count="1">
            <x v="1"/>
          </reference>
          <reference field="51" count="1" selected="0">
            <x v="1"/>
          </reference>
        </references>
      </pivotArea>
    </format>
    <format dxfId="2116">
      <pivotArea collapsedLevelsAreSubtotals="1" fieldPosition="0">
        <references count="3">
          <reference field="4294967294" count="1" selected="0">
            <x v="1"/>
          </reference>
          <reference field="14" count="1">
            <x v="18"/>
          </reference>
          <reference field="51" count="1" selected="0">
            <x v="0"/>
          </reference>
        </references>
      </pivotArea>
    </format>
    <format dxfId="2115">
      <pivotArea collapsedLevelsAreSubtotals="1" fieldPosition="0">
        <references count="3">
          <reference field="4294967294" count="1" selected="0">
            <x v="1"/>
          </reference>
          <reference field="14" count="1">
            <x v="18"/>
          </reference>
          <reference field="51" count="1" selected="0">
            <x v="1"/>
          </reference>
        </references>
      </pivotArea>
    </format>
    <format dxfId="2114">
      <pivotArea collapsedLevelsAreSubtotals="1" fieldPosition="0">
        <references count="3">
          <reference field="4294967294" count="1" selected="0">
            <x v="1"/>
          </reference>
          <reference field="14" count="1">
            <x v="12"/>
          </reference>
          <reference field="51" count="1" selected="0">
            <x v="0"/>
          </reference>
        </references>
      </pivotArea>
    </format>
    <format dxfId="2113">
      <pivotArea collapsedLevelsAreSubtotals="1" fieldPosition="0">
        <references count="3">
          <reference field="4294967294" count="1" selected="0">
            <x v="1"/>
          </reference>
          <reference field="14" count="1">
            <x v="12"/>
          </reference>
          <reference field="51" count="1" selected="0">
            <x v="1"/>
          </reference>
        </references>
      </pivotArea>
    </format>
    <format dxfId="2112">
      <pivotArea collapsedLevelsAreSubtotals="1" fieldPosition="0">
        <references count="3">
          <reference field="4294967294" count="1" selected="0">
            <x v="1"/>
          </reference>
          <reference field="14" count="1">
            <x v="3"/>
          </reference>
          <reference field="51" count="1" selected="0">
            <x v="0"/>
          </reference>
        </references>
      </pivotArea>
    </format>
    <format dxfId="2111">
      <pivotArea collapsedLevelsAreSubtotals="1" fieldPosition="0">
        <references count="3">
          <reference field="4294967294" count="1" selected="0">
            <x v="1"/>
          </reference>
          <reference field="14" count="1">
            <x v="3"/>
          </reference>
          <reference field="51" count="1" selected="0">
            <x v="1"/>
          </reference>
        </references>
      </pivotArea>
    </format>
    <format dxfId="2110">
      <pivotArea collapsedLevelsAreSubtotals="1" fieldPosition="0">
        <references count="3">
          <reference field="4294967294" count="1" selected="0">
            <x v="1"/>
          </reference>
          <reference field="14" count="1">
            <x v="21"/>
          </reference>
          <reference field="51" count="1" selected="0">
            <x v="0"/>
          </reference>
        </references>
      </pivotArea>
    </format>
    <format dxfId="2109">
      <pivotArea collapsedLevelsAreSubtotals="1" fieldPosition="0">
        <references count="3">
          <reference field="4294967294" count="1" selected="0">
            <x v="1"/>
          </reference>
          <reference field="14" count="1">
            <x v="21"/>
          </reference>
          <reference field="51" count="1" selected="0">
            <x v="1"/>
          </reference>
        </references>
      </pivotArea>
    </format>
    <format dxfId="2108">
      <pivotArea collapsedLevelsAreSubtotals="1" fieldPosition="0">
        <references count="3">
          <reference field="4294967294" count="1" selected="0">
            <x v="1"/>
          </reference>
          <reference field="14" count="1">
            <x v="0"/>
          </reference>
          <reference field="51" count="1" selected="0">
            <x v="0"/>
          </reference>
        </references>
      </pivotArea>
    </format>
    <format dxfId="2107">
      <pivotArea collapsedLevelsAreSubtotals="1" fieldPosition="0">
        <references count="3">
          <reference field="4294967294" count="1" selected="0">
            <x v="1"/>
          </reference>
          <reference field="14" count="1">
            <x v="0"/>
          </reference>
          <reference field="51" count="1" selected="0">
            <x v="1"/>
          </reference>
        </references>
      </pivotArea>
    </format>
    <format dxfId="2106">
      <pivotArea collapsedLevelsAreSubtotals="1" fieldPosition="0">
        <references count="3">
          <reference field="4294967294" count="1" selected="0">
            <x v="1"/>
          </reference>
          <reference field="14" count="1">
            <x v="9"/>
          </reference>
          <reference field="51" count="1" selected="0">
            <x v="0"/>
          </reference>
        </references>
      </pivotArea>
    </format>
    <format dxfId="2105">
      <pivotArea collapsedLevelsAreSubtotals="1" fieldPosition="0">
        <references count="3">
          <reference field="4294967294" count="1" selected="0">
            <x v="1"/>
          </reference>
          <reference field="14" count="1">
            <x v="9"/>
          </reference>
          <reference field="51" count="1" selected="0">
            <x v="1"/>
          </reference>
        </references>
      </pivotArea>
    </format>
    <format dxfId="2104">
      <pivotArea collapsedLevelsAreSubtotals="1" fieldPosition="0">
        <references count="3">
          <reference field="4294967294" count="1" selected="0">
            <x v="1"/>
          </reference>
          <reference field="14" count="1">
            <x v="11"/>
          </reference>
          <reference field="51" count="1" selected="0">
            <x v="0"/>
          </reference>
        </references>
      </pivotArea>
    </format>
    <format dxfId="2103">
      <pivotArea collapsedLevelsAreSubtotals="1" fieldPosition="0">
        <references count="3">
          <reference field="4294967294" count="1" selected="0">
            <x v="1"/>
          </reference>
          <reference field="14" count="1">
            <x v="11"/>
          </reference>
          <reference field="51" count="1" selected="0">
            <x v="1"/>
          </reference>
        </references>
      </pivotArea>
    </format>
    <format dxfId="2102">
      <pivotArea collapsedLevelsAreSubtotals="1" fieldPosition="0">
        <references count="3">
          <reference field="4294967294" count="1" selected="0">
            <x v="1"/>
          </reference>
          <reference field="14" count="1">
            <x v="15"/>
          </reference>
          <reference field="51" count="1" selected="0">
            <x v="0"/>
          </reference>
        </references>
      </pivotArea>
    </format>
    <format dxfId="2101">
      <pivotArea collapsedLevelsAreSubtotals="1" fieldPosition="0">
        <references count="3">
          <reference field="4294967294" count="1" selected="0">
            <x v="1"/>
          </reference>
          <reference field="14" count="1">
            <x v="15"/>
          </reference>
          <reference field="51" count="1" selected="0">
            <x v="1"/>
          </reference>
        </references>
      </pivotArea>
    </format>
    <format dxfId="2100">
      <pivotArea collapsedLevelsAreSubtotals="1" fieldPosition="0">
        <references count="3">
          <reference field="4294967294" count="1" selected="0">
            <x v="1"/>
          </reference>
          <reference field="14" count="1">
            <x v="2"/>
          </reference>
          <reference field="51" count="1" selected="0">
            <x v="0"/>
          </reference>
        </references>
      </pivotArea>
    </format>
    <format dxfId="2099">
      <pivotArea collapsedLevelsAreSubtotals="1" fieldPosition="0">
        <references count="3">
          <reference field="4294967294" count="1" selected="0">
            <x v="1"/>
          </reference>
          <reference field="14" count="1">
            <x v="2"/>
          </reference>
          <reference field="51" count="1" selected="0">
            <x v="1"/>
          </reference>
        </references>
      </pivotArea>
    </format>
    <format dxfId="2098">
      <pivotArea collapsedLevelsAreSubtotals="1" fieldPosition="0">
        <references count="3">
          <reference field="4294967294" count="1" selected="0">
            <x v="1"/>
          </reference>
          <reference field="14" count="1">
            <x v="19"/>
          </reference>
          <reference field="51" count="1" selected="0">
            <x v="0"/>
          </reference>
        </references>
      </pivotArea>
    </format>
    <format dxfId="2097">
      <pivotArea collapsedLevelsAreSubtotals="1" fieldPosition="0">
        <references count="3">
          <reference field="4294967294" count="1" selected="0">
            <x v="1"/>
          </reference>
          <reference field="14" count="1">
            <x v="19"/>
          </reference>
          <reference field="51" count="1" selected="0">
            <x v="1"/>
          </reference>
        </references>
      </pivotArea>
    </format>
    <format dxfId="2096">
      <pivotArea collapsedLevelsAreSubtotals="1" fieldPosition="0">
        <references count="3">
          <reference field="4294967294" count="1" selected="0">
            <x v="1"/>
          </reference>
          <reference field="14" count="1">
            <x v="13"/>
          </reference>
          <reference field="51" count="1" selected="0">
            <x v="0"/>
          </reference>
        </references>
      </pivotArea>
    </format>
    <format dxfId="2095">
      <pivotArea collapsedLevelsAreSubtotals="1" fieldPosition="0">
        <references count="3">
          <reference field="4294967294" count="1" selected="0">
            <x v="1"/>
          </reference>
          <reference field="14" count="1">
            <x v="13"/>
          </reference>
          <reference field="51" count="1" selected="0">
            <x v="1"/>
          </reference>
        </references>
      </pivotArea>
    </format>
    <format dxfId="2094">
      <pivotArea collapsedLevelsAreSubtotals="1" fieldPosition="0">
        <references count="3">
          <reference field="4294967294" count="1" selected="0">
            <x v="1"/>
          </reference>
          <reference field="14" count="1">
            <x v="7"/>
          </reference>
          <reference field="51" count="1" selected="0">
            <x v="0"/>
          </reference>
        </references>
      </pivotArea>
    </format>
    <format dxfId="2093">
      <pivotArea collapsedLevelsAreSubtotals="1" fieldPosition="0">
        <references count="3">
          <reference field="4294967294" count="1" selected="0">
            <x v="1"/>
          </reference>
          <reference field="14" count="1">
            <x v="7"/>
          </reference>
          <reference field="51" count="1" selected="0">
            <x v="1"/>
          </reference>
        </references>
      </pivotArea>
    </format>
    <format dxfId="2092">
      <pivotArea collapsedLevelsAreSubtotals="1" fieldPosition="0">
        <references count="3">
          <reference field="4294967294" count="1" selected="0">
            <x v="1"/>
          </reference>
          <reference field="14" count="1">
            <x v="17"/>
          </reference>
          <reference field="51" count="1" selected="0">
            <x v="0"/>
          </reference>
        </references>
      </pivotArea>
    </format>
    <format dxfId="2091">
      <pivotArea collapsedLevelsAreSubtotals="1" fieldPosition="0">
        <references count="3">
          <reference field="4294967294" count="1" selected="0">
            <x v="1"/>
          </reference>
          <reference field="14" count="1">
            <x v="17"/>
          </reference>
          <reference field="51" count="1" selected="0">
            <x v="1"/>
          </reference>
        </references>
      </pivotArea>
    </format>
    <format dxfId="2090">
      <pivotArea collapsedLevelsAreSubtotals="1" fieldPosition="0">
        <references count="3">
          <reference field="4294967294" count="1" selected="0">
            <x v="1"/>
          </reference>
          <reference field="14" count="1">
            <x v="5"/>
          </reference>
          <reference field="51" count="1" selected="0">
            <x v="0"/>
          </reference>
        </references>
      </pivotArea>
    </format>
    <format dxfId="2089">
      <pivotArea collapsedLevelsAreSubtotals="1" fieldPosition="0">
        <references count="3">
          <reference field="4294967294" count="1" selected="0">
            <x v="1"/>
          </reference>
          <reference field="14" count="1">
            <x v="5"/>
          </reference>
          <reference field="51" count="1" selected="0">
            <x v="1"/>
          </reference>
        </references>
      </pivotArea>
    </format>
    <format dxfId="2088">
      <pivotArea field="51" grandRow="1" outline="0" collapsedLevelsAreSubtotals="1" axis="axisCol" fieldPosition="1">
        <references count="2">
          <reference field="4294967294" count="1" selected="0">
            <x v="1"/>
          </reference>
          <reference field="51" count="1" selected="0">
            <x v="0"/>
          </reference>
        </references>
      </pivotArea>
    </format>
    <format dxfId="2087">
      <pivotArea field="51" grandRow="1" outline="0" collapsedLevelsAreSubtotals="1" axis="axisCol" fieldPosition="1">
        <references count="2">
          <reference field="4294967294" count="1" selected="0">
            <x v="1"/>
          </reference>
          <reference field="51" count="1" selected="0">
            <x v="1"/>
          </reference>
        </references>
      </pivotArea>
    </format>
    <format dxfId="2086">
      <pivotArea field="14" grandCol="1" collapsedLevelsAreSubtotals="1" axis="axisRow" fieldPosition="0">
        <references count="2">
          <reference field="4294967294" count="1" selected="0">
            <x v="1"/>
          </reference>
          <reference field="14" count="1">
            <x v="14"/>
          </reference>
        </references>
      </pivotArea>
    </format>
    <format dxfId="2085">
      <pivotArea field="14" grandCol="1" collapsedLevelsAreSubtotals="1" axis="axisRow" fieldPosition="0">
        <references count="2">
          <reference field="4294967294" count="1" selected="0">
            <x v="1"/>
          </reference>
          <reference field="14" count="1">
            <x v="6"/>
          </reference>
        </references>
      </pivotArea>
    </format>
    <format dxfId="2084">
      <pivotArea field="14" grandCol="1" collapsedLevelsAreSubtotals="1" axis="axisRow" fieldPosition="0">
        <references count="2">
          <reference field="4294967294" count="1" selected="0">
            <x v="1"/>
          </reference>
          <reference field="14" count="1">
            <x v="4"/>
          </reference>
        </references>
      </pivotArea>
    </format>
    <format dxfId="2083">
      <pivotArea field="14" grandCol="1" collapsedLevelsAreSubtotals="1" axis="axisRow" fieldPosition="0">
        <references count="2">
          <reference field="4294967294" count="1" selected="0">
            <x v="1"/>
          </reference>
          <reference field="14" count="1">
            <x v="8"/>
          </reference>
        </references>
      </pivotArea>
    </format>
    <format dxfId="2082">
      <pivotArea field="14" grandCol="1" collapsedLevelsAreSubtotals="1" axis="axisRow" fieldPosition="0">
        <references count="2">
          <reference field="4294967294" count="1" selected="0">
            <x v="1"/>
          </reference>
          <reference field="14" count="1">
            <x v="10"/>
          </reference>
        </references>
      </pivotArea>
    </format>
    <format dxfId="2081">
      <pivotArea field="14" grandCol="1" collapsedLevelsAreSubtotals="1" axis="axisRow" fieldPosition="0">
        <references count="2">
          <reference field="4294967294" count="1" selected="0">
            <x v="1"/>
          </reference>
          <reference field="14" count="1">
            <x v="20"/>
          </reference>
        </references>
      </pivotArea>
    </format>
    <format dxfId="2080">
      <pivotArea field="14" grandCol="1" collapsedLevelsAreSubtotals="1" axis="axisRow" fieldPosition="0">
        <references count="2">
          <reference field="4294967294" count="1" selected="0">
            <x v="1"/>
          </reference>
          <reference field="14" count="1">
            <x v="16"/>
          </reference>
        </references>
      </pivotArea>
    </format>
    <format dxfId="2079">
      <pivotArea field="14" grandCol="1" collapsedLevelsAreSubtotals="1" axis="axisRow" fieldPosition="0">
        <references count="2">
          <reference field="4294967294" count="1" selected="0">
            <x v="1"/>
          </reference>
          <reference field="14" count="1">
            <x v="1"/>
          </reference>
        </references>
      </pivotArea>
    </format>
    <format dxfId="2078">
      <pivotArea field="14" grandCol="1" collapsedLevelsAreSubtotals="1" axis="axisRow" fieldPosition="0">
        <references count="2">
          <reference field="4294967294" count="1" selected="0">
            <x v="1"/>
          </reference>
          <reference field="14" count="1">
            <x v="18"/>
          </reference>
        </references>
      </pivotArea>
    </format>
    <format dxfId="2077">
      <pivotArea field="14" grandCol="1" collapsedLevelsAreSubtotals="1" axis="axisRow" fieldPosition="0">
        <references count="2">
          <reference field="4294967294" count="1" selected="0">
            <x v="1"/>
          </reference>
          <reference field="14" count="1">
            <x v="12"/>
          </reference>
        </references>
      </pivotArea>
    </format>
    <format dxfId="2076">
      <pivotArea field="14" grandCol="1" collapsedLevelsAreSubtotals="1" axis="axisRow" fieldPosition="0">
        <references count="2">
          <reference field="4294967294" count="1" selected="0">
            <x v="1"/>
          </reference>
          <reference field="14" count="1">
            <x v="3"/>
          </reference>
        </references>
      </pivotArea>
    </format>
    <format dxfId="2075">
      <pivotArea field="14" grandCol="1" collapsedLevelsAreSubtotals="1" axis="axisRow" fieldPosition="0">
        <references count="2">
          <reference field="4294967294" count="1" selected="0">
            <x v="1"/>
          </reference>
          <reference field="14" count="1">
            <x v="21"/>
          </reference>
        </references>
      </pivotArea>
    </format>
    <format dxfId="2074">
      <pivotArea field="14" grandCol="1" collapsedLevelsAreSubtotals="1" axis="axisRow" fieldPosition="0">
        <references count="2">
          <reference field="4294967294" count="1" selected="0">
            <x v="1"/>
          </reference>
          <reference field="14" count="1">
            <x v="0"/>
          </reference>
        </references>
      </pivotArea>
    </format>
    <format dxfId="2073">
      <pivotArea field="14" grandCol="1" collapsedLevelsAreSubtotals="1" axis="axisRow" fieldPosition="0">
        <references count="2">
          <reference field="4294967294" count="1" selected="0">
            <x v="1"/>
          </reference>
          <reference field="14" count="1">
            <x v="9"/>
          </reference>
        </references>
      </pivotArea>
    </format>
    <format dxfId="2072">
      <pivotArea field="14" grandCol="1" collapsedLevelsAreSubtotals="1" axis="axisRow" fieldPosition="0">
        <references count="2">
          <reference field="4294967294" count="1" selected="0">
            <x v="1"/>
          </reference>
          <reference field="14" count="1">
            <x v="11"/>
          </reference>
        </references>
      </pivotArea>
    </format>
    <format dxfId="2071">
      <pivotArea field="14" grandCol="1" collapsedLevelsAreSubtotals="1" axis="axisRow" fieldPosition="0">
        <references count="2">
          <reference field="4294967294" count="1" selected="0">
            <x v="1"/>
          </reference>
          <reference field="14" count="1">
            <x v="15"/>
          </reference>
        </references>
      </pivotArea>
    </format>
    <format dxfId="2070">
      <pivotArea field="14" grandCol="1" collapsedLevelsAreSubtotals="1" axis="axisRow" fieldPosition="0">
        <references count="2">
          <reference field="4294967294" count="1" selected="0">
            <x v="1"/>
          </reference>
          <reference field="14" count="1">
            <x v="2"/>
          </reference>
        </references>
      </pivotArea>
    </format>
    <format dxfId="2069">
      <pivotArea field="14" grandCol="1" collapsedLevelsAreSubtotals="1" axis="axisRow" fieldPosition="0">
        <references count="2">
          <reference field="4294967294" count="1" selected="0">
            <x v="1"/>
          </reference>
          <reference field="14" count="1">
            <x v="19"/>
          </reference>
        </references>
      </pivotArea>
    </format>
    <format dxfId="2068">
      <pivotArea field="14" grandCol="1" collapsedLevelsAreSubtotals="1" axis="axisRow" fieldPosition="0">
        <references count="2">
          <reference field="4294967294" count="1" selected="0">
            <x v="1"/>
          </reference>
          <reference field="14" count="1">
            <x v="13"/>
          </reference>
        </references>
      </pivotArea>
    </format>
    <format dxfId="2067">
      <pivotArea field="14" grandCol="1" collapsedLevelsAreSubtotals="1" axis="axisRow" fieldPosition="0">
        <references count="2">
          <reference field="4294967294" count="1" selected="0">
            <x v="1"/>
          </reference>
          <reference field="14" count="1">
            <x v="7"/>
          </reference>
        </references>
      </pivotArea>
    </format>
    <format dxfId="2066">
      <pivotArea field="14" grandCol="1" collapsedLevelsAreSubtotals="1" axis="axisRow" fieldPosition="0">
        <references count="2">
          <reference field="4294967294" count="1" selected="0">
            <x v="1"/>
          </reference>
          <reference field="14" count="1">
            <x v="17"/>
          </reference>
        </references>
      </pivotArea>
    </format>
    <format dxfId="2065">
      <pivotArea field="14" grandCol="1" collapsedLevelsAreSubtotals="1" axis="axisRow" fieldPosition="0">
        <references count="2">
          <reference field="4294967294" count="1" selected="0">
            <x v="1"/>
          </reference>
          <reference field="14" count="1">
            <x v="5"/>
          </reference>
        </references>
      </pivotArea>
    </format>
    <format dxfId="2064">
      <pivotArea grandRow="1" grandCol="1" outline="0" collapsedLevelsAreSubtotals="1" fieldPosition="0">
        <references count="1">
          <reference field="4294967294" count="1" selected="0">
            <x v="1"/>
          </reference>
        </references>
      </pivotArea>
    </format>
    <format dxfId="2063">
      <pivotArea type="origin" dataOnly="0" labelOnly="1" outline="0" fieldPosition="0"/>
    </format>
    <format dxfId="2062">
      <pivotArea field="-2" type="button" dataOnly="0" labelOnly="1" outline="0" axis="axisCol" fieldPosition="0"/>
    </format>
    <format dxfId="2061">
      <pivotArea field="51" type="button" dataOnly="0" labelOnly="1" outline="0" axis="axisCol" fieldPosition="1"/>
    </format>
    <format dxfId="2060">
      <pivotArea type="topRight" dataOnly="0" labelOnly="1" outline="0" fieldPosition="0"/>
    </format>
    <format dxfId="2059">
      <pivotArea field="14" type="button" dataOnly="0" labelOnly="1" outline="0" axis="axisRow" fieldPosition="0"/>
    </format>
    <format dxfId="2058">
      <pivotArea dataOnly="0" labelOnly="1" outline="0" fieldPosition="0">
        <references count="1">
          <reference field="4294967294" count="2">
            <x v="0"/>
            <x v="1"/>
          </reference>
        </references>
      </pivotArea>
    </format>
    <format dxfId="2057">
      <pivotArea field="51" dataOnly="0" labelOnly="1" grandCol="1" outline="0" axis="axisCol" fieldPosition="1">
        <references count="1">
          <reference field="4294967294" count="1" selected="0">
            <x v="0"/>
          </reference>
        </references>
      </pivotArea>
    </format>
    <format dxfId="2056">
      <pivotArea field="51" dataOnly="0" labelOnly="1" grandCol="1" outline="0" axis="axisCol" fieldPosition="1">
        <references count="1">
          <reference field="4294967294" count="1" selected="0">
            <x v="1"/>
          </reference>
        </references>
      </pivotArea>
    </format>
    <format dxfId="2055">
      <pivotArea dataOnly="0" labelOnly="1" fieldPosition="0">
        <references count="2">
          <reference field="4294967294" count="1" selected="0">
            <x v="0"/>
          </reference>
          <reference field="51" count="0"/>
        </references>
      </pivotArea>
    </format>
    <format dxfId="2054">
      <pivotArea dataOnly="0" labelOnly="1" fieldPosition="0">
        <references count="2">
          <reference field="4294967294" count="1" selected="0">
            <x v="1"/>
          </reference>
          <reference field="51" count="0"/>
        </references>
      </pivotArea>
    </format>
    <format dxfId="2053">
      <pivotArea type="origin" dataOnly="0" labelOnly="1" outline="0" fieldPosition="0"/>
    </format>
    <format dxfId="2052">
      <pivotArea field="-2" type="button" dataOnly="0" labelOnly="1" outline="0" axis="axisCol" fieldPosition="0"/>
    </format>
    <format dxfId="2051">
      <pivotArea field="51" type="button" dataOnly="0" labelOnly="1" outline="0" axis="axisCol" fieldPosition="1"/>
    </format>
    <format dxfId="2050">
      <pivotArea type="topRight" dataOnly="0" labelOnly="1" outline="0" fieldPosition="0"/>
    </format>
    <format dxfId="2049">
      <pivotArea field="14" type="button" dataOnly="0" labelOnly="1" outline="0" axis="axisRow" fieldPosition="0"/>
    </format>
    <format dxfId="2048">
      <pivotArea dataOnly="0" labelOnly="1" outline="0" fieldPosition="0">
        <references count="1">
          <reference field="4294967294" count="2">
            <x v="0"/>
            <x v="1"/>
          </reference>
        </references>
      </pivotArea>
    </format>
    <format dxfId="2047">
      <pivotArea field="51" dataOnly="0" labelOnly="1" grandCol="1" outline="0" axis="axisCol" fieldPosition="1">
        <references count="1">
          <reference field="4294967294" count="1" selected="0">
            <x v="0"/>
          </reference>
        </references>
      </pivotArea>
    </format>
    <format dxfId="2046">
      <pivotArea field="51" dataOnly="0" labelOnly="1" grandCol="1" outline="0" axis="axisCol" fieldPosition="1">
        <references count="1">
          <reference field="4294967294" count="1" selected="0">
            <x v="1"/>
          </reference>
        </references>
      </pivotArea>
    </format>
    <format dxfId="2045">
      <pivotArea dataOnly="0" labelOnly="1" fieldPosition="0">
        <references count="2">
          <reference field="4294967294" count="1" selected="0">
            <x v="0"/>
          </reference>
          <reference field="51" count="0"/>
        </references>
      </pivotArea>
    </format>
    <format dxfId="2044">
      <pivotArea dataOnly="0" labelOnly="1" fieldPosition="0">
        <references count="2">
          <reference field="4294967294" count="1" selected="0">
            <x v="1"/>
          </reference>
          <reference field="51" count="0"/>
        </references>
      </pivotArea>
    </format>
    <format dxfId="2043">
      <pivotArea type="origin" dataOnly="0" labelOnly="1" outline="0" fieldPosition="0"/>
    </format>
    <format dxfId="2042">
      <pivotArea field="-2" type="button" dataOnly="0" labelOnly="1" outline="0" axis="axisCol" fieldPosition="0"/>
    </format>
    <format dxfId="2041">
      <pivotArea field="51" type="button" dataOnly="0" labelOnly="1" outline="0" axis="axisCol" fieldPosition="1"/>
    </format>
    <format dxfId="2040">
      <pivotArea type="topRight" dataOnly="0" labelOnly="1" outline="0" fieldPosition="0"/>
    </format>
    <format dxfId="2039">
      <pivotArea field="14" type="button" dataOnly="0" labelOnly="1" outline="0" axis="axisRow" fieldPosition="0"/>
    </format>
    <format dxfId="2038">
      <pivotArea dataOnly="0" labelOnly="1" outline="0" fieldPosition="0">
        <references count="1">
          <reference field="4294967294" count="2">
            <x v="0"/>
            <x v="1"/>
          </reference>
        </references>
      </pivotArea>
    </format>
    <format dxfId="2037">
      <pivotArea field="51" dataOnly="0" labelOnly="1" grandCol="1" outline="0" axis="axisCol" fieldPosition="1">
        <references count="1">
          <reference field="4294967294" count="1" selected="0">
            <x v="0"/>
          </reference>
        </references>
      </pivotArea>
    </format>
    <format dxfId="2036">
      <pivotArea field="51" dataOnly="0" labelOnly="1" grandCol="1" outline="0" axis="axisCol" fieldPosition="1">
        <references count="1">
          <reference field="4294967294" count="1" selected="0">
            <x v="1"/>
          </reference>
        </references>
      </pivotArea>
    </format>
    <format dxfId="2035">
      <pivotArea dataOnly="0" labelOnly="1" fieldPosition="0">
        <references count="2">
          <reference field="4294967294" count="1" selected="0">
            <x v="0"/>
          </reference>
          <reference field="51" count="0"/>
        </references>
      </pivotArea>
    </format>
    <format dxfId="2034">
      <pivotArea dataOnly="0" labelOnly="1" fieldPosition="0">
        <references count="2">
          <reference field="4294967294" count="1" selected="0">
            <x v="1"/>
          </reference>
          <reference field="51" count="0"/>
        </references>
      </pivotArea>
    </format>
    <format dxfId="2033">
      <pivotArea grandRow="1" outline="0" collapsedLevelsAreSubtotals="1" fieldPosition="0"/>
    </format>
    <format dxfId="2032">
      <pivotArea dataOnly="0" labelOnly="1" grandRow="1" outline="0" fieldPosition="0"/>
    </format>
    <format dxfId="2031">
      <pivotArea grandRow="1" outline="0" collapsedLevelsAreSubtotals="1" fieldPosition="0"/>
    </format>
    <format dxfId="2030">
      <pivotArea dataOnly="0" labelOnly="1" grandRow="1" outline="0" fieldPosition="0"/>
    </format>
    <format dxfId="2029">
      <pivotArea grandRow="1" outline="0" collapsedLevelsAreSubtotals="1" fieldPosition="0"/>
    </format>
    <format dxfId="202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E10F2A-856B-446A-9509-62D32C76C28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D28" firstHeaderRow="1" firstDataRow="2" firstDataCol="1"/>
  <pivotFields count="53">
    <pivotField numFmtId="164"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sortType="ascending">
      <items count="8">
        <item x="6"/>
        <item sd="0" x="2"/>
        <item sd="0" x="5"/>
        <item sd="0" x="0"/>
        <item sd="0" x="3"/>
        <item sd="0" x="4"/>
        <item sd="0"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showAll="0"/>
  </pivotFields>
  <rowFields count="1">
    <field x="15"/>
  </rowFields>
  <rowItems count="8">
    <i>
      <x/>
    </i>
    <i>
      <x v="1"/>
    </i>
    <i>
      <x v="2"/>
    </i>
    <i>
      <x v="3"/>
    </i>
    <i>
      <x v="4"/>
    </i>
    <i>
      <x v="5"/>
    </i>
    <i>
      <x v="6"/>
    </i>
    <i t="grand">
      <x/>
    </i>
  </rowItems>
  <colFields count="1">
    <field x="51"/>
  </colFields>
  <colItems count="3">
    <i>
      <x/>
    </i>
    <i>
      <x v="1"/>
    </i>
    <i t="grand">
      <x/>
    </i>
  </colItems>
  <dataFields count="1">
    <dataField name="Sum of Unidades" fld="9" baseField="0" baseItem="0" numFmtId="3"/>
  </dataFields>
  <formats count="55">
    <format dxfId="2268">
      <pivotArea field="15" type="button" dataOnly="0" labelOnly="1" outline="0" axis="axisRow" fieldPosition="0"/>
    </format>
    <format dxfId="2267">
      <pivotArea dataOnly="0" labelOnly="1" outline="0" axis="axisValues" fieldPosition="0"/>
    </format>
    <format dxfId="2266">
      <pivotArea field="15" type="button" dataOnly="0" labelOnly="1" outline="0" axis="axisRow" fieldPosition="0"/>
    </format>
    <format dxfId="2265">
      <pivotArea dataOnly="0" labelOnly="1" outline="0" axis="axisValues" fieldPosition="0"/>
    </format>
    <format dxfId="2264">
      <pivotArea dataOnly="0" grandRow="1" fieldPosition="0"/>
    </format>
    <format dxfId="2263">
      <pivotArea dataOnly="0" grandRow="1" fieldPosition="0"/>
    </format>
    <format dxfId="2262">
      <pivotArea outline="0" collapsedLevelsAreSubtotals="1" fieldPosition="0"/>
    </format>
    <format dxfId="2261">
      <pivotArea collapsedLevelsAreSubtotals="1" fieldPosition="0">
        <references count="2">
          <reference field="15" count="1">
            <x v="0"/>
          </reference>
          <reference field="51" count="1" selected="0">
            <x v="0"/>
          </reference>
        </references>
      </pivotArea>
    </format>
    <format dxfId="2260">
      <pivotArea collapsedLevelsAreSubtotals="1" fieldPosition="0">
        <references count="2">
          <reference field="15" count="1">
            <x v="0"/>
          </reference>
          <reference field="51" count="1" selected="0">
            <x v="1"/>
          </reference>
        </references>
      </pivotArea>
    </format>
    <format dxfId="2259">
      <pivotArea field="15" grandCol="1" collapsedLevelsAreSubtotals="1" axis="axisRow" fieldPosition="0">
        <references count="1">
          <reference field="15" count="1">
            <x v="0"/>
          </reference>
        </references>
      </pivotArea>
    </format>
    <format dxfId="2258">
      <pivotArea collapsedLevelsAreSubtotals="1" fieldPosition="0">
        <references count="2">
          <reference field="15" count="1">
            <x v="1"/>
          </reference>
          <reference field="51" count="1" selected="0">
            <x v="0"/>
          </reference>
        </references>
      </pivotArea>
    </format>
    <format dxfId="2257">
      <pivotArea collapsedLevelsAreSubtotals="1" fieldPosition="0">
        <references count="2">
          <reference field="15" count="1">
            <x v="1"/>
          </reference>
          <reference field="51" count="1" selected="0">
            <x v="1"/>
          </reference>
        </references>
      </pivotArea>
    </format>
    <format dxfId="2256">
      <pivotArea field="15" grandCol="1" collapsedLevelsAreSubtotals="1" axis="axisRow" fieldPosition="0">
        <references count="1">
          <reference field="15" count="1">
            <x v="1"/>
          </reference>
        </references>
      </pivotArea>
    </format>
    <format dxfId="2255">
      <pivotArea collapsedLevelsAreSubtotals="1" fieldPosition="0">
        <references count="2">
          <reference field="15" count="1">
            <x v="2"/>
          </reference>
          <reference field="51" count="1" selected="0">
            <x v="0"/>
          </reference>
        </references>
      </pivotArea>
    </format>
    <format dxfId="2254">
      <pivotArea collapsedLevelsAreSubtotals="1" fieldPosition="0">
        <references count="2">
          <reference field="15" count="1">
            <x v="2"/>
          </reference>
          <reference field="51" count="1" selected="0">
            <x v="1"/>
          </reference>
        </references>
      </pivotArea>
    </format>
    <format dxfId="2253">
      <pivotArea field="15" grandCol="1" collapsedLevelsAreSubtotals="1" axis="axisRow" fieldPosition="0">
        <references count="1">
          <reference field="15" count="1">
            <x v="2"/>
          </reference>
        </references>
      </pivotArea>
    </format>
    <format dxfId="2252">
      <pivotArea collapsedLevelsAreSubtotals="1" fieldPosition="0">
        <references count="2">
          <reference field="15" count="1">
            <x v="3"/>
          </reference>
          <reference field="51" count="1" selected="0">
            <x v="0"/>
          </reference>
        </references>
      </pivotArea>
    </format>
    <format dxfId="2251">
      <pivotArea collapsedLevelsAreSubtotals="1" fieldPosition="0">
        <references count="2">
          <reference field="15" count="1">
            <x v="3"/>
          </reference>
          <reference field="51" count="1" selected="0">
            <x v="1"/>
          </reference>
        </references>
      </pivotArea>
    </format>
    <format dxfId="2250">
      <pivotArea field="15" grandCol="1" collapsedLevelsAreSubtotals="1" axis="axisRow" fieldPosition="0">
        <references count="1">
          <reference field="15" count="1">
            <x v="3"/>
          </reference>
        </references>
      </pivotArea>
    </format>
    <format dxfId="2249">
      <pivotArea collapsedLevelsAreSubtotals="1" fieldPosition="0">
        <references count="2">
          <reference field="15" count="1">
            <x v="4"/>
          </reference>
          <reference field="51" count="1" selected="0">
            <x v="0"/>
          </reference>
        </references>
      </pivotArea>
    </format>
    <format dxfId="2248">
      <pivotArea collapsedLevelsAreSubtotals="1" fieldPosition="0">
        <references count="2">
          <reference field="15" count="1">
            <x v="4"/>
          </reference>
          <reference field="51" count="1" selected="0">
            <x v="1"/>
          </reference>
        </references>
      </pivotArea>
    </format>
    <format dxfId="2247">
      <pivotArea field="15" grandCol="1" collapsedLevelsAreSubtotals="1" axis="axisRow" fieldPosition="0">
        <references count="1">
          <reference field="15" count="1">
            <x v="4"/>
          </reference>
        </references>
      </pivotArea>
    </format>
    <format dxfId="2246">
      <pivotArea collapsedLevelsAreSubtotals="1" fieldPosition="0">
        <references count="2">
          <reference field="15" count="1">
            <x v="5"/>
          </reference>
          <reference field="51" count="1" selected="0">
            <x v="0"/>
          </reference>
        </references>
      </pivotArea>
    </format>
    <format dxfId="2245">
      <pivotArea collapsedLevelsAreSubtotals="1" fieldPosition="0">
        <references count="2">
          <reference field="15" count="1">
            <x v="5"/>
          </reference>
          <reference field="51" count="1" selected="0">
            <x v="1"/>
          </reference>
        </references>
      </pivotArea>
    </format>
    <format dxfId="2244">
      <pivotArea field="15" grandCol="1" collapsedLevelsAreSubtotals="1" axis="axisRow" fieldPosition="0">
        <references count="1">
          <reference field="15" count="1">
            <x v="5"/>
          </reference>
        </references>
      </pivotArea>
    </format>
    <format dxfId="2243">
      <pivotArea collapsedLevelsAreSubtotals="1" fieldPosition="0">
        <references count="2">
          <reference field="15" count="1">
            <x v="6"/>
          </reference>
          <reference field="51" count="1" selected="0">
            <x v="0"/>
          </reference>
        </references>
      </pivotArea>
    </format>
    <format dxfId="2242">
      <pivotArea collapsedLevelsAreSubtotals="1" fieldPosition="0">
        <references count="2">
          <reference field="15" count="1">
            <x v="6"/>
          </reference>
          <reference field="51" count="1" selected="0">
            <x v="1"/>
          </reference>
        </references>
      </pivotArea>
    </format>
    <format dxfId="2241">
      <pivotArea field="15" grandCol="1" collapsedLevelsAreSubtotals="1" axis="axisRow" fieldPosition="0">
        <references count="1">
          <reference field="15" count="1">
            <x v="6"/>
          </reference>
        </references>
      </pivotArea>
    </format>
    <format dxfId="2240">
      <pivotArea field="51" grandRow="1" outline="0" collapsedLevelsAreSubtotals="1" axis="axisCol" fieldPosition="0">
        <references count="1">
          <reference field="51" count="1" selected="0">
            <x v="0"/>
          </reference>
        </references>
      </pivotArea>
    </format>
    <format dxfId="2239">
      <pivotArea field="51" grandRow="1" outline="0" collapsedLevelsAreSubtotals="1" axis="axisCol" fieldPosition="0">
        <references count="1">
          <reference field="51" count="1" selected="0">
            <x v="1"/>
          </reference>
        </references>
      </pivotArea>
    </format>
    <format dxfId="2238">
      <pivotArea grandRow="1" grandCol="1" outline="0" collapsedLevelsAreSubtotals="1" fieldPosition="0"/>
    </format>
    <format dxfId="2237">
      <pivotArea type="origin" dataOnly="0" labelOnly="1" outline="0" fieldPosition="0"/>
    </format>
    <format dxfId="2236">
      <pivotArea field="51" type="button" dataOnly="0" labelOnly="1" outline="0" axis="axisCol" fieldPosition="0"/>
    </format>
    <format dxfId="2235">
      <pivotArea type="topRight" dataOnly="0" labelOnly="1" outline="0" fieldPosition="0"/>
    </format>
    <format dxfId="2234">
      <pivotArea field="15" type="button" dataOnly="0" labelOnly="1" outline="0" axis="axisRow" fieldPosition="0"/>
    </format>
    <format dxfId="2233">
      <pivotArea dataOnly="0" labelOnly="1" fieldPosition="0">
        <references count="1">
          <reference field="51" count="0"/>
        </references>
      </pivotArea>
    </format>
    <format dxfId="2232">
      <pivotArea dataOnly="0" labelOnly="1" grandCol="1" outline="0" fieldPosition="0"/>
    </format>
    <format dxfId="2231">
      <pivotArea type="origin" dataOnly="0" labelOnly="1" outline="0" fieldPosition="0"/>
    </format>
    <format dxfId="2230">
      <pivotArea field="51" type="button" dataOnly="0" labelOnly="1" outline="0" axis="axisCol" fieldPosition="0"/>
    </format>
    <format dxfId="2229">
      <pivotArea type="topRight" dataOnly="0" labelOnly="1" outline="0" fieldPosition="0"/>
    </format>
    <format dxfId="2228">
      <pivotArea field="15" type="button" dataOnly="0" labelOnly="1" outline="0" axis="axisRow" fieldPosition="0"/>
    </format>
    <format dxfId="2227">
      <pivotArea dataOnly="0" labelOnly="1" fieldPosition="0">
        <references count="1">
          <reference field="51" count="0"/>
        </references>
      </pivotArea>
    </format>
    <format dxfId="2226">
      <pivotArea dataOnly="0" labelOnly="1" grandCol="1" outline="0" fieldPosition="0"/>
    </format>
    <format dxfId="2225">
      <pivotArea type="origin" dataOnly="0" labelOnly="1" outline="0" fieldPosition="0"/>
    </format>
    <format dxfId="2224">
      <pivotArea field="51" type="button" dataOnly="0" labelOnly="1" outline="0" axis="axisCol" fieldPosition="0"/>
    </format>
    <format dxfId="2223">
      <pivotArea type="topRight" dataOnly="0" labelOnly="1" outline="0" fieldPosition="0"/>
    </format>
    <format dxfId="2222">
      <pivotArea field="15" type="button" dataOnly="0" labelOnly="1" outline="0" axis="axisRow" fieldPosition="0"/>
    </format>
    <format dxfId="2221">
      <pivotArea dataOnly="0" labelOnly="1" fieldPosition="0">
        <references count="1">
          <reference field="51" count="0"/>
        </references>
      </pivotArea>
    </format>
    <format dxfId="2220">
      <pivotArea dataOnly="0" labelOnly="1" grandCol="1" outline="0" fieldPosition="0"/>
    </format>
    <format dxfId="2219">
      <pivotArea grandRow="1" outline="0" collapsedLevelsAreSubtotals="1" fieldPosition="0"/>
    </format>
    <format dxfId="2218">
      <pivotArea dataOnly="0" labelOnly="1" grandRow="1" outline="0" fieldPosition="0"/>
    </format>
    <format dxfId="2217">
      <pivotArea grandRow="1" outline="0" collapsedLevelsAreSubtotals="1" fieldPosition="0"/>
    </format>
    <format dxfId="2216">
      <pivotArea dataOnly="0" labelOnly="1" grandRow="1" outline="0" fieldPosition="0"/>
    </format>
    <format dxfId="2215">
      <pivotArea grandRow="1" outline="0" collapsedLevelsAreSubtotals="1" fieldPosition="0"/>
    </format>
    <format dxfId="221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F29453-DE42-479F-A38C-3C126EE4F1F6}" name="PHorasM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4:N18" firstHeaderRow="1" firstDataRow="2" firstDataCol="1"/>
  <pivotFields count="53">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axis="axisRow" showAll="0">
      <items count="15">
        <item x="0"/>
        <item x="11"/>
        <item x="1"/>
        <item x="2"/>
        <item x="3"/>
        <item x="4"/>
        <item x="5"/>
        <item x="6"/>
        <item x="7"/>
        <item x="8"/>
        <item x="9"/>
        <item x="10"/>
        <item h="1" x="12"/>
        <item m="1" x="13"/>
        <item t="default"/>
      </items>
    </pivotField>
  </pivotFields>
  <rowFields count="1">
    <field x="52"/>
  </rowFields>
  <rowItems count="13">
    <i>
      <x/>
    </i>
    <i>
      <x v="1"/>
    </i>
    <i>
      <x v="2"/>
    </i>
    <i>
      <x v="3"/>
    </i>
    <i>
      <x v="4"/>
    </i>
    <i>
      <x v="5"/>
    </i>
    <i>
      <x v="6"/>
    </i>
    <i>
      <x v="7"/>
    </i>
    <i>
      <x v="8"/>
    </i>
    <i>
      <x v="9"/>
    </i>
    <i>
      <x v="10"/>
    </i>
    <i>
      <x v="11"/>
    </i>
    <i t="grand">
      <x/>
    </i>
  </rowItems>
  <colFields count="1">
    <field x="51"/>
  </colFields>
  <colItems count="3">
    <i>
      <x/>
    </i>
    <i>
      <x v="1"/>
    </i>
    <i t="grand">
      <x/>
    </i>
  </colItems>
  <dataFields count="1">
    <dataField name="Horas Úteis" fld="2" baseField="0" baseItem="0"/>
  </dataFields>
  <formats count="63">
    <format dxfId="68">
      <pivotArea collapsedLevelsAreSubtotals="1" fieldPosition="0">
        <references count="2">
          <reference field="51" count="1" selected="0">
            <x v="0"/>
          </reference>
          <reference field="52" count="1">
            <x v="0"/>
          </reference>
        </references>
      </pivotArea>
    </format>
    <format dxfId="67">
      <pivotArea collapsedLevelsAreSubtotals="1" fieldPosition="0">
        <references count="2">
          <reference field="51" count="1" selected="0">
            <x v="1"/>
          </reference>
          <reference field="52" count="1">
            <x v="0"/>
          </reference>
        </references>
      </pivotArea>
    </format>
    <format dxfId="66">
      <pivotArea field="52" grandCol="1" collapsedLevelsAreSubtotals="1" axis="axisRow" fieldPosition="0">
        <references count="1">
          <reference field="52" count="1">
            <x v="0"/>
          </reference>
        </references>
      </pivotArea>
    </format>
    <format dxfId="65">
      <pivotArea collapsedLevelsAreSubtotals="1" fieldPosition="0">
        <references count="2">
          <reference field="51" count="1" selected="0">
            <x v="0"/>
          </reference>
          <reference field="52" count="1">
            <x v="1"/>
          </reference>
        </references>
      </pivotArea>
    </format>
    <format dxfId="64">
      <pivotArea collapsedLevelsAreSubtotals="1" fieldPosition="0">
        <references count="2">
          <reference field="51" count="1" selected="0">
            <x v="1"/>
          </reference>
          <reference field="52" count="1">
            <x v="1"/>
          </reference>
        </references>
      </pivotArea>
    </format>
    <format dxfId="63">
      <pivotArea field="52" grandCol="1" collapsedLevelsAreSubtotals="1" axis="axisRow" fieldPosition="0">
        <references count="1">
          <reference field="52" count="1">
            <x v="1"/>
          </reference>
        </references>
      </pivotArea>
    </format>
    <format dxfId="62">
      <pivotArea collapsedLevelsAreSubtotals="1" fieldPosition="0">
        <references count="2">
          <reference field="51" count="1" selected="0">
            <x v="0"/>
          </reference>
          <reference field="52" count="1">
            <x v="2"/>
          </reference>
        </references>
      </pivotArea>
    </format>
    <format dxfId="61">
      <pivotArea collapsedLevelsAreSubtotals="1" fieldPosition="0">
        <references count="2">
          <reference field="51" count="1" selected="0">
            <x v="1"/>
          </reference>
          <reference field="52" count="1">
            <x v="2"/>
          </reference>
        </references>
      </pivotArea>
    </format>
    <format dxfId="60">
      <pivotArea field="52" grandCol="1" collapsedLevelsAreSubtotals="1" axis="axisRow" fieldPosition="0">
        <references count="1">
          <reference field="52" count="1">
            <x v="2"/>
          </reference>
        </references>
      </pivotArea>
    </format>
    <format dxfId="59">
      <pivotArea collapsedLevelsAreSubtotals="1" fieldPosition="0">
        <references count="2">
          <reference field="51" count="1" selected="0">
            <x v="0"/>
          </reference>
          <reference field="52" count="1">
            <x v="3"/>
          </reference>
        </references>
      </pivotArea>
    </format>
    <format dxfId="58">
      <pivotArea collapsedLevelsAreSubtotals="1" fieldPosition="0">
        <references count="2">
          <reference field="51" count="1" selected="0">
            <x v="1"/>
          </reference>
          <reference field="52" count="1">
            <x v="3"/>
          </reference>
        </references>
      </pivotArea>
    </format>
    <format dxfId="57">
      <pivotArea field="52" grandCol="1" collapsedLevelsAreSubtotals="1" axis="axisRow" fieldPosition="0">
        <references count="1">
          <reference field="52" count="1">
            <x v="3"/>
          </reference>
        </references>
      </pivotArea>
    </format>
    <format dxfId="56">
      <pivotArea collapsedLevelsAreSubtotals="1" fieldPosition="0">
        <references count="2">
          <reference field="51" count="1" selected="0">
            <x v="0"/>
          </reference>
          <reference field="52" count="1">
            <x v="4"/>
          </reference>
        </references>
      </pivotArea>
    </format>
    <format dxfId="55">
      <pivotArea collapsedLevelsAreSubtotals="1" fieldPosition="0">
        <references count="2">
          <reference field="51" count="1" selected="0">
            <x v="1"/>
          </reference>
          <reference field="52" count="1">
            <x v="4"/>
          </reference>
        </references>
      </pivotArea>
    </format>
    <format dxfId="54">
      <pivotArea field="52" grandCol="1" collapsedLevelsAreSubtotals="1" axis="axisRow" fieldPosition="0">
        <references count="1">
          <reference field="52" count="1">
            <x v="4"/>
          </reference>
        </references>
      </pivotArea>
    </format>
    <format dxfId="53">
      <pivotArea collapsedLevelsAreSubtotals="1" fieldPosition="0">
        <references count="2">
          <reference field="51" count="1" selected="0">
            <x v="0"/>
          </reference>
          <reference field="52" count="1">
            <x v="5"/>
          </reference>
        </references>
      </pivotArea>
    </format>
    <format dxfId="52">
      <pivotArea collapsedLevelsAreSubtotals="1" fieldPosition="0">
        <references count="2">
          <reference field="51" count="1" selected="0">
            <x v="1"/>
          </reference>
          <reference field="52" count="1">
            <x v="5"/>
          </reference>
        </references>
      </pivotArea>
    </format>
    <format dxfId="51">
      <pivotArea field="52" grandCol="1" collapsedLevelsAreSubtotals="1" axis="axisRow" fieldPosition="0">
        <references count="1">
          <reference field="52" count="1">
            <x v="5"/>
          </reference>
        </references>
      </pivotArea>
    </format>
    <format dxfId="50">
      <pivotArea collapsedLevelsAreSubtotals="1" fieldPosition="0">
        <references count="2">
          <reference field="51" count="1" selected="0">
            <x v="0"/>
          </reference>
          <reference field="52" count="1">
            <x v="6"/>
          </reference>
        </references>
      </pivotArea>
    </format>
    <format dxfId="49">
      <pivotArea collapsedLevelsAreSubtotals="1" fieldPosition="0">
        <references count="2">
          <reference field="51" count="1" selected="0">
            <x v="1"/>
          </reference>
          <reference field="52" count="1">
            <x v="6"/>
          </reference>
        </references>
      </pivotArea>
    </format>
    <format dxfId="48">
      <pivotArea field="52" grandCol="1" collapsedLevelsAreSubtotals="1" axis="axisRow" fieldPosition="0">
        <references count="1">
          <reference field="52" count="1">
            <x v="6"/>
          </reference>
        </references>
      </pivotArea>
    </format>
    <format dxfId="47">
      <pivotArea collapsedLevelsAreSubtotals="1" fieldPosition="0">
        <references count="2">
          <reference field="51" count="1" selected="0">
            <x v="0"/>
          </reference>
          <reference field="52" count="1">
            <x v="7"/>
          </reference>
        </references>
      </pivotArea>
    </format>
    <format dxfId="46">
      <pivotArea collapsedLevelsAreSubtotals="1" fieldPosition="0">
        <references count="2">
          <reference field="51" count="1" selected="0">
            <x v="1"/>
          </reference>
          <reference field="52" count="1">
            <x v="7"/>
          </reference>
        </references>
      </pivotArea>
    </format>
    <format dxfId="45">
      <pivotArea field="52" grandCol="1" collapsedLevelsAreSubtotals="1" axis="axisRow" fieldPosition="0">
        <references count="1">
          <reference field="52" count="1">
            <x v="7"/>
          </reference>
        </references>
      </pivotArea>
    </format>
    <format dxfId="44">
      <pivotArea collapsedLevelsAreSubtotals="1" fieldPosition="0">
        <references count="2">
          <reference field="51" count="1" selected="0">
            <x v="0"/>
          </reference>
          <reference field="52" count="1">
            <x v="8"/>
          </reference>
        </references>
      </pivotArea>
    </format>
    <format dxfId="43">
      <pivotArea collapsedLevelsAreSubtotals="1" fieldPosition="0">
        <references count="2">
          <reference field="51" count="1" selected="0">
            <x v="1"/>
          </reference>
          <reference field="52" count="1">
            <x v="8"/>
          </reference>
        </references>
      </pivotArea>
    </format>
    <format dxfId="42">
      <pivotArea field="52" grandCol="1" collapsedLevelsAreSubtotals="1" axis="axisRow" fieldPosition="0">
        <references count="1">
          <reference field="52" count="1">
            <x v="8"/>
          </reference>
        </references>
      </pivotArea>
    </format>
    <format dxfId="41">
      <pivotArea collapsedLevelsAreSubtotals="1" fieldPosition="0">
        <references count="2">
          <reference field="51" count="1" selected="0">
            <x v="0"/>
          </reference>
          <reference field="52" count="1">
            <x v="9"/>
          </reference>
        </references>
      </pivotArea>
    </format>
    <format dxfId="40">
      <pivotArea collapsedLevelsAreSubtotals="1" fieldPosition="0">
        <references count="2">
          <reference field="51" count="1" selected="0">
            <x v="1"/>
          </reference>
          <reference field="52" count="1">
            <x v="9"/>
          </reference>
        </references>
      </pivotArea>
    </format>
    <format dxfId="39">
      <pivotArea field="52" grandCol="1" collapsedLevelsAreSubtotals="1" axis="axisRow" fieldPosition="0">
        <references count="1">
          <reference field="52" count="1">
            <x v="9"/>
          </reference>
        </references>
      </pivotArea>
    </format>
    <format dxfId="38">
      <pivotArea collapsedLevelsAreSubtotals="1" fieldPosition="0">
        <references count="2">
          <reference field="51" count="1" selected="0">
            <x v="0"/>
          </reference>
          <reference field="52" count="1">
            <x v="10"/>
          </reference>
        </references>
      </pivotArea>
    </format>
    <format dxfId="37">
      <pivotArea collapsedLevelsAreSubtotals="1" fieldPosition="0">
        <references count="2">
          <reference field="51" count="1" selected="0">
            <x v="1"/>
          </reference>
          <reference field="52" count="1">
            <x v="10"/>
          </reference>
        </references>
      </pivotArea>
    </format>
    <format dxfId="36">
      <pivotArea field="52" grandCol="1" collapsedLevelsAreSubtotals="1" axis="axisRow" fieldPosition="0">
        <references count="1">
          <reference field="52" count="1">
            <x v="10"/>
          </reference>
        </references>
      </pivotArea>
    </format>
    <format dxfId="35">
      <pivotArea collapsedLevelsAreSubtotals="1" fieldPosition="0">
        <references count="2">
          <reference field="51" count="1" selected="0">
            <x v="0"/>
          </reference>
          <reference field="52" count="1">
            <x v="11"/>
          </reference>
        </references>
      </pivotArea>
    </format>
    <format dxfId="34">
      <pivotArea collapsedLevelsAreSubtotals="1" fieldPosition="0">
        <references count="2">
          <reference field="51" count="1" selected="0">
            <x v="1"/>
          </reference>
          <reference field="52" count="1">
            <x v="11"/>
          </reference>
        </references>
      </pivotArea>
    </format>
    <format dxfId="33">
      <pivotArea field="52" grandCol="1" collapsedLevelsAreSubtotals="1" axis="axisRow" fieldPosition="0">
        <references count="1">
          <reference field="52" count="1">
            <x v="11"/>
          </reference>
        </references>
      </pivotArea>
    </format>
    <format dxfId="32">
      <pivotArea field="51" grandRow="1" outline="0" collapsedLevelsAreSubtotals="1" axis="axisCol" fieldPosition="0">
        <references count="1">
          <reference field="51" count="1" selected="0">
            <x v="0"/>
          </reference>
        </references>
      </pivotArea>
    </format>
    <format dxfId="31">
      <pivotArea field="51" grandRow="1" outline="0" collapsedLevelsAreSubtotals="1" axis="axisCol" fieldPosition="0">
        <references count="1">
          <reference field="51" count="1" selected="0">
            <x v="1"/>
          </reference>
        </references>
      </pivotArea>
    </format>
    <format dxfId="30">
      <pivotArea grandRow="1" grandCol="1" outline="0" collapsedLevelsAreSubtotals="1" fieldPosition="0"/>
    </format>
    <format dxfId="29">
      <pivotArea type="origin" dataOnly="0" labelOnly="1" outline="0" fieldPosition="0"/>
    </format>
    <format dxfId="28">
      <pivotArea field="51" type="button" dataOnly="0" labelOnly="1" outline="0" axis="axisCol" fieldPosition="0"/>
    </format>
    <format dxfId="27">
      <pivotArea type="topRight" dataOnly="0" labelOnly="1" outline="0" fieldPosition="0"/>
    </format>
    <format dxfId="26">
      <pivotArea field="52" type="button" dataOnly="0" labelOnly="1" outline="0" axis="axisRow" fieldPosition="0"/>
    </format>
    <format dxfId="25">
      <pivotArea dataOnly="0" labelOnly="1" fieldPosition="0">
        <references count="1">
          <reference field="51" count="0"/>
        </references>
      </pivotArea>
    </format>
    <format dxfId="24">
      <pivotArea dataOnly="0" labelOnly="1" grandCol="1" outline="0" fieldPosition="0"/>
    </format>
    <format dxfId="23">
      <pivotArea type="origin" dataOnly="0" labelOnly="1" outline="0" fieldPosition="0"/>
    </format>
    <format dxfId="22">
      <pivotArea field="51" type="button" dataOnly="0" labelOnly="1" outline="0" axis="axisCol" fieldPosition="0"/>
    </format>
    <format dxfId="21">
      <pivotArea type="topRight" dataOnly="0" labelOnly="1" outline="0" fieldPosition="0"/>
    </format>
    <format dxfId="20">
      <pivotArea field="52" type="button" dataOnly="0" labelOnly="1" outline="0" axis="axisRow" fieldPosition="0"/>
    </format>
    <format dxfId="19">
      <pivotArea dataOnly="0" labelOnly="1" fieldPosition="0">
        <references count="1">
          <reference field="51" count="0"/>
        </references>
      </pivotArea>
    </format>
    <format dxfId="18">
      <pivotArea dataOnly="0" labelOnly="1" grandCol="1" outline="0" fieldPosition="0"/>
    </format>
    <format dxfId="17">
      <pivotArea type="origin" dataOnly="0" labelOnly="1" outline="0" fieldPosition="0"/>
    </format>
    <format dxfId="16">
      <pivotArea field="51" type="button" dataOnly="0" labelOnly="1" outline="0" axis="axisCol" fieldPosition="0"/>
    </format>
    <format dxfId="15">
      <pivotArea type="topRight" dataOnly="0" labelOnly="1" outline="0" fieldPosition="0"/>
    </format>
    <format dxfId="14">
      <pivotArea field="52" type="button" dataOnly="0" labelOnly="1" outline="0" axis="axisRow" fieldPosition="0"/>
    </format>
    <format dxfId="13">
      <pivotArea dataOnly="0" labelOnly="1" fieldPosition="0">
        <references count="1">
          <reference field="51" count="0"/>
        </references>
      </pivotArea>
    </format>
    <format dxfId="12">
      <pivotArea dataOnly="0" labelOnly="1" grandCol="1" outline="0" fieldPosition="0"/>
    </format>
    <format dxfId="11">
      <pivotArea grandRow="1" outline="0" collapsedLevelsAreSubtotals="1" fieldPosition="0"/>
    </format>
    <format dxfId="10">
      <pivotArea dataOnly="0" labelOnly="1" grandRow="1" outline="0" fieldPosition="0"/>
    </format>
    <format dxfId="9">
      <pivotArea grandRow="1" outline="0" collapsedLevelsAreSubtotals="1" fieldPosition="0"/>
    </format>
    <format dxfId="8">
      <pivotArea dataOnly="0" labelOnly="1" grandRow="1" outline="0" fieldPosition="0"/>
    </format>
    <format dxfId="7">
      <pivotArea grandRow="1" outline="0" collapsedLevelsAreSubtotals="1" fieldPosition="0"/>
    </format>
    <format dxfId="6">
      <pivotArea dataOnly="0" labelOnly="1" grandRow="1" outline="0" fieldPosition="0"/>
    </format>
  </formats>
  <chartFormats count="2">
    <chartFormat chart="0" format="0" series="1">
      <pivotArea type="data" outline="0" fieldPosition="0">
        <references count="2">
          <reference field="4294967294" count="1" selected="0">
            <x v="0"/>
          </reference>
          <reference field="51" count="1" selected="0">
            <x v="0"/>
          </reference>
        </references>
      </pivotArea>
    </chartFormat>
    <chartFormat chart="0" format="1" series="1">
      <pivotArea type="data" outline="0" fieldPosition="0">
        <references count="2">
          <reference field="4294967294" count="1" selected="0">
            <x v="0"/>
          </reference>
          <reference field="5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336806-332B-4938-917F-F23D050171D3}" name="PProdM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4:I18" firstHeaderRow="1" firstDataRow="2" firstDataCol="1"/>
  <pivotFields count="53">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axis="axisRow" showAll="0">
      <items count="15">
        <item x="0"/>
        <item x="11"/>
        <item x="1"/>
        <item x="2"/>
        <item x="3"/>
        <item x="4"/>
        <item x="5"/>
        <item x="6"/>
        <item x="7"/>
        <item x="8"/>
        <item x="9"/>
        <item x="10"/>
        <item h="1" x="12"/>
        <item m="1" x="13"/>
        <item t="default"/>
      </items>
    </pivotField>
  </pivotFields>
  <rowFields count="1">
    <field x="52"/>
  </rowFields>
  <rowItems count="13">
    <i>
      <x/>
    </i>
    <i>
      <x v="1"/>
    </i>
    <i>
      <x v="2"/>
    </i>
    <i>
      <x v="3"/>
    </i>
    <i>
      <x v="4"/>
    </i>
    <i>
      <x v="5"/>
    </i>
    <i>
      <x v="6"/>
    </i>
    <i>
      <x v="7"/>
    </i>
    <i>
      <x v="8"/>
    </i>
    <i>
      <x v="9"/>
    </i>
    <i>
      <x v="10"/>
    </i>
    <i>
      <x v="11"/>
    </i>
    <i t="grand">
      <x/>
    </i>
  </rowItems>
  <colFields count="1">
    <field x="51"/>
  </colFields>
  <colItems count="3">
    <i>
      <x/>
    </i>
    <i>
      <x v="1"/>
    </i>
    <i t="grand">
      <x/>
    </i>
  </colItems>
  <dataFields count="1">
    <dataField name="Média Un/Hora" fld="3" subtotal="average" baseField="0" baseItem="0"/>
  </dataFields>
  <formats count="63">
    <format dxfId="131">
      <pivotArea collapsedLevelsAreSubtotals="1" fieldPosition="0">
        <references count="2">
          <reference field="51" count="1" selected="0">
            <x v="0"/>
          </reference>
          <reference field="52" count="1">
            <x v="0"/>
          </reference>
        </references>
      </pivotArea>
    </format>
    <format dxfId="130">
      <pivotArea collapsedLevelsAreSubtotals="1" fieldPosition="0">
        <references count="2">
          <reference field="51" count="1" selected="0">
            <x v="1"/>
          </reference>
          <reference field="52" count="1">
            <x v="0"/>
          </reference>
        </references>
      </pivotArea>
    </format>
    <format dxfId="129">
      <pivotArea field="52" grandCol="1" collapsedLevelsAreSubtotals="1" axis="axisRow" fieldPosition="0">
        <references count="1">
          <reference field="52" count="1">
            <x v="0"/>
          </reference>
        </references>
      </pivotArea>
    </format>
    <format dxfId="128">
      <pivotArea collapsedLevelsAreSubtotals="1" fieldPosition="0">
        <references count="2">
          <reference field="51" count="1" selected="0">
            <x v="0"/>
          </reference>
          <reference field="52" count="1">
            <x v="1"/>
          </reference>
        </references>
      </pivotArea>
    </format>
    <format dxfId="127">
      <pivotArea collapsedLevelsAreSubtotals="1" fieldPosition="0">
        <references count="2">
          <reference field="51" count="1" selected="0">
            <x v="1"/>
          </reference>
          <reference field="52" count="1">
            <x v="1"/>
          </reference>
        </references>
      </pivotArea>
    </format>
    <format dxfId="126">
      <pivotArea field="52" grandCol="1" collapsedLevelsAreSubtotals="1" axis="axisRow" fieldPosition="0">
        <references count="1">
          <reference field="52" count="1">
            <x v="1"/>
          </reference>
        </references>
      </pivotArea>
    </format>
    <format dxfId="125">
      <pivotArea collapsedLevelsAreSubtotals="1" fieldPosition="0">
        <references count="2">
          <reference field="51" count="1" selected="0">
            <x v="0"/>
          </reference>
          <reference field="52" count="1">
            <x v="2"/>
          </reference>
        </references>
      </pivotArea>
    </format>
    <format dxfId="124">
      <pivotArea collapsedLevelsAreSubtotals="1" fieldPosition="0">
        <references count="2">
          <reference field="51" count="1" selected="0">
            <x v="1"/>
          </reference>
          <reference field="52" count="1">
            <x v="2"/>
          </reference>
        </references>
      </pivotArea>
    </format>
    <format dxfId="123">
      <pivotArea field="52" grandCol="1" collapsedLevelsAreSubtotals="1" axis="axisRow" fieldPosition="0">
        <references count="1">
          <reference field="52" count="1">
            <x v="2"/>
          </reference>
        </references>
      </pivotArea>
    </format>
    <format dxfId="122">
      <pivotArea collapsedLevelsAreSubtotals="1" fieldPosition="0">
        <references count="2">
          <reference field="51" count="1" selected="0">
            <x v="0"/>
          </reference>
          <reference field="52" count="1">
            <x v="3"/>
          </reference>
        </references>
      </pivotArea>
    </format>
    <format dxfId="121">
      <pivotArea collapsedLevelsAreSubtotals="1" fieldPosition="0">
        <references count="2">
          <reference field="51" count="1" selected="0">
            <x v="1"/>
          </reference>
          <reference field="52" count="1">
            <x v="3"/>
          </reference>
        </references>
      </pivotArea>
    </format>
    <format dxfId="120">
      <pivotArea field="52" grandCol="1" collapsedLevelsAreSubtotals="1" axis="axisRow" fieldPosition="0">
        <references count="1">
          <reference field="52" count="1">
            <x v="3"/>
          </reference>
        </references>
      </pivotArea>
    </format>
    <format dxfId="119">
      <pivotArea collapsedLevelsAreSubtotals="1" fieldPosition="0">
        <references count="2">
          <reference field="51" count="1" selected="0">
            <x v="0"/>
          </reference>
          <reference field="52" count="1">
            <x v="4"/>
          </reference>
        </references>
      </pivotArea>
    </format>
    <format dxfId="118">
      <pivotArea collapsedLevelsAreSubtotals="1" fieldPosition="0">
        <references count="2">
          <reference field="51" count="1" selected="0">
            <x v="1"/>
          </reference>
          <reference field="52" count="1">
            <x v="4"/>
          </reference>
        </references>
      </pivotArea>
    </format>
    <format dxfId="117">
      <pivotArea field="52" grandCol="1" collapsedLevelsAreSubtotals="1" axis="axisRow" fieldPosition="0">
        <references count="1">
          <reference field="52" count="1">
            <x v="4"/>
          </reference>
        </references>
      </pivotArea>
    </format>
    <format dxfId="116">
      <pivotArea collapsedLevelsAreSubtotals="1" fieldPosition="0">
        <references count="2">
          <reference field="51" count="1" selected="0">
            <x v="0"/>
          </reference>
          <reference field="52" count="1">
            <x v="5"/>
          </reference>
        </references>
      </pivotArea>
    </format>
    <format dxfId="115">
      <pivotArea collapsedLevelsAreSubtotals="1" fieldPosition="0">
        <references count="2">
          <reference field="51" count="1" selected="0">
            <x v="1"/>
          </reference>
          <reference field="52" count="1">
            <x v="5"/>
          </reference>
        </references>
      </pivotArea>
    </format>
    <format dxfId="114">
      <pivotArea field="52" grandCol="1" collapsedLevelsAreSubtotals="1" axis="axisRow" fieldPosition="0">
        <references count="1">
          <reference field="52" count="1">
            <x v="5"/>
          </reference>
        </references>
      </pivotArea>
    </format>
    <format dxfId="113">
      <pivotArea collapsedLevelsAreSubtotals="1" fieldPosition="0">
        <references count="2">
          <reference field="51" count="1" selected="0">
            <x v="0"/>
          </reference>
          <reference field="52" count="1">
            <x v="6"/>
          </reference>
        </references>
      </pivotArea>
    </format>
    <format dxfId="112">
      <pivotArea collapsedLevelsAreSubtotals="1" fieldPosition="0">
        <references count="2">
          <reference field="51" count="1" selected="0">
            <x v="1"/>
          </reference>
          <reference field="52" count="1">
            <x v="6"/>
          </reference>
        </references>
      </pivotArea>
    </format>
    <format dxfId="111">
      <pivotArea field="52" grandCol="1" collapsedLevelsAreSubtotals="1" axis="axisRow" fieldPosition="0">
        <references count="1">
          <reference field="52" count="1">
            <x v="6"/>
          </reference>
        </references>
      </pivotArea>
    </format>
    <format dxfId="110">
      <pivotArea collapsedLevelsAreSubtotals="1" fieldPosition="0">
        <references count="2">
          <reference field="51" count="1" selected="0">
            <x v="0"/>
          </reference>
          <reference field="52" count="1">
            <x v="7"/>
          </reference>
        </references>
      </pivotArea>
    </format>
    <format dxfId="109">
      <pivotArea collapsedLevelsAreSubtotals="1" fieldPosition="0">
        <references count="2">
          <reference field="51" count="1" selected="0">
            <x v="1"/>
          </reference>
          <reference field="52" count="1">
            <x v="7"/>
          </reference>
        </references>
      </pivotArea>
    </format>
    <format dxfId="108">
      <pivotArea field="52" grandCol="1" collapsedLevelsAreSubtotals="1" axis="axisRow" fieldPosition="0">
        <references count="1">
          <reference field="52" count="1">
            <x v="7"/>
          </reference>
        </references>
      </pivotArea>
    </format>
    <format dxfId="107">
      <pivotArea collapsedLevelsAreSubtotals="1" fieldPosition="0">
        <references count="2">
          <reference field="51" count="1" selected="0">
            <x v="0"/>
          </reference>
          <reference field="52" count="1">
            <x v="8"/>
          </reference>
        </references>
      </pivotArea>
    </format>
    <format dxfId="106">
      <pivotArea collapsedLevelsAreSubtotals="1" fieldPosition="0">
        <references count="2">
          <reference field="51" count="1" selected="0">
            <x v="1"/>
          </reference>
          <reference field="52" count="1">
            <x v="8"/>
          </reference>
        </references>
      </pivotArea>
    </format>
    <format dxfId="105">
      <pivotArea field="52" grandCol="1" collapsedLevelsAreSubtotals="1" axis="axisRow" fieldPosition="0">
        <references count="1">
          <reference field="52" count="1">
            <x v="8"/>
          </reference>
        </references>
      </pivotArea>
    </format>
    <format dxfId="104">
      <pivotArea collapsedLevelsAreSubtotals="1" fieldPosition="0">
        <references count="2">
          <reference field="51" count="1" selected="0">
            <x v="0"/>
          </reference>
          <reference field="52" count="1">
            <x v="9"/>
          </reference>
        </references>
      </pivotArea>
    </format>
    <format dxfId="103">
      <pivotArea collapsedLevelsAreSubtotals="1" fieldPosition="0">
        <references count="2">
          <reference field="51" count="1" selected="0">
            <x v="1"/>
          </reference>
          <reference field="52" count="1">
            <x v="9"/>
          </reference>
        </references>
      </pivotArea>
    </format>
    <format dxfId="102">
      <pivotArea field="52" grandCol="1" collapsedLevelsAreSubtotals="1" axis="axisRow" fieldPosition="0">
        <references count="1">
          <reference field="52" count="1">
            <x v="9"/>
          </reference>
        </references>
      </pivotArea>
    </format>
    <format dxfId="101">
      <pivotArea collapsedLevelsAreSubtotals="1" fieldPosition="0">
        <references count="2">
          <reference field="51" count="1" selected="0">
            <x v="0"/>
          </reference>
          <reference field="52" count="1">
            <x v="10"/>
          </reference>
        </references>
      </pivotArea>
    </format>
    <format dxfId="100">
      <pivotArea collapsedLevelsAreSubtotals="1" fieldPosition="0">
        <references count="2">
          <reference field="51" count="1" selected="0">
            <x v="1"/>
          </reference>
          <reference field="52" count="1">
            <x v="10"/>
          </reference>
        </references>
      </pivotArea>
    </format>
    <format dxfId="99">
      <pivotArea field="52" grandCol="1" collapsedLevelsAreSubtotals="1" axis="axisRow" fieldPosition="0">
        <references count="1">
          <reference field="52" count="1">
            <x v="10"/>
          </reference>
        </references>
      </pivotArea>
    </format>
    <format dxfId="98">
      <pivotArea collapsedLevelsAreSubtotals="1" fieldPosition="0">
        <references count="2">
          <reference field="51" count="1" selected="0">
            <x v="0"/>
          </reference>
          <reference field="52" count="1">
            <x v="11"/>
          </reference>
        </references>
      </pivotArea>
    </format>
    <format dxfId="97">
      <pivotArea collapsedLevelsAreSubtotals="1" fieldPosition="0">
        <references count="2">
          <reference field="51" count="1" selected="0">
            <x v="1"/>
          </reference>
          <reference field="52" count="1">
            <x v="11"/>
          </reference>
        </references>
      </pivotArea>
    </format>
    <format dxfId="96">
      <pivotArea field="52" grandCol="1" collapsedLevelsAreSubtotals="1" axis="axisRow" fieldPosition="0">
        <references count="1">
          <reference field="52" count="1">
            <x v="11"/>
          </reference>
        </references>
      </pivotArea>
    </format>
    <format dxfId="95">
      <pivotArea field="51" grandRow="1" outline="0" collapsedLevelsAreSubtotals="1" axis="axisCol" fieldPosition="0">
        <references count="1">
          <reference field="51" count="1" selected="0">
            <x v="0"/>
          </reference>
        </references>
      </pivotArea>
    </format>
    <format dxfId="94">
      <pivotArea field="51" grandRow="1" outline="0" collapsedLevelsAreSubtotals="1" axis="axisCol" fieldPosition="0">
        <references count="1">
          <reference field="51" count="1" selected="0">
            <x v="1"/>
          </reference>
        </references>
      </pivotArea>
    </format>
    <format dxfId="93">
      <pivotArea grandRow="1" grandCol="1" outline="0" collapsedLevelsAreSubtotals="1" fieldPosition="0"/>
    </format>
    <format dxfId="92">
      <pivotArea type="origin" dataOnly="0" labelOnly="1" outline="0" fieldPosition="0"/>
    </format>
    <format dxfId="91">
      <pivotArea field="51" type="button" dataOnly="0" labelOnly="1" outline="0" axis="axisCol" fieldPosition="0"/>
    </format>
    <format dxfId="90">
      <pivotArea type="topRight" dataOnly="0" labelOnly="1" outline="0" fieldPosition="0"/>
    </format>
    <format dxfId="89">
      <pivotArea field="52" type="button" dataOnly="0" labelOnly="1" outline="0" axis="axisRow" fieldPosition="0"/>
    </format>
    <format dxfId="88">
      <pivotArea dataOnly="0" labelOnly="1" fieldPosition="0">
        <references count="1">
          <reference field="51" count="0"/>
        </references>
      </pivotArea>
    </format>
    <format dxfId="87">
      <pivotArea dataOnly="0" labelOnly="1" grandCol="1" outline="0" fieldPosition="0"/>
    </format>
    <format dxfId="86">
      <pivotArea type="origin" dataOnly="0" labelOnly="1" outline="0" fieldPosition="0"/>
    </format>
    <format dxfId="85">
      <pivotArea field="51" type="button" dataOnly="0" labelOnly="1" outline="0" axis="axisCol" fieldPosition="0"/>
    </format>
    <format dxfId="84">
      <pivotArea type="topRight" dataOnly="0" labelOnly="1" outline="0" fieldPosition="0"/>
    </format>
    <format dxfId="83">
      <pivotArea field="52" type="button" dataOnly="0" labelOnly="1" outline="0" axis="axisRow" fieldPosition="0"/>
    </format>
    <format dxfId="82">
      <pivotArea dataOnly="0" labelOnly="1" fieldPosition="0">
        <references count="1">
          <reference field="51" count="0"/>
        </references>
      </pivotArea>
    </format>
    <format dxfId="81">
      <pivotArea dataOnly="0" labelOnly="1" grandCol="1" outline="0" fieldPosition="0"/>
    </format>
    <format dxfId="80">
      <pivotArea type="origin" dataOnly="0" labelOnly="1" outline="0" fieldPosition="0"/>
    </format>
    <format dxfId="79">
      <pivotArea field="51" type="button" dataOnly="0" labelOnly="1" outline="0" axis="axisCol" fieldPosition="0"/>
    </format>
    <format dxfId="78">
      <pivotArea type="topRight" dataOnly="0" labelOnly="1" outline="0" fieldPosition="0"/>
    </format>
    <format dxfId="77">
      <pivotArea field="52" type="button" dataOnly="0" labelOnly="1" outline="0" axis="axisRow" fieldPosition="0"/>
    </format>
    <format dxfId="76">
      <pivotArea dataOnly="0" labelOnly="1" fieldPosition="0">
        <references count="1">
          <reference field="51" count="0"/>
        </references>
      </pivotArea>
    </format>
    <format dxfId="75">
      <pivotArea dataOnly="0" labelOnly="1" grandCol="1" outline="0" fieldPosition="0"/>
    </format>
    <format dxfId="74">
      <pivotArea grandRow="1" outline="0" collapsedLevelsAreSubtotals="1" fieldPosition="0"/>
    </format>
    <format dxfId="73">
      <pivotArea dataOnly="0" labelOnly="1" grandRow="1" outline="0" fieldPosition="0"/>
    </format>
    <format dxfId="72">
      <pivotArea grandRow="1" outline="0" collapsedLevelsAreSubtotals="1" fieldPosition="0"/>
    </format>
    <format dxfId="71">
      <pivotArea dataOnly="0" labelOnly="1" grandRow="1" outline="0" fieldPosition="0"/>
    </format>
    <format dxfId="70">
      <pivotArea grandRow="1" outline="0" collapsedLevelsAreSubtotals="1" fieldPosition="0"/>
    </format>
    <format dxfId="69">
      <pivotArea dataOnly="0" labelOnly="1" grandRow="1" outline="0" fieldPosition="0"/>
    </format>
  </formats>
  <chartFormats count="2">
    <chartFormat chart="0" format="0" series="1">
      <pivotArea type="data" outline="0" fieldPosition="0">
        <references count="2">
          <reference field="4294967294" count="1" selected="0">
            <x v="0"/>
          </reference>
          <reference field="51" count="1" selected="0">
            <x v="0"/>
          </reference>
        </references>
      </pivotArea>
    </chartFormat>
    <chartFormat chart="0" format="1" series="1">
      <pivotArea type="data" outline="0" fieldPosition="0">
        <references count="2">
          <reference field="4294967294" count="1" selected="0">
            <x v="0"/>
          </reference>
          <reference field="5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88B851-D408-4B21-8A80-9AA182679DCD}" name="PLinhaPro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D19" firstHeaderRow="1" firstDataRow="2" firstDataCol="1"/>
  <pivotFields count="53">
    <pivotField showAll="0"/>
    <pivotField showAll="0"/>
    <pivotField showAll="0"/>
    <pivotField dataField="1" showAll="0"/>
    <pivotField axis="axisRow" showAll="0">
      <items count="5">
        <item x="1"/>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showAll="0"/>
  </pivotFields>
  <rowFields count="1">
    <field x="4"/>
  </rowFields>
  <rowItems count="4">
    <i>
      <x/>
    </i>
    <i>
      <x v="1"/>
    </i>
    <i>
      <x v="2"/>
    </i>
    <i t="grand">
      <x/>
    </i>
  </rowItems>
  <colFields count="1">
    <field x="51"/>
  </colFields>
  <colItems count="3">
    <i>
      <x/>
    </i>
    <i>
      <x v="1"/>
    </i>
    <i t="grand">
      <x/>
    </i>
  </colItems>
  <dataFields count="1">
    <dataField name="Média Un/Hora" fld="3" subtotal="average" baseField="0" baseItem="0"/>
  </dataFields>
  <formats count="36">
    <format dxfId="167">
      <pivotArea collapsedLevelsAreSubtotals="1" fieldPosition="0">
        <references count="2">
          <reference field="4" count="1">
            <x v="0"/>
          </reference>
          <reference field="51" count="1" selected="0">
            <x v="0"/>
          </reference>
        </references>
      </pivotArea>
    </format>
    <format dxfId="166">
      <pivotArea collapsedLevelsAreSubtotals="1" fieldPosition="0">
        <references count="2">
          <reference field="4" count="1">
            <x v="0"/>
          </reference>
          <reference field="51" count="1" selected="0">
            <x v="1"/>
          </reference>
        </references>
      </pivotArea>
    </format>
    <format dxfId="165">
      <pivotArea field="4" grandCol="1" collapsedLevelsAreSubtotals="1" axis="axisRow" fieldPosition="0">
        <references count="1">
          <reference field="4" count="1">
            <x v="0"/>
          </reference>
        </references>
      </pivotArea>
    </format>
    <format dxfId="164">
      <pivotArea collapsedLevelsAreSubtotals="1" fieldPosition="0">
        <references count="2">
          <reference field="4" count="1">
            <x v="1"/>
          </reference>
          <reference field="51" count="1" selected="0">
            <x v="0"/>
          </reference>
        </references>
      </pivotArea>
    </format>
    <format dxfId="163">
      <pivotArea collapsedLevelsAreSubtotals="1" fieldPosition="0">
        <references count="2">
          <reference field="4" count="1">
            <x v="1"/>
          </reference>
          <reference field="51" count="1" selected="0">
            <x v="1"/>
          </reference>
        </references>
      </pivotArea>
    </format>
    <format dxfId="162">
      <pivotArea field="4" grandCol="1" collapsedLevelsAreSubtotals="1" axis="axisRow" fieldPosition="0">
        <references count="1">
          <reference field="4" count="1">
            <x v="1"/>
          </reference>
        </references>
      </pivotArea>
    </format>
    <format dxfId="161">
      <pivotArea collapsedLevelsAreSubtotals="1" fieldPosition="0">
        <references count="2">
          <reference field="4" count="1">
            <x v="2"/>
          </reference>
          <reference field="51" count="1" selected="0">
            <x v="0"/>
          </reference>
        </references>
      </pivotArea>
    </format>
    <format dxfId="160">
      <pivotArea collapsedLevelsAreSubtotals="1" fieldPosition="0">
        <references count="2">
          <reference field="4" count="1">
            <x v="2"/>
          </reference>
          <reference field="51" count="1" selected="0">
            <x v="1"/>
          </reference>
        </references>
      </pivotArea>
    </format>
    <format dxfId="159">
      <pivotArea field="4" grandCol="1" collapsedLevelsAreSubtotals="1" axis="axisRow" fieldPosition="0">
        <references count="1">
          <reference field="4" count="1">
            <x v="2"/>
          </reference>
        </references>
      </pivotArea>
    </format>
    <format dxfId="158">
      <pivotArea field="51" grandRow="1" outline="0" collapsedLevelsAreSubtotals="1" axis="axisCol" fieldPosition="0">
        <references count="1">
          <reference field="51" count="1" selected="0">
            <x v="0"/>
          </reference>
        </references>
      </pivotArea>
    </format>
    <format dxfId="157">
      <pivotArea field="51" grandRow="1" outline="0" collapsedLevelsAreSubtotals="1" axis="axisCol" fieldPosition="0">
        <references count="1">
          <reference field="51" count="1" selected="0">
            <x v="1"/>
          </reference>
        </references>
      </pivotArea>
    </format>
    <format dxfId="156">
      <pivotArea grandRow="1" grandCol="1" outline="0" collapsedLevelsAreSubtotals="1" fieldPosition="0"/>
    </format>
    <format dxfId="155">
      <pivotArea type="origin" dataOnly="0" labelOnly="1" outline="0" fieldPosition="0"/>
    </format>
    <format dxfId="154">
      <pivotArea field="51" type="button" dataOnly="0" labelOnly="1" outline="0" axis="axisCol" fieldPosition="0"/>
    </format>
    <format dxfId="153">
      <pivotArea type="topRight" dataOnly="0" labelOnly="1" outline="0" fieldPosition="0"/>
    </format>
    <format dxfId="152">
      <pivotArea field="4" type="button" dataOnly="0" labelOnly="1" outline="0" axis="axisRow" fieldPosition="0"/>
    </format>
    <format dxfId="151">
      <pivotArea dataOnly="0" labelOnly="1" fieldPosition="0">
        <references count="1">
          <reference field="51" count="0"/>
        </references>
      </pivotArea>
    </format>
    <format dxfId="150">
      <pivotArea dataOnly="0" labelOnly="1" grandCol="1" outline="0" fieldPosition="0"/>
    </format>
    <format dxfId="149">
      <pivotArea type="origin" dataOnly="0" labelOnly="1" outline="0" fieldPosition="0"/>
    </format>
    <format dxfId="148">
      <pivotArea field="51" type="button" dataOnly="0" labelOnly="1" outline="0" axis="axisCol" fieldPosition="0"/>
    </format>
    <format dxfId="147">
      <pivotArea type="topRight" dataOnly="0" labelOnly="1" outline="0" fieldPosition="0"/>
    </format>
    <format dxfId="146">
      <pivotArea field="4" type="button" dataOnly="0" labelOnly="1" outline="0" axis="axisRow" fieldPosition="0"/>
    </format>
    <format dxfId="145">
      <pivotArea dataOnly="0" labelOnly="1" fieldPosition="0">
        <references count="1">
          <reference field="51" count="0"/>
        </references>
      </pivotArea>
    </format>
    <format dxfId="144">
      <pivotArea dataOnly="0" labelOnly="1" grandCol="1" outline="0" fieldPosition="0"/>
    </format>
    <format dxfId="143">
      <pivotArea type="origin" dataOnly="0" labelOnly="1" outline="0" fieldPosition="0"/>
    </format>
    <format dxfId="142">
      <pivotArea field="51" type="button" dataOnly="0" labelOnly="1" outline="0" axis="axisCol" fieldPosition="0"/>
    </format>
    <format dxfId="141">
      <pivotArea type="topRight" dataOnly="0" labelOnly="1" outline="0" fieldPosition="0"/>
    </format>
    <format dxfId="140">
      <pivotArea field="4" type="button" dataOnly="0" labelOnly="1" outline="0" axis="axisRow" fieldPosition="0"/>
    </format>
    <format dxfId="139">
      <pivotArea dataOnly="0" labelOnly="1" fieldPosition="0">
        <references count="1">
          <reference field="51" count="0"/>
        </references>
      </pivotArea>
    </format>
    <format dxfId="138">
      <pivotArea dataOnly="0" labelOnly="1" grandCol="1" outline="0" fieldPosition="0"/>
    </format>
    <format dxfId="137">
      <pivotArea grandRow="1" outline="0" collapsedLevelsAreSubtotals="1" fieldPosition="0"/>
    </format>
    <format dxfId="136">
      <pivotArea dataOnly="0" labelOnly="1" grandRow="1" outline="0" fieldPosition="0"/>
    </format>
    <format dxfId="135">
      <pivotArea grandRow="1" outline="0" collapsedLevelsAreSubtotals="1" fieldPosition="0"/>
    </format>
    <format dxfId="134">
      <pivotArea dataOnly="0" labelOnly="1" grandRow="1" outline="0" fieldPosition="0"/>
    </format>
    <format dxfId="133">
      <pivotArea grandRow="1" outline="0" collapsedLevelsAreSubtotals="1" fieldPosition="0"/>
    </format>
    <format dxfId="13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AB09AD-D732-4C0B-B5B0-C727558250BD}" name="PLinhaVo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D9" firstHeaderRow="1" firstDataRow="2" firstDataCol="1"/>
  <pivotFields count="53">
    <pivotField showAll="0"/>
    <pivotField showAll="0"/>
    <pivotField showAll="0"/>
    <pivotField showAll="0"/>
    <pivotField axis="axisRow" showAll="0">
      <items count="5">
        <item x="1"/>
        <item x="2"/>
        <item x="3"/>
        <item h="1" x="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h="1" x="2"/>
        <item h="1" m="1" x="3"/>
        <item t="default"/>
      </items>
    </pivotField>
    <pivotField showAll="0"/>
  </pivotFields>
  <rowFields count="1">
    <field x="4"/>
  </rowFields>
  <rowItems count="4">
    <i>
      <x/>
    </i>
    <i>
      <x v="1"/>
    </i>
    <i>
      <x v="2"/>
    </i>
    <i t="grand">
      <x/>
    </i>
  </rowItems>
  <colFields count="1">
    <field x="51"/>
  </colFields>
  <colItems count="3">
    <i>
      <x/>
    </i>
    <i>
      <x v="1"/>
    </i>
    <i t="grand">
      <x/>
    </i>
  </colItems>
  <dataFields count="1">
    <dataField name="Unidades Produzidas" fld="9" baseField="0" baseItem="0"/>
  </dataFields>
  <formats count="36">
    <format dxfId="203">
      <pivotArea collapsedLevelsAreSubtotals="1" fieldPosition="0">
        <references count="2">
          <reference field="4" count="1">
            <x v="0"/>
          </reference>
          <reference field="51" count="1" selected="0">
            <x v="0"/>
          </reference>
        </references>
      </pivotArea>
    </format>
    <format dxfId="202">
      <pivotArea collapsedLevelsAreSubtotals="1" fieldPosition="0">
        <references count="2">
          <reference field="4" count="1">
            <x v="0"/>
          </reference>
          <reference field="51" count="1" selected="0">
            <x v="1"/>
          </reference>
        </references>
      </pivotArea>
    </format>
    <format dxfId="201">
      <pivotArea field="4" grandCol="1" collapsedLevelsAreSubtotals="1" axis="axisRow" fieldPosition="0">
        <references count="1">
          <reference field="4" count="1">
            <x v="0"/>
          </reference>
        </references>
      </pivotArea>
    </format>
    <format dxfId="200">
      <pivotArea collapsedLevelsAreSubtotals="1" fieldPosition="0">
        <references count="2">
          <reference field="4" count="1">
            <x v="1"/>
          </reference>
          <reference field="51" count="1" selected="0">
            <x v="0"/>
          </reference>
        </references>
      </pivotArea>
    </format>
    <format dxfId="199">
      <pivotArea collapsedLevelsAreSubtotals="1" fieldPosition="0">
        <references count="2">
          <reference field="4" count="1">
            <x v="1"/>
          </reference>
          <reference field="51" count="1" selected="0">
            <x v="1"/>
          </reference>
        </references>
      </pivotArea>
    </format>
    <format dxfId="198">
      <pivotArea field="4" grandCol="1" collapsedLevelsAreSubtotals="1" axis="axisRow" fieldPosition="0">
        <references count="1">
          <reference field="4" count="1">
            <x v="1"/>
          </reference>
        </references>
      </pivotArea>
    </format>
    <format dxfId="197">
      <pivotArea collapsedLevelsAreSubtotals="1" fieldPosition="0">
        <references count="2">
          <reference field="4" count="1">
            <x v="2"/>
          </reference>
          <reference field="51" count="1" selected="0">
            <x v="0"/>
          </reference>
        </references>
      </pivotArea>
    </format>
    <format dxfId="196">
      <pivotArea collapsedLevelsAreSubtotals="1" fieldPosition="0">
        <references count="2">
          <reference field="4" count="1">
            <x v="2"/>
          </reference>
          <reference field="51" count="1" selected="0">
            <x v="1"/>
          </reference>
        </references>
      </pivotArea>
    </format>
    <format dxfId="195">
      <pivotArea field="4" grandCol="1" collapsedLevelsAreSubtotals="1" axis="axisRow" fieldPosition="0">
        <references count="1">
          <reference field="4" count="1">
            <x v="2"/>
          </reference>
        </references>
      </pivotArea>
    </format>
    <format dxfId="194">
      <pivotArea field="51" grandRow="1" outline="0" collapsedLevelsAreSubtotals="1" axis="axisCol" fieldPosition="0">
        <references count="1">
          <reference field="51" count="1" selected="0">
            <x v="0"/>
          </reference>
        </references>
      </pivotArea>
    </format>
    <format dxfId="193">
      <pivotArea field="51" grandRow="1" outline="0" collapsedLevelsAreSubtotals="1" axis="axisCol" fieldPosition="0">
        <references count="1">
          <reference field="51" count="1" selected="0">
            <x v="1"/>
          </reference>
        </references>
      </pivotArea>
    </format>
    <format dxfId="192">
      <pivotArea grandRow="1" grandCol="1" outline="0" collapsedLevelsAreSubtotals="1" fieldPosition="0"/>
    </format>
    <format dxfId="191">
      <pivotArea type="origin" dataOnly="0" labelOnly="1" outline="0" fieldPosition="0"/>
    </format>
    <format dxfId="190">
      <pivotArea field="51" type="button" dataOnly="0" labelOnly="1" outline="0" axis="axisCol" fieldPosition="0"/>
    </format>
    <format dxfId="189">
      <pivotArea type="topRight" dataOnly="0" labelOnly="1" outline="0" fieldPosition="0"/>
    </format>
    <format dxfId="188">
      <pivotArea field="4" type="button" dataOnly="0" labelOnly="1" outline="0" axis="axisRow" fieldPosition="0"/>
    </format>
    <format dxfId="187">
      <pivotArea dataOnly="0" labelOnly="1" fieldPosition="0">
        <references count="1">
          <reference field="51" count="0"/>
        </references>
      </pivotArea>
    </format>
    <format dxfId="186">
      <pivotArea dataOnly="0" labelOnly="1" grandCol="1" outline="0" fieldPosition="0"/>
    </format>
    <format dxfId="185">
      <pivotArea type="origin" dataOnly="0" labelOnly="1" outline="0" fieldPosition="0"/>
    </format>
    <format dxfId="184">
      <pivotArea field="51" type="button" dataOnly="0" labelOnly="1" outline="0" axis="axisCol" fieldPosition="0"/>
    </format>
    <format dxfId="183">
      <pivotArea type="topRight" dataOnly="0" labelOnly="1" outline="0" fieldPosition="0"/>
    </format>
    <format dxfId="182">
      <pivotArea field="4" type="button" dataOnly="0" labelOnly="1" outline="0" axis="axisRow" fieldPosition="0"/>
    </format>
    <format dxfId="181">
      <pivotArea dataOnly="0" labelOnly="1" fieldPosition="0">
        <references count="1">
          <reference field="51" count="0"/>
        </references>
      </pivotArea>
    </format>
    <format dxfId="180">
      <pivotArea dataOnly="0" labelOnly="1" grandCol="1" outline="0" fieldPosition="0"/>
    </format>
    <format dxfId="179">
      <pivotArea type="origin" dataOnly="0" labelOnly="1" outline="0" fieldPosition="0"/>
    </format>
    <format dxfId="178">
      <pivotArea field="51" type="button" dataOnly="0" labelOnly="1" outline="0" axis="axisCol" fieldPosition="0"/>
    </format>
    <format dxfId="177">
      <pivotArea type="topRight" dataOnly="0" labelOnly="1" outline="0" fieldPosition="0"/>
    </format>
    <format dxfId="176">
      <pivotArea field="4" type="button" dataOnly="0" labelOnly="1" outline="0" axis="axisRow" fieldPosition="0"/>
    </format>
    <format dxfId="175">
      <pivotArea dataOnly="0" labelOnly="1" fieldPosition="0">
        <references count="1">
          <reference field="51" count="0"/>
        </references>
      </pivotArea>
    </format>
    <format dxfId="174">
      <pivotArea dataOnly="0" labelOnly="1" grandCol="1" outline="0" fieldPosition="0"/>
    </format>
    <format dxfId="173">
      <pivotArea grandRow="1" outline="0" collapsedLevelsAreSubtotals="1" fieldPosition="0"/>
    </format>
    <format dxfId="172">
      <pivotArea dataOnly="0" labelOnly="1" grandRow="1" outline="0" fieldPosition="0"/>
    </format>
    <format dxfId="171">
      <pivotArea grandRow="1" outline="0" collapsedLevelsAreSubtotals="1" fieldPosition="0"/>
    </format>
    <format dxfId="170">
      <pivotArea dataOnly="0" labelOnly="1" grandRow="1" outline="0" fieldPosition="0"/>
    </format>
    <format dxfId="169">
      <pivotArea grandRow="1" outline="0" collapsedLevelsAreSubtotals="1" fieldPosition="0"/>
    </format>
    <format dxfId="168">
      <pivotArea dataOnly="0" labelOnly="1" grandRow="1" outline="0" fieldPosition="0"/>
    </format>
  </formats>
  <chartFormats count="2">
    <chartFormat chart="0" format="0" series="1">
      <pivotArea type="data" outline="0" fieldPosition="0">
        <references count="2">
          <reference field="4294967294" count="1" selected="0">
            <x v="0"/>
          </reference>
          <reference field="51" count="1" selected="0">
            <x v="0"/>
          </reference>
        </references>
      </pivotArea>
    </chartFormat>
    <chartFormat chart="0" format="1" series="1">
      <pivotArea type="data" outline="0" fieldPosition="0">
        <references count="2">
          <reference field="4294967294" count="1" selected="0">
            <x v="0"/>
          </reference>
          <reference field="5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29AF93-702F-4BA7-98A4-5CD74B658028}" name="Table1" displayName="Table1" ref="B2:BB2759" headerRowDxfId="2378" dataDxfId="2376" headerRowBorderDxfId="2377" tableBorderDxfId="2375">
  <autoFilter ref="B2:BB2759" xr:uid="{DA29AF93-702F-4BA7-98A4-5CD74B658028}"/>
  <tableColumns count="53">
    <tableColumn id="1" xr3:uid="{1BD3341D-BF91-4D59-9FBB-89AD16858D80}" name="Data de Início" totalsRowLabel="Total" dataDxfId="2374" totalsRowDxfId="2373"/>
    <tableColumn id="2" xr3:uid="{C59C4A56-9343-4BA8-910E-7ACAD1D57024}" name="Data de Término" dataDxfId="2372" totalsRowDxfId="2371"/>
    <tableColumn id="3" xr3:uid="{BF0C9820-6EE3-4DB3-9356-4652C29CAFFD}" name="Horas Úteis" dataDxfId="2370" totalsRowDxfId="2369">
      <calculatedColumnFormula array="1">IFERROR(HorasUteisFabrica2Turnos(B3,C3), "")</calculatedColumnFormula>
    </tableColumn>
    <tableColumn id="4" xr3:uid="{05911BC5-3AE0-48E5-88DA-7D9D6ABC64FD}" name="Unidades p/ Hora" dataDxfId="2368" totalsRowDxfId="2367">
      <calculatedColumnFormula>IFERROR(K3/D3, "")</calculatedColumnFormula>
    </tableColumn>
    <tableColumn id="5" xr3:uid="{1EDFEC79-674C-40DD-B7CE-1E8F51B25D16}" name="Linha de Produção" dataDxfId="2366" totalsRowDxfId="2365"/>
    <tableColumn id="6" xr3:uid="{FC3A3FDD-D625-411B-9796-9AA92F44398D}" name="ID do Pedido" dataDxfId="2364" totalsRowDxfId="2363"/>
    <tableColumn id="7" xr3:uid="{BD11A5DE-857F-4540-B4AB-4C341350D79F}" name="Máquina" dataDxfId="2362" totalsRowDxfId="2361"/>
    <tableColumn id="8" xr3:uid="{177AEBD8-35BD-4791-9585-D2BB00234BEC}" name="Lote" dataDxfId="2360" totalsRowDxfId="2359"/>
    <tableColumn id="9" xr3:uid="{24046E03-F564-4777-A276-ED29129F67FB}" name="Tipo de Ordem" dataDxfId="2358" totalsRowDxfId="2357"/>
    <tableColumn id="10" xr3:uid="{5B8D84C4-C7EB-498F-A347-8F371F67E425}" name="Unidades" dataDxfId="2356" totalsRowDxfId="2355"/>
    <tableColumn id="11" xr3:uid="{6DD1E02E-6FE0-4F3D-BE75-8A864A799371}" name="SKU" dataDxfId="2354" totalsRowDxfId="2353"/>
    <tableColumn id="12" xr3:uid="{FEB4D501-7823-408E-82A5-69DBB84A31BD}" name="Descrição do Item" dataDxfId="2352" totalsRowDxfId="2351">
      <calculatedColumnFormula>IFERROR(INDEX([1]Produtos!$C:$C,MATCH(L3,[1]Produtos!$B:$B,0)), "-")</calculatedColumnFormula>
    </tableColumn>
    <tableColumn id="13" xr3:uid="{BDA281B8-9692-411D-8DAC-6682DF7E21AE}" name="Column1" dataDxfId="2350" totalsRowDxfId="2349">
      <calculatedColumnFormula>IFERROR(INDEX([1]Produtos!$E:$E,MATCH(L3,[1]Produtos!$B:$B,0)), "-")</calculatedColumnFormula>
    </tableColumn>
    <tableColumn id="14" xr3:uid="{9107B475-2E0F-4E03-B32A-A74733C57AC1}" name="Column2" dataDxfId="2348" totalsRowDxfId="2347">
      <calculatedColumnFormula>IFERROR(INDEX([1]Produtos!$F:$F,MATCH(L3,[1]Produtos!$B:$B,0)), "-")</calculatedColumnFormula>
    </tableColumn>
    <tableColumn id="15" xr3:uid="{26C8B207-9DD1-4F33-9F5A-4309C16FBAB1}" name="Cliente" dataDxfId="2346" totalsRowDxfId="2345">
      <calculatedColumnFormula>IFERROR(INDEX([1]Produtos!$G:$G,MATCH(L3,[1]Produtos!$B:$B,0)), "-")</calculatedColumnFormula>
    </tableColumn>
    <tableColumn id="16" xr3:uid="{D40B1D62-5E0C-4FF1-87F1-9F477229E66C}" name="Categoria do Produto" dataDxfId="2344" totalsRowDxfId="2343">
      <calculatedColumnFormula>IFERROR(INDEX([1]Produtos!$H:$H,MATCH(L3,[1]Produtos!$B:$B,0)), "-")</calculatedColumnFormula>
    </tableColumn>
    <tableColumn id="17" xr3:uid="{F0A68A1F-43A0-4AA9-8AF6-BB30625DB4F5}" name="Sub-categoria do Produto" dataDxfId="2342" totalsRowDxfId="2341">
      <calculatedColumnFormula>IFERROR(INDEX([1]Produtos!$I:$I,MATCH(L3,[1]Produtos!$B:$B,0)), "-")</calculatedColumnFormula>
    </tableColumn>
    <tableColumn id="18" xr3:uid="{D153FB68-C835-4812-A7DA-F921793FF8FA}" name="Viscosidade" dataDxfId="2340" totalsRowDxfId="2339">
      <calculatedColumnFormula>IFERROR(INDEX([1]Produtos!$J:$J,MATCH(L3,[1]Produtos!$B:$B,0)), "-")</calculatedColumnFormula>
    </tableColumn>
    <tableColumn id="19" xr3:uid="{1E785067-69CB-4B05-AA51-825D2F459197}" name="Observação" dataDxfId="2338" totalsRowDxfId="2337"/>
    <tableColumn id="20" xr3:uid="{D9F54480-419C-4EF5-8E6B-6428C1C7C3B3}" name="Frascos Rotulagem" dataDxfId="2336" totalsRowDxfId="2335"/>
    <tableColumn id="21" xr3:uid="{BAC44F1C-CC24-4137-AF9C-5EA115C9567F}" name="Rótulos Rotulagem" dataDxfId="2334" totalsRowDxfId="2333"/>
    <tableColumn id="22" xr3:uid="{D317AE42-6E01-400D-AA37-25FC4E51CA40}" name="Frascos Envase" dataDxfId="2332" totalsRowDxfId="2331"/>
    <tableColumn id="23" xr3:uid="{0FF5FC9A-E78B-4F4D-BF51-B8F439E69960}" name="Rótulos Envase" dataDxfId="2330" totalsRowDxfId="2329"/>
    <tableColumn id="24" xr3:uid="{8057135C-1F9F-40F2-9E0C-48F98F05DAD5}" name="Tampas/Valvulas" dataDxfId="2328" totalsRowDxfId="2327"/>
    <tableColumn id="25" xr3:uid="{8F5F91D4-E48A-4442-946A-C52D54629302}" name="Cartuchos" dataDxfId="2326" totalsRowDxfId="2325"/>
    <tableColumn id="26" xr3:uid="{BE7AEC44-2FEE-48B8-9F69-83B4D2ED55D7}" name="Produto Semi Acabado Manip." dataDxfId="2324" totalsRowDxfId="2323"/>
    <tableColumn id="27" xr3:uid="{F3AAFC3C-0E8B-413D-AEF1-7192702136BD}" name="Produto Semi Acabado Envase" dataDxfId="2322" totalsRowDxfId="2321"/>
    <tableColumn id="28" xr3:uid="{2413248D-EF8A-4111-BE58-06A85FE2954C}" name="Setup Rotulagem" dataDxfId="2320" totalsRowDxfId="2319"/>
    <tableColumn id="29" xr3:uid="{5486A8B1-AFC8-42F1-9265-DFA8CFE5DAD5}" name="Parada 1 Rot. Inicio" dataDxfId="2318" totalsRowDxfId="2317"/>
    <tableColumn id="30" xr3:uid="{19D02371-1F2D-4592-A7C4-D678D4F0698F}" name="Parada 1 Rot. Fim" dataDxfId="2316" totalsRowDxfId="2315"/>
    <tableColumn id="33" xr3:uid="{55E56709-F62D-471E-B480-A9432EC56331}" name="Motivo Parada 1" dataDxfId="2314" totalsRowDxfId="2313"/>
    <tableColumn id="31" xr3:uid="{839828A3-595A-4360-9CB7-71AC8EB462AE}" name="Parada 2 Rot. Inicio" dataDxfId="2312" totalsRowDxfId="2311"/>
    <tableColumn id="32" xr3:uid="{9FFEFE5D-5E0C-49BC-A4BE-92181BAB16AD}" name="Parada 2 Rot. Fim" dataDxfId="2310" totalsRowDxfId="2309"/>
    <tableColumn id="34" xr3:uid="{A02AD524-161D-4338-BC54-6DF4D3194C99}" name="Motivo Parada 2" dataDxfId="2308" totalsRowDxfId="2307"/>
    <tableColumn id="35" xr3:uid="{64850728-74B2-46F3-8DA9-C4B8EDF3EA06}" name="Parada 3 Rot. Inicio" dataDxfId="2306" totalsRowDxfId="2305"/>
    <tableColumn id="36" xr3:uid="{0522C47E-7272-4747-9D01-6C60BAACC0C5}" name="Parada 3 Rot. Fim" dataDxfId="2304" totalsRowDxfId="2303"/>
    <tableColumn id="37" xr3:uid="{F87E6468-61E3-41A6-A9B2-AB78CC294B03}" name="Motivo Parada 3" dataDxfId="2302" totalsRowDxfId="2301"/>
    <tableColumn id="38" xr3:uid="{230D9766-7850-4BD9-BD51-EAD8E4D06B60}" name="Início Setup Envase" dataDxfId="2300" totalsRowDxfId="2299"/>
    <tableColumn id="48" xr3:uid="{33816BBF-188A-407B-940F-6D21F51E4F4A}" name="Final Setup Envase" dataDxfId="2298" totalsRowDxfId="2297"/>
    <tableColumn id="51" xr3:uid="{B324F93E-3CEF-40B7-88AD-310424189324}" name="Tempo total de Envase" dataDxfId="2296" totalsRowDxfId="2295">
      <calculatedColumnFormula>IF(OR(Table1[[#This Row],[Início Setup Envase]]="",Table1[[#This Row],[Final Setup Envase]]=""),"",Table1[[#This Row],[Final Setup Envase]]-Table1[[#This Row],[Início Setup Envase]])</calculatedColumnFormula>
    </tableColumn>
    <tableColumn id="39" xr3:uid="{F38833B7-5D2D-45A0-A480-401A66AC8271}" name="Parada 1 Env. Inicio" dataDxfId="2294" totalsRowDxfId="2293"/>
    <tableColumn id="40" xr3:uid="{1D7B0E4E-52FB-418E-BDB2-ED6E1622AB10}" name="Parada 1 Env. Fim" dataDxfId="2292" totalsRowDxfId="2291"/>
    <tableColumn id="41" xr3:uid="{D718122F-9651-4F1F-A2C1-6CF38C5BC9CE}" name="Motivo Parada Env. 1" dataDxfId="2290" totalsRowDxfId="2289"/>
    <tableColumn id="42" xr3:uid="{441D6620-A8BA-414B-B2C4-4282A7C64B93}" name="Parada 2 Env. Inicio" dataDxfId="2288" totalsRowDxfId="2287"/>
    <tableColumn id="43" xr3:uid="{FE9E4A4E-726D-45E1-B4EF-7DAB6EA45A38}" name="Parada 2 Env. Fim" dataDxfId="2286" totalsRowDxfId="2285"/>
    <tableColumn id="44" xr3:uid="{5047EDB2-B55E-425F-81A5-FF8433A31D55}" name="Motivo Parada Env. 2" dataDxfId="2284" totalsRowDxfId="2283"/>
    <tableColumn id="45" xr3:uid="{7C444B14-2028-499F-9301-DAB0A425FED6}" name="Parada 3 Env. Inicio" dataDxfId="2282" totalsRowDxfId="2281"/>
    <tableColumn id="46" xr3:uid="{2041B777-B4EE-4B61-876D-77D0BDFFB23E}" name="Parada 3 Env. Fim" dataDxfId="2280" totalsRowDxfId="2279"/>
    <tableColumn id="47" xr3:uid="{F84028B4-8225-4D62-BCDC-0F9354DCEAE6}" name="Motivo Parada Env. 3" totalsRowFunction="count" dataDxfId="2278" totalsRowDxfId="2277"/>
    <tableColumn id="49" xr3:uid="{41051892-46FC-4584-BC41-68694B206ACB}" name="Parada 4 Env. Inicio4" dataDxfId="2276" totalsRowDxfId="2275"/>
    <tableColumn id="50" xr3:uid="{A175F753-B0ED-407F-8618-38CB68271A51}" name="Parada 4 Env. Fim4" dataDxfId="2274" totalsRowDxfId="2273"/>
    <tableColumn id="52" xr3:uid="{9A7E1545-3A6D-4C10-A66D-F196A83C5665}" name="Ano" dataDxfId="2272" totalsRowDxfId="2271"/>
    <tableColumn id="53" xr3:uid="{9E8C7850-D0A5-4A60-8C0C-3DAAF4726274}" name="Mês" dataDxfId="2270" totalsRowDxfId="2269"/>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7C04B58-64C8-4E48-80D5-1794C8657093}">
  <we:reference id="wa200009404" version="1.0.0.8" store="en-US" storeType="OMEX"/>
  <we:alternateReferences>
    <we:reference id="WA200009404" version="1.0.0.8" store="WA200009404" storeType="OMEX"/>
  </we:alternateReferences>
  <we:properties>
    <we:property name="claude.fileId" value="&quot;ac0df72e-30da-4758-8bbd-58eb940aadf6&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F39BA-1F04-4638-A6E8-AD72D088D235}">
  <sheetPr codeName="Sheet1">
    <tabColor theme="7" tint="0.59999389629810485"/>
    <pageSetUpPr autoPageBreaks="0"/>
  </sheetPr>
  <dimension ref="A1:CI2770"/>
  <sheetViews>
    <sheetView showGridLines="0" zoomScale="91" zoomScaleNormal="96" zoomScaleSheetLayoutView="90" workbookViewId="0">
      <pane xSplit="3" ySplit="2" topLeftCell="AI1157" activePane="bottomRight" state="frozen"/>
      <selection activeCell="D923" sqref="D923"/>
      <selection pane="topRight" activeCell="D1" sqref="D1"/>
      <selection pane="bottomLeft" activeCell="G2768" sqref="G2768"/>
      <selection pane="bottomRight" activeCell="AM1161" sqref="AM1161"/>
    </sheetView>
  </sheetViews>
  <sheetFormatPr defaultRowHeight="15" x14ac:dyDescent="0.25"/>
  <cols>
    <col min="1" max="1" width="3.5703125" customWidth="1"/>
    <col min="2" max="2" width="17.85546875" bestFit="1" customWidth="1"/>
    <col min="3" max="3" width="20" customWidth="1"/>
    <col min="4" max="4" width="15.5703125" customWidth="1"/>
    <col min="5" max="5" width="20" customWidth="1"/>
    <col min="6" max="6" width="8.5703125" bestFit="1" customWidth="1"/>
    <col min="7" max="7" width="25.5703125" bestFit="1" customWidth="1"/>
    <col min="8" max="8" width="17.42578125" hidden="1" customWidth="1"/>
    <col min="9" max="9" width="11.5703125" bestFit="1" customWidth="1"/>
    <col min="10" max="10" width="7.5703125" bestFit="1" customWidth="1"/>
    <col min="11" max="11" width="8.5703125" customWidth="1"/>
    <col min="12" max="12" width="12.85546875" bestFit="1" customWidth="1"/>
    <col min="13" max="13" width="46.5703125" bestFit="1" customWidth="1"/>
    <col min="14" max="14" width="14.42578125" bestFit="1" customWidth="1"/>
    <col min="15" max="15" width="13.85546875" bestFit="1" customWidth="1"/>
    <col min="16" max="16" width="22.5703125" bestFit="1" customWidth="1"/>
    <col min="17" max="17" width="24.42578125" bestFit="1" customWidth="1"/>
    <col min="18" max="18" width="27.5703125" bestFit="1" customWidth="1"/>
    <col min="19" max="19" width="16.42578125" bestFit="1" customWidth="1"/>
    <col min="20" max="20" width="47.140625" bestFit="1" customWidth="1"/>
    <col min="21" max="21" width="22.85546875" bestFit="1" customWidth="1"/>
    <col min="22" max="22" width="21.140625" bestFit="1" customWidth="1"/>
    <col min="23" max="23" width="19.42578125" bestFit="1" customWidth="1"/>
    <col min="24" max="24" width="19.5703125" bestFit="1" customWidth="1"/>
    <col min="25" max="25" width="20.5703125" bestFit="1" customWidth="1"/>
    <col min="26" max="26" width="14.85546875" bestFit="1" customWidth="1"/>
    <col min="27" max="27" width="32.5703125" bestFit="1" customWidth="1"/>
    <col min="28" max="28" width="33.5703125" bestFit="1" customWidth="1"/>
    <col min="29" max="29" width="21.140625" bestFit="1" customWidth="1"/>
    <col min="30" max="30" width="22.85546875" bestFit="1" customWidth="1"/>
    <col min="31" max="31" width="21.140625" bestFit="1" customWidth="1"/>
    <col min="32" max="32" width="19.5703125" bestFit="1" customWidth="1"/>
    <col min="33" max="33" width="22.140625" bestFit="1" customWidth="1"/>
    <col min="34" max="34" width="21.140625" bestFit="1" customWidth="1"/>
    <col min="35" max="35" width="20.5703125" bestFit="1" customWidth="1"/>
    <col min="36" max="36" width="24" bestFit="1" customWidth="1"/>
    <col min="37" max="37" width="22.140625" bestFit="1" customWidth="1"/>
    <col min="38" max="38" width="20.5703125" bestFit="1" customWidth="1"/>
    <col min="39" max="39" width="29.5703125" bestFit="1" customWidth="1"/>
    <col min="40" max="40" width="22.85546875" bestFit="1" customWidth="1"/>
    <col min="41" max="41" width="26.42578125" bestFit="1" customWidth="1"/>
    <col min="42" max="42" width="26.85546875" bestFit="1" customWidth="1"/>
    <col min="43" max="43" width="34.42578125" bestFit="1" customWidth="1"/>
    <col min="44" max="44" width="36.42578125" bestFit="1" customWidth="1"/>
    <col min="45" max="45" width="20.5703125" bestFit="1" customWidth="1"/>
    <col min="46" max="46" width="36.5703125" bestFit="1" customWidth="1"/>
    <col min="47" max="47" width="36.7109375" bestFit="1" customWidth="1"/>
    <col min="48" max="48" width="20.5703125" bestFit="1" customWidth="1"/>
    <col min="49" max="49" width="25.85546875" bestFit="1" customWidth="1"/>
    <col min="50" max="51" width="25.85546875" customWidth="1"/>
    <col min="52" max="52" width="25.85546875" bestFit="1" customWidth="1"/>
  </cols>
  <sheetData>
    <row r="1" spans="2:55" x14ac:dyDescent="0.25">
      <c r="C1" s="11"/>
      <c r="L1" s="2"/>
      <c r="M1" s="2"/>
      <c r="N1" s="3"/>
      <c r="O1" s="3"/>
      <c r="Q1" s="3"/>
      <c r="T1" s="20"/>
      <c r="U1" s="621" t="s">
        <v>1700</v>
      </c>
      <c r="V1" s="620"/>
      <c r="W1" s="620"/>
      <c r="X1" s="620"/>
      <c r="Y1" s="620"/>
      <c r="Z1" s="620"/>
      <c r="AA1" s="620"/>
      <c r="AB1" s="620"/>
      <c r="AC1" s="618" t="s">
        <v>1690</v>
      </c>
      <c r="AD1" s="619"/>
      <c r="AE1" s="619"/>
      <c r="AF1" s="619"/>
      <c r="AG1" s="619"/>
      <c r="AH1" s="619"/>
      <c r="AI1" s="619"/>
      <c r="AJ1" s="619"/>
      <c r="AK1" s="619"/>
      <c r="AL1" s="619"/>
      <c r="AM1" s="664" t="s">
        <v>15</v>
      </c>
      <c r="AN1" s="665"/>
      <c r="AO1" s="665"/>
      <c r="AP1" s="665"/>
      <c r="AQ1" s="617"/>
      <c r="AR1" s="617"/>
      <c r="AS1" s="617"/>
      <c r="AT1" s="617"/>
      <c r="AU1" s="617"/>
      <c r="AV1" s="617"/>
    </row>
    <row r="2" spans="2:55" x14ac:dyDescent="0.25">
      <c r="B2" s="485" t="s">
        <v>16</v>
      </c>
      <c r="C2" s="486" t="s">
        <v>17</v>
      </c>
      <c r="D2" s="486" t="s">
        <v>156</v>
      </c>
      <c r="E2" s="486" t="s">
        <v>274</v>
      </c>
      <c r="F2" s="486" t="s">
        <v>299</v>
      </c>
      <c r="G2" s="486" t="s">
        <v>357</v>
      </c>
      <c r="H2" s="486" t="s">
        <v>471</v>
      </c>
      <c r="I2" s="486" t="s">
        <v>19</v>
      </c>
      <c r="J2" s="486" t="s">
        <v>13</v>
      </c>
      <c r="K2" s="486" t="s">
        <v>18</v>
      </c>
      <c r="L2" s="487" t="s">
        <v>0</v>
      </c>
      <c r="M2" s="487" t="s">
        <v>1</v>
      </c>
      <c r="N2" s="486" t="s">
        <v>875</v>
      </c>
      <c r="O2" s="486" t="s">
        <v>876</v>
      </c>
      <c r="P2" s="486" t="s">
        <v>4</v>
      </c>
      <c r="Q2" s="486" t="s">
        <v>8</v>
      </c>
      <c r="R2" s="486" t="s">
        <v>1458</v>
      </c>
      <c r="S2" s="486" t="s">
        <v>128</v>
      </c>
      <c r="T2" s="488" t="s">
        <v>50</v>
      </c>
      <c r="U2" s="486" t="s">
        <v>1672</v>
      </c>
      <c r="V2" s="486" t="s">
        <v>1677</v>
      </c>
      <c r="W2" s="486" t="s">
        <v>1673</v>
      </c>
      <c r="X2" s="486" t="s">
        <v>1674</v>
      </c>
      <c r="Y2" s="486" t="s">
        <v>1675</v>
      </c>
      <c r="Z2" s="486" t="s">
        <v>1676</v>
      </c>
      <c r="AA2" s="486" t="s">
        <v>1678</v>
      </c>
      <c r="AB2" s="486" t="s">
        <v>1679</v>
      </c>
      <c r="AC2" s="486" t="s">
        <v>1680</v>
      </c>
      <c r="AD2" s="486" t="s">
        <v>1681</v>
      </c>
      <c r="AE2" s="486" t="s">
        <v>1682</v>
      </c>
      <c r="AF2" s="486" t="s">
        <v>1685</v>
      </c>
      <c r="AG2" s="486" t="s">
        <v>1683</v>
      </c>
      <c r="AH2" s="486" t="s">
        <v>1684</v>
      </c>
      <c r="AI2" s="486" t="s">
        <v>1686</v>
      </c>
      <c r="AJ2" s="486" t="s">
        <v>1687</v>
      </c>
      <c r="AK2" s="486" t="s">
        <v>1688</v>
      </c>
      <c r="AL2" s="486" t="s">
        <v>1689</v>
      </c>
      <c r="AM2" s="666" t="s">
        <v>1770</v>
      </c>
      <c r="AN2" s="666" t="s">
        <v>1771</v>
      </c>
      <c r="AO2" s="666" t="s">
        <v>1907</v>
      </c>
      <c r="AP2" s="666" t="s">
        <v>1691</v>
      </c>
      <c r="AQ2" s="666" t="s">
        <v>1692</v>
      </c>
      <c r="AR2" s="486" t="s">
        <v>1693</v>
      </c>
      <c r="AS2" s="486" t="s">
        <v>1694</v>
      </c>
      <c r="AT2" s="486" t="s">
        <v>1695</v>
      </c>
      <c r="AU2" s="486" t="s">
        <v>1696</v>
      </c>
      <c r="AV2" s="486" t="s">
        <v>1697</v>
      </c>
      <c r="AW2" s="486" t="s">
        <v>1698</v>
      </c>
      <c r="AX2" s="486" t="s">
        <v>1699</v>
      </c>
      <c r="AY2" s="486" t="s">
        <v>1884</v>
      </c>
      <c r="AZ2" s="486" t="s">
        <v>1885</v>
      </c>
      <c r="BA2" s="486" t="s">
        <v>2014</v>
      </c>
      <c r="BB2" s="486" t="s">
        <v>2015</v>
      </c>
      <c r="BC2" s="694" t="s">
        <v>1883</v>
      </c>
    </row>
    <row r="3" spans="2:55" ht="15" customHeight="1" x14ac:dyDescent="0.25">
      <c r="B3" s="470">
        <v>45673.291666666664</v>
      </c>
      <c r="C3" s="263">
        <v>45673.40625</v>
      </c>
      <c r="D3" s="264" cm="1">
        <f t="array" ref="D3">IFERROR(HorasUteisFabrica2Turnos(B3,C3), "")</f>
        <v>2.7500000000582077</v>
      </c>
      <c r="E3" s="265">
        <f t="shared" ref="E3:E66" si="0">IFERROR(K3/D3, "")</f>
        <v>575.99999998780811</v>
      </c>
      <c r="F3" s="265"/>
      <c r="G3" s="265"/>
      <c r="H3" s="265"/>
      <c r="I3" s="266" t="s">
        <v>142</v>
      </c>
      <c r="J3" s="267" t="s">
        <v>15</v>
      </c>
      <c r="K3" s="268">
        <v>1584</v>
      </c>
      <c r="L3" s="269" t="s">
        <v>266</v>
      </c>
      <c r="M3" s="270" t="str">
        <f>IFERROR(INDEX([1]Produtos!$C:$C,MATCH(L3,[1]Produtos!$B:$B,0)), "-")</f>
        <v>ESFOLIANTE AURORA IMPERIAL</v>
      </c>
      <c r="N3" s="510">
        <f>IFERROR(INDEX([1]Produtos!$E:$E,MATCH(L3,[1]Produtos!$B:$B,0)), "-")</f>
        <v>250</v>
      </c>
      <c r="O3" s="270" t="str">
        <f>IFERROR(INDEX([1]Produtos!$F:$F,MATCH(L3,[1]Produtos!$B:$B,0)), "-")</f>
        <v>g</v>
      </c>
      <c r="P3" s="270" t="str">
        <f>IFERROR(INDEX([1]Produtos!$G:$G,MATCH(L3,[1]Produtos!$B:$B,0)), "-")</f>
        <v>MISS RÔSE</v>
      </c>
      <c r="Q3" s="270" t="str">
        <f>IFERROR(INDEX([1]Produtos!$H:$H,MATCH(L3,[1]Produtos!$B:$B,0)), "-")</f>
        <v>CORPORAL</v>
      </c>
      <c r="R3" s="270" t="str">
        <f>IFERROR(INDEX([1]Produtos!$I:$I,MATCH(L3,[1]Produtos!$B:$B,0)), "-")</f>
        <v>ESFOLIANTE</v>
      </c>
      <c r="S3" s="270" t="str">
        <f>IFERROR(INDEX([1]Produtos!$J:$J,MATCH(L3,[1]Produtos!$B:$B,0)), "-")</f>
        <v>VISCOSO</v>
      </c>
      <c r="T3" s="473"/>
      <c r="U3" s="615"/>
      <c r="V3" s="615"/>
      <c r="W3" s="615"/>
      <c r="X3" s="615"/>
      <c r="Y3" s="615"/>
      <c r="Z3" s="615"/>
      <c r="AA3" s="615"/>
      <c r="AB3" s="615"/>
      <c r="AC3" s="615"/>
      <c r="AD3" s="615"/>
      <c r="AE3" s="615"/>
      <c r="AF3" s="615"/>
      <c r="AG3" s="615"/>
      <c r="AH3" s="615"/>
      <c r="AI3" s="615"/>
      <c r="AJ3" s="615"/>
      <c r="AK3" s="615"/>
      <c r="AL3" s="615"/>
      <c r="AM3" s="667"/>
      <c r="AN3" s="667"/>
      <c r="AO3" s="707" t="str">
        <f>IF(OR(Table1[[#This Row],[Início Setup Envase]]="",Table1[[#This Row],[Final Setup Envase]]=""),"",Table1[[#This Row],[Final Setup Envase]]-Table1[[#This Row],[Início Setup Envase]])</f>
        <v/>
      </c>
      <c r="AP3" s="667"/>
      <c r="AQ3" s="667"/>
      <c r="AR3" s="615"/>
      <c r="AS3" s="615"/>
      <c r="AT3" s="615"/>
      <c r="AU3" s="615"/>
      <c r="AV3" s="615"/>
      <c r="AW3" s="615"/>
      <c r="AX3" s="615"/>
      <c r="AY3" s="615"/>
      <c r="AZ3" s="615"/>
      <c r="BA3" s="615">
        <f>IF(Table1[[#This Row],[Data de Início]]="","",YEAR(Table1[[#This Row],[Data de Início]]))</f>
        <v>2025</v>
      </c>
      <c r="BB3" s="615">
        <f>IF(Table1[[#This Row],[Data de Início]]="","",MONTH(Table1[[#This Row],[Data de Início]]))</f>
        <v>1</v>
      </c>
      <c r="BC3" s="615"/>
    </row>
    <row r="4" spans="2:55" ht="15" customHeight="1" x14ac:dyDescent="0.25">
      <c r="B4" s="470">
        <v>45673.40625</v>
      </c>
      <c r="C4" s="263">
        <v>45673.494444444441</v>
      </c>
      <c r="D4" s="264" cm="1">
        <f t="array" ref="D4">IFERROR(HorasUteisFabrica2Turnos(B4,C4), "")</f>
        <v>2.1166666665812954</v>
      </c>
      <c r="E4" s="265">
        <f t="shared" si="0"/>
        <v>748.34645672309637</v>
      </c>
      <c r="F4" s="265"/>
      <c r="G4" s="265"/>
      <c r="H4" s="265"/>
      <c r="I4" s="266" t="s">
        <v>141</v>
      </c>
      <c r="J4" s="267" t="s">
        <v>15</v>
      </c>
      <c r="K4" s="268">
        <v>1584</v>
      </c>
      <c r="L4" s="269" t="s">
        <v>266</v>
      </c>
      <c r="M4" s="270" t="str">
        <f>IFERROR(INDEX([1]Produtos!$C:$C,MATCH(L4,[1]Produtos!$B:$B,0)), "-")</f>
        <v>ESFOLIANTE AURORA IMPERIAL</v>
      </c>
      <c r="N4" s="510">
        <f>IFERROR(INDEX([1]Produtos!$E:$E,MATCH(L4,[1]Produtos!$B:$B,0)), "-")</f>
        <v>250</v>
      </c>
      <c r="O4" s="270" t="str">
        <f>IFERROR(INDEX([1]Produtos!$F:$F,MATCH(L4,[1]Produtos!$B:$B,0)), "-")</f>
        <v>g</v>
      </c>
      <c r="P4" s="270" t="str">
        <f>IFERROR(INDEX([1]Produtos!$G:$G,MATCH(L4,[1]Produtos!$B:$B,0)), "-")</f>
        <v>MISS RÔSE</v>
      </c>
      <c r="Q4" s="270" t="str">
        <f>IFERROR(INDEX([1]Produtos!$H:$H,MATCH(L4,[1]Produtos!$B:$B,0)), "-")</f>
        <v>CORPORAL</v>
      </c>
      <c r="R4" s="270" t="str">
        <f>IFERROR(INDEX([1]Produtos!$I:$I,MATCH(L4,[1]Produtos!$B:$B,0)), "-")</f>
        <v>ESFOLIANTE</v>
      </c>
      <c r="S4" s="270" t="str">
        <f>IFERROR(INDEX([1]Produtos!$J:$J,MATCH(L4,[1]Produtos!$B:$B,0)), "-")</f>
        <v>VISCOSO</v>
      </c>
      <c r="T4" s="473"/>
      <c r="U4" s="270"/>
      <c r="V4" s="270"/>
      <c r="W4" s="270"/>
      <c r="X4" s="270"/>
      <c r="Y4" s="270"/>
      <c r="Z4" s="270"/>
      <c r="AA4" s="270"/>
      <c r="AB4" s="270"/>
      <c r="AC4" s="270"/>
      <c r="AD4" s="270"/>
      <c r="AE4" s="270"/>
      <c r="AF4" s="270"/>
      <c r="AG4" s="270"/>
      <c r="AH4" s="270"/>
      <c r="AI4" s="270"/>
      <c r="AJ4" s="270"/>
      <c r="AK4" s="270"/>
      <c r="AL4" s="270"/>
      <c r="AM4" s="663"/>
      <c r="AN4" s="663"/>
      <c r="AO4" s="708" t="str">
        <f>IF(OR(Table1[[#This Row],[Início Setup Envase]]="",Table1[[#This Row],[Final Setup Envase]]=""),"",Table1[[#This Row],[Final Setup Envase]]-Table1[[#This Row],[Início Setup Envase]])</f>
        <v/>
      </c>
      <c r="AP4" s="663"/>
      <c r="AQ4" s="663"/>
      <c r="AR4" s="270"/>
      <c r="AS4" s="270"/>
      <c r="AT4" s="270"/>
      <c r="AU4" s="270"/>
      <c r="AV4" s="270"/>
      <c r="AW4" s="270"/>
      <c r="AX4" s="270"/>
      <c r="AY4" s="270"/>
      <c r="AZ4" s="270"/>
      <c r="BA4" s="270">
        <f>IF(Table1[[#This Row],[Data de Início]]="","",YEAR(Table1[[#This Row],[Data de Início]]))</f>
        <v>2025</v>
      </c>
      <c r="BB4" s="270">
        <f>IF(Table1[[#This Row],[Data de Início]]="","",MONTH(Table1[[#This Row],[Data de Início]]))</f>
        <v>1</v>
      </c>
      <c r="BC4" s="270"/>
    </row>
    <row r="5" spans="2:55" ht="15" customHeight="1" x14ac:dyDescent="0.25">
      <c r="B5" s="470">
        <v>45677.614583333336</v>
      </c>
      <c r="C5" s="263">
        <v>45677.670138888891</v>
      </c>
      <c r="D5" s="264" cm="1">
        <f t="array" ref="D5">IFERROR(HorasUteisFabrica2Turnos(B5,C5), "")</f>
        <v>1.3333333333139308</v>
      </c>
      <c r="E5" s="265">
        <f t="shared" si="0"/>
        <v>1134.0000000165019</v>
      </c>
      <c r="F5" s="265"/>
      <c r="G5" s="265"/>
      <c r="H5" s="265"/>
      <c r="I5" s="266" t="s">
        <v>140</v>
      </c>
      <c r="J5" s="267" t="s">
        <v>15</v>
      </c>
      <c r="K5" s="268">
        <v>1512</v>
      </c>
      <c r="L5" s="269" t="s">
        <v>266</v>
      </c>
      <c r="M5" s="270" t="str">
        <f>IFERROR(INDEX([1]Produtos!$C:$C,MATCH(L5,[1]Produtos!$B:$B,0)), "-")</f>
        <v>ESFOLIANTE AURORA IMPERIAL</v>
      </c>
      <c r="N5" s="510">
        <f>IFERROR(INDEX([1]Produtos!$E:$E,MATCH(L5,[1]Produtos!$B:$B,0)), "-")</f>
        <v>250</v>
      </c>
      <c r="O5" s="270" t="str">
        <f>IFERROR(INDEX([1]Produtos!$F:$F,MATCH(L5,[1]Produtos!$B:$B,0)), "-")</f>
        <v>g</v>
      </c>
      <c r="P5" s="270" t="str">
        <f>IFERROR(INDEX([1]Produtos!$G:$G,MATCH(L5,[1]Produtos!$B:$B,0)), "-")</f>
        <v>MISS RÔSE</v>
      </c>
      <c r="Q5" s="270" t="str">
        <f>IFERROR(INDEX([1]Produtos!$H:$H,MATCH(L5,[1]Produtos!$B:$B,0)), "-")</f>
        <v>CORPORAL</v>
      </c>
      <c r="R5" s="270" t="str">
        <f>IFERROR(INDEX([1]Produtos!$I:$I,MATCH(L5,[1]Produtos!$B:$B,0)), "-")</f>
        <v>ESFOLIANTE</v>
      </c>
      <c r="S5" s="270" t="str">
        <f>IFERROR(INDEX([1]Produtos!$J:$J,MATCH(L5,[1]Produtos!$B:$B,0)), "-")</f>
        <v>VISCOSO</v>
      </c>
      <c r="T5" s="473"/>
      <c r="U5" s="270"/>
      <c r="V5" s="270"/>
      <c r="W5" s="270"/>
      <c r="X5" s="270"/>
      <c r="Y5" s="270"/>
      <c r="Z5" s="270"/>
      <c r="AA5" s="270"/>
      <c r="AB5" s="270"/>
      <c r="AC5" s="270"/>
      <c r="AD5" s="270"/>
      <c r="AE5" s="270"/>
      <c r="AF5" s="270"/>
      <c r="AG5" s="270"/>
      <c r="AH5" s="270"/>
      <c r="AI5" s="270"/>
      <c r="AJ5" s="270"/>
      <c r="AK5" s="270"/>
      <c r="AL5" s="270"/>
      <c r="AM5" s="663"/>
      <c r="AN5" s="663"/>
      <c r="AO5" s="708" t="str">
        <f>IF(OR(Table1[[#This Row],[Início Setup Envase]]="",Table1[[#This Row],[Final Setup Envase]]=""),"",Table1[[#This Row],[Final Setup Envase]]-Table1[[#This Row],[Início Setup Envase]])</f>
        <v/>
      </c>
      <c r="AP5" s="663"/>
      <c r="AQ5" s="663"/>
      <c r="AR5" s="270"/>
      <c r="AS5" s="270"/>
      <c r="AT5" s="270"/>
      <c r="AU5" s="270"/>
      <c r="AV5" s="270"/>
      <c r="AW5" s="270"/>
      <c r="AX5" s="270"/>
      <c r="AY5" s="270"/>
      <c r="AZ5" s="270"/>
      <c r="BA5" s="270">
        <f>IF(Table1[[#This Row],[Data de Início]]="","",YEAR(Table1[[#This Row],[Data de Início]]))</f>
        <v>2025</v>
      </c>
      <c r="BB5" s="270">
        <f>IF(Table1[[#This Row],[Data de Início]]="","",MONTH(Table1[[#This Row],[Data de Início]]))</f>
        <v>1</v>
      </c>
      <c r="BC5" s="270"/>
    </row>
    <row r="6" spans="2:55" ht="15" customHeight="1" x14ac:dyDescent="0.25">
      <c r="B6" s="470">
        <v>45677.673611111109</v>
      </c>
      <c r="C6" s="263">
        <v>45678.335416666669</v>
      </c>
      <c r="D6" s="264" cm="1">
        <f t="array" ref="D6">IFERROR(HorasUteisFabrica2Turnos(B6,C6), "")</f>
        <v>1.8833333335351199</v>
      </c>
      <c r="E6" s="265">
        <f t="shared" si="0"/>
        <v>841.06194681254067</v>
      </c>
      <c r="F6" s="265"/>
      <c r="G6" s="265"/>
      <c r="H6" s="265"/>
      <c r="I6" s="266" t="s">
        <v>139</v>
      </c>
      <c r="J6" s="267" t="s">
        <v>15</v>
      </c>
      <c r="K6" s="268">
        <v>1584</v>
      </c>
      <c r="L6" s="269" t="s">
        <v>266</v>
      </c>
      <c r="M6" s="270" t="str">
        <f>IFERROR(INDEX([1]Produtos!$C:$C,MATCH(L6,[1]Produtos!$B:$B,0)), "-")</f>
        <v>ESFOLIANTE AURORA IMPERIAL</v>
      </c>
      <c r="N6" s="510">
        <f>IFERROR(INDEX([1]Produtos!$E:$E,MATCH(L6,[1]Produtos!$B:$B,0)), "-")</f>
        <v>250</v>
      </c>
      <c r="O6" s="270" t="str">
        <f>IFERROR(INDEX([1]Produtos!$F:$F,MATCH(L6,[1]Produtos!$B:$B,0)), "-")</f>
        <v>g</v>
      </c>
      <c r="P6" s="270" t="str">
        <f>IFERROR(INDEX([1]Produtos!$G:$G,MATCH(L6,[1]Produtos!$B:$B,0)), "-")</f>
        <v>MISS RÔSE</v>
      </c>
      <c r="Q6" s="270" t="str">
        <f>IFERROR(INDEX([1]Produtos!$H:$H,MATCH(L6,[1]Produtos!$B:$B,0)), "-")</f>
        <v>CORPORAL</v>
      </c>
      <c r="R6" s="270" t="str">
        <f>IFERROR(INDEX([1]Produtos!$I:$I,MATCH(L6,[1]Produtos!$B:$B,0)), "-")</f>
        <v>ESFOLIANTE</v>
      </c>
      <c r="S6" s="270" t="str">
        <f>IFERROR(INDEX([1]Produtos!$J:$J,MATCH(L6,[1]Produtos!$B:$B,0)), "-")</f>
        <v>VISCOSO</v>
      </c>
      <c r="T6" s="473"/>
      <c r="U6" s="270"/>
      <c r="V6" s="270"/>
      <c r="W6" s="270"/>
      <c r="X6" s="270"/>
      <c r="Y6" s="270"/>
      <c r="Z6" s="270"/>
      <c r="AA6" s="270"/>
      <c r="AB6" s="270"/>
      <c r="AC6" s="270"/>
      <c r="AD6" s="270"/>
      <c r="AE6" s="270"/>
      <c r="AF6" s="270"/>
      <c r="AG6" s="270"/>
      <c r="AH6" s="270"/>
      <c r="AI6" s="270"/>
      <c r="AJ6" s="270"/>
      <c r="AK6" s="270"/>
      <c r="AL6" s="270"/>
      <c r="AM6" s="663"/>
      <c r="AN6" s="663"/>
      <c r="AO6" s="708" t="str">
        <f>IF(OR(Table1[[#This Row],[Início Setup Envase]]="",Table1[[#This Row],[Final Setup Envase]]=""),"",Table1[[#This Row],[Final Setup Envase]]-Table1[[#This Row],[Início Setup Envase]])</f>
        <v/>
      </c>
      <c r="AP6" s="663"/>
      <c r="AQ6" s="663"/>
      <c r="AR6" s="270"/>
      <c r="AS6" s="270"/>
      <c r="AT6" s="270"/>
      <c r="AU6" s="270"/>
      <c r="AV6" s="270"/>
      <c r="AW6" s="270"/>
      <c r="AX6" s="270"/>
      <c r="AY6" s="270"/>
      <c r="AZ6" s="270"/>
      <c r="BA6" s="270">
        <f>IF(Table1[[#This Row],[Data de Início]]="","",YEAR(Table1[[#This Row],[Data de Início]]))</f>
        <v>2025</v>
      </c>
      <c r="BB6" s="270">
        <f>IF(Table1[[#This Row],[Data de Início]]="","",MONTH(Table1[[#This Row],[Data de Início]]))</f>
        <v>1</v>
      </c>
      <c r="BC6" s="270"/>
    </row>
    <row r="7" spans="2:55" ht="15" customHeight="1" x14ac:dyDescent="0.25">
      <c r="B7" s="470">
        <v>45678.335416666669</v>
      </c>
      <c r="C7" s="263">
        <v>45678.385416666664</v>
      </c>
      <c r="D7" s="264" cm="1">
        <f t="array" ref="D7">IFERROR(HorasUteisFabrica2Turnos(B7,C7), "")</f>
        <v>1.1999999998952262</v>
      </c>
      <c r="E7" s="265">
        <f t="shared" si="0"/>
        <v>1200.0000001047738</v>
      </c>
      <c r="F7" s="265"/>
      <c r="G7" s="265"/>
      <c r="H7" s="265"/>
      <c r="I7" s="266" t="s">
        <v>138</v>
      </c>
      <c r="J7" s="267" t="s">
        <v>15</v>
      </c>
      <c r="K7" s="268">
        <v>1440</v>
      </c>
      <c r="L7" s="269" t="s">
        <v>266</v>
      </c>
      <c r="M7" s="270" t="str">
        <f>IFERROR(INDEX([1]Produtos!$C:$C,MATCH(L7,[1]Produtos!$B:$B,0)), "-")</f>
        <v>ESFOLIANTE AURORA IMPERIAL</v>
      </c>
      <c r="N7" s="510">
        <f>IFERROR(INDEX([1]Produtos!$E:$E,MATCH(L7,[1]Produtos!$B:$B,0)), "-")</f>
        <v>250</v>
      </c>
      <c r="O7" s="270" t="str">
        <f>IFERROR(INDEX([1]Produtos!$F:$F,MATCH(L7,[1]Produtos!$B:$B,0)), "-")</f>
        <v>g</v>
      </c>
      <c r="P7" s="270" t="str">
        <f>IFERROR(INDEX([1]Produtos!$G:$G,MATCH(L7,[1]Produtos!$B:$B,0)), "-")</f>
        <v>MISS RÔSE</v>
      </c>
      <c r="Q7" s="270" t="str">
        <f>IFERROR(INDEX([1]Produtos!$H:$H,MATCH(L7,[1]Produtos!$B:$B,0)), "-")</f>
        <v>CORPORAL</v>
      </c>
      <c r="R7" s="270" t="str">
        <f>IFERROR(INDEX([1]Produtos!$I:$I,MATCH(L7,[1]Produtos!$B:$B,0)), "-")</f>
        <v>ESFOLIANTE</v>
      </c>
      <c r="S7" s="270" t="str">
        <f>IFERROR(INDEX([1]Produtos!$J:$J,MATCH(L7,[1]Produtos!$B:$B,0)), "-")</f>
        <v>VISCOSO</v>
      </c>
      <c r="T7" s="473"/>
      <c r="U7" s="270"/>
      <c r="V7" s="270"/>
      <c r="W7" s="270"/>
      <c r="X7" s="270"/>
      <c r="Y7" s="270"/>
      <c r="Z7" s="270"/>
      <c r="AA7" s="270"/>
      <c r="AB7" s="270"/>
      <c r="AC7" s="270"/>
      <c r="AD7" s="270"/>
      <c r="AE7" s="270"/>
      <c r="AF7" s="270"/>
      <c r="AG7" s="270"/>
      <c r="AH7" s="270"/>
      <c r="AI7" s="270"/>
      <c r="AJ7" s="270"/>
      <c r="AK7" s="270"/>
      <c r="AL7" s="270"/>
      <c r="AM7" s="663"/>
      <c r="AN7" s="663"/>
      <c r="AO7" s="708" t="str">
        <f>IF(OR(Table1[[#This Row],[Início Setup Envase]]="",Table1[[#This Row],[Final Setup Envase]]=""),"",Table1[[#This Row],[Final Setup Envase]]-Table1[[#This Row],[Início Setup Envase]])</f>
        <v/>
      </c>
      <c r="AP7" s="663"/>
      <c r="AQ7" s="663"/>
      <c r="AR7" s="270"/>
      <c r="AS7" s="270"/>
      <c r="AT7" s="270"/>
      <c r="AU7" s="270"/>
      <c r="AV7" s="270"/>
      <c r="AW7" s="270"/>
      <c r="AX7" s="270"/>
      <c r="AY7" s="270"/>
      <c r="AZ7" s="270"/>
      <c r="BA7" s="270">
        <f>IF(Table1[[#This Row],[Data de Início]]="","",YEAR(Table1[[#This Row],[Data de Início]]))</f>
        <v>2025</v>
      </c>
      <c r="BB7" s="270">
        <f>IF(Table1[[#This Row],[Data de Início]]="","",MONTH(Table1[[#This Row],[Data de Início]]))</f>
        <v>1</v>
      </c>
      <c r="BC7" s="270"/>
    </row>
    <row r="8" spans="2:55" ht="15" customHeight="1" x14ac:dyDescent="0.25">
      <c r="B8" s="470">
        <v>45678.385416666664</v>
      </c>
      <c r="C8" s="263">
        <v>45678.448611111111</v>
      </c>
      <c r="D8" s="264" cm="1">
        <f t="array" ref="D8">IFERROR(HorasUteisFabrica2Turnos(B8,C8), "")</f>
        <v>1.5166666667209938</v>
      </c>
      <c r="E8" s="265">
        <f t="shared" si="0"/>
        <v>901.97802194571307</v>
      </c>
      <c r="F8" s="265"/>
      <c r="G8" s="265"/>
      <c r="H8" s="265"/>
      <c r="I8" s="266" t="s">
        <v>137</v>
      </c>
      <c r="J8" s="267" t="s">
        <v>15</v>
      </c>
      <c r="K8" s="268">
        <v>1368</v>
      </c>
      <c r="L8" s="269" t="s">
        <v>266</v>
      </c>
      <c r="M8" s="270" t="str">
        <f>IFERROR(INDEX([1]Produtos!$C:$C,MATCH(L8,[1]Produtos!$B:$B,0)), "-")</f>
        <v>ESFOLIANTE AURORA IMPERIAL</v>
      </c>
      <c r="N8" s="510">
        <f>IFERROR(INDEX([1]Produtos!$E:$E,MATCH(L8,[1]Produtos!$B:$B,0)), "-")</f>
        <v>250</v>
      </c>
      <c r="O8" s="270" t="str">
        <f>IFERROR(INDEX([1]Produtos!$F:$F,MATCH(L8,[1]Produtos!$B:$B,0)), "-")</f>
        <v>g</v>
      </c>
      <c r="P8" s="270" t="str">
        <f>IFERROR(INDEX([1]Produtos!$G:$G,MATCH(L8,[1]Produtos!$B:$B,0)), "-")</f>
        <v>MISS RÔSE</v>
      </c>
      <c r="Q8" s="270" t="str">
        <f>IFERROR(INDEX([1]Produtos!$H:$H,MATCH(L8,[1]Produtos!$B:$B,0)), "-")</f>
        <v>CORPORAL</v>
      </c>
      <c r="R8" s="270" t="str">
        <f>IFERROR(INDEX([1]Produtos!$I:$I,MATCH(L8,[1]Produtos!$B:$B,0)), "-")</f>
        <v>ESFOLIANTE</v>
      </c>
      <c r="S8" s="270" t="str">
        <f>IFERROR(INDEX([1]Produtos!$J:$J,MATCH(L8,[1]Produtos!$B:$B,0)), "-")</f>
        <v>VISCOSO</v>
      </c>
      <c r="T8" s="473"/>
      <c r="U8" s="270"/>
      <c r="V8" s="270"/>
      <c r="W8" s="270"/>
      <c r="X8" s="270"/>
      <c r="Y8" s="270"/>
      <c r="Z8" s="270"/>
      <c r="AA8" s="270"/>
      <c r="AB8" s="270"/>
      <c r="AC8" s="270"/>
      <c r="AD8" s="270"/>
      <c r="AE8" s="270"/>
      <c r="AF8" s="270"/>
      <c r="AG8" s="270"/>
      <c r="AH8" s="270"/>
      <c r="AI8" s="270"/>
      <c r="AJ8" s="270"/>
      <c r="AK8" s="270"/>
      <c r="AL8" s="270"/>
      <c r="AM8" s="663"/>
      <c r="AN8" s="663"/>
      <c r="AO8" s="708" t="str">
        <f>IF(OR(Table1[[#This Row],[Início Setup Envase]]="",Table1[[#This Row],[Final Setup Envase]]=""),"",Table1[[#This Row],[Final Setup Envase]]-Table1[[#This Row],[Início Setup Envase]])</f>
        <v/>
      </c>
      <c r="AP8" s="663"/>
      <c r="AQ8" s="663"/>
      <c r="AR8" s="270"/>
      <c r="AS8" s="270"/>
      <c r="AT8" s="270"/>
      <c r="AU8" s="270"/>
      <c r="AV8" s="270"/>
      <c r="AW8" s="270"/>
      <c r="AX8" s="270"/>
      <c r="AY8" s="270"/>
      <c r="AZ8" s="270"/>
      <c r="BA8" s="270">
        <f>IF(Table1[[#This Row],[Data de Início]]="","",YEAR(Table1[[#This Row],[Data de Início]]))</f>
        <v>2025</v>
      </c>
      <c r="BB8" s="270">
        <f>IF(Table1[[#This Row],[Data de Início]]="","",MONTH(Table1[[#This Row],[Data de Início]]))</f>
        <v>1</v>
      </c>
      <c r="BC8" s="270"/>
    </row>
    <row r="9" spans="2:55" ht="15" customHeight="1" x14ac:dyDescent="0.25">
      <c r="B9" s="470">
        <v>45678.448611111111</v>
      </c>
      <c r="C9" s="263">
        <v>45678.490972222222</v>
      </c>
      <c r="D9" s="264" cm="1">
        <f t="array" ref="D9">IFERROR(HorasUteisFabrica2Turnos(B9,C9), "")</f>
        <v>1.0166666666627862</v>
      </c>
      <c r="E9" s="265">
        <f t="shared" si="0"/>
        <v>1345.5737704969392</v>
      </c>
      <c r="F9" s="265"/>
      <c r="G9" s="265"/>
      <c r="H9" s="265"/>
      <c r="I9" s="266" t="s">
        <v>134</v>
      </c>
      <c r="J9" s="267" t="s">
        <v>15</v>
      </c>
      <c r="K9" s="268">
        <v>1368</v>
      </c>
      <c r="L9" s="269" t="s">
        <v>266</v>
      </c>
      <c r="M9" s="270" t="str">
        <f>IFERROR(INDEX([1]Produtos!$C:$C,MATCH(L9,[1]Produtos!$B:$B,0)), "-")</f>
        <v>ESFOLIANTE AURORA IMPERIAL</v>
      </c>
      <c r="N9" s="510">
        <f>IFERROR(INDEX([1]Produtos!$E:$E,MATCH(L9,[1]Produtos!$B:$B,0)), "-")</f>
        <v>250</v>
      </c>
      <c r="O9" s="270" t="str">
        <f>IFERROR(INDEX([1]Produtos!$F:$F,MATCH(L9,[1]Produtos!$B:$B,0)), "-")</f>
        <v>g</v>
      </c>
      <c r="P9" s="270" t="str">
        <f>IFERROR(INDEX([1]Produtos!$G:$G,MATCH(L9,[1]Produtos!$B:$B,0)), "-")</f>
        <v>MISS RÔSE</v>
      </c>
      <c r="Q9" s="270" t="str">
        <f>IFERROR(INDEX([1]Produtos!$H:$H,MATCH(L9,[1]Produtos!$B:$B,0)), "-")</f>
        <v>CORPORAL</v>
      </c>
      <c r="R9" s="270" t="str">
        <f>IFERROR(INDEX([1]Produtos!$I:$I,MATCH(L9,[1]Produtos!$B:$B,0)), "-")</f>
        <v>ESFOLIANTE</v>
      </c>
      <c r="S9" s="270" t="str">
        <f>IFERROR(INDEX([1]Produtos!$J:$J,MATCH(L9,[1]Produtos!$B:$B,0)), "-")</f>
        <v>VISCOSO</v>
      </c>
      <c r="T9" s="473"/>
      <c r="U9" s="270"/>
      <c r="V9" s="270"/>
      <c r="W9" s="270"/>
      <c r="X9" s="270"/>
      <c r="Y9" s="270"/>
      <c r="Z9" s="270"/>
      <c r="AA9" s="270"/>
      <c r="AB9" s="270"/>
      <c r="AC9" s="270"/>
      <c r="AD9" s="270"/>
      <c r="AE9" s="270"/>
      <c r="AF9" s="270"/>
      <c r="AG9" s="270"/>
      <c r="AH9" s="270"/>
      <c r="AI9" s="270"/>
      <c r="AJ9" s="270"/>
      <c r="AK9" s="270"/>
      <c r="AL9" s="270"/>
      <c r="AM9" s="663"/>
      <c r="AN9" s="663"/>
      <c r="AO9" s="708" t="str">
        <f>IF(OR(Table1[[#This Row],[Início Setup Envase]]="",Table1[[#This Row],[Final Setup Envase]]=""),"",Table1[[#This Row],[Final Setup Envase]]-Table1[[#This Row],[Início Setup Envase]])</f>
        <v/>
      </c>
      <c r="AP9" s="663"/>
      <c r="AQ9" s="663"/>
      <c r="AR9" s="270"/>
      <c r="AS9" s="270"/>
      <c r="AT9" s="270"/>
      <c r="AU9" s="270"/>
      <c r="AV9" s="270"/>
      <c r="AW9" s="270"/>
      <c r="AX9" s="270"/>
      <c r="AY9" s="270"/>
      <c r="AZ9" s="270"/>
      <c r="BA9" s="270">
        <f>IF(Table1[[#This Row],[Data de Início]]="","",YEAR(Table1[[#This Row],[Data de Início]]))</f>
        <v>2025</v>
      </c>
      <c r="BB9" s="270">
        <f>IF(Table1[[#This Row],[Data de Início]]="","",MONTH(Table1[[#This Row],[Data de Início]]))</f>
        <v>1</v>
      </c>
      <c r="BC9" s="270"/>
    </row>
    <row r="10" spans="2:55" ht="15" customHeight="1" x14ac:dyDescent="0.25">
      <c r="B10" s="470">
        <v>45678.541666666664</v>
      </c>
      <c r="C10" s="263">
        <v>45678.631944444445</v>
      </c>
      <c r="D10" s="264" cm="1">
        <f t="array" ref="D10">IFERROR(HorasUteisFabrica2Turnos(B10,C10), "")</f>
        <v>2.1666666667442769</v>
      </c>
      <c r="E10" s="265">
        <f t="shared" si="0"/>
        <v>631.38461536199918</v>
      </c>
      <c r="F10" s="265"/>
      <c r="G10" s="265"/>
      <c r="H10" s="265"/>
      <c r="I10" s="266" t="s">
        <v>133</v>
      </c>
      <c r="J10" s="267" t="s">
        <v>15</v>
      </c>
      <c r="K10" s="268">
        <v>1368</v>
      </c>
      <c r="L10" s="269" t="s">
        <v>266</v>
      </c>
      <c r="M10" s="270" t="str">
        <f>IFERROR(INDEX([1]Produtos!$C:$C,MATCH(L10,[1]Produtos!$B:$B,0)), "-")</f>
        <v>ESFOLIANTE AURORA IMPERIAL</v>
      </c>
      <c r="N10" s="510">
        <f>IFERROR(INDEX([1]Produtos!$E:$E,MATCH(L10,[1]Produtos!$B:$B,0)), "-")</f>
        <v>250</v>
      </c>
      <c r="O10" s="270" t="str">
        <f>IFERROR(INDEX([1]Produtos!$F:$F,MATCH(L10,[1]Produtos!$B:$B,0)), "-")</f>
        <v>g</v>
      </c>
      <c r="P10" s="270" t="str">
        <f>IFERROR(INDEX([1]Produtos!$G:$G,MATCH(L10,[1]Produtos!$B:$B,0)), "-")</f>
        <v>MISS RÔSE</v>
      </c>
      <c r="Q10" s="270" t="str">
        <f>IFERROR(INDEX([1]Produtos!$H:$H,MATCH(L10,[1]Produtos!$B:$B,0)), "-")</f>
        <v>CORPORAL</v>
      </c>
      <c r="R10" s="270" t="str">
        <f>IFERROR(INDEX([1]Produtos!$I:$I,MATCH(L10,[1]Produtos!$B:$B,0)), "-")</f>
        <v>ESFOLIANTE</v>
      </c>
      <c r="S10" s="270" t="str">
        <f>IFERROR(INDEX([1]Produtos!$J:$J,MATCH(L10,[1]Produtos!$B:$B,0)), "-")</f>
        <v>VISCOSO</v>
      </c>
      <c r="T10" s="473"/>
      <c r="U10" s="270"/>
      <c r="V10" s="270"/>
      <c r="W10" s="270"/>
      <c r="X10" s="270"/>
      <c r="Y10" s="270"/>
      <c r="Z10" s="270"/>
      <c r="AA10" s="270"/>
      <c r="AB10" s="270"/>
      <c r="AC10" s="270"/>
      <c r="AD10" s="270"/>
      <c r="AE10" s="270"/>
      <c r="AF10" s="270"/>
      <c r="AG10" s="270"/>
      <c r="AH10" s="270"/>
      <c r="AI10" s="270"/>
      <c r="AJ10" s="270"/>
      <c r="AK10" s="270"/>
      <c r="AL10" s="270"/>
      <c r="AM10" s="663"/>
      <c r="AN10" s="663"/>
      <c r="AO10" s="708" t="str">
        <f>IF(OR(Table1[[#This Row],[Início Setup Envase]]="",Table1[[#This Row],[Final Setup Envase]]=""),"",Table1[[#This Row],[Final Setup Envase]]-Table1[[#This Row],[Início Setup Envase]])</f>
        <v/>
      </c>
      <c r="AP10" s="663"/>
      <c r="AQ10" s="663"/>
      <c r="AR10" s="270"/>
      <c r="AS10" s="270"/>
      <c r="AT10" s="270"/>
      <c r="AU10" s="270"/>
      <c r="AV10" s="270"/>
      <c r="AW10" s="270"/>
      <c r="AX10" s="270"/>
      <c r="AY10" s="270"/>
      <c r="AZ10" s="270"/>
      <c r="BA10" s="270">
        <f>IF(Table1[[#This Row],[Data de Início]]="","",YEAR(Table1[[#This Row],[Data de Início]]))</f>
        <v>2025</v>
      </c>
      <c r="BB10" s="270">
        <f>IF(Table1[[#This Row],[Data de Início]]="","",MONTH(Table1[[#This Row],[Data de Início]]))</f>
        <v>1</v>
      </c>
      <c r="BC10" s="270"/>
    </row>
    <row r="11" spans="2:55" ht="15" customHeight="1" x14ac:dyDescent="0.25">
      <c r="B11" s="470">
        <v>45678.663888888892</v>
      </c>
      <c r="C11" s="263">
        <v>45678.697222222225</v>
      </c>
      <c r="D11" s="264" cm="1">
        <f t="array" ref="D11">IFERROR(HorasUteisFabrica2Turnos(B11,C11), "")</f>
        <v>0.79999999998835847</v>
      </c>
      <c r="E11" s="265">
        <f t="shared" si="0"/>
        <v>180.00000000261934</v>
      </c>
      <c r="F11" s="265"/>
      <c r="G11" s="265"/>
      <c r="H11" s="265"/>
      <c r="I11" s="266" t="s">
        <v>136</v>
      </c>
      <c r="J11" s="267" t="s">
        <v>15</v>
      </c>
      <c r="K11" s="268">
        <v>144</v>
      </c>
      <c r="L11" s="269" t="s">
        <v>266</v>
      </c>
      <c r="M11" s="270" t="str">
        <f>IFERROR(INDEX([1]Produtos!$C:$C,MATCH(L11,[1]Produtos!$B:$B,0)), "-")</f>
        <v>ESFOLIANTE AURORA IMPERIAL</v>
      </c>
      <c r="N11" s="510">
        <f>IFERROR(INDEX([1]Produtos!$E:$E,MATCH(L11,[1]Produtos!$B:$B,0)), "-")</f>
        <v>250</v>
      </c>
      <c r="O11" s="270" t="str">
        <f>IFERROR(INDEX([1]Produtos!$F:$F,MATCH(L11,[1]Produtos!$B:$B,0)), "-")</f>
        <v>g</v>
      </c>
      <c r="P11" s="270" t="str">
        <f>IFERROR(INDEX([1]Produtos!$G:$G,MATCH(L11,[1]Produtos!$B:$B,0)), "-")</f>
        <v>MISS RÔSE</v>
      </c>
      <c r="Q11" s="270" t="str">
        <f>IFERROR(INDEX([1]Produtos!$H:$H,MATCH(L11,[1]Produtos!$B:$B,0)), "-")</f>
        <v>CORPORAL</v>
      </c>
      <c r="R11" s="270" t="str">
        <f>IFERROR(INDEX([1]Produtos!$I:$I,MATCH(L11,[1]Produtos!$B:$B,0)), "-")</f>
        <v>ESFOLIANTE</v>
      </c>
      <c r="S11" s="270" t="str">
        <f>IFERROR(INDEX([1]Produtos!$J:$J,MATCH(L11,[1]Produtos!$B:$B,0)), "-")</f>
        <v>VISCOSO</v>
      </c>
      <c r="T11" s="473"/>
      <c r="U11" s="270"/>
      <c r="V11" s="270"/>
      <c r="W11" s="270"/>
      <c r="X11" s="270"/>
      <c r="Y11" s="270"/>
      <c r="Z11" s="270"/>
      <c r="AA11" s="270"/>
      <c r="AB11" s="270"/>
      <c r="AC11" s="270"/>
      <c r="AD11" s="270"/>
      <c r="AE11" s="270"/>
      <c r="AF11" s="270"/>
      <c r="AG11" s="270"/>
      <c r="AH11" s="270"/>
      <c r="AI11" s="270"/>
      <c r="AJ11" s="270"/>
      <c r="AK11" s="270"/>
      <c r="AL11" s="270"/>
      <c r="AM11" s="663"/>
      <c r="AN11" s="663"/>
      <c r="AO11" s="708" t="str">
        <f>IF(OR(Table1[[#This Row],[Início Setup Envase]]="",Table1[[#This Row],[Final Setup Envase]]=""),"",Table1[[#This Row],[Final Setup Envase]]-Table1[[#This Row],[Início Setup Envase]])</f>
        <v/>
      </c>
      <c r="AP11" s="663"/>
      <c r="AQ11" s="663"/>
      <c r="AR11" s="270"/>
      <c r="AS11" s="270"/>
      <c r="AT11" s="270"/>
      <c r="AU11" s="270"/>
      <c r="AV11" s="270"/>
      <c r="AW11" s="270"/>
      <c r="AX11" s="270"/>
      <c r="AY11" s="270"/>
      <c r="AZ11" s="270"/>
      <c r="BA11" s="270">
        <f>IF(Table1[[#This Row],[Data de Início]]="","",YEAR(Table1[[#This Row],[Data de Início]]))</f>
        <v>2025</v>
      </c>
      <c r="BB11" s="270">
        <f>IF(Table1[[#This Row],[Data de Início]]="","",MONTH(Table1[[#This Row],[Data de Início]]))</f>
        <v>1</v>
      </c>
      <c r="BC11" s="270"/>
    </row>
    <row r="12" spans="2:55" ht="15" customHeight="1" x14ac:dyDescent="0.25">
      <c r="B12" s="470">
        <v>45680.375</v>
      </c>
      <c r="C12" s="263">
        <v>45680.442361111112</v>
      </c>
      <c r="D12" s="264" cm="1">
        <f t="array" ref="D12">IFERROR(HorasUteisFabrica2Turnos(B12,C12), "")</f>
        <v>1.6166666666977108</v>
      </c>
      <c r="E12" s="265">
        <f t="shared" si="0"/>
        <v>757.11340204731721</v>
      </c>
      <c r="F12" s="265"/>
      <c r="G12" s="265"/>
      <c r="H12" s="265"/>
      <c r="I12" s="266" t="s">
        <v>135</v>
      </c>
      <c r="J12" s="267" t="s">
        <v>15</v>
      </c>
      <c r="K12" s="268">
        <v>1224</v>
      </c>
      <c r="L12" s="269" t="s">
        <v>267</v>
      </c>
      <c r="M12" s="270" t="str">
        <f>IFERROR(INDEX([1]Produtos!$C:$C,MATCH(L12,[1]Produtos!$B:$B,0)), "-")</f>
        <v>ESFOLIANTE DEUSA DO NILO</v>
      </c>
      <c r="N12" s="510">
        <f>IFERROR(INDEX([1]Produtos!$E:$E,MATCH(L12,[1]Produtos!$B:$B,0)), "-")</f>
        <v>250</v>
      </c>
      <c r="O12" s="270" t="str">
        <f>IFERROR(INDEX([1]Produtos!$F:$F,MATCH(L12,[1]Produtos!$B:$B,0)), "-")</f>
        <v>g</v>
      </c>
      <c r="P12" s="270" t="str">
        <f>IFERROR(INDEX([1]Produtos!$G:$G,MATCH(L12,[1]Produtos!$B:$B,0)), "-")</f>
        <v>MISS RÔSE</v>
      </c>
      <c r="Q12" s="270" t="str">
        <f>IFERROR(INDEX([1]Produtos!$H:$H,MATCH(L12,[1]Produtos!$B:$B,0)), "-")</f>
        <v>CORPORAL</v>
      </c>
      <c r="R12" s="270" t="str">
        <f>IFERROR(INDEX([1]Produtos!$I:$I,MATCH(L12,[1]Produtos!$B:$B,0)), "-")</f>
        <v>ESFOLIANTE</v>
      </c>
      <c r="S12" s="270" t="str">
        <f>IFERROR(INDEX([1]Produtos!$J:$J,MATCH(L12,[1]Produtos!$B:$B,0)), "-")</f>
        <v>VISCOSO</v>
      </c>
      <c r="T12" s="473"/>
      <c r="U12" s="270"/>
      <c r="V12" s="270"/>
      <c r="W12" s="270"/>
      <c r="X12" s="270"/>
      <c r="Y12" s="270"/>
      <c r="Z12" s="270"/>
      <c r="AA12" s="270"/>
      <c r="AB12" s="270"/>
      <c r="AC12" s="270"/>
      <c r="AD12" s="270"/>
      <c r="AE12" s="270"/>
      <c r="AF12" s="270"/>
      <c r="AG12" s="270"/>
      <c r="AH12" s="270"/>
      <c r="AI12" s="270"/>
      <c r="AJ12" s="270"/>
      <c r="AK12" s="270"/>
      <c r="AL12" s="270"/>
      <c r="AM12" s="663"/>
      <c r="AN12" s="663"/>
      <c r="AO12" s="708" t="str">
        <f>IF(OR(Table1[[#This Row],[Início Setup Envase]]="",Table1[[#This Row],[Final Setup Envase]]=""),"",Table1[[#This Row],[Final Setup Envase]]-Table1[[#This Row],[Início Setup Envase]])</f>
        <v/>
      </c>
      <c r="AP12" s="663"/>
      <c r="AQ12" s="663"/>
      <c r="AR12" s="270"/>
      <c r="AS12" s="270"/>
      <c r="AT12" s="270"/>
      <c r="AU12" s="270"/>
      <c r="AV12" s="270"/>
      <c r="AW12" s="270"/>
      <c r="AX12" s="270"/>
      <c r="AY12" s="270"/>
      <c r="AZ12" s="270"/>
      <c r="BA12" s="270">
        <f>IF(Table1[[#This Row],[Data de Início]]="","",YEAR(Table1[[#This Row],[Data de Início]]))</f>
        <v>2025</v>
      </c>
      <c r="BB12" s="270">
        <f>IF(Table1[[#This Row],[Data de Início]]="","",MONTH(Table1[[#This Row],[Data de Início]]))</f>
        <v>1</v>
      </c>
      <c r="BC12" s="270"/>
    </row>
    <row r="13" spans="2:55" ht="15" customHeight="1" x14ac:dyDescent="0.25">
      <c r="B13" s="470">
        <v>45680.444444444445</v>
      </c>
      <c r="C13" s="263">
        <v>45680.625</v>
      </c>
      <c r="D13" s="264" cm="1">
        <f t="array" ref="D13">IFERROR(HorasUteisFabrica2Turnos(B13,C13), "")</f>
        <v>3.3333333333139308</v>
      </c>
      <c r="E13" s="265">
        <f t="shared" si="0"/>
        <v>259.20000000150873</v>
      </c>
      <c r="F13" s="265"/>
      <c r="G13" s="265"/>
      <c r="H13" s="265"/>
      <c r="I13" s="266" t="s">
        <v>143</v>
      </c>
      <c r="J13" s="267" t="s">
        <v>15</v>
      </c>
      <c r="K13" s="268">
        <v>864</v>
      </c>
      <c r="L13" s="269" t="s">
        <v>267</v>
      </c>
      <c r="M13" s="270" t="str">
        <f>IFERROR(INDEX([1]Produtos!$C:$C,MATCH(L13,[1]Produtos!$B:$B,0)), "-")</f>
        <v>ESFOLIANTE DEUSA DO NILO</v>
      </c>
      <c r="N13" s="510">
        <f>IFERROR(INDEX([1]Produtos!$E:$E,MATCH(L13,[1]Produtos!$B:$B,0)), "-")</f>
        <v>250</v>
      </c>
      <c r="O13" s="270" t="str">
        <f>IFERROR(INDEX([1]Produtos!$F:$F,MATCH(L13,[1]Produtos!$B:$B,0)), "-")</f>
        <v>g</v>
      </c>
      <c r="P13" s="270" t="str">
        <f>IFERROR(INDEX([1]Produtos!$G:$G,MATCH(L13,[1]Produtos!$B:$B,0)), "-")</f>
        <v>MISS RÔSE</v>
      </c>
      <c r="Q13" s="270" t="str">
        <f>IFERROR(INDEX([1]Produtos!$H:$H,MATCH(L13,[1]Produtos!$B:$B,0)), "-")</f>
        <v>CORPORAL</v>
      </c>
      <c r="R13" s="270" t="str">
        <f>IFERROR(INDEX([1]Produtos!$I:$I,MATCH(L13,[1]Produtos!$B:$B,0)), "-")</f>
        <v>ESFOLIANTE</v>
      </c>
      <c r="S13" s="270" t="str">
        <f>IFERROR(INDEX([1]Produtos!$J:$J,MATCH(L13,[1]Produtos!$B:$B,0)), "-")</f>
        <v>VISCOSO</v>
      </c>
      <c r="T13" s="473"/>
      <c r="U13" s="270"/>
      <c r="V13" s="270"/>
      <c r="W13" s="270"/>
      <c r="X13" s="270"/>
      <c r="Y13" s="270"/>
      <c r="Z13" s="270"/>
      <c r="AA13" s="270"/>
      <c r="AB13" s="270"/>
      <c r="AC13" s="270"/>
      <c r="AD13" s="270"/>
      <c r="AE13" s="270"/>
      <c r="AF13" s="270"/>
      <c r="AG13" s="270"/>
      <c r="AH13" s="270"/>
      <c r="AI13" s="270"/>
      <c r="AJ13" s="270"/>
      <c r="AK13" s="270"/>
      <c r="AL13" s="270"/>
      <c r="AM13" s="663"/>
      <c r="AN13" s="663"/>
      <c r="AO13" s="708" t="str">
        <f>IF(OR(Table1[[#This Row],[Início Setup Envase]]="",Table1[[#This Row],[Final Setup Envase]]=""),"",Table1[[#This Row],[Final Setup Envase]]-Table1[[#This Row],[Início Setup Envase]])</f>
        <v/>
      </c>
      <c r="AP13" s="663"/>
      <c r="AQ13" s="663"/>
      <c r="AR13" s="270"/>
      <c r="AS13" s="270"/>
      <c r="AT13" s="270"/>
      <c r="AU13" s="270"/>
      <c r="AV13" s="270"/>
      <c r="AW13" s="270"/>
      <c r="AX13" s="270"/>
      <c r="AY13" s="270"/>
      <c r="AZ13" s="270"/>
      <c r="BA13" s="270">
        <f>IF(Table1[[#This Row],[Data de Início]]="","",YEAR(Table1[[#This Row],[Data de Início]]))</f>
        <v>2025</v>
      </c>
      <c r="BB13" s="270">
        <f>IF(Table1[[#This Row],[Data de Início]]="","",MONTH(Table1[[#This Row],[Data de Início]]))</f>
        <v>1</v>
      </c>
      <c r="BC13" s="270"/>
    </row>
    <row r="14" spans="2:55" ht="15" customHeight="1" x14ac:dyDescent="0.25">
      <c r="B14" s="470">
        <v>45681.486111111109</v>
      </c>
      <c r="C14" s="263">
        <v>45681.513888888891</v>
      </c>
      <c r="D14" s="264" cm="1">
        <f t="array" ref="D14">IFERROR(HorasUteisFabrica2Turnos(B14,C14), "")</f>
        <v>0.66666666674427688</v>
      </c>
      <c r="E14" s="265">
        <f t="shared" si="0"/>
        <v>44.999999994761311</v>
      </c>
      <c r="F14" s="265"/>
      <c r="G14" s="265"/>
      <c r="H14" s="265"/>
      <c r="I14" s="266" t="s">
        <v>144</v>
      </c>
      <c r="J14" s="267" t="s">
        <v>15</v>
      </c>
      <c r="K14" s="268">
        <v>30</v>
      </c>
      <c r="L14" s="269" t="s">
        <v>145</v>
      </c>
      <c r="M14" s="270" t="str">
        <f>IFERROR(INDEX([1]Produtos!$C:$C,MATCH(L14,[1]Produtos!$B:$B,0)), "-")</f>
        <v>DESODORANTE ROLLON ALGODÃO</v>
      </c>
      <c r="N14" s="510" t="str">
        <f>IFERROR(INDEX([1]Produtos!$E:$E,MATCH(L14,[1]Produtos!$B:$B,0)), "-")</f>
        <v>-</v>
      </c>
      <c r="O14" s="270" t="str">
        <f>IFERROR(INDEX([1]Produtos!$F:$F,MATCH(L14,[1]Produtos!$B:$B,0)), "-")</f>
        <v>-</v>
      </c>
      <c r="P14" s="270" t="str">
        <f>IFERROR(INDEX([1]Produtos!$G:$G,MATCH(L14,[1]Produtos!$B:$B,0)), "-")</f>
        <v>-</v>
      </c>
      <c r="Q14" s="270" t="str">
        <f>IFERROR(INDEX([1]Produtos!$H:$H,MATCH(L14,[1]Produtos!$B:$B,0)), "-")</f>
        <v>CORPORAL</v>
      </c>
      <c r="R14" s="270" t="str">
        <f>IFERROR(INDEX([1]Produtos!$I:$I,MATCH(L14,[1]Produtos!$B:$B,0)), "-")</f>
        <v>DESODORANTE</v>
      </c>
      <c r="S14" s="270" t="str">
        <f>IFERROR(INDEX([1]Produtos!$J:$J,MATCH(L14,[1]Produtos!$B:$B,0)), "-")</f>
        <v>VISCOSO</v>
      </c>
      <c r="T14" s="473"/>
      <c r="U14" s="270"/>
      <c r="V14" s="270"/>
      <c r="W14" s="270"/>
      <c r="X14" s="270"/>
      <c r="Y14" s="270"/>
      <c r="Z14" s="270"/>
      <c r="AA14" s="270"/>
      <c r="AB14" s="270"/>
      <c r="AC14" s="270"/>
      <c r="AD14" s="270"/>
      <c r="AE14" s="270"/>
      <c r="AF14" s="270"/>
      <c r="AG14" s="270"/>
      <c r="AH14" s="270"/>
      <c r="AI14" s="270"/>
      <c r="AJ14" s="270"/>
      <c r="AK14" s="270"/>
      <c r="AL14" s="270"/>
      <c r="AM14" s="663"/>
      <c r="AN14" s="663"/>
      <c r="AO14" s="708" t="str">
        <f>IF(OR(Table1[[#This Row],[Início Setup Envase]]="",Table1[[#This Row],[Final Setup Envase]]=""),"",Table1[[#This Row],[Final Setup Envase]]-Table1[[#This Row],[Início Setup Envase]])</f>
        <v/>
      </c>
      <c r="AP14" s="663"/>
      <c r="AQ14" s="663"/>
      <c r="AR14" s="270"/>
      <c r="AS14" s="270"/>
      <c r="AT14" s="270"/>
      <c r="AU14" s="270"/>
      <c r="AV14" s="270"/>
      <c r="AW14" s="270"/>
      <c r="AX14" s="270"/>
      <c r="AY14" s="270"/>
      <c r="AZ14" s="270"/>
      <c r="BA14" s="270">
        <f>IF(Table1[[#This Row],[Data de Início]]="","",YEAR(Table1[[#This Row],[Data de Início]]))</f>
        <v>2025</v>
      </c>
      <c r="BB14" s="270">
        <f>IF(Table1[[#This Row],[Data de Início]]="","",MONTH(Table1[[#This Row],[Data de Início]]))</f>
        <v>1</v>
      </c>
      <c r="BC14" s="270"/>
    </row>
    <row r="15" spans="2:55" ht="15" customHeight="1" x14ac:dyDescent="0.25">
      <c r="B15" s="470">
        <v>45687.292361111111</v>
      </c>
      <c r="C15" s="263">
        <v>45687.625</v>
      </c>
      <c r="D15" s="264" cm="1">
        <f t="array" ref="D15">IFERROR(HorasUteisFabrica2Turnos(B15,C15), "")</f>
        <v>6.9833333333372138</v>
      </c>
      <c r="E15" s="265">
        <f t="shared" si="0"/>
        <v>1422.8162291161545</v>
      </c>
      <c r="F15" s="265"/>
      <c r="G15" s="265"/>
      <c r="H15" s="265"/>
      <c r="I15" s="269" t="s">
        <v>76</v>
      </c>
      <c r="J15" s="267" t="s">
        <v>15</v>
      </c>
      <c r="K15" s="268">
        <v>9936</v>
      </c>
      <c r="L15" s="269" t="s">
        <v>145</v>
      </c>
      <c r="M15" s="270" t="str">
        <f>IFERROR(INDEX([1]Produtos!$C:$C,MATCH(L15,[1]Produtos!$B:$B,0)), "-")</f>
        <v>DESODORANTE ROLLON ALGODÃO</v>
      </c>
      <c r="N15" s="510" t="str">
        <f>IFERROR(INDEX([1]Produtos!$E:$E,MATCH(L15,[1]Produtos!$B:$B,0)), "-")</f>
        <v>-</v>
      </c>
      <c r="O15" s="270" t="str">
        <f>IFERROR(INDEX([1]Produtos!$F:$F,MATCH(L15,[1]Produtos!$B:$B,0)), "-")</f>
        <v>-</v>
      </c>
      <c r="P15" s="270" t="str">
        <f>IFERROR(INDEX([1]Produtos!$G:$G,MATCH(L15,[1]Produtos!$B:$B,0)), "-")</f>
        <v>-</v>
      </c>
      <c r="Q15" s="270" t="str">
        <f>IFERROR(INDEX([1]Produtos!$H:$H,MATCH(L15,[1]Produtos!$B:$B,0)), "-")</f>
        <v>CORPORAL</v>
      </c>
      <c r="R15" s="270" t="str">
        <f>IFERROR(INDEX([1]Produtos!$I:$I,MATCH(L15,[1]Produtos!$B:$B,0)), "-")</f>
        <v>DESODORANTE</v>
      </c>
      <c r="S15" s="270" t="str">
        <f>IFERROR(INDEX([1]Produtos!$J:$J,MATCH(L15,[1]Produtos!$B:$B,0)), "-")</f>
        <v>VISCOSO</v>
      </c>
      <c r="T15" s="473"/>
      <c r="U15" s="270"/>
      <c r="V15" s="270"/>
      <c r="W15" s="270"/>
      <c r="X15" s="270"/>
      <c r="Y15" s="270"/>
      <c r="Z15" s="270"/>
      <c r="AA15" s="270"/>
      <c r="AB15" s="270"/>
      <c r="AC15" s="270"/>
      <c r="AD15" s="270"/>
      <c r="AE15" s="270"/>
      <c r="AF15" s="270"/>
      <c r="AG15" s="270"/>
      <c r="AH15" s="270"/>
      <c r="AI15" s="270"/>
      <c r="AJ15" s="270"/>
      <c r="AK15" s="270"/>
      <c r="AL15" s="270"/>
      <c r="AM15" s="663"/>
      <c r="AN15" s="663"/>
      <c r="AO15" s="708" t="str">
        <f>IF(OR(Table1[[#This Row],[Início Setup Envase]]="",Table1[[#This Row],[Final Setup Envase]]=""),"",Table1[[#This Row],[Final Setup Envase]]-Table1[[#This Row],[Início Setup Envase]])</f>
        <v/>
      </c>
      <c r="AP15" s="663"/>
      <c r="AQ15" s="663"/>
      <c r="AR15" s="270"/>
      <c r="AS15" s="270"/>
      <c r="AT15" s="270"/>
      <c r="AU15" s="270"/>
      <c r="AV15" s="270"/>
      <c r="AW15" s="270"/>
      <c r="AX15" s="270"/>
      <c r="AY15" s="270"/>
      <c r="AZ15" s="270"/>
      <c r="BA15" s="270">
        <f>IF(Table1[[#This Row],[Data de Início]]="","",YEAR(Table1[[#This Row],[Data de Início]]))</f>
        <v>2025</v>
      </c>
      <c r="BB15" s="270">
        <f>IF(Table1[[#This Row],[Data de Início]]="","",MONTH(Table1[[#This Row],[Data de Início]]))</f>
        <v>1</v>
      </c>
      <c r="BC15" s="270"/>
    </row>
    <row r="16" spans="2:55" ht="15" customHeight="1" x14ac:dyDescent="0.25">
      <c r="B16" s="470">
        <v>45688.291666666664</v>
      </c>
      <c r="C16" s="263">
        <v>45688.611805555556</v>
      </c>
      <c r="D16" s="264" cm="1">
        <f t="array" ref="D16">IFERROR(HorasUteisFabrica2Turnos(B16,C16), "")</f>
        <v>6.683333333407063</v>
      </c>
      <c r="E16" s="265">
        <f t="shared" si="0"/>
        <v>1497.4563590857247</v>
      </c>
      <c r="F16" s="265"/>
      <c r="G16" s="265"/>
      <c r="H16" s="265"/>
      <c r="I16" s="269" t="s">
        <v>75</v>
      </c>
      <c r="J16" s="267" t="s">
        <v>15</v>
      </c>
      <c r="K16" s="268">
        <v>10008</v>
      </c>
      <c r="L16" s="269" t="s">
        <v>145</v>
      </c>
      <c r="M16" s="270" t="str">
        <f>IFERROR(INDEX([1]Produtos!$C:$C,MATCH(L16,[1]Produtos!$B:$B,0)), "-")</f>
        <v>DESODORANTE ROLLON ALGODÃO</v>
      </c>
      <c r="N16" s="510" t="str">
        <f>IFERROR(INDEX([1]Produtos!$E:$E,MATCH(L16,[1]Produtos!$B:$B,0)), "-")</f>
        <v>-</v>
      </c>
      <c r="O16" s="270" t="str">
        <f>IFERROR(INDEX([1]Produtos!$F:$F,MATCH(L16,[1]Produtos!$B:$B,0)), "-")</f>
        <v>-</v>
      </c>
      <c r="P16" s="270" t="str">
        <f>IFERROR(INDEX([1]Produtos!$G:$G,MATCH(L16,[1]Produtos!$B:$B,0)), "-")</f>
        <v>-</v>
      </c>
      <c r="Q16" s="270" t="str">
        <f>IFERROR(INDEX([1]Produtos!$H:$H,MATCH(L16,[1]Produtos!$B:$B,0)), "-")</f>
        <v>CORPORAL</v>
      </c>
      <c r="R16" s="270" t="str">
        <f>IFERROR(INDEX([1]Produtos!$I:$I,MATCH(L16,[1]Produtos!$B:$B,0)), "-")</f>
        <v>DESODORANTE</v>
      </c>
      <c r="S16" s="270" t="str">
        <f>IFERROR(INDEX([1]Produtos!$J:$J,MATCH(L16,[1]Produtos!$B:$B,0)), "-")</f>
        <v>VISCOSO</v>
      </c>
      <c r="T16" s="473"/>
      <c r="U16" s="270"/>
      <c r="V16" s="270"/>
      <c r="W16" s="270"/>
      <c r="X16" s="270"/>
      <c r="Y16" s="270"/>
      <c r="Z16" s="270"/>
      <c r="AA16" s="270"/>
      <c r="AB16" s="270"/>
      <c r="AC16" s="270"/>
      <c r="AD16" s="270"/>
      <c r="AE16" s="270"/>
      <c r="AF16" s="270"/>
      <c r="AG16" s="270"/>
      <c r="AH16" s="270"/>
      <c r="AI16" s="270"/>
      <c r="AJ16" s="270"/>
      <c r="AK16" s="270"/>
      <c r="AL16" s="270"/>
      <c r="AM16" s="663"/>
      <c r="AN16" s="663"/>
      <c r="AO16" s="708" t="str">
        <f>IF(OR(Table1[[#This Row],[Início Setup Envase]]="",Table1[[#This Row],[Final Setup Envase]]=""),"",Table1[[#This Row],[Final Setup Envase]]-Table1[[#This Row],[Início Setup Envase]])</f>
        <v/>
      </c>
      <c r="AP16" s="663"/>
      <c r="AQ16" s="663"/>
      <c r="AR16" s="270"/>
      <c r="AS16" s="270"/>
      <c r="AT16" s="270"/>
      <c r="AU16" s="270"/>
      <c r="AV16" s="270"/>
      <c r="AW16" s="270"/>
      <c r="AX16" s="270"/>
      <c r="AY16" s="270"/>
      <c r="AZ16" s="270"/>
      <c r="BA16" s="270">
        <f>IF(Table1[[#This Row],[Data de Início]]="","",YEAR(Table1[[#This Row],[Data de Início]]))</f>
        <v>2025</v>
      </c>
      <c r="BB16" s="270">
        <f>IF(Table1[[#This Row],[Data de Início]]="","",MONTH(Table1[[#This Row],[Data de Início]]))</f>
        <v>1</v>
      </c>
      <c r="BC16" s="270"/>
    </row>
    <row r="17" spans="2:55" ht="15" customHeight="1" x14ac:dyDescent="0.25">
      <c r="B17" s="470">
        <v>45721.429861111108</v>
      </c>
      <c r="C17" s="263">
        <v>45721.475694444445</v>
      </c>
      <c r="D17" s="264" cm="1">
        <f t="array" ref="D17">IFERROR(HorasUteisFabrica2Turnos(B17,C17), "")</f>
        <v>1.1000000000931323</v>
      </c>
      <c r="E17" s="265">
        <f t="shared" si="0"/>
        <v>920.90909083112149</v>
      </c>
      <c r="F17" s="265"/>
      <c r="G17" s="265"/>
      <c r="H17" s="265"/>
      <c r="I17" s="269" t="s">
        <v>55</v>
      </c>
      <c r="J17" s="267" t="s">
        <v>15</v>
      </c>
      <c r="K17" s="269">
        <v>1013</v>
      </c>
      <c r="L17" s="269" t="s">
        <v>261</v>
      </c>
      <c r="M17" s="270" t="str">
        <f>IFERROR(INDEX([1]Produtos!$C:$C,MATCH(L17,[1]Produtos!$B:$B,0)), "-")</f>
        <v>COLÔNIA KIDS VERMELHO</v>
      </c>
      <c r="N17" s="510">
        <f>IFERROR(INDEX([1]Produtos!$E:$E,MATCH(L17,[1]Produtos!$B:$B,0)), "-")</f>
        <v>40</v>
      </c>
      <c r="O17" s="270" t="str">
        <f>IFERROR(INDEX([1]Produtos!$F:$F,MATCH(L17,[1]Produtos!$B:$B,0)), "-")</f>
        <v>ml</v>
      </c>
      <c r="P17" s="270" t="str">
        <f>IFERROR(INDEX([1]Produtos!$G:$G,MATCH(L17,[1]Produtos!$B:$B,0)), "-")</f>
        <v>BE MAGIC</v>
      </c>
      <c r="Q17" s="270" t="str">
        <f>IFERROR(INDEX([1]Produtos!$H:$H,MATCH(L17,[1]Produtos!$B:$B,0)), "-")</f>
        <v>PERFUMARIA</v>
      </c>
      <c r="R17" s="270" t="str">
        <f>IFERROR(INDEX([1]Produtos!$I:$I,MATCH(L17,[1]Produtos!$B:$B,0)), "-")</f>
        <v>COLÔNIA</v>
      </c>
      <c r="S17" s="270" t="str">
        <f>IFERROR(INDEX([1]Produtos!$J:$J,MATCH(L17,[1]Produtos!$B:$B,0)), "-")</f>
        <v>LÍQUIDO</v>
      </c>
      <c r="T17" s="473"/>
      <c r="U17" s="270"/>
      <c r="V17" s="270"/>
      <c r="W17" s="270"/>
      <c r="X17" s="270"/>
      <c r="Y17" s="270"/>
      <c r="Z17" s="270"/>
      <c r="AA17" s="270"/>
      <c r="AB17" s="270"/>
      <c r="AC17" s="270"/>
      <c r="AD17" s="270"/>
      <c r="AE17" s="270"/>
      <c r="AF17" s="270"/>
      <c r="AG17" s="270"/>
      <c r="AH17" s="270"/>
      <c r="AI17" s="270"/>
      <c r="AJ17" s="270"/>
      <c r="AK17" s="270"/>
      <c r="AL17" s="270"/>
      <c r="AM17" s="663"/>
      <c r="AN17" s="663"/>
      <c r="AO17" s="708" t="str">
        <f>IF(OR(Table1[[#This Row],[Início Setup Envase]]="",Table1[[#This Row],[Final Setup Envase]]=""),"",Table1[[#This Row],[Final Setup Envase]]-Table1[[#This Row],[Início Setup Envase]])</f>
        <v/>
      </c>
      <c r="AP17" s="663"/>
      <c r="AQ17" s="663"/>
      <c r="AR17" s="270"/>
      <c r="AS17" s="270"/>
      <c r="AT17" s="270"/>
      <c r="AU17" s="270"/>
      <c r="AV17" s="270"/>
      <c r="AW17" s="270"/>
      <c r="AX17" s="270"/>
      <c r="AY17" s="270"/>
      <c r="AZ17" s="270"/>
      <c r="BA17" s="270">
        <f>IF(Table1[[#This Row],[Data de Início]]="","",YEAR(Table1[[#This Row],[Data de Início]]))</f>
        <v>2025</v>
      </c>
      <c r="BB17" s="270">
        <f>IF(Table1[[#This Row],[Data de Início]]="","",MONTH(Table1[[#This Row],[Data de Início]]))</f>
        <v>3</v>
      </c>
      <c r="BC17" s="270"/>
    </row>
    <row r="18" spans="2:55" ht="15" customHeight="1" x14ac:dyDescent="0.25">
      <c r="B18" s="470">
        <v>45721.476388888892</v>
      </c>
      <c r="C18" s="263">
        <v>45721.574305555558</v>
      </c>
      <c r="D18" s="264" cm="1">
        <f t="array" ref="D18">IFERROR(HorasUteisFabrica2Turnos(B18,C18), "")</f>
        <v>1.3499999999767169</v>
      </c>
      <c r="E18" s="265">
        <f t="shared" si="0"/>
        <v>751.11111112406536</v>
      </c>
      <c r="F18" s="265"/>
      <c r="G18" s="265"/>
      <c r="H18" s="265"/>
      <c r="I18" s="269" t="s">
        <v>56</v>
      </c>
      <c r="J18" s="267" t="s">
        <v>15</v>
      </c>
      <c r="K18" s="269">
        <v>1014</v>
      </c>
      <c r="L18" s="269" t="s">
        <v>257</v>
      </c>
      <c r="M18" s="270" t="str">
        <f>IFERROR(INDEX([1]Produtos!$C:$C,MATCH(L18,[1]Produtos!$B:$B,0)), "-")</f>
        <v>COLÔNIA KIDS AMARELO</v>
      </c>
      <c r="N18" s="510">
        <f>IFERROR(INDEX([1]Produtos!$E:$E,MATCH(L18,[1]Produtos!$B:$B,0)), "-")</f>
        <v>40</v>
      </c>
      <c r="O18" s="270" t="str">
        <f>IFERROR(INDEX([1]Produtos!$F:$F,MATCH(L18,[1]Produtos!$B:$B,0)), "-")</f>
        <v>ml</v>
      </c>
      <c r="P18" s="270" t="str">
        <f>IFERROR(INDEX([1]Produtos!$G:$G,MATCH(L18,[1]Produtos!$B:$B,0)), "-")</f>
        <v>BE MAGIC</v>
      </c>
      <c r="Q18" s="270" t="str">
        <f>IFERROR(INDEX([1]Produtos!$H:$H,MATCH(L18,[1]Produtos!$B:$B,0)), "-")</f>
        <v>PERFUMARIA</v>
      </c>
      <c r="R18" s="270" t="str">
        <f>IFERROR(INDEX([1]Produtos!$I:$I,MATCH(L18,[1]Produtos!$B:$B,0)), "-")</f>
        <v>COLÔNIA</v>
      </c>
      <c r="S18" s="270" t="str">
        <f>IFERROR(INDEX([1]Produtos!$J:$J,MATCH(L18,[1]Produtos!$B:$B,0)), "-")</f>
        <v>LÍQUIDO</v>
      </c>
      <c r="T18" s="473"/>
      <c r="U18" s="270"/>
      <c r="V18" s="270"/>
      <c r="W18" s="270"/>
      <c r="X18" s="270"/>
      <c r="Y18" s="270"/>
      <c r="Z18" s="270"/>
      <c r="AA18" s="270"/>
      <c r="AB18" s="270"/>
      <c r="AC18" s="270"/>
      <c r="AD18" s="270"/>
      <c r="AE18" s="270"/>
      <c r="AF18" s="270"/>
      <c r="AG18" s="270"/>
      <c r="AH18" s="270"/>
      <c r="AI18" s="270"/>
      <c r="AJ18" s="270"/>
      <c r="AK18" s="270"/>
      <c r="AL18" s="270"/>
      <c r="AM18" s="663"/>
      <c r="AN18" s="663"/>
      <c r="AO18" s="708" t="str">
        <f>IF(OR(Table1[[#This Row],[Início Setup Envase]]="",Table1[[#This Row],[Final Setup Envase]]=""),"",Table1[[#This Row],[Final Setup Envase]]-Table1[[#This Row],[Início Setup Envase]])</f>
        <v/>
      </c>
      <c r="AP18" s="663"/>
      <c r="AQ18" s="663"/>
      <c r="AR18" s="270"/>
      <c r="AS18" s="270"/>
      <c r="AT18" s="270"/>
      <c r="AU18" s="270"/>
      <c r="AV18" s="270"/>
      <c r="AW18" s="270"/>
      <c r="AX18" s="270"/>
      <c r="AY18" s="270"/>
      <c r="AZ18" s="270"/>
      <c r="BA18" s="270">
        <f>IF(Table1[[#This Row],[Data de Início]]="","",YEAR(Table1[[#This Row],[Data de Início]]))</f>
        <v>2025</v>
      </c>
      <c r="BB18" s="270">
        <f>IF(Table1[[#This Row],[Data de Início]]="","",MONTH(Table1[[#This Row],[Data de Início]]))</f>
        <v>3</v>
      </c>
      <c r="BC18" s="270"/>
    </row>
    <row r="19" spans="2:55" ht="15" customHeight="1" x14ac:dyDescent="0.25">
      <c r="B19" s="470">
        <v>45721.574305555558</v>
      </c>
      <c r="C19" s="263">
        <v>45721.613194444442</v>
      </c>
      <c r="D19" s="264" cm="1">
        <f t="array" ref="D19">IFERROR(HorasUteisFabrica2Turnos(B19,C19), "")</f>
        <v>0.93333333323244005</v>
      </c>
      <c r="E19" s="265">
        <f t="shared" si="0"/>
        <v>1085.35714297447</v>
      </c>
      <c r="F19" s="265"/>
      <c r="G19" s="265"/>
      <c r="H19" s="265"/>
      <c r="I19" s="269" t="s">
        <v>53</v>
      </c>
      <c r="J19" s="267" t="s">
        <v>15</v>
      </c>
      <c r="K19" s="269">
        <v>1013</v>
      </c>
      <c r="L19" s="269" t="s">
        <v>258</v>
      </c>
      <c r="M19" s="270" t="str">
        <f>IFERROR(INDEX([1]Produtos!$C:$C,MATCH(L19,[1]Produtos!$B:$B,0)), "-")</f>
        <v>COLÔNIA KIDS ROSA</v>
      </c>
      <c r="N19" s="510">
        <f>IFERROR(INDEX([1]Produtos!$E:$E,MATCH(L19,[1]Produtos!$B:$B,0)), "-")</f>
        <v>40</v>
      </c>
      <c r="O19" s="270" t="str">
        <f>IFERROR(INDEX([1]Produtos!$F:$F,MATCH(L19,[1]Produtos!$B:$B,0)), "-")</f>
        <v>ml</v>
      </c>
      <c r="P19" s="270" t="str">
        <f>IFERROR(INDEX([1]Produtos!$G:$G,MATCH(L19,[1]Produtos!$B:$B,0)), "-")</f>
        <v>BE MAGIC</v>
      </c>
      <c r="Q19" s="270" t="str">
        <f>IFERROR(INDEX([1]Produtos!$H:$H,MATCH(L19,[1]Produtos!$B:$B,0)), "-")</f>
        <v>PERFUMARIA</v>
      </c>
      <c r="R19" s="270" t="str">
        <f>IFERROR(INDEX([1]Produtos!$I:$I,MATCH(L19,[1]Produtos!$B:$B,0)), "-")</f>
        <v>COLÔNIA</v>
      </c>
      <c r="S19" s="270" t="str">
        <f>IFERROR(INDEX([1]Produtos!$J:$J,MATCH(L19,[1]Produtos!$B:$B,0)), "-")</f>
        <v>LÍQUIDO</v>
      </c>
      <c r="T19" s="473"/>
      <c r="U19" s="270"/>
      <c r="V19" s="270"/>
      <c r="W19" s="270"/>
      <c r="X19" s="270"/>
      <c r="Y19" s="270"/>
      <c r="Z19" s="270"/>
      <c r="AA19" s="270"/>
      <c r="AB19" s="270"/>
      <c r="AC19" s="270"/>
      <c r="AD19" s="270"/>
      <c r="AE19" s="270"/>
      <c r="AF19" s="270"/>
      <c r="AG19" s="270"/>
      <c r="AH19" s="270"/>
      <c r="AI19" s="270"/>
      <c r="AJ19" s="270"/>
      <c r="AK19" s="270"/>
      <c r="AL19" s="270"/>
      <c r="AM19" s="663"/>
      <c r="AN19" s="663"/>
      <c r="AO19" s="708" t="str">
        <f>IF(OR(Table1[[#This Row],[Início Setup Envase]]="",Table1[[#This Row],[Final Setup Envase]]=""),"",Table1[[#This Row],[Final Setup Envase]]-Table1[[#This Row],[Início Setup Envase]])</f>
        <v/>
      </c>
      <c r="AP19" s="663"/>
      <c r="AQ19" s="663"/>
      <c r="AR19" s="270"/>
      <c r="AS19" s="270"/>
      <c r="AT19" s="270"/>
      <c r="AU19" s="270"/>
      <c r="AV19" s="270"/>
      <c r="AW19" s="270"/>
      <c r="AX19" s="270"/>
      <c r="AY19" s="270"/>
      <c r="AZ19" s="270"/>
      <c r="BA19" s="270">
        <f>IF(Table1[[#This Row],[Data de Início]]="","",YEAR(Table1[[#This Row],[Data de Início]]))</f>
        <v>2025</v>
      </c>
      <c r="BB19" s="270">
        <f>IF(Table1[[#This Row],[Data de Início]]="","",MONTH(Table1[[#This Row],[Data de Início]]))</f>
        <v>3</v>
      </c>
      <c r="BC19" s="270"/>
    </row>
    <row r="20" spans="2:55" ht="15" customHeight="1" x14ac:dyDescent="0.25">
      <c r="B20" s="470">
        <v>45721.615972222222</v>
      </c>
      <c r="C20" s="263">
        <v>45721.665972222225</v>
      </c>
      <c r="D20" s="264" cm="1">
        <f t="array" ref="D20">IFERROR(HorasUteisFabrica2Turnos(B20,C20), "")</f>
        <v>1.2000000000698492</v>
      </c>
      <c r="E20" s="265">
        <f t="shared" si="0"/>
        <v>847.49999995066901</v>
      </c>
      <c r="F20" s="265"/>
      <c r="G20" s="265"/>
      <c r="H20" s="265"/>
      <c r="I20" s="269" t="s">
        <v>54</v>
      </c>
      <c r="J20" s="267" t="s">
        <v>15</v>
      </c>
      <c r="K20" s="269">
        <v>1017</v>
      </c>
      <c r="L20" s="269" t="s">
        <v>260</v>
      </c>
      <c r="M20" s="270" t="str">
        <f>IFERROR(INDEX([1]Produtos!$C:$C,MATCH(L20,[1]Produtos!$B:$B,0)), "-")</f>
        <v>COLÔNIA KIDS ROXO</v>
      </c>
      <c r="N20" s="510">
        <f>IFERROR(INDEX([1]Produtos!$E:$E,MATCH(L20,[1]Produtos!$B:$B,0)), "-")</f>
        <v>40</v>
      </c>
      <c r="O20" s="270" t="str">
        <f>IFERROR(INDEX([1]Produtos!$F:$F,MATCH(L20,[1]Produtos!$B:$B,0)), "-")</f>
        <v>ml</v>
      </c>
      <c r="P20" s="270" t="str">
        <f>IFERROR(INDEX([1]Produtos!$G:$G,MATCH(L20,[1]Produtos!$B:$B,0)), "-")</f>
        <v>BE MAGIC</v>
      </c>
      <c r="Q20" s="270" t="str">
        <f>IFERROR(INDEX([1]Produtos!$H:$H,MATCH(L20,[1]Produtos!$B:$B,0)), "-")</f>
        <v>PERFUMARIA</v>
      </c>
      <c r="R20" s="270" t="str">
        <f>IFERROR(INDEX([1]Produtos!$I:$I,MATCH(L20,[1]Produtos!$B:$B,0)), "-")</f>
        <v>COLÔNIA</v>
      </c>
      <c r="S20" s="270" t="str">
        <f>IFERROR(INDEX([1]Produtos!$J:$J,MATCH(L20,[1]Produtos!$B:$B,0)), "-")</f>
        <v>LÍQUIDO</v>
      </c>
      <c r="T20" s="473"/>
      <c r="U20" s="270"/>
      <c r="V20" s="270"/>
      <c r="W20" s="270"/>
      <c r="X20" s="270"/>
      <c r="Y20" s="270"/>
      <c r="Z20" s="270"/>
      <c r="AA20" s="270"/>
      <c r="AB20" s="270"/>
      <c r="AC20" s="270"/>
      <c r="AD20" s="270"/>
      <c r="AE20" s="270"/>
      <c r="AF20" s="270"/>
      <c r="AG20" s="270"/>
      <c r="AH20" s="270"/>
      <c r="AI20" s="270"/>
      <c r="AJ20" s="270"/>
      <c r="AK20" s="270"/>
      <c r="AL20" s="270"/>
      <c r="AM20" s="663"/>
      <c r="AN20" s="663"/>
      <c r="AO20" s="708" t="str">
        <f>IF(OR(Table1[[#This Row],[Início Setup Envase]]="",Table1[[#This Row],[Final Setup Envase]]=""),"",Table1[[#This Row],[Final Setup Envase]]-Table1[[#This Row],[Início Setup Envase]])</f>
        <v/>
      </c>
      <c r="AP20" s="663"/>
      <c r="AQ20" s="663"/>
      <c r="AR20" s="270"/>
      <c r="AS20" s="270"/>
      <c r="AT20" s="270"/>
      <c r="AU20" s="270"/>
      <c r="AV20" s="270"/>
      <c r="AW20" s="270"/>
      <c r="AX20" s="270"/>
      <c r="AY20" s="270"/>
      <c r="AZ20" s="270"/>
      <c r="BA20" s="270">
        <f>IF(Table1[[#This Row],[Data de Início]]="","",YEAR(Table1[[#This Row],[Data de Início]]))</f>
        <v>2025</v>
      </c>
      <c r="BB20" s="270">
        <f>IF(Table1[[#This Row],[Data de Início]]="","",MONTH(Table1[[#This Row],[Data de Início]]))</f>
        <v>3</v>
      </c>
      <c r="BC20" s="270"/>
    </row>
    <row r="21" spans="2:55" ht="15" customHeight="1" x14ac:dyDescent="0.25">
      <c r="B21" s="470">
        <v>45721.625</v>
      </c>
      <c r="C21" s="263">
        <v>45721.6875</v>
      </c>
      <c r="D21" s="264" cm="1">
        <f t="array" ref="D21">IFERROR(HorasUteisFabrica2Turnos(B21,C21), "")</f>
        <v>1.5</v>
      </c>
      <c r="E21" s="265">
        <f t="shared" si="0"/>
        <v>675.33333333333337</v>
      </c>
      <c r="F21" s="265"/>
      <c r="G21" s="265"/>
      <c r="H21" s="265"/>
      <c r="I21" s="269" t="s">
        <v>61</v>
      </c>
      <c r="J21" s="267" t="s">
        <v>15</v>
      </c>
      <c r="K21" s="269">
        <v>1013</v>
      </c>
      <c r="L21" s="269" t="s">
        <v>262</v>
      </c>
      <c r="M21" s="270" t="str">
        <f>IFERROR(INDEX([1]Produtos!$C:$C,MATCH(L21,[1]Produtos!$B:$B,0)), "-")</f>
        <v>CREME HIDRATANTE VERMELHO</v>
      </c>
      <c r="N21" s="510">
        <f>IFERROR(INDEX([1]Produtos!$E:$E,MATCH(L21,[1]Produtos!$B:$B,0)), "-")</f>
        <v>30</v>
      </c>
      <c r="O21" s="270" t="str">
        <f>IFERROR(INDEX([1]Produtos!$F:$F,MATCH(L21,[1]Produtos!$B:$B,0)), "-")</f>
        <v>ml</v>
      </c>
      <c r="P21" s="270" t="str">
        <f>IFERROR(INDEX([1]Produtos!$G:$G,MATCH(L21,[1]Produtos!$B:$B,0)), "-")</f>
        <v>BE MAGIC</v>
      </c>
      <c r="Q21" s="270" t="str">
        <f>IFERROR(INDEX([1]Produtos!$H:$H,MATCH(L21,[1]Produtos!$B:$B,0)), "-")</f>
        <v>CORPORAL</v>
      </c>
      <c r="R21" s="270" t="str">
        <f>IFERROR(INDEX([1]Produtos!$I:$I,MATCH(L21,[1]Produtos!$B:$B,0)), "-")</f>
        <v>CREME HIDRATANTE</v>
      </c>
      <c r="S21" s="270" t="str">
        <f>IFERROR(INDEX([1]Produtos!$J:$J,MATCH(L21,[1]Produtos!$B:$B,0)), "-")</f>
        <v>CREMOSO</v>
      </c>
      <c r="T21" s="473"/>
      <c r="U21" s="270"/>
      <c r="V21" s="270"/>
      <c r="W21" s="270"/>
      <c r="X21" s="270"/>
      <c r="Y21" s="270"/>
      <c r="Z21" s="270"/>
      <c r="AA21" s="270"/>
      <c r="AB21" s="270"/>
      <c r="AC21" s="270"/>
      <c r="AD21" s="270"/>
      <c r="AE21" s="270"/>
      <c r="AF21" s="270"/>
      <c r="AG21" s="270"/>
      <c r="AH21" s="270"/>
      <c r="AI21" s="270"/>
      <c r="AJ21" s="270"/>
      <c r="AK21" s="270"/>
      <c r="AL21" s="270"/>
      <c r="AM21" s="663"/>
      <c r="AN21" s="663"/>
      <c r="AO21" s="708" t="str">
        <f>IF(OR(Table1[[#This Row],[Início Setup Envase]]="",Table1[[#This Row],[Final Setup Envase]]=""),"",Table1[[#This Row],[Final Setup Envase]]-Table1[[#This Row],[Início Setup Envase]])</f>
        <v/>
      </c>
      <c r="AP21" s="663"/>
      <c r="AQ21" s="663"/>
      <c r="AR21" s="270"/>
      <c r="AS21" s="270"/>
      <c r="AT21" s="270"/>
      <c r="AU21" s="270"/>
      <c r="AV21" s="270"/>
      <c r="AW21" s="270"/>
      <c r="AX21" s="270"/>
      <c r="AY21" s="270"/>
      <c r="AZ21" s="270"/>
      <c r="BA21" s="270">
        <f>IF(Table1[[#This Row],[Data de Início]]="","",YEAR(Table1[[#This Row],[Data de Início]]))</f>
        <v>2025</v>
      </c>
      <c r="BB21" s="270">
        <f>IF(Table1[[#This Row],[Data de Início]]="","",MONTH(Table1[[#This Row],[Data de Início]]))</f>
        <v>3</v>
      </c>
      <c r="BC21" s="270"/>
    </row>
    <row r="22" spans="2:55" ht="15" customHeight="1" x14ac:dyDescent="0.25">
      <c r="B22" s="470">
        <v>45721.693055555559</v>
      </c>
      <c r="C22" s="263">
        <v>45722.354166666664</v>
      </c>
      <c r="D22" s="264" cm="1">
        <f t="array" ref="D22">IFERROR(HorasUteisFabrica2Turnos(B22,C22), "")</f>
        <v>1.8666666666395031</v>
      </c>
      <c r="E22" s="265">
        <f t="shared" si="0"/>
        <v>543.21428572219054</v>
      </c>
      <c r="F22" s="265"/>
      <c r="G22" s="265"/>
      <c r="H22" s="265"/>
      <c r="I22" s="269" t="s">
        <v>58</v>
      </c>
      <c r="J22" s="267" t="s">
        <v>15</v>
      </c>
      <c r="K22" s="269">
        <v>1014</v>
      </c>
      <c r="L22" s="269" t="s">
        <v>264</v>
      </c>
      <c r="M22" s="270" t="str">
        <f>IFERROR(INDEX([1]Produtos!$C:$C,MATCH(L22,[1]Produtos!$B:$B,0)), "-")</f>
        <v>CREME HIDRATANTE ROSA</v>
      </c>
      <c r="N22" s="510">
        <f>IFERROR(INDEX([1]Produtos!$E:$E,MATCH(L22,[1]Produtos!$B:$B,0)), "-")</f>
        <v>30</v>
      </c>
      <c r="O22" s="270" t="str">
        <f>IFERROR(INDEX([1]Produtos!$F:$F,MATCH(L22,[1]Produtos!$B:$B,0)), "-")</f>
        <v>ml</v>
      </c>
      <c r="P22" s="270" t="str">
        <f>IFERROR(INDEX([1]Produtos!$G:$G,MATCH(L22,[1]Produtos!$B:$B,0)), "-")</f>
        <v>BE MAGIC</v>
      </c>
      <c r="Q22" s="270" t="str">
        <f>IFERROR(INDEX([1]Produtos!$H:$H,MATCH(L22,[1]Produtos!$B:$B,0)), "-")</f>
        <v>CORPORAL</v>
      </c>
      <c r="R22" s="270" t="str">
        <f>IFERROR(INDEX([1]Produtos!$I:$I,MATCH(L22,[1]Produtos!$B:$B,0)), "-")</f>
        <v>CREME HIDRATANTE</v>
      </c>
      <c r="S22" s="270" t="str">
        <f>IFERROR(INDEX([1]Produtos!$J:$J,MATCH(L22,[1]Produtos!$B:$B,0)), "-")</f>
        <v>CREMOSO</v>
      </c>
      <c r="T22" s="473"/>
      <c r="U22" s="270"/>
      <c r="V22" s="270"/>
      <c r="W22" s="270"/>
      <c r="X22" s="270"/>
      <c r="Y22" s="270"/>
      <c r="Z22" s="270"/>
      <c r="AA22" s="270"/>
      <c r="AB22" s="270"/>
      <c r="AC22" s="270"/>
      <c r="AD22" s="270"/>
      <c r="AE22" s="270"/>
      <c r="AF22" s="270"/>
      <c r="AG22" s="270"/>
      <c r="AH22" s="270"/>
      <c r="AI22" s="270"/>
      <c r="AJ22" s="270"/>
      <c r="AK22" s="270"/>
      <c r="AL22" s="270"/>
      <c r="AM22" s="663"/>
      <c r="AN22" s="663"/>
      <c r="AO22" s="708" t="str">
        <f>IF(OR(Table1[[#This Row],[Início Setup Envase]]="",Table1[[#This Row],[Final Setup Envase]]=""),"",Table1[[#This Row],[Final Setup Envase]]-Table1[[#This Row],[Início Setup Envase]])</f>
        <v/>
      </c>
      <c r="AP22" s="663"/>
      <c r="AQ22" s="663"/>
      <c r="AR22" s="270"/>
      <c r="AS22" s="270"/>
      <c r="AT22" s="270"/>
      <c r="AU22" s="270"/>
      <c r="AV22" s="270"/>
      <c r="AW22" s="270"/>
      <c r="AX22" s="270"/>
      <c r="AY22" s="270"/>
      <c r="AZ22" s="270"/>
      <c r="BA22" s="270">
        <f>IF(Table1[[#This Row],[Data de Início]]="","",YEAR(Table1[[#This Row],[Data de Início]]))</f>
        <v>2025</v>
      </c>
      <c r="BB22" s="270">
        <f>IF(Table1[[#This Row],[Data de Início]]="","",MONTH(Table1[[#This Row],[Data de Início]]))</f>
        <v>3</v>
      </c>
      <c r="BC22" s="270"/>
    </row>
    <row r="23" spans="2:55" ht="15" customHeight="1" x14ac:dyDescent="0.25">
      <c r="B23" s="470">
        <v>45722.416666666664</v>
      </c>
      <c r="C23" s="263">
        <v>45722.479166666664</v>
      </c>
      <c r="D23" s="264" cm="1">
        <f t="array" ref="D23">IFERROR(HorasUteisFabrica2Turnos(B23,C23), "")</f>
        <v>1.5</v>
      </c>
      <c r="E23" s="265">
        <f t="shared" si="0"/>
        <v>668</v>
      </c>
      <c r="F23" s="265"/>
      <c r="G23" s="265"/>
      <c r="H23" s="265"/>
      <c r="I23" s="266" t="s">
        <v>63</v>
      </c>
      <c r="J23" s="267" t="s">
        <v>15</v>
      </c>
      <c r="K23" s="268">
        <v>1002</v>
      </c>
      <c r="L23" s="269" t="s">
        <v>145</v>
      </c>
      <c r="M23" s="270" t="str">
        <f>IFERROR(INDEX([1]Produtos!$C:$C,MATCH(L23,[1]Produtos!$B:$B,0)), "-")</f>
        <v>DESODORANTE ROLLON ALGODÃO</v>
      </c>
      <c r="N23" s="510" t="str">
        <f>IFERROR(INDEX([1]Produtos!$E:$E,MATCH(L23,[1]Produtos!$B:$B,0)), "-")</f>
        <v>-</v>
      </c>
      <c r="O23" s="270" t="str">
        <f>IFERROR(INDEX([1]Produtos!$F:$F,MATCH(L23,[1]Produtos!$B:$B,0)), "-")</f>
        <v>-</v>
      </c>
      <c r="P23" s="270" t="str">
        <f>IFERROR(INDEX([1]Produtos!$G:$G,MATCH(L23,[1]Produtos!$B:$B,0)), "-")</f>
        <v>-</v>
      </c>
      <c r="Q23" s="270" t="str">
        <f>IFERROR(INDEX([1]Produtos!$H:$H,MATCH(L23,[1]Produtos!$B:$B,0)), "-")</f>
        <v>CORPORAL</v>
      </c>
      <c r="R23" s="270" t="str">
        <f>IFERROR(INDEX([1]Produtos!$I:$I,MATCH(L23,[1]Produtos!$B:$B,0)), "-")</f>
        <v>DESODORANTE</v>
      </c>
      <c r="S23" s="270" t="str">
        <f>IFERROR(INDEX([1]Produtos!$J:$J,MATCH(L23,[1]Produtos!$B:$B,0)), "-")</f>
        <v>VISCOSO</v>
      </c>
      <c r="T23" s="473"/>
      <c r="U23" s="270"/>
      <c r="V23" s="270"/>
      <c r="W23" s="270"/>
      <c r="X23" s="270"/>
      <c r="Y23" s="270"/>
      <c r="Z23" s="270"/>
      <c r="AA23" s="270"/>
      <c r="AB23" s="270"/>
      <c r="AC23" s="270"/>
      <c r="AD23" s="270"/>
      <c r="AE23" s="270"/>
      <c r="AF23" s="270"/>
      <c r="AG23" s="270"/>
      <c r="AH23" s="270"/>
      <c r="AI23" s="270"/>
      <c r="AJ23" s="270"/>
      <c r="AK23" s="270"/>
      <c r="AL23" s="270"/>
      <c r="AM23" s="663"/>
      <c r="AN23" s="663"/>
      <c r="AO23" s="708" t="str">
        <f>IF(OR(Table1[[#This Row],[Início Setup Envase]]="",Table1[[#This Row],[Final Setup Envase]]=""),"",Table1[[#This Row],[Final Setup Envase]]-Table1[[#This Row],[Início Setup Envase]])</f>
        <v/>
      </c>
      <c r="AP23" s="663"/>
      <c r="AQ23" s="663"/>
      <c r="AR23" s="270"/>
      <c r="AS23" s="270"/>
      <c r="AT23" s="270"/>
      <c r="AU23" s="270"/>
      <c r="AV23" s="270"/>
      <c r="AW23" s="270"/>
      <c r="AX23" s="270"/>
      <c r="AY23" s="270"/>
      <c r="AZ23" s="270"/>
      <c r="BA23" s="270">
        <f>IF(Table1[[#This Row],[Data de Início]]="","",YEAR(Table1[[#This Row],[Data de Início]]))</f>
        <v>2025</v>
      </c>
      <c r="BB23" s="270">
        <f>IF(Table1[[#This Row],[Data de Início]]="","",MONTH(Table1[[#This Row],[Data de Início]]))</f>
        <v>3</v>
      </c>
      <c r="BC23" s="270"/>
    </row>
    <row r="24" spans="2:55" ht="15" customHeight="1" x14ac:dyDescent="0.25">
      <c r="B24" s="470">
        <v>45722.4375</v>
      </c>
      <c r="C24" s="263">
        <v>45722.46597222222</v>
      </c>
      <c r="D24" s="264" cm="1">
        <f t="array" ref="D24">IFERROR(HorasUteisFabrica2Turnos(B24,C24), "")</f>
        <v>0.68333333329064772</v>
      </c>
      <c r="E24" s="265">
        <f t="shared" si="0"/>
        <v>1463.4146342377562</v>
      </c>
      <c r="F24" s="265"/>
      <c r="G24" s="265"/>
      <c r="H24" s="265"/>
      <c r="I24" s="266" t="s">
        <v>64</v>
      </c>
      <c r="J24" s="267" t="s">
        <v>15</v>
      </c>
      <c r="K24" s="268">
        <v>1000</v>
      </c>
      <c r="L24" s="269" t="s">
        <v>145</v>
      </c>
      <c r="M24" s="270" t="str">
        <f>IFERROR(INDEX([1]Produtos!$C:$C,MATCH(L24,[1]Produtos!$B:$B,0)), "-")</f>
        <v>DESODORANTE ROLLON ALGODÃO</v>
      </c>
      <c r="N24" s="510" t="str">
        <f>IFERROR(INDEX([1]Produtos!$E:$E,MATCH(L24,[1]Produtos!$B:$B,0)), "-")</f>
        <v>-</v>
      </c>
      <c r="O24" s="270" t="str">
        <f>IFERROR(INDEX([1]Produtos!$F:$F,MATCH(L24,[1]Produtos!$B:$B,0)), "-")</f>
        <v>-</v>
      </c>
      <c r="P24" s="270" t="str">
        <f>IFERROR(INDEX([1]Produtos!$G:$G,MATCH(L24,[1]Produtos!$B:$B,0)), "-")</f>
        <v>-</v>
      </c>
      <c r="Q24" s="270" t="str">
        <f>IFERROR(INDEX([1]Produtos!$H:$H,MATCH(L24,[1]Produtos!$B:$B,0)), "-")</f>
        <v>CORPORAL</v>
      </c>
      <c r="R24" s="270" t="str">
        <f>IFERROR(INDEX([1]Produtos!$I:$I,MATCH(L24,[1]Produtos!$B:$B,0)), "-")</f>
        <v>DESODORANTE</v>
      </c>
      <c r="S24" s="270" t="str">
        <f>IFERROR(INDEX([1]Produtos!$J:$J,MATCH(L24,[1]Produtos!$B:$B,0)), "-")</f>
        <v>VISCOSO</v>
      </c>
      <c r="T24" s="473"/>
      <c r="U24" s="270"/>
      <c r="V24" s="270"/>
      <c r="W24" s="270"/>
      <c r="X24" s="270"/>
      <c r="Y24" s="270"/>
      <c r="Z24" s="270"/>
      <c r="AA24" s="270"/>
      <c r="AB24" s="270"/>
      <c r="AC24" s="270"/>
      <c r="AD24" s="270"/>
      <c r="AE24" s="270"/>
      <c r="AF24" s="270"/>
      <c r="AG24" s="270"/>
      <c r="AH24" s="270"/>
      <c r="AI24" s="270"/>
      <c r="AJ24" s="270"/>
      <c r="AK24" s="270"/>
      <c r="AL24" s="270"/>
      <c r="AM24" s="663"/>
      <c r="AN24" s="663"/>
      <c r="AO24" s="708" t="str">
        <f>IF(OR(Table1[[#This Row],[Início Setup Envase]]="",Table1[[#This Row],[Final Setup Envase]]=""),"",Table1[[#This Row],[Final Setup Envase]]-Table1[[#This Row],[Início Setup Envase]])</f>
        <v/>
      </c>
      <c r="AP24" s="663"/>
      <c r="AQ24" s="663"/>
      <c r="AR24" s="270"/>
      <c r="AS24" s="270"/>
      <c r="AT24" s="270"/>
      <c r="AU24" s="270"/>
      <c r="AV24" s="270"/>
      <c r="AW24" s="270"/>
      <c r="AX24" s="270"/>
      <c r="AY24" s="270"/>
      <c r="AZ24" s="270"/>
      <c r="BA24" s="270">
        <f>IF(Table1[[#This Row],[Data de Início]]="","",YEAR(Table1[[#This Row],[Data de Início]]))</f>
        <v>2025</v>
      </c>
      <c r="BB24" s="270">
        <f>IF(Table1[[#This Row],[Data de Início]]="","",MONTH(Table1[[#This Row],[Data de Início]]))</f>
        <v>3</v>
      </c>
      <c r="BC24" s="270"/>
    </row>
    <row r="25" spans="2:55" ht="15" customHeight="1" x14ac:dyDescent="0.25">
      <c r="B25" s="470">
        <v>45722.541666666664</v>
      </c>
      <c r="C25" s="263">
        <v>45723.333333333336</v>
      </c>
      <c r="D25" s="264" cm="1">
        <f t="array" ref="D25">IFERROR(HorasUteisFabrica2Turnos(B25,C25), "")</f>
        <v>5.0000000002328306</v>
      </c>
      <c r="E25" s="265">
        <f t="shared" si="0"/>
        <v>199.99999999068677</v>
      </c>
      <c r="F25" s="265"/>
      <c r="G25" s="265"/>
      <c r="H25" s="265"/>
      <c r="I25" s="266" t="s">
        <v>62</v>
      </c>
      <c r="J25" s="267" t="s">
        <v>15</v>
      </c>
      <c r="K25" s="268">
        <v>1000</v>
      </c>
      <c r="L25" s="269" t="s">
        <v>145</v>
      </c>
      <c r="M25" s="270" t="str">
        <f>IFERROR(INDEX([1]Produtos!$C:$C,MATCH(L25,[1]Produtos!$B:$B,0)), "-")</f>
        <v>DESODORANTE ROLLON ALGODÃO</v>
      </c>
      <c r="N25" s="510" t="str">
        <f>IFERROR(INDEX([1]Produtos!$E:$E,MATCH(L25,[1]Produtos!$B:$B,0)), "-")</f>
        <v>-</v>
      </c>
      <c r="O25" s="270" t="str">
        <f>IFERROR(INDEX([1]Produtos!$F:$F,MATCH(L25,[1]Produtos!$B:$B,0)), "-")</f>
        <v>-</v>
      </c>
      <c r="P25" s="270" t="str">
        <f>IFERROR(INDEX([1]Produtos!$G:$G,MATCH(L25,[1]Produtos!$B:$B,0)), "-")</f>
        <v>-</v>
      </c>
      <c r="Q25" s="270" t="str">
        <f>IFERROR(INDEX([1]Produtos!$H:$H,MATCH(L25,[1]Produtos!$B:$B,0)), "-")</f>
        <v>CORPORAL</v>
      </c>
      <c r="R25" s="270" t="str">
        <f>IFERROR(INDEX([1]Produtos!$I:$I,MATCH(L25,[1]Produtos!$B:$B,0)), "-")</f>
        <v>DESODORANTE</v>
      </c>
      <c r="S25" s="270" t="str">
        <f>IFERROR(INDEX([1]Produtos!$J:$J,MATCH(L25,[1]Produtos!$B:$B,0)), "-")</f>
        <v>VISCOSO</v>
      </c>
      <c r="T25" s="473"/>
      <c r="U25" s="270"/>
      <c r="V25" s="270"/>
      <c r="W25" s="270"/>
      <c r="X25" s="270"/>
      <c r="Y25" s="270"/>
      <c r="Z25" s="270"/>
      <c r="AA25" s="270"/>
      <c r="AB25" s="270"/>
      <c r="AC25" s="270"/>
      <c r="AD25" s="270"/>
      <c r="AE25" s="270"/>
      <c r="AF25" s="270"/>
      <c r="AG25" s="270"/>
      <c r="AH25" s="270"/>
      <c r="AI25" s="270"/>
      <c r="AJ25" s="270"/>
      <c r="AK25" s="270"/>
      <c r="AL25" s="270"/>
      <c r="AM25" s="663"/>
      <c r="AN25" s="663"/>
      <c r="AO25" s="708" t="str">
        <f>IF(OR(Table1[[#This Row],[Início Setup Envase]]="",Table1[[#This Row],[Final Setup Envase]]=""),"",Table1[[#This Row],[Final Setup Envase]]-Table1[[#This Row],[Início Setup Envase]])</f>
        <v/>
      </c>
      <c r="AP25" s="663"/>
      <c r="AQ25" s="663"/>
      <c r="AR25" s="270"/>
      <c r="AS25" s="270"/>
      <c r="AT25" s="270"/>
      <c r="AU25" s="270"/>
      <c r="AV25" s="270"/>
      <c r="AW25" s="270"/>
      <c r="AX25" s="270"/>
      <c r="AY25" s="270"/>
      <c r="AZ25" s="270"/>
      <c r="BA25" s="270">
        <f>IF(Table1[[#This Row],[Data de Início]]="","",YEAR(Table1[[#This Row],[Data de Início]]))</f>
        <v>2025</v>
      </c>
      <c r="BB25" s="270">
        <f>IF(Table1[[#This Row],[Data de Início]]="","",MONTH(Table1[[#This Row],[Data de Início]]))</f>
        <v>3</v>
      </c>
      <c r="BC25" s="270"/>
    </row>
    <row r="26" spans="2:55" ht="15" customHeight="1" x14ac:dyDescent="0.25">
      <c r="B26" s="470">
        <v>45723.333333333336</v>
      </c>
      <c r="C26" s="263">
        <v>45723.375</v>
      </c>
      <c r="D26" s="264" cm="1">
        <f t="array" ref="D26">IFERROR(HorasUteisFabrica2Turnos(B26,C26), "")</f>
        <v>0.99999999994179234</v>
      </c>
      <c r="E26" s="265">
        <f t="shared" si="0"/>
        <v>1000.0000000582077</v>
      </c>
      <c r="F26" s="265"/>
      <c r="G26" s="265"/>
      <c r="H26" s="265"/>
      <c r="I26" s="266" t="s">
        <v>65</v>
      </c>
      <c r="J26" s="267" t="s">
        <v>15</v>
      </c>
      <c r="K26" s="268">
        <v>1000</v>
      </c>
      <c r="L26" s="269" t="s">
        <v>145</v>
      </c>
      <c r="M26" s="270" t="str">
        <f>IFERROR(INDEX([1]Produtos!$C:$C,MATCH(L26,[1]Produtos!$B:$B,0)), "-")</f>
        <v>DESODORANTE ROLLON ALGODÃO</v>
      </c>
      <c r="N26" s="510" t="str">
        <f>IFERROR(INDEX([1]Produtos!$E:$E,MATCH(L26,[1]Produtos!$B:$B,0)), "-")</f>
        <v>-</v>
      </c>
      <c r="O26" s="270" t="str">
        <f>IFERROR(INDEX([1]Produtos!$F:$F,MATCH(L26,[1]Produtos!$B:$B,0)), "-")</f>
        <v>-</v>
      </c>
      <c r="P26" s="270" t="str">
        <f>IFERROR(INDEX([1]Produtos!$G:$G,MATCH(L26,[1]Produtos!$B:$B,0)), "-")</f>
        <v>-</v>
      </c>
      <c r="Q26" s="270" t="str">
        <f>IFERROR(INDEX([1]Produtos!$H:$H,MATCH(L26,[1]Produtos!$B:$B,0)), "-")</f>
        <v>CORPORAL</v>
      </c>
      <c r="R26" s="270" t="str">
        <f>IFERROR(INDEX([1]Produtos!$I:$I,MATCH(L26,[1]Produtos!$B:$B,0)), "-")</f>
        <v>DESODORANTE</v>
      </c>
      <c r="S26" s="270" t="str">
        <f>IFERROR(INDEX([1]Produtos!$J:$J,MATCH(L26,[1]Produtos!$B:$B,0)), "-")</f>
        <v>VISCOSO</v>
      </c>
      <c r="T26" s="473"/>
      <c r="U26" s="270"/>
      <c r="V26" s="270"/>
      <c r="W26" s="270"/>
      <c r="X26" s="270"/>
      <c r="Y26" s="270"/>
      <c r="Z26" s="270"/>
      <c r="AA26" s="270"/>
      <c r="AB26" s="270"/>
      <c r="AC26" s="270"/>
      <c r="AD26" s="270"/>
      <c r="AE26" s="270"/>
      <c r="AF26" s="270"/>
      <c r="AG26" s="270"/>
      <c r="AH26" s="270"/>
      <c r="AI26" s="270"/>
      <c r="AJ26" s="270"/>
      <c r="AK26" s="270"/>
      <c r="AL26" s="270"/>
      <c r="AM26" s="663"/>
      <c r="AN26" s="663"/>
      <c r="AO26" s="708" t="str">
        <f>IF(OR(Table1[[#This Row],[Início Setup Envase]]="",Table1[[#This Row],[Final Setup Envase]]=""),"",Table1[[#This Row],[Final Setup Envase]]-Table1[[#This Row],[Início Setup Envase]])</f>
        <v/>
      </c>
      <c r="AP26" s="663"/>
      <c r="AQ26" s="663"/>
      <c r="AR26" s="270"/>
      <c r="AS26" s="270"/>
      <c r="AT26" s="270"/>
      <c r="AU26" s="270"/>
      <c r="AV26" s="270"/>
      <c r="AW26" s="270"/>
      <c r="AX26" s="270"/>
      <c r="AY26" s="270"/>
      <c r="AZ26" s="270"/>
      <c r="BA26" s="270">
        <f>IF(Table1[[#This Row],[Data de Início]]="","",YEAR(Table1[[#This Row],[Data de Início]]))</f>
        <v>2025</v>
      </c>
      <c r="BB26" s="270">
        <f>IF(Table1[[#This Row],[Data de Início]]="","",MONTH(Table1[[#This Row],[Data de Início]]))</f>
        <v>3</v>
      </c>
      <c r="BC26" s="270"/>
    </row>
    <row r="27" spans="2:55" ht="15" customHeight="1" x14ac:dyDescent="0.25">
      <c r="B27" s="470">
        <v>45723.354166666664</v>
      </c>
      <c r="C27" s="263">
        <v>45723.385416666664</v>
      </c>
      <c r="D27" s="264" cm="1">
        <f t="array" ref="D27">IFERROR(HorasUteisFabrica2Turnos(B27,C27), "")</f>
        <v>0.75</v>
      </c>
      <c r="E27" s="265">
        <f t="shared" si="0"/>
        <v>1336</v>
      </c>
      <c r="F27" s="265"/>
      <c r="G27" s="265"/>
      <c r="H27" s="265"/>
      <c r="I27" s="269" t="s">
        <v>66</v>
      </c>
      <c r="J27" s="267" t="s">
        <v>15</v>
      </c>
      <c r="K27" s="268">
        <v>1002</v>
      </c>
      <c r="L27" s="269" t="s">
        <v>259</v>
      </c>
      <c r="M27" s="270" t="str">
        <f>IFERROR(INDEX([1]Produtos!$C:$C,MATCH(L27,[1]Produtos!$B:$B,0)), "-")</f>
        <v>BRUMA KIDS VERMELHA</v>
      </c>
      <c r="N27" s="510">
        <f>IFERROR(INDEX([1]Produtos!$E:$E,MATCH(L27,[1]Produtos!$B:$B,0)), "-")</f>
        <v>30</v>
      </c>
      <c r="O27" s="270" t="str">
        <f>IFERROR(INDEX([1]Produtos!$F:$F,MATCH(L27,[1]Produtos!$B:$B,0)), "-")</f>
        <v>ml</v>
      </c>
      <c r="P27" s="270" t="str">
        <f>IFERROR(INDEX([1]Produtos!$G:$G,MATCH(L27,[1]Produtos!$B:$B,0)), "-")</f>
        <v>BE MAGIC</v>
      </c>
      <c r="Q27" s="270" t="str">
        <f>IFERROR(INDEX([1]Produtos!$H:$H,MATCH(L27,[1]Produtos!$B:$B,0)), "-")</f>
        <v>CORPORAL</v>
      </c>
      <c r="R27" s="270" t="str">
        <f>IFERROR(INDEX([1]Produtos!$I:$I,MATCH(L27,[1]Produtos!$B:$B,0)), "-")</f>
        <v>BRUMA</v>
      </c>
      <c r="S27" s="270" t="str">
        <f>IFERROR(INDEX([1]Produtos!$J:$J,MATCH(L27,[1]Produtos!$B:$B,0)), "-")</f>
        <v>LÍQUIDO</v>
      </c>
      <c r="T27" s="473"/>
      <c r="U27" s="270"/>
      <c r="V27" s="270"/>
      <c r="W27" s="270"/>
      <c r="X27" s="270"/>
      <c r="Y27" s="270"/>
      <c r="Z27" s="270"/>
      <c r="AA27" s="270"/>
      <c r="AB27" s="270"/>
      <c r="AC27" s="270"/>
      <c r="AD27" s="270"/>
      <c r="AE27" s="270"/>
      <c r="AF27" s="270"/>
      <c r="AG27" s="270"/>
      <c r="AH27" s="270"/>
      <c r="AI27" s="270"/>
      <c r="AJ27" s="270"/>
      <c r="AK27" s="270"/>
      <c r="AL27" s="270"/>
      <c r="AM27" s="663"/>
      <c r="AN27" s="663"/>
      <c r="AO27" s="708" t="str">
        <f>IF(OR(Table1[[#This Row],[Início Setup Envase]]="",Table1[[#This Row],[Final Setup Envase]]=""),"",Table1[[#This Row],[Final Setup Envase]]-Table1[[#This Row],[Início Setup Envase]])</f>
        <v/>
      </c>
      <c r="AP27" s="663"/>
      <c r="AQ27" s="663"/>
      <c r="AR27" s="270"/>
      <c r="AS27" s="270"/>
      <c r="AT27" s="270"/>
      <c r="AU27" s="270"/>
      <c r="AV27" s="270"/>
      <c r="AW27" s="270"/>
      <c r="AX27" s="270"/>
      <c r="AY27" s="270"/>
      <c r="AZ27" s="270"/>
      <c r="BA27" s="270">
        <f>IF(Table1[[#This Row],[Data de Início]]="","",YEAR(Table1[[#This Row],[Data de Início]]))</f>
        <v>2025</v>
      </c>
      <c r="BB27" s="270">
        <f>IF(Table1[[#This Row],[Data de Início]]="","",MONTH(Table1[[#This Row],[Data de Início]]))</f>
        <v>3</v>
      </c>
      <c r="BC27" s="270"/>
    </row>
    <row r="28" spans="2:55" ht="15" customHeight="1" x14ac:dyDescent="0.25">
      <c r="B28" s="470">
        <v>45723.399305555555</v>
      </c>
      <c r="C28" s="263">
        <v>45723.479166666664</v>
      </c>
      <c r="D28" s="264" cm="1">
        <f t="array" ref="D28">IFERROR(HorasUteisFabrica2Turnos(B28,C28), "")</f>
        <v>1.9166666666278616</v>
      </c>
      <c r="E28" s="265">
        <f t="shared" si="0"/>
        <v>513.91304348866561</v>
      </c>
      <c r="F28" s="265"/>
      <c r="G28" s="265"/>
      <c r="H28" s="265"/>
      <c r="I28" s="269" t="s">
        <v>57</v>
      </c>
      <c r="J28" s="267" t="s">
        <v>15</v>
      </c>
      <c r="K28" s="268">
        <v>985</v>
      </c>
      <c r="L28" s="269" t="s">
        <v>256</v>
      </c>
      <c r="M28" s="270" t="str">
        <f>IFERROR(INDEX([1]Produtos!$C:$C,MATCH(L28,[1]Produtos!$B:$B,0)), "-")</f>
        <v>BRUMA KIDS ROXA</v>
      </c>
      <c r="N28" s="510">
        <f>IFERROR(INDEX([1]Produtos!$E:$E,MATCH(L28,[1]Produtos!$B:$B,0)), "-")</f>
        <v>30</v>
      </c>
      <c r="O28" s="270" t="str">
        <f>IFERROR(INDEX([1]Produtos!$F:$F,MATCH(L28,[1]Produtos!$B:$B,0)), "-")</f>
        <v>ml</v>
      </c>
      <c r="P28" s="270" t="str">
        <f>IFERROR(INDEX([1]Produtos!$G:$G,MATCH(L28,[1]Produtos!$B:$B,0)), "-")</f>
        <v>BE MAGIC</v>
      </c>
      <c r="Q28" s="270" t="str">
        <f>IFERROR(INDEX([1]Produtos!$H:$H,MATCH(L28,[1]Produtos!$B:$B,0)), "-")</f>
        <v>CORPORAL</v>
      </c>
      <c r="R28" s="270" t="str">
        <f>IFERROR(INDEX([1]Produtos!$I:$I,MATCH(L28,[1]Produtos!$B:$B,0)), "-")</f>
        <v>BRUMA</v>
      </c>
      <c r="S28" s="270" t="str">
        <f>IFERROR(INDEX([1]Produtos!$J:$J,MATCH(L28,[1]Produtos!$B:$B,0)), "-")</f>
        <v>LÍQUIDO</v>
      </c>
      <c r="T28" s="473"/>
      <c r="U28" s="270"/>
      <c r="V28" s="270"/>
      <c r="W28" s="270"/>
      <c r="X28" s="270"/>
      <c r="Y28" s="270"/>
      <c r="Z28" s="270"/>
      <c r="AA28" s="270"/>
      <c r="AB28" s="270"/>
      <c r="AC28" s="270"/>
      <c r="AD28" s="270"/>
      <c r="AE28" s="270"/>
      <c r="AF28" s="270"/>
      <c r="AG28" s="270"/>
      <c r="AH28" s="270"/>
      <c r="AI28" s="270"/>
      <c r="AJ28" s="270"/>
      <c r="AK28" s="270"/>
      <c r="AL28" s="270"/>
      <c r="AM28" s="663"/>
      <c r="AN28" s="663"/>
      <c r="AO28" s="708" t="str">
        <f>IF(OR(Table1[[#This Row],[Início Setup Envase]]="",Table1[[#This Row],[Final Setup Envase]]=""),"",Table1[[#This Row],[Final Setup Envase]]-Table1[[#This Row],[Início Setup Envase]])</f>
        <v/>
      </c>
      <c r="AP28" s="663"/>
      <c r="AQ28" s="663"/>
      <c r="AR28" s="270"/>
      <c r="AS28" s="270"/>
      <c r="AT28" s="270"/>
      <c r="AU28" s="270"/>
      <c r="AV28" s="270"/>
      <c r="AW28" s="270"/>
      <c r="AX28" s="270"/>
      <c r="AY28" s="270"/>
      <c r="AZ28" s="270"/>
      <c r="BA28" s="270">
        <f>IF(Table1[[#This Row],[Data de Início]]="","",YEAR(Table1[[#This Row],[Data de Início]]))</f>
        <v>2025</v>
      </c>
      <c r="BB28" s="270">
        <f>IF(Table1[[#This Row],[Data de Início]]="","",MONTH(Table1[[#This Row],[Data de Início]]))</f>
        <v>3</v>
      </c>
      <c r="BC28" s="270"/>
    </row>
    <row r="29" spans="2:55" ht="15" customHeight="1" x14ac:dyDescent="0.25">
      <c r="B29" s="470">
        <v>45723.479166666664</v>
      </c>
      <c r="C29" s="263">
        <v>45723.583333333336</v>
      </c>
      <c r="D29" s="264" cm="1">
        <f t="array" ref="D29">IFERROR(HorasUteisFabrica2Turnos(B29,C29), "")</f>
        <v>1.5000000001164153</v>
      </c>
      <c r="E29" s="265">
        <f t="shared" si="0"/>
        <v>659.99999994877726</v>
      </c>
      <c r="F29" s="265"/>
      <c r="G29" s="265"/>
      <c r="H29" s="265"/>
      <c r="I29" s="269" t="s">
        <v>68</v>
      </c>
      <c r="J29" s="267" t="s">
        <v>15</v>
      </c>
      <c r="K29" s="268">
        <v>990</v>
      </c>
      <c r="L29" s="269" t="s">
        <v>255</v>
      </c>
      <c r="M29" s="270" t="str">
        <f>IFERROR(INDEX([1]Produtos!$C:$C,MATCH(L29,[1]Produtos!$B:$B,0)), "-")</f>
        <v>BRUMA KIDS ROSA</v>
      </c>
      <c r="N29" s="510">
        <f>IFERROR(INDEX([1]Produtos!$E:$E,MATCH(L29,[1]Produtos!$B:$B,0)), "-")</f>
        <v>30</v>
      </c>
      <c r="O29" s="270" t="str">
        <f>IFERROR(INDEX([1]Produtos!$F:$F,MATCH(L29,[1]Produtos!$B:$B,0)), "-")</f>
        <v>ml</v>
      </c>
      <c r="P29" s="270" t="str">
        <f>IFERROR(INDEX([1]Produtos!$G:$G,MATCH(L29,[1]Produtos!$B:$B,0)), "-")</f>
        <v>BE MAGIC</v>
      </c>
      <c r="Q29" s="270" t="str">
        <f>IFERROR(INDEX([1]Produtos!$H:$H,MATCH(L29,[1]Produtos!$B:$B,0)), "-")</f>
        <v>CORPORAL</v>
      </c>
      <c r="R29" s="270" t="str">
        <f>IFERROR(INDEX([1]Produtos!$I:$I,MATCH(L29,[1]Produtos!$B:$B,0)), "-")</f>
        <v>BRUMA</v>
      </c>
      <c r="S29" s="270" t="str">
        <f>IFERROR(INDEX([1]Produtos!$J:$J,MATCH(L29,[1]Produtos!$B:$B,0)), "-")</f>
        <v>LÍQUIDO</v>
      </c>
      <c r="T29" s="473"/>
      <c r="U29" s="270"/>
      <c r="V29" s="270"/>
      <c r="W29" s="270"/>
      <c r="X29" s="270"/>
      <c r="Y29" s="270"/>
      <c r="Z29" s="270"/>
      <c r="AA29" s="270"/>
      <c r="AB29" s="270"/>
      <c r="AC29" s="270"/>
      <c r="AD29" s="270"/>
      <c r="AE29" s="270"/>
      <c r="AF29" s="270"/>
      <c r="AG29" s="270"/>
      <c r="AH29" s="270"/>
      <c r="AI29" s="270"/>
      <c r="AJ29" s="270"/>
      <c r="AK29" s="270"/>
      <c r="AL29" s="270"/>
      <c r="AM29" s="663"/>
      <c r="AN29" s="663"/>
      <c r="AO29" s="708" t="str">
        <f>IF(OR(Table1[[#This Row],[Início Setup Envase]]="",Table1[[#This Row],[Final Setup Envase]]=""),"",Table1[[#This Row],[Final Setup Envase]]-Table1[[#This Row],[Início Setup Envase]])</f>
        <v/>
      </c>
      <c r="AP29" s="663"/>
      <c r="AQ29" s="663"/>
      <c r="AR29" s="270"/>
      <c r="AS29" s="270"/>
      <c r="AT29" s="270"/>
      <c r="AU29" s="270"/>
      <c r="AV29" s="270"/>
      <c r="AW29" s="270"/>
      <c r="AX29" s="270"/>
      <c r="AY29" s="270"/>
      <c r="AZ29" s="270"/>
      <c r="BA29" s="270">
        <f>IF(Table1[[#This Row],[Data de Início]]="","",YEAR(Table1[[#This Row],[Data de Início]]))</f>
        <v>2025</v>
      </c>
      <c r="BB29" s="270">
        <f>IF(Table1[[#This Row],[Data de Início]]="","",MONTH(Table1[[#This Row],[Data de Início]]))</f>
        <v>3</v>
      </c>
      <c r="BC29" s="270"/>
    </row>
    <row r="30" spans="2:55" ht="15" customHeight="1" x14ac:dyDescent="0.25">
      <c r="B30" s="470">
        <v>45723.583333333336</v>
      </c>
      <c r="C30" s="263">
        <v>45723</v>
      </c>
      <c r="D30" s="264" cm="1">
        <f t="array" ref="D30">IFERROR(HorasUteisFabrica2Turnos(B30,C30), "")</f>
        <v>0</v>
      </c>
      <c r="E30" s="265" t="str">
        <f t="shared" si="0"/>
        <v/>
      </c>
      <c r="F30" s="265"/>
      <c r="G30" s="265"/>
      <c r="H30" s="265"/>
      <c r="I30" s="269" t="s">
        <v>67</v>
      </c>
      <c r="J30" s="267" t="s">
        <v>15</v>
      </c>
      <c r="K30" s="268">
        <v>1000</v>
      </c>
      <c r="L30" s="269" t="s">
        <v>254</v>
      </c>
      <c r="M30" s="270" t="str">
        <f>IFERROR(INDEX([1]Produtos!$C:$C,MATCH(L30,[1]Produtos!$B:$B,0)), "-")</f>
        <v>BRUMA KIDS AMARELA</v>
      </c>
      <c r="N30" s="510">
        <f>IFERROR(INDEX([1]Produtos!$E:$E,MATCH(L30,[1]Produtos!$B:$B,0)), "-")</f>
        <v>30</v>
      </c>
      <c r="O30" s="270" t="str">
        <f>IFERROR(INDEX([1]Produtos!$F:$F,MATCH(L30,[1]Produtos!$B:$B,0)), "-")</f>
        <v>ml</v>
      </c>
      <c r="P30" s="270" t="str">
        <f>IFERROR(INDEX([1]Produtos!$G:$G,MATCH(L30,[1]Produtos!$B:$B,0)), "-")</f>
        <v>BE MAGIC</v>
      </c>
      <c r="Q30" s="270" t="str">
        <f>IFERROR(INDEX([1]Produtos!$H:$H,MATCH(L30,[1]Produtos!$B:$B,0)), "-")</f>
        <v>CORPORAL</v>
      </c>
      <c r="R30" s="270" t="str">
        <f>IFERROR(INDEX([1]Produtos!$I:$I,MATCH(L30,[1]Produtos!$B:$B,0)), "-")</f>
        <v>BRUMA</v>
      </c>
      <c r="S30" s="270" t="str">
        <f>IFERROR(INDEX([1]Produtos!$J:$J,MATCH(L30,[1]Produtos!$B:$B,0)), "-")</f>
        <v>LÍQUIDO</v>
      </c>
      <c r="T30" s="473" t="s">
        <v>131</v>
      </c>
      <c r="U30" s="270"/>
      <c r="V30" s="270"/>
      <c r="W30" s="270"/>
      <c r="X30" s="270"/>
      <c r="Y30" s="270"/>
      <c r="Z30" s="270"/>
      <c r="AA30" s="270"/>
      <c r="AB30" s="270"/>
      <c r="AC30" s="270"/>
      <c r="AD30" s="270"/>
      <c r="AE30" s="270"/>
      <c r="AF30" s="270"/>
      <c r="AG30" s="270"/>
      <c r="AH30" s="270"/>
      <c r="AI30" s="270"/>
      <c r="AJ30" s="270"/>
      <c r="AK30" s="270"/>
      <c r="AL30" s="270"/>
      <c r="AM30" s="663"/>
      <c r="AN30" s="663"/>
      <c r="AO30" s="708" t="str">
        <f>IF(OR(Table1[[#This Row],[Início Setup Envase]]="",Table1[[#This Row],[Final Setup Envase]]=""),"",Table1[[#This Row],[Final Setup Envase]]-Table1[[#This Row],[Início Setup Envase]])</f>
        <v/>
      </c>
      <c r="AP30" s="663"/>
      <c r="AQ30" s="663"/>
      <c r="AR30" s="270"/>
      <c r="AS30" s="270"/>
      <c r="AT30" s="270"/>
      <c r="AU30" s="270"/>
      <c r="AV30" s="270"/>
      <c r="AW30" s="270"/>
      <c r="AX30" s="270"/>
      <c r="AY30" s="270"/>
      <c r="AZ30" s="270"/>
      <c r="BA30" s="270">
        <f>IF(Table1[[#This Row],[Data de Início]]="","",YEAR(Table1[[#This Row],[Data de Início]]))</f>
        <v>2025</v>
      </c>
      <c r="BB30" s="270">
        <f>IF(Table1[[#This Row],[Data de Início]]="","",MONTH(Table1[[#This Row],[Data de Início]]))</f>
        <v>3</v>
      </c>
      <c r="BC30" s="270"/>
    </row>
    <row r="31" spans="2:55" ht="15" customHeight="1" x14ac:dyDescent="0.25">
      <c r="B31" s="470">
        <v>45723.604166666664</v>
      </c>
      <c r="C31" s="263">
        <v>45726.397916666669</v>
      </c>
      <c r="D31" s="264" cm="1">
        <f t="array" ref="D31">IFERROR(HorasUteisFabrica2Turnos(B31,C31), "")</f>
        <v>4.0500000001047738</v>
      </c>
      <c r="E31" s="265">
        <f t="shared" si="0"/>
        <v>628.14814813189787</v>
      </c>
      <c r="F31" s="265"/>
      <c r="G31" s="265"/>
      <c r="H31" s="265"/>
      <c r="I31" s="269" t="s">
        <v>44</v>
      </c>
      <c r="J31" s="267" t="s">
        <v>15</v>
      </c>
      <c r="K31" s="269">
        <v>2544</v>
      </c>
      <c r="L31" s="269" t="s">
        <v>212</v>
      </c>
      <c r="M31" s="270" t="str">
        <f>IFERROR(INDEX([1]Produtos!$C:$C,MATCH(L31,[1]Produtos!$B:$B,0)), "-")</f>
        <v>BODY SPLASH FORÇA DO LEAO</v>
      </c>
      <c r="N31" s="510">
        <f>IFERROR(INDEX([1]Produtos!$E:$E,MATCH(L31,[1]Produtos!$B:$B,0)), "-")</f>
        <v>220</v>
      </c>
      <c r="O31" s="270" t="str">
        <f>IFERROR(INDEX([1]Produtos!$F:$F,MATCH(L31,[1]Produtos!$B:$B,0)), "-")</f>
        <v>ml</v>
      </c>
      <c r="P31" s="270" t="str">
        <f>IFERROR(INDEX([1]Produtos!$G:$G,MATCH(L31,[1]Produtos!$B:$B,0)), "-")</f>
        <v>MISS RÔSE</v>
      </c>
      <c r="Q31" s="270" t="str">
        <f>IFERROR(INDEX([1]Produtos!$H:$H,MATCH(L31,[1]Produtos!$B:$B,0)), "-")</f>
        <v>PERFUMARIA</v>
      </c>
      <c r="R31" s="270" t="str">
        <f>IFERROR(INDEX([1]Produtos!$I:$I,MATCH(L31,[1]Produtos!$B:$B,0)), "-")</f>
        <v>BODY SPLASH</v>
      </c>
      <c r="S31" s="270" t="str">
        <f>IFERROR(INDEX([1]Produtos!$J:$J,MATCH(L31,[1]Produtos!$B:$B,0)), "-")</f>
        <v>LÍQUIDO</v>
      </c>
      <c r="T31" s="473" t="s">
        <v>132</v>
      </c>
      <c r="U31" s="270"/>
      <c r="V31" s="270"/>
      <c r="W31" s="270"/>
      <c r="X31" s="270"/>
      <c r="Y31" s="270"/>
      <c r="Z31" s="270"/>
      <c r="AA31" s="270"/>
      <c r="AB31" s="270"/>
      <c r="AC31" s="270"/>
      <c r="AD31" s="270"/>
      <c r="AE31" s="270"/>
      <c r="AF31" s="270"/>
      <c r="AG31" s="270"/>
      <c r="AH31" s="270"/>
      <c r="AI31" s="270"/>
      <c r="AJ31" s="270"/>
      <c r="AK31" s="270"/>
      <c r="AL31" s="270"/>
      <c r="AM31" s="663"/>
      <c r="AN31" s="663"/>
      <c r="AO31" s="708" t="str">
        <f>IF(OR(Table1[[#This Row],[Início Setup Envase]]="",Table1[[#This Row],[Final Setup Envase]]=""),"",Table1[[#This Row],[Final Setup Envase]]-Table1[[#This Row],[Início Setup Envase]])</f>
        <v/>
      </c>
      <c r="AP31" s="663"/>
      <c r="AQ31" s="663"/>
      <c r="AR31" s="270"/>
      <c r="AS31" s="270"/>
      <c r="AT31" s="270"/>
      <c r="AU31" s="270"/>
      <c r="AV31" s="270"/>
      <c r="AW31" s="270"/>
      <c r="AX31" s="270"/>
      <c r="AY31" s="270"/>
      <c r="AZ31" s="270"/>
      <c r="BA31" s="270">
        <f>IF(Table1[[#This Row],[Data de Início]]="","",YEAR(Table1[[#This Row],[Data de Início]]))</f>
        <v>2025</v>
      </c>
      <c r="BB31" s="270">
        <f>IF(Table1[[#This Row],[Data de Início]]="","",MONTH(Table1[[#This Row],[Data de Início]]))</f>
        <v>3</v>
      </c>
      <c r="BC31" s="270"/>
    </row>
    <row r="32" spans="2:55" ht="15" customHeight="1" x14ac:dyDescent="0.25">
      <c r="B32" s="470">
        <v>45726.416666666664</v>
      </c>
      <c r="C32" s="263">
        <v>45726.625</v>
      </c>
      <c r="D32" s="264" cm="1">
        <f t="array" ref="D32">IFERROR(HorasUteisFabrica2Turnos(B32,C32), "")</f>
        <v>4.0000000000582077</v>
      </c>
      <c r="E32" s="265">
        <f t="shared" si="0"/>
        <v>999.99999998544808</v>
      </c>
      <c r="F32" s="265"/>
      <c r="G32" s="265"/>
      <c r="H32" s="265"/>
      <c r="I32" s="269" t="s">
        <v>73</v>
      </c>
      <c r="J32" s="267" t="s">
        <v>15</v>
      </c>
      <c r="K32" s="268">
        <v>4000</v>
      </c>
      <c r="L32" s="269" t="s">
        <v>218</v>
      </c>
      <c r="M32" s="270" t="str">
        <f>IFERROR(INDEX([1]Produtos!$C:$C,MATCH(L32,[1]Produtos!$B:$B,0)), "-")</f>
        <v>BODY SPLASH MATTE BAUNILHA TROPICAL</v>
      </c>
      <c r="N32" s="510">
        <f>IFERROR(INDEX([1]Produtos!$E:$E,MATCH(L32,[1]Produtos!$B:$B,0)), "-")</f>
        <v>100</v>
      </c>
      <c r="O32" s="270" t="str">
        <f>IFERROR(INDEX([1]Produtos!$F:$F,MATCH(L32,[1]Produtos!$B:$B,0)), "-")</f>
        <v>ml</v>
      </c>
      <c r="P32" s="270" t="str">
        <f>IFERROR(INDEX([1]Produtos!$G:$G,MATCH(L32,[1]Produtos!$B:$B,0)), "-")</f>
        <v>SAFIRA</v>
      </c>
      <c r="Q32" s="270" t="str">
        <f>IFERROR(INDEX([1]Produtos!$H:$H,MATCH(L32,[1]Produtos!$B:$B,0)), "-")</f>
        <v>PERFUMARIA</v>
      </c>
      <c r="R32" s="270" t="str">
        <f>IFERROR(INDEX([1]Produtos!$I:$I,MATCH(L32,[1]Produtos!$B:$B,0)), "-")</f>
        <v>BODY SPLASH</v>
      </c>
      <c r="S32" s="270" t="str">
        <f>IFERROR(INDEX([1]Produtos!$J:$J,MATCH(L32,[1]Produtos!$B:$B,0)), "-")</f>
        <v>LÍQUIDO</v>
      </c>
      <c r="T32" s="473"/>
      <c r="U32" s="270"/>
      <c r="V32" s="270"/>
      <c r="W32" s="270"/>
      <c r="X32" s="270"/>
      <c r="Y32" s="270"/>
      <c r="Z32" s="270"/>
      <c r="AA32" s="270"/>
      <c r="AB32" s="270"/>
      <c r="AC32" s="270"/>
      <c r="AD32" s="270"/>
      <c r="AE32" s="270"/>
      <c r="AF32" s="270"/>
      <c r="AG32" s="270"/>
      <c r="AH32" s="270"/>
      <c r="AI32" s="270"/>
      <c r="AJ32" s="270"/>
      <c r="AK32" s="270"/>
      <c r="AL32" s="270"/>
      <c r="AM32" s="663"/>
      <c r="AN32" s="663"/>
      <c r="AO32" s="708" t="str">
        <f>IF(OR(Table1[[#This Row],[Início Setup Envase]]="",Table1[[#This Row],[Final Setup Envase]]=""),"",Table1[[#This Row],[Final Setup Envase]]-Table1[[#This Row],[Início Setup Envase]])</f>
        <v/>
      </c>
      <c r="AP32" s="663"/>
      <c r="AQ32" s="663"/>
      <c r="AR32" s="270"/>
      <c r="AS32" s="270"/>
      <c r="AT32" s="270"/>
      <c r="AU32" s="270"/>
      <c r="AV32" s="270"/>
      <c r="AW32" s="270"/>
      <c r="AX32" s="270"/>
      <c r="AY32" s="270"/>
      <c r="AZ32" s="270"/>
      <c r="BA32" s="270">
        <f>IF(Table1[[#This Row],[Data de Início]]="","",YEAR(Table1[[#This Row],[Data de Início]]))</f>
        <v>2025</v>
      </c>
      <c r="BB32" s="270">
        <f>IF(Table1[[#This Row],[Data de Início]]="","",MONTH(Table1[[#This Row],[Data de Início]]))</f>
        <v>3</v>
      </c>
      <c r="BC32" s="270"/>
    </row>
    <row r="33" spans="2:55" ht="15" customHeight="1" x14ac:dyDescent="0.25">
      <c r="B33" s="470">
        <v>45726.625</v>
      </c>
      <c r="C33" s="263">
        <v>45727.479166666664</v>
      </c>
      <c r="D33" s="264" cm="1">
        <f t="array" ref="D33">IFERROR(HorasUteisFabrica2Turnos(B33,C33), "")</f>
        <v>6.5000000000582077</v>
      </c>
      <c r="E33" s="265">
        <f t="shared" si="0"/>
        <v>615.38461537910462</v>
      </c>
      <c r="F33" s="265"/>
      <c r="G33" s="265"/>
      <c r="H33" s="265"/>
      <c r="I33" s="269" t="s">
        <v>72</v>
      </c>
      <c r="J33" s="267" t="s">
        <v>15</v>
      </c>
      <c r="K33" s="268">
        <v>4000</v>
      </c>
      <c r="L33" s="269" t="s">
        <v>220</v>
      </c>
      <c r="M33" s="270" t="str">
        <f>IFERROR(INDEX([1]Produtos!$C:$C,MATCH(L33,[1]Produtos!$B:$B,0)), "-")</f>
        <v>BODY SPLASH MATTE PITAYA</v>
      </c>
      <c r="N33" s="510">
        <f>IFERROR(INDEX([1]Produtos!$E:$E,MATCH(L33,[1]Produtos!$B:$B,0)), "-")</f>
        <v>100</v>
      </c>
      <c r="O33" s="270" t="str">
        <f>IFERROR(INDEX([1]Produtos!$F:$F,MATCH(L33,[1]Produtos!$B:$B,0)), "-")</f>
        <v>ml</v>
      </c>
      <c r="P33" s="270" t="str">
        <f>IFERROR(INDEX([1]Produtos!$G:$G,MATCH(L33,[1]Produtos!$B:$B,0)), "-")</f>
        <v>SAFIRA</v>
      </c>
      <c r="Q33" s="270" t="str">
        <f>IFERROR(INDEX([1]Produtos!$H:$H,MATCH(L33,[1]Produtos!$B:$B,0)), "-")</f>
        <v>PERFUMARIA</v>
      </c>
      <c r="R33" s="270" t="str">
        <f>IFERROR(INDEX([1]Produtos!$I:$I,MATCH(L33,[1]Produtos!$B:$B,0)), "-")</f>
        <v>BODY SPLASH</v>
      </c>
      <c r="S33" s="270" t="str">
        <f>IFERROR(INDEX([1]Produtos!$J:$J,MATCH(L33,[1]Produtos!$B:$B,0)), "-")</f>
        <v>LÍQUIDO</v>
      </c>
      <c r="T33" s="473"/>
      <c r="U33" s="270"/>
      <c r="V33" s="270"/>
      <c r="W33" s="270"/>
      <c r="X33" s="270"/>
      <c r="Y33" s="270"/>
      <c r="Z33" s="270"/>
      <c r="AA33" s="270"/>
      <c r="AB33" s="270"/>
      <c r="AC33" s="270"/>
      <c r="AD33" s="270"/>
      <c r="AE33" s="270"/>
      <c r="AF33" s="270"/>
      <c r="AG33" s="270"/>
      <c r="AH33" s="270"/>
      <c r="AI33" s="270"/>
      <c r="AJ33" s="270"/>
      <c r="AK33" s="270"/>
      <c r="AL33" s="270"/>
      <c r="AM33" s="663"/>
      <c r="AN33" s="663"/>
      <c r="AO33" s="708" t="str">
        <f>IF(OR(Table1[[#This Row],[Início Setup Envase]]="",Table1[[#This Row],[Final Setup Envase]]=""),"",Table1[[#This Row],[Final Setup Envase]]-Table1[[#This Row],[Início Setup Envase]])</f>
        <v/>
      </c>
      <c r="AP33" s="663"/>
      <c r="AQ33" s="663"/>
      <c r="AR33" s="270"/>
      <c r="AS33" s="270"/>
      <c r="AT33" s="270"/>
      <c r="AU33" s="270"/>
      <c r="AV33" s="270"/>
      <c r="AW33" s="270"/>
      <c r="AX33" s="270"/>
      <c r="AY33" s="270"/>
      <c r="AZ33" s="270"/>
      <c r="BA33" s="270">
        <f>IF(Table1[[#This Row],[Data de Início]]="","",YEAR(Table1[[#This Row],[Data de Início]]))</f>
        <v>2025</v>
      </c>
      <c r="BB33" s="270">
        <f>IF(Table1[[#This Row],[Data de Início]]="","",MONTH(Table1[[#This Row],[Data de Início]]))</f>
        <v>3</v>
      </c>
      <c r="BC33" s="270"/>
    </row>
    <row r="34" spans="2:55" ht="15" customHeight="1" x14ac:dyDescent="0.25">
      <c r="B34" s="470">
        <v>45727.479166666664</v>
      </c>
      <c r="C34" s="263"/>
      <c r="D34" s="264" cm="1">
        <f t="array" ref="D34">IFERROR(HorasUteisFabrica2Turnos(B34,C34), "")</f>
        <v>0</v>
      </c>
      <c r="E34" s="265" t="str">
        <f t="shared" si="0"/>
        <v/>
      </c>
      <c r="F34" s="265"/>
      <c r="G34" s="265"/>
      <c r="H34" s="265"/>
      <c r="I34" s="269" t="s">
        <v>74</v>
      </c>
      <c r="J34" s="267" t="s">
        <v>15</v>
      </c>
      <c r="K34" s="268">
        <v>4000</v>
      </c>
      <c r="L34" s="269" t="s">
        <v>219</v>
      </c>
      <c r="M34" s="270" t="str">
        <f>IFERROR(INDEX([1]Produtos!$C:$C,MATCH(L34,[1]Produtos!$B:$B,0)), "-")</f>
        <v>BODY SPLASH MATTE PÊSSEGO</v>
      </c>
      <c r="N34" s="510">
        <f>IFERROR(INDEX([1]Produtos!$E:$E,MATCH(L34,[1]Produtos!$B:$B,0)), "-")</f>
        <v>100</v>
      </c>
      <c r="O34" s="270" t="str">
        <f>IFERROR(INDEX([1]Produtos!$F:$F,MATCH(L34,[1]Produtos!$B:$B,0)), "-")</f>
        <v>ml</v>
      </c>
      <c r="P34" s="270" t="str">
        <f>IFERROR(INDEX([1]Produtos!$G:$G,MATCH(L34,[1]Produtos!$B:$B,0)), "-")</f>
        <v>SAFIRA</v>
      </c>
      <c r="Q34" s="270" t="str">
        <f>IFERROR(INDEX([1]Produtos!$H:$H,MATCH(L34,[1]Produtos!$B:$B,0)), "-")</f>
        <v>PERFUMARIA</v>
      </c>
      <c r="R34" s="270" t="str">
        <f>IFERROR(INDEX([1]Produtos!$I:$I,MATCH(L34,[1]Produtos!$B:$B,0)), "-")</f>
        <v>BODY SPLASH</v>
      </c>
      <c r="S34" s="270" t="str">
        <f>IFERROR(INDEX([1]Produtos!$J:$J,MATCH(L34,[1]Produtos!$B:$B,0)), "-")</f>
        <v>LÍQUIDO</v>
      </c>
      <c r="T34" s="473" t="s">
        <v>131</v>
      </c>
      <c r="U34" s="270"/>
      <c r="V34" s="270"/>
      <c r="W34" s="270"/>
      <c r="X34" s="270"/>
      <c r="Y34" s="270"/>
      <c r="Z34" s="270"/>
      <c r="AA34" s="270"/>
      <c r="AB34" s="270"/>
      <c r="AC34" s="270"/>
      <c r="AD34" s="270"/>
      <c r="AE34" s="270"/>
      <c r="AF34" s="270"/>
      <c r="AG34" s="270"/>
      <c r="AH34" s="270"/>
      <c r="AI34" s="270"/>
      <c r="AJ34" s="270"/>
      <c r="AK34" s="270"/>
      <c r="AL34" s="270"/>
      <c r="AM34" s="663"/>
      <c r="AN34" s="663"/>
      <c r="AO34" s="708" t="str">
        <f>IF(OR(Table1[[#This Row],[Início Setup Envase]]="",Table1[[#This Row],[Final Setup Envase]]=""),"",Table1[[#This Row],[Final Setup Envase]]-Table1[[#This Row],[Início Setup Envase]])</f>
        <v/>
      </c>
      <c r="AP34" s="663"/>
      <c r="AQ34" s="663"/>
      <c r="AR34" s="270"/>
      <c r="AS34" s="270"/>
      <c r="AT34" s="270"/>
      <c r="AU34" s="270"/>
      <c r="AV34" s="270"/>
      <c r="AW34" s="270"/>
      <c r="AX34" s="270"/>
      <c r="AY34" s="270"/>
      <c r="AZ34" s="270"/>
      <c r="BA34" s="270">
        <f>IF(Table1[[#This Row],[Data de Início]]="","",YEAR(Table1[[#This Row],[Data de Início]]))</f>
        <v>2025</v>
      </c>
      <c r="BB34" s="270">
        <f>IF(Table1[[#This Row],[Data de Início]]="","",MONTH(Table1[[#This Row],[Data de Início]]))</f>
        <v>3</v>
      </c>
      <c r="BC34" s="270"/>
    </row>
    <row r="35" spans="2:55" ht="15" customHeight="1" x14ac:dyDescent="0.25">
      <c r="B35" s="470">
        <v>45728.416666666664</v>
      </c>
      <c r="C35" s="263">
        <v>45729.420138888891</v>
      </c>
      <c r="D35" s="264" cm="1">
        <f t="array" ref="D35">IFERROR(HorasUteisFabrica2Turnos(B35,C35), "")</f>
        <v>9.0833333335467614</v>
      </c>
      <c r="E35" s="265">
        <f t="shared" si="0"/>
        <v>440.36697246671707</v>
      </c>
      <c r="F35" s="265"/>
      <c r="G35" s="265"/>
      <c r="H35" s="265"/>
      <c r="I35" s="269" t="s">
        <v>71</v>
      </c>
      <c r="J35" s="267" t="s">
        <v>15</v>
      </c>
      <c r="K35" s="268">
        <v>4000</v>
      </c>
      <c r="L35" s="269" t="s">
        <v>215</v>
      </c>
      <c r="M35" s="270" t="str">
        <f>IFERROR(INDEX([1]Produtos!$C:$C,MATCH(L35,[1]Produtos!$B:$B,0)), "-")</f>
        <v>BODY SPLASH BAUNILHA COM COCO BRONZE GLOW</v>
      </c>
      <c r="N35" s="510">
        <f>IFERROR(INDEX([1]Produtos!$E:$E,MATCH(L35,[1]Produtos!$B:$B,0)), "-")</f>
        <v>100</v>
      </c>
      <c r="O35" s="270" t="str">
        <f>IFERROR(INDEX([1]Produtos!$F:$F,MATCH(L35,[1]Produtos!$B:$B,0)), "-")</f>
        <v>ml</v>
      </c>
      <c r="P35" s="270" t="str">
        <f>IFERROR(INDEX([1]Produtos!$G:$G,MATCH(L35,[1]Produtos!$B:$B,0)), "-")</f>
        <v>SAFIRA</v>
      </c>
      <c r="Q35" s="270" t="str">
        <f>IFERROR(INDEX([1]Produtos!$H:$H,MATCH(L35,[1]Produtos!$B:$B,0)), "-")</f>
        <v>PERFUMARIA</v>
      </c>
      <c r="R35" s="270" t="str">
        <f>IFERROR(INDEX([1]Produtos!$I:$I,MATCH(L35,[1]Produtos!$B:$B,0)), "-")</f>
        <v>BODY SPLASH</v>
      </c>
      <c r="S35" s="270" t="str">
        <f>IFERROR(INDEX([1]Produtos!$J:$J,MATCH(L35,[1]Produtos!$B:$B,0)), "-")</f>
        <v>LÍQUIDO ESPESSO</v>
      </c>
      <c r="T35" s="473"/>
      <c r="U35" s="270"/>
      <c r="V35" s="270"/>
      <c r="W35" s="270"/>
      <c r="X35" s="270"/>
      <c r="Y35" s="270"/>
      <c r="Z35" s="270"/>
      <c r="AA35" s="270"/>
      <c r="AB35" s="270"/>
      <c r="AC35" s="270"/>
      <c r="AD35" s="270"/>
      <c r="AE35" s="270"/>
      <c r="AF35" s="270"/>
      <c r="AG35" s="270"/>
      <c r="AH35" s="270"/>
      <c r="AI35" s="270"/>
      <c r="AJ35" s="270"/>
      <c r="AK35" s="270"/>
      <c r="AL35" s="270"/>
      <c r="AM35" s="663"/>
      <c r="AN35" s="663"/>
      <c r="AO35" s="708" t="str">
        <f>IF(OR(Table1[[#This Row],[Início Setup Envase]]="",Table1[[#This Row],[Final Setup Envase]]=""),"",Table1[[#This Row],[Final Setup Envase]]-Table1[[#This Row],[Início Setup Envase]])</f>
        <v/>
      </c>
      <c r="AP35" s="663"/>
      <c r="AQ35" s="663"/>
      <c r="AR35" s="270"/>
      <c r="AS35" s="270"/>
      <c r="AT35" s="270"/>
      <c r="AU35" s="270"/>
      <c r="AV35" s="270"/>
      <c r="AW35" s="270"/>
      <c r="AX35" s="270"/>
      <c r="AY35" s="270"/>
      <c r="AZ35" s="270"/>
      <c r="BA35" s="270">
        <f>IF(Table1[[#This Row],[Data de Início]]="","",YEAR(Table1[[#This Row],[Data de Início]]))</f>
        <v>2025</v>
      </c>
      <c r="BB35" s="270">
        <f>IF(Table1[[#This Row],[Data de Início]]="","",MONTH(Table1[[#This Row],[Data de Início]]))</f>
        <v>3</v>
      </c>
      <c r="BC35" s="270"/>
    </row>
    <row r="36" spans="2:55" ht="15" customHeight="1" x14ac:dyDescent="0.25">
      <c r="B36" s="470">
        <v>45729.454861111109</v>
      </c>
      <c r="C36" s="263"/>
      <c r="D36" s="264" cm="1">
        <f t="array" ref="D36">IFERROR(HorasUteisFabrica2Turnos(B36,C36), "")</f>
        <v>0</v>
      </c>
      <c r="E36" s="265" t="str">
        <f t="shared" si="0"/>
        <v/>
      </c>
      <c r="F36" s="265"/>
      <c r="G36" s="265"/>
      <c r="H36" s="265"/>
      <c r="I36" s="269" t="s">
        <v>70</v>
      </c>
      <c r="J36" s="267" t="s">
        <v>15</v>
      </c>
      <c r="K36" s="268">
        <v>4000</v>
      </c>
      <c r="L36" s="269" t="s">
        <v>216</v>
      </c>
      <c r="M36" s="270" t="str">
        <f>IFERROR(INDEX([1]Produtos!$C:$C,MATCH(L36,[1]Produtos!$B:$B,0)), "-")</f>
        <v>BODY SPLASH DAMASCO COM COCO BRONZE GLOW</v>
      </c>
      <c r="N36" s="510">
        <f>IFERROR(INDEX([1]Produtos!$E:$E,MATCH(L36,[1]Produtos!$B:$B,0)), "-")</f>
        <v>100</v>
      </c>
      <c r="O36" s="270" t="str">
        <f>IFERROR(INDEX([1]Produtos!$F:$F,MATCH(L36,[1]Produtos!$B:$B,0)), "-")</f>
        <v>ml</v>
      </c>
      <c r="P36" s="270" t="str">
        <f>IFERROR(INDEX([1]Produtos!$G:$G,MATCH(L36,[1]Produtos!$B:$B,0)), "-")</f>
        <v>SAFIRA</v>
      </c>
      <c r="Q36" s="270" t="str">
        <f>IFERROR(INDEX([1]Produtos!$H:$H,MATCH(L36,[1]Produtos!$B:$B,0)), "-")</f>
        <v>PERFUMARIA</v>
      </c>
      <c r="R36" s="270" t="str">
        <f>IFERROR(INDEX([1]Produtos!$I:$I,MATCH(L36,[1]Produtos!$B:$B,0)), "-")</f>
        <v>BODY SPLASH</v>
      </c>
      <c r="S36" s="270" t="str">
        <f>IFERROR(INDEX([1]Produtos!$J:$J,MATCH(L36,[1]Produtos!$B:$B,0)), "-")</f>
        <v>LÍQUIDO ESPESSO</v>
      </c>
      <c r="T36" s="473" t="s">
        <v>131</v>
      </c>
      <c r="U36" s="270"/>
      <c r="V36" s="270"/>
      <c r="W36" s="270"/>
      <c r="X36" s="270"/>
      <c r="Y36" s="270"/>
      <c r="Z36" s="270"/>
      <c r="AA36" s="270"/>
      <c r="AB36" s="270"/>
      <c r="AC36" s="270"/>
      <c r="AD36" s="270"/>
      <c r="AE36" s="270"/>
      <c r="AF36" s="270"/>
      <c r="AG36" s="270"/>
      <c r="AH36" s="270"/>
      <c r="AI36" s="270"/>
      <c r="AJ36" s="270"/>
      <c r="AK36" s="270"/>
      <c r="AL36" s="270"/>
      <c r="AM36" s="663"/>
      <c r="AN36" s="663"/>
      <c r="AO36" s="708" t="str">
        <f>IF(OR(Table1[[#This Row],[Início Setup Envase]]="",Table1[[#This Row],[Final Setup Envase]]=""),"",Table1[[#This Row],[Final Setup Envase]]-Table1[[#This Row],[Início Setup Envase]])</f>
        <v/>
      </c>
      <c r="AP36" s="663"/>
      <c r="AQ36" s="663"/>
      <c r="AR36" s="270"/>
      <c r="AS36" s="270"/>
      <c r="AT36" s="270"/>
      <c r="AU36" s="270"/>
      <c r="AV36" s="270"/>
      <c r="AW36" s="270"/>
      <c r="AX36" s="270"/>
      <c r="AY36" s="270"/>
      <c r="AZ36" s="270"/>
      <c r="BA36" s="270">
        <f>IF(Table1[[#This Row],[Data de Início]]="","",YEAR(Table1[[#This Row],[Data de Início]]))</f>
        <v>2025</v>
      </c>
      <c r="BB36" s="270">
        <f>IF(Table1[[#This Row],[Data de Início]]="","",MONTH(Table1[[#This Row],[Data de Início]]))</f>
        <v>3</v>
      </c>
      <c r="BC36" s="270"/>
    </row>
    <row r="37" spans="2:55" ht="15" customHeight="1" x14ac:dyDescent="0.25">
      <c r="B37" s="470">
        <v>45730.354166666664</v>
      </c>
      <c r="C37" s="263">
        <v>45730</v>
      </c>
      <c r="D37" s="264" cm="1">
        <f t="array" ref="D37">IFERROR(HorasUteisFabrica2Turnos(B37,C37), "")</f>
        <v>0</v>
      </c>
      <c r="E37" s="265" t="str">
        <f t="shared" si="0"/>
        <v/>
      </c>
      <c r="F37" s="265"/>
      <c r="G37" s="265"/>
      <c r="H37" s="265"/>
      <c r="I37" s="269" t="s">
        <v>69</v>
      </c>
      <c r="J37" s="267" t="s">
        <v>15</v>
      </c>
      <c r="K37" s="268">
        <v>4068</v>
      </c>
      <c r="L37" s="269" t="s">
        <v>217</v>
      </c>
      <c r="M37" s="270" t="str">
        <f>IFERROR(INDEX([1]Produtos!$C:$C,MATCH(L37,[1]Produtos!$B:$B,0)), "-")</f>
        <v>BODY SPLASH MANGA GOLD SHINE GLOW</v>
      </c>
      <c r="N37" s="510">
        <f>IFERROR(INDEX([1]Produtos!$E:$E,MATCH(L37,[1]Produtos!$B:$B,0)), "-")</f>
        <v>100</v>
      </c>
      <c r="O37" s="270" t="str">
        <f>IFERROR(INDEX([1]Produtos!$F:$F,MATCH(L37,[1]Produtos!$B:$B,0)), "-")</f>
        <v>ml</v>
      </c>
      <c r="P37" s="270" t="str">
        <f>IFERROR(INDEX([1]Produtos!$G:$G,MATCH(L37,[1]Produtos!$B:$B,0)), "-")</f>
        <v>SAFIRA</v>
      </c>
      <c r="Q37" s="270" t="str">
        <f>IFERROR(INDEX([1]Produtos!$H:$H,MATCH(L37,[1]Produtos!$B:$B,0)), "-")</f>
        <v>PERFUMARIA</v>
      </c>
      <c r="R37" s="270" t="str">
        <f>IFERROR(INDEX([1]Produtos!$I:$I,MATCH(L37,[1]Produtos!$B:$B,0)), "-")</f>
        <v>BODY SPLASH</v>
      </c>
      <c r="S37" s="270" t="str">
        <f>IFERROR(INDEX([1]Produtos!$J:$J,MATCH(L37,[1]Produtos!$B:$B,0)), "-")</f>
        <v>LÍQUIDO ESPESSO</v>
      </c>
      <c r="T37" s="473" t="s">
        <v>131</v>
      </c>
      <c r="U37" s="270"/>
      <c r="V37" s="270"/>
      <c r="W37" s="270"/>
      <c r="X37" s="270"/>
      <c r="Y37" s="270"/>
      <c r="Z37" s="270"/>
      <c r="AA37" s="270"/>
      <c r="AB37" s="270"/>
      <c r="AC37" s="270"/>
      <c r="AD37" s="270"/>
      <c r="AE37" s="270"/>
      <c r="AF37" s="270"/>
      <c r="AG37" s="270"/>
      <c r="AH37" s="270"/>
      <c r="AI37" s="270"/>
      <c r="AJ37" s="270"/>
      <c r="AK37" s="270"/>
      <c r="AL37" s="270"/>
      <c r="AM37" s="663"/>
      <c r="AN37" s="663"/>
      <c r="AO37" s="708" t="str">
        <f>IF(OR(Table1[[#This Row],[Início Setup Envase]]="",Table1[[#This Row],[Final Setup Envase]]=""),"",Table1[[#This Row],[Final Setup Envase]]-Table1[[#This Row],[Início Setup Envase]])</f>
        <v/>
      </c>
      <c r="AP37" s="663"/>
      <c r="AQ37" s="663"/>
      <c r="AR37" s="270"/>
      <c r="AS37" s="270"/>
      <c r="AT37" s="270"/>
      <c r="AU37" s="270"/>
      <c r="AV37" s="270"/>
      <c r="AW37" s="270"/>
      <c r="AX37" s="270"/>
      <c r="AY37" s="270"/>
      <c r="AZ37" s="270"/>
      <c r="BA37" s="270">
        <f>IF(Table1[[#This Row],[Data de Início]]="","",YEAR(Table1[[#This Row],[Data de Início]]))</f>
        <v>2025</v>
      </c>
      <c r="BB37" s="270">
        <f>IF(Table1[[#This Row],[Data de Início]]="","",MONTH(Table1[[#This Row],[Data de Início]]))</f>
        <v>3</v>
      </c>
      <c r="BC37" s="270"/>
    </row>
    <row r="38" spans="2:55" ht="15" customHeight="1" x14ac:dyDescent="0.25">
      <c r="B38" s="470">
        <v>45733.395833333336</v>
      </c>
      <c r="C38" s="263">
        <v>45733.541666666664</v>
      </c>
      <c r="D38" s="264" cm="1">
        <f t="array" ref="D38">IFERROR(HorasUteisFabrica2Turnos(B38,C38), "")</f>
        <v>3.4999999998835847</v>
      </c>
      <c r="E38" s="265">
        <f t="shared" si="0"/>
        <v>726.85714288131919</v>
      </c>
      <c r="F38" s="265"/>
      <c r="G38" s="265"/>
      <c r="H38" s="265"/>
      <c r="I38" s="269" t="s">
        <v>45</v>
      </c>
      <c r="J38" s="267" t="s">
        <v>15</v>
      </c>
      <c r="K38" s="269">
        <v>2544</v>
      </c>
      <c r="L38" s="269" t="s">
        <v>212</v>
      </c>
      <c r="M38" s="270" t="str">
        <f>IFERROR(INDEX([1]Produtos!$C:$C,MATCH(L38,[1]Produtos!$B:$B,0)), "-")</f>
        <v>BODY SPLASH FORÇA DO LEAO</v>
      </c>
      <c r="N38" s="510">
        <f>IFERROR(INDEX([1]Produtos!$E:$E,MATCH(L38,[1]Produtos!$B:$B,0)), "-")</f>
        <v>220</v>
      </c>
      <c r="O38" s="270" t="str">
        <f>IFERROR(INDEX([1]Produtos!$F:$F,MATCH(L38,[1]Produtos!$B:$B,0)), "-")</f>
        <v>ml</v>
      </c>
      <c r="P38" s="270" t="str">
        <f>IFERROR(INDEX([1]Produtos!$G:$G,MATCH(L38,[1]Produtos!$B:$B,0)), "-")</f>
        <v>MISS RÔSE</v>
      </c>
      <c r="Q38" s="270" t="str">
        <f>IFERROR(INDEX([1]Produtos!$H:$H,MATCH(L38,[1]Produtos!$B:$B,0)), "-")</f>
        <v>PERFUMARIA</v>
      </c>
      <c r="R38" s="270" t="str">
        <f>IFERROR(INDEX([1]Produtos!$I:$I,MATCH(L38,[1]Produtos!$B:$B,0)), "-")</f>
        <v>BODY SPLASH</v>
      </c>
      <c r="S38" s="270" t="str">
        <f>IFERROR(INDEX([1]Produtos!$J:$J,MATCH(L38,[1]Produtos!$B:$B,0)), "-")</f>
        <v>LÍQUIDO</v>
      </c>
      <c r="T38" s="473"/>
      <c r="U38" s="270"/>
      <c r="V38" s="270"/>
      <c r="W38" s="270"/>
      <c r="X38" s="270"/>
      <c r="Y38" s="270"/>
      <c r="Z38" s="270"/>
      <c r="AA38" s="270"/>
      <c r="AB38" s="270"/>
      <c r="AC38" s="270"/>
      <c r="AD38" s="270"/>
      <c r="AE38" s="270"/>
      <c r="AF38" s="270"/>
      <c r="AG38" s="270"/>
      <c r="AH38" s="270"/>
      <c r="AI38" s="270"/>
      <c r="AJ38" s="270"/>
      <c r="AK38" s="270"/>
      <c r="AL38" s="270"/>
      <c r="AM38" s="663"/>
      <c r="AN38" s="663"/>
      <c r="AO38" s="708" t="str">
        <f>IF(OR(Table1[[#This Row],[Início Setup Envase]]="",Table1[[#This Row],[Final Setup Envase]]=""),"",Table1[[#This Row],[Final Setup Envase]]-Table1[[#This Row],[Início Setup Envase]])</f>
        <v/>
      </c>
      <c r="AP38" s="663"/>
      <c r="AQ38" s="663"/>
      <c r="AR38" s="270"/>
      <c r="AS38" s="270"/>
      <c r="AT38" s="270"/>
      <c r="AU38" s="270"/>
      <c r="AV38" s="270"/>
      <c r="AW38" s="270"/>
      <c r="AX38" s="270"/>
      <c r="AY38" s="270"/>
      <c r="AZ38" s="270"/>
      <c r="BA38" s="270">
        <f>IF(Table1[[#This Row],[Data de Início]]="","",YEAR(Table1[[#This Row],[Data de Início]]))</f>
        <v>2025</v>
      </c>
      <c r="BB38" s="270">
        <f>IF(Table1[[#This Row],[Data de Início]]="","",MONTH(Table1[[#This Row],[Data de Início]]))</f>
        <v>3</v>
      </c>
      <c r="BC38" s="270"/>
    </row>
    <row r="39" spans="2:55" ht="15" customHeight="1" x14ac:dyDescent="0.25">
      <c r="B39" s="470">
        <v>45733.545138888891</v>
      </c>
      <c r="C39" s="263">
        <v>45733.654861111114</v>
      </c>
      <c r="D39" s="264" cm="1">
        <f t="array" ref="D39">IFERROR(HorasUteisFabrica2Turnos(B39,C39), "")</f>
        <v>2.6333333333604969</v>
      </c>
      <c r="E39" s="265">
        <f t="shared" si="0"/>
        <v>966.07594935712325</v>
      </c>
      <c r="F39" s="265"/>
      <c r="G39" s="265"/>
      <c r="H39" s="265"/>
      <c r="I39" s="269" t="s">
        <v>46</v>
      </c>
      <c r="J39" s="267" t="s">
        <v>15</v>
      </c>
      <c r="K39" s="269">
        <v>2544</v>
      </c>
      <c r="L39" s="269" t="s">
        <v>212</v>
      </c>
      <c r="M39" s="270" t="str">
        <f>IFERROR(INDEX([1]Produtos!$C:$C,MATCH(L39,[1]Produtos!$B:$B,0)), "-")</f>
        <v>BODY SPLASH FORÇA DO LEAO</v>
      </c>
      <c r="N39" s="510">
        <f>IFERROR(INDEX([1]Produtos!$E:$E,MATCH(L39,[1]Produtos!$B:$B,0)), "-")</f>
        <v>220</v>
      </c>
      <c r="O39" s="270" t="str">
        <f>IFERROR(INDEX([1]Produtos!$F:$F,MATCH(L39,[1]Produtos!$B:$B,0)), "-")</f>
        <v>ml</v>
      </c>
      <c r="P39" s="270" t="str">
        <f>IFERROR(INDEX([1]Produtos!$G:$G,MATCH(L39,[1]Produtos!$B:$B,0)), "-")</f>
        <v>MISS RÔSE</v>
      </c>
      <c r="Q39" s="270" t="str">
        <f>IFERROR(INDEX([1]Produtos!$H:$H,MATCH(L39,[1]Produtos!$B:$B,0)), "-")</f>
        <v>PERFUMARIA</v>
      </c>
      <c r="R39" s="270" t="str">
        <f>IFERROR(INDEX([1]Produtos!$I:$I,MATCH(L39,[1]Produtos!$B:$B,0)), "-")</f>
        <v>BODY SPLASH</v>
      </c>
      <c r="S39" s="270" t="str">
        <f>IFERROR(INDEX([1]Produtos!$J:$J,MATCH(L39,[1]Produtos!$B:$B,0)), "-")</f>
        <v>LÍQUIDO</v>
      </c>
      <c r="T39" s="473"/>
      <c r="U39" s="270"/>
      <c r="V39" s="270"/>
      <c r="W39" s="270"/>
      <c r="X39" s="270"/>
      <c r="Y39" s="270"/>
      <c r="Z39" s="270"/>
      <c r="AA39" s="270"/>
      <c r="AB39" s="270"/>
      <c r="AC39" s="270"/>
      <c r="AD39" s="270"/>
      <c r="AE39" s="270"/>
      <c r="AF39" s="270"/>
      <c r="AG39" s="270"/>
      <c r="AH39" s="270"/>
      <c r="AI39" s="270"/>
      <c r="AJ39" s="270"/>
      <c r="AK39" s="270"/>
      <c r="AL39" s="270"/>
      <c r="AM39" s="663"/>
      <c r="AN39" s="663"/>
      <c r="AO39" s="708" t="str">
        <f>IF(OR(Table1[[#This Row],[Início Setup Envase]]="",Table1[[#This Row],[Final Setup Envase]]=""),"",Table1[[#This Row],[Final Setup Envase]]-Table1[[#This Row],[Início Setup Envase]])</f>
        <v/>
      </c>
      <c r="AP39" s="663"/>
      <c r="AQ39" s="663"/>
      <c r="AR39" s="270"/>
      <c r="AS39" s="270"/>
      <c r="AT39" s="270"/>
      <c r="AU39" s="270"/>
      <c r="AV39" s="270"/>
      <c r="AW39" s="270"/>
      <c r="AX39" s="270"/>
      <c r="AY39" s="270"/>
      <c r="AZ39" s="270"/>
      <c r="BA39" s="270">
        <f>IF(Table1[[#This Row],[Data de Início]]="","",YEAR(Table1[[#This Row],[Data de Início]]))</f>
        <v>2025</v>
      </c>
      <c r="BB39" s="270">
        <f>IF(Table1[[#This Row],[Data de Início]]="","",MONTH(Table1[[#This Row],[Data de Início]]))</f>
        <v>3</v>
      </c>
      <c r="BC39" s="270"/>
    </row>
    <row r="40" spans="2:55" ht="15" customHeight="1" x14ac:dyDescent="0.25">
      <c r="B40" s="470">
        <v>45733.654861111114</v>
      </c>
      <c r="C40" s="263">
        <v>45733</v>
      </c>
      <c r="D40" s="264" cm="1">
        <f t="array" ref="D40">IFERROR(HorasUteisFabrica2Turnos(B40,C40), "")</f>
        <v>0</v>
      </c>
      <c r="E40" s="265" t="str">
        <f t="shared" si="0"/>
        <v/>
      </c>
      <c r="F40" s="265"/>
      <c r="G40" s="265"/>
      <c r="H40" s="265"/>
      <c r="I40" s="269" t="s">
        <v>47</v>
      </c>
      <c r="J40" s="267" t="s">
        <v>15</v>
      </c>
      <c r="K40" s="269">
        <v>2544</v>
      </c>
      <c r="L40" s="269" t="s">
        <v>212</v>
      </c>
      <c r="M40" s="270" t="str">
        <f>IFERROR(INDEX([1]Produtos!$C:$C,MATCH(L40,[1]Produtos!$B:$B,0)), "-")</f>
        <v>BODY SPLASH FORÇA DO LEAO</v>
      </c>
      <c r="N40" s="510">
        <f>IFERROR(INDEX([1]Produtos!$E:$E,MATCH(L40,[1]Produtos!$B:$B,0)), "-")</f>
        <v>220</v>
      </c>
      <c r="O40" s="270" t="str">
        <f>IFERROR(INDEX([1]Produtos!$F:$F,MATCH(L40,[1]Produtos!$B:$B,0)), "-")</f>
        <v>ml</v>
      </c>
      <c r="P40" s="270" t="str">
        <f>IFERROR(INDEX([1]Produtos!$G:$G,MATCH(L40,[1]Produtos!$B:$B,0)), "-")</f>
        <v>MISS RÔSE</v>
      </c>
      <c r="Q40" s="270" t="str">
        <f>IFERROR(INDEX([1]Produtos!$H:$H,MATCH(L40,[1]Produtos!$B:$B,0)), "-")</f>
        <v>PERFUMARIA</v>
      </c>
      <c r="R40" s="270" t="str">
        <f>IFERROR(INDEX([1]Produtos!$I:$I,MATCH(L40,[1]Produtos!$B:$B,0)), "-")</f>
        <v>BODY SPLASH</v>
      </c>
      <c r="S40" s="270" t="str">
        <f>IFERROR(INDEX([1]Produtos!$J:$J,MATCH(L40,[1]Produtos!$B:$B,0)), "-")</f>
        <v>LÍQUIDO</v>
      </c>
      <c r="T40" s="473" t="s">
        <v>131</v>
      </c>
      <c r="U40" s="270"/>
      <c r="V40" s="270"/>
      <c r="W40" s="270"/>
      <c r="X40" s="270"/>
      <c r="Y40" s="270"/>
      <c r="Z40" s="270"/>
      <c r="AA40" s="270"/>
      <c r="AB40" s="270"/>
      <c r="AC40" s="270"/>
      <c r="AD40" s="270"/>
      <c r="AE40" s="270"/>
      <c r="AF40" s="270"/>
      <c r="AG40" s="270"/>
      <c r="AH40" s="270"/>
      <c r="AI40" s="270"/>
      <c r="AJ40" s="270"/>
      <c r="AK40" s="270"/>
      <c r="AL40" s="270"/>
      <c r="AM40" s="663"/>
      <c r="AN40" s="663"/>
      <c r="AO40" s="708" t="str">
        <f>IF(OR(Table1[[#This Row],[Início Setup Envase]]="",Table1[[#This Row],[Final Setup Envase]]=""),"",Table1[[#This Row],[Final Setup Envase]]-Table1[[#This Row],[Início Setup Envase]])</f>
        <v/>
      </c>
      <c r="AP40" s="663"/>
      <c r="AQ40" s="663"/>
      <c r="AR40" s="270"/>
      <c r="AS40" s="270"/>
      <c r="AT40" s="270"/>
      <c r="AU40" s="270"/>
      <c r="AV40" s="270"/>
      <c r="AW40" s="270"/>
      <c r="AX40" s="270"/>
      <c r="AY40" s="270"/>
      <c r="AZ40" s="270"/>
      <c r="BA40" s="270">
        <f>IF(Table1[[#This Row],[Data de Início]]="","",YEAR(Table1[[#This Row],[Data de Início]]))</f>
        <v>2025</v>
      </c>
      <c r="BB40" s="270">
        <f>IF(Table1[[#This Row],[Data de Início]]="","",MONTH(Table1[[#This Row],[Data de Início]]))</f>
        <v>3</v>
      </c>
      <c r="BC40" s="270"/>
    </row>
    <row r="41" spans="2:55" ht="15" customHeight="1" x14ac:dyDescent="0.25">
      <c r="B41" s="470">
        <v>45734.625</v>
      </c>
      <c r="C41" s="263">
        <v>45735.333333333336</v>
      </c>
      <c r="D41" s="264" cm="1">
        <f t="array" ref="D41">IFERROR(HorasUteisFabrica2Turnos(B41,C41), "")</f>
        <v>3.000000000174623</v>
      </c>
      <c r="E41" s="265">
        <f t="shared" si="0"/>
        <v>847.9999999506399</v>
      </c>
      <c r="F41" s="265"/>
      <c r="G41" s="265"/>
      <c r="H41" s="265"/>
      <c r="I41" s="269" t="s">
        <v>48</v>
      </c>
      <c r="J41" s="267" t="s">
        <v>15</v>
      </c>
      <c r="K41" s="269">
        <v>2544</v>
      </c>
      <c r="L41" s="269" t="s">
        <v>212</v>
      </c>
      <c r="M41" s="270" t="str">
        <f>IFERROR(INDEX([1]Produtos!$C:$C,MATCH(L41,[1]Produtos!$B:$B,0)), "-")</f>
        <v>BODY SPLASH FORÇA DO LEAO</v>
      </c>
      <c r="N41" s="510">
        <f>IFERROR(INDEX([1]Produtos!$E:$E,MATCH(L41,[1]Produtos!$B:$B,0)), "-")</f>
        <v>220</v>
      </c>
      <c r="O41" s="270" t="str">
        <f>IFERROR(INDEX([1]Produtos!$F:$F,MATCH(L41,[1]Produtos!$B:$B,0)), "-")</f>
        <v>ml</v>
      </c>
      <c r="P41" s="270" t="str">
        <f>IFERROR(INDEX([1]Produtos!$G:$G,MATCH(L41,[1]Produtos!$B:$B,0)), "-")</f>
        <v>MISS RÔSE</v>
      </c>
      <c r="Q41" s="270" t="str">
        <f>IFERROR(INDEX([1]Produtos!$H:$H,MATCH(L41,[1]Produtos!$B:$B,0)), "-")</f>
        <v>PERFUMARIA</v>
      </c>
      <c r="R41" s="270" t="str">
        <f>IFERROR(INDEX([1]Produtos!$I:$I,MATCH(L41,[1]Produtos!$B:$B,0)), "-")</f>
        <v>BODY SPLASH</v>
      </c>
      <c r="S41" s="270" t="str">
        <f>IFERROR(INDEX([1]Produtos!$J:$J,MATCH(L41,[1]Produtos!$B:$B,0)), "-")</f>
        <v>LÍQUIDO</v>
      </c>
      <c r="T41" s="473"/>
      <c r="U41" s="270"/>
      <c r="V41" s="270"/>
      <c r="W41" s="270"/>
      <c r="X41" s="270"/>
      <c r="Y41" s="270"/>
      <c r="Z41" s="270"/>
      <c r="AA41" s="270"/>
      <c r="AB41" s="270"/>
      <c r="AC41" s="270"/>
      <c r="AD41" s="270"/>
      <c r="AE41" s="270"/>
      <c r="AF41" s="270"/>
      <c r="AG41" s="270"/>
      <c r="AH41" s="270"/>
      <c r="AI41" s="270"/>
      <c r="AJ41" s="270"/>
      <c r="AK41" s="270"/>
      <c r="AL41" s="270"/>
      <c r="AM41" s="663"/>
      <c r="AN41" s="663"/>
      <c r="AO41" s="708" t="str">
        <f>IF(OR(Table1[[#This Row],[Início Setup Envase]]="",Table1[[#This Row],[Final Setup Envase]]=""),"",Table1[[#This Row],[Final Setup Envase]]-Table1[[#This Row],[Início Setup Envase]])</f>
        <v/>
      </c>
      <c r="AP41" s="663"/>
      <c r="AQ41" s="663"/>
      <c r="AR41" s="270"/>
      <c r="AS41" s="270"/>
      <c r="AT41" s="270"/>
      <c r="AU41" s="270"/>
      <c r="AV41" s="270"/>
      <c r="AW41" s="270"/>
      <c r="AX41" s="270"/>
      <c r="AY41" s="270"/>
      <c r="AZ41" s="270"/>
      <c r="BA41" s="270">
        <f>IF(Table1[[#This Row],[Data de Início]]="","",YEAR(Table1[[#This Row],[Data de Início]]))</f>
        <v>2025</v>
      </c>
      <c r="BB41" s="270">
        <f>IF(Table1[[#This Row],[Data de Início]]="","",MONTH(Table1[[#This Row],[Data de Início]]))</f>
        <v>3</v>
      </c>
      <c r="BC41" s="270"/>
    </row>
    <row r="42" spans="2:55" ht="15" customHeight="1" x14ac:dyDescent="0.25">
      <c r="B42" s="470">
        <v>45735.568055555559</v>
      </c>
      <c r="C42" s="263">
        <v>45735.652777777781</v>
      </c>
      <c r="D42" s="264" cm="1">
        <f t="array" ref="D42">IFERROR(HorasUteisFabrica2Turnos(B42,C42), "")</f>
        <v>2.0333333333255723</v>
      </c>
      <c r="E42" s="265">
        <f t="shared" si="0"/>
        <v>1251.1475409883822</v>
      </c>
      <c r="F42" s="265"/>
      <c r="G42" s="265"/>
      <c r="H42" s="265"/>
      <c r="I42" s="269" t="s">
        <v>38</v>
      </c>
      <c r="J42" s="267" t="s">
        <v>15</v>
      </c>
      <c r="K42" s="268">
        <v>2544</v>
      </c>
      <c r="L42" s="269" t="s">
        <v>211</v>
      </c>
      <c r="M42" s="270" t="str">
        <f>IFERROR(INDEX([1]Produtos!$C:$C,MATCH(L42,[1]Produtos!$B:$B,0)), "-")</f>
        <v>BODY SPLASH AURORA IMPERIAL</v>
      </c>
      <c r="N42" s="510">
        <f>IFERROR(INDEX([1]Produtos!$E:$E,MATCH(L42,[1]Produtos!$B:$B,0)), "-")</f>
        <v>220</v>
      </c>
      <c r="O42" s="270" t="str">
        <f>IFERROR(INDEX([1]Produtos!$F:$F,MATCH(L42,[1]Produtos!$B:$B,0)), "-")</f>
        <v>ml</v>
      </c>
      <c r="P42" s="270" t="str">
        <f>IFERROR(INDEX([1]Produtos!$G:$G,MATCH(L42,[1]Produtos!$B:$B,0)), "-")</f>
        <v>MISS RÔSE</v>
      </c>
      <c r="Q42" s="270" t="str">
        <f>IFERROR(INDEX([1]Produtos!$H:$H,MATCH(L42,[1]Produtos!$B:$B,0)), "-")</f>
        <v>PERFUMARIA</v>
      </c>
      <c r="R42" s="270" t="str">
        <f>IFERROR(INDEX([1]Produtos!$I:$I,MATCH(L42,[1]Produtos!$B:$B,0)), "-")</f>
        <v>BODY SPLASH</v>
      </c>
      <c r="S42" s="270" t="str">
        <f>IFERROR(INDEX([1]Produtos!$J:$J,MATCH(L42,[1]Produtos!$B:$B,0)), "-")</f>
        <v>LÍQUIDO</v>
      </c>
      <c r="T42" s="473"/>
      <c r="U42" s="270"/>
      <c r="V42" s="270"/>
      <c r="W42" s="270"/>
      <c r="X42" s="270"/>
      <c r="Y42" s="270"/>
      <c r="Z42" s="270"/>
      <c r="AA42" s="270"/>
      <c r="AB42" s="270"/>
      <c r="AC42" s="270"/>
      <c r="AD42" s="270"/>
      <c r="AE42" s="270"/>
      <c r="AF42" s="270"/>
      <c r="AG42" s="270"/>
      <c r="AH42" s="270"/>
      <c r="AI42" s="270"/>
      <c r="AJ42" s="270"/>
      <c r="AK42" s="270"/>
      <c r="AL42" s="270"/>
      <c r="AM42" s="663"/>
      <c r="AN42" s="663"/>
      <c r="AO42" s="708" t="str">
        <f>IF(OR(Table1[[#This Row],[Início Setup Envase]]="",Table1[[#This Row],[Final Setup Envase]]=""),"",Table1[[#This Row],[Final Setup Envase]]-Table1[[#This Row],[Início Setup Envase]])</f>
        <v/>
      </c>
      <c r="AP42" s="663"/>
      <c r="AQ42" s="663"/>
      <c r="AR42" s="270"/>
      <c r="AS42" s="270"/>
      <c r="AT42" s="270"/>
      <c r="AU42" s="270"/>
      <c r="AV42" s="270"/>
      <c r="AW42" s="270"/>
      <c r="AX42" s="270"/>
      <c r="AY42" s="270"/>
      <c r="AZ42" s="270"/>
      <c r="BA42" s="270">
        <f>IF(Table1[[#This Row],[Data de Início]]="","",YEAR(Table1[[#This Row],[Data de Início]]))</f>
        <v>2025</v>
      </c>
      <c r="BB42" s="270">
        <f>IF(Table1[[#This Row],[Data de Início]]="","",MONTH(Table1[[#This Row],[Data de Início]]))</f>
        <v>3</v>
      </c>
      <c r="BC42" s="270"/>
    </row>
    <row r="43" spans="2:55" ht="15" customHeight="1" x14ac:dyDescent="0.25">
      <c r="B43" s="470">
        <v>45735.652777777781</v>
      </c>
      <c r="C43" s="263">
        <v>45736.344444444447</v>
      </c>
      <c r="D43" s="264" cm="1">
        <f t="array" ref="D43">IFERROR(HorasUteisFabrica2Turnos(B43,C43), "")</f>
        <v>2.6000000000931323</v>
      </c>
      <c r="E43" s="265">
        <f t="shared" si="0"/>
        <v>978.46153842648982</v>
      </c>
      <c r="F43" s="265"/>
      <c r="G43" s="265"/>
      <c r="H43" s="265"/>
      <c r="I43" s="269" t="s">
        <v>39</v>
      </c>
      <c r="J43" s="267" t="s">
        <v>15</v>
      </c>
      <c r="K43" s="268">
        <v>2544</v>
      </c>
      <c r="L43" s="269" t="s">
        <v>211</v>
      </c>
      <c r="M43" s="270" t="str">
        <f>IFERROR(INDEX([1]Produtos!$C:$C,MATCH(L43,[1]Produtos!$B:$B,0)), "-")</f>
        <v>BODY SPLASH AURORA IMPERIAL</v>
      </c>
      <c r="N43" s="510">
        <f>IFERROR(INDEX([1]Produtos!$E:$E,MATCH(L43,[1]Produtos!$B:$B,0)), "-")</f>
        <v>220</v>
      </c>
      <c r="O43" s="270" t="str">
        <f>IFERROR(INDEX([1]Produtos!$F:$F,MATCH(L43,[1]Produtos!$B:$B,0)), "-")</f>
        <v>ml</v>
      </c>
      <c r="P43" s="270" t="str">
        <f>IFERROR(INDEX([1]Produtos!$G:$G,MATCH(L43,[1]Produtos!$B:$B,0)), "-")</f>
        <v>MISS RÔSE</v>
      </c>
      <c r="Q43" s="270" t="str">
        <f>IFERROR(INDEX([1]Produtos!$H:$H,MATCH(L43,[1]Produtos!$B:$B,0)), "-")</f>
        <v>PERFUMARIA</v>
      </c>
      <c r="R43" s="270" t="str">
        <f>IFERROR(INDEX([1]Produtos!$I:$I,MATCH(L43,[1]Produtos!$B:$B,0)), "-")</f>
        <v>BODY SPLASH</v>
      </c>
      <c r="S43" s="270" t="str">
        <f>IFERROR(INDEX([1]Produtos!$J:$J,MATCH(L43,[1]Produtos!$B:$B,0)), "-")</f>
        <v>LÍQUIDO</v>
      </c>
      <c r="T43" s="473"/>
      <c r="U43" s="270"/>
      <c r="V43" s="270"/>
      <c r="W43" s="270"/>
      <c r="X43" s="270"/>
      <c r="Y43" s="270"/>
      <c r="Z43" s="270"/>
      <c r="AA43" s="270"/>
      <c r="AB43" s="270"/>
      <c r="AC43" s="270"/>
      <c r="AD43" s="270"/>
      <c r="AE43" s="270"/>
      <c r="AF43" s="270"/>
      <c r="AG43" s="270"/>
      <c r="AH43" s="270"/>
      <c r="AI43" s="270"/>
      <c r="AJ43" s="270"/>
      <c r="AK43" s="270"/>
      <c r="AL43" s="270"/>
      <c r="AM43" s="663"/>
      <c r="AN43" s="663"/>
      <c r="AO43" s="708" t="str">
        <f>IF(OR(Table1[[#This Row],[Início Setup Envase]]="",Table1[[#This Row],[Final Setup Envase]]=""),"",Table1[[#This Row],[Final Setup Envase]]-Table1[[#This Row],[Início Setup Envase]])</f>
        <v/>
      </c>
      <c r="AP43" s="663"/>
      <c r="AQ43" s="663"/>
      <c r="AR43" s="270"/>
      <c r="AS43" s="270"/>
      <c r="AT43" s="270"/>
      <c r="AU43" s="270"/>
      <c r="AV43" s="270"/>
      <c r="AW43" s="270"/>
      <c r="AX43" s="270"/>
      <c r="AY43" s="270"/>
      <c r="AZ43" s="270"/>
      <c r="BA43" s="270">
        <f>IF(Table1[[#This Row],[Data de Início]]="","",YEAR(Table1[[#This Row],[Data de Início]]))</f>
        <v>2025</v>
      </c>
      <c r="BB43" s="270">
        <f>IF(Table1[[#This Row],[Data de Início]]="","",MONTH(Table1[[#This Row],[Data de Início]]))</f>
        <v>3</v>
      </c>
      <c r="BC43" s="270"/>
    </row>
    <row r="44" spans="2:55" ht="15" customHeight="1" x14ac:dyDescent="0.25">
      <c r="B44" s="470">
        <v>45736.344444444447</v>
      </c>
      <c r="C44" s="263">
        <v>45736.416666666664</v>
      </c>
      <c r="D44" s="264" cm="1">
        <f t="array" ref="D44">IFERROR(HorasUteisFabrica2Turnos(B44,C44), "")</f>
        <v>1.7333333332207985</v>
      </c>
      <c r="E44" s="265">
        <f t="shared" si="0"/>
        <v>1467.6923077875961</v>
      </c>
      <c r="F44" s="265"/>
      <c r="G44" s="265"/>
      <c r="H44" s="265"/>
      <c r="I44" s="269" t="s">
        <v>40</v>
      </c>
      <c r="J44" s="267" t="s">
        <v>15</v>
      </c>
      <c r="K44" s="268">
        <v>2544</v>
      </c>
      <c r="L44" s="269" t="s">
        <v>211</v>
      </c>
      <c r="M44" s="270" t="str">
        <f>IFERROR(INDEX([1]Produtos!$C:$C,MATCH(L44,[1]Produtos!$B:$B,0)), "-")</f>
        <v>BODY SPLASH AURORA IMPERIAL</v>
      </c>
      <c r="N44" s="510">
        <f>IFERROR(INDEX([1]Produtos!$E:$E,MATCH(L44,[1]Produtos!$B:$B,0)), "-")</f>
        <v>220</v>
      </c>
      <c r="O44" s="270" t="str">
        <f>IFERROR(INDEX([1]Produtos!$F:$F,MATCH(L44,[1]Produtos!$B:$B,0)), "-")</f>
        <v>ml</v>
      </c>
      <c r="P44" s="270" t="str">
        <f>IFERROR(INDEX([1]Produtos!$G:$G,MATCH(L44,[1]Produtos!$B:$B,0)), "-")</f>
        <v>MISS RÔSE</v>
      </c>
      <c r="Q44" s="270" t="str">
        <f>IFERROR(INDEX([1]Produtos!$H:$H,MATCH(L44,[1]Produtos!$B:$B,0)), "-")</f>
        <v>PERFUMARIA</v>
      </c>
      <c r="R44" s="270" t="str">
        <f>IFERROR(INDEX([1]Produtos!$I:$I,MATCH(L44,[1]Produtos!$B:$B,0)), "-")</f>
        <v>BODY SPLASH</v>
      </c>
      <c r="S44" s="270" t="str">
        <f>IFERROR(INDEX([1]Produtos!$J:$J,MATCH(L44,[1]Produtos!$B:$B,0)), "-")</f>
        <v>LÍQUIDO</v>
      </c>
      <c r="T44" s="473"/>
      <c r="U44" s="270"/>
      <c r="V44" s="270"/>
      <c r="W44" s="270"/>
      <c r="X44" s="270"/>
      <c r="Y44" s="270"/>
      <c r="Z44" s="270"/>
      <c r="AA44" s="270"/>
      <c r="AB44" s="270"/>
      <c r="AC44" s="270"/>
      <c r="AD44" s="270"/>
      <c r="AE44" s="270"/>
      <c r="AF44" s="270"/>
      <c r="AG44" s="270"/>
      <c r="AH44" s="270"/>
      <c r="AI44" s="270"/>
      <c r="AJ44" s="270"/>
      <c r="AK44" s="270"/>
      <c r="AL44" s="270"/>
      <c r="AM44" s="663"/>
      <c r="AN44" s="663"/>
      <c r="AO44" s="708" t="str">
        <f>IF(OR(Table1[[#This Row],[Início Setup Envase]]="",Table1[[#This Row],[Final Setup Envase]]=""),"",Table1[[#This Row],[Final Setup Envase]]-Table1[[#This Row],[Início Setup Envase]])</f>
        <v/>
      </c>
      <c r="AP44" s="663"/>
      <c r="AQ44" s="663"/>
      <c r="AR44" s="270"/>
      <c r="AS44" s="270"/>
      <c r="AT44" s="270"/>
      <c r="AU44" s="270"/>
      <c r="AV44" s="270"/>
      <c r="AW44" s="270"/>
      <c r="AX44" s="270"/>
      <c r="AY44" s="270"/>
      <c r="AZ44" s="270"/>
      <c r="BA44" s="270">
        <f>IF(Table1[[#This Row],[Data de Início]]="","",YEAR(Table1[[#This Row],[Data de Início]]))</f>
        <v>2025</v>
      </c>
      <c r="BB44" s="270">
        <f>IF(Table1[[#This Row],[Data de Início]]="","",MONTH(Table1[[#This Row],[Data de Início]]))</f>
        <v>3</v>
      </c>
      <c r="BC44" s="270"/>
    </row>
    <row r="45" spans="2:55" ht="15" customHeight="1" x14ac:dyDescent="0.25">
      <c r="B45" s="470">
        <v>45736.416666666664</v>
      </c>
      <c r="C45" s="263">
        <v>45736.583333333336</v>
      </c>
      <c r="D45" s="264" cm="1">
        <f t="array" ref="D45">IFERROR(HorasUteisFabrica2Turnos(B45,C45), "")</f>
        <v>3.0000000001164153</v>
      </c>
      <c r="E45" s="265">
        <f t="shared" si="0"/>
        <v>847.99999996709323</v>
      </c>
      <c r="F45" s="265"/>
      <c r="G45" s="265"/>
      <c r="H45" s="265"/>
      <c r="I45" s="269" t="s">
        <v>41</v>
      </c>
      <c r="J45" s="267" t="s">
        <v>15</v>
      </c>
      <c r="K45" s="268">
        <v>2544</v>
      </c>
      <c r="L45" s="269" t="s">
        <v>211</v>
      </c>
      <c r="M45" s="270" t="str">
        <f>IFERROR(INDEX([1]Produtos!$C:$C,MATCH(L45,[1]Produtos!$B:$B,0)), "-")</f>
        <v>BODY SPLASH AURORA IMPERIAL</v>
      </c>
      <c r="N45" s="510">
        <f>IFERROR(INDEX([1]Produtos!$E:$E,MATCH(L45,[1]Produtos!$B:$B,0)), "-")</f>
        <v>220</v>
      </c>
      <c r="O45" s="270" t="str">
        <f>IFERROR(INDEX([1]Produtos!$F:$F,MATCH(L45,[1]Produtos!$B:$B,0)), "-")</f>
        <v>ml</v>
      </c>
      <c r="P45" s="270" t="str">
        <f>IFERROR(INDEX([1]Produtos!$G:$G,MATCH(L45,[1]Produtos!$B:$B,0)), "-")</f>
        <v>MISS RÔSE</v>
      </c>
      <c r="Q45" s="270" t="str">
        <f>IFERROR(INDEX([1]Produtos!$H:$H,MATCH(L45,[1]Produtos!$B:$B,0)), "-")</f>
        <v>PERFUMARIA</v>
      </c>
      <c r="R45" s="270" t="str">
        <f>IFERROR(INDEX([1]Produtos!$I:$I,MATCH(L45,[1]Produtos!$B:$B,0)), "-")</f>
        <v>BODY SPLASH</v>
      </c>
      <c r="S45" s="270" t="str">
        <f>IFERROR(INDEX([1]Produtos!$J:$J,MATCH(L45,[1]Produtos!$B:$B,0)), "-")</f>
        <v>LÍQUIDO</v>
      </c>
      <c r="T45" s="473"/>
      <c r="U45" s="270"/>
      <c r="V45" s="270"/>
      <c r="W45" s="270"/>
      <c r="X45" s="270"/>
      <c r="Y45" s="270"/>
      <c r="Z45" s="270"/>
      <c r="AA45" s="270"/>
      <c r="AB45" s="270"/>
      <c r="AC45" s="270"/>
      <c r="AD45" s="270"/>
      <c r="AE45" s="270"/>
      <c r="AF45" s="270"/>
      <c r="AG45" s="270"/>
      <c r="AH45" s="270"/>
      <c r="AI45" s="270"/>
      <c r="AJ45" s="270"/>
      <c r="AK45" s="270"/>
      <c r="AL45" s="270"/>
      <c r="AM45" s="663"/>
      <c r="AN45" s="663"/>
      <c r="AO45" s="708" t="str">
        <f>IF(OR(Table1[[#This Row],[Início Setup Envase]]="",Table1[[#This Row],[Final Setup Envase]]=""),"",Table1[[#This Row],[Final Setup Envase]]-Table1[[#This Row],[Início Setup Envase]])</f>
        <v/>
      </c>
      <c r="AP45" s="663"/>
      <c r="AQ45" s="663"/>
      <c r="AR45" s="270"/>
      <c r="AS45" s="270"/>
      <c r="AT45" s="270"/>
      <c r="AU45" s="270"/>
      <c r="AV45" s="270"/>
      <c r="AW45" s="270"/>
      <c r="AX45" s="270"/>
      <c r="AY45" s="270"/>
      <c r="AZ45" s="270"/>
      <c r="BA45" s="270">
        <f>IF(Table1[[#This Row],[Data de Início]]="","",YEAR(Table1[[#This Row],[Data de Início]]))</f>
        <v>2025</v>
      </c>
      <c r="BB45" s="270">
        <f>IF(Table1[[#This Row],[Data de Início]]="","",MONTH(Table1[[#This Row],[Data de Início]]))</f>
        <v>3</v>
      </c>
      <c r="BC45" s="270"/>
    </row>
    <row r="46" spans="2:55" ht="15" customHeight="1" x14ac:dyDescent="0.25">
      <c r="B46" s="470">
        <v>45736.583333333336</v>
      </c>
      <c r="C46" s="263">
        <v>45737.327777777777</v>
      </c>
      <c r="D46" s="264" cm="1">
        <f t="array" ref="D46">IFERROR(HorasUteisFabrica2Turnos(B46,C46), "")</f>
        <v>3.8666666666977108</v>
      </c>
      <c r="E46" s="265">
        <f t="shared" si="0"/>
        <v>657.93103447747637</v>
      </c>
      <c r="F46" s="265"/>
      <c r="G46" s="265"/>
      <c r="H46" s="265"/>
      <c r="I46" s="269" t="s">
        <v>42</v>
      </c>
      <c r="J46" s="267" t="s">
        <v>15</v>
      </c>
      <c r="K46" s="268">
        <v>2544</v>
      </c>
      <c r="L46" s="269" t="s">
        <v>211</v>
      </c>
      <c r="M46" s="270" t="str">
        <f>IFERROR(INDEX([1]Produtos!$C:$C,MATCH(L46,[1]Produtos!$B:$B,0)), "-")</f>
        <v>BODY SPLASH AURORA IMPERIAL</v>
      </c>
      <c r="N46" s="510">
        <f>IFERROR(INDEX([1]Produtos!$E:$E,MATCH(L46,[1]Produtos!$B:$B,0)), "-")</f>
        <v>220</v>
      </c>
      <c r="O46" s="270" t="str">
        <f>IFERROR(INDEX([1]Produtos!$F:$F,MATCH(L46,[1]Produtos!$B:$B,0)), "-")</f>
        <v>ml</v>
      </c>
      <c r="P46" s="270" t="str">
        <f>IFERROR(INDEX([1]Produtos!$G:$G,MATCH(L46,[1]Produtos!$B:$B,0)), "-")</f>
        <v>MISS RÔSE</v>
      </c>
      <c r="Q46" s="270" t="str">
        <f>IFERROR(INDEX([1]Produtos!$H:$H,MATCH(L46,[1]Produtos!$B:$B,0)), "-")</f>
        <v>PERFUMARIA</v>
      </c>
      <c r="R46" s="270" t="str">
        <f>IFERROR(INDEX([1]Produtos!$I:$I,MATCH(L46,[1]Produtos!$B:$B,0)), "-")</f>
        <v>BODY SPLASH</v>
      </c>
      <c r="S46" s="270" t="str">
        <f>IFERROR(INDEX([1]Produtos!$J:$J,MATCH(L46,[1]Produtos!$B:$B,0)), "-")</f>
        <v>LÍQUIDO</v>
      </c>
      <c r="T46" s="473"/>
      <c r="U46" s="270"/>
      <c r="V46" s="270"/>
      <c r="W46" s="270"/>
      <c r="X46" s="270"/>
      <c r="Y46" s="270"/>
      <c r="Z46" s="270"/>
      <c r="AA46" s="270"/>
      <c r="AB46" s="270"/>
      <c r="AC46" s="270"/>
      <c r="AD46" s="270"/>
      <c r="AE46" s="270"/>
      <c r="AF46" s="270"/>
      <c r="AG46" s="270"/>
      <c r="AH46" s="270"/>
      <c r="AI46" s="270"/>
      <c r="AJ46" s="270"/>
      <c r="AK46" s="270"/>
      <c r="AL46" s="270"/>
      <c r="AM46" s="663"/>
      <c r="AN46" s="663"/>
      <c r="AO46" s="708" t="str">
        <f>IF(OR(Table1[[#This Row],[Início Setup Envase]]="",Table1[[#This Row],[Final Setup Envase]]=""),"",Table1[[#This Row],[Final Setup Envase]]-Table1[[#This Row],[Início Setup Envase]])</f>
        <v/>
      </c>
      <c r="AP46" s="663"/>
      <c r="AQ46" s="663"/>
      <c r="AR46" s="270"/>
      <c r="AS46" s="270"/>
      <c r="AT46" s="270"/>
      <c r="AU46" s="270"/>
      <c r="AV46" s="270"/>
      <c r="AW46" s="270"/>
      <c r="AX46" s="270"/>
      <c r="AY46" s="270"/>
      <c r="AZ46" s="270"/>
      <c r="BA46" s="270">
        <f>IF(Table1[[#This Row],[Data de Início]]="","",YEAR(Table1[[#This Row],[Data de Início]]))</f>
        <v>2025</v>
      </c>
      <c r="BB46" s="270">
        <f>IF(Table1[[#This Row],[Data de Início]]="","",MONTH(Table1[[#This Row],[Data de Início]]))</f>
        <v>3</v>
      </c>
      <c r="BC46" s="270"/>
    </row>
    <row r="47" spans="2:55" ht="15" customHeight="1" x14ac:dyDescent="0.25">
      <c r="B47" s="470">
        <v>45737.327777777777</v>
      </c>
      <c r="C47" s="263">
        <v>45737.413888888892</v>
      </c>
      <c r="D47" s="264" cm="1">
        <f t="array" ref="D47">IFERROR(HorasUteisFabrica2Turnos(B47,C47), "")</f>
        <v>2.0666666667675599</v>
      </c>
      <c r="E47" s="265">
        <f t="shared" si="0"/>
        <v>1230.9677418753888</v>
      </c>
      <c r="F47" s="265"/>
      <c r="G47" s="265"/>
      <c r="H47" s="265"/>
      <c r="I47" s="269" t="s">
        <v>43</v>
      </c>
      <c r="J47" s="267" t="s">
        <v>15</v>
      </c>
      <c r="K47" s="268">
        <v>2544</v>
      </c>
      <c r="L47" s="269" t="s">
        <v>211</v>
      </c>
      <c r="M47" s="270" t="str">
        <f>IFERROR(INDEX([1]Produtos!$C:$C,MATCH(L47,[1]Produtos!$B:$B,0)), "-")</f>
        <v>BODY SPLASH AURORA IMPERIAL</v>
      </c>
      <c r="N47" s="510">
        <f>IFERROR(INDEX([1]Produtos!$E:$E,MATCH(L47,[1]Produtos!$B:$B,0)), "-")</f>
        <v>220</v>
      </c>
      <c r="O47" s="270" t="str">
        <f>IFERROR(INDEX([1]Produtos!$F:$F,MATCH(L47,[1]Produtos!$B:$B,0)), "-")</f>
        <v>ml</v>
      </c>
      <c r="P47" s="270" t="str">
        <f>IFERROR(INDEX([1]Produtos!$G:$G,MATCH(L47,[1]Produtos!$B:$B,0)), "-")</f>
        <v>MISS RÔSE</v>
      </c>
      <c r="Q47" s="270" t="str">
        <f>IFERROR(INDEX([1]Produtos!$H:$H,MATCH(L47,[1]Produtos!$B:$B,0)), "-")</f>
        <v>PERFUMARIA</v>
      </c>
      <c r="R47" s="270" t="str">
        <f>IFERROR(INDEX([1]Produtos!$I:$I,MATCH(L47,[1]Produtos!$B:$B,0)), "-")</f>
        <v>BODY SPLASH</v>
      </c>
      <c r="S47" s="270" t="str">
        <f>IFERROR(INDEX([1]Produtos!$J:$J,MATCH(L47,[1]Produtos!$B:$B,0)), "-")</f>
        <v>LÍQUIDO</v>
      </c>
      <c r="T47" s="473"/>
      <c r="U47" s="270"/>
      <c r="V47" s="270"/>
      <c r="W47" s="270"/>
      <c r="X47" s="270"/>
      <c r="Y47" s="270"/>
      <c r="Z47" s="270"/>
      <c r="AA47" s="270"/>
      <c r="AB47" s="270"/>
      <c r="AC47" s="270"/>
      <c r="AD47" s="270"/>
      <c r="AE47" s="270"/>
      <c r="AF47" s="270"/>
      <c r="AG47" s="270"/>
      <c r="AH47" s="270"/>
      <c r="AI47" s="270"/>
      <c r="AJ47" s="270"/>
      <c r="AK47" s="270"/>
      <c r="AL47" s="270"/>
      <c r="AM47" s="663"/>
      <c r="AN47" s="663"/>
      <c r="AO47" s="708" t="str">
        <f>IF(OR(Table1[[#This Row],[Início Setup Envase]]="",Table1[[#This Row],[Final Setup Envase]]=""),"",Table1[[#This Row],[Final Setup Envase]]-Table1[[#This Row],[Início Setup Envase]])</f>
        <v/>
      </c>
      <c r="AP47" s="663"/>
      <c r="AQ47" s="663"/>
      <c r="AR47" s="270"/>
      <c r="AS47" s="270"/>
      <c r="AT47" s="270"/>
      <c r="AU47" s="270"/>
      <c r="AV47" s="270"/>
      <c r="AW47" s="270"/>
      <c r="AX47" s="270"/>
      <c r="AY47" s="270"/>
      <c r="AZ47" s="270"/>
      <c r="BA47" s="270">
        <f>IF(Table1[[#This Row],[Data de Início]]="","",YEAR(Table1[[#This Row],[Data de Início]]))</f>
        <v>2025</v>
      </c>
      <c r="BB47" s="270">
        <f>IF(Table1[[#This Row],[Data de Início]]="","",MONTH(Table1[[#This Row],[Data de Início]]))</f>
        <v>3</v>
      </c>
      <c r="BC47" s="270"/>
    </row>
    <row r="48" spans="2:55" ht="15" customHeight="1" x14ac:dyDescent="0.25">
      <c r="B48" s="470">
        <v>45737.413888888892</v>
      </c>
      <c r="C48" s="263">
        <v>45737.546527777777</v>
      </c>
      <c r="D48" s="264" cm="1">
        <f t="array" ref="D48">IFERROR(HorasUteisFabrica2Turnos(B48,C48), "")</f>
        <v>2.1833333332324401</v>
      </c>
      <c r="E48" s="265">
        <f t="shared" si="0"/>
        <v>1165.1908397485008</v>
      </c>
      <c r="F48" s="265"/>
      <c r="G48" s="265"/>
      <c r="H48" s="265"/>
      <c r="I48" s="269" t="s">
        <v>32</v>
      </c>
      <c r="J48" s="267" t="s">
        <v>15</v>
      </c>
      <c r="K48" s="268">
        <v>2544</v>
      </c>
      <c r="L48" s="269" t="s">
        <v>211</v>
      </c>
      <c r="M48" s="270" t="str">
        <f>IFERROR(INDEX([1]Produtos!$C:$C,MATCH(L48,[1]Produtos!$B:$B,0)), "-")</f>
        <v>BODY SPLASH AURORA IMPERIAL</v>
      </c>
      <c r="N48" s="510">
        <f>IFERROR(INDEX([1]Produtos!$E:$E,MATCH(L48,[1]Produtos!$B:$B,0)), "-")</f>
        <v>220</v>
      </c>
      <c r="O48" s="270" t="str">
        <f>IFERROR(INDEX([1]Produtos!$F:$F,MATCH(L48,[1]Produtos!$B:$B,0)), "-")</f>
        <v>ml</v>
      </c>
      <c r="P48" s="270" t="str">
        <f>IFERROR(INDEX([1]Produtos!$G:$G,MATCH(L48,[1]Produtos!$B:$B,0)), "-")</f>
        <v>MISS RÔSE</v>
      </c>
      <c r="Q48" s="270" t="str">
        <f>IFERROR(INDEX([1]Produtos!$H:$H,MATCH(L48,[1]Produtos!$B:$B,0)), "-")</f>
        <v>PERFUMARIA</v>
      </c>
      <c r="R48" s="270" t="str">
        <f>IFERROR(INDEX([1]Produtos!$I:$I,MATCH(L48,[1]Produtos!$B:$B,0)), "-")</f>
        <v>BODY SPLASH</v>
      </c>
      <c r="S48" s="270" t="str">
        <f>IFERROR(INDEX([1]Produtos!$J:$J,MATCH(L48,[1]Produtos!$B:$B,0)), "-")</f>
        <v>LÍQUIDO</v>
      </c>
      <c r="T48" s="473"/>
      <c r="U48" s="270"/>
      <c r="V48" s="270"/>
      <c r="W48" s="270"/>
      <c r="X48" s="270"/>
      <c r="Y48" s="270"/>
      <c r="Z48" s="270"/>
      <c r="AA48" s="270"/>
      <c r="AB48" s="270"/>
      <c r="AC48" s="270"/>
      <c r="AD48" s="270"/>
      <c r="AE48" s="270"/>
      <c r="AF48" s="270"/>
      <c r="AG48" s="270"/>
      <c r="AH48" s="270"/>
      <c r="AI48" s="270"/>
      <c r="AJ48" s="270"/>
      <c r="AK48" s="270"/>
      <c r="AL48" s="270"/>
      <c r="AM48" s="663"/>
      <c r="AN48" s="663"/>
      <c r="AO48" s="708" t="str">
        <f>IF(OR(Table1[[#This Row],[Início Setup Envase]]="",Table1[[#This Row],[Final Setup Envase]]=""),"",Table1[[#This Row],[Final Setup Envase]]-Table1[[#This Row],[Início Setup Envase]])</f>
        <v/>
      </c>
      <c r="AP48" s="663"/>
      <c r="AQ48" s="663"/>
      <c r="AR48" s="270"/>
      <c r="AS48" s="270"/>
      <c r="AT48" s="270"/>
      <c r="AU48" s="270"/>
      <c r="AV48" s="270"/>
      <c r="AW48" s="270"/>
      <c r="AX48" s="270"/>
      <c r="AY48" s="270"/>
      <c r="AZ48" s="270"/>
      <c r="BA48" s="270">
        <f>IF(Table1[[#This Row],[Data de Início]]="","",YEAR(Table1[[#This Row],[Data de Início]]))</f>
        <v>2025</v>
      </c>
      <c r="BB48" s="270">
        <f>IF(Table1[[#This Row],[Data de Início]]="","",MONTH(Table1[[#This Row],[Data de Início]]))</f>
        <v>3</v>
      </c>
      <c r="BC48" s="270"/>
    </row>
    <row r="49" spans="2:55" ht="15" customHeight="1" x14ac:dyDescent="0.25">
      <c r="B49" s="470">
        <v>45737.546527777777</v>
      </c>
      <c r="C49" s="263">
        <v>45737.640277777777</v>
      </c>
      <c r="D49" s="264" cm="1">
        <f t="array" ref="D49">IFERROR(HorasUteisFabrica2Turnos(B49,C49), "")</f>
        <v>2.25</v>
      </c>
      <c r="E49" s="265">
        <f t="shared" si="0"/>
        <v>1130.6666666666667</v>
      </c>
      <c r="F49" s="265"/>
      <c r="G49" s="265"/>
      <c r="H49" s="265"/>
      <c r="I49" s="269" t="s">
        <v>33</v>
      </c>
      <c r="J49" s="267" t="s">
        <v>15</v>
      </c>
      <c r="K49" s="268">
        <v>2544</v>
      </c>
      <c r="L49" s="269" t="s">
        <v>211</v>
      </c>
      <c r="M49" s="270" t="str">
        <f>IFERROR(INDEX([1]Produtos!$C:$C,MATCH(L49,[1]Produtos!$B:$B,0)), "-")</f>
        <v>BODY SPLASH AURORA IMPERIAL</v>
      </c>
      <c r="N49" s="510">
        <f>IFERROR(INDEX([1]Produtos!$E:$E,MATCH(L49,[1]Produtos!$B:$B,0)), "-")</f>
        <v>220</v>
      </c>
      <c r="O49" s="270" t="str">
        <f>IFERROR(INDEX([1]Produtos!$F:$F,MATCH(L49,[1]Produtos!$B:$B,0)), "-")</f>
        <v>ml</v>
      </c>
      <c r="P49" s="270" t="str">
        <f>IFERROR(INDEX([1]Produtos!$G:$G,MATCH(L49,[1]Produtos!$B:$B,0)), "-")</f>
        <v>MISS RÔSE</v>
      </c>
      <c r="Q49" s="270" t="str">
        <f>IFERROR(INDEX([1]Produtos!$H:$H,MATCH(L49,[1]Produtos!$B:$B,0)), "-")</f>
        <v>PERFUMARIA</v>
      </c>
      <c r="R49" s="270" t="str">
        <f>IFERROR(INDEX([1]Produtos!$I:$I,MATCH(L49,[1]Produtos!$B:$B,0)), "-")</f>
        <v>BODY SPLASH</v>
      </c>
      <c r="S49" s="270" t="str">
        <f>IFERROR(INDEX([1]Produtos!$J:$J,MATCH(L49,[1]Produtos!$B:$B,0)), "-")</f>
        <v>LÍQUIDO</v>
      </c>
      <c r="T49" s="473"/>
      <c r="U49" s="270"/>
      <c r="V49" s="270"/>
      <c r="W49" s="270"/>
      <c r="X49" s="270"/>
      <c r="Y49" s="270"/>
      <c r="Z49" s="270"/>
      <c r="AA49" s="270"/>
      <c r="AB49" s="270"/>
      <c r="AC49" s="270"/>
      <c r="AD49" s="270"/>
      <c r="AE49" s="270"/>
      <c r="AF49" s="270"/>
      <c r="AG49" s="270"/>
      <c r="AH49" s="270"/>
      <c r="AI49" s="270"/>
      <c r="AJ49" s="270"/>
      <c r="AK49" s="270"/>
      <c r="AL49" s="270"/>
      <c r="AM49" s="663"/>
      <c r="AN49" s="663"/>
      <c r="AO49" s="708" t="str">
        <f>IF(OR(Table1[[#This Row],[Início Setup Envase]]="",Table1[[#This Row],[Final Setup Envase]]=""),"",Table1[[#This Row],[Final Setup Envase]]-Table1[[#This Row],[Início Setup Envase]])</f>
        <v/>
      </c>
      <c r="AP49" s="663"/>
      <c r="AQ49" s="663"/>
      <c r="AR49" s="270"/>
      <c r="AS49" s="270"/>
      <c r="AT49" s="270"/>
      <c r="AU49" s="270"/>
      <c r="AV49" s="270"/>
      <c r="AW49" s="270"/>
      <c r="AX49" s="270"/>
      <c r="AY49" s="270"/>
      <c r="AZ49" s="270"/>
      <c r="BA49" s="270">
        <f>IF(Table1[[#This Row],[Data de Início]]="","",YEAR(Table1[[#This Row],[Data de Início]]))</f>
        <v>2025</v>
      </c>
      <c r="BB49" s="270">
        <f>IF(Table1[[#This Row],[Data de Início]]="","",MONTH(Table1[[#This Row],[Data de Início]]))</f>
        <v>3</v>
      </c>
      <c r="BC49" s="270"/>
    </row>
    <row r="50" spans="2:55" ht="15" customHeight="1" x14ac:dyDescent="0.25">
      <c r="B50" s="470">
        <v>45737.640277777777</v>
      </c>
      <c r="C50" s="263">
        <v>45740.384027777778</v>
      </c>
      <c r="D50" s="264" cm="1">
        <f t="array" ref="D50">IFERROR(HorasUteisFabrica2Turnos(B50,C50), "")</f>
        <v>2.8500000000349246</v>
      </c>
      <c r="E50" s="265">
        <f t="shared" si="0"/>
        <v>892.63157893642995</v>
      </c>
      <c r="F50" s="265"/>
      <c r="G50" s="265"/>
      <c r="H50" s="265"/>
      <c r="I50" s="269" t="s">
        <v>34</v>
      </c>
      <c r="J50" s="267" t="s">
        <v>15</v>
      </c>
      <c r="K50" s="268">
        <v>2544</v>
      </c>
      <c r="L50" s="269" t="s">
        <v>211</v>
      </c>
      <c r="M50" s="270" t="str">
        <f>IFERROR(INDEX([1]Produtos!$C:$C,MATCH(L50,[1]Produtos!$B:$B,0)), "-")</f>
        <v>BODY SPLASH AURORA IMPERIAL</v>
      </c>
      <c r="N50" s="510">
        <f>IFERROR(INDEX([1]Produtos!$E:$E,MATCH(L50,[1]Produtos!$B:$B,0)), "-")</f>
        <v>220</v>
      </c>
      <c r="O50" s="270" t="str">
        <f>IFERROR(INDEX([1]Produtos!$F:$F,MATCH(L50,[1]Produtos!$B:$B,0)), "-")</f>
        <v>ml</v>
      </c>
      <c r="P50" s="270" t="str">
        <f>IFERROR(INDEX([1]Produtos!$G:$G,MATCH(L50,[1]Produtos!$B:$B,0)), "-")</f>
        <v>MISS RÔSE</v>
      </c>
      <c r="Q50" s="270" t="str">
        <f>IFERROR(INDEX([1]Produtos!$H:$H,MATCH(L50,[1]Produtos!$B:$B,0)), "-")</f>
        <v>PERFUMARIA</v>
      </c>
      <c r="R50" s="270" t="str">
        <f>IFERROR(INDEX([1]Produtos!$I:$I,MATCH(L50,[1]Produtos!$B:$B,0)), "-")</f>
        <v>BODY SPLASH</v>
      </c>
      <c r="S50" s="270" t="str">
        <f>IFERROR(INDEX([1]Produtos!$J:$J,MATCH(L50,[1]Produtos!$B:$B,0)), "-")</f>
        <v>LÍQUIDO</v>
      </c>
      <c r="T50" s="473"/>
      <c r="U50" s="270"/>
      <c r="V50" s="270"/>
      <c r="W50" s="270"/>
      <c r="X50" s="270"/>
      <c r="Y50" s="270"/>
      <c r="Z50" s="270"/>
      <c r="AA50" s="270"/>
      <c r="AB50" s="270"/>
      <c r="AC50" s="270"/>
      <c r="AD50" s="270"/>
      <c r="AE50" s="270"/>
      <c r="AF50" s="270"/>
      <c r="AG50" s="270"/>
      <c r="AH50" s="270"/>
      <c r="AI50" s="270"/>
      <c r="AJ50" s="270"/>
      <c r="AK50" s="270"/>
      <c r="AL50" s="270"/>
      <c r="AM50" s="663"/>
      <c r="AN50" s="663"/>
      <c r="AO50" s="708" t="str">
        <f>IF(OR(Table1[[#This Row],[Início Setup Envase]]="",Table1[[#This Row],[Final Setup Envase]]=""),"",Table1[[#This Row],[Final Setup Envase]]-Table1[[#This Row],[Início Setup Envase]])</f>
        <v/>
      </c>
      <c r="AP50" s="663"/>
      <c r="AQ50" s="663"/>
      <c r="AR50" s="270"/>
      <c r="AS50" s="270"/>
      <c r="AT50" s="270"/>
      <c r="AU50" s="270"/>
      <c r="AV50" s="270"/>
      <c r="AW50" s="270"/>
      <c r="AX50" s="270"/>
      <c r="AY50" s="270"/>
      <c r="AZ50" s="270"/>
      <c r="BA50" s="270">
        <f>IF(Table1[[#This Row],[Data de Início]]="","",YEAR(Table1[[#This Row],[Data de Início]]))</f>
        <v>2025</v>
      </c>
      <c r="BB50" s="270">
        <f>IF(Table1[[#This Row],[Data de Início]]="","",MONTH(Table1[[#This Row],[Data de Início]]))</f>
        <v>3</v>
      </c>
      <c r="BC50" s="270"/>
    </row>
    <row r="51" spans="2:55" ht="15" customHeight="1" x14ac:dyDescent="0.25">
      <c r="B51" s="470">
        <v>45740.384027777778</v>
      </c>
      <c r="C51" s="263">
        <v>45740.46875</v>
      </c>
      <c r="D51" s="264" cm="1">
        <f t="array" ref="D51">IFERROR(HorasUteisFabrica2Turnos(B51,C51), "")</f>
        <v>2.0333333333255723</v>
      </c>
      <c r="E51" s="265">
        <f t="shared" si="0"/>
        <v>1251.1475409883822</v>
      </c>
      <c r="F51" s="265"/>
      <c r="G51" s="265"/>
      <c r="H51" s="265"/>
      <c r="I51" s="269" t="s">
        <v>35</v>
      </c>
      <c r="J51" s="267" t="s">
        <v>15</v>
      </c>
      <c r="K51" s="268">
        <v>2544</v>
      </c>
      <c r="L51" s="269" t="s">
        <v>211</v>
      </c>
      <c r="M51" s="270" t="str">
        <f>IFERROR(INDEX([1]Produtos!$C:$C,MATCH(L51,[1]Produtos!$B:$B,0)), "-")</f>
        <v>BODY SPLASH AURORA IMPERIAL</v>
      </c>
      <c r="N51" s="510">
        <f>IFERROR(INDEX([1]Produtos!$E:$E,MATCH(L51,[1]Produtos!$B:$B,0)), "-")</f>
        <v>220</v>
      </c>
      <c r="O51" s="270" t="str">
        <f>IFERROR(INDEX([1]Produtos!$F:$F,MATCH(L51,[1]Produtos!$B:$B,0)), "-")</f>
        <v>ml</v>
      </c>
      <c r="P51" s="270" t="str">
        <f>IFERROR(INDEX([1]Produtos!$G:$G,MATCH(L51,[1]Produtos!$B:$B,0)), "-")</f>
        <v>MISS RÔSE</v>
      </c>
      <c r="Q51" s="270" t="str">
        <f>IFERROR(INDEX([1]Produtos!$H:$H,MATCH(L51,[1]Produtos!$B:$B,0)), "-")</f>
        <v>PERFUMARIA</v>
      </c>
      <c r="R51" s="270" t="str">
        <f>IFERROR(INDEX([1]Produtos!$I:$I,MATCH(L51,[1]Produtos!$B:$B,0)), "-")</f>
        <v>BODY SPLASH</v>
      </c>
      <c r="S51" s="270" t="str">
        <f>IFERROR(INDEX([1]Produtos!$J:$J,MATCH(L51,[1]Produtos!$B:$B,0)), "-")</f>
        <v>LÍQUIDO</v>
      </c>
      <c r="T51" s="473"/>
      <c r="U51" s="270"/>
      <c r="V51" s="270"/>
      <c r="W51" s="270"/>
      <c r="X51" s="270"/>
      <c r="Y51" s="270"/>
      <c r="Z51" s="270"/>
      <c r="AA51" s="270"/>
      <c r="AB51" s="270"/>
      <c r="AC51" s="270"/>
      <c r="AD51" s="270"/>
      <c r="AE51" s="270"/>
      <c r="AF51" s="270"/>
      <c r="AG51" s="270"/>
      <c r="AH51" s="270"/>
      <c r="AI51" s="270"/>
      <c r="AJ51" s="270"/>
      <c r="AK51" s="270"/>
      <c r="AL51" s="270"/>
      <c r="AM51" s="663"/>
      <c r="AN51" s="663"/>
      <c r="AO51" s="708" t="str">
        <f>IF(OR(Table1[[#This Row],[Início Setup Envase]]="",Table1[[#This Row],[Final Setup Envase]]=""),"",Table1[[#This Row],[Final Setup Envase]]-Table1[[#This Row],[Início Setup Envase]])</f>
        <v/>
      </c>
      <c r="AP51" s="663"/>
      <c r="AQ51" s="663"/>
      <c r="AR51" s="270"/>
      <c r="AS51" s="270"/>
      <c r="AT51" s="270"/>
      <c r="AU51" s="270"/>
      <c r="AV51" s="270"/>
      <c r="AW51" s="270"/>
      <c r="AX51" s="270"/>
      <c r="AY51" s="270"/>
      <c r="AZ51" s="270"/>
      <c r="BA51" s="270">
        <f>IF(Table1[[#This Row],[Data de Início]]="","",YEAR(Table1[[#This Row],[Data de Início]]))</f>
        <v>2025</v>
      </c>
      <c r="BB51" s="270">
        <f>IF(Table1[[#This Row],[Data de Início]]="","",MONTH(Table1[[#This Row],[Data de Início]]))</f>
        <v>3</v>
      </c>
      <c r="BC51" s="270"/>
    </row>
    <row r="52" spans="2:55" ht="15" customHeight="1" x14ac:dyDescent="0.25">
      <c r="B52" s="470">
        <v>45740.46875</v>
      </c>
      <c r="C52" s="263">
        <v>45740</v>
      </c>
      <c r="D52" s="264" cm="1">
        <f t="array" ref="D52">IFERROR(HorasUteisFabrica2Turnos(B52,C52), "")</f>
        <v>0</v>
      </c>
      <c r="E52" s="265" t="str">
        <f t="shared" si="0"/>
        <v/>
      </c>
      <c r="F52" s="265"/>
      <c r="G52" s="265"/>
      <c r="H52" s="265"/>
      <c r="I52" s="269" t="s">
        <v>36</v>
      </c>
      <c r="J52" s="267" t="s">
        <v>15</v>
      </c>
      <c r="K52" s="268">
        <v>2544</v>
      </c>
      <c r="L52" s="269" t="s">
        <v>211</v>
      </c>
      <c r="M52" s="270" t="str">
        <f>IFERROR(INDEX([1]Produtos!$C:$C,MATCH(L52,[1]Produtos!$B:$B,0)), "-")</f>
        <v>BODY SPLASH AURORA IMPERIAL</v>
      </c>
      <c r="N52" s="510">
        <f>IFERROR(INDEX([1]Produtos!$E:$E,MATCH(L52,[1]Produtos!$B:$B,0)), "-")</f>
        <v>220</v>
      </c>
      <c r="O52" s="270" t="str">
        <f>IFERROR(INDEX([1]Produtos!$F:$F,MATCH(L52,[1]Produtos!$B:$B,0)), "-")</f>
        <v>ml</v>
      </c>
      <c r="P52" s="270" t="str">
        <f>IFERROR(INDEX([1]Produtos!$G:$G,MATCH(L52,[1]Produtos!$B:$B,0)), "-")</f>
        <v>MISS RÔSE</v>
      </c>
      <c r="Q52" s="270" t="str">
        <f>IFERROR(INDEX([1]Produtos!$H:$H,MATCH(L52,[1]Produtos!$B:$B,0)), "-")</f>
        <v>PERFUMARIA</v>
      </c>
      <c r="R52" s="270" t="str">
        <f>IFERROR(INDEX([1]Produtos!$I:$I,MATCH(L52,[1]Produtos!$B:$B,0)), "-")</f>
        <v>BODY SPLASH</v>
      </c>
      <c r="S52" s="270" t="str">
        <f>IFERROR(INDEX([1]Produtos!$J:$J,MATCH(L52,[1]Produtos!$B:$B,0)), "-")</f>
        <v>LÍQUIDO</v>
      </c>
      <c r="T52" s="473" t="s">
        <v>131</v>
      </c>
      <c r="U52" s="270"/>
      <c r="V52" s="270"/>
      <c r="W52" s="270"/>
      <c r="X52" s="270"/>
      <c r="Y52" s="270"/>
      <c r="Z52" s="270"/>
      <c r="AA52" s="270"/>
      <c r="AB52" s="270"/>
      <c r="AC52" s="270"/>
      <c r="AD52" s="270"/>
      <c r="AE52" s="270"/>
      <c r="AF52" s="270"/>
      <c r="AG52" s="270"/>
      <c r="AH52" s="270"/>
      <c r="AI52" s="270"/>
      <c r="AJ52" s="270"/>
      <c r="AK52" s="270"/>
      <c r="AL52" s="270"/>
      <c r="AM52" s="663"/>
      <c r="AN52" s="663"/>
      <c r="AO52" s="708" t="str">
        <f>IF(OR(Table1[[#This Row],[Início Setup Envase]]="",Table1[[#This Row],[Final Setup Envase]]=""),"",Table1[[#This Row],[Final Setup Envase]]-Table1[[#This Row],[Início Setup Envase]])</f>
        <v/>
      </c>
      <c r="AP52" s="663"/>
      <c r="AQ52" s="663"/>
      <c r="AR52" s="270"/>
      <c r="AS52" s="270"/>
      <c r="AT52" s="270"/>
      <c r="AU52" s="270"/>
      <c r="AV52" s="270"/>
      <c r="AW52" s="270"/>
      <c r="AX52" s="270"/>
      <c r="AY52" s="270"/>
      <c r="AZ52" s="270"/>
      <c r="BA52" s="270">
        <f>IF(Table1[[#This Row],[Data de Início]]="","",YEAR(Table1[[#This Row],[Data de Início]]))</f>
        <v>2025</v>
      </c>
      <c r="BB52" s="270">
        <f>IF(Table1[[#This Row],[Data de Início]]="","",MONTH(Table1[[#This Row],[Data de Início]]))</f>
        <v>3</v>
      </c>
      <c r="BC52" s="270"/>
    </row>
    <row r="53" spans="2:55" ht="15" customHeight="1" x14ac:dyDescent="0.25">
      <c r="B53" s="470">
        <v>45740.618055555555</v>
      </c>
      <c r="C53" s="263">
        <v>45740.638888888891</v>
      </c>
      <c r="D53" s="264" cm="1">
        <f t="array" ref="D53">IFERROR(HorasUteisFabrica2Turnos(B53,C53), "")</f>
        <v>0.50000000005820766</v>
      </c>
      <c r="E53" s="265">
        <f t="shared" si="0"/>
        <v>3839.9999995529652</v>
      </c>
      <c r="F53" s="265"/>
      <c r="G53" s="265"/>
      <c r="H53" s="265"/>
      <c r="I53" s="269" t="s">
        <v>37</v>
      </c>
      <c r="J53" s="267" t="s">
        <v>15</v>
      </c>
      <c r="K53" s="268">
        <v>1920</v>
      </c>
      <c r="L53" s="269" t="s">
        <v>211</v>
      </c>
      <c r="M53" s="270" t="str">
        <f>IFERROR(INDEX([1]Produtos!$C:$C,MATCH(L53,[1]Produtos!$B:$B,0)), "-")</f>
        <v>BODY SPLASH AURORA IMPERIAL</v>
      </c>
      <c r="N53" s="510">
        <f>IFERROR(INDEX([1]Produtos!$E:$E,MATCH(L53,[1]Produtos!$B:$B,0)), "-")</f>
        <v>220</v>
      </c>
      <c r="O53" s="270" t="str">
        <f>IFERROR(INDEX([1]Produtos!$F:$F,MATCH(L53,[1]Produtos!$B:$B,0)), "-")</f>
        <v>ml</v>
      </c>
      <c r="P53" s="270" t="str">
        <f>IFERROR(INDEX([1]Produtos!$G:$G,MATCH(L53,[1]Produtos!$B:$B,0)), "-")</f>
        <v>MISS RÔSE</v>
      </c>
      <c r="Q53" s="270" t="str">
        <f>IFERROR(INDEX([1]Produtos!$H:$H,MATCH(L53,[1]Produtos!$B:$B,0)), "-")</f>
        <v>PERFUMARIA</v>
      </c>
      <c r="R53" s="270" t="str">
        <f>IFERROR(INDEX([1]Produtos!$I:$I,MATCH(L53,[1]Produtos!$B:$B,0)), "-")</f>
        <v>BODY SPLASH</v>
      </c>
      <c r="S53" s="270" t="str">
        <f>IFERROR(INDEX([1]Produtos!$J:$J,MATCH(L53,[1]Produtos!$B:$B,0)), "-")</f>
        <v>LÍQUIDO</v>
      </c>
      <c r="T53" s="473"/>
      <c r="U53" s="270"/>
      <c r="V53" s="270"/>
      <c r="W53" s="270"/>
      <c r="X53" s="270"/>
      <c r="Y53" s="270"/>
      <c r="Z53" s="270"/>
      <c r="AA53" s="270"/>
      <c r="AB53" s="270"/>
      <c r="AC53" s="270"/>
      <c r="AD53" s="270"/>
      <c r="AE53" s="270"/>
      <c r="AF53" s="270"/>
      <c r="AG53" s="270"/>
      <c r="AH53" s="270"/>
      <c r="AI53" s="270"/>
      <c r="AJ53" s="270"/>
      <c r="AK53" s="270"/>
      <c r="AL53" s="270"/>
      <c r="AM53" s="663"/>
      <c r="AN53" s="663"/>
      <c r="AO53" s="708" t="str">
        <f>IF(OR(Table1[[#This Row],[Início Setup Envase]]="",Table1[[#This Row],[Final Setup Envase]]=""),"",Table1[[#This Row],[Final Setup Envase]]-Table1[[#This Row],[Início Setup Envase]])</f>
        <v/>
      </c>
      <c r="AP53" s="663"/>
      <c r="AQ53" s="663"/>
      <c r="AR53" s="270"/>
      <c r="AS53" s="270"/>
      <c r="AT53" s="270"/>
      <c r="AU53" s="270"/>
      <c r="AV53" s="270"/>
      <c r="AW53" s="270"/>
      <c r="AX53" s="270"/>
      <c r="AY53" s="270"/>
      <c r="AZ53" s="270"/>
      <c r="BA53" s="270">
        <f>IF(Table1[[#This Row],[Data de Início]]="","",YEAR(Table1[[#This Row],[Data de Início]]))</f>
        <v>2025</v>
      </c>
      <c r="BB53" s="270">
        <f>IF(Table1[[#This Row],[Data de Início]]="","",MONTH(Table1[[#This Row],[Data de Início]]))</f>
        <v>3</v>
      </c>
      <c r="BC53" s="270"/>
    </row>
    <row r="54" spans="2:55" ht="15" customHeight="1" x14ac:dyDescent="0.25">
      <c r="B54" s="470">
        <v>45754.375</v>
      </c>
      <c r="C54" s="263">
        <v>45754.456944444442</v>
      </c>
      <c r="D54" s="264" cm="1">
        <f t="array" ref="D54">IFERROR(HorasUteisFabrica2Turnos(B54,C54), "")</f>
        <v>1.96666666661622</v>
      </c>
      <c r="E54" s="265">
        <f t="shared" si="0"/>
        <v>1293.5593220670792</v>
      </c>
      <c r="F54" s="265"/>
      <c r="G54" s="265"/>
      <c r="H54" s="265"/>
      <c r="I54" s="269" t="s">
        <v>115</v>
      </c>
      <c r="J54" s="267" t="s">
        <v>15</v>
      </c>
      <c r="K54" s="269">
        <v>2544</v>
      </c>
      <c r="L54" s="269" t="s">
        <v>213</v>
      </c>
      <c r="M54" s="270" t="str">
        <f>IFERROR(INDEX([1]Produtos!$C:$C,MATCH(L54,[1]Produtos!$B:$B,0)), "-")</f>
        <v>BODY SPLASH DEUSA DO NILO</v>
      </c>
      <c r="N54" s="510">
        <f>IFERROR(INDEX([1]Produtos!$E:$E,MATCH(L54,[1]Produtos!$B:$B,0)), "-")</f>
        <v>220</v>
      </c>
      <c r="O54" s="270" t="str">
        <f>IFERROR(INDEX([1]Produtos!$F:$F,MATCH(L54,[1]Produtos!$B:$B,0)), "-")</f>
        <v>ml</v>
      </c>
      <c r="P54" s="270" t="str">
        <f>IFERROR(INDEX([1]Produtos!$G:$G,MATCH(L54,[1]Produtos!$B:$B,0)), "-")</f>
        <v>MISS RÔSE</v>
      </c>
      <c r="Q54" s="270" t="str">
        <f>IFERROR(INDEX([1]Produtos!$H:$H,MATCH(L54,[1]Produtos!$B:$B,0)), "-")</f>
        <v>PERFUMARIA</v>
      </c>
      <c r="R54" s="270" t="str">
        <f>IFERROR(INDEX([1]Produtos!$I:$I,MATCH(L54,[1]Produtos!$B:$B,0)), "-")</f>
        <v>BODY SPLASH</v>
      </c>
      <c r="S54" s="270" t="str">
        <f>IFERROR(INDEX([1]Produtos!$J:$J,MATCH(L54,[1]Produtos!$B:$B,0)), "-")</f>
        <v>LÍQUIDO</v>
      </c>
      <c r="T54" s="473"/>
      <c r="U54" s="270"/>
      <c r="V54" s="270"/>
      <c r="W54" s="270"/>
      <c r="X54" s="270"/>
      <c r="Y54" s="270"/>
      <c r="Z54" s="270"/>
      <c r="AA54" s="270"/>
      <c r="AB54" s="270"/>
      <c r="AC54" s="270"/>
      <c r="AD54" s="270"/>
      <c r="AE54" s="270"/>
      <c r="AF54" s="270"/>
      <c r="AG54" s="270"/>
      <c r="AH54" s="270"/>
      <c r="AI54" s="270"/>
      <c r="AJ54" s="270"/>
      <c r="AK54" s="270"/>
      <c r="AL54" s="270"/>
      <c r="AM54" s="663"/>
      <c r="AN54" s="663"/>
      <c r="AO54" s="708" t="str">
        <f>IF(OR(Table1[[#This Row],[Início Setup Envase]]="",Table1[[#This Row],[Final Setup Envase]]=""),"",Table1[[#This Row],[Final Setup Envase]]-Table1[[#This Row],[Início Setup Envase]])</f>
        <v/>
      </c>
      <c r="AP54" s="663"/>
      <c r="AQ54" s="663"/>
      <c r="AR54" s="270"/>
      <c r="AS54" s="270"/>
      <c r="AT54" s="270"/>
      <c r="AU54" s="270"/>
      <c r="AV54" s="270"/>
      <c r="AW54" s="270"/>
      <c r="AX54" s="270"/>
      <c r="AY54" s="270"/>
      <c r="AZ54" s="270"/>
      <c r="BA54" s="270">
        <f>IF(Table1[[#This Row],[Data de Início]]="","",YEAR(Table1[[#This Row],[Data de Início]]))</f>
        <v>2025</v>
      </c>
      <c r="BB54" s="270">
        <f>IF(Table1[[#This Row],[Data de Início]]="","",MONTH(Table1[[#This Row],[Data de Início]]))</f>
        <v>4</v>
      </c>
      <c r="BC54" s="270"/>
    </row>
    <row r="55" spans="2:55" ht="15" customHeight="1" x14ac:dyDescent="0.25">
      <c r="B55" s="470">
        <v>45754.456944444442</v>
      </c>
      <c r="C55" s="263">
        <v>45754.602083333331</v>
      </c>
      <c r="D55" s="264" cm="1">
        <f t="array" ref="D55">IFERROR(HorasUteisFabrica2Turnos(B55,C55), "")</f>
        <v>2.4833333333372138</v>
      </c>
      <c r="E55" s="265">
        <f t="shared" si="0"/>
        <v>1024.4295301997415</v>
      </c>
      <c r="F55" s="265"/>
      <c r="G55" s="265"/>
      <c r="H55" s="265"/>
      <c r="I55" s="269" t="s">
        <v>113</v>
      </c>
      <c r="J55" s="267" t="s">
        <v>15</v>
      </c>
      <c r="K55" s="269">
        <v>2544</v>
      </c>
      <c r="L55" s="269" t="s">
        <v>213</v>
      </c>
      <c r="M55" s="270" t="str">
        <f>IFERROR(INDEX([1]Produtos!$C:$C,MATCH(L55,[1]Produtos!$B:$B,0)), "-")</f>
        <v>BODY SPLASH DEUSA DO NILO</v>
      </c>
      <c r="N55" s="510">
        <f>IFERROR(INDEX([1]Produtos!$E:$E,MATCH(L55,[1]Produtos!$B:$B,0)), "-")</f>
        <v>220</v>
      </c>
      <c r="O55" s="270" t="str">
        <f>IFERROR(INDEX([1]Produtos!$F:$F,MATCH(L55,[1]Produtos!$B:$B,0)), "-")</f>
        <v>ml</v>
      </c>
      <c r="P55" s="270" t="str">
        <f>IFERROR(INDEX([1]Produtos!$G:$G,MATCH(L55,[1]Produtos!$B:$B,0)), "-")</f>
        <v>MISS RÔSE</v>
      </c>
      <c r="Q55" s="270" t="str">
        <f>IFERROR(INDEX([1]Produtos!$H:$H,MATCH(L55,[1]Produtos!$B:$B,0)), "-")</f>
        <v>PERFUMARIA</v>
      </c>
      <c r="R55" s="270" t="str">
        <f>IFERROR(INDEX([1]Produtos!$I:$I,MATCH(L55,[1]Produtos!$B:$B,0)), "-")</f>
        <v>BODY SPLASH</v>
      </c>
      <c r="S55" s="270" t="str">
        <f>IFERROR(INDEX([1]Produtos!$J:$J,MATCH(L55,[1]Produtos!$B:$B,0)), "-")</f>
        <v>LÍQUIDO</v>
      </c>
      <c r="T55" s="473"/>
      <c r="U55" s="270"/>
      <c r="V55" s="270"/>
      <c r="W55" s="270"/>
      <c r="X55" s="270"/>
      <c r="Y55" s="270"/>
      <c r="Z55" s="270"/>
      <c r="AA55" s="270"/>
      <c r="AB55" s="270"/>
      <c r="AC55" s="270"/>
      <c r="AD55" s="270"/>
      <c r="AE55" s="270"/>
      <c r="AF55" s="270"/>
      <c r="AG55" s="270"/>
      <c r="AH55" s="270"/>
      <c r="AI55" s="270"/>
      <c r="AJ55" s="270"/>
      <c r="AK55" s="270"/>
      <c r="AL55" s="270"/>
      <c r="AM55" s="663"/>
      <c r="AN55" s="663"/>
      <c r="AO55" s="708" t="str">
        <f>IF(OR(Table1[[#This Row],[Início Setup Envase]]="",Table1[[#This Row],[Final Setup Envase]]=""),"",Table1[[#This Row],[Final Setup Envase]]-Table1[[#This Row],[Início Setup Envase]])</f>
        <v/>
      </c>
      <c r="AP55" s="663"/>
      <c r="AQ55" s="663"/>
      <c r="AR55" s="270"/>
      <c r="AS55" s="270"/>
      <c r="AT55" s="270"/>
      <c r="AU55" s="270"/>
      <c r="AV55" s="270"/>
      <c r="AW55" s="270"/>
      <c r="AX55" s="270"/>
      <c r="AY55" s="270"/>
      <c r="AZ55" s="270"/>
      <c r="BA55" s="270">
        <f>IF(Table1[[#This Row],[Data de Início]]="","",YEAR(Table1[[#This Row],[Data de Início]]))</f>
        <v>2025</v>
      </c>
      <c r="BB55" s="270">
        <f>IF(Table1[[#This Row],[Data de Início]]="","",MONTH(Table1[[#This Row],[Data de Início]]))</f>
        <v>4</v>
      </c>
      <c r="BC55" s="270"/>
    </row>
    <row r="56" spans="2:55" ht="15" customHeight="1" x14ac:dyDescent="0.25">
      <c r="B56" s="470">
        <v>45754.602083333331</v>
      </c>
      <c r="C56" s="263">
        <v>45754.708333333336</v>
      </c>
      <c r="D56" s="264" cm="1">
        <f t="array" ref="D56">IFERROR(HorasUteisFabrica2Turnos(B56,C56), "")</f>
        <v>2.5500000001047738</v>
      </c>
      <c r="E56" s="265">
        <f t="shared" si="0"/>
        <v>997.64705878253835</v>
      </c>
      <c r="F56" s="265"/>
      <c r="G56" s="265"/>
      <c r="H56" s="265"/>
      <c r="I56" s="269" t="s">
        <v>114</v>
      </c>
      <c r="J56" s="267" t="s">
        <v>15</v>
      </c>
      <c r="K56" s="269">
        <v>2544</v>
      </c>
      <c r="L56" s="269" t="s">
        <v>213</v>
      </c>
      <c r="M56" s="270" t="str">
        <f>IFERROR(INDEX([1]Produtos!$C:$C,MATCH(L56,[1]Produtos!$B:$B,0)), "-")</f>
        <v>BODY SPLASH DEUSA DO NILO</v>
      </c>
      <c r="N56" s="510">
        <f>IFERROR(INDEX([1]Produtos!$E:$E,MATCH(L56,[1]Produtos!$B:$B,0)), "-")</f>
        <v>220</v>
      </c>
      <c r="O56" s="270" t="str">
        <f>IFERROR(INDEX([1]Produtos!$F:$F,MATCH(L56,[1]Produtos!$B:$B,0)), "-")</f>
        <v>ml</v>
      </c>
      <c r="P56" s="270" t="str">
        <f>IFERROR(INDEX([1]Produtos!$G:$G,MATCH(L56,[1]Produtos!$B:$B,0)), "-")</f>
        <v>MISS RÔSE</v>
      </c>
      <c r="Q56" s="270" t="str">
        <f>IFERROR(INDEX([1]Produtos!$H:$H,MATCH(L56,[1]Produtos!$B:$B,0)), "-")</f>
        <v>PERFUMARIA</v>
      </c>
      <c r="R56" s="270" t="str">
        <f>IFERROR(INDEX([1]Produtos!$I:$I,MATCH(L56,[1]Produtos!$B:$B,0)), "-")</f>
        <v>BODY SPLASH</v>
      </c>
      <c r="S56" s="270" t="str">
        <f>IFERROR(INDEX([1]Produtos!$J:$J,MATCH(L56,[1]Produtos!$B:$B,0)), "-")</f>
        <v>LÍQUIDO</v>
      </c>
      <c r="T56" s="473"/>
      <c r="U56" s="270"/>
      <c r="V56" s="270"/>
      <c r="W56" s="270"/>
      <c r="X56" s="270"/>
      <c r="Y56" s="270"/>
      <c r="Z56" s="270"/>
      <c r="AA56" s="270"/>
      <c r="AB56" s="270"/>
      <c r="AC56" s="270"/>
      <c r="AD56" s="270"/>
      <c r="AE56" s="270"/>
      <c r="AF56" s="270"/>
      <c r="AG56" s="270"/>
      <c r="AH56" s="270"/>
      <c r="AI56" s="270"/>
      <c r="AJ56" s="270"/>
      <c r="AK56" s="270"/>
      <c r="AL56" s="270"/>
      <c r="AM56" s="663"/>
      <c r="AN56" s="663"/>
      <c r="AO56" s="708" t="str">
        <f>IF(OR(Table1[[#This Row],[Início Setup Envase]]="",Table1[[#This Row],[Final Setup Envase]]=""),"",Table1[[#This Row],[Final Setup Envase]]-Table1[[#This Row],[Início Setup Envase]])</f>
        <v/>
      </c>
      <c r="AP56" s="663"/>
      <c r="AQ56" s="663"/>
      <c r="AR56" s="270"/>
      <c r="AS56" s="270"/>
      <c r="AT56" s="270"/>
      <c r="AU56" s="270"/>
      <c r="AV56" s="270"/>
      <c r="AW56" s="270"/>
      <c r="AX56" s="270"/>
      <c r="AY56" s="270"/>
      <c r="AZ56" s="270"/>
      <c r="BA56" s="270">
        <f>IF(Table1[[#This Row],[Data de Início]]="","",YEAR(Table1[[#This Row],[Data de Início]]))</f>
        <v>2025</v>
      </c>
      <c r="BB56" s="270">
        <f>IF(Table1[[#This Row],[Data de Início]]="","",MONTH(Table1[[#This Row],[Data de Início]]))</f>
        <v>4</v>
      </c>
      <c r="BC56" s="270"/>
    </row>
    <row r="57" spans="2:55" ht="15" customHeight="1" x14ac:dyDescent="0.25">
      <c r="B57" s="470">
        <v>45755.3125</v>
      </c>
      <c r="C57" s="263">
        <v>45755.375</v>
      </c>
      <c r="D57" s="264" cm="1">
        <f t="array" ref="D57">IFERROR(HorasUteisFabrica2Turnos(B57,C57), "")</f>
        <v>1.5</v>
      </c>
      <c r="E57" s="265">
        <f t="shared" si="0"/>
        <v>1696</v>
      </c>
      <c r="F57" s="265"/>
      <c r="G57" s="265"/>
      <c r="H57" s="265"/>
      <c r="I57" s="269" t="s">
        <v>116</v>
      </c>
      <c r="J57" s="267" t="s">
        <v>15</v>
      </c>
      <c r="K57" s="269">
        <v>2544</v>
      </c>
      <c r="L57" s="269" t="s">
        <v>213</v>
      </c>
      <c r="M57" s="270" t="str">
        <f>IFERROR(INDEX([1]Produtos!$C:$C,MATCH(L57,[1]Produtos!$B:$B,0)), "-")</f>
        <v>BODY SPLASH DEUSA DO NILO</v>
      </c>
      <c r="N57" s="510">
        <f>IFERROR(INDEX([1]Produtos!$E:$E,MATCH(L57,[1]Produtos!$B:$B,0)), "-")</f>
        <v>220</v>
      </c>
      <c r="O57" s="270" t="str">
        <f>IFERROR(INDEX([1]Produtos!$F:$F,MATCH(L57,[1]Produtos!$B:$B,0)), "-")</f>
        <v>ml</v>
      </c>
      <c r="P57" s="270" t="str">
        <f>IFERROR(INDEX([1]Produtos!$G:$G,MATCH(L57,[1]Produtos!$B:$B,0)), "-")</f>
        <v>MISS RÔSE</v>
      </c>
      <c r="Q57" s="270" t="str">
        <f>IFERROR(INDEX([1]Produtos!$H:$H,MATCH(L57,[1]Produtos!$B:$B,0)), "-")</f>
        <v>PERFUMARIA</v>
      </c>
      <c r="R57" s="270" t="str">
        <f>IFERROR(INDEX([1]Produtos!$I:$I,MATCH(L57,[1]Produtos!$B:$B,0)), "-")</f>
        <v>BODY SPLASH</v>
      </c>
      <c r="S57" s="270" t="str">
        <f>IFERROR(INDEX([1]Produtos!$J:$J,MATCH(L57,[1]Produtos!$B:$B,0)), "-")</f>
        <v>LÍQUIDO</v>
      </c>
      <c r="T57" s="473"/>
      <c r="U57" s="270"/>
      <c r="V57" s="270"/>
      <c r="W57" s="270"/>
      <c r="X57" s="270"/>
      <c r="Y57" s="270"/>
      <c r="Z57" s="270"/>
      <c r="AA57" s="270"/>
      <c r="AB57" s="270"/>
      <c r="AC57" s="270"/>
      <c r="AD57" s="270"/>
      <c r="AE57" s="270"/>
      <c r="AF57" s="270"/>
      <c r="AG57" s="270"/>
      <c r="AH57" s="270"/>
      <c r="AI57" s="270"/>
      <c r="AJ57" s="270"/>
      <c r="AK57" s="270"/>
      <c r="AL57" s="270"/>
      <c r="AM57" s="663"/>
      <c r="AN57" s="663"/>
      <c r="AO57" s="708" t="str">
        <f>IF(OR(Table1[[#This Row],[Início Setup Envase]]="",Table1[[#This Row],[Final Setup Envase]]=""),"",Table1[[#This Row],[Final Setup Envase]]-Table1[[#This Row],[Início Setup Envase]])</f>
        <v/>
      </c>
      <c r="AP57" s="663"/>
      <c r="AQ57" s="663"/>
      <c r="AR57" s="270"/>
      <c r="AS57" s="270"/>
      <c r="AT57" s="270"/>
      <c r="AU57" s="270"/>
      <c r="AV57" s="270"/>
      <c r="AW57" s="270"/>
      <c r="AX57" s="270"/>
      <c r="AY57" s="270"/>
      <c r="AZ57" s="270"/>
      <c r="BA57" s="270">
        <f>IF(Table1[[#This Row],[Data de Início]]="","",YEAR(Table1[[#This Row],[Data de Início]]))</f>
        <v>2025</v>
      </c>
      <c r="BB57" s="270">
        <f>IF(Table1[[#This Row],[Data de Início]]="","",MONTH(Table1[[#This Row],[Data de Início]]))</f>
        <v>4</v>
      </c>
      <c r="BC57" s="270"/>
    </row>
    <row r="58" spans="2:55" ht="15" customHeight="1" x14ac:dyDescent="0.25">
      <c r="B58" s="470">
        <v>45755.375</v>
      </c>
      <c r="C58" s="263">
        <v>45755.458333333336</v>
      </c>
      <c r="D58" s="264" cm="1">
        <f t="array" ref="D58">IFERROR(HorasUteisFabrica2Turnos(B58,C58), "")</f>
        <v>2.0000000000582077</v>
      </c>
      <c r="E58" s="265">
        <f t="shared" si="0"/>
        <v>1272.4999999629654</v>
      </c>
      <c r="F58" s="265"/>
      <c r="G58" s="265"/>
      <c r="H58" s="265"/>
      <c r="I58" s="269" t="s">
        <v>117</v>
      </c>
      <c r="J58" s="267" t="s">
        <v>15</v>
      </c>
      <c r="K58" s="269">
        <v>2545</v>
      </c>
      <c r="L58" s="269" t="s">
        <v>213</v>
      </c>
      <c r="M58" s="270" t="str">
        <f>IFERROR(INDEX([1]Produtos!$C:$C,MATCH(L58,[1]Produtos!$B:$B,0)), "-")</f>
        <v>BODY SPLASH DEUSA DO NILO</v>
      </c>
      <c r="N58" s="510">
        <f>IFERROR(INDEX([1]Produtos!$E:$E,MATCH(L58,[1]Produtos!$B:$B,0)), "-")</f>
        <v>220</v>
      </c>
      <c r="O58" s="270" t="str">
        <f>IFERROR(INDEX([1]Produtos!$F:$F,MATCH(L58,[1]Produtos!$B:$B,0)), "-")</f>
        <v>ml</v>
      </c>
      <c r="P58" s="270" t="str">
        <f>IFERROR(INDEX([1]Produtos!$G:$G,MATCH(L58,[1]Produtos!$B:$B,0)), "-")</f>
        <v>MISS RÔSE</v>
      </c>
      <c r="Q58" s="270" t="str">
        <f>IFERROR(INDEX([1]Produtos!$H:$H,MATCH(L58,[1]Produtos!$B:$B,0)), "-")</f>
        <v>PERFUMARIA</v>
      </c>
      <c r="R58" s="270" t="str">
        <f>IFERROR(INDEX([1]Produtos!$I:$I,MATCH(L58,[1]Produtos!$B:$B,0)), "-")</f>
        <v>BODY SPLASH</v>
      </c>
      <c r="S58" s="270" t="str">
        <f>IFERROR(INDEX([1]Produtos!$J:$J,MATCH(L58,[1]Produtos!$B:$B,0)), "-")</f>
        <v>LÍQUIDO</v>
      </c>
      <c r="T58" s="473"/>
      <c r="U58" s="270"/>
      <c r="V58" s="270"/>
      <c r="W58" s="270"/>
      <c r="X58" s="270"/>
      <c r="Y58" s="270"/>
      <c r="Z58" s="270"/>
      <c r="AA58" s="270"/>
      <c r="AB58" s="270"/>
      <c r="AC58" s="270"/>
      <c r="AD58" s="270"/>
      <c r="AE58" s="270"/>
      <c r="AF58" s="270"/>
      <c r="AG58" s="270"/>
      <c r="AH58" s="270"/>
      <c r="AI58" s="270"/>
      <c r="AJ58" s="270"/>
      <c r="AK58" s="270"/>
      <c r="AL58" s="270"/>
      <c r="AM58" s="663"/>
      <c r="AN58" s="663"/>
      <c r="AO58" s="708" t="str">
        <f>IF(OR(Table1[[#This Row],[Início Setup Envase]]="",Table1[[#This Row],[Final Setup Envase]]=""),"",Table1[[#This Row],[Final Setup Envase]]-Table1[[#This Row],[Início Setup Envase]])</f>
        <v/>
      </c>
      <c r="AP58" s="663"/>
      <c r="AQ58" s="663"/>
      <c r="AR58" s="270"/>
      <c r="AS58" s="270"/>
      <c r="AT58" s="270"/>
      <c r="AU58" s="270"/>
      <c r="AV58" s="270"/>
      <c r="AW58" s="270"/>
      <c r="AX58" s="270"/>
      <c r="AY58" s="270"/>
      <c r="AZ58" s="270"/>
      <c r="BA58" s="270">
        <f>IF(Table1[[#This Row],[Data de Início]]="","",YEAR(Table1[[#This Row],[Data de Início]]))</f>
        <v>2025</v>
      </c>
      <c r="BB58" s="270">
        <f>IF(Table1[[#This Row],[Data de Início]]="","",MONTH(Table1[[#This Row],[Data de Início]]))</f>
        <v>4</v>
      </c>
      <c r="BC58" s="270"/>
    </row>
    <row r="59" spans="2:55" ht="15" customHeight="1" x14ac:dyDescent="0.25">
      <c r="B59" s="470">
        <v>45755.458333333336</v>
      </c>
      <c r="C59" s="263">
        <v>45755.577777777777</v>
      </c>
      <c r="D59" s="264" cm="1">
        <f t="array" ref="D59">IFERROR(HorasUteisFabrica2Turnos(B59,C59), "")</f>
        <v>1.8666666665812954</v>
      </c>
      <c r="E59" s="265">
        <f t="shared" si="0"/>
        <v>1362.8571429194726</v>
      </c>
      <c r="F59" s="265"/>
      <c r="G59" s="265"/>
      <c r="H59" s="265"/>
      <c r="I59" s="269" t="s">
        <v>118</v>
      </c>
      <c r="J59" s="267" t="s">
        <v>15</v>
      </c>
      <c r="K59" s="269">
        <v>2544</v>
      </c>
      <c r="L59" s="269" t="s">
        <v>213</v>
      </c>
      <c r="M59" s="270" t="str">
        <f>IFERROR(INDEX([1]Produtos!$C:$C,MATCH(L59,[1]Produtos!$B:$B,0)), "-")</f>
        <v>BODY SPLASH DEUSA DO NILO</v>
      </c>
      <c r="N59" s="510">
        <f>IFERROR(INDEX([1]Produtos!$E:$E,MATCH(L59,[1]Produtos!$B:$B,0)), "-")</f>
        <v>220</v>
      </c>
      <c r="O59" s="270" t="str">
        <f>IFERROR(INDEX([1]Produtos!$F:$F,MATCH(L59,[1]Produtos!$B:$B,0)), "-")</f>
        <v>ml</v>
      </c>
      <c r="P59" s="270" t="str">
        <f>IFERROR(INDEX([1]Produtos!$G:$G,MATCH(L59,[1]Produtos!$B:$B,0)), "-")</f>
        <v>MISS RÔSE</v>
      </c>
      <c r="Q59" s="270" t="str">
        <f>IFERROR(INDEX([1]Produtos!$H:$H,MATCH(L59,[1]Produtos!$B:$B,0)), "-")</f>
        <v>PERFUMARIA</v>
      </c>
      <c r="R59" s="270" t="str">
        <f>IFERROR(INDEX([1]Produtos!$I:$I,MATCH(L59,[1]Produtos!$B:$B,0)), "-")</f>
        <v>BODY SPLASH</v>
      </c>
      <c r="S59" s="270" t="str">
        <f>IFERROR(INDEX([1]Produtos!$J:$J,MATCH(L59,[1]Produtos!$B:$B,0)), "-")</f>
        <v>LÍQUIDO</v>
      </c>
      <c r="T59" s="473"/>
      <c r="U59" s="270"/>
      <c r="V59" s="270"/>
      <c r="W59" s="270"/>
      <c r="X59" s="270"/>
      <c r="Y59" s="270"/>
      <c r="Z59" s="270"/>
      <c r="AA59" s="270"/>
      <c r="AB59" s="270"/>
      <c r="AC59" s="270"/>
      <c r="AD59" s="270"/>
      <c r="AE59" s="270"/>
      <c r="AF59" s="270"/>
      <c r="AG59" s="270"/>
      <c r="AH59" s="270"/>
      <c r="AI59" s="270"/>
      <c r="AJ59" s="270"/>
      <c r="AK59" s="270"/>
      <c r="AL59" s="270"/>
      <c r="AM59" s="663"/>
      <c r="AN59" s="663"/>
      <c r="AO59" s="708" t="str">
        <f>IF(OR(Table1[[#This Row],[Início Setup Envase]]="",Table1[[#This Row],[Final Setup Envase]]=""),"",Table1[[#This Row],[Final Setup Envase]]-Table1[[#This Row],[Início Setup Envase]])</f>
        <v/>
      </c>
      <c r="AP59" s="663"/>
      <c r="AQ59" s="663"/>
      <c r="AR59" s="270"/>
      <c r="AS59" s="270"/>
      <c r="AT59" s="270"/>
      <c r="AU59" s="270"/>
      <c r="AV59" s="270"/>
      <c r="AW59" s="270"/>
      <c r="AX59" s="270"/>
      <c r="AY59" s="270"/>
      <c r="AZ59" s="270"/>
      <c r="BA59" s="270">
        <f>IF(Table1[[#This Row],[Data de Início]]="","",YEAR(Table1[[#This Row],[Data de Início]]))</f>
        <v>2025</v>
      </c>
      <c r="BB59" s="270">
        <f>IF(Table1[[#This Row],[Data de Início]]="","",MONTH(Table1[[#This Row],[Data de Início]]))</f>
        <v>4</v>
      </c>
      <c r="BC59" s="270"/>
    </row>
    <row r="60" spans="2:55" ht="15" customHeight="1" x14ac:dyDescent="0.25">
      <c r="B60" s="470">
        <v>45755.578472222223</v>
      </c>
      <c r="C60" s="263">
        <v>45755.666666666664</v>
      </c>
      <c r="D60" s="264" cm="1">
        <f t="array" ref="D60">IFERROR(HorasUteisFabrica2Turnos(B60,C60), "")</f>
        <v>2.1166666665812954</v>
      </c>
      <c r="E60" s="265">
        <f t="shared" si="0"/>
        <v>1201.8897638280032</v>
      </c>
      <c r="F60" s="265"/>
      <c r="G60" s="265"/>
      <c r="H60" s="265"/>
      <c r="I60" s="269" t="s">
        <v>119</v>
      </c>
      <c r="J60" s="267" t="s">
        <v>15</v>
      </c>
      <c r="K60" s="269">
        <v>2544</v>
      </c>
      <c r="L60" s="269" t="s">
        <v>213</v>
      </c>
      <c r="M60" s="270" t="str">
        <f>IFERROR(INDEX([1]Produtos!$C:$C,MATCH(L60,[1]Produtos!$B:$B,0)), "-")</f>
        <v>BODY SPLASH DEUSA DO NILO</v>
      </c>
      <c r="N60" s="510">
        <f>IFERROR(INDEX([1]Produtos!$E:$E,MATCH(L60,[1]Produtos!$B:$B,0)), "-")</f>
        <v>220</v>
      </c>
      <c r="O60" s="270" t="str">
        <f>IFERROR(INDEX([1]Produtos!$F:$F,MATCH(L60,[1]Produtos!$B:$B,0)), "-")</f>
        <v>ml</v>
      </c>
      <c r="P60" s="270" t="str">
        <f>IFERROR(INDEX([1]Produtos!$G:$G,MATCH(L60,[1]Produtos!$B:$B,0)), "-")</f>
        <v>MISS RÔSE</v>
      </c>
      <c r="Q60" s="270" t="str">
        <f>IFERROR(INDEX([1]Produtos!$H:$H,MATCH(L60,[1]Produtos!$B:$B,0)), "-")</f>
        <v>PERFUMARIA</v>
      </c>
      <c r="R60" s="270" t="str">
        <f>IFERROR(INDEX([1]Produtos!$I:$I,MATCH(L60,[1]Produtos!$B:$B,0)), "-")</f>
        <v>BODY SPLASH</v>
      </c>
      <c r="S60" s="270" t="str">
        <f>IFERROR(INDEX([1]Produtos!$J:$J,MATCH(L60,[1]Produtos!$B:$B,0)), "-")</f>
        <v>LÍQUIDO</v>
      </c>
      <c r="T60" s="473"/>
      <c r="U60" s="270"/>
      <c r="V60" s="270"/>
      <c r="W60" s="270"/>
      <c r="X60" s="270"/>
      <c r="Y60" s="270"/>
      <c r="Z60" s="270"/>
      <c r="AA60" s="270"/>
      <c r="AB60" s="270"/>
      <c r="AC60" s="270"/>
      <c r="AD60" s="270"/>
      <c r="AE60" s="270"/>
      <c r="AF60" s="270"/>
      <c r="AG60" s="270"/>
      <c r="AH60" s="270"/>
      <c r="AI60" s="270"/>
      <c r="AJ60" s="270"/>
      <c r="AK60" s="270"/>
      <c r="AL60" s="270"/>
      <c r="AM60" s="663"/>
      <c r="AN60" s="663"/>
      <c r="AO60" s="708" t="str">
        <f>IF(OR(Table1[[#This Row],[Início Setup Envase]]="",Table1[[#This Row],[Final Setup Envase]]=""),"",Table1[[#This Row],[Final Setup Envase]]-Table1[[#This Row],[Início Setup Envase]])</f>
        <v/>
      </c>
      <c r="AP60" s="663"/>
      <c r="AQ60" s="663"/>
      <c r="AR60" s="270"/>
      <c r="AS60" s="270"/>
      <c r="AT60" s="270"/>
      <c r="AU60" s="270"/>
      <c r="AV60" s="270"/>
      <c r="AW60" s="270"/>
      <c r="AX60" s="270"/>
      <c r="AY60" s="270"/>
      <c r="AZ60" s="270"/>
      <c r="BA60" s="270">
        <f>IF(Table1[[#This Row],[Data de Início]]="","",YEAR(Table1[[#This Row],[Data de Início]]))</f>
        <v>2025</v>
      </c>
      <c r="BB60" s="270">
        <f>IF(Table1[[#This Row],[Data de Início]]="","",MONTH(Table1[[#This Row],[Data de Início]]))</f>
        <v>4</v>
      </c>
      <c r="BC60" s="270"/>
    </row>
    <row r="61" spans="2:55" ht="15" customHeight="1" x14ac:dyDescent="0.25">
      <c r="B61" s="470">
        <v>45755.666666666664</v>
      </c>
      <c r="C61" s="263">
        <v>45756.364583333336</v>
      </c>
      <c r="D61" s="264" cm="1">
        <f t="array" ref="D61">IFERROR(HorasUteisFabrica2Turnos(B61,C61), "")</f>
        <v>2.7500000002328306</v>
      </c>
      <c r="E61" s="265">
        <f t="shared" si="0"/>
        <v>942.54545446565328</v>
      </c>
      <c r="F61" s="265"/>
      <c r="G61" s="265"/>
      <c r="H61" s="265"/>
      <c r="I61" s="269" t="s">
        <v>120</v>
      </c>
      <c r="J61" s="267" t="s">
        <v>15</v>
      </c>
      <c r="K61" s="269">
        <v>2592</v>
      </c>
      <c r="L61" s="269" t="s">
        <v>213</v>
      </c>
      <c r="M61" s="270" t="str">
        <f>IFERROR(INDEX([1]Produtos!$C:$C,MATCH(L61,[1]Produtos!$B:$B,0)), "-")</f>
        <v>BODY SPLASH DEUSA DO NILO</v>
      </c>
      <c r="N61" s="510">
        <f>IFERROR(INDEX([1]Produtos!$E:$E,MATCH(L61,[1]Produtos!$B:$B,0)), "-")</f>
        <v>220</v>
      </c>
      <c r="O61" s="270" t="str">
        <f>IFERROR(INDEX([1]Produtos!$F:$F,MATCH(L61,[1]Produtos!$B:$B,0)), "-")</f>
        <v>ml</v>
      </c>
      <c r="P61" s="270" t="str">
        <f>IFERROR(INDEX([1]Produtos!$G:$G,MATCH(L61,[1]Produtos!$B:$B,0)), "-")</f>
        <v>MISS RÔSE</v>
      </c>
      <c r="Q61" s="270" t="str">
        <f>IFERROR(INDEX([1]Produtos!$H:$H,MATCH(L61,[1]Produtos!$B:$B,0)), "-")</f>
        <v>PERFUMARIA</v>
      </c>
      <c r="R61" s="270" t="str">
        <f>IFERROR(INDEX([1]Produtos!$I:$I,MATCH(L61,[1]Produtos!$B:$B,0)), "-")</f>
        <v>BODY SPLASH</v>
      </c>
      <c r="S61" s="270" t="str">
        <f>IFERROR(INDEX([1]Produtos!$J:$J,MATCH(L61,[1]Produtos!$B:$B,0)), "-")</f>
        <v>LÍQUIDO</v>
      </c>
      <c r="T61" s="473"/>
      <c r="U61" s="270"/>
      <c r="V61" s="270"/>
      <c r="W61" s="270"/>
      <c r="X61" s="270"/>
      <c r="Y61" s="270"/>
      <c r="Z61" s="270"/>
      <c r="AA61" s="270"/>
      <c r="AB61" s="270"/>
      <c r="AC61" s="270"/>
      <c r="AD61" s="270"/>
      <c r="AE61" s="270"/>
      <c r="AF61" s="270"/>
      <c r="AG61" s="270"/>
      <c r="AH61" s="270"/>
      <c r="AI61" s="270"/>
      <c r="AJ61" s="270"/>
      <c r="AK61" s="270"/>
      <c r="AL61" s="270"/>
      <c r="AM61" s="663"/>
      <c r="AN61" s="663"/>
      <c r="AO61" s="708" t="str">
        <f>IF(OR(Table1[[#This Row],[Início Setup Envase]]="",Table1[[#This Row],[Final Setup Envase]]=""),"",Table1[[#This Row],[Final Setup Envase]]-Table1[[#This Row],[Início Setup Envase]])</f>
        <v/>
      </c>
      <c r="AP61" s="663"/>
      <c r="AQ61" s="663"/>
      <c r="AR61" s="270"/>
      <c r="AS61" s="270"/>
      <c r="AT61" s="270"/>
      <c r="AU61" s="270"/>
      <c r="AV61" s="270"/>
      <c r="AW61" s="270"/>
      <c r="AX61" s="270"/>
      <c r="AY61" s="270"/>
      <c r="AZ61" s="270"/>
      <c r="BA61" s="270">
        <f>IF(Table1[[#This Row],[Data de Início]]="","",YEAR(Table1[[#This Row],[Data de Início]]))</f>
        <v>2025</v>
      </c>
      <c r="BB61" s="270">
        <f>IF(Table1[[#This Row],[Data de Início]]="","",MONTH(Table1[[#This Row],[Data de Início]]))</f>
        <v>4</v>
      </c>
      <c r="BC61" s="270"/>
    </row>
    <row r="62" spans="2:55" ht="15" customHeight="1" x14ac:dyDescent="0.25">
      <c r="B62" s="470">
        <v>45756.364583333336</v>
      </c>
      <c r="C62" s="263">
        <v>45756.448611111111</v>
      </c>
      <c r="D62" s="264" cm="1">
        <f t="array" ref="D62">IFERROR(HorasUteisFabrica2Turnos(B62,C62), "")</f>
        <v>2.0166666666045785</v>
      </c>
      <c r="E62" s="265">
        <f t="shared" si="0"/>
        <v>1261.4876033446233</v>
      </c>
      <c r="F62" s="265"/>
      <c r="G62" s="265"/>
      <c r="H62" s="265"/>
      <c r="I62" s="269" t="s">
        <v>121</v>
      </c>
      <c r="J62" s="267" t="s">
        <v>15</v>
      </c>
      <c r="K62" s="269">
        <v>2544</v>
      </c>
      <c r="L62" s="269" t="s">
        <v>213</v>
      </c>
      <c r="M62" s="270" t="str">
        <f>IFERROR(INDEX([1]Produtos!$C:$C,MATCH(L62,[1]Produtos!$B:$B,0)), "-")</f>
        <v>BODY SPLASH DEUSA DO NILO</v>
      </c>
      <c r="N62" s="510">
        <f>IFERROR(INDEX([1]Produtos!$E:$E,MATCH(L62,[1]Produtos!$B:$B,0)), "-")</f>
        <v>220</v>
      </c>
      <c r="O62" s="270" t="str">
        <f>IFERROR(INDEX([1]Produtos!$F:$F,MATCH(L62,[1]Produtos!$B:$B,0)), "-")</f>
        <v>ml</v>
      </c>
      <c r="P62" s="270" t="str">
        <f>IFERROR(INDEX([1]Produtos!$G:$G,MATCH(L62,[1]Produtos!$B:$B,0)), "-")</f>
        <v>MISS RÔSE</v>
      </c>
      <c r="Q62" s="270" t="str">
        <f>IFERROR(INDEX([1]Produtos!$H:$H,MATCH(L62,[1]Produtos!$B:$B,0)), "-")</f>
        <v>PERFUMARIA</v>
      </c>
      <c r="R62" s="270" t="str">
        <f>IFERROR(INDEX([1]Produtos!$I:$I,MATCH(L62,[1]Produtos!$B:$B,0)), "-")</f>
        <v>BODY SPLASH</v>
      </c>
      <c r="S62" s="270" t="str">
        <f>IFERROR(INDEX([1]Produtos!$J:$J,MATCH(L62,[1]Produtos!$B:$B,0)), "-")</f>
        <v>LÍQUIDO</v>
      </c>
      <c r="T62" s="473"/>
      <c r="U62" s="270"/>
      <c r="V62" s="270"/>
      <c r="W62" s="270"/>
      <c r="X62" s="270"/>
      <c r="Y62" s="270"/>
      <c r="Z62" s="270"/>
      <c r="AA62" s="270"/>
      <c r="AB62" s="270"/>
      <c r="AC62" s="270"/>
      <c r="AD62" s="270"/>
      <c r="AE62" s="270"/>
      <c r="AF62" s="270"/>
      <c r="AG62" s="270"/>
      <c r="AH62" s="270"/>
      <c r="AI62" s="270"/>
      <c r="AJ62" s="270"/>
      <c r="AK62" s="270"/>
      <c r="AL62" s="270"/>
      <c r="AM62" s="663"/>
      <c r="AN62" s="663"/>
      <c r="AO62" s="708" t="str">
        <f>IF(OR(Table1[[#This Row],[Início Setup Envase]]="",Table1[[#This Row],[Final Setup Envase]]=""),"",Table1[[#This Row],[Final Setup Envase]]-Table1[[#This Row],[Início Setup Envase]])</f>
        <v/>
      </c>
      <c r="AP62" s="663"/>
      <c r="AQ62" s="663"/>
      <c r="AR62" s="270"/>
      <c r="AS62" s="270"/>
      <c r="AT62" s="270"/>
      <c r="AU62" s="270"/>
      <c r="AV62" s="270"/>
      <c r="AW62" s="270"/>
      <c r="AX62" s="270"/>
      <c r="AY62" s="270"/>
      <c r="AZ62" s="270"/>
      <c r="BA62" s="270">
        <f>IF(Table1[[#This Row],[Data de Início]]="","",YEAR(Table1[[#This Row],[Data de Início]]))</f>
        <v>2025</v>
      </c>
      <c r="BB62" s="270">
        <f>IF(Table1[[#This Row],[Data de Início]]="","",MONTH(Table1[[#This Row],[Data de Início]]))</f>
        <v>4</v>
      </c>
      <c r="BC62" s="270"/>
    </row>
    <row r="63" spans="2:55" ht="15" customHeight="1" x14ac:dyDescent="0.25">
      <c r="B63" s="470">
        <v>45756.448611111111</v>
      </c>
      <c r="C63" s="263">
        <v>45756.587500000001</v>
      </c>
      <c r="D63" s="264" cm="1">
        <f t="array" ref="D63">IFERROR(HorasUteisFabrica2Turnos(B63,C63), "")</f>
        <v>2.3333333333721384</v>
      </c>
      <c r="E63" s="265">
        <f t="shared" si="0"/>
        <v>1090.2857142675821</v>
      </c>
      <c r="F63" s="265"/>
      <c r="G63" s="265"/>
      <c r="H63" s="265"/>
      <c r="I63" s="269" t="s">
        <v>122</v>
      </c>
      <c r="J63" s="267" t="s">
        <v>15</v>
      </c>
      <c r="K63" s="269">
        <v>2544</v>
      </c>
      <c r="L63" s="269" t="s">
        <v>213</v>
      </c>
      <c r="M63" s="270" t="str">
        <f>IFERROR(INDEX([1]Produtos!$C:$C,MATCH(L63,[1]Produtos!$B:$B,0)), "-")</f>
        <v>BODY SPLASH DEUSA DO NILO</v>
      </c>
      <c r="N63" s="510">
        <f>IFERROR(INDEX([1]Produtos!$E:$E,MATCH(L63,[1]Produtos!$B:$B,0)), "-")</f>
        <v>220</v>
      </c>
      <c r="O63" s="270" t="str">
        <f>IFERROR(INDEX([1]Produtos!$F:$F,MATCH(L63,[1]Produtos!$B:$B,0)), "-")</f>
        <v>ml</v>
      </c>
      <c r="P63" s="270" t="str">
        <f>IFERROR(INDEX([1]Produtos!$G:$G,MATCH(L63,[1]Produtos!$B:$B,0)), "-")</f>
        <v>MISS RÔSE</v>
      </c>
      <c r="Q63" s="270" t="str">
        <f>IFERROR(INDEX([1]Produtos!$H:$H,MATCH(L63,[1]Produtos!$B:$B,0)), "-")</f>
        <v>PERFUMARIA</v>
      </c>
      <c r="R63" s="270" t="str">
        <f>IFERROR(INDEX([1]Produtos!$I:$I,MATCH(L63,[1]Produtos!$B:$B,0)), "-")</f>
        <v>BODY SPLASH</v>
      </c>
      <c r="S63" s="270" t="str">
        <f>IFERROR(INDEX([1]Produtos!$J:$J,MATCH(L63,[1]Produtos!$B:$B,0)), "-")</f>
        <v>LÍQUIDO</v>
      </c>
      <c r="T63" s="473"/>
      <c r="U63" s="270"/>
      <c r="V63" s="270"/>
      <c r="W63" s="270"/>
      <c r="X63" s="270"/>
      <c r="Y63" s="270"/>
      <c r="Z63" s="270"/>
      <c r="AA63" s="270"/>
      <c r="AB63" s="270"/>
      <c r="AC63" s="270"/>
      <c r="AD63" s="270"/>
      <c r="AE63" s="270"/>
      <c r="AF63" s="270"/>
      <c r="AG63" s="270"/>
      <c r="AH63" s="270"/>
      <c r="AI63" s="270"/>
      <c r="AJ63" s="270"/>
      <c r="AK63" s="270"/>
      <c r="AL63" s="270"/>
      <c r="AM63" s="663"/>
      <c r="AN63" s="663"/>
      <c r="AO63" s="708" t="str">
        <f>IF(OR(Table1[[#This Row],[Início Setup Envase]]="",Table1[[#This Row],[Final Setup Envase]]=""),"",Table1[[#This Row],[Final Setup Envase]]-Table1[[#This Row],[Início Setup Envase]])</f>
        <v/>
      </c>
      <c r="AP63" s="663"/>
      <c r="AQ63" s="663"/>
      <c r="AR63" s="270"/>
      <c r="AS63" s="270"/>
      <c r="AT63" s="270"/>
      <c r="AU63" s="270"/>
      <c r="AV63" s="270"/>
      <c r="AW63" s="270"/>
      <c r="AX63" s="270"/>
      <c r="AY63" s="270"/>
      <c r="AZ63" s="270"/>
      <c r="BA63" s="270">
        <f>IF(Table1[[#This Row],[Data de Início]]="","",YEAR(Table1[[#This Row],[Data de Início]]))</f>
        <v>2025</v>
      </c>
      <c r="BB63" s="270">
        <f>IF(Table1[[#This Row],[Data de Início]]="","",MONTH(Table1[[#This Row],[Data de Início]]))</f>
        <v>4</v>
      </c>
      <c r="BC63" s="270"/>
    </row>
    <row r="64" spans="2:55" ht="15" customHeight="1" x14ac:dyDescent="0.25">
      <c r="B64" s="470">
        <v>45756.588194444441</v>
      </c>
      <c r="C64" s="263">
        <v>45756.695833333331</v>
      </c>
      <c r="D64" s="264" cm="1">
        <f t="array" ref="D64">IFERROR(HorasUteisFabrica2Turnos(B64,C64), "")</f>
        <v>2.5833333333721384</v>
      </c>
      <c r="E64" s="265">
        <f t="shared" si="0"/>
        <v>984.77419353359448</v>
      </c>
      <c r="F64" s="265"/>
      <c r="G64" s="265"/>
      <c r="H64" s="265"/>
      <c r="I64" s="269" t="s">
        <v>123</v>
      </c>
      <c r="J64" s="267" t="s">
        <v>15</v>
      </c>
      <c r="K64" s="269">
        <v>2544</v>
      </c>
      <c r="L64" s="269" t="s">
        <v>213</v>
      </c>
      <c r="M64" s="270" t="str">
        <f>IFERROR(INDEX([1]Produtos!$C:$C,MATCH(L64,[1]Produtos!$B:$B,0)), "-")</f>
        <v>BODY SPLASH DEUSA DO NILO</v>
      </c>
      <c r="N64" s="510">
        <f>IFERROR(INDEX([1]Produtos!$E:$E,MATCH(L64,[1]Produtos!$B:$B,0)), "-")</f>
        <v>220</v>
      </c>
      <c r="O64" s="270" t="str">
        <f>IFERROR(INDEX([1]Produtos!$F:$F,MATCH(L64,[1]Produtos!$B:$B,0)), "-")</f>
        <v>ml</v>
      </c>
      <c r="P64" s="270" t="str">
        <f>IFERROR(INDEX([1]Produtos!$G:$G,MATCH(L64,[1]Produtos!$B:$B,0)), "-")</f>
        <v>MISS RÔSE</v>
      </c>
      <c r="Q64" s="270" t="str">
        <f>IFERROR(INDEX([1]Produtos!$H:$H,MATCH(L64,[1]Produtos!$B:$B,0)), "-")</f>
        <v>PERFUMARIA</v>
      </c>
      <c r="R64" s="270" t="str">
        <f>IFERROR(INDEX([1]Produtos!$I:$I,MATCH(L64,[1]Produtos!$B:$B,0)), "-")</f>
        <v>BODY SPLASH</v>
      </c>
      <c r="S64" s="270" t="str">
        <f>IFERROR(INDEX([1]Produtos!$J:$J,MATCH(L64,[1]Produtos!$B:$B,0)), "-")</f>
        <v>LÍQUIDO</v>
      </c>
      <c r="T64" s="473"/>
      <c r="U64" s="270"/>
      <c r="V64" s="270"/>
      <c r="W64" s="270"/>
      <c r="X64" s="270"/>
      <c r="Y64" s="270"/>
      <c r="Z64" s="270"/>
      <c r="AA64" s="270"/>
      <c r="AB64" s="270"/>
      <c r="AC64" s="270"/>
      <c r="AD64" s="270"/>
      <c r="AE64" s="270"/>
      <c r="AF64" s="270"/>
      <c r="AG64" s="270"/>
      <c r="AH64" s="270"/>
      <c r="AI64" s="270"/>
      <c r="AJ64" s="270"/>
      <c r="AK64" s="270"/>
      <c r="AL64" s="270"/>
      <c r="AM64" s="663"/>
      <c r="AN64" s="663"/>
      <c r="AO64" s="708" t="str">
        <f>IF(OR(Table1[[#This Row],[Início Setup Envase]]="",Table1[[#This Row],[Final Setup Envase]]=""),"",Table1[[#This Row],[Final Setup Envase]]-Table1[[#This Row],[Início Setup Envase]])</f>
        <v/>
      </c>
      <c r="AP64" s="663"/>
      <c r="AQ64" s="663"/>
      <c r="AR64" s="270"/>
      <c r="AS64" s="270"/>
      <c r="AT64" s="270"/>
      <c r="AU64" s="270"/>
      <c r="AV64" s="270"/>
      <c r="AW64" s="270"/>
      <c r="AX64" s="270"/>
      <c r="AY64" s="270"/>
      <c r="AZ64" s="270"/>
      <c r="BA64" s="270">
        <f>IF(Table1[[#This Row],[Data de Início]]="","",YEAR(Table1[[#This Row],[Data de Início]]))</f>
        <v>2025</v>
      </c>
      <c r="BB64" s="270">
        <f>IF(Table1[[#This Row],[Data de Início]]="","",MONTH(Table1[[#This Row],[Data de Início]]))</f>
        <v>4</v>
      </c>
      <c r="BC64" s="270"/>
    </row>
    <row r="65" spans="2:55" ht="15" customHeight="1" x14ac:dyDescent="0.25">
      <c r="B65" s="470">
        <v>45756.695833333331</v>
      </c>
      <c r="C65" s="263">
        <v>45757.394444444442</v>
      </c>
      <c r="D65" s="264" cm="1">
        <f t="array" ref="D65">IFERROR(HorasUteisFabrica2Turnos(B65,C65), "")</f>
        <v>2.7666666667792015</v>
      </c>
      <c r="E65" s="265">
        <f t="shared" si="0"/>
        <v>919.51807225175503</v>
      </c>
      <c r="F65" s="265"/>
      <c r="G65" s="265"/>
      <c r="H65" s="265"/>
      <c r="I65" s="269" t="s">
        <v>124</v>
      </c>
      <c r="J65" s="267" t="s">
        <v>15</v>
      </c>
      <c r="K65" s="269">
        <v>2544</v>
      </c>
      <c r="L65" s="269" t="s">
        <v>213</v>
      </c>
      <c r="M65" s="270" t="str">
        <f>IFERROR(INDEX([1]Produtos!$C:$C,MATCH(L65,[1]Produtos!$B:$B,0)), "-")</f>
        <v>BODY SPLASH DEUSA DO NILO</v>
      </c>
      <c r="N65" s="510">
        <f>IFERROR(INDEX([1]Produtos!$E:$E,MATCH(L65,[1]Produtos!$B:$B,0)), "-")</f>
        <v>220</v>
      </c>
      <c r="O65" s="270" t="str">
        <f>IFERROR(INDEX([1]Produtos!$F:$F,MATCH(L65,[1]Produtos!$B:$B,0)), "-")</f>
        <v>ml</v>
      </c>
      <c r="P65" s="270" t="str">
        <f>IFERROR(INDEX([1]Produtos!$G:$G,MATCH(L65,[1]Produtos!$B:$B,0)), "-")</f>
        <v>MISS RÔSE</v>
      </c>
      <c r="Q65" s="270" t="str">
        <f>IFERROR(INDEX([1]Produtos!$H:$H,MATCH(L65,[1]Produtos!$B:$B,0)), "-")</f>
        <v>PERFUMARIA</v>
      </c>
      <c r="R65" s="270" t="str">
        <f>IFERROR(INDEX([1]Produtos!$I:$I,MATCH(L65,[1]Produtos!$B:$B,0)), "-")</f>
        <v>BODY SPLASH</v>
      </c>
      <c r="S65" s="270" t="str">
        <f>IFERROR(INDEX([1]Produtos!$J:$J,MATCH(L65,[1]Produtos!$B:$B,0)), "-")</f>
        <v>LÍQUIDO</v>
      </c>
      <c r="T65" s="473"/>
      <c r="U65" s="270"/>
      <c r="V65" s="270"/>
      <c r="W65" s="270"/>
      <c r="X65" s="270"/>
      <c r="Y65" s="270"/>
      <c r="Z65" s="270"/>
      <c r="AA65" s="270"/>
      <c r="AB65" s="270"/>
      <c r="AC65" s="270"/>
      <c r="AD65" s="270"/>
      <c r="AE65" s="270"/>
      <c r="AF65" s="270"/>
      <c r="AG65" s="270"/>
      <c r="AH65" s="270"/>
      <c r="AI65" s="270"/>
      <c r="AJ65" s="270"/>
      <c r="AK65" s="270"/>
      <c r="AL65" s="270"/>
      <c r="AM65" s="663"/>
      <c r="AN65" s="663"/>
      <c r="AO65" s="708" t="str">
        <f>IF(OR(Table1[[#This Row],[Início Setup Envase]]="",Table1[[#This Row],[Final Setup Envase]]=""),"",Table1[[#This Row],[Final Setup Envase]]-Table1[[#This Row],[Início Setup Envase]])</f>
        <v/>
      </c>
      <c r="AP65" s="663"/>
      <c r="AQ65" s="663"/>
      <c r="AR65" s="270"/>
      <c r="AS65" s="270"/>
      <c r="AT65" s="270"/>
      <c r="AU65" s="270"/>
      <c r="AV65" s="270"/>
      <c r="AW65" s="270"/>
      <c r="AX65" s="270"/>
      <c r="AY65" s="270"/>
      <c r="AZ65" s="270"/>
      <c r="BA65" s="270">
        <f>IF(Table1[[#This Row],[Data de Início]]="","",YEAR(Table1[[#This Row],[Data de Início]]))</f>
        <v>2025</v>
      </c>
      <c r="BB65" s="270">
        <f>IF(Table1[[#This Row],[Data de Início]]="","",MONTH(Table1[[#This Row],[Data de Início]]))</f>
        <v>4</v>
      </c>
      <c r="BC65" s="270"/>
    </row>
    <row r="66" spans="2:55" ht="15" customHeight="1" x14ac:dyDescent="0.25">
      <c r="B66" s="470">
        <v>45757.394444444442</v>
      </c>
      <c r="C66" s="263">
        <v>45757.54791666667</v>
      </c>
      <c r="D66" s="264" cm="1">
        <f t="array" ref="D66">IFERROR(HorasUteisFabrica2Turnos(B66,C66), "")</f>
        <v>2.6833333334652707</v>
      </c>
      <c r="E66" s="265">
        <f t="shared" si="0"/>
        <v>948.07453411487461</v>
      </c>
      <c r="F66" s="265"/>
      <c r="G66" s="265"/>
      <c r="H66" s="265"/>
      <c r="I66" s="269" t="s">
        <v>125</v>
      </c>
      <c r="J66" s="267" t="s">
        <v>15</v>
      </c>
      <c r="K66" s="269">
        <v>2544</v>
      </c>
      <c r="L66" s="269" t="s">
        <v>213</v>
      </c>
      <c r="M66" s="270" t="str">
        <f>IFERROR(INDEX([1]Produtos!$C:$C,MATCH(L66,[1]Produtos!$B:$B,0)), "-")</f>
        <v>BODY SPLASH DEUSA DO NILO</v>
      </c>
      <c r="N66" s="510">
        <f>IFERROR(INDEX([1]Produtos!$E:$E,MATCH(L66,[1]Produtos!$B:$B,0)), "-")</f>
        <v>220</v>
      </c>
      <c r="O66" s="270" t="str">
        <f>IFERROR(INDEX([1]Produtos!$F:$F,MATCH(L66,[1]Produtos!$B:$B,0)), "-")</f>
        <v>ml</v>
      </c>
      <c r="P66" s="270" t="str">
        <f>IFERROR(INDEX([1]Produtos!$G:$G,MATCH(L66,[1]Produtos!$B:$B,0)), "-")</f>
        <v>MISS RÔSE</v>
      </c>
      <c r="Q66" s="270" t="str">
        <f>IFERROR(INDEX([1]Produtos!$H:$H,MATCH(L66,[1]Produtos!$B:$B,0)), "-")</f>
        <v>PERFUMARIA</v>
      </c>
      <c r="R66" s="270" t="str">
        <f>IFERROR(INDEX([1]Produtos!$I:$I,MATCH(L66,[1]Produtos!$B:$B,0)), "-")</f>
        <v>BODY SPLASH</v>
      </c>
      <c r="S66" s="270" t="str">
        <f>IFERROR(INDEX([1]Produtos!$J:$J,MATCH(L66,[1]Produtos!$B:$B,0)), "-")</f>
        <v>LÍQUIDO</v>
      </c>
      <c r="T66" s="473"/>
      <c r="U66" s="270"/>
      <c r="V66" s="270"/>
      <c r="W66" s="270"/>
      <c r="X66" s="270"/>
      <c r="Y66" s="270"/>
      <c r="Z66" s="270"/>
      <c r="AA66" s="270"/>
      <c r="AB66" s="270"/>
      <c r="AC66" s="270"/>
      <c r="AD66" s="270"/>
      <c r="AE66" s="270"/>
      <c r="AF66" s="270"/>
      <c r="AG66" s="270"/>
      <c r="AH66" s="270"/>
      <c r="AI66" s="270"/>
      <c r="AJ66" s="270"/>
      <c r="AK66" s="270"/>
      <c r="AL66" s="270"/>
      <c r="AM66" s="663"/>
      <c r="AN66" s="663"/>
      <c r="AO66" s="708" t="str">
        <f>IF(OR(Table1[[#This Row],[Início Setup Envase]]="",Table1[[#This Row],[Final Setup Envase]]=""),"",Table1[[#This Row],[Final Setup Envase]]-Table1[[#This Row],[Início Setup Envase]])</f>
        <v/>
      </c>
      <c r="AP66" s="663"/>
      <c r="AQ66" s="663"/>
      <c r="AR66" s="270"/>
      <c r="AS66" s="270"/>
      <c r="AT66" s="270"/>
      <c r="AU66" s="270"/>
      <c r="AV66" s="270"/>
      <c r="AW66" s="270"/>
      <c r="AX66" s="270"/>
      <c r="AY66" s="270"/>
      <c r="AZ66" s="270"/>
      <c r="BA66" s="270">
        <f>IF(Table1[[#This Row],[Data de Início]]="","",YEAR(Table1[[#This Row],[Data de Início]]))</f>
        <v>2025</v>
      </c>
      <c r="BB66" s="270">
        <f>IF(Table1[[#This Row],[Data de Início]]="","",MONTH(Table1[[#This Row],[Data de Início]]))</f>
        <v>4</v>
      </c>
      <c r="BC66" s="270"/>
    </row>
    <row r="67" spans="2:55" ht="15" customHeight="1" x14ac:dyDescent="0.25">
      <c r="B67" s="470">
        <v>45757.54791666667</v>
      </c>
      <c r="C67" s="263">
        <v>45757.666666666664</v>
      </c>
      <c r="D67" s="264" cm="1">
        <f t="array" ref="D67">IFERROR(HorasUteisFabrica2Turnos(B67,C67), "")</f>
        <v>2.8499999998603016</v>
      </c>
      <c r="E67" s="265">
        <f t="shared" ref="E67:E130" si="1">IFERROR(K67/D67, "")</f>
        <v>892.63157899112252</v>
      </c>
      <c r="F67" s="265"/>
      <c r="G67" s="265"/>
      <c r="H67" s="265"/>
      <c r="I67" s="269" t="s">
        <v>126</v>
      </c>
      <c r="J67" s="267" t="s">
        <v>15</v>
      </c>
      <c r="K67" s="269">
        <v>2544</v>
      </c>
      <c r="L67" s="269" t="s">
        <v>213</v>
      </c>
      <c r="M67" s="270" t="str">
        <f>IFERROR(INDEX([1]Produtos!$C:$C,MATCH(L67,[1]Produtos!$B:$B,0)), "-")</f>
        <v>BODY SPLASH DEUSA DO NILO</v>
      </c>
      <c r="N67" s="510">
        <f>IFERROR(INDEX([1]Produtos!$E:$E,MATCH(L67,[1]Produtos!$B:$B,0)), "-")</f>
        <v>220</v>
      </c>
      <c r="O67" s="270" t="str">
        <f>IFERROR(INDEX([1]Produtos!$F:$F,MATCH(L67,[1]Produtos!$B:$B,0)), "-")</f>
        <v>ml</v>
      </c>
      <c r="P67" s="270" t="str">
        <f>IFERROR(INDEX([1]Produtos!$G:$G,MATCH(L67,[1]Produtos!$B:$B,0)), "-")</f>
        <v>MISS RÔSE</v>
      </c>
      <c r="Q67" s="270" t="str">
        <f>IFERROR(INDEX([1]Produtos!$H:$H,MATCH(L67,[1]Produtos!$B:$B,0)), "-")</f>
        <v>PERFUMARIA</v>
      </c>
      <c r="R67" s="270" t="str">
        <f>IFERROR(INDEX([1]Produtos!$I:$I,MATCH(L67,[1]Produtos!$B:$B,0)), "-")</f>
        <v>BODY SPLASH</v>
      </c>
      <c r="S67" s="270" t="str">
        <f>IFERROR(INDEX([1]Produtos!$J:$J,MATCH(L67,[1]Produtos!$B:$B,0)), "-")</f>
        <v>LÍQUIDO</v>
      </c>
      <c r="T67" s="473"/>
      <c r="U67" s="270"/>
      <c r="V67" s="270"/>
      <c r="W67" s="270"/>
      <c r="X67" s="270"/>
      <c r="Y67" s="270"/>
      <c r="Z67" s="270"/>
      <c r="AA67" s="270"/>
      <c r="AB67" s="270"/>
      <c r="AC67" s="270"/>
      <c r="AD67" s="270"/>
      <c r="AE67" s="270"/>
      <c r="AF67" s="270"/>
      <c r="AG67" s="270"/>
      <c r="AH67" s="270"/>
      <c r="AI67" s="270"/>
      <c r="AJ67" s="270"/>
      <c r="AK67" s="270"/>
      <c r="AL67" s="270"/>
      <c r="AM67" s="663"/>
      <c r="AN67" s="663"/>
      <c r="AO67" s="708" t="str">
        <f>IF(OR(Table1[[#This Row],[Início Setup Envase]]="",Table1[[#This Row],[Final Setup Envase]]=""),"",Table1[[#This Row],[Final Setup Envase]]-Table1[[#This Row],[Início Setup Envase]])</f>
        <v/>
      </c>
      <c r="AP67" s="663"/>
      <c r="AQ67" s="663"/>
      <c r="AR67" s="270"/>
      <c r="AS67" s="270"/>
      <c r="AT67" s="270"/>
      <c r="AU67" s="270"/>
      <c r="AV67" s="270"/>
      <c r="AW67" s="270"/>
      <c r="AX67" s="270"/>
      <c r="AY67" s="270"/>
      <c r="AZ67" s="270"/>
      <c r="BA67" s="270">
        <f>IF(Table1[[#This Row],[Data de Início]]="","",YEAR(Table1[[#This Row],[Data de Início]]))</f>
        <v>2025</v>
      </c>
      <c r="BB67" s="270">
        <f>IF(Table1[[#This Row],[Data de Início]]="","",MONTH(Table1[[#This Row],[Data de Início]]))</f>
        <v>4</v>
      </c>
      <c r="BC67" s="270"/>
    </row>
    <row r="68" spans="2:55" ht="15" customHeight="1" x14ac:dyDescent="0.25">
      <c r="B68" s="470">
        <v>45757.666666666664</v>
      </c>
      <c r="C68" s="263">
        <v>45758.354166666664</v>
      </c>
      <c r="D68" s="264" cm="1">
        <f t="array" ref="D68">IFERROR(HorasUteisFabrica2Turnos(B68,C68), "")</f>
        <v>2.5000000001164153</v>
      </c>
      <c r="E68" s="265">
        <f t="shared" si="1"/>
        <v>863.99999995976691</v>
      </c>
      <c r="F68" s="265"/>
      <c r="G68" s="265"/>
      <c r="H68" s="265"/>
      <c r="I68" s="269" t="s">
        <v>127</v>
      </c>
      <c r="J68" s="267" t="s">
        <v>15</v>
      </c>
      <c r="K68" s="269">
        <v>2160</v>
      </c>
      <c r="L68" s="269" t="s">
        <v>213</v>
      </c>
      <c r="M68" s="270" t="str">
        <f>IFERROR(INDEX([1]Produtos!$C:$C,MATCH(L68,[1]Produtos!$B:$B,0)), "-")</f>
        <v>BODY SPLASH DEUSA DO NILO</v>
      </c>
      <c r="N68" s="510">
        <f>IFERROR(INDEX([1]Produtos!$E:$E,MATCH(L68,[1]Produtos!$B:$B,0)), "-")</f>
        <v>220</v>
      </c>
      <c r="O68" s="270" t="str">
        <f>IFERROR(INDEX([1]Produtos!$F:$F,MATCH(L68,[1]Produtos!$B:$B,0)), "-")</f>
        <v>ml</v>
      </c>
      <c r="P68" s="270" t="str">
        <f>IFERROR(INDEX([1]Produtos!$G:$G,MATCH(L68,[1]Produtos!$B:$B,0)), "-")</f>
        <v>MISS RÔSE</v>
      </c>
      <c r="Q68" s="270" t="str">
        <f>IFERROR(INDEX([1]Produtos!$H:$H,MATCH(L68,[1]Produtos!$B:$B,0)), "-")</f>
        <v>PERFUMARIA</v>
      </c>
      <c r="R68" s="270" t="str">
        <f>IFERROR(INDEX([1]Produtos!$I:$I,MATCH(L68,[1]Produtos!$B:$B,0)), "-")</f>
        <v>BODY SPLASH</v>
      </c>
      <c r="S68" s="270" t="str">
        <f>IFERROR(INDEX([1]Produtos!$J:$J,MATCH(L68,[1]Produtos!$B:$B,0)), "-")</f>
        <v>LÍQUIDO</v>
      </c>
      <c r="T68" s="473"/>
      <c r="U68" s="270"/>
      <c r="V68" s="270"/>
      <c r="W68" s="270"/>
      <c r="X68" s="270"/>
      <c r="Y68" s="270"/>
      <c r="Z68" s="270"/>
      <c r="AA68" s="270"/>
      <c r="AB68" s="270"/>
      <c r="AC68" s="270"/>
      <c r="AD68" s="270"/>
      <c r="AE68" s="270"/>
      <c r="AF68" s="270"/>
      <c r="AG68" s="270"/>
      <c r="AH68" s="270"/>
      <c r="AI68" s="270"/>
      <c r="AJ68" s="270"/>
      <c r="AK68" s="270"/>
      <c r="AL68" s="270"/>
      <c r="AM68" s="663"/>
      <c r="AN68" s="663"/>
      <c r="AO68" s="708" t="str">
        <f>IF(OR(Table1[[#This Row],[Início Setup Envase]]="",Table1[[#This Row],[Final Setup Envase]]=""),"",Table1[[#This Row],[Final Setup Envase]]-Table1[[#This Row],[Início Setup Envase]])</f>
        <v/>
      </c>
      <c r="AP68" s="663"/>
      <c r="AQ68" s="663"/>
      <c r="AR68" s="270"/>
      <c r="AS68" s="270"/>
      <c r="AT68" s="270"/>
      <c r="AU68" s="270"/>
      <c r="AV68" s="270"/>
      <c r="AW68" s="270"/>
      <c r="AX68" s="270"/>
      <c r="AY68" s="270"/>
      <c r="AZ68" s="270"/>
      <c r="BA68" s="270">
        <f>IF(Table1[[#This Row],[Data de Início]]="","",YEAR(Table1[[#This Row],[Data de Início]]))</f>
        <v>2025</v>
      </c>
      <c r="BB68" s="270">
        <f>IF(Table1[[#This Row],[Data de Início]]="","",MONTH(Table1[[#This Row],[Data de Início]]))</f>
        <v>4</v>
      </c>
      <c r="BC68" s="270"/>
    </row>
    <row r="69" spans="2:55" ht="15" customHeight="1" x14ac:dyDescent="0.25">
      <c r="B69" s="470">
        <v>45758.354166666664</v>
      </c>
      <c r="C69" s="263">
        <v>45758.448611111111</v>
      </c>
      <c r="D69" s="264" cm="1">
        <f t="array" ref="D69">IFERROR(HorasUteisFabrica2Turnos(B69,C69), "")</f>
        <v>2.2666666667209938</v>
      </c>
      <c r="E69" s="265">
        <f t="shared" si="1"/>
        <v>1122.3529411495701</v>
      </c>
      <c r="F69" s="265"/>
      <c r="G69" s="265"/>
      <c r="H69" s="265"/>
      <c r="I69" s="269" t="s">
        <v>88</v>
      </c>
      <c r="J69" s="267" t="s">
        <v>15</v>
      </c>
      <c r="K69" s="269">
        <v>2544</v>
      </c>
      <c r="L69" s="269" t="s">
        <v>211</v>
      </c>
      <c r="M69" s="270" t="str">
        <f>IFERROR(INDEX([1]Produtos!$C:$C,MATCH(L69,[1]Produtos!$B:$B,0)), "-")</f>
        <v>BODY SPLASH AURORA IMPERIAL</v>
      </c>
      <c r="N69" s="510">
        <f>IFERROR(INDEX([1]Produtos!$E:$E,MATCH(L69,[1]Produtos!$B:$B,0)), "-")</f>
        <v>220</v>
      </c>
      <c r="O69" s="270" t="str">
        <f>IFERROR(INDEX([1]Produtos!$F:$F,MATCH(L69,[1]Produtos!$B:$B,0)), "-")</f>
        <v>ml</v>
      </c>
      <c r="P69" s="270" t="str">
        <f>IFERROR(INDEX([1]Produtos!$G:$G,MATCH(L69,[1]Produtos!$B:$B,0)), "-")</f>
        <v>MISS RÔSE</v>
      </c>
      <c r="Q69" s="270" t="str">
        <f>IFERROR(INDEX([1]Produtos!$H:$H,MATCH(L69,[1]Produtos!$B:$B,0)), "-")</f>
        <v>PERFUMARIA</v>
      </c>
      <c r="R69" s="270" t="str">
        <f>IFERROR(INDEX([1]Produtos!$I:$I,MATCH(L69,[1]Produtos!$B:$B,0)), "-")</f>
        <v>BODY SPLASH</v>
      </c>
      <c r="S69" s="270" t="str">
        <f>IFERROR(INDEX([1]Produtos!$J:$J,MATCH(L69,[1]Produtos!$B:$B,0)), "-")</f>
        <v>LÍQUIDO</v>
      </c>
      <c r="T69" s="473"/>
      <c r="U69" s="270"/>
      <c r="V69" s="270"/>
      <c r="W69" s="270"/>
      <c r="X69" s="270"/>
      <c r="Y69" s="270"/>
      <c r="Z69" s="270"/>
      <c r="AA69" s="270"/>
      <c r="AB69" s="270"/>
      <c r="AC69" s="270"/>
      <c r="AD69" s="270"/>
      <c r="AE69" s="270"/>
      <c r="AF69" s="270"/>
      <c r="AG69" s="270"/>
      <c r="AH69" s="270"/>
      <c r="AI69" s="270"/>
      <c r="AJ69" s="270"/>
      <c r="AK69" s="270"/>
      <c r="AL69" s="270"/>
      <c r="AM69" s="663"/>
      <c r="AN69" s="663"/>
      <c r="AO69" s="708" t="str">
        <f>IF(OR(Table1[[#This Row],[Início Setup Envase]]="",Table1[[#This Row],[Final Setup Envase]]=""),"",Table1[[#This Row],[Final Setup Envase]]-Table1[[#This Row],[Início Setup Envase]])</f>
        <v/>
      </c>
      <c r="AP69" s="663"/>
      <c r="AQ69" s="663"/>
      <c r="AR69" s="270"/>
      <c r="AS69" s="270"/>
      <c r="AT69" s="270"/>
      <c r="AU69" s="270"/>
      <c r="AV69" s="270"/>
      <c r="AW69" s="270"/>
      <c r="AX69" s="270"/>
      <c r="AY69" s="270"/>
      <c r="AZ69" s="270"/>
      <c r="BA69" s="270">
        <f>IF(Table1[[#This Row],[Data de Início]]="","",YEAR(Table1[[#This Row],[Data de Início]]))</f>
        <v>2025</v>
      </c>
      <c r="BB69" s="270">
        <f>IF(Table1[[#This Row],[Data de Início]]="","",MONTH(Table1[[#This Row],[Data de Início]]))</f>
        <v>4</v>
      </c>
      <c r="BC69" s="270"/>
    </row>
    <row r="70" spans="2:55" ht="15" customHeight="1" x14ac:dyDescent="0.25">
      <c r="B70" s="470">
        <v>45762.416666666664</v>
      </c>
      <c r="C70" s="263">
        <v>45770.583333333336</v>
      </c>
      <c r="D70" s="264" cm="1">
        <f t="array" ref="D70">IFERROR(HorasUteisFabrica2Turnos(B70,C70), "")</f>
        <v>56.000000000698492</v>
      </c>
      <c r="E70" s="265">
        <f t="shared" si="1"/>
        <v>224.99999999719356</v>
      </c>
      <c r="F70" s="265"/>
      <c r="G70" s="265"/>
      <c r="H70" s="265"/>
      <c r="I70" s="269" t="s">
        <v>101</v>
      </c>
      <c r="J70" s="267" t="s">
        <v>15</v>
      </c>
      <c r="K70" s="269">
        <v>12600</v>
      </c>
      <c r="L70" s="269" t="s">
        <v>311</v>
      </c>
      <c r="M70" s="270" t="str">
        <f>IFERROR(INDEX([1]Produtos!$C:$C,MATCH(L70,[1]Produtos!$B:$B,0)), "-")</f>
        <v>GEL CREME BEIJAVEL HIDRATANTE 2X1</v>
      </c>
      <c r="N70" s="510">
        <f>IFERROR(INDEX([1]Produtos!$E:$E,MATCH(L70,[1]Produtos!$B:$B,0)), "-")</f>
        <v>120</v>
      </c>
      <c r="O70" s="270" t="str">
        <f>IFERROR(INDEX([1]Produtos!$F:$F,MATCH(L70,[1]Produtos!$B:$B,0)), "-")</f>
        <v>ml</v>
      </c>
      <c r="P70" s="270" t="str">
        <f>IFERROR(INDEX([1]Produtos!$G:$G,MATCH(L70,[1]Produtos!$B:$B,0)), "-")</f>
        <v>DAPOP</v>
      </c>
      <c r="Q70" s="270" t="str">
        <f>IFERROR(INDEX([1]Produtos!$H:$H,MATCH(L70,[1]Produtos!$B:$B,0)), "-")</f>
        <v>CORPORAL</v>
      </c>
      <c r="R70" s="270" t="str">
        <f>IFERROR(INDEX([1]Produtos!$I:$I,MATCH(L70,[1]Produtos!$B:$B,0)), "-")</f>
        <v>GEL CREME HIDRATANTE</v>
      </c>
      <c r="S70" s="270" t="str">
        <f>IFERROR(INDEX([1]Produtos!$J:$J,MATCH(L70,[1]Produtos!$B:$B,0)), "-")</f>
        <v>CREMOSO</v>
      </c>
      <c r="T70" s="473"/>
      <c r="U70" s="270"/>
      <c r="V70" s="270"/>
      <c r="W70" s="270"/>
      <c r="X70" s="270"/>
      <c r="Y70" s="270"/>
      <c r="Z70" s="270"/>
      <c r="AA70" s="270"/>
      <c r="AB70" s="270"/>
      <c r="AC70" s="270"/>
      <c r="AD70" s="270"/>
      <c r="AE70" s="270"/>
      <c r="AF70" s="270"/>
      <c r="AG70" s="270"/>
      <c r="AH70" s="270"/>
      <c r="AI70" s="270"/>
      <c r="AJ70" s="270"/>
      <c r="AK70" s="270"/>
      <c r="AL70" s="270"/>
      <c r="AM70" s="663"/>
      <c r="AN70" s="663"/>
      <c r="AO70" s="708" t="str">
        <f>IF(OR(Table1[[#This Row],[Início Setup Envase]]="",Table1[[#This Row],[Final Setup Envase]]=""),"",Table1[[#This Row],[Final Setup Envase]]-Table1[[#This Row],[Início Setup Envase]])</f>
        <v/>
      </c>
      <c r="AP70" s="663"/>
      <c r="AQ70" s="663"/>
      <c r="AR70" s="270"/>
      <c r="AS70" s="270"/>
      <c r="AT70" s="270"/>
      <c r="AU70" s="270"/>
      <c r="AV70" s="270"/>
      <c r="AW70" s="270"/>
      <c r="AX70" s="270"/>
      <c r="AY70" s="270"/>
      <c r="AZ70" s="270"/>
      <c r="BA70" s="270">
        <f>IF(Table1[[#This Row],[Data de Início]]="","",YEAR(Table1[[#This Row],[Data de Início]]))</f>
        <v>2025</v>
      </c>
      <c r="BB70" s="270">
        <f>IF(Table1[[#This Row],[Data de Início]]="","",MONTH(Table1[[#This Row],[Data de Início]]))</f>
        <v>4</v>
      </c>
      <c r="BC70" s="270"/>
    </row>
    <row r="71" spans="2:55" ht="15" customHeight="1" x14ac:dyDescent="0.25">
      <c r="B71" s="470">
        <v>45763.680555555555</v>
      </c>
      <c r="C71" s="263">
        <v>45764.472222222219</v>
      </c>
      <c r="D71" s="264" cm="1">
        <f t="array" ref="D71">IFERROR(HorasUteisFabrica2Turnos(B71,C71), "")</f>
        <v>5.0000000000582077</v>
      </c>
      <c r="E71" s="265">
        <f t="shared" si="1"/>
        <v>719.9999999916181</v>
      </c>
      <c r="F71" s="265"/>
      <c r="G71" s="265"/>
      <c r="H71" s="265"/>
      <c r="I71" s="269" t="s">
        <v>103</v>
      </c>
      <c r="J71" s="267" t="s">
        <v>15</v>
      </c>
      <c r="K71" s="269">
        <v>3600</v>
      </c>
      <c r="L71" s="269" t="s">
        <v>145</v>
      </c>
      <c r="M71" s="270" t="str">
        <f>IFERROR(INDEX([1]Produtos!$C:$C,MATCH(L71,[1]Produtos!$B:$B,0)), "-")</f>
        <v>DESODORANTE ROLLON ALGODÃO</v>
      </c>
      <c r="N71" s="510" t="str">
        <f>IFERROR(INDEX([1]Produtos!$E:$E,MATCH(L71,[1]Produtos!$B:$B,0)), "-")</f>
        <v>-</v>
      </c>
      <c r="O71" s="270" t="str">
        <f>IFERROR(INDEX([1]Produtos!$F:$F,MATCH(L71,[1]Produtos!$B:$B,0)), "-")</f>
        <v>-</v>
      </c>
      <c r="P71" s="270" t="str">
        <f>IFERROR(INDEX([1]Produtos!$G:$G,MATCH(L71,[1]Produtos!$B:$B,0)), "-")</f>
        <v>-</v>
      </c>
      <c r="Q71" s="270" t="str">
        <f>IFERROR(INDEX([1]Produtos!$H:$H,MATCH(L71,[1]Produtos!$B:$B,0)), "-")</f>
        <v>CORPORAL</v>
      </c>
      <c r="R71" s="270" t="str">
        <f>IFERROR(INDEX([1]Produtos!$I:$I,MATCH(L71,[1]Produtos!$B:$B,0)), "-")</f>
        <v>DESODORANTE</v>
      </c>
      <c r="S71" s="270" t="str">
        <f>IFERROR(INDEX([1]Produtos!$J:$J,MATCH(L71,[1]Produtos!$B:$B,0)), "-")</f>
        <v>VISCOSO</v>
      </c>
      <c r="T71" s="473"/>
      <c r="U71" s="270"/>
      <c r="V71" s="270"/>
      <c r="W71" s="270"/>
      <c r="X71" s="270"/>
      <c r="Y71" s="270"/>
      <c r="Z71" s="270"/>
      <c r="AA71" s="270"/>
      <c r="AB71" s="270"/>
      <c r="AC71" s="270"/>
      <c r="AD71" s="270"/>
      <c r="AE71" s="270"/>
      <c r="AF71" s="270"/>
      <c r="AG71" s="270"/>
      <c r="AH71" s="270"/>
      <c r="AI71" s="270"/>
      <c r="AJ71" s="270"/>
      <c r="AK71" s="270"/>
      <c r="AL71" s="270"/>
      <c r="AM71" s="663"/>
      <c r="AN71" s="663"/>
      <c r="AO71" s="708" t="str">
        <f>IF(OR(Table1[[#This Row],[Início Setup Envase]]="",Table1[[#This Row],[Final Setup Envase]]=""),"",Table1[[#This Row],[Final Setup Envase]]-Table1[[#This Row],[Início Setup Envase]])</f>
        <v/>
      </c>
      <c r="AP71" s="663"/>
      <c r="AQ71" s="663"/>
      <c r="AR71" s="270"/>
      <c r="AS71" s="270"/>
      <c r="AT71" s="270"/>
      <c r="AU71" s="270"/>
      <c r="AV71" s="270"/>
      <c r="AW71" s="270"/>
      <c r="AX71" s="270"/>
      <c r="AY71" s="270"/>
      <c r="AZ71" s="270"/>
      <c r="BA71" s="270">
        <f>IF(Table1[[#This Row],[Data de Início]]="","",YEAR(Table1[[#This Row],[Data de Início]]))</f>
        <v>2025</v>
      </c>
      <c r="BB71" s="270">
        <f>IF(Table1[[#This Row],[Data de Início]]="","",MONTH(Table1[[#This Row],[Data de Início]]))</f>
        <v>4</v>
      </c>
      <c r="BC71" s="270"/>
    </row>
    <row r="72" spans="2:55" ht="15" customHeight="1" x14ac:dyDescent="0.25">
      <c r="B72" s="470">
        <v>45764.472222222219</v>
      </c>
      <c r="C72" s="263">
        <v>45764</v>
      </c>
      <c r="D72" s="264" cm="1">
        <f t="array" ref="D72">IFERROR(HorasUteisFabrica2Turnos(B72,C72), "")</f>
        <v>0</v>
      </c>
      <c r="E72" s="265" t="str">
        <f t="shared" si="1"/>
        <v/>
      </c>
      <c r="F72" s="265"/>
      <c r="G72" s="265"/>
      <c r="H72" s="265"/>
      <c r="I72" s="269" t="s">
        <v>104</v>
      </c>
      <c r="J72" s="267" t="s">
        <v>15</v>
      </c>
      <c r="K72" s="269">
        <v>3960</v>
      </c>
      <c r="L72" s="269" t="s">
        <v>145</v>
      </c>
      <c r="M72" s="270" t="str">
        <f>IFERROR(INDEX([1]Produtos!$C:$C,MATCH(L72,[1]Produtos!$B:$B,0)), "-")</f>
        <v>DESODORANTE ROLLON ALGODÃO</v>
      </c>
      <c r="N72" s="510" t="str">
        <f>IFERROR(INDEX([1]Produtos!$E:$E,MATCH(L72,[1]Produtos!$B:$B,0)), "-")</f>
        <v>-</v>
      </c>
      <c r="O72" s="270" t="str">
        <f>IFERROR(INDEX([1]Produtos!$F:$F,MATCH(L72,[1]Produtos!$B:$B,0)), "-")</f>
        <v>-</v>
      </c>
      <c r="P72" s="270" t="str">
        <f>IFERROR(INDEX([1]Produtos!$G:$G,MATCH(L72,[1]Produtos!$B:$B,0)), "-")</f>
        <v>-</v>
      </c>
      <c r="Q72" s="270" t="str">
        <f>IFERROR(INDEX([1]Produtos!$H:$H,MATCH(L72,[1]Produtos!$B:$B,0)), "-")</f>
        <v>CORPORAL</v>
      </c>
      <c r="R72" s="270" t="str">
        <f>IFERROR(INDEX([1]Produtos!$I:$I,MATCH(L72,[1]Produtos!$B:$B,0)), "-")</f>
        <v>DESODORANTE</v>
      </c>
      <c r="S72" s="270" t="str">
        <f>IFERROR(INDEX([1]Produtos!$J:$J,MATCH(L72,[1]Produtos!$B:$B,0)), "-")</f>
        <v>VISCOSO</v>
      </c>
      <c r="T72" s="473" t="s">
        <v>131</v>
      </c>
      <c r="U72" s="270"/>
      <c r="V72" s="270"/>
      <c r="W72" s="270"/>
      <c r="X72" s="270"/>
      <c r="Y72" s="270"/>
      <c r="Z72" s="270"/>
      <c r="AA72" s="270"/>
      <c r="AB72" s="270"/>
      <c r="AC72" s="270"/>
      <c r="AD72" s="270"/>
      <c r="AE72" s="270"/>
      <c r="AF72" s="270"/>
      <c r="AG72" s="270"/>
      <c r="AH72" s="270"/>
      <c r="AI72" s="270"/>
      <c r="AJ72" s="270"/>
      <c r="AK72" s="270"/>
      <c r="AL72" s="270"/>
      <c r="AM72" s="663"/>
      <c r="AN72" s="663"/>
      <c r="AO72" s="708" t="str">
        <f>IF(OR(Table1[[#This Row],[Início Setup Envase]]="",Table1[[#This Row],[Final Setup Envase]]=""),"",Table1[[#This Row],[Final Setup Envase]]-Table1[[#This Row],[Início Setup Envase]])</f>
        <v/>
      </c>
      <c r="AP72" s="663"/>
      <c r="AQ72" s="663"/>
      <c r="AR72" s="270"/>
      <c r="AS72" s="270"/>
      <c r="AT72" s="270"/>
      <c r="AU72" s="270"/>
      <c r="AV72" s="270"/>
      <c r="AW72" s="270"/>
      <c r="AX72" s="270"/>
      <c r="AY72" s="270"/>
      <c r="AZ72" s="270"/>
      <c r="BA72" s="270">
        <f>IF(Table1[[#This Row],[Data de Início]]="","",YEAR(Table1[[#This Row],[Data de Início]]))</f>
        <v>2025</v>
      </c>
      <c r="BB72" s="270">
        <f>IF(Table1[[#This Row],[Data de Início]]="","",MONTH(Table1[[#This Row],[Data de Início]]))</f>
        <v>4</v>
      </c>
      <c r="BC72" s="270"/>
    </row>
    <row r="73" spans="2:55" ht="15" customHeight="1" x14ac:dyDescent="0.25">
      <c r="B73" s="470">
        <v>45770.420138888891</v>
      </c>
      <c r="C73" s="263">
        <v>45775.463888888888</v>
      </c>
      <c r="D73" s="264" cm="1">
        <f t="array" ref="D73">IFERROR(HorasUteisFabrica2Turnos(B73,C73), "")</f>
        <v>27.050000000162981</v>
      </c>
      <c r="E73" s="265">
        <f t="shared" si="1"/>
        <v>201.84842883427365</v>
      </c>
      <c r="F73" s="265"/>
      <c r="G73" s="265"/>
      <c r="H73" s="265"/>
      <c r="I73" s="269" t="s">
        <v>106</v>
      </c>
      <c r="J73" s="267" t="s">
        <v>15</v>
      </c>
      <c r="K73" s="269">
        <v>5460</v>
      </c>
      <c r="L73" s="269" t="s">
        <v>311</v>
      </c>
      <c r="M73" s="270" t="str">
        <f>IFERROR(INDEX([1]Produtos!$C:$C,MATCH(L73,[1]Produtos!$B:$B,0)), "-")</f>
        <v>GEL CREME BEIJAVEL HIDRATANTE 2X1</v>
      </c>
      <c r="N73" s="510">
        <f>IFERROR(INDEX([1]Produtos!$E:$E,MATCH(L73,[1]Produtos!$B:$B,0)), "-")</f>
        <v>120</v>
      </c>
      <c r="O73" s="270" t="str">
        <f>IFERROR(INDEX([1]Produtos!$F:$F,MATCH(L73,[1]Produtos!$B:$B,0)), "-")</f>
        <v>ml</v>
      </c>
      <c r="P73" s="270" t="str">
        <f>IFERROR(INDEX([1]Produtos!$G:$G,MATCH(L73,[1]Produtos!$B:$B,0)), "-")</f>
        <v>DAPOP</v>
      </c>
      <c r="Q73" s="270" t="str">
        <f>IFERROR(INDEX([1]Produtos!$H:$H,MATCH(L73,[1]Produtos!$B:$B,0)), "-")</f>
        <v>CORPORAL</v>
      </c>
      <c r="R73" s="270" t="str">
        <f>IFERROR(INDEX([1]Produtos!$I:$I,MATCH(L73,[1]Produtos!$B:$B,0)), "-")</f>
        <v>GEL CREME HIDRATANTE</v>
      </c>
      <c r="S73" s="270" t="str">
        <f>IFERROR(INDEX([1]Produtos!$J:$J,MATCH(L73,[1]Produtos!$B:$B,0)), "-")</f>
        <v>CREMOSO</v>
      </c>
      <c r="T73" s="473"/>
      <c r="U73" s="270"/>
      <c r="V73" s="270"/>
      <c r="W73" s="270"/>
      <c r="X73" s="270"/>
      <c r="Y73" s="270"/>
      <c r="Z73" s="270"/>
      <c r="AA73" s="270"/>
      <c r="AB73" s="270"/>
      <c r="AC73" s="270"/>
      <c r="AD73" s="270"/>
      <c r="AE73" s="270"/>
      <c r="AF73" s="270"/>
      <c r="AG73" s="270"/>
      <c r="AH73" s="270"/>
      <c r="AI73" s="270"/>
      <c r="AJ73" s="270"/>
      <c r="AK73" s="270"/>
      <c r="AL73" s="270"/>
      <c r="AM73" s="663"/>
      <c r="AN73" s="663"/>
      <c r="AO73" s="708" t="str">
        <f>IF(OR(Table1[[#This Row],[Início Setup Envase]]="",Table1[[#This Row],[Final Setup Envase]]=""),"",Table1[[#This Row],[Final Setup Envase]]-Table1[[#This Row],[Início Setup Envase]])</f>
        <v/>
      </c>
      <c r="AP73" s="663"/>
      <c r="AQ73" s="663"/>
      <c r="AR73" s="270"/>
      <c r="AS73" s="270"/>
      <c r="AT73" s="270"/>
      <c r="AU73" s="270"/>
      <c r="AV73" s="270"/>
      <c r="AW73" s="270"/>
      <c r="AX73" s="270"/>
      <c r="AY73" s="270"/>
      <c r="AZ73" s="270"/>
      <c r="BA73" s="270">
        <f>IF(Table1[[#This Row],[Data de Início]]="","",YEAR(Table1[[#This Row],[Data de Início]]))</f>
        <v>2025</v>
      </c>
      <c r="BB73" s="270">
        <f>IF(Table1[[#This Row],[Data de Início]]="","",MONTH(Table1[[#This Row],[Data de Início]]))</f>
        <v>4</v>
      </c>
      <c r="BC73" s="270"/>
    </row>
    <row r="74" spans="2:55" ht="15" customHeight="1" x14ac:dyDescent="0.25">
      <c r="B74" s="470">
        <v>45770.583333333336</v>
      </c>
      <c r="C74" s="263">
        <v>45771.416666666664</v>
      </c>
      <c r="D74" s="264" cm="1">
        <f t="array" ref="D74">IFERROR(HorasUteisFabrica2Turnos(B74,C74), "")</f>
        <v>6</v>
      </c>
      <c r="E74" s="265">
        <f t="shared" si="1"/>
        <v>980</v>
      </c>
      <c r="F74" s="265"/>
      <c r="G74" s="265"/>
      <c r="H74" s="265"/>
      <c r="I74" s="269" t="s">
        <v>107</v>
      </c>
      <c r="J74" s="267" t="s">
        <v>15</v>
      </c>
      <c r="K74" s="269">
        <v>5880</v>
      </c>
      <c r="L74" s="269" t="s">
        <v>311</v>
      </c>
      <c r="M74" s="270" t="str">
        <f>IFERROR(INDEX([1]Produtos!$C:$C,MATCH(L74,[1]Produtos!$B:$B,0)), "-")</f>
        <v>GEL CREME BEIJAVEL HIDRATANTE 2X1</v>
      </c>
      <c r="N74" s="510">
        <f>IFERROR(INDEX([1]Produtos!$E:$E,MATCH(L74,[1]Produtos!$B:$B,0)), "-")</f>
        <v>120</v>
      </c>
      <c r="O74" s="270" t="str">
        <f>IFERROR(INDEX([1]Produtos!$F:$F,MATCH(L74,[1]Produtos!$B:$B,0)), "-")</f>
        <v>ml</v>
      </c>
      <c r="P74" s="270" t="str">
        <f>IFERROR(INDEX([1]Produtos!$G:$G,MATCH(L74,[1]Produtos!$B:$B,0)), "-")</f>
        <v>DAPOP</v>
      </c>
      <c r="Q74" s="270" t="str">
        <f>IFERROR(INDEX([1]Produtos!$H:$H,MATCH(L74,[1]Produtos!$B:$B,0)), "-")</f>
        <v>CORPORAL</v>
      </c>
      <c r="R74" s="270" t="str">
        <f>IFERROR(INDEX([1]Produtos!$I:$I,MATCH(L74,[1]Produtos!$B:$B,0)), "-")</f>
        <v>GEL CREME HIDRATANTE</v>
      </c>
      <c r="S74" s="270" t="str">
        <f>IFERROR(INDEX([1]Produtos!$J:$J,MATCH(L74,[1]Produtos!$B:$B,0)), "-")</f>
        <v>CREMOSO</v>
      </c>
      <c r="T74" s="473"/>
      <c r="U74" s="270"/>
      <c r="V74" s="270"/>
      <c r="W74" s="270"/>
      <c r="X74" s="270"/>
      <c r="Y74" s="270"/>
      <c r="Z74" s="270"/>
      <c r="AA74" s="270"/>
      <c r="AB74" s="270"/>
      <c r="AC74" s="270"/>
      <c r="AD74" s="270"/>
      <c r="AE74" s="270"/>
      <c r="AF74" s="270"/>
      <c r="AG74" s="270"/>
      <c r="AH74" s="270"/>
      <c r="AI74" s="270"/>
      <c r="AJ74" s="270"/>
      <c r="AK74" s="270"/>
      <c r="AL74" s="270"/>
      <c r="AM74" s="663"/>
      <c r="AN74" s="663"/>
      <c r="AO74" s="708" t="str">
        <f>IF(OR(Table1[[#This Row],[Início Setup Envase]]="",Table1[[#This Row],[Final Setup Envase]]=""),"",Table1[[#This Row],[Final Setup Envase]]-Table1[[#This Row],[Início Setup Envase]])</f>
        <v/>
      </c>
      <c r="AP74" s="663"/>
      <c r="AQ74" s="663"/>
      <c r="AR74" s="270"/>
      <c r="AS74" s="270"/>
      <c r="AT74" s="270"/>
      <c r="AU74" s="270"/>
      <c r="AV74" s="270"/>
      <c r="AW74" s="270"/>
      <c r="AX74" s="270"/>
      <c r="AY74" s="270"/>
      <c r="AZ74" s="270"/>
      <c r="BA74" s="270">
        <f>IF(Table1[[#This Row],[Data de Início]]="","",YEAR(Table1[[#This Row],[Data de Início]]))</f>
        <v>2025</v>
      </c>
      <c r="BB74" s="270">
        <f>IF(Table1[[#This Row],[Data de Início]]="","",MONTH(Table1[[#This Row],[Data de Início]]))</f>
        <v>4</v>
      </c>
      <c r="BC74" s="270"/>
    </row>
    <row r="75" spans="2:55" ht="15" customHeight="1" x14ac:dyDescent="0.25">
      <c r="B75" s="470">
        <v>45775.463888888888</v>
      </c>
      <c r="C75" s="263">
        <v>45776.659722222219</v>
      </c>
      <c r="D75" s="264" cm="1">
        <f t="array" ref="D75">IFERROR(HorasUteisFabrica2Turnos(B75,C75), "")</f>
        <v>12.700000000069849</v>
      </c>
      <c r="E75" s="265">
        <f t="shared" si="1"/>
        <v>448.81889763532678</v>
      </c>
      <c r="F75" s="265"/>
      <c r="G75" s="265"/>
      <c r="H75" s="265"/>
      <c r="I75" s="269" t="s">
        <v>110</v>
      </c>
      <c r="J75" s="267" t="s">
        <v>15</v>
      </c>
      <c r="K75" s="269">
        <v>5700</v>
      </c>
      <c r="L75" s="269" t="s">
        <v>311</v>
      </c>
      <c r="M75" s="270" t="str">
        <f>IFERROR(INDEX([1]Produtos!$C:$C,MATCH(L75,[1]Produtos!$B:$B,0)), "-")</f>
        <v>GEL CREME BEIJAVEL HIDRATANTE 2X1</v>
      </c>
      <c r="N75" s="510">
        <f>IFERROR(INDEX([1]Produtos!$E:$E,MATCH(L75,[1]Produtos!$B:$B,0)), "-")</f>
        <v>120</v>
      </c>
      <c r="O75" s="270" t="str">
        <f>IFERROR(INDEX([1]Produtos!$F:$F,MATCH(L75,[1]Produtos!$B:$B,0)), "-")</f>
        <v>ml</v>
      </c>
      <c r="P75" s="270" t="str">
        <f>IFERROR(INDEX([1]Produtos!$G:$G,MATCH(L75,[1]Produtos!$B:$B,0)), "-")</f>
        <v>DAPOP</v>
      </c>
      <c r="Q75" s="270" t="str">
        <f>IFERROR(INDEX([1]Produtos!$H:$H,MATCH(L75,[1]Produtos!$B:$B,0)), "-")</f>
        <v>CORPORAL</v>
      </c>
      <c r="R75" s="270" t="str">
        <f>IFERROR(INDEX([1]Produtos!$I:$I,MATCH(L75,[1]Produtos!$B:$B,0)), "-")</f>
        <v>GEL CREME HIDRATANTE</v>
      </c>
      <c r="S75" s="270" t="str">
        <f>IFERROR(INDEX([1]Produtos!$J:$J,MATCH(L75,[1]Produtos!$B:$B,0)), "-")</f>
        <v>CREMOSO</v>
      </c>
      <c r="T75" s="473"/>
      <c r="U75" s="270"/>
      <c r="V75" s="270"/>
      <c r="W75" s="270"/>
      <c r="X75" s="270"/>
      <c r="Y75" s="270"/>
      <c r="Z75" s="270"/>
      <c r="AA75" s="270"/>
      <c r="AB75" s="270"/>
      <c r="AC75" s="270"/>
      <c r="AD75" s="270"/>
      <c r="AE75" s="270"/>
      <c r="AF75" s="270"/>
      <c r="AG75" s="270"/>
      <c r="AH75" s="270"/>
      <c r="AI75" s="270"/>
      <c r="AJ75" s="270"/>
      <c r="AK75" s="270"/>
      <c r="AL75" s="270"/>
      <c r="AM75" s="663"/>
      <c r="AN75" s="663"/>
      <c r="AO75" s="708" t="str">
        <f>IF(OR(Table1[[#This Row],[Início Setup Envase]]="",Table1[[#This Row],[Final Setup Envase]]=""),"",Table1[[#This Row],[Final Setup Envase]]-Table1[[#This Row],[Início Setup Envase]])</f>
        <v/>
      </c>
      <c r="AP75" s="663"/>
      <c r="AQ75" s="663"/>
      <c r="AR75" s="270"/>
      <c r="AS75" s="270"/>
      <c r="AT75" s="270"/>
      <c r="AU75" s="270"/>
      <c r="AV75" s="270"/>
      <c r="AW75" s="270"/>
      <c r="AX75" s="270"/>
      <c r="AY75" s="270"/>
      <c r="AZ75" s="270"/>
      <c r="BA75" s="270">
        <f>IF(Table1[[#This Row],[Data de Início]]="","",YEAR(Table1[[#This Row],[Data de Início]]))</f>
        <v>2025</v>
      </c>
      <c r="BB75" s="270">
        <f>IF(Table1[[#This Row],[Data de Início]]="","",MONTH(Table1[[#This Row],[Data de Início]]))</f>
        <v>4</v>
      </c>
      <c r="BC75" s="270"/>
    </row>
    <row r="76" spans="2:55" ht="15" customHeight="1" x14ac:dyDescent="0.25">
      <c r="B76" s="470">
        <v>45776.458333333336</v>
      </c>
      <c r="C76" s="263">
        <v>45776.645833333336</v>
      </c>
      <c r="D76" s="264" cm="1">
        <f t="array" ref="D76">IFERROR(HorasUteisFabrica2Turnos(B76,C76), "")</f>
        <v>3.5</v>
      </c>
      <c r="E76" s="265">
        <f t="shared" si="1"/>
        <v>575.14285714285711</v>
      </c>
      <c r="F76" s="265"/>
      <c r="G76" s="265"/>
      <c r="H76" s="265"/>
      <c r="I76" s="269" t="s">
        <v>102</v>
      </c>
      <c r="J76" s="267" t="s">
        <v>15</v>
      </c>
      <c r="K76" s="269">
        <v>2013</v>
      </c>
      <c r="L76" s="269" t="s">
        <v>402</v>
      </c>
      <c r="M76" s="270" t="str">
        <f>IFERROR(INDEX([1]Produtos!$C:$C,MATCH(L76,[1]Produtos!$B:$B,0)), "-")</f>
        <v>BASE PARA PERFUME FINA BASE PREMIUM 1l</v>
      </c>
      <c r="N76" s="510">
        <f>IFERROR(INDEX([1]Produtos!$E:$E,MATCH(L76,[1]Produtos!$B:$B,0)), "-")</f>
        <v>1000</v>
      </c>
      <c r="O76" s="270" t="str">
        <f>IFERROR(INDEX([1]Produtos!$F:$F,MATCH(L76,[1]Produtos!$B:$B,0)), "-")</f>
        <v>ml</v>
      </c>
      <c r="P76" s="270" t="str">
        <f>IFERROR(INDEX([1]Produtos!$G:$G,MATCH(L76,[1]Produtos!$B:$B,0)), "-")</f>
        <v>KURYOS</v>
      </c>
      <c r="Q76" s="270" t="str">
        <f>IFERROR(INDEX([1]Produtos!$H:$H,MATCH(L76,[1]Produtos!$B:$B,0)), "-")</f>
        <v>BASE</v>
      </c>
      <c r="R76" s="270" t="str">
        <f>IFERROR(INDEX([1]Produtos!$I:$I,MATCH(L76,[1]Produtos!$B:$B,0)), "-")</f>
        <v>BASE</v>
      </c>
      <c r="S76" s="270" t="str">
        <f>IFERROR(INDEX([1]Produtos!$J:$J,MATCH(L76,[1]Produtos!$B:$B,0)), "-")</f>
        <v>LÍQUIDO</v>
      </c>
      <c r="T76" s="473" t="s">
        <v>131</v>
      </c>
      <c r="U76" s="270"/>
      <c r="V76" s="270"/>
      <c r="W76" s="270"/>
      <c r="X76" s="270"/>
      <c r="Y76" s="270"/>
      <c r="Z76" s="270"/>
      <c r="AA76" s="270"/>
      <c r="AB76" s="270"/>
      <c r="AC76" s="270"/>
      <c r="AD76" s="270"/>
      <c r="AE76" s="270"/>
      <c r="AF76" s="270"/>
      <c r="AG76" s="270"/>
      <c r="AH76" s="270"/>
      <c r="AI76" s="270"/>
      <c r="AJ76" s="270"/>
      <c r="AK76" s="270"/>
      <c r="AL76" s="270"/>
      <c r="AM76" s="663"/>
      <c r="AN76" s="663"/>
      <c r="AO76" s="708" t="str">
        <f>IF(OR(Table1[[#This Row],[Início Setup Envase]]="",Table1[[#This Row],[Final Setup Envase]]=""),"",Table1[[#This Row],[Final Setup Envase]]-Table1[[#This Row],[Início Setup Envase]])</f>
        <v/>
      </c>
      <c r="AP76" s="663"/>
      <c r="AQ76" s="663"/>
      <c r="AR76" s="270"/>
      <c r="AS76" s="270"/>
      <c r="AT76" s="270"/>
      <c r="AU76" s="270"/>
      <c r="AV76" s="270"/>
      <c r="AW76" s="270"/>
      <c r="AX76" s="270"/>
      <c r="AY76" s="270"/>
      <c r="AZ76" s="270"/>
      <c r="BA76" s="270">
        <f>IF(Table1[[#This Row],[Data de Início]]="","",YEAR(Table1[[#This Row],[Data de Início]]))</f>
        <v>2025</v>
      </c>
      <c r="BB76" s="270">
        <f>IF(Table1[[#This Row],[Data de Início]]="","",MONTH(Table1[[#This Row],[Data de Início]]))</f>
        <v>4</v>
      </c>
      <c r="BC76" s="270"/>
    </row>
    <row r="77" spans="2:55" ht="15" customHeight="1" x14ac:dyDescent="0.25">
      <c r="B77" s="470">
        <v>45776.645833333336</v>
      </c>
      <c r="C77" s="263">
        <v>45777.375</v>
      </c>
      <c r="D77" s="264" cm="1">
        <f t="array" ref="D77">IFERROR(HorasUteisFabrica2Turnos(B77,C77), "")</f>
        <v>3.5000000000582077</v>
      </c>
      <c r="E77" s="265">
        <f t="shared" si="1"/>
        <v>298.57142856646311</v>
      </c>
      <c r="F77" s="265"/>
      <c r="G77" s="265"/>
      <c r="H77" s="265"/>
      <c r="I77" s="269" t="s">
        <v>105</v>
      </c>
      <c r="J77" s="267" t="s">
        <v>15</v>
      </c>
      <c r="K77" s="269">
        <v>1045</v>
      </c>
      <c r="L77" s="269" t="s">
        <v>402</v>
      </c>
      <c r="M77" s="270" t="str">
        <f>IFERROR(INDEX([1]Produtos!$C:$C,MATCH(L77,[1]Produtos!$B:$B,0)), "-")</f>
        <v>BASE PARA PERFUME FINA BASE PREMIUM 1l</v>
      </c>
      <c r="N77" s="510">
        <f>IFERROR(INDEX([1]Produtos!$E:$E,MATCH(L77,[1]Produtos!$B:$B,0)), "-")</f>
        <v>1000</v>
      </c>
      <c r="O77" s="270" t="str">
        <f>IFERROR(INDEX([1]Produtos!$F:$F,MATCH(L77,[1]Produtos!$B:$B,0)), "-")</f>
        <v>ml</v>
      </c>
      <c r="P77" s="270" t="str">
        <f>IFERROR(INDEX([1]Produtos!$G:$G,MATCH(L77,[1]Produtos!$B:$B,0)), "-")</f>
        <v>KURYOS</v>
      </c>
      <c r="Q77" s="270" t="str">
        <f>IFERROR(INDEX([1]Produtos!$H:$H,MATCH(L77,[1]Produtos!$B:$B,0)), "-")</f>
        <v>BASE</v>
      </c>
      <c r="R77" s="270" t="str">
        <f>IFERROR(INDEX([1]Produtos!$I:$I,MATCH(L77,[1]Produtos!$B:$B,0)), "-")</f>
        <v>BASE</v>
      </c>
      <c r="S77" s="270" t="str">
        <f>IFERROR(INDEX([1]Produtos!$J:$J,MATCH(L77,[1]Produtos!$B:$B,0)), "-")</f>
        <v>LÍQUIDO</v>
      </c>
      <c r="T77" s="473"/>
      <c r="U77" s="270"/>
      <c r="V77" s="270"/>
      <c r="W77" s="270"/>
      <c r="X77" s="270"/>
      <c r="Y77" s="270"/>
      <c r="Z77" s="270"/>
      <c r="AA77" s="270"/>
      <c r="AB77" s="270"/>
      <c r="AC77" s="270"/>
      <c r="AD77" s="270"/>
      <c r="AE77" s="270"/>
      <c r="AF77" s="270"/>
      <c r="AG77" s="270"/>
      <c r="AH77" s="270"/>
      <c r="AI77" s="270"/>
      <c r="AJ77" s="270"/>
      <c r="AK77" s="270"/>
      <c r="AL77" s="270"/>
      <c r="AM77" s="663"/>
      <c r="AN77" s="663"/>
      <c r="AO77" s="708" t="str">
        <f>IF(OR(Table1[[#This Row],[Início Setup Envase]]="",Table1[[#This Row],[Final Setup Envase]]=""),"",Table1[[#This Row],[Final Setup Envase]]-Table1[[#This Row],[Início Setup Envase]])</f>
        <v/>
      </c>
      <c r="AP77" s="663"/>
      <c r="AQ77" s="663"/>
      <c r="AR77" s="270"/>
      <c r="AS77" s="270"/>
      <c r="AT77" s="270"/>
      <c r="AU77" s="270"/>
      <c r="AV77" s="270"/>
      <c r="AW77" s="270"/>
      <c r="AX77" s="270"/>
      <c r="AY77" s="270"/>
      <c r="AZ77" s="270"/>
      <c r="BA77" s="270">
        <f>IF(Table1[[#This Row],[Data de Início]]="","",YEAR(Table1[[#This Row],[Data de Início]]))</f>
        <v>2025</v>
      </c>
      <c r="BB77" s="270">
        <f>IF(Table1[[#This Row],[Data de Início]]="","",MONTH(Table1[[#This Row],[Data de Início]]))</f>
        <v>4</v>
      </c>
      <c r="BC77" s="270"/>
    </row>
    <row r="78" spans="2:55" ht="15" customHeight="1" x14ac:dyDescent="0.25">
      <c r="B78" s="470">
        <v>45776.659722222219</v>
      </c>
      <c r="C78" s="263">
        <v>45777.450694444444</v>
      </c>
      <c r="D78" s="264" cm="1">
        <f t="array" ref="D78">IFERROR(HorasUteisFabrica2Turnos(B78,C78), "")</f>
        <v>4.9833333335118368</v>
      </c>
      <c r="E78" s="265">
        <f t="shared" si="1"/>
        <v>1155.8528427679619</v>
      </c>
      <c r="F78" s="265"/>
      <c r="G78" s="265"/>
      <c r="H78" s="265"/>
      <c r="I78" s="269" t="s">
        <v>109</v>
      </c>
      <c r="J78" s="267" t="s">
        <v>15</v>
      </c>
      <c r="K78" s="269">
        <v>5760</v>
      </c>
      <c r="L78" s="269" t="s">
        <v>311</v>
      </c>
      <c r="M78" s="270" t="str">
        <f>IFERROR(INDEX([1]Produtos!$C:$C,MATCH(L78,[1]Produtos!$B:$B,0)), "-")</f>
        <v>GEL CREME BEIJAVEL HIDRATANTE 2X1</v>
      </c>
      <c r="N78" s="510">
        <f>IFERROR(INDEX([1]Produtos!$E:$E,MATCH(L78,[1]Produtos!$B:$B,0)), "-")</f>
        <v>120</v>
      </c>
      <c r="O78" s="270" t="str">
        <f>IFERROR(INDEX([1]Produtos!$F:$F,MATCH(L78,[1]Produtos!$B:$B,0)), "-")</f>
        <v>ml</v>
      </c>
      <c r="P78" s="270" t="str">
        <f>IFERROR(INDEX([1]Produtos!$G:$G,MATCH(L78,[1]Produtos!$B:$B,0)), "-")</f>
        <v>DAPOP</v>
      </c>
      <c r="Q78" s="270" t="str">
        <f>IFERROR(INDEX([1]Produtos!$H:$H,MATCH(L78,[1]Produtos!$B:$B,0)), "-")</f>
        <v>CORPORAL</v>
      </c>
      <c r="R78" s="270" t="str">
        <f>IFERROR(INDEX([1]Produtos!$I:$I,MATCH(L78,[1]Produtos!$B:$B,0)), "-")</f>
        <v>GEL CREME HIDRATANTE</v>
      </c>
      <c r="S78" s="270" t="str">
        <f>IFERROR(INDEX([1]Produtos!$J:$J,MATCH(L78,[1]Produtos!$B:$B,0)), "-")</f>
        <v>CREMOSO</v>
      </c>
      <c r="T78" s="473"/>
      <c r="U78" s="270"/>
      <c r="V78" s="270"/>
      <c r="W78" s="270"/>
      <c r="X78" s="270"/>
      <c r="Y78" s="270"/>
      <c r="Z78" s="270"/>
      <c r="AA78" s="270"/>
      <c r="AB78" s="270"/>
      <c r="AC78" s="270"/>
      <c r="AD78" s="270"/>
      <c r="AE78" s="270"/>
      <c r="AF78" s="270"/>
      <c r="AG78" s="270"/>
      <c r="AH78" s="270"/>
      <c r="AI78" s="270"/>
      <c r="AJ78" s="270"/>
      <c r="AK78" s="270"/>
      <c r="AL78" s="270"/>
      <c r="AM78" s="663"/>
      <c r="AN78" s="663"/>
      <c r="AO78" s="708" t="str">
        <f>IF(OR(Table1[[#This Row],[Início Setup Envase]]="",Table1[[#This Row],[Final Setup Envase]]=""),"",Table1[[#This Row],[Final Setup Envase]]-Table1[[#This Row],[Início Setup Envase]])</f>
        <v/>
      </c>
      <c r="AP78" s="663"/>
      <c r="AQ78" s="663"/>
      <c r="AR78" s="270"/>
      <c r="AS78" s="270"/>
      <c r="AT78" s="270"/>
      <c r="AU78" s="270"/>
      <c r="AV78" s="270"/>
      <c r="AW78" s="270"/>
      <c r="AX78" s="270"/>
      <c r="AY78" s="270"/>
      <c r="AZ78" s="270"/>
      <c r="BA78" s="270">
        <f>IF(Table1[[#This Row],[Data de Início]]="","",YEAR(Table1[[#This Row],[Data de Início]]))</f>
        <v>2025</v>
      </c>
      <c r="BB78" s="270">
        <f>IF(Table1[[#This Row],[Data de Início]]="","",MONTH(Table1[[#This Row],[Data de Início]]))</f>
        <v>4</v>
      </c>
      <c r="BC78" s="270"/>
    </row>
    <row r="79" spans="2:55" ht="15" customHeight="1" x14ac:dyDescent="0.25">
      <c r="B79" s="470">
        <v>45778.444444444445</v>
      </c>
      <c r="C79" s="263">
        <v>45782.583333333336</v>
      </c>
      <c r="D79" s="264" cm="1">
        <f t="array" ref="D79">IFERROR(HorasUteisFabrica2Turnos(B79,C79), "")</f>
        <v>19.333333333488554</v>
      </c>
      <c r="E79" s="265">
        <f t="shared" si="1"/>
        <v>294.8275862045295</v>
      </c>
      <c r="F79" s="265"/>
      <c r="G79" s="265"/>
      <c r="H79" s="265"/>
      <c r="I79" s="269" t="s">
        <v>111</v>
      </c>
      <c r="J79" s="267" t="s">
        <v>15</v>
      </c>
      <c r="K79" s="269">
        <v>5700</v>
      </c>
      <c r="L79" s="269" t="s">
        <v>311</v>
      </c>
      <c r="M79" s="270" t="str">
        <f>IFERROR(INDEX([1]Produtos!$C:$C,MATCH(L79,[1]Produtos!$B:$B,0)), "-")</f>
        <v>GEL CREME BEIJAVEL HIDRATANTE 2X1</v>
      </c>
      <c r="N79" s="510">
        <f>IFERROR(INDEX([1]Produtos!$E:$E,MATCH(L79,[1]Produtos!$B:$B,0)), "-")</f>
        <v>120</v>
      </c>
      <c r="O79" s="270" t="str">
        <f>IFERROR(INDEX([1]Produtos!$F:$F,MATCH(L79,[1]Produtos!$B:$B,0)), "-")</f>
        <v>ml</v>
      </c>
      <c r="P79" s="270" t="str">
        <f>IFERROR(INDEX([1]Produtos!$G:$G,MATCH(L79,[1]Produtos!$B:$B,0)), "-")</f>
        <v>DAPOP</v>
      </c>
      <c r="Q79" s="270" t="str">
        <f>IFERROR(INDEX([1]Produtos!$H:$H,MATCH(L79,[1]Produtos!$B:$B,0)), "-")</f>
        <v>CORPORAL</v>
      </c>
      <c r="R79" s="270" t="str">
        <f>IFERROR(INDEX([1]Produtos!$I:$I,MATCH(L79,[1]Produtos!$B:$B,0)), "-")</f>
        <v>GEL CREME HIDRATANTE</v>
      </c>
      <c r="S79" s="270" t="str">
        <f>IFERROR(INDEX([1]Produtos!$J:$J,MATCH(L79,[1]Produtos!$B:$B,0)), "-")</f>
        <v>CREMOSO</v>
      </c>
      <c r="T79" s="473"/>
      <c r="U79" s="270"/>
      <c r="V79" s="270"/>
      <c r="W79" s="270"/>
      <c r="X79" s="270"/>
      <c r="Y79" s="270"/>
      <c r="Z79" s="270"/>
      <c r="AA79" s="270"/>
      <c r="AB79" s="270"/>
      <c r="AC79" s="270"/>
      <c r="AD79" s="270"/>
      <c r="AE79" s="270"/>
      <c r="AF79" s="270"/>
      <c r="AG79" s="270"/>
      <c r="AH79" s="270"/>
      <c r="AI79" s="270"/>
      <c r="AJ79" s="270"/>
      <c r="AK79" s="270"/>
      <c r="AL79" s="270"/>
      <c r="AM79" s="663"/>
      <c r="AN79" s="663"/>
      <c r="AO79" s="708" t="str">
        <f>IF(OR(Table1[[#This Row],[Início Setup Envase]]="",Table1[[#This Row],[Final Setup Envase]]=""),"",Table1[[#This Row],[Final Setup Envase]]-Table1[[#This Row],[Início Setup Envase]])</f>
        <v/>
      </c>
      <c r="AP79" s="663"/>
      <c r="AQ79" s="663"/>
      <c r="AR79" s="270"/>
      <c r="AS79" s="270"/>
      <c r="AT79" s="270"/>
      <c r="AU79" s="270"/>
      <c r="AV79" s="270"/>
      <c r="AW79" s="270"/>
      <c r="AX79" s="270"/>
      <c r="AY79" s="270"/>
      <c r="AZ79" s="270"/>
      <c r="BA79" s="270">
        <f>IF(Table1[[#This Row],[Data de Início]]="","",YEAR(Table1[[#This Row],[Data de Início]]))</f>
        <v>2025</v>
      </c>
      <c r="BB79" s="270">
        <f>IF(Table1[[#This Row],[Data de Início]]="","",MONTH(Table1[[#This Row],[Data de Início]]))</f>
        <v>5</v>
      </c>
      <c r="BC79" s="270"/>
    </row>
    <row r="80" spans="2:55" ht="15" customHeight="1" x14ac:dyDescent="0.25">
      <c r="B80" s="470">
        <v>45782.583333333336</v>
      </c>
      <c r="C80" s="263">
        <v>45784.4375</v>
      </c>
      <c r="D80" s="264" cm="1">
        <f t="array" ref="D80">IFERROR(HorasUteisFabrica2Turnos(B80,C80), "")</f>
        <v>15.500000000174623</v>
      </c>
      <c r="E80" s="265">
        <f t="shared" si="1"/>
        <v>373.5483870925658</v>
      </c>
      <c r="F80" s="265"/>
      <c r="G80" s="265"/>
      <c r="H80" s="265"/>
      <c r="I80" s="269" t="s">
        <v>108</v>
      </c>
      <c r="J80" s="267" t="s">
        <v>15</v>
      </c>
      <c r="K80" s="269">
        <v>5790</v>
      </c>
      <c r="L80" s="269" t="s">
        <v>311</v>
      </c>
      <c r="M80" s="270" t="str">
        <f>IFERROR(INDEX([1]Produtos!$C:$C,MATCH(L80,[1]Produtos!$B:$B,0)), "-")</f>
        <v>GEL CREME BEIJAVEL HIDRATANTE 2X1</v>
      </c>
      <c r="N80" s="510">
        <f>IFERROR(INDEX([1]Produtos!$E:$E,MATCH(L80,[1]Produtos!$B:$B,0)), "-")</f>
        <v>120</v>
      </c>
      <c r="O80" s="270" t="str">
        <f>IFERROR(INDEX([1]Produtos!$F:$F,MATCH(L80,[1]Produtos!$B:$B,0)), "-")</f>
        <v>ml</v>
      </c>
      <c r="P80" s="270" t="str">
        <f>IFERROR(INDEX([1]Produtos!$G:$G,MATCH(L80,[1]Produtos!$B:$B,0)), "-")</f>
        <v>DAPOP</v>
      </c>
      <c r="Q80" s="270" t="str">
        <f>IFERROR(INDEX([1]Produtos!$H:$H,MATCH(L80,[1]Produtos!$B:$B,0)), "-")</f>
        <v>CORPORAL</v>
      </c>
      <c r="R80" s="270" t="str">
        <f>IFERROR(INDEX([1]Produtos!$I:$I,MATCH(L80,[1]Produtos!$B:$B,0)), "-")</f>
        <v>GEL CREME HIDRATANTE</v>
      </c>
      <c r="S80" s="270" t="str">
        <f>IFERROR(INDEX([1]Produtos!$J:$J,MATCH(L80,[1]Produtos!$B:$B,0)), "-")</f>
        <v>CREMOSO</v>
      </c>
      <c r="T80" s="473"/>
      <c r="U80" s="270"/>
      <c r="V80" s="270"/>
      <c r="W80" s="270"/>
      <c r="X80" s="270"/>
      <c r="Y80" s="270"/>
      <c r="Z80" s="270"/>
      <c r="AA80" s="270"/>
      <c r="AB80" s="270"/>
      <c r="AC80" s="270"/>
      <c r="AD80" s="270"/>
      <c r="AE80" s="270"/>
      <c r="AF80" s="270"/>
      <c r="AG80" s="270"/>
      <c r="AH80" s="270"/>
      <c r="AI80" s="270"/>
      <c r="AJ80" s="270"/>
      <c r="AK80" s="270"/>
      <c r="AL80" s="270"/>
      <c r="AM80" s="663"/>
      <c r="AN80" s="663"/>
      <c r="AO80" s="708" t="str">
        <f>IF(OR(Table1[[#This Row],[Início Setup Envase]]="",Table1[[#This Row],[Final Setup Envase]]=""),"",Table1[[#This Row],[Final Setup Envase]]-Table1[[#This Row],[Início Setup Envase]])</f>
        <v/>
      </c>
      <c r="AP80" s="663"/>
      <c r="AQ80" s="663"/>
      <c r="AR80" s="270"/>
      <c r="AS80" s="270"/>
      <c r="AT80" s="270"/>
      <c r="AU80" s="270"/>
      <c r="AV80" s="270"/>
      <c r="AW80" s="270"/>
      <c r="AX80" s="270"/>
      <c r="AY80" s="270"/>
      <c r="AZ80" s="270"/>
      <c r="BA80" s="270">
        <f>IF(Table1[[#This Row],[Data de Início]]="","",YEAR(Table1[[#This Row],[Data de Início]]))</f>
        <v>2025</v>
      </c>
      <c r="BB80" s="270">
        <f>IF(Table1[[#This Row],[Data de Início]]="","",MONTH(Table1[[#This Row],[Data de Início]]))</f>
        <v>5</v>
      </c>
      <c r="BC80" s="270"/>
    </row>
    <row r="81" spans="2:55" ht="15" customHeight="1" x14ac:dyDescent="0.25">
      <c r="B81" s="470">
        <v>45784.59375</v>
      </c>
      <c r="C81" s="263">
        <v>45785.479166666664</v>
      </c>
      <c r="D81" s="264" cm="1">
        <f t="array" ref="D81">IFERROR(HorasUteisFabrica2Turnos(B81,C81), "")</f>
        <v>7.2500000000582077</v>
      </c>
      <c r="E81" s="265">
        <f t="shared" si="1"/>
        <v>838.89655171740276</v>
      </c>
      <c r="F81" s="265"/>
      <c r="G81" s="265"/>
      <c r="H81" s="265"/>
      <c r="I81" s="266" t="s">
        <v>98</v>
      </c>
      <c r="J81" s="267" t="s">
        <v>15</v>
      </c>
      <c r="K81" s="269">
        <v>6082</v>
      </c>
      <c r="L81" s="269" t="s">
        <v>270</v>
      </c>
      <c r="M81" s="270" t="str">
        <f>IFERROR(INDEX([1]Produtos!$C:$C,MATCH(L81,[1]Produtos!$B:$B,0)), "-")</f>
        <v>GEL FACIAL ANTI OLEOSIDADE PITAYA</v>
      </c>
      <c r="N81" s="510">
        <f>IFERROR(INDEX([1]Produtos!$E:$E,MATCH(L81,[1]Produtos!$B:$B,0)), "-")</f>
        <v>100</v>
      </c>
      <c r="O81" s="270" t="str">
        <f>IFERROR(INDEX([1]Produtos!$F:$F,MATCH(L81,[1]Produtos!$B:$B,0)), "-")</f>
        <v>ml</v>
      </c>
      <c r="P81" s="270" t="str">
        <f>IFERROR(INDEX([1]Produtos!$G:$G,MATCH(L81,[1]Produtos!$B:$B,0)), "-")</f>
        <v>SAFIRA</v>
      </c>
      <c r="Q81" s="270" t="str">
        <f>IFERROR(INDEX([1]Produtos!$H:$H,MATCH(L81,[1]Produtos!$B:$B,0)), "-")</f>
        <v>FACIAL</v>
      </c>
      <c r="R81" s="270" t="str">
        <f>IFERROR(INDEX([1]Produtos!$I:$I,MATCH(L81,[1]Produtos!$B:$B,0)), "-")</f>
        <v>GEL</v>
      </c>
      <c r="S81" s="270" t="str">
        <f>IFERROR(INDEX([1]Produtos!$J:$J,MATCH(L81,[1]Produtos!$B:$B,0)), "-")</f>
        <v>CREMOSO</v>
      </c>
      <c r="T81" s="473"/>
      <c r="U81" s="270"/>
      <c r="V81" s="270"/>
      <c r="W81" s="270"/>
      <c r="X81" s="270"/>
      <c r="Y81" s="270"/>
      <c r="Z81" s="270"/>
      <c r="AA81" s="270"/>
      <c r="AB81" s="270"/>
      <c r="AC81" s="270"/>
      <c r="AD81" s="270"/>
      <c r="AE81" s="270"/>
      <c r="AF81" s="270"/>
      <c r="AG81" s="270"/>
      <c r="AH81" s="270"/>
      <c r="AI81" s="270"/>
      <c r="AJ81" s="270"/>
      <c r="AK81" s="270"/>
      <c r="AL81" s="270"/>
      <c r="AM81" s="663"/>
      <c r="AN81" s="663"/>
      <c r="AO81" s="708" t="str">
        <f>IF(OR(Table1[[#This Row],[Início Setup Envase]]="",Table1[[#This Row],[Final Setup Envase]]=""),"",Table1[[#This Row],[Final Setup Envase]]-Table1[[#This Row],[Início Setup Envase]])</f>
        <v/>
      </c>
      <c r="AP81" s="663"/>
      <c r="AQ81" s="663"/>
      <c r="AR81" s="270"/>
      <c r="AS81" s="270"/>
      <c r="AT81" s="270"/>
      <c r="AU81" s="270"/>
      <c r="AV81" s="270"/>
      <c r="AW81" s="270"/>
      <c r="AX81" s="270"/>
      <c r="AY81" s="270"/>
      <c r="AZ81" s="270"/>
      <c r="BA81" s="270">
        <f>IF(Table1[[#This Row],[Data de Início]]="","",YEAR(Table1[[#This Row],[Data de Início]]))</f>
        <v>2025</v>
      </c>
      <c r="BB81" s="270">
        <f>IF(Table1[[#This Row],[Data de Início]]="","",MONTH(Table1[[#This Row],[Data de Início]]))</f>
        <v>5</v>
      </c>
      <c r="BC81" s="270"/>
    </row>
    <row r="82" spans="2:55" ht="15" customHeight="1" x14ac:dyDescent="0.25">
      <c r="B82" s="470">
        <v>45785.479166666664</v>
      </c>
      <c r="C82" s="263">
        <v>45786.423611111109</v>
      </c>
      <c r="D82" s="264" cm="1">
        <f t="array" ref="D82">IFERROR(HorasUteisFabrica2Turnos(B82,C82), "")</f>
        <v>7.6666666668024845</v>
      </c>
      <c r="E82" s="265">
        <f t="shared" si="1"/>
        <v>715.30434781341512</v>
      </c>
      <c r="F82" s="265"/>
      <c r="G82" s="265"/>
      <c r="H82" s="265"/>
      <c r="I82" s="266" t="s">
        <v>97</v>
      </c>
      <c r="J82" s="267" t="s">
        <v>15</v>
      </c>
      <c r="K82" s="269">
        <v>5484</v>
      </c>
      <c r="L82" s="269" t="s">
        <v>271</v>
      </c>
      <c r="M82" s="270" t="str">
        <f>IFERROR(INDEX([1]Produtos!$C:$C,MATCH(L82,[1]Produtos!$B:$B,0)), "-")</f>
        <v>GEL FACIAL ANTI OLEOSIDADE VITAMINA C</v>
      </c>
      <c r="N82" s="510">
        <f>IFERROR(INDEX([1]Produtos!$E:$E,MATCH(L82,[1]Produtos!$B:$B,0)), "-")</f>
        <v>100</v>
      </c>
      <c r="O82" s="270" t="str">
        <f>IFERROR(INDEX([1]Produtos!$F:$F,MATCH(L82,[1]Produtos!$B:$B,0)), "-")</f>
        <v>ml</v>
      </c>
      <c r="P82" s="270" t="str">
        <f>IFERROR(INDEX([1]Produtos!$G:$G,MATCH(L82,[1]Produtos!$B:$B,0)), "-")</f>
        <v>SAFIRA</v>
      </c>
      <c r="Q82" s="270" t="str">
        <f>IFERROR(INDEX([1]Produtos!$H:$H,MATCH(L82,[1]Produtos!$B:$B,0)), "-")</f>
        <v>FACIAL</v>
      </c>
      <c r="R82" s="270" t="str">
        <f>IFERROR(INDEX([1]Produtos!$I:$I,MATCH(L82,[1]Produtos!$B:$B,0)), "-")</f>
        <v>GEL</v>
      </c>
      <c r="S82" s="270" t="str">
        <f>IFERROR(INDEX([1]Produtos!$J:$J,MATCH(L82,[1]Produtos!$B:$B,0)), "-")</f>
        <v>CREMOSO</v>
      </c>
      <c r="T82" s="473"/>
      <c r="U82" s="270"/>
      <c r="V82" s="270"/>
      <c r="W82" s="270"/>
      <c r="X82" s="270"/>
      <c r="Y82" s="270"/>
      <c r="Z82" s="270"/>
      <c r="AA82" s="270"/>
      <c r="AB82" s="270"/>
      <c r="AC82" s="270"/>
      <c r="AD82" s="270"/>
      <c r="AE82" s="270"/>
      <c r="AF82" s="270"/>
      <c r="AG82" s="270"/>
      <c r="AH82" s="270"/>
      <c r="AI82" s="270"/>
      <c r="AJ82" s="270"/>
      <c r="AK82" s="270"/>
      <c r="AL82" s="270"/>
      <c r="AM82" s="663"/>
      <c r="AN82" s="663"/>
      <c r="AO82" s="708" t="str">
        <f>IF(OR(Table1[[#This Row],[Início Setup Envase]]="",Table1[[#This Row],[Final Setup Envase]]=""),"",Table1[[#This Row],[Final Setup Envase]]-Table1[[#This Row],[Início Setup Envase]])</f>
        <v/>
      </c>
      <c r="AP82" s="663"/>
      <c r="AQ82" s="663"/>
      <c r="AR82" s="270"/>
      <c r="AS82" s="270"/>
      <c r="AT82" s="270"/>
      <c r="AU82" s="270"/>
      <c r="AV82" s="270"/>
      <c r="AW82" s="270"/>
      <c r="AX82" s="270"/>
      <c r="AY82" s="270"/>
      <c r="AZ82" s="270"/>
      <c r="BA82" s="270">
        <f>IF(Table1[[#This Row],[Data de Início]]="","",YEAR(Table1[[#This Row],[Data de Início]]))</f>
        <v>2025</v>
      </c>
      <c r="BB82" s="270">
        <f>IF(Table1[[#This Row],[Data de Início]]="","",MONTH(Table1[[#This Row],[Data de Início]]))</f>
        <v>5</v>
      </c>
      <c r="BC82" s="270"/>
    </row>
    <row r="83" spans="2:55" ht="15" customHeight="1" x14ac:dyDescent="0.25">
      <c r="B83" s="470">
        <v>45786.416666666664</v>
      </c>
      <c r="C83" s="263">
        <v>45789.443749999999</v>
      </c>
      <c r="D83" s="264" cm="1">
        <f t="array" ref="D83">IFERROR(HorasUteisFabrica2Turnos(B83,C83), "")</f>
        <v>8.6500000000232831</v>
      </c>
      <c r="E83" s="265">
        <f t="shared" si="1"/>
        <v>694.91329479581736</v>
      </c>
      <c r="F83" s="265"/>
      <c r="G83" s="265"/>
      <c r="H83" s="265"/>
      <c r="I83" s="266" t="s">
        <v>96</v>
      </c>
      <c r="J83" s="267" t="s">
        <v>15</v>
      </c>
      <c r="K83" s="269">
        <v>6011</v>
      </c>
      <c r="L83" s="269" t="s">
        <v>268</v>
      </c>
      <c r="M83" s="270" t="str">
        <f>IFERROR(INDEX([1]Produtos!$C:$C,MATCH(L83,[1]Produtos!$B:$B,0)), "-")</f>
        <v>ESFOLIANTE FACIAL PITAYA</v>
      </c>
      <c r="N83" s="510">
        <f>IFERROR(INDEX([1]Produtos!$E:$E,MATCH(L83,[1]Produtos!$B:$B,0)), "-")</f>
        <v>100</v>
      </c>
      <c r="O83" s="270" t="str">
        <f>IFERROR(INDEX([1]Produtos!$F:$F,MATCH(L83,[1]Produtos!$B:$B,0)), "-")</f>
        <v>ml</v>
      </c>
      <c r="P83" s="270" t="str">
        <f>IFERROR(INDEX([1]Produtos!$G:$G,MATCH(L83,[1]Produtos!$B:$B,0)), "-")</f>
        <v>SAFIRA</v>
      </c>
      <c r="Q83" s="270" t="str">
        <f>IFERROR(INDEX([1]Produtos!$H:$H,MATCH(L83,[1]Produtos!$B:$B,0)), "-")</f>
        <v>FACIAL</v>
      </c>
      <c r="R83" s="270" t="str">
        <f>IFERROR(INDEX([1]Produtos!$I:$I,MATCH(L83,[1]Produtos!$B:$B,0)), "-")</f>
        <v>ESFOLIANTE</v>
      </c>
      <c r="S83" s="270" t="str">
        <f>IFERROR(INDEX([1]Produtos!$J:$J,MATCH(L83,[1]Produtos!$B:$B,0)), "-")</f>
        <v>VISCOSO</v>
      </c>
      <c r="T83" s="473"/>
      <c r="U83" s="270"/>
      <c r="V83" s="270"/>
      <c r="W83" s="270"/>
      <c r="X83" s="270"/>
      <c r="Y83" s="270"/>
      <c r="Z83" s="270"/>
      <c r="AA83" s="270"/>
      <c r="AB83" s="270"/>
      <c r="AC83" s="270"/>
      <c r="AD83" s="270"/>
      <c r="AE83" s="270"/>
      <c r="AF83" s="270"/>
      <c r="AG83" s="270"/>
      <c r="AH83" s="270"/>
      <c r="AI83" s="270"/>
      <c r="AJ83" s="270"/>
      <c r="AK83" s="270"/>
      <c r="AL83" s="270"/>
      <c r="AM83" s="663"/>
      <c r="AN83" s="663"/>
      <c r="AO83" s="708" t="str">
        <f>IF(OR(Table1[[#This Row],[Início Setup Envase]]="",Table1[[#This Row],[Final Setup Envase]]=""),"",Table1[[#This Row],[Final Setup Envase]]-Table1[[#This Row],[Início Setup Envase]])</f>
        <v/>
      </c>
      <c r="AP83" s="663"/>
      <c r="AQ83" s="663"/>
      <c r="AR83" s="270"/>
      <c r="AS83" s="270"/>
      <c r="AT83" s="270"/>
      <c r="AU83" s="270"/>
      <c r="AV83" s="270"/>
      <c r="AW83" s="270"/>
      <c r="AX83" s="270"/>
      <c r="AY83" s="270"/>
      <c r="AZ83" s="270"/>
      <c r="BA83" s="270">
        <f>IF(Table1[[#This Row],[Data de Início]]="","",YEAR(Table1[[#This Row],[Data de Início]]))</f>
        <v>2025</v>
      </c>
      <c r="BB83" s="270">
        <f>IF(Table1[[#This Row],[Data de Início]]="","",MONTH(Table1[[#This Row],[Data de Início]]))</f>
        <v>5</v>
      </c>
      <c r="BC83" s="270"/>
    </row>
    <row r="84" spans="2:55" ht="15" customHeight="1" x14ac:dyDescent="0.25">
      <c r="B84" s="470">
        <v>45789.472916666666</v>
      </c>
      <c r="C84" s="263">
        <v>45790.428472222222</v>
      </c>
      <c r="D84" s="264" cm="1">
        <f t="array" ref="D84">IFERROR(HorasUteisFabrica2Turnos(B84,C84), "")</f>
        <v>7.9333333334652707</v>
      </c>
      <c r="E84" s="265">
        <f t="shared" si="1"/>
        <v>741.17647057590898</v>
      </c>
      <c r="F84" s="265"/>
      <c r="G84" s="265"/>
      <c r="H84" s="265"/>
      <c r="I84" s="269" t="s">
        <v>100</v>
      </c>
      <c r="J84" s="267" t="s">
        <v>15</v>
      </c>
      <c r="K84" s="269">
        <v>5880</v>
      </c>
      <c r="L84" s="269" t="s">
        <v>272</v>
      </c>
      <c r="M84" s="270" t="str">
        <f>IFERROR(INDEX([1]Produtos!$C:$C,MATCH(L84,[1]Produtos!$B:$B,0)), "-")</f>
        <v>SABONETE DEMAQUILANTE PITAYA</v>
      </c>
      <c r="N84" s="510">
        <f>IFERROR(INDEX([1]Produtos!$E:$E,MATCH(L84,[1]Produtos!$B:$B,0)), "-")</f>
        <v>100</v>
      </c>
      <c r="O84" s="270" t="str">
        <f>IFERROR(INDEX([1]Produtos!$F:$F,MATCH(L84,[1]Produtos!$B:$B,0)), "-")</f>
        <v>ml</v>
      </c>
      <c r="P84" s="270" t="str">
        <f>IFERROR(INDEX([1]Produtos!$G:$G,MATCH(L84,[1]Produtos!$B:$B,0)), "-")</f>
        <v>SAFIRA</v>
      </c>
      <c r="Q84" s="270" t="str">
        <f>IFERROR(INDEX([1]Produtos!$H:$H,MATCH(L84,[1]Produtos!$B:$B,0)), "-")</f>
        <v>MAQUIAGEM</v>
      </c>
      <c r="R84" s="270" t="str">
        <f>IFERROR(INDEX([1]Produtos!$I:$I,MATCH(L84,[1]Produtos!$B:$B,0)), "-")</f>
        <v>SABONETE</v>
      </c>
      <c r="S84" s="270" t="str">
        <f>IFERROR(INDEX([1]Produtos!$J:$J,MATCH(L84,[1]Produtos!$B:$B,0)), "-")</f>
        <v>VISCOSO</v>
      </c>
      <c r="T84" s="473"/>
      <c r="U84" s="270"/>
      <c r="V84" s="270"/>
      <c r="W84" s="270"/>
      <c r="X84" s="270"/>
      <c r="Y84" s="270"/>
      <c r="Z84" s="270"/>
      <c r="AA84" s="270"/>
      <c r="AB84" s="270"/>
      <c r="AC84" s="270"/>
      <c r="AD84" s="270"/>
      <c r="AE84" s="270"/>
      <c r="AF84" s="270"/>
      <c r="AG84" s="270"/>
      <c r="AH84" s="270"/>
      <c r="AI84" s="270"/>
      <c r="AJ84" s="270"/>
      <c r="AK84" s="270"/>
      <c r="AL84" s="270"/>
      <c r="AM84" s="663"/>
      <c r="AN84" s="663"/>
      <c r="AO84" s="708" t="str">
        <f>IF(OR(Table1[[#This Row],[Início Setup Envase]]="",Table1[[#This Row],[Final Setup Envase]]=""),"",Table1[[#This Row],[Final Setup Envase]]-Table1[[#This Row],[Início Setup Envase]])</f>
        <v/>
      </c>
      <c r="AP84" s="663"/>
      <c r="AQ84" s="663"/>
      <c r="AR84" s="270"/>
      <c r="AS84" s="270"/>
      <c r="AT84" s="270"/>
      <c r="AU84" s="270"/>
      <c r="AV84" s="270"/>
      <c r="AW84" s="270"/>
      <c r="AX84" s="270"/>
      <c r="AY84" s="270"/>
      <c r="AZ84" s="270"/>
      <c r="BA84" s="270">
        <f>IF(Table1[[#This Row],[Data de Início]]="","",YEAR(Table1[[#This Row],[Data de Início]]))</f>
        <v>2025</v>
      </c>
      <c r="BB84" s="270">
        <f>IF(Table1[[#This Row],[Data de Início]]="","",MONTH(Table1[[#This Row],[Data de Início]]))</f>
        <v>5</v>
      </c>
      <c r="BC84" s="270"/>
    </row>
    <row r="85" spans="2:55" ht="15" customHeight="1" x14ac:dyDescent="0.25">
      <c r="B85" s="470">
        <v>45790.428472222222</v>
      </c>
      <c r="C85" s="263"/>
      <c r="D85" s="264" cm="1">
        <f t="array" ref="D85">IFERROR(HorasUteisFabrica2Turnos(B85,C85), "")</f>
        <v>0</v>
      </c>
      <c r="E85" s="265" t="str">
        <f t="shared" si="1"/>
        <v/>
      </c>
      <c r="F85" s="265"/>
      <c r="G85" s="265"/>
      <c r="H85" s="265"/>
      <c r="I85" s="266" t="s">
        <v>99</v>
      </c>
      <c r="J85" s="267" t="s">
        <v>15</v>
      </c>
      <c r="K85" s="269">
        <v>5999</v>
      </c>
      <c r="L85" s="269" t="s">
        <v>273</v>
      </c>
      <c r="M85" s="270" t="str">
        <f>IFERROR(INDEX([1]Produtos!$C:$C,MATCH(L85,[1]Produtos!$B:$B,0)), "-")</f>
        <v>SABONETE DEMAQUILANTE VITAMINA C</v>
      </c>
      <c r="N85" s="510">
        <f>IFERROR(INDEX([1]Produtos!$E:$E,MATCH(L85,[1]Produtos!$B:$B,0)), "-")</f>
        <v>100</v>
      </c>
      <c r="O85" s="270" t="str">
        <f>IFERROR(INDEX([1]Produtos!$F:$F,MATCH(L85,[1]Produtos!$B:$B,0)), "-")</f>
        <v>ml</v>
      </c>
      <c r="P85" s="270" t="str">
        <f>IFERROR(INDEX([1]Produtos!$G:$G,MATCH(L85,[1]Produtos!$B:$B,0)), "-")</f>
        <v>SAFIRA</v>
      </c>
      <c r="Q85" s="270" t="str">
        <f>IFERROR(INDEX([1]Produtos!$H:$H,MATCH(L85,[1]Produtos!$B:$B,0)), "-")</f>
        <v>MAQUIAGEM</v>
      </c>
      <c r="R85" s="270" t="str">
        <f>IFERROR(INDEX([1]Produtos!$I:$I,MATCH(L85,[1]Produtos!$B:$B,0)), "-")</f>
        <v>SABONETE</v>
      </c>
      <c r="S85" s="270" t="str">
        <f>IFERROR(INDEX([1]Produtos!$J:$J,MATCH(L85,[1]Produtos!$B:$B,0)), "-")</f>
        <v>VISCOSO</v>
      </c>
      <c r="T85" s="473" t="s">
        <v>131</v>
      </c>
      <c r="U85" s="270"/>
      <c r="V85" s="270"/>
      <c r="W85" s="270"/>
      <c r="X85" s="270"/>
      <c r="Y85" s="270"/>
      <c r="Z85" s="270"/>
      <c r="AA85" s="270"/>
      <c r="AB85" s="270"/>
      <c r="AC85" s="270"/>
      <c r="AD85" s="270"/>
      <c r="AE85" s="270"/>
      <c r="AF85" s="270"/>
      <c r="AG85" s="270"/>
      <c r="AH85" s="270"/>
      <c r="AI85" s="270"/>
      <c r="AJ85" s="270"/>
      <c r="AK85" s="270"/>
      <c r="AL85" s="270"/>
      <c r="AM85" s="663"/>
      <c r="AN85" s="663"/>
      <c r="AO85" s="708" t="str">
        <f>IF(OR(Table1[[#This Row],[Início Setup Envase]]="",Table1[[#This Row],[Final Setup Envase]]=""),"",Table1[[#This Row],[Final Setup Envase]]-Table1[[#This Row],[Início Setup Envase]])</f>
        <v/>
      </c>
      <c r="AP85" s="663"/>
      <c r="AQ85" s="663"/>
      <c r="AR85" s="270"/>
      <c r="AS85" s="270"/>
      <c r="AT85" s="270"/>
      <c r="AU85" s="270"/>
      <c r="AV85" s="270"/>
      <c r="AW85" s="270"/>
      <c r="AX85" s="270"/>
      <c r="AY85" s="270"/>
      <c r="AZ85" s="270"/>
      <c r="BA85" s="270">
        <f>IF(Table1[[#This Row],[Data de Início]]="","",YEAR(Table1[[#This Row],[Data de Início]]))</f>
        <v>2025</v>
      </c>
      <c r="BB85" s="270">
        <f>IF(Table1[[#This Row],[Data de Início]]="","",MONTH(Table1[[#This Row],[Data de Início]]))</f>
        <v>5</v>
      </c>
      <c r="BC85" s="270"/>
    </row>
    <row r="86" spans="2:55" ht="15" customHeight="1" x14ac:dyDescent="0.25">
      <c r="B86" s="470">
        <v>45791.291666666664</v>
      </c>
      <c r="C86" s="263">
        <v>45791.295138888891</v>
      </c>
      <c r="D86" s="264" cm="1">
        <f t="array" ref="D86">IFERROR(HorasUteisFabrica2Turnos(B86,C86), "")</f>
        <v>8.3333333430346102E-2</v>
      </c>
      <c r="E86" s="265">
        <f t="shared" si="1"/>
        <v>323.99999962281436</v>
      </c>
      <c r="F86" s="265"/>
      <c r="G86" s="265"/>
      <c r="H86" s="265"/>
      <c r="I86" s="269" t="s">
        <v>129</v>
      </c>
      <c r="J86" s="267" t="s">
        <v>15</v>
      </c>
      <c r="K86" s="269">
        <v>27</v>
      </c>
      <c r="L86" s="269" t="s">
        <v>145</v>
      </c>
      <c r="M86" s="270" t="str">
        <f>IFERROR(INDEX([1]Produtos!$C:$C,MATCH(L86,[1]Produtos!$B:$B,0)), "-")</f>
        <v>DESODORANTE ROLLON ALGODÃO</v>
      </c>
      <c r="N86" s="510" t="str">
        <f>IFERROR(INDEX([1]Produtos!$E:$E,MATCH(L86,[1]Produtos!$B:$B,0)), "-")</f>
        <v>-</v>
      </c>
      <c r="O86" s="270" t="str">
        <f>IFERROR(INDEX([1]Produtos!$F:$F,MATCH(L86,[1]Produtos!$B:$B,0)), "-")</f>
        <v>-</v>
      </c>
      <c r="P86" s="270" t="str">
        <f>IFERROR(INDEX([1]Produtos!$G:$G,MATCH(L86,[1]Produtos!$B:$B,0)), "-")</f>
        <v>-</v>
      </c>
      <c r="Q86" s="270" t="str">
        <f>IFERROR(INDEX([1]Produtos!$H:$H,MATCH(L86,[1]Produtos!$B:$B,0)), "-")</f>
        <v>CORPORAL</v>
      </c>
      <c r="R86" s="270" t="str">
        <f>IFERROR(INDEX([1]Produtos!$I:$I,MATCH(L86,[1]Produtos!$B:$B,0)), "-")</f>
        <v>DESODORANTE</v>
      </c>
      <c r="S86" s="270" t="str">
        <f>IFERROR(INDEX([1]Produtos!$J:$J,MATCH(L86,[1]Produtos!$B:$B,0)), "-")</f>
        <v>VISCOSO</v>
      </c>
      <c r="T86" s="473"/>
      <c r="U86" s="270"/>
      <c r="V86" s="270"/>
      <c r="W86" s="270"/>
      <c r="X86" s="270"/>
      <c r="Y86" s="270"/>
      <c r="Z86" s="270"/>
      <c r="AA86" s="270"/>
      <c r="AB86" s="270"/>
      <c r="AC86" s="270"/>
      <c r="AD86" s="270"/>
      <c r="AE86" s="270"/>
      <c r="AF86" s="270"/>
      <c r="AG86" s="270"/>
      <c r="AH86" s="270"/>
      <c r="AI86" s="270"/>
      <c r="AJ86" s="270"/>
      <c r="AK86" s="270"/>
      <c r="AL86" s="270"/>
      <c r="AM86" s="663"/>
      <c r="AN86" s="663"/>
      <c r="AO86" s="708" t="str">
        <f>IF(OR(Table1[[#This Row],[Início Setup Envase]]="",Table1[[#This Row],[Final Setup Envase]]=""),"",Table1[[#This Row],[Final Setup Envase]]-Table1[[#This Row],[Início Setup Envase]])</f>
        <v/>
      </c>
      <c r="AP86" s="663"/>
      <c r="AQ86" s="663"/>
      <c r="AR86" s="270"/>
      <c r="AS86" s="270"/>
      <c r="AT86" s="270"/>
      <c r="AU86" s="270"/>
      <c r="AV86" s="270"/>
      <c r="AW86" s="270"/>
      <c r="AX86" s="270"/>
      <c r="AY86" s="270"/>
      <c r="AZ86" s="270"/>
      <c r="BA86" s="270">
        <f>IF(Table1[[#This Row],[Data de Início]]="","",YEAR(Table1[[#This Row],[Data de Início]]))</f>
        <v>2025</v>
      </c>
      <c r="BB86" s="270">
        <f>IF(Table1[[#This Row],[Data de Início]]="","",MONTH(Table1[[#This Row],[Data de Início]]))</f>
        <v>5</v>
      </c>
      <c r="BC86" s="270"/>
    </row>
    <row r="87" spans="2:55" ht="15" customHeight="1" x14ac:dyDescent="0.25">
      <c r="B87" s="470">
        <v>45791.291666666664</v>
      </c>
      <c r="C87" s="263">
        <v>45791.295138888891</v>
      </c>
      <c r="D87" s="264" cm="1">
        <f t="array" ref="D87">IFERROR(HorasUteisFabrica2Turnos(B87,C87), "")</f>
        <v>8.3333333430346102E-2</v>
      </c>
      <c r="E87" s="265">
        <f t="shared" si="1"/>
        <v>683.9999992037192</v>
      </c>
      <c r="F87" s="265"/>
      <c r="G87" s="265"/>
      <c r="H87" s="265"/>
      <c r="I87" s="269" t="s">
        <v>130</v>
      </c>
      <c r="J87" s="267" t="s">
        <v>15</v>
      </c>
      <c r="K87" s="269">
        <v>57</v>
      </c>
      <c r="L87" s="269" t="s">
        <v>145</v>
      </c>
      <c r="M87" s="270" t="str">
        <f>IFERROR(INDEX([1]Produtos!$C:$C,MATCH(L87,[1]Produtos!$B:$B,0)), "-")</f>
        <v>DESODORANTE ROLLON ALGODÃO</v>
      </c>
      <c r="N87" s="510" t="str">
        <f>IFERROR(INDEX([1]Produtos!$E:$E,MATCH(L87,[1]Produtos!$B:$B,0)), "-")</f>
        <v>-</v>
      </c>
      <c r="O87" s="270" t="str">
        <f>IFERROR(INDEX([1]Produtos!$F:$F,MATCH(L87,[1]Produtos!$B:$B,0)), "-")</f>
        <v>-</v>
      </c>
      <c r="P87" s="270" t="str">
        <f>IFERROR(INDEX([1]Produtos!$G:$G,MATCH(L87,[1]Produtos!$B:$B,0)), "-")</f>
        <v>-</v>
      </c>
      <c r="Q87" s="270" t="str">
        <f>IFERROR(INDEX([1]Produtos!$H:$H,MATCH(L87,[1]Produtos!$B:$B,0)), "-")</f>
        <v>CORPORAL</v>
      </c>
      <c r="R87" s="270" t="str">
        <f>IFERROR(INDEX([1]Produtos!$I:$I,MATCH(L87,[1]Produtos!$B:$B,0)), "-")</f>
        <v>DESODORANTE</v>
      </c>
      <c r="S87" s="270" t="str">
        <f>IFERROR(INDEX([1]Produtos!$J:$J,MATCH(L87,[1]Produtos!$B:$B,0)), "-")</f>
        <v>VISCOSO</v>
      </c>
      <c r="T87" s="473"/>
      <c r="U87" s="270"/>
      <c r="V87" s="270"/>
      <c r="W87" s="270"/>
      <c r="X87" s="270"/>
      <c r="Y87" s="270"/>
      <c r="Z87" s="270"/>
      <c r="AA87" s="270"/>
      <c r="AB87" s="270"/>
      <c r="AC87" s="270"/>
      <c r="AD87" s="270"/>
      <c r="AE87" s="270"/>
      <c r="AF87" s="270"/>
      <c r="AG87" s="270"/>
      <c r="AH87" s="270"/>
      <c r="AI87" s="270"/>
      <c r="AJ87" s="270"/>
      <c r="AK87" s="270"/>
      <c r="AL87" s="270"/>
      <c r="AM87" s="663"/>
      <c r="AN87" s="663"/>
      <c r="AO87" s="708" t="str">
        <f>IF(OR(Table1[[#This Row],[Início Setup Envase]]="",Table1[[#This Row],[Final Setup Envase]]=""),"",Table1[[#This Row],[Final Setup Envase]]-Table1[[#This Row],[Início Setup Envase]])</f>
        <v/>
      </c>
      <c r="AP87" s="663"/>
      <c r="AQ87" s="663"/>
      <c r="AR87" s="270"/>
      <c r="AS87" s="270"/>
      <c r="AT87" s="270"/>
      <c r="AU87" s="270"/>
      <c r="AV87" s="270"/>
      <c r="AW87" s="270"/>
      <c r="AX87" s="270"/>
      <c r="AY87" s="270"/>
      <c r="AZ87" s="270"/>
      <c r="BA87" s="270">
        <f>IF(Table1[[#This Row],[Data de Início]]="","",YEAR(Table1[[#This Row],[Data de Início]]))</f>
        <v>2025</v>
      </c>
      <c r="BB87" s="270">
        <f>IF(Table1[[#This Row],[Data de Início]]="","",MONTH(Table1[[#This Row],[Data de Início]]))</f>
        <v>5</v>
      </c>
      <c r="BC87" s="270"/>
    </row>
    <row r="88" spans="2:55" ht="15" customHeight="1" x14ac:dyDescent="0.25">
      <c r="B88" s="470">
        <v>45791.333333333336</v>
      </c>
      <c r="C88" s="263">
        <v>45791.690972222219</v>
      </c>
      <c r="D88" s="264" cm="1">
        <f t="array" ref="D88">IFERROR(HorasUteisFabrica2Turnos(B88,C88), "")</f>
        <v>7.5833333331975155</v>
      </c>
      <c r="E88" s="265">
        <f t="shared" si="1"/>
        <v>791.20879122296185</v>
      </c>
      <c r="F88" s="265"/>
      <c r="G88" s="265"/>
      <c r="H88" s="265"/>
      <c r="I88" s="266" t="s">
        <v>95</v>
      </c>
      <c r="J88" s="267" t="s">
        <v>15</v>
      </c>
      <c r="K88" s="269">
        <v>6000</v>
      </c>
      <c r="L88" s="269" t="s">
        <v>269</v>
      </c>
      <c r="M88" s="270" t="str">
        <f>IFERROR(INDEX([1]Produtos!$C:$C,MATCH(L88,[1]Produtos!$B:$B,0)), "-")</f>
        <v>ESFOLIANTE FACIAL VITAMINA C</v>
      </c>
      <c r="N88" s="510">
        <f>IFERROR(INDEX([1]Produtos!$E:$E,MATCH(L88,[1]Produtos!$B:$B,0)), "-")</f>
        <v>100</v>
      </c>
      <c r="O88" s="270" t="str">
        <f>IFERROR(INDEX([1]Produtos!$F:$F,MATCH(L88,[1]Produtos!$B:$B,0)), "-")</f>
        <v>ml</v>
      </c>
      <c r="P88" s="270" t="str">
        <f>IFERROR(INDEX([1]Produtos!$G:$G,MATCH(L88,[1]Produtos!$B:$B,0)), "-")</f>
        <v>SAFIRA</v>
      </c>
      <c r="Q88" s="270" t="str">
        <f>IFERROR(INDEX([1]Produtos!$H:$H,MATCH(L88,[1]Produtos!$B:$B,0)), "-")</f>
        <v>FACIAL</v>
      </c>
      <c r="R88" s="270" t="str">
        <f>IFERROR(INDEX([1]Produtos!$I:$I,MATCH(L88,[1]Produtos!$B:$B,0)), "-")</f>
        <v>ESFOLIANTE</v>
      </c>
      <c r="S88" s="270" t="str">
        <f>IFERROR(INDEX([1]Produtos!$J:$J,MATCH(L88,[1]Produtos!$B:$B,0)), "-")</f>
        <v>VISCOSO</v>
      </c>
      <c r="T88" s="473"/>
      <c r="U88" s="270"/>
      <c r="V88" s="270"/>
      <c r="W88" s="270"/>
      <c r="X88" s="270"/>
      <c r="Y88" s="270"/>
      <c r="Z88" s="270"/>
      <c r="AA88" s="270"/>
      <c r="AB88" s="270"/>
      <c r="AC88" s="270"/>
      <c r="AD88" s="270"/>
      <c r="AE88" s="270"/>
      <c r="AF88" s="270"/>
      <c r="AG88" s="270"/>
      <c r="AH88" s="270"/>
      <c r="AI88" s="270"/>
      <c r="AJ88" s="270"/>
      <c r="AK88" s="270"/>
      <c r="AL88" s="270"/>
      <c r="AM88" s="663"/>
      <c r="AN88" s="663"/>
      <c r="AO88" s="708" t="str">
        <f>IF(OR(Table1[[#This Row],[Início Setup Envase]]="",Table1[[#This Row],[Final Setup Envase]]=""),"",Table1[[#This Row],[Final Setup Envase]]-Table1[[#This Row],[Início Setup Envase]])</f>
        <v/>
      </c>
      <c r="AP88" s="663"/>
      <c r="AQ88" s="663"/>
      <c r="AR88" s="270"/>
      <c r="AS88" s="270"/>
      <c r="AT88" s="270"/>
      <c r="AU88" s="270"/>
      <c r="AV88" s="270"/>
      <c r="AW88" s="270"/>
      <c r="AX88" s="270"/>
      <c r="AY88" s="270"/>
      <c r="AZ88" s="270"/>
      <c r="BA88" s="270">
        <f>IF(Table1[[#This Row],[Data de Início]]="","",YEAR(Table1[[#This Row],[Data de Início]]))</f>
        <v>2025</v>
      </c>
      <c r="BB88" s="270">
        <f>IF(Table1[[#This Row],[Data de Início]]="","",MONTH(Table1[[#This Row],[Data de Início]]))</f>
        <v>5</v>
      </c>
      <c r="BC88" s="270"/>
    </row>
    <row r="89" spans="2:55" ht="15" customHeight="1" x14ac:dyDescent="0.25">
      <c r="B89" s="470">
        <v>45792.427083333336</v>
      </c>
      <c r="C89" s="263">
        <v>45792.60833333333</v>
      </c>
      <c r="D89" s="264" cm="1">
        <f t="array" ref="D89">IFERROR(HorasUteisFabrica2Turnos(B89,C89), "")</f>
        <v>3.3499999998603016</v>
      </c>
      <c r="E89" s="265">
        <f t="shared" si="1"/>
        <v>759.40298510629475</v>
      </c>
      <c r="F89" s="265"/>
      <c r="G89" s="265"/>
      <c r="H89" s="265"/>
      <c r="I89" s="269" t="s">
        <v>94</v>
      </c>
      <c r="J89" s="267" t="s">
        <v>15</v>
      </c>
      <c r="K89" s="269">
        <v>2544</v>
      </c>
      <c r="L89" s="269" t="s">
        <v>211</v>
      </c>
      <c r="M89" s="270" t="str">
        <f>IFERROR(INDEX([1]Produtos!$C:$C,MATCH(L89,[1]Produtos!$B:$B,0)), "-")</f>
        <v>BODY SPLASH AURORA IMPERIAL</v>
      </c>
      <c r="N89" s="510">
        <f>IFERROR(INDEX([1]Produtos!$E:$E,MATCH(L89,[1]Produtos!$B:$B,0)), "-")</f>
        <v>220</v>
      </c>
      <c r="O89" s="270" t="str">
        <f>IFERROR(INDEX([1]Produtos!$F:$F,MATCH(L89,[1]Produtos!$B:$B,0)), "-")</f>
        <v>ml</v>
      </c>
      <c r="P89" s="270" t="str">
        <f>IFERROR(INDEX([1]Produtos!$G:$G,MATCH(L89,[1]Produtos!$B:$B,0)), "-")</f>
        <v>MISS RÔSE</v>
      </c>
      <c r="Q89" s="270" t="str">
        <f>IFERROR(INDEX([1]Produtos!$H:$H,MATCH(L89,[1]Produtos!$B:$B,0)), "-")</f>
        <v>PERFUMARIA</v>
      </c>
      <c r="R89" s="270" t="str">
        <f>IFERROR(INDEX([1]Produtos!$I:$I,MATCH(L89,[1]Produtos!$B:$B,0)), "-")</f>
        <v>BODY SPLASH</v>
      </c>
      <c r="S89" s="270" t="str">
        <f>IFERROR(INDEX([1]Produtos!$J:$J,MATCH(L89,[1]Produtos!$B:$B,0)), "-")</f>
        <v>LÍQUIDO</v>
      </c>
      <c r="T89" s="473"/>
      <c r="U89" s="270"/>
      <c r="V89" s="270"/>
      <c r="W89" s="270"/>
      <c r="X89" s="270"/>
      <c r="Y89" s="270"/>
      <c r="Z89" s="270"/>
      <c r="AA89" s="270"/>
      <c r="AB89" s="270"/>
      <c r="AC89" s="270"/>
      <c r="AD89" s="270"/>
      <c r="AE89" s="270"/>
      <c r="AF89" s="270"/>
      <c r="AG89" s="270"/>
      <c r="AH89" s="270"/>
      <c r="AI89" s="270"/>
      <c r="AJ89" s="270"/>
      <c r="AK89" s="270"/>
      <c r="AL89" s="270"/>
      <c r="AM89" s="663"/>
      <c r="AN89" s="663"/>
      <c r="AO89" s="708" t="str">
        <f>IF(OR(Table1[[#This Row],[Início Setup Envase]]="",Table1[[#This Row],[Final Setup Envase]]=""),"",Table1[[#This Row],[Final Setup Envase]]-Table1[[#This Row],[Início Setup Envase]])</f>
        <v/>
      </c>
      <c r="AP89" s="663"/>
      <c r="AQ89" s="663"/>
      <c r="AR89" s="270"/>
      <c r="AS89" s="270"/>
      <c r="AT89" s="270"/>
      <c r="AU89" s="270"/>
      <c r="AV89" s="270"/>
      <c r="AW89" s="270"/>
      <c r="AX89" s="270"/>
      <c r="AY89" s="270"/>
      <c r="AZ89" s="270"/>
      <c r="BA89" s="270">
        <f>IF(Table1[[#This Row],[Data de Início]]="","",YEAR(Table1[[#This Row],[Data de Início]]))</f>
        <v>2025</v>
      </c>
      <c r="BB89" s="270">
        <f>IF(Table1[[#This Row],[Data de Início]]="","",MONTH(Table1[[#This Row],[Data de Início]]))</f>
        <v>5</v>
      </c>
      <c r="BC89" s="270"/>
    </row>
    <row r="90" spans="2:55" ht="15" customHeight="1" x14ac:dyDescent="0.25">
      <c r="B90" s="470">
        <v>45792.609027777777</v>
      </c>
      <c r="C90" s="263">
        <v>45793.375</v>
      </c>
      <c r="D90" s="264" cm="1">
        <f t="array" ref="D90">IFERROR(HorasUteisFabrica2Turnos(B90,C90), "")</f>
        <v>4.3833333334769122</v>
      </c>
      <c r="E90" s="265">
        <f t="shared" si="1"/>
        <v>591.33079845971804</v>
      </c>
      <c r="F90" s="265"/>
      <c r="G90" s="265"/>
      <c r="H90" s="265"/>
      <c r="I90" s="269" t="s">
        <v>93</v>
      </c>
      <c r="J90" s="267" t="s">
        <v>15</v>
      </c>
      <c r="K90" s="269">
        <v>2592</v>
      </c>
      <c r="L90" s="269" t="s">
        <v>211</v>
      </c>
      <c r="M90" s="270" t="str">
        <f>IFERROR(INDEX([1]Produtos!$C:$C,MATCH(L90,[1]Produtos!$B:$B,0)), "-")</f>
        <v>BODY SPLASH AURORA IMPERIAL</v>
      </c>
      <c r="N90" s="510">
        <f>IFERROR(INDEX([1]Produtos!$E:$E,MATCH(L90,[1]Produtos!$B:$B,0)), "-")</f>
        <v>220</v>
      </c>
      <c r="O90" s="270" t="str">
        <f>IFERROR(INDEX([1]Produtos!$F:$F,MATCH(L90,[1]Produtos!$B:$B,0)), "-")</f>
        <v>ml</v>
      </c>
      <c r="P90" s="270" t="str">
        <f>IFERROR(INDEX([1]Produtos!$G:$G,MATCH(L90,[1]Produtos!$B:$B,0)), "-")</f>
        <v>MISS RÔSE</v>
      </c>
      <c r="Q90" s="270" t="str">
        <f>IFERROR(INDEX([1]Produtos!$H:$H,MATCH(L90,[1]Produtos!$B:$B,0)), "-")</f>
        <v>PERFUMARIA</v>
      </c>
      <c r="R90" s="270" t="str">
        <f>IFERROR(INDEX([1]Produtos!$I:$I,MATCH(L90,[1]Produtos!$B:$B,0)), "-")</f>
        <v>BODY SPLASH</v>
      </c>
      <c r="S90" s="270" t="str">
        <f>IFERROR(INDEX([1]Produtos!$J:$J,MATCH(L90,[1]Produtos!$B:$B,0)), "-")</f>
        <v>LÍQUIDO</v>
      </c>
      <c r="T90" s="473"/>
      <c r="U90" s="270"/>
      <c r="V90" s="270"/>
      <c r="W90" s="270"/>
      <c r="X90" s="270"/>
      <c r="Y90" s="270"/>
      <c r="Z90" s="270"/>
      <c r="AA90" s="270"/>
      <c r="AB90" s="270"/>
      <c r="AC90" s="270"/>
      <c r="AD90" s="270"/>
      <c r="AE90" s="270"/>
      <c r="AF90" s="270"/>
      <c r="AG90" s="270"/>
      <c r="AH90" s="270"/>
      <c r="AI90" s="270"/>
      <c r="AJ90" s="270"/>
      <c r="AK90" s="270"/>
      <c r="AL90" s="270"/>
      <c r="AM90" s="663"/>
      <c r="AN90" s="663"/>
      <c r="AO90" s="708" t="str">
        <f>IF(OR(Table1[[#This Row],[Início Setup Envase]]="",Table1[[#This Row],[Final Setup Envase]]=""),"",Table1[[#This Row],[Final Setup Envase]]-Table1[[#This Row],[Início Setup Envase]])</f>
        <v/>
      </c>
      <c r="AP90" s="663"/>
      <c r="AQ90" s="663"/>
      <c r="AR90" s="270"/>
      <c r="AS90" s="270"/>
      <c r="AT90" s="270"/>
      <c r="AU90" s="270"/>
      <c r="AV90" s="270"/>
      <c r="AW90" s="270"/>
      <c r="AX90" s="270"/>
      <c r="AY90" s="270"/>
      <c r="AZ90" s="270"/>
      <c r="BA90" s="270">
        <f>IF(Table1[[#This Row],[Data de Início]]="","",YEAR(Table1[[#This Row],[Data de Início]]))</f>
        <v>2025</v>
      </c>
      <c r="BB90" s="270">
        <f>IF(Table1[[#This Row],[Data de Início]]="","",MONTH(Table1[[#This Row],[Data de Início]]))</f>
        <v>5</v>
      </c>
      <c r="BC90" s="270"/>
    </row>
    <row r="91" spans="2:55" ht="15" customHeight="1" x14ac:dyDescent="0.25">
      <c r="B91" s="470">
        <v>45793.375</v>
      </c>
      <c r="C91" s="263">
        <v>45793.5</v>
      </c>
      <c r="D91" s="264" cm="1">
        <f t="array" ref="D91">IFERROR(HorasUteisFabrica2Turnos(B91,C91), "")</f>
        <v>3</v>
      </c>
      <c r="E91" s="265">
        <f t="shared" si="1"/>
        <v>864</v>
      </c>
      <c r="F91" s="265"/>
      <c r="G91" s="265"/>
      <c r="H91" s="265"/>
      <c r="I91" s="269" t="s">
        <v>92</v>
      </c>
      <c r="J91" s="267" t="s">
        <v>15</v>
      </c>
      <c r="K91" s="269">
        <v>2592</v>
      </c>
      <c r="L91" s="269" t="s">
        <v>211</v>
      </c>
      <c r="M91" s="270" t="str">
        <f>IFERROR(INDEX([1]Produtos!$C:$C,MATCH(L91,[1]Produtos!$B:$B,0)), "-")</f>
        <v>BODY SPLASH AURORA IMPERIAL</v>
      </c>
      <c r="N91" s="510">
        <f>IFERROR(INDEX([1]Produtos!$E:$E,MATCH(L91,[1]Produtos!$B:$B,0)), "-")</f>
        <v>220</v>
      </c>
      <c r="O91" s="270" t="str">
        <f>IFERROR(INDEX([1]Produtos!$F:$F,MATCH(L91,[1]Produtos!$B:$B,0)), "-")</f>
        <v>ml</v>
      </c>
      <c r="P91" s="270" t="str">
        <f>IFERROR(INDEX([1]Produtos!$G:$G,MATCH(L91,[1]Produtos!$B:$B,0)), "-")</f>
        <v>MISS RÔSE</v>
      </c>
      <c r="Q91" s="270" t="str">
        <f>IFERROR(INDEX([1]Produtos!$H:$H,MATCH(L91,[1]Produtos!$B:$B,0)), "-")</f>
        <v>PERFUMARIA</v>
      </c>
      <c r="R91" s="270" t="str">
        <f>IFERROR(INDEX([1]Produtos!$I:$I,MATCH(L91,[1]Produtos!$B:$B,0)), "-")</f>
        <v>BODY SPLASH</v>
      </c>
      <c r="S91" s="270" t="str">
        <f>IFERROR(INDEX([1]Produtos!$J:$J,MATCH(L91,[1]Produtos!$B:$B,0)), "-")</f>
        <v>LÍQUIDO</v>
      </c>
      <c r="T91" s="473"/>
      <c r="U91" s="270"/>
      <c r="V91" s="270"/>
      <c r="W91" s="270"/>
      <c r="X91" s="270"/>
      <c r="Y91" s="270"/>
      <c r="Z91" s="270"/>
      <c r="AA91" s="270"/>
      <c r="AB91" s="270"/>
      <c r="AC91" s="270"/>
      <c r="AD91" s="270"/>
      <c r="AE91" s="270"/>
      <c r="AF91" s="270"/>
      <c r="AG91" s="270"/>
      <c r="AH91" s="270"/>
      <c r="AI91" s="270"/>
      <c r="AJ91" s="270"/>
      <c r="AK91" s="270"/>
      <c r="AL91" s="270"/>
      <c r="AM91" s="663"/>
      <c r="AN91" s="663"/>
      <c r="AO91" s="708" t="str">
        <f>IF(OR(Table1[[#This Row],[Início Setup Envase]]="",Table1[[#This Row],[Final Setup Envase]]=""),"",Table1[[#This Row],[Final Setup Envase]]-Table1[[#This Row],[Início Setup Envase]])</f>
        <v/>
      </c>
      <c r="AP91" s="663"/>
      <c r="AQ91" s="663"/>
      <c r="AR91" s="270"/>
      <c r="AS91" s="270"/>
      <c r="AT91" s="270"/>
      <c r="AU91" s="270"/>
      <c r="AV91" s="270"/>
      <c r="AW91" s="270"/>
      <c r="AX91" s="270"/>
      <c r="AY91" s="270"/>
      <c r="AZ91" s="270"/>
      <c r="BA91" s="270">
        <f>IF(Table1[[#This Row],[Data de Início]]="","",YEAR(Table1[[#This Row],[Data de Início]]))</f>
        <v>2025</v>
      </c>
      <c r="BB91" s="270">
        <f>IF(Table1[[#This Row],[Data de Início]]="","",MONTH(Table1[[#This Row],[Data de Início]]))</f>
        <v>5</v>
      </c>
      <c r="BC91" s="270"/>
    </row>
    <row r="92" spans="2:55" ht="15" customHeight="1" x14ac:dyDescent="0.25">
      <c r="B92" s="470">
        <v>45796.291666666664</v>
      </c>
      <c r="C92" s="263">
        <v>45796.416666666664</v>
      </c>
      <c r="D92" s="264" cm="1">
        <f t="array" ref="D92">IFERROR(HorasUteisFabrica2Turnos(B92,C92), "")</f>
        <v>3</v>
      </c>
      <c r="E92" s="265">
        <f t="shared" si="1"/>
        <v>848</v>
      </c>
      <c r="F92" s="265"/>
      <c r="G92" s="265"/>
      <c r="H92" s="265"/>
      <c r="I92" s="269" t="s">
        <v>49</v>
      </c>
      <c r="J92" s="267" t="s">
        <v>15</v>
      </c>
      <c r="K92" s="269">
        <v>2544</v>
      </c>
      <c r="L92" s="269" t="s">
        <v>212</v>
      </c>
      <c r="M92" s="270" t="str">
        <f>IFERROR(INDEX([1]Produtos!$C:$C,MATCH(L92,[1]Produtos!$B:$B,0)), "-")</f>
        <v>BODY SPLASH FORÇA DO LEAO</v>
      </c>
      <c r="N92" s="510">
        <f>IFERROR(INDEX([1]Produtos!$E:$E,MATCH(L92,[1]Produtos!$B:$B,0)), "-")</f>
        <v>220</v>
      </c>
      <c r="O92" s="270" t="str">
        <f>IFERROR(INDEX([1]Produtos!$F:$F,MATCH(L92,[1]Produtos!$B:$B,0)), "-")</f>
        <v>ml</v>
      </c>
      <c r="P92" s="270" t="str">
        <f>IFERROR(INDEX([1]Produtos!$G:$G,MATCH(L92,[1]Produtos!$B:$B,0)), "-")</f>
        <v>MISS RÔSE</v>
      </c>
      <c r="Q92" s="270" t="str">
        <f>IFERROR(INDEX([1]Produtos!$H:$H,MATCH(L92,[1]Produtos!$B:$B,0)), "-")</f>
        <v>PERFUMARIA</v>
      </c>
      <c r="R92" s="270" t="str">
        <f>IFERROR(INDEX([1]Produtos!$I:$I,MATCH(L92,[1]Produtos!$B:$B,0)), "-")</f>
        <v>BODY SPLASH</v>
      </c>
      <c r="S92" s="270" t="str">
        <f>IFERROR(INDEX([1]Produtos!$J:$J,MATCH(L92,[1]Produtos!$B:$B,0)), "-")</f>
        <v>LÍQUIDO</v>
      </c>
      <c r="T92" s="473" t="s">
        <v>51</v>
      </c>
      <c r="U92" s="270"/>
      <c r="V92" s="270"/>
      <c r="W92" s="270"/>
      <c r="X92" s="270"/>
      <c r="Y92" s="270"/>
      <c r="Z92" s="270"/>
      <c r="AA92" s="270"/>
      <c r="AB92" s="270"/>
      <c r="AC92" s="270"/>
      <c r="AD92" s="270"/>
      <c r="AE92" s="270"/>
      <c r="AF92" s="270"/>
      <c r="AG92" s="270"/>
      <c r="AH92" s="270"/>
      <c r="AI92" s="270"/>
      <c r="AJ92" s="270"/>
      <c r="AK92" s="270"/>
      <c r="AL92" s="270"/>
      <c r="AM92" s="663"/>
      <c r="AN92" s="663"/>
      <c r="AO92" s="708" t="str">
        <f>IF(OR(Table1[[#This Row],[Início Setup Envase]]="",Table1[[#This Row],[Final Setup Envase]]=""),"",Table1[[#This Row],[Final Setup Envase]]-Table1[[#This Row],[Início Setup Envase]])</f>
        <v/>
      </c>
      <c r="AP92" s="663"/>
      <c r="AQ92" s="663"/>
      <c r="AR92" s="270"/>
      <c r="AS92" s="270"/>
      <c r="AT92" s="270"/>
      <c r="AU92" s="270"/>
      <c r="AV92" s="270"/>
      <c r="AW92" s="270"/>
      <c r="AX92" s="270"/>
      <c r="AY92" s="270"/>
      <c r="AZ92" s="270"/>
      <c r="BA92" s="270">
        <f>IF(Table1[[#This Row],[Data de Início]]="","",YEAR(Table1[[#This Row],[Data de Início]]))</f>
        <v>2025</v>
      </c>
      <c r="BB92" s="270">
        <f>IF(Table1[[#This Row],[Data de Início]]="","",MONTH(Table1[[#This Row],[Data de Início]]))</f>
        <v>5</v>
      </c>
      <c r="BC92" s="270"/>
    </row>
    <row r="93" spans="2:55" ht="15" customHeight="1" x14ac:dyDescent="0.25">
      <c r="B93" s="470">
        <v>45796.295138888891</v>
      </c>
      <c r="C93" s="263">
        <v>45796.411111111112</v>
      </c>
      <c r="D93" s="264" cm="1">
        <f t="array" ref="D93">IFERROR(HorasUteisFabrica2Turnos(B93,C93), "")</f>
        <v>2.7833333333255723</v>
      </c>
      <c r="E93" s="265">
        <f t="shared" si="1"/>
        <v>914.01197605045286</v>
      </c>
      <c r="F93" s="265"/>
      <c r="G93" s="265"/>
      <c r="H93" s="265"/>
      <c r="I93" s="269" t="s">
        <v>91</v>
      </c>
      <c r="J93" s="267" t="s">
        <v>15</v>
      </c>
      <c r="K93" s="269">
        <v>2544</v>
      </c>
      <c r="L93" s="269" t="s">
        <v>211</v>
      </c>
      <c r="M93" s="270" t="str">
        <f>IFERROR(INDEX([1]Produtos!$C:$C,MATCH(L93,[1]Produtos!$B:$B,0)), "-")</f>
        <v>BODY SPLASH AURORA IMPERIAL</v>
      </c>
      <c r="N93" s="510">
        <f>IFERROR(INDEX([1]Produtos!$E:$E,MATCH(L93,[1]Produtos!$B:$B,0)), "-")</f>
        <v>220</v>
      </c>
      <c r="O93" s="270" t="str">
        <f>IFERROR(INDEX([1]Produtos!$F:$F,MATCH(L93,[1]Produtos!$B:$B,0)), "-")</f>
        <v>ml</v>
      </c>
      <c r="P93" s="270" t="str">
        <f>IFERROR(INDEX([1]Produtos!$G:$G,MATCH(L93,[1]Produtos!$B:$B,0)), "-")</f>
        <v>MISS RÔSE</v>
      </c>
      <c r="Q93" s="270" t="str">
        <f>IFERROR(INDEX([1]Produtos!$H:$H,MATCH(L93,[1]Produtos!$B:$B,0)), "-")</f>
        <v>PERFUMARIA</v>
      </c>
      <c r="R93" s="270" t="str">
        <f>IFERROR(INDEX([1]Produtos!$I:$I,MATCH(L93,[1]Produtos!$B:$B,0)), "-")</f>
        <v>BODY SPLASH</v>
      </c>
      <c r="S93" s="270" t="str">
        <f>IFERROR(INDEX([1]Produtos!$J:$J,MATCH(L93,[1]Produtos!$B:$B,0)), "-")</f>
        <v>LÍQUIDO</v>
      </c>
      <c r="T93" s="473"/>
      <c r="U93" s="270"/>
      <c r="V93" s="270"/>
      <c r="W93" s="270"/>
      <c r="X93" s="270"/>
      <c r="Y93" s="270"/>
      <c r="Z93" s="270"/>
      <c r="AA93" s="270"/>
      <c r="AB93" s="270"/>
      <c r="AC93" s="270"/>
      <c r="AD93" s="270"/>
      <c r="AE93" s="270"/>
      <c r="AF93" s="270"/>
      <c r="AG93" s="270"/>
      <c r="AH93" s="270"/>
      <c r="AI93" s="270"/>
      <c r="AJ93" s="270"/>
      <c r="AK93" s="270"/>
      <c r="AL93" s="270"/>
      <c r="AM93" s="663"/>
      <c r="AN93" s="663"/>
      <c r="AO93" s="708" t="str">
        <f>IF(OR(Table1[[#This Row],[Início Setup Envase]]="",Table1[[#This Row],[Final Setup Envase]]=""),"",Table1[[#This Row],[Final Setup Envase]]-Table1[[#This Row],[Início Setup Envase]])</f>
        <v/>
      </c>
      <c r="AP93" s="663"/>
      <c r="AQ93" s="663"/>
      <c r="AR93" s="270"/>
      <c r="AS93" s="270"/>
      <c r="AT93" s="270"/>
      <c r="AU93" s="270"/>
      <c r="AV93" s="270"/>
      <c r="AW93" s="270"/>
      <c r="AX93" s="270"/>
      <c r="AY93" s="270"/>
      <c r="AZ93" s="270"/>
      <c r="BA93" s="270">
        <f>IF(Table1[[#This Row],[Data de Início]]="","",YEAR(Table1[[#This Row],[Data de Início]]))</f>
        <v>2025</v>
      </c>
      <c r="BB93" s="270">
        <f>IF(Table1[[#This Row],[Data de Início]]="","",MONTH(Table1[[#This Row],[Data de Início]]))</f>
        <v>5</v>
      </c>
      <c r="BC93" s="270"/>
    </row>
    <row r="94" spans="2:55" ht="15" customHeight="1" x14ac:dyDescent="0.25">
      <c r="B94" s="470">
        <v>45796.411111111112</v>
      </c>
      <c r="C94" s="263">
        <v>45796.552083333336</v>
      </c>
      <c r="D94" s="264" cm="1">
        <f t="array" ref="D94">IFERROR(HorasUteisFabrica2Turnos(B94,C94), "")</f>
        <v>2.3833333333604969</v>
      </c>
      <c r="E94" s="265">
        <f t="shared" si="1"/>
        <v>1067.4125874004219</v>
      </c>
      <c r="F94" s="265"/>
      <c r="G94" s="265"/>
      <c r="H94" s="265"/>
      <c r="I94" s="269" t="s">
        <v>89</v>
      </c>
      <c r="J94" s="267" t="s">
        <v>15</v>
      </c>
      <c r="K94" s="269">
        <v>2544</v>
      </c>
      <c r="L94" s="269" t="s">
        <v>211</v>
      </c>
      <c r="M94" s="270" t="str">
        <f>IFERROR(INDEX([1]Produtos!$C:$C,MATCH(L94,[1]Produtos!$B:$B,0)), "-")</f>
        <v>BODY SPLASH AURORA IMPERIAL</v>
      </c>
      <c r="N94" s="510">
        <f>IFERROR(INDEX([1]Produtos!$E:$E,MATCH(L94,[1]Produtos!$B:$B,0)), "-")</f>
        <v>220</v>
      </c>
      <c r="O94" s="270" t="str">
        <f>IFERROR(INDEX([1]Produtos!$F:$F,MATCH(L94,[1]Produtos!$B:$B,0)), "-")</f>
        <v>ml</v>
      </c>
      <c r="P94" s="270" t="str">
        <f>IFERROR(INDEX([1]Produtos!$G:$G,MATCH(L94,[1]Produtos!$B:$B,0)), "-")</f>
        <v>MISS RÔSE</v>
      </c>
      <c r="Q94" s="270" t="str">
        <f>IFERROR(INDEX([1]Produtos!$H:$H,MATCH(L94,[1]Produtos!$B:$B,0)), "-")</f>
        <v>PERFUMARIA</v>
      </c>
      <c r="R94" s="270" t="str">
        <f>IFERROR(INDEX([1]Produtos!$I:$I,MATCH(L94,[1]Produtos!$B:$B,0)), "-")</f>
        <v>BODY SPLASH</v>
      </c>
      <c r="S94" s="270" t="str">
        <f>IFERROR(INDEX([1]Produtos!$J:$J,MATCH(L94,[1]Produtos!$B:$B,0)), "-")</f>
        <v>LÍQUIDO</v>
      </c>
      <c r="T94" s="473"/>
      <c r="U94" s="270"/>
      <c r="V94" s="270"/>
      <c r="W94" s="270"/>
      <c r="X94" s="270"/>
      <c r="Y94" s="270"/>
      <c r="Z94" s="270"/>
      <c r="AA94" s="270"/>
      <c r="AB94" s="270"/>
      <c r="AC94" s="270"/>
      <c r="AD94" s="270"/>
      <c r="AE94" s="270"/>
      <c r="AF94" s="270"/>
      <c r="AG94" s="270"/>
      <c r="AH94" s="270"/>
      <c r="AI94" s="270"/>
      <c r="AJ94" s="270"/>
      <c r="AK94" s="270"/>
      <c r="AL94" s="270"/>
      <c r="AM94" s="663"/>
      <c r="AN94" s="663"/>
      <c r="AO94" s="708" t="str">
        <f>IF(OR(Table1[[#This Row],[Início Setup Envase]]="",Table1[[#This Row],[Final Setup Envase]]=""),"",Table1[[#This Row],[Final Setup Envase]]-Table1[[#This Row],[Início Setup Envase]])</f>
        <v/>
      </c>
      <c r="AP94" s="663"/>
      <c r="AQ94" s="663"/>
      <c r="AR94" s="270"/>
      <c r="AS94" s="270"/>
      <c r="AT94" s="270"/>
      <c r="AU94" s="270"/>
      <c r="AV94" s="270"/>
      <c r="AW94" s="270"/>
      <c r="AX94" s="270"/>
      <c r="AY94" s="270"/>
      <c r="AZ94" s="270"/>
      <c r="BA94" s="270">
        <f>IF(Table1[[#This Row],[Data de Início]]="","",YEAR(Table1[[#This Row],[Data de Início]]))</f>
        <v>2025</v>
      </c>
      <c r="BB94" s="270">
        <f>IF(Table1[[#This Row],[Data de Início]]="","",MONTH(Table1[[#This Row],[Data de Início]]))</f>
        <v>5</v>
      </c>
      <c r="BC94" s="270"/>
    </row>
    <row r="95" spans="2:55" ht="15" customHeight="1" x14ac:dyDescent="0.25">
      <c r="B95" s="470">
        <v>45796.416666666664</v>
      </c>
      <c r="C95" s="263">
        <v>45796.541666666664</v>
      </c>
      <c r="D95" s="264" cm="1">
        <f t="array" ref="D95">IFERROR(HorasUteisFabrica2Turnos(B95,C95), "")</f>
        <v>3</v>
      </c>
      <c r="E95" s="265">
        <f t="shared" si="1"/>
        <v>452.33333333333331</v>
      </c>
      <c r="F95" s="265"/>
      <c r="G95" s="265"/>
      <c r="H95" s="265"/>
      <c r="I95" s="269" t="s">
        <v>52</v>
      </c>
      <c r="J95" s="267" t="s">
        <v>15</v>
      </c>
      <c r="K95" s="269">
        <v>1357</v>
      </c>
      <c r="L95" s="269" t="s">
        <v>212</v>
      </c>
      <c r="M95" s="270" t="str">
        <f>IFERROR(INDEX([1]Produtos!$C:$C,MATCH(L95,[1]Produtos!$B:$B,0)), "-")</f>
        <v>BODY SPLASH FORÇA DO LEAO</v>
      </c>
      <c r="N95" s="510">
        <f>IFERROR(INDEX([1]Produtos!$E:$E,MATCH(L95,[1]Produtos!$B:$B,0)), "-")</f>
        <v>220</v>
      </c>
      <c r="O95" s="270" t="str">
        <f>IFERROR(INDEX([1]Produtos!$F:$F,MATCH(L95,[1]Produtos!$B:$B,0)), "-")</f>
        <v>ml</v>
      </c>
      <c r="P95" s="270" t="str">
        <f>IFERROR(INDEX([1]Produtos!$G:$G,MATCH(L95,[1]Produtos!$B:$B,0)), "-")</f>
        <v>MISS RÔSE</v>
      </c>
      <c r="Q95" s="270" t="str">
        <f>IFERROR(INDEX([1]Produtos!$H:$H,MATCH(L95,[1]Produtos!$B:$B,0)), "-")</f>
        <v>PERFUMARIA</v>
      </c>
      <c r="R95" s="270" t="str">
        <f>IFERROR(INDEX([1]Produtos!$I:$I,MATCH(L95,[1]Produtos!$B:$B,0)), "-")</f>
        <v>BODY SPLASH</v>
      </c>
      <c r="S95" s="270" t="str">
        <f>IFERROR(INDEX([1]Produtos!$J:$J,MATCH(L95,[1]Produtos!$B:$B,0)), "-")</f>
        <v>LÍQUIDO</v>
      </c>
      <c r="T95" s="473"/>
      <c r="U95" s="270"/>
      <c r="V95" s="270"/>
      <c r="W95" s="270"/>
      <c r="X95" s="270"/>
      <c r="Y95" s="270"/>
      <c r="Z95" s="270"/>
      <c r="AA95" s="270"/>
      <c r="AB95" s="270"/>
      <c r="AC95" s="270"/>
      <c r="AD95" s="270"/>
      <c r="AE95" s="270"/>
      <c r="AF95" s="270"/>
      <c r="AG95" s="270"/>
      <c r="AH95" s="270"/>
      <c r="AI95" s="270"/>
      <c r="AJ95" s="270"/>
      <c r="AK95" s="270"/>
      <c r="AL95" s="270"/>
      <c r="AM95" s="663"/>
      <c r="AN95" s="663"/>
      <c r="AO95" s="708" t="str">
        <f>IF(OR(Table1[[#This Row],[Início Setup Envase]]="",Table1[[#This Row],[Final Setup Envase]]=""),"",Table1[[#This Row],[Final Setup Envase]]-Table1[[#This Row],[Início Setup Envase]])</f>
        <v/>
      </c>
      <c r="AP95" s="663"/>
      <c r="AQ95" s="663"/>
      <c r="AR95" s="270"/>
      <c r="AS95" s="270"/>
      <c r="AT95" s="270"/>
      <c r="AU95" s="270"/>
      <c r="AV95" s="270"/>
      <c r="AW95" s="270"/>
      <c r="AX95" s="270"/>
      <c r="AY95" s="270"/>
      <c r="AZ95" s="270"/>
      <c r="BA95" s="270">
        <f>IF(Table1[[#This Row],[Data de Início]]="","",YEAR(Table1[[#This Row],[Data de Início]]))</f>
        <v>2025</v>
      </c>
      <c r="BB95" s="270">
        <f>IF(Table1[[#This Row],[Data de Início]]="","",MONTH(Table1[[#This Row],[Data de Início]]))</f>
        <v>5</v>
      </c>
      <c r="BC95" s="270"/>
    </row>
    <row r="96" spans="2:55" ht="15" customHeight="1" x14ac:dyDescent="0.25">
      <c r="B96" s="470">
        <v>45796.552083333336</v>
      </c>
      <c r="C96" s="263">
        <v>45797.375</v>
      </c>
      <c r="D96" s="264" cm="1">
        <f t="array" ref="D96">IFERROR(HorasUteisFabrica2Turnos(B96,C96), "")</f>
        <v>5.7500000000582077</v>
      </c>
      <c r="E96" s="265">
        <f t="shared" si="1"/>
        <v>667.82608694976125</v>
      </c>
      <c r="F96" s="265"/>
      <c r="G96" s="265"/>
      <c r="H96" s="265"/>
      <c r="I96" s="269" t="s">
        <v>90</v>
      </c>
      <c r="J96" s="267" t="s">
        <v>15</v>
      </c>
      <c r="K96" s="269">
        <v>3840</v>
      </c>
      <c r="L96" s="269" t="s">
        <v>211</v>
      </c>
      <c r="M96" s="270" t="str">
        <f>IFERROR(INDEX([1]Produtos!$C:$C,MATCH(L96,[1]Produtos!$B:$B,0)), "-")</f>
        <v>BODY SPLASH AURORA IMPERIAL</v>
      </c>
      <c r="N96" s="510">
        <f>IFERROR(INDEX([1]Produtos!$E:$E,MATCH(L96,[1]Produtos!$B:$B,0)), "-")</f>
        <v>220</v>
      </c>
      <c r="O96" s="270" t="str">
        <f>IFERROR(INDEX([1]Produtos!$F:$F,MATCH(L96,[1]Produtos!$B:$B,0)), "-")</f>
        <v>ml</v>
      </c>
      <c r="P96" s="270" t="str">
        <f>IFERROR(INDEX([1]Produtos!$G:$G,MATCH(L96,[1]Produtos!$B:$B,0)), "-")</f>
        <v>MISS RÔSE</v>
      </c>
      <c r="Q96" s="270" t="str">
        <f>IFERROR(INDEX([1]Produtos!$H:$H,MATCH(L96,[1]Produtos!$B:$B,0)), "-")</f>
        <v>PERFUMARIA</v>
      </c>
      <c r="R96" s="270" t="str">
        <f>IFERROR(INDEX([1]Produtos!$I:$I,MATCH(L96,[1]Produtos!$B:$B,0)), "-")</f>
        <v>BODY SPLASH</v>
      </c>
      <c r="S96" s="270" t="str">
        <f>IFERROR(INDEX([1]Produtos!$J:$J,MATCH(L96,[1]Produtos!$B:$B,0)), "-")</f>
        <v>LÍQUIDO</v>
      </c>
      <c r="T96" s="473"/>
      <c r="U96" s="270"/>
      <c r="V96" s="270"/>
      <c r="W96" s="270"/>
      <c r="X96" s="270"/>
      <c r="Y96" s="270"/>
      <c r="Z96" s="270"/>
      <c r="AA96" s="270"/>
      <c r="AB96" s="270"/>
      <c r="AC96" s="270"/>
      <c r="AD96" s="270"/>
      <c r="AE96" s="270"/>
      <c r="AF96" s="270"/>
      <c r="AG96" s="270"/>
      <c r="AH96" s="270"/>
      <c r="AI96" s="270"/>
      <c r="AJ96" s="270"/>
      <c r="AK96" s="270"/>
      <c r="AL96" s="270"/>
      <c r="AM96" s="663"/>
      <c r="AN96" s="663"/>
      <c r="AO96" s="708" t="str">
        <f>IF(OR(Table1[[#This Row],[Início Setup Envase]]="",Table1[[#This Row],[Final Setup Envase]]=""),"",Table1[[#This Row],[Final Setup Envase]]-Table1[[#This Row],[Início Setup Envase]])</f>
        <v/>
      </c>
      <c r="AP96" s="663"/>
      <c r="AQ96" s="663"/>
      <c r="AR96" s="270"/>
      <c r="AS96" s="270"/>
      <c r="AT96" s="270"/>
      <c r="AU96" s="270"/>
      <c r="AV96" s="270"/>
      <c r="AW96" s="270"/>
      <c r="AX96" s="270"/>
      <c r="AY96" s="270"/>
      <c r="AZ96" s="270"/>
      <c r="BA96" s="270">
        <f>IF(Table1[[#This Row],[Data de Início]]="","",YEAR(Table1[[#This Row],[Data de Início]]))</f>
        <v>2025</v>
      </c>
      <c r="BB96" s="270">
        <f>IF(Table1[[#This Row],[Data de Início]]="","",MONTH(Table1[[#This Row],[Data de Início]]))</f>
        <v>5</v>
      </c>
      <c r="BC96" s="270"/>
    </row>
    <row r="97" spans="2:55" ht="15" customHeight="1" x14ac:dyDescent="0.25">
      <c r="B97" s="470">
        <v>45797.375</v>
      </c>
      <c r="C97" s="263">
        <v>45797.4375</v>
      </c>
      <c r="D97" s="264" cm="1">
        <f t="array" ref="D97">IFERROR(HorasUteisFabrica2Turnos(B97,C97), "")</f>
        <v>1.5</v>
      </c>
      <c r="E97" s="265">
        <f t="shared" si="1"/>
        <v>1696</v>
      </c>
      <c r="F97" s="265"/>
      <c r="G97" s="265"/>
      <c r="H97" s="265"/>
      <c r="I97" s="269" t="s">
        <v>86</v>
      </c>
      <c r="J97" s="267" t="s">
        <v>15</v>
      </c>
      <c r="K97" s="269">
        <v>2544</v>
      </c>
      <c r="L97" s="269" t="s">
        <v>214</v>
      </c>
      <c r="M97" s="270" t="str">
        <f>IFERROR(INDEX([1]Produtos!$C:$C,MATCH(L97,[1]Produtos!$B:$B,0)), "-")</f>
        <v>BODY SPLASH ECLIPSE DOURADO</v>
      </c>
      <c r="N97" s="510">
        <f>IFERROR(INDEX([1]Produtos!$E:$E,MATCH(L97,[1]Produtos!$B:$B,0)), "-")</f>
        <v>220</v>
      </c>
      <c r="O97" s="270" t="str">
        <f>IFERROR(INDEX([1]Produtos!$F:$F,MATCH(L97,[1]Produtos!$B:$B,0)), "-")</f>
        <v>ml</v>
      </c>
      <c r="P97" s="270" t="str">
        <f>IFERROR(INDEX([1]Produtos!$G:$G,MATCH(L97,[1]Produtos!$B:$B,0)), "-")</f>
        <v>MISS RÔSE</v>
      </c>
      <c r="Q97" s="270" t="str">
        <f>IFERROR(INDEX([1]Produtos!$H:$H,MATCH(L97,[1]Produtos!$B:$B,0)), "-")</f>
        <v>PERFUMARIA</v>
      </c>
      <c r="R97" s="270" t="str">
        <f>IFERROR(INDEX([1]Produtos!$I:$I,MATCH(L97,[1]Produtos!$B:$B,0)), "-")</f>
        <v>BODY SPLASH</v>
      </c>
      <c r="S97" s="270" t="str">
        <f>IFERROR(INDEX([1]Produtos!$J:$J,MATCH(L97,[1]Produtos!$B:$B,0)), "-")</f>
        <v>LÍQUIDO</v>
      </c>
      <c r="T97" s="473"/>
      <c r="U97" s="270"/>
      <c r="V97" s="270"/>
      <c r="W97" s="270"/>
      <c r="X97" s="270"/>
      <c r="Y97" s="270"/>
      <c r="Z97" s="270"/>
      <c r="AA97" s="270"/>
      <c r="AB97" s="270"/>
      <c r="AC97" s="270"/>
      <c r="AD97" s="270"/>
      <c r="AE97" s="270"/>
      <c r="AF97" s="270"/>
      <c r="AG97" s="270"/>
      <c r="AH97" s="270"/>
      <c r="AI97" s="270"/>
      <c r="AJ97" s="270"/>
      <c r="AK97" s="270"/>
      <c r="AL97" s="270"/>
      <c r="AM97" s="663"/>
      <c r="AN97" s="663"/>
      <c r="AO97" s="708" t="str">
        <f>IF(OR(Table1[[#This Row],[Início Setup Envase]]="",Table1[[#This Row],[Final Setup Envase]]=""),"",Table1[[#This Row],[Final Setup Envase]]-Table1[[#This Row],[Início Setup Envase]])</f>
        <v/>
      </c>
      <c r="AP97" s="663"/>
      <c r="AQ97" s="663"/>
      <c r="AR97" s="270"/>
      <c r="AS97" s="270"/>
      <c r="AT97" s="270"/>
      <c r="AU97" s="270"/>
      <c r="AV97" s="270"/>
      <c r="AW97" s="270"/>
      <c r="AX97" s="270"/>
      <c r="AY97" s="270"/>
      <c r="AZ97" s="270"/>
      <c r="BA97" s="270">
        <f>IF(Table1[[#This Row],[Data de Início]]="","",YEAR(Table1[[#This Row],[Data de Início]]))</f>
        <v>2025</v>
      </c>
      <c r="BB97" s="270">
        <f>IF(Table1[[#This Row],[Data de Início]]="","",MONTH(Table1[[#This Row],[Data de Início]]))</f>
        <v>5</v>
      </c>
      <c r="BC97" s="270"/>
    </row>
    <row r="98" spans="2:55" ht="15" customHeight="1" x14ac:dyDescent="0.25">
      <c r="B98" s="470">
        <v>45797.4375</v>
      </c>
      <c r="C98" s="263">
        <v>45797.618750000001</v>
      </c>
      <c r="D98" s="264" cm="1">
        <f t="array" ref="D98">IFERROR(HorasUteisFabrica2Turnos(B98,C98), "")</f>
        <v>3.3500000000349246</v>
      </c>
      <c r="E98" s="265">
        <f t="shared" si="1"/>
        <v>759.4029850667099</v>
      </c>
      <c r="F98" s="265"/>
      <c r="G98" s="265"/>
      <c r="H98" s="265"/>
      <c r="I98" s="269" t="s">
        <v>85</v>
      </c>
      <c r="J98" s="267" t="s">
        <v>15</v>
      </c>
      <c r="K98" s="269">
        <v>2544</v>
      </c>
      <c r="L98" s="269" t="s">
        <v>214</v>
      </c>
      <c r="M98" s="270" t="str">
        <f>IFERROR(INDEX([1]Produtos!$C:$C,MATCH(L98,[1]Produtos!$B:$B,0)), "-")</f>
        <v>BODY SPLASH ECLIPSE DOURADO</v>
      </c>
      <c r="N98" s="510">
        <f>IFERROR(INDEX([1]Produtos!$E:$E,MATCH(L98,[1]Produtos!$B:$B,0)), "-")</f>
        <v>220</v>
      </c>
      <c r="O98" s="270" t="str">
        <f>IFERROR(INDEX([1]Produtos!$F:$F,MATCH(L98,[1]Produtos!$B:$B,0)), "-")</f>
        <v>ml</v>
      </c>
      <c r="P98" s="270" t="str">
        <f>IFERROR(INDEX([1]Produtos!$G:$G,MATCH(L98,[1]Produtos!$B:$B,0)), "-")</f>
        <v>MISS RÔSE</v>
      </c>
      <c r="Q98" s="270" t="str">
        <f>IFERROR(INDEX([1]Produtos!$H:$H,MATCH(L98,[1]Produtos!$B:$B,0)), "-")</f>
        <v>PERFUMARIA</v>
      </c>
      <c r="R98" s="270" t="str">
        <f>IFERROR(INDEX([1]Produtos!$I:$I,MATCH(L98,[1]Produtos!$B:$B,0)), "-")</f>
        <v>BODY SPLASH</v>
      </c>
      <c r="S98" s="270" t="str">
        <f>IFERROR(INDEX([1]Produtos!$J:$J,MATCH(L98,[1]Produtos!$B:$B,0)), "-")</f>
        <v>LÍQUIDO</v>
      </c>
      <c r="T98" s="473"/>
      <c r="U98" s="270"/>
      <c r="V98" s="270"/>
      <c r="W98" s="270"/>
      <c r="X98" s="270"/>
      <c r="Y98" s="270"/>
      <c r="Z98" s="270"/>
      <c r="AA98" s="270"/>
      <c r="AB98" s="270"/>
      <c r="AC98" s="270"/>
      <c r="AD98" s="270"/>
      <c r="AE98" s="270"/>
      <c r="AF98" s="270"/>
      <c r="AG98" s="270"/>
      <c r="AH98" s="270"/>
      <c r="AI98" s="270"/>
      <c r="AJ98" s="270"/>
      <c r="AK98" s="270"/>
      <c r="AL98" s="270"/>
      <c r="AM98" s="663"/>
      <c r="AN98" s="663"/>
      <c r="AO98" s="708" t="str">
        <f>IF(OR(Table1[[#This Row],[Início Setup Envase]]="",Table1[[#This Row],[Final Setup Envase]]=""),"",Table1[[#This Row],[Final Setup Envase]]-Table1[[#This Row],[Início Setup Envase]])</f>
        <v/>
      </c>
      <c r="AP98" s="663"/>
      <c r="AQ98" s="663"/>
      <c r="AR98" s="270"/>
      <c r="AS98" s="270"/>
      <c r="AT98" s="270"/>
      <c r="AU98" s="270"/>
      <c r="AV98" s="270"/>
      <c r="AW98" s="270"/>
      <c r="AX98" s="270"/>
      <c r="AY98" s="270"/>
      <c r="AZ98" s="270"/>
      <c r="BA98" s="270">
        <f>IF(Table1[[#This Row],[Data de Início]]="","",YEAR(Table1[[#This Row],[Data de Início]]))</f>
        <v>2025</v>
      </c>
      <c r="BB98" s="270">
        <f>IF(Table1[[#This Row],[Data de Início]]="","",MONTH(Table1[[#This Row],[Data de Início]]))</f>
        <v>5</v>
      </c>
      <c r="BC98" s="270"/>
    </row>
    <row r="99" spans="2:55" ht="15" customHeight="1" x14ac:dyDescent="0.25">
      <c r="B99" s="470">
        <v>45797.618750000001</v>
      </c>
      <c r="C99" s="263">
        <v>45798.330555555556</v>
      </c>
      <c r="D99" s="264" cm="1">
        <f t="array" ref="D99">IFERROR(HorasUteisFabrica2Turnos(B99,C99), "")</f>
        <v>3.0833333334303461</v>
      </c>
      <c r="E99" s="265">
        <f t="shared" si="1"/>
        <v>825.0810810551211</v>
      </c>
      <c r="F99" s="265"/>
      <c r="G99" s="265"/>
      <c r="H99" s="265"/>
      <c r="I99" s="269" t="s">
        <v>87</v>
      </c>
      <c r="J99" s="267" t="s">
        <v>15</v>
      </c>
      <c r="K99" s="269">
        <v>2544</v>
      </c>
      <c r="L99" s="269" t="s">
        <v>214</v>
      </c>
      <c r="M99" s="270" t="str">
        <f>IFERROR(INDEX([1]Produtos!$C:$C,MATCH(L99,[1]Produtos!$B:$B,0)), "-")</f>
        <v>BODY SPLASH ECLIPSE DOURADO</v>
      </c>
      <c r="N99" s="510">
        <f>IFERROR(INDEX([1]Produtos!$E:$E,MATCH(L99,[1]Produtos!$B:$B,0)), "-")</f>
        <v>220</v>
      </c>
      <c r="O99" s="270" t="str">
        <f>IFERROR(INDEX([1]Produtos!$F:$F,MATCH(L99,[1]Produtos!$B:$B,0)), "-")</f>
        <v>ml</v>
      </c>
      <c r="P99" s="270" t="str">
        <f>IFERROR(INDEX([1]Produtos!$G:$G,MATCH(L99,[1]Produtos!$B:$B,0)), "-")</f>
        <v>MISS RÔSE</v>
      </c>
      <c r="Q99" s="270" t="str">
        <f>IFERROR(INDEX([1]Produtos!$H:$H,MATCH(L99,[1]Produtos!$B:$B,0)), "-")</f>
        <v>PERFUMARIA</v>
      </c>
      <c r="R99" s="270" t="str">
        <f>IFERROR(INDEX([1]Produtos!$I:$I,MATCH(L99,[1]Produtos!$B:$B,0)), "-")</f>
        <v>BODY SPLASH</v>
      </c>
      <c r="S99" s="270" t="str">
        <f>IFERROR(INDEX([1]Produtos!$J:$J,MATCH(L99,[1]Produtos!$B:$B,0)), "-")</f>
        <v>LÍQUIDO</v>
      </c>
      <c r="T99" s="473"/>
      <c r="U99" s="270"/>
      <c r="V99" s="270"/>
      <c r="W99" s="270"/>
      <c r="X99" s="270"/>
      <c r="Y99" s="270"/>
      <c r="Z99" s="270"/>
      <c r="AA99" s="270"/>
      <c r="AB99" s="270"/>
      <c r="AC99" s="270"/>
      <c r="AD99" s="270"/>
      <c r="AE99" s="270"/>
      <c r="AF99" s="270"/>
      <c r="AG99" s="270"/>
      <c r="AH99" s="270"/>
      <c r="AI99" s="270"/>
      <c r="AJ99" s="270"/>
      <c r="AK99" s="270"/>
      <c r="AL99" s="270"/>
      <c r="AM99" s="663"/>
      <c r="AN99" s="663"/>
      <c r="AO99" s="708" t="str">
        <f>IF(OR(Table1[[#This Row],[Início Setup Envase]]="",Table1[[#This Row],[Final Setup Envase]]=""),"",Table1[[#This Row],[Final Setup Envase]]-Table1[[#This Row],[Início Setup Envase]])</f>
        <v/>
      </c>
      <c r="AP99" s="663"/>
      <c r="AQ99" s="663"/>
      <c r="AR99" s="270"/>
      <c r="AS99" s="270"/>
      <c r="AT99" s="270"/>
      <c r="AU99" s="270"/>
      <c r="AV99" s="270"/>
      <c r="AW99" s="270"/>
      <c r="AX99" s="270"/>
      <c r="AY99" s="270"/>
      <c r="AZ99" s="270"/>
      <c r="BA99" s="270">
        <f>IF(Table1[[#This Row],[Data de Início]]="","",YEAR(Table1[[#This Row],[Data de Início]]))</f>
        <v>2025</v>
      </c>
      <c r="BB99" s="270">
        <f>IF(Table1[[#This Row],[Data de Início]]="","",MONTH(Table1[[#This Row],[Data de Início]]))</f>
        <v>5</v>
      </c>
      <c r="BC99" s="270"/>
    </row>
    <row r="100" spans="2:55" ht="15" customHeight="1" x14ac:dyDescent="0.25">
      <c r="B100" s="470">
        <v>45798.330555555556</v>
      </c>
      <c r="C100" s="263">
        <v>45798.427083333336</v>
      </c>
      <c r="D100" s="264" cm="1">
        <f t="array" ref="D100">IFERROR(HorasUteisFabrica2Turnos(B100,C100), "")</f>
        <v>2.3166666667093523</v>
      </c>
      <c r="E100" s="265">
        <f t="shared" si="1"/>
        <v>1284.6043165230931</v>
      </c>
      <c r="F100" s="265"/>
      <c r="G100" s="265"/>
      <c r="H100" s="265"/>
      <c r="I100" s="269" t="s">
        <v>84</v>
      </c>
      <c r="J100" s="267" t="s">
        <v>15</v>
      </c>
      <c r="K100" s="268">
        <v>2976</v>
      </c>
      <c r="L100" s="269" t="s">
        <v>214</v>
      </c>
      <c r="M100" s="270" t="str">
        <f>IFERROR(INDEX([1]Produtos!$C:$C,MATCH(L100,[1]Produtos!$B:$B,0)), "-")</f>
        <v>BODY SPLASH ECLIPSE DOURADO</v>
      </c>
      <c r="N100" s="510">
        <f>IFERROR(INDEX([1]Produtos!$E:$E,MATCH(L100,[1]Produtos!$B:$B,0)), "-")</f>
        <v>220</v>
      </c>
      <c r="O100" s="270" t="str">
        <f>IFERROR(INDEX([1]Produtos!$F:$F,MATCH(L100,[1]Produtos!$B:$B,0)), "-")</f>
        <v>ml</v>
      </c>
      <c r="P100" s="270" t="str">
        <f>IFERROR(INDEX([1]Produtos!$G:$G,MATCH(L100,[1]Produtos!$B:$B,0)), "-")</f>
        <v>MISS RÔSE</v>
      </c>
      <c r="Q100" s="270" t="str">
        <f>IFERROR(INDEX([1]Produtos!$H:$H,MATCH(L100,[1]Produtos!$B:$B,0)), "-")</f>
        <v>PERFUMARIA</v>
      </c>
      <c r="R100" s="270" t="str">
        <f>IFERROR(INDEX([1]Produtos!$I:$I,MATCH(L100,[1]Produtos!$B:$B,0)), "-")</f>
        <v>BODY SPLASH</v>
      </c>
      <c r="S100" s="270" t="str">
        <f>IFERROR(INDEX([1]Produtos!$J:$J,MATCH(L100,[1]Produtos!$B:$B,0)), "-")</f>
        <v>LÍQUIDO</v>
      </c>
      <c r="T100" s="473"/>
      <c r="U100" s="270"/>
      <c r="V100" s="270"/>
      <c r="W100" s="270"/>
      <c r="X100" s="270"/>
      <c r="Y100" s="270"/>
      <c r="Z100" s="270"/>
      <c r="AA100" s="270"/>
      <c r="AB100" s="270"/>
      <c r="AC100" s="270"/>
      <c r="AD100" s="270"/>
      <c r="AE100" s="270"/>
      <c r="AF100" s="270"/>
      <c r="AG100" s="270"/>
      <c r="AH100" s="270"/>
      <c r="AI100" s="270"/>
      <c r="AJ100" s="270"/>
      <c r="AK100" s="270"/>
      <c r="AL100" s="270"/>
      <c r="AM100" s="663"/>
      <c r="AN100" s="663"/>
      <c r="AO100" s="708" t="str">
        <f>IF(OR(Table1[[#This Row],[Início Setup Envase]]="",Table1[[#This Row],[Final Setup Envase]]=""),"",Table1[[#This Row],[Final Setup Envase]]-Table1[[#This Row],[Início Setup Envase]])</f>
        <v/>
      </c>
      <c r="AP100" s="663"/>
      <c r="AQ100" s="663"/>
      <c r="AR100" s="270"/>
      <c r="AS100" s="270"/>
      <c r="AT100" s="270"/>
      <c r="AU100" s="270"/>
      <c r="AV100" s="270"/>
      <c r="AW100" s="270"/>
      <c r="AX100" s="270"/>
      <c r="AY100" s="270"/>
      <c r="AZ100" s="270"/>
      <c r="BA100" s="270">
        <f>IF(Table1[[#This Row],[Data de Início]]="","",YEAR(Table1[[#This Row],[Data de Início]]))</f>
        <v>2025</v>
      </c>
      <c r="BB100" s="270">
        <f>IF(Table1[[#This Row],[Data de Início]]="","",MONTH(Table1[[#This Row],[Data de Início]]))</f>
        <v>5</v>
      </c>
      <c r="BC100" s="270"/>
    </row>
    <row r="101" spans="2:55" ht="15" customHeight="1" x14ac:dyDescent="0.25">
      <c r="B101" s="470">
        <v>45798.427083333336</v>
      </c>
      <c r="C101" s="263">
        <v>45798.666666666664</v>
      </c>
      <c r="D101" s="264" cm="1">
        <f t="array" ref="D101">IFERROR(HorasUteisFabrica2Turnos(B101,C101), "")</f>
        <v>4.7499999998835847</v>
      </c>
      <c r="E101" s="265">
        <f t="shared" si="1"/>
        <v>485.05263159083529</v>
      </c>
      <c r="F101" s="265"/>
      <c r="G101" s="265"/>
      <c r="H101" s="265"/>
      <c r="I101" s="266" t="s">
        <v>78</v>
      </c>
      <c r="J101" s="267" t="s">
        <v>15</v>
      </c>
      <c r="K101" s="268">
        <v>2304</v>
      </c>
      <c r="L101" s="269" t="s">
        <v>212</v>
      </c>
      <c r="M101" s="270" t="str">
        <f>IFERROR(INDEX([1]Produtos!$C:$C,MATCH(L101,[1]Produtos!$B:$B,0)), "-")</f>
        <v>BODY SPLASH FORÇA DO LEAO</v>
      </c>
      <c r="N101" s="510">
        <f>IFERROR(INDEX([1]Produtos!$E:$E,MATCH(L101,[1]Produtos!$B:$B,0)), "-")</f>
        <v>220</v>
      </c>
      <c r="O101" s="270" t="str">
        <f>IFERROR(INDEX([1]Produtos!$F:$F,MATCH(L101,[1]Produtos!$B:$B,0)), "-")</f>
        <v>ml</v>
      </c>
      <c r="P101" s="270" t="str">
        <f>IFERROR(INDEX([1]Produtos!$G:$G,MATCH(L101,[1]Produtos!$B:$B,0)), "-")</f>
        <v>MISS RÔSE</v>
      </c>
      <c r="Q101" s="270" t="str">
        <f>IFERROR(INDEX([1]Produtos!$H:$H,MATCH(L101,[1]Produtos!$B:$B,0)), "-")</f>
        <v>PERFUMARIA</v>
      </c>
      <c r="R101" s="270" t="str">
        <f>IFERROR(INDEX([1]Produtos!$I:$I,MATCH(L101,[1]Produtos!$B:$B,0)), "-")</f>
        <v>BODY SPLASH</v>
      </c>
      <c r="S101" s="270" t="str">
        <f>IFERROR(INDEX([1]Produtos!$J:$J,MATCH(L101,[1]Produtos!$B:$B,0)), "-")</f>
        <v>LÍQUIDO</v>
      </c>
      <c r="T101" s="473"/>
      <c r="U101" s="270"/>
      <c r="V101" s="270"/>
      <c r="W101" s="270"/>
      <c r="X101" s="270"/>
      <c r="Y101" s="270"/>
      <c r="Z101" s="270"/>
      <c r="AA101" s="270"/>
      <c r="AB101" s="270"/>
      <c r="AC101" s="270"/>
      <c r="AD101" s="270"/>
      <c r="AE101" s="270"/>
      <c r="AF101" s="270"/>
      <c r="AG101" s="270"/>
      <c r="AH101" s="270"/>
      <c r="AI101" s="270"/>
      <c r="AJ101" s="270"/>
      <c r="AK101" s="270"/>
      <c r="AL101" s="270"/>
      <c r="AM101" s="663"/>
      <c r="AN101" s="663"/>
      <c r="AO101" s="708" t="str">
        <f>IF(OR(Table1[[#This Row],[Início Setup Envase]]="",Table1[[#This Row],[Final Setup Envase]]=""),"",Table1[[#This Row],[Final Setup Envase]]-Table1[[#This Row],[Início Setup Envase]])</f>
        <v/>
      </c>
      <c r="AP101" s="663"/>
      <c r="AQ101" s="663"/>
      <c r="AR101" s="270"/>
      <c r="AS101" s="270"/>
      <c r="AT101" s="270"/>
      <c r="AU101" s="270"/>
      <c r="AV101" s="270"/>
      <c r="AW101" s="270"/>
      <c r="AX101" s="270"/>
      <c r="AY101" s="270"/>
      <c r="AZ101" s="270"/>
      <c r="BA101" s="270">
        <f>IF(Table1[[#This Row],[Data de Início]]="","",YEAR(Table1[[#This Row],[Data de Início]]))</f>
        <v>2025</v>
      </c>
      <c r="BB101" s="270">
        <f>IF(Table1[[#This Row],[Data de Início]]="","",MONTH(Table1[[#This Row],[Data de Início]]))</f>
        <v>5</v>
      </c>
      <c r="BC101" s="270"/>
    </row>
    <row r="102" spans="2:55" ht="15" customHeight="1" x14ac:dyDescent="0.25">
      <c r="B102" s="470">
        <v>45798.666666666664</v>
      </c>
      <c r="C102" s="263">
        <v>45799.401388888888</v>
      </c>
      <c r="D102" s="264" cm="1">
        <f t="array" ref="D102">IFERROR(HorasUteisFabrica2Turnos(B102,C102), "")</f>
        <v>3.6333333334769122</v>
      </c>
      <c r="E102" s="265">
        <f t="shared" si="1"/>
        <v>753.02752290602234</v>
      </c>
      <c r="F102" s="265"/>
      <c r="G102" s="265"/>
      <c r="H102" s="265"/>
      <c r="I102" s="266" t="s">
        <v>79</v>
      </c>
      <c r="J102" s="267" t="s">
        <v>15</v>
      </c>
      <c r="K102" s="268">
        <v>2736</v>
      </c>
      <c r="L102" s="269" t="s">
        <v>212</v>
      </c>
      <c r="M102" s="270" t="str">
        <f>IFERROR(INDEX([1]Produtos!$C:$C,MATCH(L102,[1]Produtos!$B:$B,0)), "-")</f>
        <v>BODY SPLASH FORÇA DO LEAO</v>
      </c>
      <c r="N102" s="510">
        <f>IFERROR(INDEX([1]Produtos!$E:$E,MATCH(L102,[1]Produtos!$B:$B,0)), "-")</f>
        <v>220</v>
      </c>
      <c r="O102" s="270" t="str">
        <f>IFERROR(INDEX([1]Produtos!$F:$F,MATCH(L102,[1]Produtos!$B:$B,0)), "-")</f>
        <v>ml</v>
      </c>
      <c r="P102" s="270" t="str">
        <f>IFERROR(INDEX([1]Produtos!$G:$G,MATCH(L102,[1]Produtos!$B:$B,0)), "-")</f>
        <v>MISS RÔSE</v>
      </c>
      <c r="Q102" s="270" t="str">
        <f>IFERROR(INDEX([1]Produtos!$H:$H,MATCH(L102,[1]Produtos!$B:$B,0)), "-")</f>
        <v>PERFUMARIA</v>
      </c>
      <c r="R102" s="270" t="str">
        <f>IFERROR(INDEX([1]Produtos!$I:$I,MATCH(L102,[1]Produtos!$B:$B,0)), "-")</f>
        <v>BODY SPLASH</v>
      </c>
      <c r="S102" s="270" t="str">
        <f>IFERROR(INDEX([1]Produtos!$J:$J,MATCH(L102,[1]Produtos!$B:$B,0)), "-")</f>
        <v>LÍQUIDO</v>
      </c>
      <c r="T102" s="473"/>
      <c r="U102" s="270"/>
      <c r="V102" s="270"/>
      <c r="W102" s="270"/>
      <c r="X102" s="270"/>
      <c r="Y102" s="270"/>
      <c r="Z102" s="270"/>
      <c r="AA102" s="270"/>
      <c r="AB102" s="270"/>
      <c r="AC102" s="270"/>
      <c r="AD102" s="270"/>
      <c r="AE102" s="270"/>
      <c r="AF102" s="270"/>
      <c r="AG102" s="270"/>
      <c r="AH102" s="270"/>
      <c r="AI102" s="270"/>
      <c r="AJ102" s="270"/>
      <c r="AK102" s="270"/>
      <c r="AL102" s="270"/>
      <c r="AM102" s="663"/>
      <c r="AN102" s="663"/>
      <c r="AO102" s="708" t="str">
        <f>IF(OR(Table1[[#This Row],[Início Setup Envase]]="",Table1[[#This Row],[Final Setup Envase]]=""),"",Table1[[#This Row],[Final Setup Envase]]-Table1[[#This Row],[Início Setup Envase]])</f>
        <v/>
      </c>
      <c r="AP102" s="663"/>
      <c r="AQ102" s="663"/>
      <c r="AR102" s="270"/>
      <c r="AS102" s="270"/>
      <c r="AT102" s="270"/>
      <c r="AU102" s="270"/>
      <c r="AV102" s="270"/>
      <c r="AW102" s="270"/>
      <c r="AX102" s="270"/>
      <c r="AY102" s="270"/>
      <c r="AZ102" s="270"/>
      <c r="BA102" s="270">
        <f>IF(Table1[[#This Row],[Data de Início]]="","",YEAR(Table1[[#This Row],[Data de Início]]))</f>
        <v>2025</v>
      </c>
      <c r="BB102" s="270">
        <f>IF(Table1[[#This Row],[Data de Início]]="","",MONTH(Table1[[#This Row],[Data de Início]]))</f>
        <v>5</v>
      </c>
      <c r="BC102" s="270"/>
    </row>
    <row r="103" spans="2:55" ht="15" customHeight="1" x14ac:dyDescent="0.25">
      <c r="B103" s="470">
        <v>45799.401388888888</v>
      </c>
      <c r="C103" s="263">
        <v>45799.563888888886</v>
      </c>
      <c r="D103" s="264" cm="1">
        <f t="array" ref="D103">IFERROR(HorasUteisFabrica2Turnos(B103,C103), "")</f>
        <v>2.8999999999650754</v>
      </c>
      <c r="E103" s="265">
        <f t="shared" si="1"/>
        <v>877.24137932090946</v>
      </c>
      <c r="F103" s="265"/>
      <c r="G103" s="265"/>
      <c r="H103" s="265"/>
      <c r="I103" s="266" t="s">
        <v>80</v>
      </c>
      <c r="J103" s="267" t="s">
        <v>15</v>
      </c>
      <c r="K103" s="268">
        <v>2544</v>
      </c>
      <c r="L103" s="269" t="s">
        <v>212</v>
      </c>
      <c r="M103" s="270" t="str">
        <f>IFERROR(INDEX([1]Produtos!$C:$C,MATCH(L103,[1]Produtos!$B:$B,0)), "-")</f>
        <v>BODY SPLASH FORÇA DO LEAO</v>
      </c>
      <c r="N103" s="510">
        <f>IFERROR(INDEX([1]Produtos!$E:$E,MATCH(L103,[1]Produtos!$B:$B,0)), "-")</f>
        <v>220</v>
      </c>
      <c r="O103" s="270" t="str">
        <f>IFERROR(INDEX([1]Produtos!$F:$F,MATCH(L103,[1]Produtos!$B:$B,0)), "-")</f>
        <v>ml</v>
      </c>
      <c r="P103" s="270" t="str">
        <f>IFERROR(INDEX([1]Produtos!$G:$G,MATCH(L103,[1]Produtos!$B:$B,0)), "-")</f>
        <v>MISS RÔSE</v>
      </c>
      <c r="Q103" s="270" t="str">
        <f>IFERROR(INDEX([1]Produtos!$H:$H,MATCH(L103,[1]Produtos!$B:$B,0)), "-")</f>
        <v>PERFUMARIA</v>
      </c>
      <c r="R103" s="270" t="str">
        <f>IFERROR(INDEX([1]Produtos!$I:$I,MATCH(L103,[1]Produtos!$B:$B,0)), "-")</f>
        <v>BODY SPLASH</v>
      </c>
      <c r="S103" s="270" t="str">
        <f>IFERROR(INDEX([1]Produtos!$J:$J,MATCH(L103,[1]Produtos!$B:$B,0)), "-")</f>
        <v>LÍQUIDO</v>
      </c>
      <c r="T103" s="473"/>
      <c r="U103" s="270"/>
      <c r="V103" s="270"/>
      <c r="W103" s="270"/>
      <c r="X103" s="270"/>
      <c r="Y103" s="270"/>
      <c r="Z103" s="270"/>
      <c r="AA103" s="270"/>
      <c r="AB103" s="270"/>
      <c r="AC103" s="270"/>
      <c r="AD103" s="270"/>
      <c r="AE103" s="270"/>
      <c r="AF103" s="270"/>
      <c r="AG103" s="270"/>
      <c r="AH103" s="270"/>
      <c r="AI103" s="270"/>
      <c r="AJ103" s="270"/>
      <c r="AK103" s="270"/>
      <c r="AL103" s="270"/>
      <c r="AM103" s="663"/>
      <c r="AN103" s="663"/>
      <c r="AO103" s="708" t="str">
        <f>IF(OR(Table1[[#This Row],[Início Setup Envase]]="",Table1[[#This Row],[Final Setup Envase]]=""),"",Table1[[#This Row],[Final Setup Envase]]-Table1[[#This Row],[Início Setup Envase]])</f>
        <v/>
      </c>
      <c r="AP103" s="663"/>
      <c r="AQ103" s="663"/>
      <c r="AR103" s="270"/>
      <c r="AS103" s="270"/>
      <c r="AT103" s="270"/>
      <c r="AU103" s="270"/>
      <c r="AV103" s="270"/>
      <c r="AW103" s="270"/>
      <c r="AX103" s="270"/>
      <c r="AY103" s="270"/>
      <c r="AZ103" s="270"/>
      <c r="BA103" s="270">
        <f>IF(Table1[[#This Row],[Data de Início]]="","",YEAR(Table1[[#This Row],[Data de Início]]))</f>
        <v>2025</v>
      </c>
      <c r="BB103" s="270">
        <f>IF(Table1[[#This Row],[Data de Início]]="","",MONTH(Table1[[#This Row],[Data de Início]]))</f>
        <v>5</v>
      </c>
      <c r="BC103" s="270"/>
    </row>
    <row r="104" spans="2:55" ht="15" customHeight="1" x14ac:dyDescent="0.25">
      <c r="B104" s="470">
        <v>45799.563888888886</v>
      </c>
      <c r="C104" s="263">
        <v>45799.666666666664</v>
      </c>
      <c r="D104" s="264" cm="1">
        <f t="array" ref="D104">IFERROR(HorasUteisFabrica2Turnos(B104,C104), "")</f>
        <v>2.4666666666744277</v>
      </c>
      <c r="E104" s="265">
        <f t="shared" si="1"/>
        <v>1031.3513513481064</v>
      </c>
      <c r="F104" s="265"/>
      <c r="G104" s="265"/>
      <c r="H104" s="265"/>
      <c r="I104" s="266" t="s">
        <v>81</v>
      </c>
      <c r="J104" s="267" t="s">
        <v>15</v>
      </c>
      <c r="K104" s="268">
        <v>2544</v>
      </c>
      <c r="L104" s="269" t="s">
        <v>212</v>
      </c>
      <c r="M104" s="270" t="str">
        <f>IFERROR(INDEX([1]Produtos!$C:$C,MATCH(L104,[1]Produtos!$B:$B,0)), "-")</f>
        <v>BODY SPLASH FORÇA DO LEAO</v>
      </c>
      <c r="N104" s="510">
        <f>IFERROR(INDEX([1]Produtos!$E:$E,MATCH(L104,[1]Produtos!$B:$B,0)), "-")</f>
        <v>220</v>
      </c>
      <c r="O104" s="270" t="str">
        <f>IFERROR(INDEX([1]Produtos!$F:$F,MATCH(L104,[1]Produtos!$B:$B,0)), "-")</f>
        <v>ml</v>
      </c>
      <c r="P104" s="270" t="str">
        <f>IFERROR(INDEX([1]Produtos!$G:$G,MATCH(L104,[1]Produtos!$B:$B,0)), "-")</f>
        <v>MISS RÔSE</v>
      </c>
      <c r="Q104" s="270" t="str">
        <f>IFERROR(INDEX([1]Produtos!$H:$H,MATCH(L104,[1]Produtos!$B:$B,0)), "-")</f>
        <v>PERFUMARIA</v>
      </c>
      <c r="R104" s="270" t="str">
        <f>IFERROR(INDEX([1]Produtos!$I:$I,MATCH(L104,[1]Produtos!$B:$B,0)), "-")</f>
        <v>BODY SPLASH</v>
      </c>
      <c r="S104" s="270" t="str">
        <f>IFERROR(INDEX([1]Produtos!$J:$J,MATCH(L104,[1]Produtos!$B:$B,0)), "-")</f>
        <v>LÍQUIDO</v>
      </c>
      <c r="T104" s="473"/>
      <c r="U104" s="270"/>
      <c r="V104" s="270"/>
      <c r="W104" s="270"/>
      <c r="X104" s="270"/>
      <c r="Y104" s="270"/>
      <c r="Z104" s="270"/>
      <c r="AA104" s="270"/>
      <c r="AB104" s="270"/>
      <c r="AC104" s="270"/>
      <c r="AD104" s="270"/>
      <c r="AE104" s="270"/>
      <c r="AF104" s="270"/>
      <c r="AG104" s="270"/>
      <c r="AH104" s="270"/>
      <c r="AI104" s="270"/>
      <c r="AJ104" s="270"/>
      <c r="AK104" s="270"/>
      <c r="AL104" s="270"/>
      <c r="AM104" s="663"/>
      <c r="AN104" s="663"/>
      <c r="AO104" s="708" t="str">
        <f>IF(OR(Table1[[#This Row],[Início Setup Envase]]="",Table1[[#This Row],[Final Setup Envase]]=""),"",Table1[[#This Row],[Final Setup Envase]]-Table1[[#This Row],[Início Setup Envase]])</f>
        <v/>
      </c>
      <c r="AP104" s="663"/>
      <c r="AQ104" s="663"/>
      <c r="AR104" s="270"/>
      <c r="AS104" s="270"/>
      <c r="AT104" s="270"/>
      <c r="AU104" s="270"/>
      <c r="AV104" s="270"/>
      <c r="AW104" s="270"/>
      <c r="AX104" s="270"/>
      <c r="AY104" s="270"/>
      <c r="AZ104" s="270"/>
      <c r="BA104" s="270">
        <f>IF(Table1[[#This Row],[Data de Início]]="","",YEAR(Table1[[#This Row],[Data de Início]]))</f>
        <v>2025</v>
      </c>
      <c r="BB104" s="270">
        <f>IF(Table1[[#This Row],[Data de Início]]="","",MONTH(Table1[[#This Row],[Data de Início]]))</f>
        <v>5</v>
      </c>
      <c r="BC104" s="270"/>
    </row>
    <row r="105" spans="2:55" ht="15" customHeight="1" x14ac:dyDescent="0.25">
      <c r="B105" s="470">
        <v>45799.666666666664</v>
      </c>
      <c r="C105" s="263">
        <v>45800.386111111111</v>
      </c>
      <c r="D105" s="264" cm="1">
        <f t="array" ref="D105">IFERROR(HorasUteisFabrica2Turnos(B105,C105), "")</f>
        <v>3.2666666668374091</v>
      </c>
      <c r="E105" s="265">
        <f t="shared" si="1"/>
        <v>778.77551016337657</v>
      </c>
      <c r="F105" s="265"/>
      <c r="G105" s="265"/>
      <c r="H105" s="265"/>
      <c r="I105" s="266" t="s">
        <v>77</v>
      </c>
      <c r="J105" s="267" t="s">
        <v>15</v>
      </c>
      <c r="K105" s="268">
        <v>2544</v>
      </c>
      <c r="L105" s="269" t="s">
        <v>212</v>
      </c>
      <c r="M105" s="270" t="str">
        <f>IFERROR(INDEX([1]Produtos!$C:$C,MATCH(L105,[1]Produtos!$B:$B,0)), "-")</f>
        <v>BODY SPLASH FORÇA DO LEAO</v>
      </c>
      <c r="N105" s="510">
        <f>IFERROR(INDEX([1]Produtos!$E:$E,MATCH(L105,[1]Produtos!$B:$B,0)), "-")</f>
        <v>220</v>
      </c>
      <c r="O105" s="270" t="str">
        <f>IFERROR(INDEX([1]Produtos!$F:$F,MATCH(L105,[1]Produtos!$B:$B,0)), "-")</f>
        <v>ml</v>
      </c>
      <c r="P105" s="270" t="str">
        <f>IFERROR(INDEX([1]Produtos!$G:$G,MATCH(L105,[1]Produtos!$B:$B,0)), "-")</f>
        <v>MISS RÔSE</v>
      </c>
      <c r="Q105" s="270" t="str">
        <f>IFERROR(INDEX([1]Produtos!$H:$H,MATCH(L105,[1]Produtos!$B:$B,0)), "-")</f>
        <v>PERFUMARIA</v>
      </c>
      <c r="R105" s="270" t="str">
        <f>IFERROR(INDEX([1]Produtos!$I:$I,MATCH(L105,[1]Produtos!$B:$B,0)), "-")</f>
        <v>BODY SPLASH</v>
      </c>
      <c r="S105" s="270" t="str">
        <f>IFERROR(INDEX([1]Produtos!$J:$J,MATCH(L105,[1]Produtos!$B:$B,0)), "-")</f>
        <v>LÍQUIDO</v>
      </c>
      <c r="T105" s="473"/>
      <c r="U105" s="270"/>
      <c r="V105" s="270"/>
      <c r="W105" s="270"/>
      <c r="X105" s="270"/>
      <c r="Y105" s="270"/>
      <c r="Z105" s="270"/>
      <c r="AA105" s="270"/>
      <c r="AB105" s="270"/>
      <c r="AC105" s="270"/>
      <c r="AD105" s="270"/>
      <c r="AE105" s="270"/>
      <c r="AF105" s="270"/>
      <c r="AG105" s="270"/>
      <c r="AH105" s="270"/>
      <c r="AI105" s="270"/>
      <c r="AJ105" s="270"/>
      <c r="AK105" s="270"/>
      <c r="AL105" s="270"/>
      <c r="AM105" s="663"/>
      <c r="AN105" s="663"/>
      <c r="AO105" s="708" t="str">
        <f>IF(OR(Table1[[#This Row],[Início Setup Envase]]="",Table1[[#This Row],[Final Setup Envase]]=""),"",Table1[[#This Row],[Final Setup Envase]]-Table1[[#This Row],[Início Setup Envase]])</f>
        <v/>
      </c>
      <c r="AP105" s="663"/>
      <c r="AQ105" s="663"/>
      <c r="AR105" s="270"/>
      <c r="AS105" s="270"/>
      <c r="AT105" s="270"/>
      <c r="AU105" s="270"/>
      <c r="AV105" s="270"/>
      <c r="AW105" s="270"/>
      <c r="AX105" s="270"/>
      <c r="AY105" s="270"/>
      <c r="AZ105" s="270"/>
      <c r="BA105" s="270">
        <f>IF(Table1[[#This Row],[Data de Início]]="","",YEAR(Table1[[#This Row],[Data de Início]]))</f>
        <v>2025</v>
      </c>
      <c r="BB105" s="270">
        <f>IF(Table1[[#This Row],[Data de Início]]="","",MONTH(Table1[[#This Row],[Data de Início]]))</f>
        <v>5</v>
      </c>
      <c r="BC105" s="270"/>
    </row>
    <row r="106" spans="2:55" ht="15" customHeight="1" x14ac:dyDescent="0.25">
      <c r="B106" s="470">
        <v>45800.386111111111</v>
      </c>
      <c r="C106" s="263">
        <v>45804.583333333336</v>
      </c>
      <c r="D106" s="264" cm="1">
        <f t="array" ref="D106">IFERROR(HorasUteisFabrica2Turnos(B106,C106), "")</f>
        <v>20.733333333511837</v>
      </c>
      <c r="E106" s="265">
        <f t="shared" si="1"/>
        <v>122.70096462916868</v>
      </c>
      <c r="F106" s="265"/>
      <c r="G106" s="265"/>
      <c r="H106" s="265"/>
      <c r="I106" s="266" t="s">
        <v>82</v>
      </c>
      <c r="J106" s="267" t="s">
        <v>15</v>
      </c>
      <c r="K106" s="268">
        <v>2544</v>
      </c>
      <c r="L106" s="269" t="s">
        <v>212</v>
      </c>
      <c r="M106" s="270" t="str">
        <f>IFERROR(INDEX([1]Produtos!$C:$C,MATCH(L106,[1]Produtos!$B:$B,0)), "-")</f>
        <v>BODY SPLASH FORÇA DO LEAO</v>
      </c>
      <c r="N106" s="510">
        <f>IFERROR(INDEX([1]Produtos!$E:$E,MATCH(L106,[1]Produtos!$B:$B,0)), "-")</f>
        <v>220</v>
      </c>
      <c r="O106" s="270" t="str">
        <f>IFERROR(INDEX([1]Produtos!$F:$F,MATCH(L106,[1]Produtos!$B:$B,0)), "-")</f>
        <v>ml</v>
      </c>
      <c r="P106" s="270" t="str">
        <f>IFERROR(INDEX([1]Produtos!$G:$G,MATCH(L106,[1]Produtos!$B:$B,0)), "-")</f>
        <v>MISS RÔSE</v>
      </c>
      <c r="Q106" s="270" t="str">
        <f>IFERROR(INDEX([1]Produtos!$H:$H,MATCH(L106,[1]Produtos!$B:$B,0)), "-")</f>
        <v>PERFUMARIA</v>
      </c>
      <c r="R106" s="270" t="str">
        <f>IFERROR(INDEX([1]Produtos!$I:$I,MATCH(L106,[1]Produtos!$B:$B,0)), "-")</f>
        <v>BODY SPLASH</v>
      </c>
      <c r="S106" s="270" t="str">
        <f>IFERROR(INDEX([1]Produtos!$J:$J,MATCH(L106,[1]Produtos!$B:$B,0)), "-")</f>
        <v>LÍQUIDO</v>
      </c>
      <c r="T106" s="473"/>
      <c r="U106" s="270"/>
      <c r="V106" s="270"/>
      <c r="W106" s="270"/>
      <c r="X106" s="270"/>
      <c r="Y106" s="270"/>
      <c r="Z106" s="270"/>
      <c r="AA106" s="270"/>
      <c r="AB106" s="270"/>
      <c r="AC106" s="270"/>
      <c r="AD106" s="270"/>
      <c r="AE106" s="270"/>
      <c r="AF106" s="270"/>
      <c r="AG106" s="270"/>
      <c r="AH106" s="270"/>
      <c r="AI106" s="270"/>
      <c r="AJ106" s="270"/>
      <c r="AK106" s="270"/>
      <c r="AL106" s="270"/>
      <c r="AM106" s="663"/>
      <c r="AN106" s="663"/>
      <c r="AO106" s="708" t="str">
        <f>IF(OR(Table1[[#This Row],[Início Setup Envase]]="",Table1[[#This Row],[Final Setup Envase]]=""),"",Table1[[#This Row],[Final Setup Envase]]-Table1[[#This Row],[Início Setup Envase]])</f>
        <v/>
      </c>
      <c r="AP106" s="663"/>
      <c r="AQ106" s="663"/>
      <c r="AR106" s="270"/>
      <c r="AS106" s="270"/>
      <c r="AT106" s="270"/>
      <c r="AU106" s="270"/>
      <c r="AV106" s="270"/>
      <c r="AW106" s="270"/>
      <c r="AX106" s="270"/>
      <c r="AY106" s="270"/>
      <c r="AZ106" s="270"/>
      <c r="BA106" s="270">
        <f>IF(Table1[[#This Row],[Data de Início]]="","",YEAR(Table1[[#This Row],[Data de Início]]))</f>
        <v>2025</v>
      </c>
      <c r="BB106" s="270">
        <f>IF(Table1[[#This Row],[Data de Início]]="","",MONTH(Table1[[#This Row],[Data de Início]]))</f>
        <v>5</v>
      </c>
      <c r="BC106" s="270"/>
    </row>
    <row r="107" spans="2:55" ht="15" customHeight="1" x14ac:dyDescent="0.25">
      <c r="B107" s="470">
        <v>45805.291666666664</v>
      </c>
      <c r="C107" s="263">
        <v>45805.416666666664</v>
      </c>
      <c r="D107" s="264" cm="1">
        <f t="array" ref="D107">IFERROR(HorasUteisFabrica2Turnos(B107,C107), "")</f>
        <v>3</v>
      </c>
      <c r="E107" s="265">
        <f t="shared" si="1"/>
        <v>800</v>
      </c>
      <c r="F107" s="265"/>
      <c r="G107" s="265"/>
      <c r="H107" s="265"/>
      <c r="I107" s="266" t="s">
        <v>83</v>
      </c>
      <c r="J107" s="267" t="s">
        <v>15</v>
      </c>
      <c r="K107" s="268">
        <v>2400</v>
      </c>
      <c r="L107" s="269" t="s">
        <v>212</v>
      </c>
      <c r="M107" s="270" t="str">
        <f>IFERROR(INDEX([1]Produtos!$C:$C,MATCH(L107,[1]Produtos!$B:$B,0)), "-")</f>
        <v>BODY SPLASH FORÇA DO LEAO</v>
      </c>
      <c r="N107" s="510">
        <f>IFERROR(INDEX([1]Produtos!$E:$E,MATCH(L107,[1]Produtos!$B:$B,0)), "-")</f>
        <v>220</v>
      </c>
      <c r="O107" s="270" t="str">
        <f>IFERROR(INDEX([1]Produtos!$F:$F,MATCH(L107,[1]Produtos!$B:$B,0)), "-")</f>
        <v>ml</v>
      </c>
      <c r="P107" s="270" t="str">
        <f>IFERROR(INDEX([1]Produtos!$G:$G,MATCH(L107,[1]Produtos!$B:$B,0)), "-")</f>
        <v>MISS RÔSE</v>
      </c>
      <c r="Q107" s="270" t="str">
        <f>IFERROR(INDEX([1]Produtos!$H:$H,MATCH(L107,[1]Produtos!$B:$B,0)), "-")</f>
        <v>PERFUMARIA</v>
      </c>
      <c r="R107" s="270" t="str">
        <f>IFERROR(INDEX([1]Produtos!$I:$I,MATCH(L107,[1]Produtos!$B:$B,0)), "-")</f>
        <v>BODY SPLASH</v>
      </c>
      <c r="S107" s="270" t="str">
        <f>IFERROR(INDEX([1]Produtos!$J:$J,MATCH(L107,[1]Produtos!$B:$B,0)), "-")</f>
        <v>LÍQUIDO</v>
      </c>
      <c r="T107" s="473"/>
      <c r="U107" s="270"/>
      <c r="V107" s="270"/>
      <c r="W107" s="270"/>
      <c r="X107" s="270"/>
      <c r="Y107" s="270"/>
      <c r="Z107" s="270"/>
      <c r="AA107" s="270"/>
      <c r="AB107" s="270"/>
      <c r="AC107" s="270"/>
      <c r="AD107" s="270"/>
      <c r="AE107" s="270"/>
      <c r="AF107" s="270"/>
      <c r="AG107" s="270"/>
      <c r="AH107" s="270"/>
      <c r="AI107" s="270"/>
      <c r="AJ107" s="270"/>
      <c r="AK107" s="270"/>
      <c r="AL107" s="270"/>
      <c r="AM107" s="663"/>
      <c r="AN107" s="663"/>
      <c r="AO107" s="708" t="str">
        <f>IF(OR(Table1[[#This Row],[Início Setup Envase]]="",Table1[[#This Row],[Final Setup Envase]]=""),"",Table1[[#This Row],[Final Setup Envase]]-Table1[[#This Row],[Início Setup Envase]])</f>
        <v/>
      </c>
      <c r="AP107" s="663"/>
      <c r="AQ107" s="663"/>
      <c r="AR107" s="270"/>
      <c r="AS107" s="270"/>
      <c r="AT107" s="270"/>
      <c r="AU107" s="270"/>
      <c r="AV107" s="270"/>
      <c r="AW107" s="270"/>
      <c r="AX107" s="270"/>
      <c r="AY107" s="270"/>
      <c r="AZ107" s="270"/>
      <c r="BA107" s="270">
        <f>IF(Table1[[#This Row],[Data de Início]]="","",YEAR(Table1[[#This Row],[Data de Início]]))</f>
        <v>2025</v>
      </c>
      <c r="BB107" s="270">
        <f>IF(Table1[[#This Row],[Data de Início]]="","",MONTH(Table1[[#This Row],[Data de Início]]))</f>
        <v>5</v>
      </c>
      <c r="BC107" s="270"/>
    </row>
    <row r="108" spans="2:55" ht="15" customHeight="1" x14ac:dyDescent="0.25">
      <c r="B108" s="470">
        <v>45805.625</v>
      </c>
      <c r="C108" s="263">
        <v>45806.333333333336</v>
      </c>
      <c r="D108" s="264" cm="1">
        <f t="array" ref="D108">IFERROR(HorasUteisFabrica2Turnos(B108,C108), "")</f>
        <v>3.000000000174623</v>
      </c>
      <c r="E108" s="265">
        <f t="shared" si="1"/>
        <v>587.9999999657739</v>
      </c>
      <c r="F108" s="265"/>
      <c r="G108" s="265"/>
      <c r="H108" s="265"/>
      <c r="I108" s="266" t="s">
        <v>22</v>
      </c>
      <c r="J108" s="267" t="s">
        <v>15</v>
      </c>
      <c r="K108" s="268">
        <v>1764</v>
      </c>
      <c r="L108" s="269" t="s">
        <v>252</v>
      </c>
      <c r="M108" s="270" t="str">
        <f>IFERROR(INDEX([1]Produtos!$C:$C,MATCH(L108,[1]Produtos!$B:$B,0)), "-")</f>
        <v>SHAMPOO HUBBA GUM BANANA</v>
      </c>
      <c r="N108" s="510">
        <f>IFERROR(INDEX([1]Produtos!$E:$E,MATCH(L108,[1]Produtos!$B:$B,0)), "-")</f>
        <v>300</v>
      </c>
      <c r="O108" s="270" t="str">
        <f>IFERROR(INDEX([1]Produtos!$F:$F,MATCH(L108,[1]Produtos!$B:$B,0)), "-")</f>
        <v>ml</v>
      </c>
      <c r="P108" s="270" t="str">
        <f>IFERROR(INDEX([1]Produtos!$G:$G,MATCH(L108,[1]Produtos!$B:$B,0)), "-")</f>
        <v>LUA &amp; NEVE</v>
      </c>
      <c r="Q108" s="270" t="str">
        <f>IFERROR(INDEX([1]Produtos!$H:$H,MATCH(L108,[1]Produtos!$B:$B,0)), "-")</f>
        <v>CAPILAR</v>
      </c>
      <c r="R108" s="270" t="str">
        <f>IFERROR(INDEX([1]Produtos!$I:$I,MATCH(L108,[1]Produtos!$B:$B,0)), "-")</f>
        <v>SHAMPOO</v>
      </c>
      <c r="S108" s="270" t="str">
        <f>IFERROR(INDEX([1]Produtos!$J:$J,MATCH(L108,[1]Produtos!$B:$B,0)), "-")</f>
        <v>VISCOSO</v>
      </c>
      <c r="T108" s="473"/>
      <c r="U108" s="270"/>
      <c r="V108" s="270"/>
      <c r="W108" s="270"/>
      <c r="X108" s="270"/>
      <c r="Y108" s="270"/>
      <c r="Z108" s="270"/>
      <c r="AA108" s="270"/>
      <c r="AB108" s="270"/>
      <c r="AC108" s="270"/>
      <c r="AD108" s="270"/>
      <c r="AE108" s="270"/>
      <c r="AF108" s="270"/>
      <c r="AG108" s="270"/>
      <c r="AH108" s="270"/>
      <c r="AI108" s="270"/>
      <c r="AJ108" s="270"/>
      <c r="AK108" s="270"/>
      <c r="AL108" s="270"/>
      <c r="AM108" s="663"/>
      <c r="AN108" s="663"/>
      <c r="AO108" s="708" t="str">
        <f>IF(OR(Table1[[#This Row],[Início Setup Envase]]="",Table1[[#This Row],[Final Setup Envase]]=""),"",Table1[[#This Row],[Final Setup Envase]]-Table1[[#This Row],[Início Setup Envase]])</f>
        <v/>
      </c>
      <c r="AP108" s="663"/>
      <c r="AQ108" s="663"/>
      <c r="AR108" s="270"/>
      <c r="AS108" s="270"/>
      <c r="AT108" s="270"/>
      <c r="AU108" s="270"/>
      <c r="AV108" s="270"/>
      <c r="AW108" s="270"/>
      <c r="AX108" s="270"/>
      <c r="AY108" s="270"/>
      <c r="AZ108" s="270"/>
      <c r="BA108" s="270">
        <f>IF(Table1[[#This Row],[Data de Início]]="","",YEAR(Table1[[#This Row],[Data de Início]]))</f>
        <v>2025</v>
      </c>
      <c r="BB108" s="270">
        <f>IF(Table1[[#This Row],[Data de Início]]="","",MONTH(Table1[[#This Row],[Data de Início]]))</f>
        <v>5</v>
      </c>
      <c r="BC108" s="270"/>
    </row>
    <row r="109" spans="2:55" ht="15" customHeight="1" x14ac:dyDescent="0.25">
      <c r="B109" s="470">
        <v>45806.34097222222</v>
      </c>
      <c r="C109" s="263">
        <v>45806.400694444441</v>
      </c>
      <c r="D109" s="264" cm="1">
        <f t="array" ref="D109">IFERROR(HorasUteisFabrica2Turnos(B109,C109), "")</f>
        <v>1.4333333332906477</v>
      </c>
      <c r="E109" s="265">
        <f t="shared" si="1"/>
        <v>703.25581397443182</v>
      </c>
      <c r="F109" s="265"/>
      <c r="G109" s="265"/>
      <c r="H109" s="265"/>
      <c r="I109" s="266" t="s">
        <v>21</v>
      </c>
      <c r="J109" s="267" t="s">
        <v>15</v>
      </c>
      <c r="K109" s="268">
        <v>1008</v>
      </c>
      <c r="L109" s="269" t="s">
        <v>252</v>
      </c>
      <c r="M109" s="270" t="str">
        <f>IFERROR(INDEX([1]Produtos!$C:$C,MATCH(L109,[1]Produtos!$B:$B,0)), "-")</f>
        <v>SHAMPOO HUBBA GUM BANANA</v>
      </c>
      <c r="N109" s="510">
        <f>IFERROR(INDEX([1]Produtos!$E:$E,MATCH(L109,[1]Produtos!$B:$B,0)), "-")</f>
        <v>300</v>
      </c>
      <c r="O109" s="270" t="str">
        <f>IFERROR(INDEX([1]Produtos!$F:$F,MATCH(L109,[1]Produtos!$B:$B,0)), "-")</f>
        <v>ml</v>
      </c>
      <c r="P109" s="270" t="str">
        <f>IFERROR(INDEX([1]Produtos!$G:$G,MATCH(L109,[1]Produtos!$B:$B,0)), "-")</f>
        <v>LUA &amp; NEVE</v>
      </c>
      <c r="Q109" s="270" t="str">
        <f>IFERROR(INDEX([1]Produtos!$H:$H,MATCH(L109,[1]Produtos!$B:$B,0)), "-")</f>
        <v>CAPILAR</v>
      </c>
      <c r="R109" s="270" t="str">
        <f>IFERROR(INDEX([1]Produtos!$I:$I,MATCH(L109,[1]Produtos!$B:$B,0)), "-")</f>
        <v>SHAMPOO</v>
      </c>
      <c r="S109" s="270" t="str">
        <f>IFERROR(INDEX([1]Produtos!$J:$J,MATCH(L109,[1]Produtos!$B:$B,0)), "-")</f>
        <v>VISCOSO</v>
      </c>
      <c r="T109" s="473"/>
      <c r="U109" s="270"/>
      <c r="V109" s="270"/>
      <c r="W109" s="270"/>
      <c r="X109" s="270"/>
      <c r="Y109" s="270"/>
      <c r="Z109" s="270"/>
      <c r="AA109" s="270"/>
      <c r="AB109" s="270"/>
      <c r="AC109" s="270"/>
      <c r="AD109" s="270"/>
      <c r="AE109" s="270"/>
      <c r="AF109" s="270"/>
      <c r="AG109" s="270"/>
      <c r="AH109" s="270"/>
      <c r="AI109" s="270"/>
      <c r="AJ109" s="270"/>
      <c r="AK109" s="270"/>
      <c r="AL109" s="270"/>
      <c r="AM109" s="663"/>
      <c r="AN109" s="663"/>
      <c r="AO109" s="708" t="str">
        <f>IF(OR(Table1[[#This Row],[Início Setup Envase]]="",Table1[[#This Row],[Final Setup Envase]]=""),"",Table1[[#This Row],[Final Setup Envase]]-Table1[[#This Row],[Início Setup Envase]])</f>
        <v/>
      </c>
      <c r="AP109" s="663"/>
      <c r="AQ109" s="663"/>
      <c r="AR109" s="270"/>
      <c r="AS109" s="270"/>
      <c r="AT109" s="270"/>
      <c r="AU109" s="270"/>
      <c r="AV109" s="270"/>
      <c r="AW109" s="270"/>
      <c r="AX109" s="270"/>
      <c r="AY109" s="270"/>
      <c r="AZ109" s="270"/>
      <c r="BA109" s="270">
        <f>IF(Table1[[#This Row],[Data de Início]]="","",YEAR(Table1[[#This Row],[Data de Início]]))</f>
        <v>2025</v>
      </c>
      <c r="BB109" s="270">
        <f>IF(Table1[[#This Row],[Data de Início]]="","",MONTH(Table1[[#This Row],[Data de Início]]))</f>
        <v>5</v>
      </c>
      <c r="BC109" s="270"/>
    </row>
    <row r="110" spans="2:55" ht="15" customHeight="1" x14ac:dyDescent="0.25">
      <c r="B110" s="470">
        <v>45806.385416666664</v>
      </c>
      <c r="C110" s="263">
        <v>45806.499305555553</v>
      </c>
      <c r="D110" s="264" cm="1">
        <f t="array" ref="D110">IFERROR(HorasUteisFabrica2Turnos(B110,C110), "")</f>
        <v>2.7333333333372138</v>
      </c>
      <c r="E110" s="265">
        <f t="shared" si="1"/>
        <v>689.63414634048434</v>
      </c>
      <c r="F110" s="265"/>
      <c r="G110" s="265"/>
      <c r="H110" s="265"/>
      <c r="I110" s="266" t="s">
        <v>20</v>
      </c>
      <c r="J110" s="267" t="s">
        <v>15</v>
      </c>
      <c r="K110" s="268">
        <v>1885</v>
      </c>
      <c r="L110" s="269" t="s">
        <v>252</v>
      </c>
      <c r="M110" s="270" t="str">
        <f>IFERROR(INDEX([1]Produtos!$C:$C,MATCH(L110,[1]Produtos!$B:$B,0)), "-")</f>
        <v>SHAMPOO HUBBA GUM BANANA</v>
      </c>
      <c r="N110" s="510">
        <f>IFERROR(INDEX([1]Produtos!$E:$E,MATCH(L110,[1]Produtos!$B:$B,0)), "-")</f>
        <v>300</v>
      </c>
      <c r="O110" s="270" t="str">
        <f>IFERROR(INDEX([1]Produtos!$F:$F,MATCH(L110,[1]Produtos!$B:$B,0)), "-")</f>
        <v>ml</v>
      </c>
      <c r="P110" s="270" t="str">
        <f>IFERROR(INDEX([1]Produtos!$G:$G,MATCH(L110,[1]Produtos!$B:$B,0)), "-")</f>
        <v>LUA &amp; NEVE</v>
      </c>
      <c r="Q110" s="270" t="str">
        <f>IFERROR(INDEX([1]Produtos!$H:$H,MATCH(L110,[1]Produtos!$B:$B,0)), "-")</f>
        <v>CAPILAR</v>
      </c>
      <c r="R110" s="270" t="str">
        <f>IFERROR(INDEX([1]Produtos!$I:$I,MATCH(L110,[1]Produtos!$B:$B,0)), "-")</f>
        <v>SHAMPOO</v>
      </c>
      <c r="S110" s="270" t="str">
        <f>IFERROR(INDEX([1]Produtos!$J:$J,MATCH(L110,[1]Produtos!$B:$B,0)), "-")</f>
        <v>VISCOSO</v>
      </c>
      <c r="T110" s="473"/>
      <c r="U110" s="270"/>
      <c r="V110" s="270"/>
      <c r="W110" s="270"/>
      <c r="X110" s="270"/>
      <c r="Y110" s="270"/>
      <c r="Z110" s="270"/>
      <c r="AA110" s="270"/>
      <c r="AB110" s="270"/>
      <c r="AC110" s="270"/>
      <c r="AD110" s="270"/>
      <c r="AE110" s="270"/>
      <c r="AF110" s="270"/>
      <c r="AG110" s="270"/>
      <c r="AH110" s="270"/>
      <c r="AI110" s="270"/>
      <c r="AJ110" s="270"/>
      <c r="AK110" s="270"/>
      <c r="AL110" s="270"/>
      <c r="AM110" s="663"/>
      <c r="AN110" s="663"/>
      <c r="AO110" s="708" t="str">
        <f>IF(OR(Table1[[#This Row],[Início Setup Envase]]="",Table1[[#This Row],[Final Setup Envase]]=""),"",Table1[[#This Row],[Final Setup Envase]]-Table1[[#This Row],[Início Setup Envase]])</f>
        <v/>
      </c>
      <c r="AP110" s="663"/>
      <c r="AQ110" s="663"/>
      <c r="AR110" s="270"/>
      <c r="AS110" s="270"/>
      <c r="AT110" s="270"/>
      <c r="AU110" s="270"/>
      <c r="AV110" s="270"/>
      <c r="AW110" s="270"/>
      <c r="AX110" s="270"/>
      <c r="AY110" s="270"/>
      <c r="AZ110" s="270"/>
      <c r="BA110" s="270">
        <f>IF(Table1[[#This Row],[Data de Início]]="","",YEAR(Table1[[#This Row],[Data de Início]]))</f>
        <v>2025</v>
      </c>
      <c r="BB110" s="270">
        <f>IF(Table1[[#This Row],[Data de Início]]="","",MONTH(Table1[[#This Row],[Data de Início]]))</f>
        <v>5</v>
      </c>
      <c r="BC110" s="270"/>
    </row>
    <row r="111" spans="2:55" ht="15" customHeight="1" x14ac:dyDescent="0.25">
      <c r="B111" s="470">
        <v>45806.572916666664</v>
      </c>
      <c r="C111" s="263">
        <v>45807.3125</v>
      </c>
      <c r="D111" s="264" cm="1">
        <f t="array" ref="D111">IFERROR(HorasUteisFabrica2Turnos(B111,C111), "")</f>
        <v>3.750000000174623</v>
      </c>
      <c r="E111" s="265">
        <f t="shared" si="1"/>
        <v>355.19999998345969</v>
      </c>
      <c r="F111" s="265"/>
      <c r="G111" s="265"/>
      <c r="H111" s="265"/>
      <c r="I111" s="269" t="s">
        <v>31</v>
      </c>
      <c r="J111" s="267" t="s">
        <v>15</v>
      </c>
      <c r="K111" s="268">
        <v>1332</v>
      </c>
      <c r="L111" s="269" t="s">
        <v>244</v>
      </c>
      <c r="M111" s="270" t="str">
        <f>IFERROR(INDEX([1]Produtos!$C:$C,MATCH(L111,[1]Produtos!$B:$B,0)), "-")</f>
        <v>CONDICIONADOR HUBBA GUM TUTTI-FRUTTI</v>
      </c>
      <c r="N111" s="510">
        <f>IFERROR(INDEX([1]Produtos!$E:$E,MATCH(L111,[1]Produtos!$B:$B,0)), "-")</f>
        <v>300</v>
      </c>
      <c r="O111" s="270" t="str">
        <f>IFERROR(INDEX([1]Produtos!$F:$F,MATCH(L111,[1]Produtos!$B:$B,0)), "-")</f>
        <v>ml</v>
      </c>
      <c r="P111" s="270" t="str">
        <f>IFERROR(INDEX([1]Produtos!$G:$G,MATCH(L111,[1]Produtos!$B:$B,0)), "-")</f>
        <v>LUA &amp; NEVE</v>
      </c>
      <c r="Q111" s="270" t="str">
        <f>IFERROR(INDEX([1]Produtos!$H:$H,MATCH(L111,[1]Produtos!$B:$B,0)), "-")</f>
        <v>CAPILAR</v>
      </c>
      <c r="R111" s="270" t="str">
        <f>IFERROR(INDEX([1]Produtos!$I:$I,MATCH(L111,[1]Produtos!$B:$B,0)), "-")</f>
        <v>CONDICIONADOR</v>
      </c>
      <c r="S111" s="270" t="str">
        <f>IFERROR(INDEX([1]Produtos!$J:$J,MATCH(L111,[1]Produtos!$B:$B,0)), "-")</f>
        <v>DENSO</v>
      </c>
      <c r="T111" s="473"/>
      <c r="U111" s="270"/>
      <c r="V111" s="270"/>
      <c r="W111" s="270"/>
      <c r="X111" s="270"/>
      <c r="Y111" s="270"/>
      <c r="Z111" s="270"/>
      <c r="AA111" s="270"/>
      <c r="AB111" s="270"/>
      <c r="AC111" s="270"/>
      <c r="AD111" s="270"/>
      <c r="AE111" s="270"/>
      <c r="AF111" s="270"/>
      <c r="AG111" s="270"/>
      <c r="AH111" s="270"/>
      <c r="AI111" s="270"/>
      <c r="AJ111" s="270"/>
      <c r="AK111" s="270"/>
      <c r="AL111" s="270"/>
      <c r="AM111" s="663"/>
      <c r="AN111" s="663"/>
      <c r="AO111" s="708" t="str">
        <f>IF(OR(Table1[[#This Row],[Início Setup Envase]]="",Table1[[#This Row],[Final Setup Envase]]=""),"",Table1[[#This Row],[Final Setup Envase]]-Table1[[#This Row],[Início Setup Envase]])</f>
        <v/>
      </c>
      <c r="AP111" s="663"/>
      <c r="AQ111" s="663"/>
      <c r="AR111" s="270"/>
      <c r="AS111" s="270"/>
      <c r="AT111" s="270"/>
      <c r="AU111" s="270"/>
      <c r="AV111" s="270"/>
      <c r="AW111" s="270"/>
      <c r="AX111" s="270"/>
      <c r="AY111" s="270"/>
      <c r="AZ111" s="270"/>
      <c r="BA111" s="270">
        <f>IF(Table1[[#This Row],[Data de Início]]="","",YEAR(Table1[[#This Row],[Data de Início]]))</f>
        <v>2025</v>
      </c>
      <c r="BB111" s="270">
        <f>IF(Table1[[#This Row],[Data de Início]]="","",MONTH(Table1[[#This Row],[Data de Início]]))</f>
        <v>5</v>
      </c>
      <c r="BC111" s="270"/>
    </row>
    <row r="112" spans="2:55" ht="15" customHeight="1" x14ac:dyDescent="0.25">
      <c r="B112" s="470">
        <v>45807.3125</v>
      </c>
      <c r="C112" s="263">
        <v>45807.420138888891</v>
      </c>
      <c r="D112" s="264" cm="1">
        <f t="array" ref="D112">IFERROR(HorasUteisFabrica2Turnos(B112,C112), "")</f>
        <v>2.5833333333721384</v>
      </c>
      <c r="E112" s="265">
        <f t="shared" si="1"/>
        <v>515.61290321806121</v>
      </c>
      <c r="F112" s="265"/>
      <c r="G112" s="265"/>
      <c r="H112" s="265"/>
      <c r="I112" s="269" t="s">
        <v>30</v>
      </c>
      <c r="J112" s="267" t="s">
        <v>15</v>
      </c>
      <c r="K112" s="268">
        <v>1332</v>
      </c>
      <c r="L112" s="269" t="s">
        <v>244</v>
      </c>
      <c r="M112" s="270" t="str">
        <f>IFERROR(INDEX([1]Produtos!$C:$C,MATCH(L112,[1]Produtos!$B:$B,0)), "-")</f>
        <v>CONDICIONADOR HUBBA GUM TUTTI-FRUTTI</v>
      </c>
      <c r="N112" s="510">
        <f>IFERROR(INDEX([1]Produtos!$E:$E,MATCH(L112,[1]Produtos!$B:$B,0)), "-")</f>
        <v>300</v>
      </c>
      <c r="O112" s="270" t="str">
        <f>IFERROR(INDEX([1]Produtos!$F:$F,MATCH(L112,[1]Produtos!$B:$B,0)), "-")</f>
        <v>ml</v>
      </c>
      <c r="P112" s="270" t="str">
        <f>IFERROR(INDEX([1]Produtos!$G:$G,MATCH(L112,[1]Produtos!$B:$B,0)), "-")</f>
        <v>LUA &amp; NEVE</v>
      </c>
      <c r="Q112" s="270" t="str">
        <f>IFERROR(INDEX([1]Produtos!$H:$H,MATCH(L112,[1]Produtos!$B:$B,0)), "-")</f>
        <v>CAPILAR</v>
      </c>
      <c r="R112" s="270" t="str">
        <f>IFERROR(INDEX([1]Produtos!$I:$I,MATCH(L112,[1]Produtos!$B:$B,0)), "-")</f>
        <v>CONDICIONADOR</v>
      </c>
      <c r="S112" s="270" t="str">
        <f>IFERROR(INDEX([1]Produtos!$J:$J,MATCH(L112,[1]Produtos!$B:$B,0)), "-")</f>
        <v>DENSO</v>
      </c>
      <c r="T112" s="473"/>
      <c r="U112" s="270"/>
      <c r="V112" s="270"/>
      <c r="W112" s="270"/>
      <c r="X112" s="270"/>
      <c r="Y112" s="270"/>
      <c r="Z112" s="270"/>
      <c r="AA112" s="270"/>
      <c r="AB112" s="270"/>
      <c r="AC112" s="270"/>
      <c r="AD112" s="270"/>
      <c r="AE112" s="270"/>
      <c r="AF112" s="270"/>
      <c r="AG112" s="270"/>
      <c r="AH112" s="270"/>
      <c r="AI112" s="270"/>
      <c r="AJ112" s="270"/>
      <c r="AK112" s="270"/>
      <c r="AL112" s="270"/>
      <c r="AM112" s="663"/>
      <c r="AN112" s="663"/>
      <c r="AO112" s="708" t="str">
        <f>IF(OR(Table1[[#This Row],[Início Setup Envase]]="",Table1[[#This Row],[Final Setup Envase]]=""),"",Table1[[#This Row],[Final Setup Envase]]-Table1[[#This Row],[Início Setup Envase]])</f>
        <v/>
      </c>
      <c r="AP112" s="663"/>
      <c r="AQ112" s="663"/>
      <c r="AR112" s="270"/>
      <c r="AS112" s="270"/>
      <c r="AT112" s="270"/>
      <c r="AU112" s="270"/>
      <c r="AV112" s="270"/>
      <c r="AW112" s="270"/>
      <c r="AX112" s="270"/>
      <c r="AY112" s="270"/>
      <c r="AZ112" s="270"/>
      <c r="BA112" s="270">
        <f>IF(Table1[[#This Row],[Data de Início]]="","",YEAR(Table1[[#This Row],[Data de Início]]))</f>
        <v>2025</v>
      </c>
      <c r="BB112" s="270">
        <f>IF(Table1[[#This Row],[Data de Início]]="","",MONTH(Table1[[#This Row],[Data de Início]]))</f>
        <v>5</v>
      </c>
      <c r="BC112" s="270"/>
    </row>
    <row r="113" spans="2:55" ht="15" customHeight="1" x14ac:dyDescent="0.25">
      <c r="B113" s="470">
        <v>45807.420138888891</v>
      </c>
      <c r="C113" s="263">
        <v>45807.708333333336</v>
      </c>
      <c r="D113" s="264" cm="1">
        <f t="array" ref="D113">IFERROR(HorasUteisFabrica2Turnos(B113,C113), "")</f>
        <v>5.9166666666860692</v>
      </c>
      <c r="E113" s="265">
        <f t="shared" si="1"/>
        <v>292.05633802721127</v>
      </c>
      <c r="F113" s="265"/>
      <c r="G113" s="265"/>
      <c r="H113" s="265"/>
      <c r="I113" s="269" t="s">
        <v>29</v>
      </c>
      <c r="J113" s="267" t="s">
        <v>15</v>
      </c>
      <c r="K113" s="268">
        <v>1728</v>
      </c>
      <c r="L113" s="269" t="s">
        <v>244</v>
      </c>
      <c r="M113" s="270" t="str">
        <f>IFERROR(INDEX([1]Produtos!$C:$C,MATCH(L113,[1]Produtos!$B:$B,0)), "-")</f>
        <v>CONDICIONADOR HUBBA GUM TUTTI-FRUTTI</v>
      </c>
      <c r="N113" s="510">
        <f>IFERROR(INDEX([1]Produtos!$E:$E,MATCH(L113,[1]Produtos!$B:$B,0)), "-")</f>
        <v>300</v>
      </c>
      <c r="O113" s="270" t="str">
        <f>IFERROR(INDEX([1]Produtos!$F:$F,MATCH(L113,[1]Produtos!$B:$B,0)), "-")</f>
        <v>ml</v>
      </c>
      <c r="P113" s="270" t="str">
        <f>IFERROR(INDEX([1]Produtos!$G:$G,MATCH(L113,[1]Produtos!$B:$B,0)), "-")</f>
        <v>LUA &amp; NEVE</v>
      </c>
      <c r="Q113" s="270" t="str">
        <f>IFERROR(INDEX([1]Produtos!$H:$H,MATCH(L113,[1]Produtos!$B:$B,0)), "-")</f>
        <v>CAPILAR</v>
      </c>
      <c r="R113" s="270" t="str">
        <f>IFERROR(INDEX([1]Produtos!$I:$I,MATCH(L113,[1]Produtos!$B:$B,0)), "-")</f>
        <v>CONDICIONADOR</v>
      </c>
      <c r="S113" s="270" t="str">
        <f>IFERROR(INDEX([1]Produtos!$J:$J,MATCH(L113,[1]Produtos!$B:$B,0)), "-")</f>
        <v>DENSO</v>
      </c>
      <c r="T113" s="473"/>
      <c r="U113" s="270"/>
      <c r="V113" s="270"/>
      <c r="W113" s="270"/>
      <c r="X113" s="270"/>
      <c r="Y113" s="270"/>
      <c r="Z113" s="270"/>
      <c r="AA113" s="270"/>
      <c r="AB113" s="270"/>
      <c r="AC113" s="270"/>
      <c r="AD113" s="270"/>
      <c r="AE113" s="270"/>
      <c r="AF113" s="270"/>
      <c r="AG113" s="270"/>
      <c r="AH113" s="270"/>
      <c r="AI113" s="270"/>
      <c r="AJ113" s="270"/>
      <c r="AK113" s="270"/>
      <c r="AL113" s="270"/>
      <c r="AM113" s="663"/>
      <c r="AN113" s="663"/>
      <c r="AO113" s="708" t="str">
        <f>IF(OR(Table1[[#This Row],[Início Setup Envase]]="",Table1[[#This Row],[Final Setup Envase]]=""),"",Table1[[#This Row],[Final Setup Envase]]-Table1[[#This Row],[Início Setup Envase]])</f>
        <v/>
      </c>
      <c r="AP113" s="663"/>
      <c r="AQ113" s="663"/>
      <c r="AR113" s="270"/>
      <c r="AS113" s="270"/>
      <c r="AT113" s="270"/>
      <c r="AU113" s="270"/>
      <c r="AV113" s="270"/>
      <c r="AW113" s="270"/>
      <c r="AX113" s="270"/>
      <c r="AY113" s="270"/>
      <c r="AZ113" s="270"/>
      <c r="BA113" s="270">
        <f>IF(Table1[[#This Row],[Data de Início]]="","",YEAR(Table1[[#This Row],[Data de Início]]))</f>
        <v>2025</v>
      </c>
      <c r="BB113" s="270">
        <f>IF(Table1[[#This Row],[Data de Início]]="","",MONTH(Table1[[#This Row],[Data de Início]]))</f>
        <v>5</v>
      </c>
      <c r="BC113" s="270"/>
    </row>
    <row r="114" spans="2:55" ht="15" customHeight="1" x14ac:dyDescent="0.25">
      <c r="B114" s="470">
        <v>45810.310416666667</v>
      </c>
      <c r="C114" s="263">
        <v>45810.400694444441</v>
      </c>
      <c r="D114" s="264" cm="1">
        <f t="array" ref="D114">IFERROR(HorasUteisFabrica2Turnos(B114,C114), "")</f>
        <v>2.1666666665696539</v>
      </c>
      <c r="E114" s="265">
        <f t="shared" si="1"/>
        <v>692.30769233869046</v>
      </c>
      <c r="F114" s="265"/>
      <c r="G114" s="265"/>
      <c r="H114" s="265"/>
      <c r="I114" s="269" t="s">
        <v>26</v>
      </c>
      <c r="J114" s="267" t="s">
        <v>15</v>
      </c>
      <c r="K114" s="268">
        <v>1500</v>
      </c>
      <c r="L114" s="269" t="s">
        <v>243</v>
      </c>
      <c r="M114" s="270" t="str">
        <f>IFERROR(INDEX([1]Produtos!$C:$C,MATCH(L114,[1]Produtos!$B:$B,0)), "-")</f>
        <v>CONDICIONADOR HUBBA GUM BANANA</v>
      </c>
      <c r="N114" s="510">
        <f>IFERROR(INDEX([1]Produtos!$E:$E,MATCH(L114,[1]Produtos!$B:$B,0)), "-")</f>
        <v>300</v>
      </c>
      <c r="O114" s="270" t="str">
        <f>IFERROR(INDEX([1]Produtos!$F:$F,MATCH(L114,[1]Produtos!$B:$B,0)), "-")</f>
        <v>ml</v>
      </c>
      <c r="P114" s="270" t="str">
        <f>IFERROR(INDEX([1]Produtos!$G:$G,MATCH(L114,[1]Produtos!$B:$B,0)), "-")</f>
        <v>LUA &amp; NEVE</v>
      </c>
      <c r="Q114" s="270" t="str">
        <f>IFERROR(INDEX([1]Produtos!$H:$H,MATCH(L114,[1]Produtos!$B:$B,0)), "-")</f>
        <v>CAPILAR</v>
      </c>
      <c r="R114" s="270" t="str">
        <f>IFERROR(INDEX([1]Produtos!$I:$I,MATCH(L114,[1]Produtos!$B:$B,0)), "-")</f>
        <v>CONDICIONADOR</v>
      </c>
      <c r="S114" s="270" t="str">
        <f>IFERROR(INDEX([1]Produtos!$J:$J,MATCH(L114,[1]Produtos!$B:$B,0)), "-")</f>
        <v>DENSO</v>
      </c>
      <c r="T114" s="473"/>
      <c r="U114" s="270"/>
      <c r="V114" s="270"/>
      <c r="W114" s="270"/>
      <c r="X114" s="270"/>
      <c r="Y114" s="270"/>
      <c r="Z114" s="270"/>
      <c r="AA114" s="270"/>
      <c r="AB114" s="270"/>
      <c r="AC114" s="270"/>
      <c r="AD114" s="270"/>
      <c r="AE114" s="270"/>
      <c r="AF114" s="270"/>
      <c r="AG114" s="270"/>
      <c r="AH114" s="270"/>
      <c r="AI114" s="270"/>
      <c r="AJ114" s="270"/>
      <c r="AK114" s="270"/>
      <c r="AL114" s="270"/>
      <c r="AM114" s="663"/>
      <c r="AN114" s="663"/>
      <c r="AO114" s="708" t="str">
        <f>IF(OR(Table1[[#This Row],[Início Setup Envase]]="",Table1[[#This Row],[Final Setup Envase]]=""),"",Table1[[#This Row],[Final Setup Envase]]-Table1[[#This Row],[Início Setup Envase]])</f>
        <v/>
      </c>
      <c r="AP114" s="663"/>
      <c r="AQ114" s="663"/>
      <c r="AR114" s="270"/>
      <c r="AS114" s="270"/>
      <c r="AT114" s="270"/>
      <c r="AU114" s="270"/>
      <c r="AV114" s="270"/>
      <c r="AW114" s="270"/>
      <c r="AX114" s="270"/>
      <c r="AY114" s="270"/>
      <c r="AZ114" s="270"/>
      <c r="BA114" s="270">
        <f>IF(Table1[[#This Row],[Data de Início]]="","",YEAR(Table1[[#This Row],[Data de Início]]))</f>
        <v>2025</v>
      </c>
      <c r="BB114" s="270">
        <f>IF(Table1[[#This Row],[Data de Início]]="","",MONTH(Table1[[#This Row],[Data de Início]]))</f>
        <v>6</v>
      </c>
      <c r="BC114" s="270"/>
    </row>
    <row r="115" spans="2:55" ht="15" customHeight="1" x14ac:dyDescent="0.25">
      <c r="B115" s="470">
        <v>45810.401388888888</v>
      </c>
      <c r="C115" s="263">
        <v>45810.493055555555</v>
      </c>
      <c r="D115" s="264" cm="1">
        <f t="array" ref="D115">IFERROR(HorasUteisFabrica2Turnos(B115,C115), "")</f>
        <v>2.2000000000116415</v>
      </c>
      <c r="E115" s="265">
        <f t="shared" si="1"/>
        <v>681.8181818145739</v>
      </c>
      <c r="F115" s="265"/>
      <c r="G115" s="265"/>
      <c r="H115" s="265"/>
      <c r="I115" s="269" t="s">
        <v>27</v>
      </c>
      <c r="J115" s="267" t="s">
        <v>15</v>
      </c>
      <c r="K115" s="268">
        <v>1500</v>
      </c>
      <c r="L115" s="269" t="s">
        <v>243</v>
      </c>
      <c r="M115" s="270" t="str">
        <f>IFERROR(INDEX([1]Produtos!$C:$C,MATCH(L115,[1]Produtos!$B:$B,0)), "-")</f>
        <v>CONDICIONADOR HUBBA GUM BANANA</v>
      </c>
      <c r="N115" s="510">
        <f>IFERROR(INDEX([1]Produtos!$E:$E,MATCH(L115,[1]Produtos!$B:$B,0)), "-")</f>
        <v>300</v>
      </c>
      <c r="O115" s="270" t="str">
        <f>IFERROR(INDEX([1]Produtos!$F:$F,MATCH(L115,[1]Produtos!$B:$B,0)), "-")</f>
        <v>ml</v>
      </c>
      <c r="P115" s="270" t="str">
        <f>IFERROR(INDEX([1]Produtos!$G:$G,MATCH(L115,[1]Produtos!$B:$B,0)), "-")</f>
        <v>LUA &amp; NEVE</v>
      </c>
      <c r="Q115" s="270" t="str">
        <f>IFERROR(INDEX([1]Produtos!$H:$H,MATCH(L115,[1]Produtos!$B:$B,0)), "-")</f>
        <v>CAPILAR</v>
      </c>
      <c r="R115" s="270" t="str">
        <f>IFERROR(INDEX([1]Produtos!$I:$I,MATCH(L115,[1]Produtos!$B:$B,0)), "-")</f>
        <v>CONDICIONADOR</v>
      </c>
      <c r="S115" s="270" t="str">
        <f>IFERROR(INDEX([1]Produtos!$J:$J,MATCH(L115,[1]Produtos!$B:$B,0)), "-")</f>
        <v>DENSO</v>
      </c>
      <c r="T115" s="473"/>
      <c r="U115" s="270"/>
      <c r="V115" s="270"/>
      <c r="W115" s="270"/>
      <c r="X115" s="270"/>
      <c r="Y115" s="270"/>
      <c r="Z115" s="270"/>
      <c r="AA115" s="270"/>
      <c r="AB115" s="270"/>
      <c r="AC115" s="270"/>
      <c r="AD115" s="270"/>
      <c r="AE115" s="270"/>
      <c r="AF115" s="270"/>
      <c r="AG115" s="270"/>
      <c r="AH115" s="270"/>
      <c r="AI115" s="270"/>
      <c r="AJ115" s="270"/>
      <c r="AK115" s="270"/>
      <c r="AL115" s="270"/>
      <c r="AM115" s="663"/>
      <c r="AN115" s="663"/>
      <c r="AO115" s="708" t="str">
        <f>IF(OR(Table1[[#This Row],[Início Setup Envase]]="",Table1[[#This Row],[Final Setup Envase]]=""),"",Table1[[#This Row],[Final Setup Envase]]-Table1[[#This Row],[Início Setup Envase]])</f>
        <v/>
      </c>
      <c r="AP115" s="663"/>
      <c r="AQ115" s="663"/>
      <c r="AR115" s="270"/>
      <c r="AS115" s="270"/>
      <c r="AT115" s="270"/>
      <c r="AU115" s="270"/>
      <c r="AV115" s="270"/>
      <c r="AW115" s="270"/>
      <c r="AX115" s="270"/>
      <c r="AY115" s="270"/>
      <c r="AZ115" s="270"/>
      <c r="BA115" s="270">
        <f>IF(Table1[[#This Row],[Data de Início]]="","",YEAR(Table1[[#This Row],[Data de Início]]))</f>
        <v>2025</v>
      </c>
      <c r="BB115" s="270">
        <f>IF(Table1[[#This Row],[Data de Início]]="","",MONTH(Table1[[#This Row],[Data de Início]]))</f>
        <v>6</v>
      </c>
      <c r="BC115" s="270"/>
    </row>
    <row r="116" spans="2:55" ht="15" customHeight="1" x14ac:dyDescent="0.25">
      <c r="B116" s="470">
        <v>45810.493055555555</v>
      </c>
      <c r="C116" s="263">
        <v>45810.659722222219</v>
      </c>
      <c r="D116" s="264" cm="1">
        <f t="array" ref="D116">IFERROR(HorasUteisFabrica2Turnos(B116,C116), "")</f>
        <v>2.9999999999417923</v>
      </c>
      <c r="E116" s="265">
        <f t="shared" si="1"/>
        <v>528.00000001024455</v>
      </c>
      <c r="F116" s="265"/>
      <c r="G116" s="265"/>
      <c r="H116" s="265"/>
      <c r="I116" s="269" t="s">
        <v>28</v>
      </c>
      <c r="J116" s="267" t="s">
        <v>15</v>
      </c>
      <c r="K116" s="268">
        <v>1584</v>
      </c>
      <c r="L116" s="269" t="s">
        <v>243</v>
      </c>
      <c r="M116" s="270" t="str">
        <f>IFERROR(INDEX([1]Produtos!$C:$C,MATCH(L116,[1]Produtos!$B:$B,0)), "-")</f>
        <v>CONDICIONADOR HUBBA GUM BANANA</v>
      </c>
      <c r="N116" s="510">
        <f>IFERROR(INDEX([1]Produtos!$E:$E,MATCH(L116,[1]Produtos!$B:$B,0)), "-")</f>
        <v>300</v>
      </c>
      <c r="O116" s="270" t="str">
        <f>IFERROR(INDEX([1]Produtos!$F:$F,MATCH(L116,[1]Produtos!$B:$B,0)), "-")</f>
        <v>ml</v>
      </c>
      <c r="P116" s="270" t="str">
        <f>IFERROR(INDEX([1]Produtos!$G:$G,MATCH(L116,[1]Produtos!$B:$B,0)), "-")</f>
        <v>LUA &amp; NEVE</v>
      </c>
      <c r="Q116" s="270" t="str">
        <f>IFERROR(INDEX([1]Produtos!$H:$H,MATCH(L116,[1]Produtos!$B:$B,0)), "-")</f>
        <v>CAPILAR</v>
      </c>
      <c r="R116" s="270" t="str">
        <f>IFERROR(INDEX([1]Produtos!$I:$I,MATCH(L116,[1]Produtos!$B:$B,0)), "-")</f>
        <v>CONDICIONADOR</v>
      </c>
      <c r="S116" s="270" t="str">
        <f>IFERROR(INDEX([1]Produtos!$J:$J,MATCH(L116,[1]Produtos!$B:$B,0)), "-")</f>
        <v>DENSO</v>
      </c>
      <c r="T116" s="473"/>
      <c r="U116" s="270"/>
      <c r="V116" s="270"/>
      <c r="W116" s="270"/>
      <c r="X116" s="270"/>
      <c r="Y116" s="270"/>
      <c r="Z116" s="270"/>
      <c r="AA116" s="270"/>
      <c r="AB116" s="270"/>
      <c r="AC116" s="270"/>
      <c r="AD116" s="270"/>
      <c r="AE116" s="270"/>
      <c r="AF116" s="270"/>
      <c r="AG116" s="270"/>
      <c r="AH116" s="270"/>
      <c r="AI116" s="270"/>
      <c r="AJ116" s="270"/>
      <c r="AK116" s="270"/>
      <c r="AL116" s="270"/>
      <c r="AM116" s="663"/>
      <c r="AN116" s="663"/>
      <c r="AO116" s="708" t="str">
        <f>IF(OR(Table1[[#This Row],[Início Setup Envase]]="",Table1[[#This Row],[Final Setup Envase]]=""),"",Table1[[#This Row],[Final Setup Envase]]-Table1[[#This Row],[Início Setup Envase]])</f>
        <v/>
      </c>
      <c r="AP116" s="663"/>
      <c r="AQ116" s="663"/>
      <c r="AR116" s="270"/>
      <c r="AS116" s="270"/>
      <c r="AT116" s="270"/>
      <c r="AU116" s="270"/>
      <c r="AV116" s="270"/>
      <c r="AW116" s="270"/>
      <c r="AX116" s="270"/>
      <c r="AY116" s="270"/>
      <c r="AZ116" s="270"/>
      <c r="BA116" s="270">
        <f>IF(Table1[[#This Row],[Data de Início]]="","",YEAR(Table1[[#This Row],[Data de Início]]))</f>
        <v>2025</v>
      </c>
      <c r="BB116" s="270">
        <f>IF(Table1[[#This Row],[Data de Início]]="","",MONTH(Table1[[#This Row],[Data de Início]]))</f>
        <v>6</v>
      </c>
      <c r="BC116" s="270"/>
    </row>
    <row r="117" spans="2:55" ht="15" customHeight="1" x14ac:dyDescent="0.25">
      <c r="B117" s="470">
        <v>45810.659722222219</v>
      </c>
      <c r="C117" s="263">
        <v>45811.333333333336</v>
      </c>
      <c r="D117" s="264" cm="1">
        <f t="array" ref="D117">IFERROR(HorasUteisFabrica2Turnos(B117,C117), "")</f>
        <v>2.1666666669188999</v>
      </c>
      <c r="E117" s="265">
        <f t="shared" si="1"/>
        <v>498.46153840350991</v>
      </c>
      <c r="F117" s="265"/>
      <c r="G117" s="265"/>
      <c r="H117" s="265"/>
      <c r="I117" s="266" t="s">
        <v>24</v>
      </c>
      <c r="J117" s="267" t="s">
        <v>15</v>
      </c>
      <c r="K117" s="268">
        <v>1080</v>
      </c>
      <c r="L117" s="269" t="s">
        <v>253</v>
      </c>
      <c r="M117" s="270" t="str">
        <f>IFERROR(INDEX([1]Produtos!$C:$C,MATCH(L117,[1]Produtos!$B:$B,0)), "-")</f>
        <v>SHAMPOO HUBBA GUM TUTTI-FRUTTI</v>
      </c>
      <c r="N117" s="510">
        <f>IFERROR(INDEX([1]Produtos!$E:$E,MATCH(L117,[1]Produtos!$B:$B,0)), "-")</f>
        <v>300</v>
      </c>
      <c r="O117" s="270" t="str">
        <f>IFERROR(INDEX([1]Produtos!$F:$F,MATCH(L117,[1]Produtos!$B:$B,0)), "-")</f>
        <v>ml</v>
      </c>
      <c r="P117" s="270" t="str">
        <f>IFERROR(INDEX([1]Produtos!$G:$G,MATCH(L117,[1]Produtos!$B:$B,0)), "-")</f>
        <v>LUA &amp; NEVE</v>
      </c>
      <c r="Q117" s="270" t="str">
        <f>IFERROR(INDEX([1]Produtos!$H:$H,MATCH(L117,[1]Produtos!$B:$B,0)), "-")</f>
        <v>CAPILAR</v>
      </c>
      <c r="R117" s="270" t="str">
        <f>IFERROR(INDEX([1]Produtos!$I:$I,MATCH(L117,[1]Produtos!$B:$B,0)), "-")</f>
        <v>SHAMPOO</v>
      </c>
      <c r="S117" s="270" t="str">
        <f>IFERROR(INDEX([1]Produtos!$J:$J,MATCH(L117,[1]Produtos!$B:$B,0)), "-")</f>
        <v>VISCOSO</v>
      </c>
      <c r="T117" s="473"/>
      <c r="U117" s="270"/>
      <c r="V117" s="270"/>
      <c r="W117" s="270"/>
      <c r="X117" s="270"/>
      <c r="Y117" s="270"/>
      <c r="Z117" s="270"/>
      <c r="AA117" s="270"/>
      <c r="AB117" s="270"/>
      <c r="AC117" s="270"/>
      <c r="AD117" s="270"/>
      <c r="AE117" s="270"/>
      <c r="AF117" s="270"/>
      <c r="AG117" s="270"/>
      <c r="AH117" s="270"/>
      <c r="AI117" s="270"/>
      <c r="AJ117" s="270"/>
      <c r="AK117" s="270"/>
      <c r="AL117" s="270"/>
      <c r="AM117" s="663"/>
      <c r="AN117" s="663"/>
      <c r="AO117" s="708" t="str">
        <f>IF(OR(Table1[[#This Row],[Início Setup Envase]]="",Table1[[#This Row],[Final Setup Envase]]=""),"",Table1[[#This Row],[Final Setup Envase]]-Table1[[#This Row],[Início Setup Envase]])</f>
        <v/>
      </c>
      <c r="AP117" s="663"/>
      <c r="AQ117" s="663"/>
      <c r="AR117" s="270"/>
      <c r="AS117" s="270"/>
      <c r="AT117" s="270"/>
      <c r="AU117" s="270"/>
      <c r="AV117" s="270"/>
      <c r="AW117" s="270"/>
      <c r="AX117" s="270"/>
      <c r="AY117" s="270"/>
      <c r="AZ117" s="270"/>
      <c r="BA117" s="270">
        <f>IF(Table1[[#This Row],[Data de Início]]="","",YEAR(Table1[[#This Row],[Data de Início]]))</f>
        <v>2025</v>
      </c>
      <c r="BB117" s="270">
        <f>IF(Table1[[#This Row],[Data de Início]]="","",MONTH(Table1[[#This Row],[Data de Início]]))</f>
        <v>6</v>
      </c>
      <c r="BC117" s="270"/>
    </row>
    <row r="118" spans="2:55" ht="15" customHeight="1" x14ac:dyDescent="0.25">
      <c r="B118" s="470">
        <v>45811.333333333336</v>
      </c>
      <c r="C118" s="263">
        <v>45811.440972222219</v>
      </c>
      <c r="D118" s="264" cm="1">
        <f t="array" ref="D118">IFERROR(HorasUteisFabrica2Turnos(B118,C118), "")</f>
        <v>2.5833333331975155</v>
      </c>
      <c r="E118" s="265">
        <f t="shared" si="1"/>
        <v>724.6451613284205</v>
      </c>
      <c r="F118" s="265"/>
      <c r="G118" s="265"/>
      <c r="H118" s="265"/>
      <c r="I118" s="266" t="s">
        <v>23</v>
      </c>
      <c r="J118" s="267" t="s">
        <v>15</v>
      </c>
      <c r="K118" s="268">
        <v>1872</v>
      </c>
      <c r="L118" s="269" t="s">
        <v>253</v>
      </c>
      <c r="M118" s="270" t="str">
        <f>IFERROR(INDEX([1]Produtos!$C:$C,MATCH(L118,[1]Produtos!$B:$B,0)), "-")</f>
        <v>SHAMPOO HUBBA GUM TUTTI-FRUTTI</v>
      </c>
      <c r="N118" s="510">
        <f>IFERROR(INDEX([1]Produtos!$E:$E,MATCH(L118,[1]Produtos!$B:$B,0)), "-")</f>
        <v>300</v>
      </c>
      <c r="O118" s="270" t="str">
        <f>IFERROR(INDEX([1]Produtos!$F:$F,MATCH(L118,[1]Produtos!$B:$B,0)), "-")</f>
        <v>ml</v>
      </c>
      <c r="P118" s="270" t="str">
        <f>IFERROR(INDEX([1]Produtos!$G:$G,MATCH(L118,[1]Produtos!$B:$B,0)), "-")</f>
        <v>LUA &amp; NEVE</v>
      </c>
      <c r="Q118" s="270" t="str">
        <f>IFERROR(INDEX([1]Produtos!$H:$H,MATCH(L118,[1]Produtos!$B:$B,0)), "-")</f>
        <v>CAPILAR</v>
      </c>
      <c r="R118" s="270" t="str">
        <f>IFERROR(INDEX([1]Produtos!$I:$I,MATCH(L118,[1]Produtos!$B:$B,0)), "-")</f>
        <v>SHAMPOO</v>
      </c>
      <c r="S118" s="270" t="str">
        <f>IFERROR(INDEX([1]Produtos!$J:$J,MATCH(L118,[1]Produtos!$B:$B,0)), "-")</f>
        <v>VISCOSO</v>
      </c>
      <c r="T118" s="473"/>
      <c r="U118" s="270"/>
      <c r="V118" s="270"/>
      <c r="W118" s="270"/>
      <c r="X118" s="270"/>
      <c r="Y118" s="270"/>
      <c r="Z118" s="270"/>
      <c r="AA118" s="270"/>
      <c r="AB118" s="270"/>
      <c r="AC118" s="270"/>
      <c r="AD118" s="270"/>
      <c r="AE118" s="270"/>
      <c r="AF118" s="270"/>
      <c r="AG118" s="270"/>
      <c r="AH118" s="270"/>
      <c r="AI118" s="270"/>
      <c r="AJ118" s="270"/>
      <c r="AK118" s="270"/>
      <c r="AL118" s="270"/>
      <c r="AM118" s="663"/>
      <c r="AN118" s="663"/>
      <c r="AO118" s="708" t="str">
        <f>IF(OR(Table1[[#This Row],[Início Setup Envase]]="",Table1[[#This Row],[Final Setup Envase]]=""),"",Table1[[#This Row],[Final Setup Envase]]-Table1[[#This Row],[Início Setup Envase]])</f>
        <v/>
      </c>
      <c r="AP118" s="663"/>
      <c r="AQ118" s="663"/>
      <c r="AR118" s="270"/>
      <c r="AS118" s="270"/>
      <c r="AT118" s="270"/>
      <c r="AU118" s="270"/>
      <c r="AV118" s="270"/>
      <c r="AW118" s="270"/>
      <c r="AX118" s="270"/>
      <c r="AY118" s="270"/>
      <c r="AZ118" s="270"/>
      <c r="BA118" s="270">
        <f>IF(Table1[[#This Row],[Data de Início]]="","",YEAR(Table1[[#This Row],[Data de Início]]))</f>
        <v>2025</v>
      </c>
      <c r="BB118" s="270">
        <f>IF(Table1[[#This Row],[Data de Início]]="","",MONTH(Table1[[#This Row],[Data de Início]]))</f>
        <v>6</v>
      </c>
      <c r="BC118" s="270"/>
    </row>
    <row r="119" spans="2:55" ht="15" customHeight="1" x14ac:dyDescent="0.25">
      <c r="B119" s="470">
        <v>45811.440972222219</v>
      </c>
      <c r="C119" s="263">
        <v>45811.586805555555</v>
      </c>
      <c r="D119" s="264" cm="1">
        <f t="array" ref="D119">IFERROR(HorasUteisFabrica2Turnos(B119,C119), "")</f>
        <v>2.5000000000582077</v>
      </c>
      <c r="E119" s="265">
        <f t="shared" si="1"/>
        <v>705.59999998357148</v>
      </c>
      <c r="F119" s="265"/>
      <c r="G119" s="265"/>
      <c r="H119" s="265"/>
      <c r="I119" s="266" t="s">
        <v>25</v>
      </c>
      <c r="J119" s="267" t="s">
        <v>15</v>
      </c>
      <c r="K119" s="268">
        <v>1764</v>
      </c>
      <c r="L119" s="269" t="s">
        <v>253</v>
      </c>
      <c r="M119" s="270" t="str">
        <f>IFERROR(INDEX([1]Produtos!$C:$C,MATCH(L119,[1]Produtos!$B:$B,0)), "-")</f>
        <v>SHAMPOO HUBBA GUM TUTTI-FRUTTI</v>
      </c>
      <c r="N119" s="510">
        <f>IFERROR(INDEX([1]Produtos!$E:$E,MATCH(L119,[1]Produtos!$B:$B,0)), "-")</f>
        <v>300</v>
      </c>
      <c r="O119" s="270" t="str">
        <f>IFERROR(INDEX([1]Produtos!$F:$F,MATCH(L119,[1]Produtos!$B:$B,0)), "-")</f>
        <v>ml</v>
      </c>
      <c r="P119" s="270" t="str">
        <f>IFERROR(INDEX([1]Produtos!$G:$G,MATCH(L119,[1]Produtos!$B:$B,0)), "-")</f>
        <v>LUA &amp; NEVE</v>
      </c>
      <c r="Q119" s="270" t="str">
        <f>IFERROR(INDEX([1]Produtos!$H:$H,MATCH(L119,[1]Produtos!$B:$B,0)), "-")</f>
        <v>CAPILAR</v>
      </c>
      <c r="R119" s="270" t="str">
        <f>IFERROR(INDEX([1]Produtos!$I:$I,MATCH(L119,[1]Produtos!$B:$B,0)), "-")</f>
        <v>SHAMPOO</v>
      </c>
      <c r="S119" s="270" t="str">
        <f>IFERROR(INDEX([1]Produtos!$J:$J,MATCH(L119,[1]Produtos!$B:$B,0)), "-")</f>
        <v>VISCOSO</v>
      </c>
      <c r="T119" s="473"/>
      <c r="U119" s="270"/>
      <c r="V119" s="270"/>
      <c r="W119" s="270"/>
      <c r="X119" s="270"/>
      <c r="Y119" s="270"/>
      <c r="Z119" s="270"/>
      <c r="AA119" s="270"/>
      <c r="AB119" s="270"/>
      <c r="AC119" s="270"/>
      <c r="AD119" s="270"/>
      <c r="AE119" s="270"/>
      <c r="AF119" s="270"/>
      <c r="AG119" s="270"/>
      <c r="AH119" s="270"/>
      <c r="AI119" s="270"/>
      <c r="AJ119" s="270"/>
      <c r="AK119" s="270"/>
      <c r="AL119" s="270"/>
      <c r="AM119" s="663"/>
      <c r="AN119" s="663"/>
      <c r="AO119" s="708" t="str">
        <f>IF(OR(Table1[[#This Row],[Início Setup Envase]]="",Table1[[#This Row],[Final Setup Envase]]=""),"",Table1[[#This Row],[Final Setup Envase]]-Table1[[#This Row],[Início Setup Envase]])</f>
        <v/>
      </c>
      <c r="AP119" s="663"/>
      <c r="AQ119" s="663"/>
      <c r="AR119" s="270"/>
      <c r="AS119" s="270"/>
      <c r="AT119" s="270"/>
      <c r="AU119" s="270"/>
      <c r="AV119" s="270"/>
      <c r="AW119" s="270"/>
      <c r="AX119" s="270"/>
      <c r="AY119" s="270"/>
      <c r="AZ119" s="270"/>
      <c r="BA119" s="270">
        <f>IF(Table1[[#This Row],[Data de Início]]="","",YEAR(Table1[[#This Row],[Data de Início]]))</f>
        <v>2025</v>
      </c>
      <c r="BB119" s="270">
        <f>IF(Table1[[#This Row],[Data de Início]]="","",MONTH(Table1[[#This Row],[Data de Início]]))</f>
        <v>6</v>
      </c>
      <c r="BC119" s="270"/>
    </row>
    <row r="120" spans="2:55" ht="15" customHeight="1" x14ac:dyDescent="0.25">
      <c r="B120" s="470">
        <v>45811.586805555555</v>
      </c>
      <c r="C120" s="263">
        <v>45811.695138888892</v>
      </c>
      <c r="D120" s="264" cm="1">
        <f t="array" ref="D120">IFERROR(HorasUteisFabrica2Turnos(B120,C120), "")</f>
        <v>2.6000000000931323</v>
      </c>
      <c r="E120" s="265">
        <f t="shared" si="1"/>
        <v>664.61538459157805</v>
      </c>
      <c r="F120" s="265"/>
      <c r="G120" s="265"/>
      <c r="H120" s="265"/>
      <c r="I120" s="266" t="s">
        <v>178</v>
      </c>
      <c r="J120" s="267" t="s">
        <v>15</v>
      </c>
      <c r="K120" s="268">
        <v>1728</v>
      </c>
      <c r="L120" s="269" t="s">
        <v>253</v>
      </c>
      <c r="M120" s="270" t="str">
        <f>IFERROR(INDEX([1]Produtos!$C:$C,MATCH(L120,[1]Produtos!$B:$B,0)), "-")</f>
        <v>SHAMPOO HUBBA GUM TUTTI-FRUTTI</v>
      </c>
      <c r="N120" s="510">
        <f>IFERROR(INDEX([1]Produtos!$E:$E,MATCH(L120,[1]Produtos!$B:$B,0)), "-")</f>
        <v>300</v>
      </c>
      <c r="O120" s="270" t="str">
        <f>IFERROR(INDEX([1]Produtos!$F:$F,MATCH(L120,[1]Produtos!$B:$B,0)), "-")</f>
        <v>ml</v>
      </c>
      <c r="P120" s="270" t="str">
        <f>IFERROR(INDEX([1]Produtos!$G:$G,MATCH(L120,[1]Produtos!$B:$B,0)), "-")</f>
        <v>LUA &amp; NEVE</v>
      </c>
      <c r="Q120" s="270" t="str">
        <f>IFERROR(INDEX([1]Produtos!$H:$H,MATCH(L120,[1]Produtos!$B:$B,0)), "-")</f>
        <v>CAPILAR</v>
      </c>
      <c r="R120" s="270" t="str">
        <f>IFERROR(INDEX([1]Produtos!$I:$I,MATCH(L120,[1]Produtos!$B:$B,0)), "-")</f>
        <v>SHAMPOO</v>
      </c>
      <c r="S120" s="270" t="str">
        <f>IFERROR(INDEX([1]Produtos!$J:$J,MATCH(L120,[1]Produtos!$B:$B,0)), "-")</f>
        <v>VISCOSO</v>
      </c>
      <c r="T120" s="473"/>
      <c r="U120" s="270"/>
      <c r="V120" s="270"/>
      <c r="W120" s="270"/>
      <c r="X120" s="270"/>
      <c r="Y120" s="270"/>
      <c r="Z120" s="270"/>
      <c r="AA120" s="270"/>
      <c r="AB120" s="270"/>
      <c r="AC120" s="270"/>
      <c r="AD120" s="270"/>
      <c r="AE120" s="270"/>
      <c r="AF120" s="270"/>
      <c r="AG120" s="270"/>
      <c r="AH120" s="270"/>
      <c r="AI120" s="270"/>
      <c r="AJ120" s="270"/>
      <c r="AK120" s="270"/>
      <c r="AL120" s="270"/>
      <c r="AM120" s="663"/>
      <c r="AN120" s="663"/>
      <c r="AO120" s="708" t="str">
        <f>IF(OR(Table1[[#This Row],[Início Setup Envase]]="",Table1[[#This Row],[Final Setup Envase]]=""),"",Table1[[#This Row],[Final Setup Envase]]-Table1[[#This Row],[Início Setup Envase]])</f>
        <v/>
      </c>
      <c r="AP120" s="663"/>
      <c r="AQ120" s="663"/>
      <c r="AR120" s="270"/>
      <c r="AS120" s="270"/>
      <c r="AT120" s="270"/>
      <c r="AU120" s="270"/>
      <c r="AV120" s="270"/>
      <c r="AW120" s="270"/>
      <c r="AX120" s="270"/>
      <c r="AY120" s="270"/>
      <c r="AZ120" s="270"/>
      <c r="BA120" s="270">
        <f>IF(Table1[[#This Row],[Data de Início]]="","",YEAR(Table1[[#This Row],[Data de Início]]))</f>
        <v>2025</v>
      </c>
      <c r="BB120" s="270">
        <f>IF(Table1[[#This Row],[Data de Início]]="","",MONTH(Table1[[#This Row],[Data de Início]]))</f>
        <v>6</v>
      </c>
      <c r="BC120" s="270"/>
    </row>
    <row r="121" spans="2:55" ht="15" customHeight="1" x14ac:dyDescent="0.25">
      <c r="B121" s="470">
        <v>45811.695138888892</v>
      </c>
      <c r="C121" s="263">
        <v>45812.482638888891</v>
      </c>
      <c r="D121" s="264" cm="1">
        <f t="array" ref="D121">IFERROR(HorasUteisFabrica2Turnos(B121,C121), "")</f>
        <v>4.9000000000814907</v>
      </c>
      <c r="E121" s="265">
        <f t="shared" si="1"/>
        <v>352.65306121862488</v>
      </c>
      <c r="F121" s="265"/>
      <c r="G121" s="265"/>
      <c r="H121" s="265"/>
      <c r="I121" s="266" t="s">
        <v>179</v>
      </c>
      <c r="J121" s="267" t="s">
        <v>15</v>
      </c>
      <c r="K121" s="268">
        <v>1728</v>
      </c>
      <c r="L121" s="269" t="s">
        <v>253</v>
      </c>
      <c r="M121" s="270" t="str">
        <f>IFERROR(INDEX([1]Produtos!$C:$C,MATCH(L121,[1]Produtos!$B:$B,0)), "-")</f>
        <v>SHAMPOO HUBBA GUM TUTTI-FRUTTI</v>
      </c>
      <c r="N121" s="510">
        <f>IFERROR(INDEX([1]Produtos!$E:$E,MATCH(L121,[1]Produtos!$B:$B,0)), "-")</f>
        <v>300</v>
      </c>
      <c r="O121" s="270" t="str">
        <f>IFERROR(INDEX([1]Produtos!$F:$F,MATCH(L121,[1]Produtos!$B:$B,0)), "-")</f>
        <v>ml</v>
      </c>
      <c r="P121" s="270" t="str">
        <f>IFERROR(INDEX([1]Produtos!$G:$G,MATCH(L121,[1]Produtos!$B:$B,0)), "-")</f>
        <v>LUA &amp; NEVE</v>
      </c>
      <c r="Q121" s="270" t="str">
        <f>IFERROR(INDEX([1]Produtos!$H:$H,MATCH(L121,[1]Produtos!$B:$B,0)), "-")</f>
        <v>CAPILAR</v>
      </c>
      <c r="R121" s="270" t="str">
        <f>IFERROR(INDEX([1]Produtos!$I:$I,MATCH(L121,[1]Produtos!$B:$B,0)), "-")</f>
        <v>SHAMPOO</v>
      </c>
      <c r="S121" s="270" t="str">
        <f>IFERROR(INDEX([1]Produtos!$J:$J,MATCH(L121,[1]Produtos!$B:$B,0)), "-")</f>
        <v>VISCOSO</v>
      </c>
      <c r="T121" s="473"/>
      <c r="U121" s="270"/>
      <c r="V121" s="270"/>
      <c r="W121" s="270"/>
      <c r="X121" s="270"/>
      <c r="Y121" s="270"/>
      <c r="Z121" s="270"/>
      <c r="AA121" s="270"/>
      <c r="AB121" s="270"/>
      <c r="AC121" s="270"/>
      <c r="AD121" s="270"/>
      <c r="AE121" s="270"/>
      <c r="AF121" s="270"/>
      <c r="AG121" s="270"/>
      <c r="AH121" s="270"/>
      <c r="AI121" s="270"/>
      <c r="AJ121" s="270"/>
      <c r="AK121" s="270"/>
      <c r="AL121" s="270"/>
      <c r="AM121" s="663"/>
      <c r="AN121" s="663"/>
      <c r="AO121" s="708" t="str">
        <f>IF(OR(Table1[[#This Row],[Início Setup Envase]]="",Table1[[#This Row],[Final Setup Envase]]=""),"",Table1[[#This Row],[Final Setup Envase]]-Table1[[#This Row],[Início Setup Envase]])</f>
        <v/>
      </c>
      <c r="AP121" s="663"/>
      <c r="AQ121" s="663"/>
      <c r="AR121" s="270"/>
      <c r="AS121" s="270"/>
      <c r="AT121" s="270"/>
      <c r="AU121" s="270"/>
      <c r="AV121" s="270"/>
      <c r="AW121" s="270"/>
      <c r="AX121" s="270"/>
      <c r="AY121" s="270"/>
      <c r="AZ121" s="270"/>
      <c r="BA121" s="270">
        <f>IF(Table1[[#This Row],[Data de Início]]="","",YEAR(Table1[[#This Row],[Data de Início]]))</f>
        <v>2025</v>
      </c>
      <c r="BB121" s="270">
        <f>IF(Table1[[#This Row],[Data de Início]]="","",MONTH(Table1[[#This Row],[Data de Início]]))</f>
        <v>6</v>
      </c>
      <c r="BC121" s="270"/>
    </row>
    <row r="122" spans="2:55" ht="15" customHeight="1" x14ac:dyDescent="0.25">
      <c r="B122" s="470">
        <v>45812.482638888891</v>
      </c>
      <c r="C122" s="263">
        <v>45812.5625</v>
      </c>
      <c r="D122" s="264" cm="1">
        <f t="array" ref="D122">IFERROR(HorasUteisFabrica2Turnos(B122,C122), "")</f>
        <v>0.91666666662786156</v>
      </c>
      <c r="E122" s="265">
        <f t="shared" si="1"/>
        <v>1217.4545455060838</v>
      </c>
      <c r="F122" s="265"/>
      <c r="G122" s="265"/>
      <c r="H122" s="265"/>
      <c r="I122" s="266" t="s">
        <v>177</v>
      </c>
      <c r="J122" s="267" t="s">
        <v>15</v>
      </c>
      <c r="K122" s="268">
        <v>1116</v>
      </c>
      <c r="L122" s="269" t="s">
        <v>253</v>
      </c>
      <c r="M122" s="270" t="str">
        <f>IFERROR(INDEX([1]Produtos!$C:$C,MATCH(L122,[1]Produtos!$B:$B,0)), "-")</f>
        <v>SHAMPOO HUBBA GUM TUTTI-FRUTTI</v>
      </c>
      <c r="N122" s="510">
        <f>IFERROR(INDEX([1]Produtos!$E:$E,MATCH(L122,[1]Produtos!$B:$B,0)), "-")</f>
        <v>300</v>
      </c>
      <c r="O122" s="270" t="str">
        <f>IFERROR(INDEX([1]Produtos!$F:$F,MATCH(L122,[1]Produtos!$B:$B,0)), "-")</f>
        <v>ml</v>
      </c>
      <c r="P122" s="270" t="str">
        <f>IFERROR(INDEX([1]Produtos!$G:$G,MATCH(L122,[1]Produtos!$B:$B,0)), "-")</f>
        <v>LUA &amp; NEVE</v>
      </c>
      <c r="Q122" s="270" t="str">
        <f>IFERROR(INDEX([1]Produtos!$H:$H,MATCH(L122,[1]Produtos!$B:$B,0)), "-")</f>
        <v>CAPILAR</v>
      </c>
      <c r="R122" s="270" t="str">
        <f>IFERROR(INDEX([1]Produtos!$I:$I,MATCH(L122,[1]Produtos!$B:$B,0)), "-")</f>
        <v>SHAMPOO</v>
      </c>
      <c r="S122" s="270" t="str">
        <f>IFERROR(INDEX([1]Produtos!$J:$J,MATCH(L122,[1]Produtos!$B:$B,0)), "-")</f>
        <v>VISCOSO</v>
      </c>
      <c r="T122" s="473"/>
      <c r="U122" s="270"/>
      <c r="V122" s="270"/>
      <c r="W122" s="270"/>
      <c r="X122" s="270"/>
      <c r="Y122" s="270"/>
      <c r="Z122" s="270"/>
      <c r="AA122" s="270"/>
      <c r="AB122" s="270"/>
      <c r="AC122" s="270"/>
      <c r="AD122" s="270"/>
      <c r="AE122" s="270"/>
      <c r="AF122" s="270"/>
      <c r="AG122" s="270"/>
      <c r="AH122" s="270"/>
      <c r="AI122" s="270"/>
      <c r="AJ122" s="270"/>
      <c r="AK122" s="270"/>
      <c r="AL122" s="270"/>
      <c r="AM122" s="663"/>
      <c r="AN122" s="663"/>
      <c r="AO122" s="708" t="str">
        <f>IF(OR(Table1[[#This Row],[Início Setup Envase]]="",Table1[[#This Row],[Final Setup Envase]]=""),"",Table1[[#This Row],[Final Setup Envase]]-Table1[[#This Row],[Início Setup Envase]])</f>
        <v/>
      </c>
      <c r="AP122" s="663"/>
      <c r="AQ122" s="663"/>
      <c r="AR122" s="270"/>
      <c r="AS122" s="270"/>
      <c r="AT122" s="270"/>
      <c r="AU122" s="270"/>
      <c r="AV122" s="270"/>
      <c r="AW122" s="270"/>
      <c r="AX122" s="270"/>
      <c r="AY122" s="270"/>
      <c r="AZ122" s="270"/>
      <c r="BA122" s="270">
        <f>IF(Table1[[#This Row],[Data de Início]]="","",YEAR(Table1[[#This Row],[Data de Início]]))</f>
        <v>2025</v>
      </c>
      <c r="BB122" s="270">
        <f>IF(Table1[[#This Row],[Data de Início]]="","",MONTH(Table1[[#This Row],[Data de Início]]))</f>
        <v>6</v>
      </c>
      <c r="BC122" s="270"/>
    </row>
    <row r="123" spans="2:55" ht="15" customHeight="1" x14ac:dyDescent="0.25">
      <c r="B123" s="470">
        <v>45812.5625</v>
      </c>
      <c r="C123" s="263">
        <v>45812.630555555559</v>
      </c>
      <c r="D123" s="264" cm="1">
        <f t="array" ref="D123">IFERROR(HorasUteisFabrica2Turnos(B123,C123), "")</f>
        <v>1.6333333334187046</v>
      </c>
      <c r="E123" s="265">
        <f t="shared" si="1"/>
        <v>925.71428566590043</v>
      </c>
      <c r="F123" s="265"/>
      <c r="G123" s="265"/>
      <c r="H123" s="265"/>
      <c r="I123" s="266" t="s">
        <v>182</v>
      </c>
      <c r="J123" s="267" t="s">
        <v>15</v>
      </c>
      <c r="K123" s="268">
        <v>1512</v>
      </c>
      <c r="L123" s="269" t="s">
        <v>245</v>
      </c>
      <c r="M123" s="270" t="str">
        <f>IFERROR(INDEX([1]Produtos!$C:$C,MATCH(L123,[1]Produtos!$B:$B,0)), "-")</f>
        <v>CONDICIONADOR HUBBA GUM UVA</v>
      </c>
      <c r="N123" s="510">
        <f>IFERROR(INDEX([1]Produtos!$E:$E,MATCH(L123,[1]Produtos!$B:$B,0)), "-")</f>
        <v>300</v>
      </c>
      <c r="O123" s="270" t="str">
        <f>IFERROR(INDEX([1]Produtos!$F:$F,MATCH(L123,[1]Produtos!$B:$B,0)), "-")</f>
        <v>ml</v>
      </c>
      <c r="P123" s="270" t="str">
        <f>IFERROR(INDEX([1]Produtos!$G:$G,MATCH(L123,[1]Produtos!$B:$B,0)), "-")</f>
        <v>LUA &amp; NEVE</v>
      </c>
      <c r="Q123" s="270" t="str">
        <f>IFERROR(INDEX([1]Produtos!$H:$H,MATCH(L123,[1]Produtos!$B:$B,0)), "-")</f>
        <v>CAPILAR</v>
      </c>
      <c r="R123" s="270" t="str">
        <f>IFERROR(INDEX([1]Produtos!$I:$I,MATCH(L123,[1]Produtos!$B:$B,0)), "-")</f>
        <v>CONDICIONADOR</v>
      </c>
      <c r="S123" s="270" t="str">
        <f>IFERROR(INDEX([1]Produtos!$J:$J,MATCH(L123,[1]Produtos!$B:$B,0)), "-")</f>
        <v>DENSO</v>
      </c>
      <c r="T123" s="473"/>
      <c r="U123" s="270"/>
      <c r="V123" s="270"/>
      <c r="W123" s="270"/>
      <c r="X123" s="270"/>
      <c r="Y123" s="270"/>
      <c r="Z123" s="270"/>
      <c r="AA123" s="270"/>
      <c r="AB123" s="270"/>
      <c r="AC123" s="270"/>
      <c r="AD123" s="270"/>
      <c r="AE123" s="270"/>
      <c r="AF123" s="270"/>
      <c r="AG123" s="270"/>
      <c r="AH123" s="270"/>
      <c r="AI123" s="270"/>
      <c r="AJ123" s="270"/>
      <c r="AK123" s="270"/>
      <c r="AL123" s="270"/>
      <c r="AM123" s="663"/>
      <c r="AN123" s="663"/>
      <c r="AO123" s="708" t="str">
        <f>IF(OR(Table1[[#This Row],[Início Setup Envase]]="",Table1[[#This Row],[Final Setup Envase]]=""),"",Table1[[#This Row],[Final Setup Envase]]-Table1[[#This Row],[Início Setup Envase]])</f>
        <v/>
      </c>
      <c r="AP123" s="663"/>
      <c r="AQ123" s="663"/>
      <c r="AR123" s="270"/>
      <c r="AS123" s="270"/>
      <c r="AT123" s="270"/>
      <c r="AU123" s="270"/>
      <c r="AV123" s="270"/>
      <c r="AW123" s="270"/>
      <c r="AX123" s="270"/>
      <c r="AY123" s="270"/>
      <c r="AZ123" s="270"/>
      <c r="BA123" s="270">
        <f>IF(Table1[[#This Row],[Data de Início]]="","",YEAR(Table1[[#This Row],[Data de Início]]))</f>
        <v>2025</v>
      </c>
      <c r="BB123" s="270">
        <f>IF(Table1[[#This Row],[Data de Início]]="","",MONTH(Table1[[#This Row],[Data de Início]]))</f>
        <v>6</v>
      </c>
      <c r="BC123" s="270"/>
    </row>
    <row r="124" spans="2:55" ht="15" customHeight="1" x14ac:dyDescent="0.25">
      <c r="B124" s="470">
        <v>45812.630555555559</v>
      </c>
      <c r="C124" s="263">
        <v>45813.333333333336</v>
      </c>
      <c r="D124" s="264" cm="1">
        <f t="array" ref="D124">IFERROR(HorasUteisFabrica2Turnos(B124,C124), "")</f>
        <v>2.8666666667559184</v>
      </c>
      <c r="E124" s="265">
        <f t="shared" si="1"/>
        <v>527.44186044869468</v>
      </c>
      <c r="F124" s="265"/>
      <c r="G124" s="265"/>
      <c r="H124" s="265"/>
      <c r="I124" s="266" t="s">
        <v>181</v>
      </c>
      <c r="J124" s="267" t="s">
        <v>15</v>
      </c>
      <c r="K124" s="268">
        <v>1512</v>
      </c>
      <c r="L124" s="269" t="s">
        <v>245</v>
      </c>
      <c r="M124" s="270" t="str">
        <f>IFERROR(INDEX([1]Produtos!$C:$C,MATCH(L124,[1]Produtos!$B:$B,0)), "-")</f>
        <v>CONDICIONADOR HUBBA GUM UVA</v>
      </c>
      <c r="N124" s="510">
        <f>IFERROR(INDEX([1]Produtos!$E:$E,MATCH(L124,[1]Produtos!$B:$B,0)), "-")</f>
        <v>300</v>
      </c>
      <c r="O124" s="270" t="str">
        <f>IFERROR(INDEX([1]Produtos!$F:$F,MATCH(L124,[1]Produtos!$B:$B,0)), "-")</f>
        <v>ml</v>
      </c>
      <c r="P124" s="270" t="str">
        <f>IFERROR(INDEX([1]Produtos!$G:$G,MATCH(L124,[1]Produtos!$B:$B,0)), "-")</f>
        <v>LUA &amp; NEVE</v>
      </c>
      <c r="Q124" s="270" t="str">
        <f>IFERROR(INDEX([1]Produtos!$H:$H,MATCH(L124,[1]Produtos!$B:$B,0)), "-")</f>
        <v>CAPILAR</v>
      </c>
      <c r="R124" s="270" t="str">
        <f>IFERROR(INDEX([1]Produtos!$I:$I,MATCH(L124,[1]Produtos!$B:$B,0)), "-")</f>
        <v>CONDICIONADOR</v>
      </c>
      <c r="S124" s="270" t="str">
        <f>IFERROR(INDEX([1]Produtos!$J:$J,MATCH(L124,[1]Produtos!$B:$B,0)), "-")</f>
        <v>DENSO</v>
      </c>
      <c r="T124" s="473"/>
      <c r="U124" s="270"/>
      <c r="V124" s="270"/>
      <c r="W124" s="270"/>
      <c r="X124" s="270"/>
      <c r="Y124" s="270"/>
      <c r="Z124" s="270"/>
      <c r="AA124" s="270"/>
      <c r="AB124" s="270"/>
      <c r="AC124" s="270"/>
      <c r="AD124" s="270"/>
      <c r="AE124" s="270"/>
      <c r="AF124" s="270"/>
      <c r="AG124" s="270"/>
      <c r="AH124" s="270"/>
      <c r="AI124" s="270"/>
      <c r="AJ124" s="270"/>
      <c r="AK124" s="270"/>
      <c r="AL124" s="270"/>
      <c r="AM124" s="663"/>
      <c r="AN124" s="663"/>
      <c r="AO124" s="708" t="str">
        <f>IF(OR(Table1[[#This Row],[Início Setup Envase]]="",Table1[[#This Row],[Final Setup Envase]]=""),"",Table1[[#This Row],[Final Setup Envase]]-Table1[[#This Row],[Início Setup Envase]])</f>
        <v/>
      </c>
      <c r="AP124" s="663"/>
      <c r="AQ124" s="663"/>
      <c r="AR124" s="270"/>
      <c r="AS124" s="270"/>
      <c r="AT124" s="270"/>
      <c r="AU124" s="270"/>
      <c r="AV124" s="270"/>
      <c r="AW124" s="270"/>
      <c r="AX124" s="270"/>
      <c r="AY124" s="270"/>
      <c r="AZ124" s="270"/>
      <c r="BA124" s="270">
        <f>IF(Table1[[#This Row],[Data de Início]]="","",YEAR(Table1[[#This Row],[Data de Início]]))</f>
        <v>2025</v>
      </c>
      <c r="BB124" s="270">
        <f>IF(Table1[[#This Row],[Data de Início]]="","",MONTH(Table1[[#This Row],[Data de Início]]))</f>
        <v>6</v>
      </c>
      <c r="BC124" s="270"/>
    </row>
    <row r="125" spans="2:55" ht="15" customHeight="1" x14ac:dyDescent="0.25">
      <c r="B125" s="470">
        <v>45813.3125</v>
      </c>
      <c r="C125" s="263">
        <v>45813.427083333336</v>
      </c>
      <c r="D125" s="264" cm="1">
        <f t="array" ref="D125">IFERROR(HorasUteisFabrica2Turnos(B125,C125), "")</f>
        <v>2.7500000000582077</v>
      </c>
      <c r="E125" s="265">
        <f t="shared" si="1"/>
        <v>549.81818180654409</v>
      </c>
      <c r="F125" s="265"/>
      <c r="G125" s="265"/>
      <c r="H125" s="265"/>
      <c r="I125" s="266" t="s">
        <v>183</v>
      </c>
      <c r="J125" s="267" t="s">
        <v>15</v>
      </c>
      <c r="K125" s="268">
        <v>1512</v>
      </c>
      <c r="L125" s="269" t="s">
        <v>251</v>
      </c>
      <c r="M125" s="270" t="str">
        <f>IFERROR(INDEX([1]Produtos!$C:$C,MATCH(L125,[1]Produtos!$B:$B,0)), "-")</f>
        <v>FINALIZADOR HUBBA GUM UVA</v>
      </c>
      <c r="N125" s="510">
        <f>IFERROR(INDEX([1]Produtos!$E:$E,MATCH(L125,[1]Produtos!$B:$B,0)), "-")</f>
        <v>250</v>
      </c>
      <c r="O125" s="270" t="str">
        <f>IFERROR(INDEX([1]Produtos!$F:$F,MATCH(L125,[1]Produtos!$B:$B,0)), "-")</f>
        <v>ml</v>
      </c>
      <c r="P125" s="270" t="str">
        <f>IFERROR(INDEX([1]Produtos!$G:$G,MATCH(L125,[1]Produtos!$B:$B,0)), "-")</f>
        <v>LUA &amp; NEVE</v>
      </c>
      <c r="Q125" s="270" t="str">
        <f>IFERROR(INDEX([1]Produtos!$H:$H,MATCH(L125,[1]Produtos!$B:$B,0)), "-")</f>
        <v>CAPILAR</v>
      </c>
      <c r="R125" s="270" t="str">
        <f>IFERROR(INDEX([1]Produtos!$I:$I,MATCH(L125,[1]Produtos!$B:$B,0)), "-")</f>
        <v>FINALIZADOR</v>
      </c>
      <c r="S125" s="270" t="str">
        <f>IFERROR(INDEX([1]Produtos!$J:$J,MATCH(L125,[1]Produtos!$B:$B,0)), "-")</f>
        <v>CREMOSO</v>
      </c>
      <c r="T125" s="473"/>
      <c r="U125" s="270"/>
      <c r="V125" s="270"/>
      <c r="W125" s="270"/>
      <c r="X125" s="270"/>
      <c r="Y125" s="270"/>
      <c r="Z125" s="270"/>
      <c r="AA125" s="270"/>
      <c r="AB125" s="270"/>
      <c r="AC125" s="270"/>
      <c r="AD125" s="270"/>
      <c r="AE125" s="270"/>
      <c r="AF125" s="270"/>
      <c r="AG125" s="270"/>
      <c r="AH125" s="270"/>
      <c r="AI125" s="270"/>
      <c r="AJ125" s="270"/>
      <c r="AK125" s="270"/>
      <c r="AL125" s="270"/>
      <c r="AM125" s="663"/>
      <c r="AN125" s="663"/>
      <c r="AO125" s="708" t="str">
        <f>IF(OR(Table1[[#This Row],[Início Setup Envase]]="",Table1[[#This Row],[Final Setup Envase]]=""),"",Table1[[#This Row],[Final Setup Envase]]-Table1[[#This Row],[Início Setup Envase]])</f>
        <v/>
      </c>
      <c r="AP125" s="663"/>
      <c r="AQ125" s="663"/>
      <c r="AR125" s="270"/>
      <c r="AS125" s="270"/>
      <c r="AT125" s="270"/>
      <c r="AU125" s="270"/>
      <c r="AV125" s="270"/>
      <c r="AW125" s="270"/>
      <c r="AX125" s="270"/>
      <c r="AY125" s="270"/>
      <c r="AZ125" s="270"/>
      <c r="BA125" s="270">
        <f>IF(Table1[[#This Row],[Data de Início]]="","",YEAR(Table1[[#This Row],[Data de Início]]))</f>
        <v>2025</v>
      </c>
      <c r="BB125" s="270">
        <f>IF(Table1[[#This Row],[Data de Início]]="","",MONTH(Table1[[#This Row],[Data de Início]]))</f>
        <v>6</v>
      </c>
      <c r="BC125" s="270"/>
    </row>
    <row r="126" spans="2:55" ht="15" customHeight="1" x14ac:dyDescent="0.25">
      <c r="B126" s="470">
        <v>45813.333333333336</v>
      </c>
      <c r="C126" s="263">
        <v>45813.4375</v>
      </c>
      <c r="D126" s="264" cm="1">
        <f t="array" ref="D126">IFERROR(HorasUteisFabrica2Turnos(B126,C126), "")</f>
        <v>2.4999999999417923</v>
      </c>
      <c r="E126" s="265">
        <f t="shared" si="1"/>
        <v>580.80000001352278</v>
      </c>
      <c r="F126" s="265"/>
      <c r="G126" s="265"/>
      <c r="H126" s="265"/>
      <c r="I126" s="266" t="s">
        <v>180</v>
      </c>
      <c r="J126" s="267" t="s">
        <v>15</v>
      </c>
      <c r="K126" s="268">
        <v>1452</v>
      </c>
      <c r="L126" s="269" t="s">
        <v>245</v>
      </c>
      <c r="M126" s="270" t="str">
        <f>IFERROR(INDEX([1]Produtos!$C:$C,MATCH(L126,[1]Produtos!$B:$B,0)), "-")</f>
        <v>CONDICIONADOR HUBBA GUM UVA</v>
      </c>
      <c r="N126" s="510">
        <f>IFERROR(INDEX([1]Produtos!$E:$E,MATCH(L126,[1]Produtos!$B:$B,0)), "-")</f>
        <v>300</v>
      </c>
      <c r="O126" s="270" t="str">
        <f>IFERROR(INDEX([1]Produtos!$F:$F,MATCH(L126,[1]Produtos!$B:$B,0)), "-")</f>
        <v>ml</v>
      </c>
      <c r="P126" s="270" t="str">
        <f>IFERROR(INDEX([1]Produtos!$G:$G,MATCH(L126,[1]Produtos!$B:$B,0)), "-")</f>
        <v>LUA &amp; NEVE</v>
      </c>
      <c r="Q126" s="270" t="str">
        <f>IFERROR(INDEX([1]Produtos!$H:$H,MATCH(L126,[1]Produtos!$B:$B,0)), "-")</f>
        <v>CAPILAR</v>
      </c>
      <c r="R126" s="270" t="str">
        <f>IFERROR(INDEX([1]Produtos!$I:$I,MATCH(L126,[1]Produtos!$B:$B,0)), "-")</f>
        <v>CONDICIONADOR</v>
      </c>
      <c r="S126" s="270" t="str">
        <f>IFERROR(INDEX([1]Produtos!$J:$J,MATCH(L126,[1]Produtos!$B:$B,0)), "-")</f>
        <v>DENSO</v>
      </c>
      <c r="T126" s="473"/>
      <c r="U126" s="270"/>
      <c r="V126" s="270"/>
      <c r="W126" s="270"/>
      <c r="X126" s="270"/>
      <c r="Y126" s="270"/>
      <c r="Z126" s="270"/>
      <c r="AA126" s="270"/>
      <c r="AB126" s="270"/>
      <c r="AC126" s="270"/>
      <c r="AD126" s="270"/>
      <c r="AE126" s="270"/>
      <c r="AF126" s="270"/>
      <c r="AG126" s="270"/>
      <c r="AH126" s="270"/>
      <c r="AI126" s="270"/>
      <c r="AJ126" s="270"/>
      <c r="AK126" s="270"/>
      <c r="AL126" s="270"/>
      <c r="AM126" s="663"/>
      <c r="AN126" s="663"/>
      <c r="AO126" s="708" t="str">
        <f>IF(OR(Table1[[#This Row],[Início Setup Envase]]="",Table1[[#This Row],[Final Setup Envase]]=""),"",Table1[[#This Row],[Final Setup Envase]]-Table1[[#This Row],[Início Setup Envase]])</f>
        <v/>
      </c>
      <c r="AP126" s="663"/>
      <c r="AQ126" s="663"/>
      <c r="AR126" s="270"/>
      <c r="AS126" s="270"/>
      <c r="AT126" s="270"/>
      <c r="AU126" s="270"/>
      <c r="AV126" s="270"/>
      <c r="AW126" s="270"/>
      <c r="AX126" s="270"/>
      <c r="AY126" s="270"/>
      <c r="AZ126" s="270"/>
      <c r="BA126" s="270">
        <f>IF(Table1[[#This Row],[Data de Início]]="","",YEAR(Table1[[#This Row],[Data de Início]]))</f>
        <v>2025</v>
      </c>
      <c r="BB126" s="270">
        <f>IF(Table1[[#This Row],[Data de Início]]="","",MONTH(Table1[[#This Row],[Data de Início]]))</f>
        <v>6</v>
      </c>
      <c r="BC126" s="270"/>
    </row>
    <row r="127" spans="2:55" ht="15" customHeight="1" x14ac:dyDescent="0.25">
      <c r="B127" s="470">
        <v>45813.427083333336</v>
      </c>
      <c r="C127" s="263">
        <v>45813.59375</v>
      </c>
      <c r="D127" s="264" cm="1">
        <f t="array" ref="D127">IFERROR(HorasUteisFabrica2Turnos(B127,C127), "")</f>
        <v>2.9999999999417923</v>
      </c>
      <c r="E127" s="265">
        <f t="shared" si="1"/>
        <v>504.00000000977889</v>
      </c>
      <c r="F127" s="265"/>
      <c r="G127" s="265"/>
      <c r="H127" s="265"/>
      <c r="I127" s="266" t="s">
        <v>184</v>
      </c>
      <c r="J127" s="267" t="s">
        <v>15</v>
      </c>
      <c r="K127" s="268">
        <v>1512</v>
      </c>
      <c r="L127" s="269" t="s">
        <v>251</v>
      </c>
      <c r="M127" s="270" t="str">
        <f>IFERROR(INDEX([1]Produtos!$C:$C,MATCH(L127,[1]Produtos!$B:$B,0)), "-")</f>
        <v>FINALIZADOR HUBBA GUM UVA</v>
      </c>
      <c r="N127" s="510">
        <f>IFERROR(INDEX([1]Produtos!$E:$E,MATCH(L127,[1]Produtos!$B:$B,0)), "-")</f>
        <v>250</v>
      </c>
      <c r="O127" s="270" t="str">
        <f>IFERROR(INDEX([1]Produtos!$F:$F,MATCH(L127,[1]Produtos!$B:$B,0)), "-")</f>
        <v>ml</v>
      </c>
      <c r="P127" s="270" t="str">
        <f>IFERROR(INDEX([1]Produtos!$G:$G,MATCH(L127,[1]Produtos!$B:$B,0)), "-")</f>
        <v>LUA &amp; NEVE</v>
      </c>
      <c r="Q127" s="270" t="str">
        <f>IFERROR(INDEX([1]Produtos!$H:$H,MATCH(L127,[1]Produtos!$B:$B,0)), "-")</f>
        <v>CAPILAR</v>
      </c>
      <c r="R127" s="270" t="str">
        <f>IFERROR(INDEX([1]Produtos!$I:$I,MATCH(L127,[1]Produtos!$B:$B,0)), "-")</f>
        <v>FINALIZADOR</v>
      </c>
      <c r="S127" s="270" t="str">
        <f>IFERROR(INDEX([1]Produtos!$J:$J,MATCH(L127,[1]Produtos!$B:$B,0)), "-")</f>
        <v>CREMOSO</v>
      </c>
      <c r="T127" s="473"/>
      <c r="U127" s="270"/>
      <c r="V127" s="270"/>
      <c r="W127" s="270"/>
      <c r="X127" s="270"/>
      <c r="Y127" s="270"/>
      <c r="Z127" s="270"/>
      <c r="AA127" s="270"/>
      <c r="AB127" s="270"/>
      <c r="AC127" s="270"/>
      <c r="AD127" s="270"/>
      <c r="AE127" s="270"/>
      <c r="AF127" s="270"/>
      <c r="AG127" s="270"/>
      <c r="AH127" s="270"/>
      <c r="AI127" s="270"/>
      <c r="AJ127" s="270"/>
      <c r="AK127" s="270"/>
      <c r="AL127" s="270"/>
      <c r="AM127" s="663"/>
      <c r="AN127" s="663"/>
      <c r="AO127" s="708" t="str">
        <f>IF(OR(Table1[[#This Row],[Início Setup Envase]]="",Table1[[#This Row],[Final Setup Envase]]=""),"",Table1[[#This Row],[Final Setup Envase]]-Table1[[#This Row],[Início Setup Envase]])</f>
        <v/>
      </c>
      <c r="AP127" s="663"/>
      <c r="AQ127" s="663"/>
      <c r="AR127" s="270"/>
      <c r="AS127" s="270"/>
      <c r="AT127" s="270"/>
      <c r="AU127" s="270"/>
      <c r="AV127" s="270"/>
      <c r="AW127" s="270"/>
      <c r="AX127" s="270"/>
      <c r="AY127" s="270"/>
      <c r="AZ127" s="270"/>
      <c r="BA127" s="270">
        <f>IF(Table1[[#This Row],[Data de Início]]="","",YEAR(Table1[[#This Row],[Data de Início]]))</f>
        <v>2025</v>
      </c>
      <c r="BB127" s="270">
        <f>IF(Table1[[#This Row],[Data de Início]]="","",MONTH(Table1[[#This Row],[Data de Início]]))</f>
        <v>6</v>
      </c>
      <c r="BC127" s="270"/>
    </row>
    <row r="128" spans="2:55" ht="15" customHeight="1" x14ac:dyDescent="0.25">
      <c r="B128" s="470">
        <v>45813.4375</v>
      </c>
      <c r="C128" s="263">
        <v>45813.635416666664</v>
      </c>
      <c r="D128" s="264" cm="1">
        <f t="array" ref="D128">IFERROR(HorasUteisFabrica2Turnos(B128,C128), "")</f>
        <v>3.7499999999417923</v>
      </c>
      <c r="E128" s="265">
        <f t="shared" si="1"/>
        <v>403.20000000625851</v>
      </c>
      <c r="F128" s="265"/>
      <c r="G128" s="265"/>
      <c r="H128" s="265"/>
      <c r="I128" s="266" t="s">
        <v>186</v>
      </c>
      <c r="J128" s="267" t="s">
        <v>15</v>
      </c>
      <c r="K128" s="268">
        <v>1512</v>
      </c>
      <c r="L128" s="269" t="s">
        <v>249</v>
      </c>
      <c r="M128" s="270" t="str">
        <f>IFERROR(INDEX([1]Produtos!$C:$C,MATCH(L128,[1]Produtos!$B:$B,0)), "-")</f>
        <v>FINALIZADOR HUBBA GUM BANANA</v>
      </c>
      <c r="N128" s="510">
        <f>IFERROR(INDEX([1]Produtos!$E:$E,MATCH(L128,[1]Produtos!$B:$B,0)), "-")</f>
        <v>250</v>
      </c>
      <c r="O128" s="270" t="str">
        <f>IFERROR(INDEX([1]Produtos!$F:$F,MATCH(L128,[1]Produtos!$B:$B,0)), "-")</f>
        <v>ml</v>
      </c>
      <c r="P128" s="270" t="str">
        <f>IFERROR(INDEX([1]Produtos!$G:$G,MATCH(L128,[1]Produtos!$B:$B,0)), "-")</f>
        <v>LUA &amp; NEVE</v>
      </c>
      <c r="Q128" s="270" t="str">
        <f>IFERROR(INDEX([1]Produtos!$H:$H,MATCH(L128,[1]Produtos!$B:$B,0)), "-")</f>
        <v>CAPILAR</v>
      </c>
      <c r="R128" s="270" t="str">
        <f>IFERROR(INDEX([1]Produtos!$I:$I,MATCH(L128,[1]Produtos!$B:$B,0)), "-")</f>
        <v>FINALIZADOR</v>
      </c>
      <c r="S128" s="270" t="str">
        <f>IFERROR(INDEX([1]Produtos!$J:$J,MATCH(L128,[1]Produtos!$B:$B,0)), "-")</f>
        <v>CREMOSO</v>
      </c>
      <c r="T128" s="473"/>
      <c r="U128" s="270"/>
      <c r="V128" s="270"/>
      <c r="W128" s="270"/>
      <c r="X128" s="270"/>
      <c r="Y128" s="270"/>
      <c r="Z128" s="270"/>
      <c r="AA128" s="270"/>
      <c r="AB128" s="270"/>
      <c r="AC128" s="270"/>
      <c r="AD128" s="270"/>
      <c r="AE128" s="270"/>
      <c r="AF128" s="270"/>
      <c r="AG128" s="270"/>
      <c r="AH128" s="270"/>
      <c r="AI128" s="270"/>
      <c r="AJ128" s="270"/>
      <c r="AK128" s="270"/>
      <c r="AL128" s="270"/>
      <c r="AM128" s="663"/>
      <c r="AN128" s="663"/>
      <c r="AO128" s="708" t="str">
        <f>IF(OR(Table1[[#This Row],[Início Setup Envase]]="",Table1[[#This Row],[Final Setup Envase]]=""),"",Table1[[#This Row],[Final Setup Envase]]-Table1[[#This Row],[Início Setup Envase]])</f>
        <v/>
      </c>
      <c r="AP128" s="663"/>
      <c r="AQ128" s="663"/>
      <c r="AR128" s="270"/>
      <c r="AS128" s="270"/>
      <c r="AT128" s="270"/>
      <c r="AU128" s="270"/>
      <c r="AV128" s="270"/>
      <c r="AW128" s="270"/>
      <c r="AX128" s="270"/>
      <c r="AY128" s="270"/>
      <c r="AZ128" s="270"/>
      <c r="BA128" s="270">
        <f>IF(Table1[[#This Row],[Data de Início]]="","",YEAR(Table1[[#This Row],[Data de Início]]))</f>
        <v>2025</v>
      </c>
      <c r="BB128" s="270">
        <f>IF(Table1[[#This Row],[Data de Início]]="","",MONTH(Table1[[#This Row],[Data de Início]]))</f>
        <v>6</v>
      </c>
      <c r="BC128" s="270"/>
    </row>
    <row r="129" spans="2:55" ht="15" customHeight="1" x14ac:dyDescent="0.25">
      <c r="B129" s="470">
        <v>45813.59375</v>
      </c>
      <c r="C129" s="263" t="s">
        <v>145</v>
      </c>
      <c r="D129" s="264" t="str" cm="1">
        <f t="array" ref="D129">IFERROR(HorasUteisFabrica2Turnos(B129,C129), "")</f>
        <v/>
      </c>
      <c r="E129" s="265" t="str">
        <f t="shared" si="1"/>
        <v/>
      </c>
      <c r="F129" s="265"/>
      <c r="G129" s="265"/>
      <c r="H129" s="265"/>
      <c r="I129" s="266" t="s">
        <v>185</v>
      </c>
      <c r="J129" s="267" t="s">
        <v>15</v>
      </c>
      <c r="K129" s="268">
        <v>1728</v>
      </c>
      <c r="L129" s="269" t="s">
        <v>251</v>
      </c>
      <c r="M129" s="270" t="str">
        <f>IFERROR(INDEX([1]Produtos!$C:$C,MATCH(L129,[1]Produtos!$B:$B,0)), "-")</f>
        <v>FINALIZADOR HUBBA GUM UVA</v>
      </c>
      <c r="N129" s="510">
        <f>IFERROR(INDEX([1]Produtos!$E:$E,MATCH(L129,[1]Produtos!$B:$B,0)), "-")</f>
        <v>250</v>
      </c>
      <c r="O129" s="270" t="str">
        <f>IFERROR(INDEX([1]Produtos!$F:$F,MATCH(L129,[1]Produtos!$B:$B,0)), "-")</f>
        <v>ml</v>
      </c>
      <c r="P129" s="270" t="str">
        <f>IFERROR(INDEX([1]Produtos!$G:$G,MATCH(L129,[1]Produtos!$B:$B,0)), "-")</f>
        <v>LUA &amp; NEVE</v>
      </c>
      <c r="Q129" s="270" t="str">
        <f>IFERROR(INDEX([1]Produtos!$H:$H,MATCH(L129,[1]Produtos!$B:$B,0)), "-")</f>
        <v>CAPILAR</v>
      </c>
      <c r="R129" s="270" t="str">
        <f>IFERROR(INDEX([1]Produtos!$I:$I,MATCH(L129,[1]Produtos!$B:$B,0)), "-")</f>
        <v>FINALIZADOR</v>
      </c>
      <c r="S129" s="270" t="str">
        <f>IFERROR(INDEX([1]Produtos!$J:$J,MATCH(L129,[1]Produtos!$B:$B,0)), "-")</f>
        <v>CREMOSO</v>
      </c>
      <c r="T129" s="473"/>
      <c r="U129" s="270"/>
      <c r="V129" s="270"/>
      <c r="W129" s="270"/>
      <c r="X129" s="270"/>
      <c r="Y129" s="270"/>
      <c r="Z129" s="270"/>
      <c r="AA129" s="270"/>
      <c r="AB129" s="270"/>
      <c r="AC129" s="270"/>
      <c r="AD129" s="270"/>
      <c r="AE129" s="270"/>
      <c r="AF129" s="270"/>
      <c r="AG129" s="270"/>
      <c r="AH129" s="270"/>
      <c r="AI129" s="270"/>
      <c r="AJ129" s="270"/>
      <c r="AK129" s="270"/>
      <c r="AL129" s="270"/>
      <c r="AM129" s="663"/>
      <c r="AN129" s="663"/>
      <c r="AO129" s="708" t="str">
        <f>IF(OR(Table1[[#This Row],[Início Setup Envase]]="",Table1[[#This Row],[Final Setup Envase]]=""),"",Table1[[#This Row],[Final Setup Envase]]-Table1[[#This Row],[Início Setup Envase]])</f>
        <v/>
      </c>
      <c r="AP129" s="663"/>
      <c r="AQ129" s="663"/>
      <c r="AR129" s="270"/>
      <c r="AS129" s="270"/>
      <c r="AT129" s="270"/>
      <c r="AU129" s="270"/>
      <c r="AV129" s="270"/>
      <c r="AW129" s="270"/>
      <c r="AX129" s="270"/>
      <c r="AY129" s="270"/>
      <c r="AZ129" s="270"/>
      <c r="BA129" s="270">
        <f>IF(Table1[[#This Row],[Data de Início]]="","",YEAR(Table1[[#This Row],[Data de Início]]))</f>
        <v>2025</v>
      </c>
      <c r="BB129" s="270">
        <f>IF(Table1[[#This Row],[Data de Início]]="","",MONTH(Table1[[#This Row],[Data de Início]]))</f>
        <v>6</v>
      </c>
      <c r="BC129" s="270"/>
    </row>
    <row r="130" spans="2:55" ht="15" customHeight="1" x14ac:dyDescent="0.25">
      <c r="B130" s="470">
        <v>45813.635416666664</v>
      </c>
      <c r="C130" s="263">
        <v>45814.337500000001</v>
      </c>
      <c r="D130" s="264" cm="1">
        <f t="array" ref="D130">IFERROR(HorasUteisFabrica2Turnos(B130,C130), "")</f>
        <v>2.8500000002095476</v>
      </c>
      <c r="E130" s="265">
        <f t="shared" si="1"/>
        <v>530.52631575046644</v>
      </c>
      <c r="F130" s="265"/>
      <c r="G130" s="265"/>
      <c r="H130" s="265"/>
      <c r="I130" s="266" t="s">
        <v>187</v>
      </c>
      <c r="J130" s="267" t="s">
        <v>15</v>
      </c>
      <c r="K130" s="268">
        <v>1512</v>
      </c>
      <c r="L130" s="269" t="s">
        <v>249</v>
      </c>
      <c r="M130" s="270" t="str">
        <f>IFERROR(INDEX([1]Produtos!$C:$C,MATCH(L130,[1]Produtos!$B:$B,0)), "-")</f>
        <v>FINALIZADOR HUBBA GUM BANANA</v>
      </c>
      <c r="N130" s="510">
        <f>IFERROR(INDEX([1]Produtos!$E:$E,MATCH(L130,[1]Produtos!$B:$B,0)), "-")</f>
        <v>250</v>
      </c>
      <c r="O130" s="270" t="str">
        <f>IFERROR(INDEX([1]Produtos!$F:$F,MATCH(L130,[1]Produtos!$B:$B,0)), "-")</f>
        <v>ml</v>
      </c>
      <c r="P130" s="270" t="str">
        <f>IFERROR(INDEX([1]Produtos!$G:$G,MATCH(L130,[1]Produtos!$B:$B,0)), "-")</f>
        <v>LUA &amp; NEVE</v>
      </c>
      <c r="Q130" s="270" t="str">
        <f>IFERROR(INDEX([1]Produtos!$H:$H,MATCH(L130,[1]Produtos!$B:$B,0)), "-")</f>
        <v>CAPILAR</v>
      </c>
      <c r="R130" s="270" t="str">
        <f>IFERROR(INDEX([1]Produtos!$I:$I,MATCH(L130,[1]Produtos!$B:$B,0)), "-")</f>
        <v>FINALIZADOR</v>
      </c>
      <c r="S130" s="270" t="str">
        <f>IFERROR(INDEX([1]Produtos!$J:$J,MATCH(L130,[1]Produtos!$B:$B,0)), "-")</f>
        <v>CREMOSO</v>
      </c>
      <c r="T130" s="473"/>
      <c r="U130" s="270"/>
      <c r="V130" s="270"/>
      <c r="W130" s="270"/>
      <c r="X130" s="270"/>
      <c r="Y130" s="270"/>
      <c r="Z130" s="270"/>
      <c r="AA130" s="270"/>
      <c r="AB130" s="270"/>
      <c r="AC130" s="270"/>
      <c r="AD130" s="270"/>
      <c r="AE130" s="270"/>
      <c r="AF130" s="270"/>
      <c r="AG130" s="270"/>
      <c r="AH130" s="270"/>
      <c r="AI130" s="270"/>
      <c r="AJ130" s="270"/>
      <c r="AK130" s="270"/>
      <c r="AL130" s="270"/>
      <c r="AM130" s="663"/>
      <c r="AN130" s="663"/>
      <c r="AO130" s="708" t="str">
        <f>IF(OR(Table1[[#This Row],[Início Setup Envase]]="",Table1[[#This Row],[Final Setup Envase]]=""),"",Table1[[#This Row],[Final Setup Envase]]-Table1[[#This Row],[Início Setup Envase]])</f>
        <v/>
      </c>
      <c r="AP130" s="663"/>
      <c r="AQ130" s="663"/>
      <c r="AR130" s="270"/>
      <c r="AS130" s="270"/>
      <c r="AT130" s="270"/>
      <c r="AU130" s="270"/>
      <c r="AV130" s="270"/>
      <c r="AW130" s="270"/>
      <c r="AX130" s="270"/>
      <c r="AY130" s="270"/>
      <c r="AZ130" s="270"/>
      <c r="BA130" s="270">
        <f>IF(Table1[[#This Row],[Data de Início]]="","",YEAR(Table1[[#This Row],[Data de Início]]))</f>
        <v>2025</v>
      </c>
      <c r="BB130" s="270">
        <f>IF(Table1[[#This Row],[Data de Início]]="","",MONTH(Table1[[#This Row],[Data de Início]]))</f>
        <v>6</v>
      </c>
      <c r="BC130" s="270"/>
    </row>
    <row r="131" spans="2:55" ht="15" customHeight="1" x14ac:dyDescent="0.25">
      <c r="B131" s="470">
        <v>45814</v>
      </c>
      <c r="C131" s="263">
        <v>45814</v>
      </c>
      <c r="D131" s="264" cm="1">
        <f t="array" ref="D131">IFERROR(HorasUteisFabrica2Turnos(B131,C131), "")</f>
        <v>0</v>
      </c>
      <c r="E131" s="265" t="str">
        <f t="shared" ref="E131:E194" si="2">IFERROR(K131/D131, "")</f>
        <v/>
      </c>
      <c r="F131" s="265"/>
      <c r="G131" s="265"/>
      <c r="H131" s="265"/>
      <c r="I131" s="266" t="s">
        <v>189</v>
      </c>
      <c r="J131" s="267" t="s">
        <v>15</v>
      </c>
      <c r="K131" s="268">
        <v>1512</v>
      </c>
      <c r="L131" s="269" t="s">
        <v>250</v>
      </c>
      <c r="M131" s="270" t="str">
        <f>IFERROR(INDEX([1]Produtos!$C:$C,MATCH(L131,[1]Produtos!$B:$B,0)), "-")</f>
        <v>FINALIZADOR HUBBA GUM TUTTI-FRUTTI</v>
      </c>
      <c r="N131" s="510">
        <f>IFERROR(INDEX([1]Produtos!$E:$E,MATCH(L131,[1]Produtos!$B:$B,0)), "-")</f>
        <v>250</v>
      </c>
      <c r="O131" s="270" t="str">
        <f>IFERROR(INDEX([1]Produtos!$F:$F,MATCH(L131,[1]Produtos!$B:$B,0)), "-")</f>
        <v>ml</v>
      </c>
      <c r="P131" s="270" t="str">
        <f>IFERROR(INDEX([1]Produtos!$G:$G,MATCH(L131,[1]Produtos!$B:$B,0)), "-")</f>
        <v>LUA &amp; NEVE</v>
      </c>
      <c r="Q131" s="270" t="str">
        <f>IFERROR(INDEX([1]Produtos!$H:$H,MATCH(L131,[1]Produtos!$B:$B,0)), "-")</f>
        <v>CAPILAR</v>
      </c>
      <c r="R131" s="270" t="str">
        <f>IFERROR(INDEX([1]Produtos!$I:$I,MATCH(L131,[1]Produtos!$B:$B,0)), "-")</f>
        <v>FINALIZADOR</v>
      </c>
      <c r="S131" s="270" t="str">
        <f>IFERROR(INDEX([1]Produtos!$J:$J,MATCH(L131,[1]Produtos!$B:$B,0)), "-")</f>
        <v>CREMOSO</v>
      </c>
      <c r="T131" s="473"/>
      <c r="U131" s="270"/>
      <c r="V131" s="270"/>
      <c r="W131" s="270"/>
      <c r="X131" s="270"/>
      <c r="Y131" s="270"/>
      <c r="Z131" s="270"/>
      <c r="AA131" s="270"/>
      <c r="AB131" s="270"/>
      <c r="AC131" s="270"/>
      <c r="AD131" s="270"/>
      <c r="AE131" s="270"/>
      <c r="AF131" s="270"/>
      <c r="AG131" s="270"/>
      <c r="AH131" s="270"/>
      <c r="AI131" s="270"/>
      <c r="AJ131" s="270"/>
      <c r="AK131" s="270"/>
      <c r="AL131" s="270"/>
      <c r="AM131" s="663"/>
      <c r="AN131" s="663"/>
      <c r="AO131" s="708" t="str">
        <f>IF(OR(Table1[[#This Row],[Início Setup Envase]]="",Table1[[#This Row],[Final Setup Envase]]=""),"",Table1[[#This Row],[Final Setup Envase]]-Table1[[#This Row],[Início Setup Envase]])</f>
        <v/>
      </c>
      <c r="AP131" s="663"/>
      <c r="AQ131" s="663"/>
      <c r="AR131" s="270"/>
      <c r="AS131" s="270"/>
      <c r="AT131" s="270"/>
      <c r="AU131" s="270"/>
      <c r="AV131" s="270"/>
      <c r="AW131" s="270"/>
      <c r="AX131" s="270"/>
      <c r="AY131" s="270"/>
      <c r="AZ131" s="270"/>
      <c r="BA131" s="270">
        <f>IF(Table1[[#This Row],[Data de Início]]="","",YEAR(Table1[[#This Row],[Data de Início]]))</f>
        <v>2025</v>
      </c>
      <c r="BB131" s="270">
        <f>IF(Table1[[#This Row],[Data de Início]]="","",MONTH(Table1[[#This Row],[Data de Início]]))</f>
        <v>6</v>
      </c>
      <c r="BC131" s="270"/>
    </row>
    <row r="132" spans="2:55" ht="15" customHeight="1" x14ac:dyDescent="0.25">
      <c r="B132" s="470">
        <v>45814.337500000001</v>
      </c>
      <c r="C132" s="263" t="s">
        <v>145</v>
      </c>
      <c r="D132" s="264" t="str" cm="1">
        <f t="array" ref="D132">IFERROR(HorasUteisFabrica2Turnos(B132,C132), "")</f>
        <v/>
      </c>
      <c r="E132" s="265" t="str">
        <f t="shared" si="2"/>
        <v/>
      </c>
      <c r="F132" s="265"/>
      <c r="G132" s="265"/>
      <c r="H132" s="265"/>
      <c r="I132" s="266" t="s">
        <v>188</v>
      </c>
      <c r="J132" s="267" t="s">
        <v>15</v>
      </c>
      <c r="K132" s="268">
        <v>1332</v>
      </c>
      <c r="L132" s="269" t="s">
        <v>249</v>
      </c>
      <c r="M132" s="270" t="str">
        <f>IFERROR(INDEX([1]Produtos!$C:$C,MATCH(L132,[1]Produtos!$B:$B,0)), "-")</f>
        <v>FINALIZADOR HUBBA GUM BANANA</v>
      </c>
      <c r="N132" s="510">
        <f>IFERROR(INDEX([1]Produtos!$E:$E,MATCH(L132,[1]Produtos!$B:$B,0)), "-")</f>
        <v>250</v>
      </c>
      <c r="O132" s="270" t="str">
        <f>IFERROR(INDEX([1]Produtos!$F:$F,MATCH(L132,[1]Produtos!$B:$B,0)), "-")</f>
        <v>ml</v>
      </c>
      <c r="P132" s="270" t="str">
        <f>IFERROR(INDEX([1]Produtos!$G:$G,MATCH(L132,[1]Produtos!$B:$B,0)), "-")</f>
        <v>LUA &amp; NEVE</v>
      </c>
      <c r="Q132" s="270" t="str">
        <f>IFERROR(INDEX([1]Produtos!$H:$H,MATCH(L132,[1]Produtos!$B:$B,0)), "-")</f>
        <v>CAPILAR</v>
      </c>
      <c r="R132" s="270" t="str">
        <f>IFERROR(INDEX([1]Produtos!$I:$I,MATCH(L132,[1]Produtos!$B:$B,0)), "-")</f>
        <v>FINALIZADOR</v>
      </c>
      <c r="S132" s="270" t="str">
        <f>IFERROR(INDEX([1]Produtos!$J:$J,MATCH(L132,[1]Produtos!$B:$B,0)), "-")</f>
        <v>CREMOSO</v>
      </c>
      <c r="T132" s="473"/>
      <c r="U132" s="270"/>
      <c r="V132" s="270"/>
      <c r="W132" s="270"/>
      <c r="X132" s="270"/>
      <c r="Y132" s="270"/>
      <c r="Z132" s="270"/>
      <c r="AA132" s="270"/>
      <c r="AB132" s="270"/>
      <c r="AC132" s="270"/>
      <c r="AD132" s="270"/>
      <c r="AE132" s="270"/>
      <c r="AF132" s="270"/>
      <c r="AG132" s="270"/>
      <c r="AH132" s="270"/>
      <c r="AI132" s="270"/>
      <c r="AJ132" s="270"/>
      <c r="AK132" s="270"/>
      <c r="AL132" s="270"/>
      <c r="AM132" s="663"/>
      <c r="AN132" s="663"/>
      <c r="AO132" s="708" t="str">
        <f>IF(OR(Table1[[#This Row],[Início Setup Envase]]="",Table1[[#This Row],[Final Setup Envase]]=""),"",Table1[[#This Row],[Final Setup Envase]]-Table1[[#This Row],[Início Setup Envase]])</f>
        <v/>
      </c>
      <c r="AP132" s="663"/>
      <c r="AQ132" s="663"/>
      <c r="AR132" s="270"/>
      <c r="AS132" s="270"/>
      <c r="AT132" s="270"/>
      <c r="AU132" s="270"/>
      <c r="AV132" s="270"/>
      <c r="AW132" s="270"/>
      <c r="AX132" s="270"/>
      <c r="AY132" s="270"/>
      <c r="AZ132" s="270"/>
      <c r="BA132" s="270">
        <f>IF(Table1[[#This Row],[Data de Início]]="","",YEAR(Table1[[#This Row],[Data de Início]]))</f>
        <v>2025</v>
      </c>
      <c r="BB132" s="270">
        <f>IF(Table1[[#This Row],[Data de Início]]="","",MONTH(Table1[[#This Row],[Data de Início]]))</f>
        <v>6</v>
      </c>
      <c r="BC132" s="270"/>
    </row>
    <row r="133" spans="2:55" ht="15" customHeight="1" x14ac:dyDescent="0.25">
      <c r="B133" s="470">
        <v>45814.354166666664</v>
      </c>
      <c r="C133" s="263">
        <v>45814.381944444445</v>
      </c>
      <c r="D133" s="264" cm="1">
        <f t="array" ref="D133">IFERROR(HorasUteisFabrica2Turnos(B133,C133), "")</f>
        <v>0.66666666674427688</v>
      </c>
      <c r="E133" s="265">
        <f t="shared" si="2"/>
        <v>1517.9999998232815</v>
      </c>
      <c r="F133" s="265"/>
      <c r="G133" s="265"/>
      <c r="H133" s="265"/>
      <c r="I133" s="269" t="s">
        <v>59</v>
      </c>
      <c r="J133" s="267" t="s">
        <v>15</v>
      </c>
      <c r="K133" s="269">
        <v>1012</v>
      </c>
      <c r="L133" s="269" t="s">
        <v>263</v>
      </c>
      <c r="M133" s="270" t="str">
        <f>IFERROR(INDEX([1]Produtos!$C:$C,MATCH(L133,[1]Produtos!$B:$B,0)), "-")</f>
        <v>CREME HIDRATANTE AMARELO</v>
      </c>
      <c r="N133" s="510">
        <f>IFERROR(INDEX([1]Produtos!$E:$E,MATCH(L133,[1]Produtos!$B:$B,0)), "-")</f>
        <v>30</v>
      </c>
      <c r="O133" s="270" t="str">
        <f>IFERROR(INDEX([1]Produtos!$F:$F,MATCH(L133,[1]Produtos!$B:$B,0)), "-")</f>
        <v>ml</v>
      </c>
      <c r="P133" s="270" t="str">
        <f>IFERROR(INDEX([1]Produtos!$G:$G,MATCH(L133,[1]Produtos!$B:$B,0)), "-")</f>
        <v>BE MAGIC</v>
      </c>
      <c r="Q133" s="270" t="str">
        <f>IFERROR(INDEX([1]Produtos!$H:$H,MATCH(L133,[1]Produtos!$B:$B,0)), "-")</f>
        <v>CORPORAL</v>
      </c>
      <c r="R133" s="270" t="str">
        <f>IFERROR(INDEX([1]Produtos!$I:$I,MATCH(L133,[1]Produtos!$B:$B,0)), "-")</f>
        <v>CREME HIDRATANTE</v>
      </c>
      <c r="S133" s="270" t="str">
        <f>IFERROR(INDEX([1]Produtos!$J:$J,MATCH(L133,[1]Produtos!$B:$B,0)), "-")</f>
        <v>CREMOSO</v>
      </c>
      <c r="T133" s="473"/>
      <c r="U133" s="270"/>
      <c r="V133" s="270"/>
      <c r="W133" s="270"/>
      <c r="X133" s="270"/>
      <c r="Y133" s="270"/>
      <c r="Z133" s="270"/>
      <c r="AA133" s="270"/>
      <c r="AB133" s="270"/>
      <c r="AC133" s="270"/>
      <c r="AD133" s="270"/>
      <c r="AE133" s="270"/>
      <c r="AF133" s="270"/>
      <c r="AG133" s="270"/>
      <c r="AH133" s="270"/>
      <c r="AI133" s="270"/>
      <c r="AJ133" s="270"/>
      <c r="AK133" s="270"/>
      <c r="AL133" s="270"/>
      <c r="AM133" s="663"/>
      <c r="AN133" s="663"/>
      <c r="AO133" s="708" t="str">
        <f>IF(OR(Table1[[#This Row],[Início Setup Envase]]="",Table1[[#This Row],[Final Setup Envase]]=""),"",Table1[[#This Row],[Final Setup Envase]]-Table1[[#This Row],[Início Setup Envase]])</f>
        <v/>
      </c>
      <c r="AP133" s="663"/>
      <c r="AQ133" s="663"/>
      <c r="AR133" s="270"/>
      <c r="AS133" s="270"/>
      <c r="AT133" s="270"/>
      <c r="AU133" s="270"/>
      <c r="AV133" s="270"/>
      <c r="AW133" s="270"/>
      <c r="AX133" s="270"/>
      <c r="AY133" s="270"/>
      <c r="AZ133" s="270"/>
      <c r="BA133" s="270">
        <f>IF(Table1[[#This Row],[Data de Início]]="","",YEAR(Table1[[#This Row],[Data de Início]]))</f>
        <v>2025</v>
      </c>
      <c r="BB133" s="270">
        <f>IF(Table1[[#This Row],[Data de Início]]="","",MONTH(Table1[[#This Row],[Data de Início]]))</f>
        <v>6</v>
      </c>
      <c r="BC133" s="270"/>
    </row>
    <row r="134" spans="2:55" ht="15" customHeight="1" x14ac:dyDescent="0.25">
      <c r="B134" s="470">
        <v>45814.381944444445</v>
      </c>
      <c r="C134" s="263">
        <v>45814.416666666664</v>
      </c>
      <c r="D134" s="264" cm="1">
        <f t="array" ref="D134">IFERROR(HorasUteisFabrica2Turnos(B134,C134), "")</f>
        <v>0.83333333325572312</v>
      </c>
      <c r="E134" s="265">
        <f t="shared" si="2"/>
        <v>1224.0000001139938</v>
      </c>
      <c r="F134" s="265"/>
      <c r="G134" s="265"/>
      <c r="H134" s="265"/>
      <c r="I134" s="269" t="s">
        <v>60</v>
      </c>
      <c r="J134" s="267" t="s">
        <v>15</v>
      </c>
      <c r="K134" s="269">
        <v>1020</v>
      </c>
      <c r="L134" s="269" t="s">
        <v>265</v>
      </c>
      <c r="M134" s="270" t="str">
        <f>IFERROR(INDEX([1]Produtos!$C:$C,MATCH(L134,[1]Produtos!$B:$B,0)), "-")</f>
        <v>CREME HIDRATANTE ROXO</v>
      </c>
      <c r="N134" s="510">
        <f>IFERROR(INDEX([1]Produtos!$E:$E,MATCH(L134,[1]Produtos!$B:$B,0)), "-")</f>
        <v>30</v>
      </c>
      <c r="O134" s="270" t="str">
        <f>IFERROR(INDEX([1]Produtos!$F:$F,MATCH(L134,[1]Produtos!$B:$B,0)), "-")</f>
        <v>ml</v>
      </c>
      <c r="P134" s="270" t="str">
        <f>IFERROR(INDEX([1]Produtos!$G:$G,MATCH(L134,[1]Produtos!$B:$B,0)), "-")</f>
        <v>BE MAGIC</v>
      </c>
      <c r="Q134" s="270" t="str">
        <f>IFERROR(INDEX([1]Produtos!$H:$H,MATCH(L134,[1]Produtos!$B:$B,0)), "-")</f>
        <v>CORPORAL</v>
      </c>
      <c r="R134" s="270" t="str">
        <f>IFERROR(INDEX([1]Produtos!$I:$I,MATCH(L134,[1]Produtos!$B:$B,0)), "-")</f>
        <v>CREME HIDRATANTE</v>
      </c>
      <c r="S134" s="270" t="str">
        <f>IFERROR(INDEX([1]Produtos!$J:$J,MATCH(L134,[1]Produtos!$B:$B,0)), "-")</f>
        <v>CREMOSO</v>
      </c>
      <c r="T134" s="473"/>
      <c r="U134" s="270"/>
      <c r="V134" s="270"/>
      <c r="W134" s="270"/>
      <c r="X134" s="270"/>
      <c r="Y134" s="270"/>
      <c r="Z134" s="270"/>
      <c r="AA134" s="270"/>
      <c r="AB134" s="270"/>
      <c r="AC134" s="270"/>
      <c r="AD134" s="270"/>
      <c r="AE134" s="270"/>
      <c r="AF134" s="270"/>
      <c r="AG134" s="270"/>
      <c r="AH134" s="270"/>
      <c r="AI134" s="270"/>
      <c r="AJ134" s="270"/>
      <c r="AK134" s="270"/>
      <c r="AL134" s="270"/>
      <c r="AM134" s="663"/>
      <c r="AN134" s="663"/>
      <c r="AO134" s="708" t="str">
        <f>IF(OR(Table1[[#This Row],[Início Setup Envase]]="",Table1[[#This Row],[Final Setup Envase]]=""),"",Table1[[#This Row],[Final Setup Envase]]-Table1[[#This Row],[Início Setup Envase]])</f>
        <v/>
      </c>
      <c r="AP134" s="663"/>
      <c r="AQ134" s="663"/>
      <c r="AR134" s="270"/>
      <c r="AS134" s="270"/>
      <c r="AT134" s="270"/>
      <c r="AU134" s="270"/>
      <c r="AV134" s="270"/>
      <c r="AW134" s="270"/>
      <c r="AX134" s="270"/>
      <c r="AY134" s="270"/>
      <c r="AZ134" s="270"/>
      <c r="BA134" s="270">
        <f>IF(Table1[[#This Row],[Data de Início]]="","",YEAR(Table1[[#This Row],[Data de Início]]))</f>
        <v>2025</v>
      </c>
      <c r="BB134" s="270">
        <f>IF(Table1[[#This Row],[Data de Início]]="","",MONTH(Table1[[#This Row],[Data de Início]]))</f>
        <v>6</v>
      </c>
      <c r="BC134" s="270"/>
    </row>
    <row r="135" spans="2:55" ht="15" customHeight="1" x14ac:dyDescent="0.25">
      <c r="B135" s="470">
        <v>45814.548611111109</v>
      </c>
      <c r="C135" s="263">
        <v>45814.618055555555</v>
      </c>
      <c r="D135" s="264" cm="1">
        <f t="array" ref="D135">IFERROR(HorasUteisFabrica2Turnos(B135,C135), "")</f>
        <v>1.6666666666860692</v>
      </c>
      <c r="E135" s="265">
        <f t="shared" si="2"/>
        <v>907.19999998943877</v>
      </c>
      <c r="F135" s="265"/>
      <c r="G135" s="265"/>
      <c r="H135" s="265"/>
      <c r="I135" s="266" t="s">
        <v>190</v>
      </c>
      <c r="J135" s="267" t="s">
        <v>15</v>
      </c>
      <c r="K135" s="268">
        <v>1512</v>
      </c>
      <c r="L135" s="269" t="s">
        <v>250</v>
      </c>
      <c r="M135" s="270" t="str">
        <f>IFERROR(INDEX([1]Produtos!$C:$C,MATCH(L135,[1]Produtos!$B:$B,0)), "-")</f>
        <v>FINALIZADOR HUBBA GUM TUTTI-FRUTTI</v>
      </c>
      <c r="N135" s="510">
        <f>IFERROR(INDEX([1]Produtos!$E:$E,MATCH(L135,[1]Produtos!$B:$B,0)), "-")</f>
        <v>250</v>
      </c>
      <c r="O135" s="270" t="str">
        <f>IFERROR(INDEX([1]Produtos!$F:$F,MATCH(L135,[1]Produtos!$B:$B,0)), "-")</f>
        <v>ml</v>
      </c>
      <c r="P135" s="270" t="str">
        <f>IFERROR(INDEX([1]Produtos!$G:$G,MATCH(L135,[1]Produtos!$B:$B,0)), "-")</f>
        <v>LUA &amp; NEVE</v>
      </c>
      <c r="Q135" s="270" t="str">
        <f>IFERROR(INDEX([1]Produtos!$H:$H,MATCH(L135,[1]Produtos!$B:$B,0)), "-")</f>
        <v>CAPILAR</v>
      </c>
      <c r="R135" s="270" t="str">
        <f>IFERROR(INDEX([1]Produtos!$I:$I,MATCH(L135,[1]Produtos!$B:$B,0)), "-")</f>
        <v>FINALIZADOR</v>
      </c>
      <c r="S135" s="270" t="str">
        <f>IFERROR(INDEX([1]Produtos!$J:$J,MATCH(L135,[1]Produtos!$B:$B,0)), "-")</f>
        <v>CREMOSO</v>
      </c>
      <c r="T135" s="473"/>
      <c r="U135" s="270"/>
      <c r="V135" s="270"/>
      <c r="W135" s="270"/>
      <c r="X135" s="270"/>
      <c r="Y135" s="270"/>
      <c r="Z135" s="270"/>
      <c r="AA135" s="270"/>
      <c r="AB135" s="270"/>
      <c r="AC135" s="270"/>
      <c r="AD135" s="270"/>
      <c r="AE135" s="270"/>
      <c r="AF135" s="270"/>
      <c r="AG135" s="270"/>
      <c r="AH135" s="270"/>
      <c r="AI135" s="270"/>
      <c r="AJ135" s="270"/>
      <c r="AK135" s="270"/>
      <c r="AL135" s="270"/>
      <c r="AM135" s="663"/>
      <c r="AN135" s="663"/>
      <c r="AO135" s="708" t="str">
        <f>IF(OR(Table1[[#This Row],[Início Setup Envase]]="",Table1[[#This Row],[Final Setup Envase]]=""),"",Table1[[#This Row],[Final Setup Envase]]-Table1[[#This Row],[Início Setup Envase]])</f>
        <v/>
      </c>
      <c r="AP135" s="663"/>
      <c r="AQ135" s="663"/>
      <c r="AR135" s="270"/>
      <c r="AS135" s="270"/>
      <c r="AT135" s="270"/>
      <c r="AU135" s="270"/>
      <c r="AV135" s="270"/>
      <c r="AW135" s="270"/>
      <c r="AX135" s="270"/>
      <c r="AY135" s="270"/>
      <c r="AZ135" s="270"/>
      <c r="BA135" s="270">
        <f>IF(Table1[[#This Row],[Data de Início]]="","",YEAR(Table1[[#This Row],[Data de Início]]))</f>
        <v>2025</v>
      </c>
      <c r="BB135" s="270">
        <f>IF(Table1[[#This Row],[Data de Início]]="","",MONTH(Table1[[#This Row],[Data de Início]]))</f>
        <v>6</v>
      </c>
      <c r="BC135" s="270"/>
    </row>
    <row r="136" spans="2:55" ht="15" customHeight="1" x14ac:dyDescent="0.25">
      <c r="B136" s="470">
        <v>45814.631944444445</v>
      </c>
      <c r="C136" s="263">
        <v>45817.375</v>
      </c>
      <c r="D136" s="264" cm="1">
        <f t="array" ref="D136">IFERROR(HorasUteisFabrica2Turnos(B136,C136), "")</f>
        <v>2.8333333333139308</v>
      </c>
      <c r="E136" s="265">
        <f t="shared" si="2"/>
        <v>533.64705882718386</v>
      </c>
      <c r="F136" s="265"/>
      <c r="G136" s="265"/>
      <c r="H136" s="265"/>
      <c r="I136" s="266" t="s">
        <v>191</v>
      </c>
      <c r="J136" s="267" t="s">
        <v>15</v>
      </c>
      <c r="K136" s="268">
        <v>1512</v>
      </c>
      <c r="L136" s="269" t="s">
        <v>250</v>
      </c>
      <c r="M136" s="270" t="str">
        <f>IFERROR(INDEX([1]Produtos!$C:$C,MATCH(L136,[1]Produtos!$B:$B,0)), "-")</f>
        <v>FINALIZADOR HUBBA GUM TUTTI-FRUTTI</v>
      </c>
      <c r="N136" s="510">
        <f>IFERROR(INDEX([1]Produtos!$E:$E,MATCH(L136,[1]Produtos!$B:$B,0)), "-")</f>
        <v>250</v>
      </c>
      <c r="O136" s="270" t="str">
        <f>IFERROR(INDEX([1]Produtos!$F:$F,MATCH(L136,[1]Produtos!$B:$B,0)), "-")</f>
        <v>ml</v>
      </c>
      <c r="P136" s="270" t="str">
        <f>IFERROR(INDEX([1]Produtos!$G:$G,MATCH(L136,[1]Produtos!$B:$B,0)), "-")</f>
        <v>LUA &amp; NEVE</v>
      </c>
      <c r="Q136" s="270" t="str">
        <f>IFERROR(INDEX([1]Produtos!$H:$H,MATCH(L136,[1]Produtos!$B:$B,0)), "-")</f>
        <v>CAPILAR</v>
      </c>
      <c r="R136" s="270" t="str">
        <f>IFERROR(INDEX([1]Produtos!$I:$I,MATCH(L136,[1]Produtos!$B:$B,0)), "-")</f>
        <v>FINALIZADOR</v>
      </c>
      <c r="S136" s="270" t="str">
        <f>IFERROR(INDEX([1]Produtos!$J:$J,MATCH(L136,[1]Produtos!$B:$B,0)), "-")</f>
        <v>CREMOSO</v>
      </c>
      <c r="T136" s="473"/>
      <c r="U136" s="270"/>
      <c r="V136" s="270"/>
      <c r="W136" s="270"/>
      <c r="X136" s="270"/>
      <c r="Y136" s="270"/>
      <c r="Z136" s="270"/>
      <c r="AA136" s="270"/>
      <c r="AB136" s="270"/>
      <c r="AC136" s="270"/>
      <c r="AD136" s="270"/>
      <c r="AE136" s="270"/>
      <c r="AF136" s="270"/>
      <c r="AG136" s="270"/>
      <c r="AH136" s="270"/>
      <c r="AI136" s="270"/>
      <c r="AJ136" s="270"/>
      <c r="AK136" s="270"/>
      <c r="AL136" s="270"/>
      <c r="AM136" s="663"/>
      <c r="AN136" s="663"/>
      <c r="AO136" s="708" t="str">
        <f>IF(OR(Table1[[#This Row],[Início Setup Envase]]="",Table1[[#This Row],[Final Setup Envase]]=""),"",Table1[[#This Row],[Final Setup Envase]]-Table1[[#This Row],[Início Setup Envase]])</f>
        <v/>
      </c>
      <c r="AP136" s="663"/>
      <c r="AQ136" s="663"/>
      <c r="AR136" s="270"/>
      <c r="AS136" s="270"/>
      <c r="AT136" s="270"/>
      <c r="AU136" s="270"/>
      <c r="AV136" s="270"/>
      <c r="AW136" s="270"/>
      <c r="AX136" s="270"/>
      <c r="AY136" s="270"/>
      <c r="AZ136" s="270"/>
      <c r="BA136" s="270">
        <f>IF(Table1[[#This Row],[Data de Início]]="","",YEAR(Table1[[#This Row],[Data de Início]]))</f>
        <v>2025</v>
      </c>
      <c r="BB136" s="270">
        <f>IF(Table1[[#This Row],[Data de Início]]="","",MONTH(Table1[[#This Row],[Data de Início]]))</f>
        <v>6</v>
      </c>
      <c r="BC136" s="270"/>
    </row>
    <row r="137" spans="2:55" ht="15" customHeight="1" x14ac:dyDescent="0.25">
      <c r="B137" s="470">
        <v>45814.645833333336</v>
      </c>
      <c r="C137" s="263">
        <v>45817.340277777781</v>
      </c>
      <c r="D137" s="264" cm="1">
        <f t="array" ref="D137">IFERROR(HorasUteisFabrica2Turnos(B137,C137), "")</f>
        <v>1.6666666666860692</v>
      </c>
      <c r="E137" s="265">
        <f t="shared" si="2"/>
        <v>863.99999998994167</v>
      </c>
      <c r="F137" s="265"/>
      <c r="G137" s="265"/>
      <c r="H137" s="265"/>
      <c r="I137" s="266" t="s">
        <v>192</v>
      </c>
      <c r="J137" s="267" t="s">
        <v>15</v>
      </c>
      <c r="K137" s="268">
        <v>1440</v>
      </c>
      <c r="L137" s="269" t="s">
        <v>246</v>
      </c>
      <c r="M137" s="270" t="str">
        <f>IFERROR(INDEX([1]Produtos!$C:$C,MATCH(L137,[1]Produtos!$B:$B,0)), "-")</f>
        <v>MÁSCARA HUBBA GUM BANANA</v>
      </c>
      <c r="N137" s="510">
        <f>IFERROR(INDEX([1]Produtos!$E:$E,MATCH(L137,[1]Produtos!$B:$B,0)), "-")</f>
        <v>250</v>
      </c>
      <c r="O137" s="270" t="str">
        <f>IFERROR(INDEX([1]Produtos!$F:$F,MATCH(L137,[1]Produtos!$B:$B,0)), "-")</f>
        <v>g</v>
      </c>
      <c r="P137" s="270" t="str">
        <f>IFERROR(INDEX([1]Produtos!$G:$G,MATCH(L137,[1]Produtos!$B:$B,0)), "-")</f>
        <v>LUA &amp; NEVE</v>
      </c>
      <c r="Q137" s="270" t="str">
        <f>IFERROR(INDEX([1]Produtos!$H:$H,MATCH(L137,[1]Produtos!$B:$B,0)), "-")</f>
        <v>CAPILAR</v>
      </c>
      <c r="R137" s="270" t="str">
        <f>IFERROR(INDEX([1]Produtos!$I:$I,MATCH(L137,[1]Produtos!$B:$B,0)), "-")</f>
        <v>MÁSCARA</v>
      </c>
      <c r="S137" s="270" t="str">
        <f>IFERROR(INDEX([1]Produtos!$J:$J,MATCH(L137,[1]Produtos!$B:$B,0)), "-")</f>
        <v>CREMOSO</v>
      </c>
      <c r="T137" s="473"/>
      <c r="U137" s="270"/>
      <c r="V137" s="270"/>
      <c r="W137" s="270"/>
      <c r="X137" s="270"/>
      <c r="Y137" s="270"/>
      <c r="Z137" s="270"/>
      <c r="AA137" s="270"/>
      <c r="AB137" s="270"/>
      <c r="AC137" s="270"/>
      <c r="AD137" s="270"/>
      <c r="AE137" s="270"/>
      <c r="AF137" s="270"/>
      <c r="AG137" s="270"/>
      <c r="AH137" s="270"/>
      <c r="AI137" s="270"/>
      <c r="AJ137" s="270"/>
      <c r="AK137" s="270"/>
      <c r="AL137" s="270"/>
      <c r="AM137" s="663"/>
      <c r="AN137" s="663"/>
      <c r="AO137" s="708" t="str">
        <f>IF(OR(Table1[[#This Row],[Início Setup Envase]]="",Table1[[#This Row],[Final Setup Envase]]=""),"",Table1[[#This Row],[Final Setup Envase]]-Table1[[#This Row],[Início Setup Envase]])</f>
        <v/>
      </c>
      <c r="AP137" s="663"/>
      <c r="AQ137" s="663"/>
      <c r="AR137" s="270"/>
      <c r="AS137" s="270"/>
      <c r="AT137" s="270"/>
      <c r="AU137" s="270"/>
      <c r="AV137" s="270"/>
      <c r="AW137" s="270"/>
      <c r="AX137" s="270"/>
      <c r="AY137" s="270"/>
      <c r="AZ137" s="270"/>
      <c r="BA137" s="270">
        <f>IF(Table1[[#This Row],[Data de Início]]="","",YEAR(Table1[[#This Row],[Data de Início]]))</f>
        <v>2025</v>
      </c>
      <c r="BB137" s="270">
        <f>IF(Table1[[#This Row],[Data de Início]]="","",MONTH(Table1[[#This Row],[Data de Início]]))</f>
        <v>6</v>
      </c>
      <c r="BC137" s="270"/>
    </row>
    <row r="138" spans="2:55" ht="15" customHeight="1" x14ac:dyDescent="0.25">
      <c r="B138" s="470">
        <v>45817.34375</v>
      </c>
      <c r="C138" s="263">
        <v>45817.420138888891</v>
      </c>
      <c r="D138" s="264" cm="1">
        <f t="array" ref="D138">IFERROR(HorasUteisFabrica2Turnos(B138,C138), "")</f>
        <v>1.8333333333721384</v>
      </c>
      <c r="E138" s="265">
        <f t="shared" si="2"/>
        <v>824.72727270981625</v>
      </c>
      <c r="F138" s="265"/>
      <c r="G138" s="265"/>
      <c r="H138" s="265"/>
      <c r="I138" s="266" t="s">
        <v>193</v>
      </c>
      <c r="J138" s="267" t="s">
        <v>15</v>
      </c>
      <c r="K138" s="268">
        <v>1512</v>
      </c>
      <c r="L138" s="269" t="s">
        <v>246</v>
      </c>
      <c r="M138" s="270" t="str">
        <f>IFERROR(INDEX([1]Produtos!$C:$C,MATCH(L138,[1]Produtos!$B:$B,0)), "-")</f>
        <v>MÁSCARA HUBBA GUM BANANA</v>
      </c>
      <c r="N138" s="510">
        <f>IFERROR(INDEX([1]Produtos!$E:$E,MATCH(L138,[1]Produtos!$B:$B,0)), "-")</f>
        <v>250</v>
      </c>
      <c r="O138" s="270" t="str">
        <f>IFERROR(INDEX([1]Produtos!$F:$F,MATCH(L138,[1]Produtos!$B:$B,0)), "-")</f>
        <v>g</v>
      </c>
      <c r="P138" s="270" t="str">
        <f>IFERROR(INDEX([1]Produtos!$G:$G,MATCH(L138,[1]Produtos!$B:$B,0)), "-")</f>
        <v>LUA &amp; NEVE</v>
      </c>
      <c r="Q138" s="270" t="str">
        <f>IFERROR(INDEX([1]Produtos!$H:$H,MATCH(L138,[1]Produtos!$B:$B,0)), "-")</f>
        <v>CAPILAR</v>
      </c>
      <c r="R138" s="270" t="str">
        <f>IFERROR(INDEX([1]Produtos!$I:$I,MATCH(L138,[1]Produtos!$B:$B,0)), "-")</f>
        <v>MÁSCARA</v>
      </c>
      <c r="S138" s="270" t="str">
        <f>IFERROR(INDEX([1]Produtos!$J:$J,MATCH(L138,[1]Produtos!$B:$B,0)), "-")</f>
        <v>CREMOSO</v>
      </c>
      <c r="T138" s="473"/>
      <c r="U138" s="270"/>
      <c r="V138" s="270"/>
      <c r="W138" s="270"/>
      <c r="X138" s="270"/>
      <c r="Y138" s="270"/>
      <c r="Z138" s="270"/>
      <c r="AA138" s="270"/>
      <c r="AB138" s="270"/>
      <c r="AC138" s="270"/>
      <c r="AD138" s="270"/>
      <c r="AE138" s="270"/>
      <c r="AF138" s="270"/>
      <c r="AG138" s="270"/>
      <c r="AH138" s="270"/>
      <c r="AI138" s="270"/>
      <c r="AJ138" s="270"/>
      <c r="AK138" s="270"/>
      <c r="AL138" s="270"/>
      <c r="AM138" s="663"/>
      <c r="AN138" s="663"/>
      <c r="AO138" s="708" t="str">
        <f>IF(OR(Table1[[#This Row],[Início Setup Envase]]="",Table1[[#This Row],[Final Setup Envase]]=""),"",Table1[[#This Row],[Final Setup Envase]]-Table1[[#This Row],[Início Setup Envase]])</f>
        <v/>
      </c>
      <c r="AP138" s="663"/>
      <c r="AQ138" s="663"/>
      <c r="AR138" s="270"/>
      <c r="AS138" s="270"/>
      <c r="AT138" s="270"/>
      <c r="AU138" s="270"/>
      <c r="AV138" s="270"/>
      <c r="AW138" s="270"/>
      <c r="AX138" s="270"/>
      <c r="AY138" s="270"/>
      <c r="AZ138" s="270"/>
      <c r="BA138" s="270">
        <f>IF(Table1[[#This Row],[Data de Início]]="","",YEAR(Table1[[#This Row],[Data de Início]]))</f>
        <v>2025</v>
      </c>
      <c r="BB138" s="270">
        <f>IF(Table1[[#This Row],[Data de Início]]="","",MONTH(Table1[[#This Row],[Data de Início]]))</f>
        <v>6</v>
      </c>
      <c r="BC138" s="270"/>
    </row>
    <row r="139" spans="2:55" ht="15" customHeight="1" x14ac:dyDescent="0.25">
      <c r="B139" s="470">
        <v>45817.420138888891</v>
      </c>
      <c r="C139" s="263">
        <v>45817.5625</v>
      </c>
      <c r="D139" s="264" cm="1">
        <f t="array" ref="D139">IFERROR(HorasUteisFabrica2Turnos(B139,C139), "")</f>
        <v>2.4166666666278616</v>
      </c>
      <c r="E139" s="265">
        <f t="shared" si="2"/>
        <v>593.37931035435565</v>
      </c>
      <c r="F139" s="265"/>
      <c r="G139" s="265"/>
      <c r="H139" s="265"/>
      <c r="I139" s="266" t="s">
        <v>194</v>
      </c>
      <c r="J139" s="267" t="s">
        <v>15</v>
      </c>
      <c r="K139" s="268">
        <v>1434</v>
      </c>
      <c r="L139" s="269" t="s">
        <v>246</v>
      </c>
      <c r="M139" s="270" t="str">
        <f>IFERROR(INDEX([1]Produtos!$C:$C,MATCH(L139,[1]Produtos!$B:$B,0)), "-")</f>
        <v>MÁSCARA HUBBA GUM BANANA</v>
      </c>
      <c r="N139" s="510">
        <f>IFERROR(INDEX([1]Produtos!$E:$E,MATCH(L139,[1]Produtos!$B:$B,0)), "-")</f>
        <v>250</v>
      </c>
      <c r="O139" s="270" t="str">
        <f>IFERROR(INDEX([1]Produtos!$F:$F,MATCH(L139,[1]Produtos!$B:$B,0)), "-")</f>
        <v>g</v>
      </c>
      <c r="P139" s="270" t="str">
        <f>IFERROR(INDEX([1]Produtos!$G:$G,MATCH(L139,[1]Produtos!$B:$B,0)), "-")</f>
        <v>LUA &amp; NEVE</v>
      </c>
      <c r="Q139" s="270" t="str">
        <f>IFERROR(INDEX([1]Produtos!$H:$H,MATCH(L139,[1]Produtos!$B:$B,0)), "-")</f>
        <v>CAPILAR</v>
      </c>
      <c r="R139" s="270" t="str">
        <f>IFERROR(INDEX([1]Produtos!$I:$I,MATCH(L139,[1]Produtos!$B:$B,0)), "-")</f>
        <v>MÁSCARA</v>
      </c>
      <c r="S139" s="270" t="str">
        <f>IFERROR(INDEX([1]Produtos!$J:$J,MATCH(L139,[1]Produtos!$B:$B,0)), "-")</f>
        <v>CREMOSO</v>
      </c>
      <c r="T139" s="473"/>
      <c r="U139" s="270"/>
      <c r="V139" s="270"/>
      <c r="W139" s="270"/>
      <c r="X139" s="270"/>
      <c r="Y139" s="270"/>
      <c r="Z139" s="270"/>
      <c r="AA139" s="270"/>
      <c r="AB139" s="270"/>
      <c r="AC139" s="270"/>
      <c r="AD139" s="270"/>
      <c r="AE139" s="270"/>
      <c r="AF139" s="270"/>
      <c r="AG139" s="270"/>
      <c r="AH139" s="270"/>
      <c r="AI139" s="270"/>
      <c r="AJ139" s="270"/>
      <c r="AK139" s="270"/>
      <c r="AL139" s="270"/>
      <c r="AM139" s="663"/>
      <c r="AN139" s="663"/>
      <c r="AO139" s="708" t="str">
        <f>IF(OR(Table1[[#This Row],[Início Setup Envase]]="",Table1[[#This Row],[Final Setup Envase]]=""),"",Table1[[#This Row],[Final Setup Envase]]-Table1[[#This Row],[Início Setup Envase]])</f>
        <v/>
      </c>
      <c r="AP139" s="663"/>
      <c r="AQ139" s="663"/>
      <c r="AR139" s="270"/>
      <c r="AS139" s="270"/>
      <c r="AT139" s="270"/>
      <c r="AU139" s="270"/>
      <c r="AV139" s="270"/>
      <c r="AW139" s="270"/>
      <c r="AX139" s="270"/>
      <c r="AY139" s="270"/>
      <c r="AZ139" s="270"/>
      <c r="BA139" s="270">
        <f>IF(Table1[[#This Row],[Data de Início]]="","",YEAR(Table1[[#This Row],[Data de Início]]))</f>
        <v>2025</v>
      </c>
      <c r="BB139" s="270">
        <f>IF(Table1[[#This Row],[Data de Início]]="","",MONTH(Table1[[#This Row],[Data de Início]]))</f>
        <v>6</v>
      </c>
      <c r="BC139" s="270"/>
    </row>
    <row r="140" spans="2:55" ht="15" customHeight="1" x14ac:dyDescent="0.25">
      <c r="B140" s="470">
        <v>45817.479166666664</v>
      </c>
      <c r="C140" s="263">
        <v>45817.588888888888</v>
      </c>
      <c r="D140" s="264" cm="1">
        <f t="array" ref="D140">IFERROR(HorasUteisFabrica2Turnos(B140,C140), "")</f>
        <v>1.6333333333604969</v>
      </c>
      <c r="E140" s="265">
        <f t="shared" si="2"/>
        <v>925.71428569889042</v>
      </c>
      <c r="F140" s="265"/>
      <c r="G140" s="265"/>
      <c r="H140" s="265"/>
      <c r="I140" s="266" t="s">
        <v>195</v>
      </c>
      <c r="J140" s="267" t="s">
        <v>15</v>
      </c>
      <c r="K140" s="268">
        <v>1512</v>
      </c>
      <c r="L140" s="269" t="s">
        <v>247</v>
      </c>
      <c r="M140" s="270" t="str">
        <f>IFERROR(INDEX([1]Produtos!$C:$C,MATCH(L140,[1]Produtos!$B:$B,0)), "-")</f>
        <v>MÁSCARA HUBBA GUM TUTTI-FRUTTI</v>
      </c>
      <c r="N140" s="510">
        <f>IFERROR(INDEX([1]Produtos!$E:$E,MATCH(L140,[1]Produtos!$B:$B,0)), "-")</f>
        <v>250</v>
      </c>
      <c r="O140" s="270" t="str">
        <f>IFERROR(INDEX([1]Produtos!$F:$F,MATCH(L140,[1]Produtos!$B:$B,0)), "-")</f>
        <v>g</v>
      </c>
      <c r="P140" s="270" t="str">
        <f>IFERROR(INDEX([1]Produtos!$G:$G,MATCH(L140,[1]Produtos!$B:$B,0)), "-")</f>
        <v>LUA &amp; NEVE</v>
      </c>
      <c r="Q140" s="270" t="str">
        <f>IFERROR(INDEX([1]Produtos!$H:$H,MATCH(L140,[1]Produtos!$B:$B,0)), "-")</f>
        <v>CAPILAR</v>
      </c>
      <c r="R140" s="270" t="str">
        <f>IFERROR(INDEX([1]Produtos!$I:$I,MATCH(L140,[1]Produtos!$B:$B,0)), "-")</f>
        <v>MÁSCARA</v>
      </c>
      <c r="S140" s="270" t="str">
        <f>IFERROR(INDEX([1]Produtos!$J:$J,MATCH(L140,[1]Produtos!$B:$B,0)), "-")</f>
        <v>CREMOSO</v>
      </c>
      <c r="T140" s="473"/>
      <c r="U140" s="270"/>
      <c r="V140" s="270"/>
      <c r="W140" s="270"/>
      <c r="X140" s="270"/>
      <c r="Y140" s="270"/>
      <c r="Z140" s="270"/>
      <c r="AA140" s="270"/>
      <c r="AB140" s="270"/>
      <c r="AC140" s="270"/>
      <c r="AD140" s="270"/>
      <c r="AE140" s="270"/>
      <c r="AF140" s="270"/>
      <c r="AG140" s="270"/>
      <c r="AH140" s="270"/>
      <c r="AI140" s="270"/>
      <c r="AJ140" s="270"/>
      <c r="AK140" s="270"/>
      <c r="AL140" s="270"/>
      <c r="AM140" s="663"/>
      <c r="AN140" s="663"/>
      <c r="AO140" s="708" t="str">
        <f>IF(OR(Table1[[#This Row],[Início Setup Envase]]="",Table1[[#This Row],[Final Setup Envase]]=""),"",Table1[[#This Row],[Final Setup Envase]]-Table1[[#This Row],[Início Setup Envase]])</f>
        <v/>
      </c>
      <c r="AP140" s="663"/>
      <c r="AQ140" s="663"/>
      <c r="AR140" s="270"/>
      <c r="AS140" s="270"/>
      <c r="AT140" s="270"/>
      <c r="AU140" s="270"/>
      <c r="AV140" s="270"/>
      <c r="AW140" s="270"/>
      <c r="AX140" s="270"/>
      <c r="AY140" s="270"/>
      <c r="AZ140" s="270"/>
      <c r="BA140" s="270">
        <f>IF(Table1[[#This Row],[Data de Início]]="","",YEAR(Table1[[#This Row],[Data de Início]]))</f>
        <v>2025</v>
      </c>
      <c r="BB140" s="270">
        <f>IF(Table1[[#This Row],[Data de Início]]="","",MONTH(Table1[[#This Row],[Data de Início]]))</f>
        <v>6</v>
      </c>
      <c r="BC140" s="270"/>
    </row>
    <row r="141" spans="2:55" ht="15" customHeight="1" x14ac:dyDescent="0.25">
      <c r="B141" s="470">
        <v>45817.588888888888</v>
      </c>
      <c r="C141" s="263">
        <v>45817.671527777777</v>
      </c>
      <c r="D141" s="264" cm="1">
        <f t="array" ref="D141">IFERROR(HorasUteisFabrica2Turnos(B141,C141), "")</f>
        <v>1.9833333333372138</v>
      </c>
      <c r="E141" s="265">
        <f t="shared" si="2"/>
        <v>762.35294117497904</v>
      </c>
      <c r="F141" s="265"/>
      <c r="G141" s="265"/>
      <c r="H141" s="265"/>
      <c r="I141" s="266" t="s">
        <v>196</v>
      </c>
      <c r="J141" s="267" t="s">
        <v>15</v>
      </c>
      <c r="K141" s="268">
        <v>1512</v>
      </c>
      <c r="L141" s="269" t="s">
        <v>247</v>
      </c>
      <c r="M141" s="270" t="str">
        <f>IFERROR(INDEX([1]Produtos!$C:$C,MATCH(L141,[1]Produtos!$B:$B,0)), "-")</f>
        <v>MÁSCARA HUBBA GUM TUTTI-FRUTTI</v>
      </c>
      <c r="N141" s="510">
        <f>IFERROR(INDEX([1]Produtos!$E:$E,MATCH(L141,[1]Produtos!$B:$B,0)), "-")</f>
        <v>250</v>
      </c>
      <c r="O141" s="270" t="str">
        <f>IFERROR(INDEX([1]Produtos!$F:$F,MATCH(L141,[1]Produtos!$B:$B,0)), "-")</f>
        <v>g</v>
      </c>
      <c r="P141" s="270" t="str">
        <f>IFERROR(INDEX([1]Produtos!$G:$G,MATCH(L141,[1]Produtos!$B:$B,0)), "-")</f>
        <v>LUA &amp; NEVE</v>
      </c>
      <c r="Q141" s="270" t="str">
        <f>IFERROR(INDEX([1]Produtos!$H:$H,MATCH(L141,[1]Produtos!$B:$B,0)), "-")</f>
        <v>CAPILAR</v>
      </c>
      <c r="R141" s="270" t="str">
        <f>IFERROR(INDEX([1]Produtos!$I:$I,MATCH(L141,[1]Produtos!$B:$B,0)), "-")</f>
        <v>MÁSCARA</v>
      </c>
      <c r="S141" s="270" t="str">
        <f>IFERROR(INDEX([1]Produtos!$J:$J,MATCH(L141,[1]Produtos!$B:$B,0)), "-")</f>
        <v>CREMOSO</v>
      </c>
      <c r="T141" s="473"/>
      <c r="U141" s="270"/>
      <c r="V141" s="270"/>
      <c r="W141" s="270"/>
      <c r="X141" s="270"/>
      <c r="Y141" s="270"/>
      <c r="Z141" s="270"/>
      <c r="AA141" s="270"/>
      <c r="AB141" s="270"/>
      <c r="AC141" s="270"/>
      <c r="AD141" s="270"/>
      <c r="AE141" s="270"/>
      <c r="AF141" s="270"/>
      <c r="AG141" s="270"/>
      <c r="AH141" s="270"/>
      <c r="AI141" s="270"/>
      <c r="AJ141" s="270"/>
      <c r="AK141" s="270"/>
      <c r="AL141" s="270"/>
      <c r="AM141" s="663"/>
      <c r="AN141" s="663"/>
      <c r="AO141" s="708" t="str">
        <f>IF(OR(Table1[[#This Row],[Início Setup Envase]]="",Table1[[#This Row],[Final Setup Envase]]=""),"",Table1[[#This Row],[Final Setup Envase]]-Table1[[#This Row],[Início Setup Envase]])</f>
        <v/>
      </c>
      <c r="AP141" s="663"/>
      <c r="AQ141" s="663"/>
      <c r="AR141" s="270"/>
      <c r="AS141" s="270"/>
      <c r="AT141" s="270"/>
      <c r="AU141" s="270"/>
      <c r="AV141" s="270"/>
      <c r="AW141" s="270"/>
      <c r="AX141" s="270"/>
      <c r="AY141" s="270"/>
      <c r="AZ141" s="270"/>
      <c r="BA141" s="270">
        <f>IF(Table1[[#This Row],[Data de Início]]="","",YEAR(Table1[[#This Row],[Data de Início]]))</f>
        <v>2025</v>
      </c>
      <c r="BB141" s="270">
        <f>IF(Table1[[#This Row],[Data de Início]]="","",MONTH(Table1[[#This Row],[Data de Início]]))</f>
        <v>6</v>
      </c>
      <c r="BC141" s="270"/>
    </row>
    <row r="142" spans="2:55" ht="15" customHeight="1" x14ac:dyDescent="0.25">
      <c r="B142" s="470">
        <v>45817.611111111109</v>
      </c>
      <c r="C142" s="263">
        <v>45817.645833333336</v>
      </c>
      <c r="D142" s="264" cm="1">
        <f t="array" ref="D142">IFERROR(HorasUteisFabrica2Turnos(B142,C142), "")</f>
        <v>0.8333333334303461</v>
      </c>
      <c r="E142" s="265">
        <f t="shared" si="2"/>
        <v>1814.3999997887761</v>
      </c>
      <c r="F142" s="265"/>
      <c r="G142" s="265"/>
      <c r="H142" s="265"/>
      <c r="I142" s="266" t="s">
        <v>198</v>
      </c>
      <c r="J142" s="267" t="s">
        <v>15</v>
      </c>
      <c r="K142" s="271">
        <v>1512</v>
      </c>
      <c r="L142" s="269" t="s">
        <v>248</v>
      </c>
      <c r="M142" s="270" t="str">
        <f>IFERROR(INDEX([1]Produtos!$C:$C,MATCH(L142,[1]Produtos!$B:$B,0)), "-")</f>
        <v>MÁSCARA HUBBA GUM UVA</v>
      </c>
      <c r="N142" s="510">
        <f>IFERROR(INDEX([1]Produtos!$E:$E,MATCH(L142,[1]Produtos!$B:$B,0)), "-")</f>
        <v>250</v>
      </c>
      <c r="O142" s="270" t="str">
        <f>IFERROR(INDEX([1]Produtos!$F:$F,MATCH(L142,[1]Produtos!$B:$B,0)), "-")</f>
        <v>g</v>
      </c>
      <c r="P142" s="270" t="str">
        <f>IFERROR(INDEX([1]Produtos!$G:$G,MATCH(L142,[1]Produtos!$B:$B,0)), "-")</f>
        <v>LUA &amp; NEVE</v>
      </c>
      <c r="Q142" s="270" t="str">
        <f>IFERROR(INDEX([1]Produtos!$H:$H,MATCH(L142,[1]Produtos!$B:$B,0)), "-")</f>
        <v>CAPILAR</v>
      </c>
      <c r="R142" s="270" t="str">
        <f>IFERROR(INDEX([1]Produtos!$I:$I,MATCH(L142,[1]Produtos!$B:$B,0)), "-")</f>
        <v>MÁSCARA</v>
      </c>
      <c r="S142" s="270" t="str">
        <f>IFERROR(INDEX([1]Produtos!$J:$J,MATCH(L142,[1]Produtos!$B:$B,0)), "-")</f>
        <v>CREMOSO</v>
      </c>
      <c r="T142" s="473"/>
      <c r="U142" s="270"/>
      <c r="V142" s="270"/>
      <c r="W142" s="270"/>
      <c r="X142" s="270"/>
      <c r="Y142" s="270"/>
      <c r="Z142" s="270"/>
      <c r="AA142" s="270"/>
      <c r="AB142" s="270"/>
      <c r="AC142" s="270"/>
      <c r="AD142" s="270"/>
      <c r="AE142" s="270"/>
      <c r="AF142" s="270"/>
      <c r="AG142" s="270"/>
      <c r="AH142" s="270"/>
      <c r="AI142" s="270"/>
      <c r="AJ142" s="270"/>
      <c r="AK142" s="270"/>
      <c r="AL142" s="270"/>
      <c r="AM142" s="663"/>
      <c r="AN142" s="663"/>
      <c r="AO142" s="708" t="str">
        <f>IF(OR(Table1[[#This Row],[Início Setup Envase]]="",Table1[[#This Row],[Final Setup Envase]]=""),"",Table1[[#This Row],[Final Setup Envase]]-Table1[[#This Row],[Início Setup Envase]])</f>
        <v/>
      </c>
      <c r="AP142" s="663"/>
      <c r="AQ142" s="663"/>
      <c r="AR142" s="270"/>
      <c r="AS142" s="270"/>
      <c r="AT142" s="270"/>
      <c r="AU142" s="270"/>
      <c r="AV142" s="270"/>
      <c r="AW142" s="270"/>
      <c r="AX142" s="270"/>
      <c r="AY142" s="270"/>
      <c r="AZ142" s="270"/>
      <c r="BA142" s="270">
        <f>IF(Table1[[#This Row],[Data de Início]]="","",YEAR(Table1[[#This Row],[Data de Início]]))</f>
        <v>2025</v>
      </c>
      <c r="BB142" s="270">
        <f>IF(Table1[[#This Row],[Data de Início]]="","",MONTH(Table1[[#This Row],[Data de Início]]))</f>
        <v>6</v>
      </c>
      <c r="BC142" s="270"/>
    </row>
    <row r="143" spans="2:55" ht="15" customHeight="1" x14ac:dyDescent="0.25">
      <c r="B143" s="470">
        <v>45817.645833333336</v>
      </c>
      <c r="C143" s="263">
        <v>45818.354166666664</v>
      </c>
      <c r="D143" s="264" cm="1">
        <f t="array" ref="D143">IFERROR(HorasUteisFabrica2Turnos(B143,C143), "")</f>
        <v>3</v>
      </c>
      <c r="E143" s="265">
        <f t="shared" si="2"/>
        <v>504</v>
      </c>
      <c r="F143" s="265"/>
      <c r="G143" s="265"/>
      <c r="H143" s="265"/>
      <c r="I143" s="266" t="s">
        <v>199</v>
      </c>
      <c r="J143" s="267" t="s">
        <v>15</v>
      </c>
      <c r="K143" s="271">
        <v>1512</v>
      </c>
      <c r="L143" s="269" t="s">
        <v>248</v>
      </c>
      <c r="M143" s="270" t="str">
        <f>IFERROR(INDEX([1]Produtos!$C:$C,MATCH(L143,[1]Produtos!$B:$B,0)), "-")</f>
        <v>MÁSCARA HUBBA GUM UVA</v>
      </c>
      <c r="N143" s="510">
        <f>IFERROR(INDEX([1]Produtos!$E:$E,MATCH(L143,[1]Produtos!$B:$B,0)), "-")</f>
        <v>250</v>
      </c>
      <c r="O143" s="270" t="str">
        <f>IFERROR(INDEX([1]Produtos!$F:$F,MATCH(L143,[1]Produtos!$B:$B,0)), "-")</f>
        <v>g</v>
      </c>
      <c r="P143" s="270" t="str">
        <f>IFERROR(INDEX([1]Produtos!$G:$G,MATCH(L143,[1]Produtos!$B:$B,0)), "-")</f>
        <v>LUA &amp; NEVE</v>
      </c>
      <c r="Q143" s="270" t="str">
        <f>IFERROR(INDEX([1]Produtos!$H:$H,MATCH(L143,[1]Produtos!$B:$B,0)), "-")</f>
        <v>CAPILAR</v>
      </c>
      <c r="R143" s="270" t="str">
        <f>IFERROR(INDEX([1]Produtos!$I:$I,MATCH(L143,[1]Produtos!$B:$B,0)), "-")</f>
        <v>MÁSCARA</v>
      </c>
      <c r="S143" s="270" t="str">
        <f>IFERROR(INDEX([1]Produtos!$J:$J,MATCH(L143,[1]Produtos!$B:$B,0)), "-")</f>
        <v>CREMOSO</v>
      </c>
      <c r="T143" s="473"/>
      <c r="U143" s="270"/>
      <c r="V143" s="270"/>
      <c r="W143" s="270"/>
      <c r="X143" s="270"/>
      <c r="Y143" s="270"/>
      <c r="Z143" s="270"/>
      <c r="AA143" s="270"/>
      <c r="AB143" s="270"/>
      <c r="AC143" s="270"/>
      <c r="AD143" s="270"/>
      <c r="AE143" s="270"/>
      <c r="AF143" s="270"/>
      <c r="AG143" s="270"/>
      <c r="AH143" s="270"/>
      <c r="AI143" s="270"/>
      <c r="AJ143" s="270"/>
      <c r="AK143" s="270"/>
      <c r="AL143" s="270"/>
      <c r="AM143" s="663"/>
      <c r="AN143" s="663"/>
      <c r="AO143" s="708" t="str">
        <f>IF(OR(Table1[[#This Row],[Início Setup Envase]]="",Table1[[#This Row],[Final Setup Envase]]=""),"",Table1[[#This Row],[Final Setup Envase]]-Table1[[#This Row],[Início Setup Envase]])</f>
        <v/>
      </c>
      <c r="AP143" s="663"/>
      <c r="AQ143" s="663"/>
      <c r="AR143" s="270"/>
      <c r="AS143" s="270"/>
      <c r="AT143" s="270"/>
      <c r="AU143" s="270"/>
      <c r="AV143" s="270"/>
      <c r="AW143" s="270"/>
      <c r="AX143" s="270"/>
      <c r="AY143" s="270"/>
      <c r="AZ143" s="270"/>
      <c r="BA143" s="270">
        <f>IF(Table1[[#This Row],[Data de Início]]="","",YEAR(Table1[[#This Row],[Data de Início]]))</f>
        <v>2025</v>
      </c>
      <c r="BB143" s="270">
        <f>IF(Table1[[#This Row],[Data de Início]]="","",MONTH(Table1[[#This Row],[Data de Início]]))</f>
        <v>6</v>
      </c>
      <c r="BC143" s="270"/>
    </row>
    <row r="144" spans="2:55" ht="15" customHeight="1" x14ac:dyDescent="0.25">
      <c r="B144" s="470">
        <v>45817.671527777777</v>
      </c>
      <c r="C144" s="263">
        <v>45818.354166666664</v>
      </c>
      <c r="D144" s="264" cm="1">
        <f t="array" ref="D144">IFERROR(HorasUteisFabrica2Turnos(B144,C144), "")</f>
        <v>2.3833333334187046</v>
      </c>
      <c r="E144" s="265">
        <f t="shared" si="2"/>
        <v>619.30069927851594</v>
      </c>
      <c r="F144" s="265"/>
      <c r="G144" s="265"/>
      <c r="H144" s="265"/>
      <c r="I144" s="266" t="s">
        <v>197</v>
      </c>
      <c r="J144" s="267" t="s">
        <v>15</v>
      </c>
      <c r="K144" s="268">
        <v>1476</v>
      </c>
      <c r="L144" s="269" t="s">
        <v>247</v>
      </c>
      <c r="M144" s="270" t="str">
        <f>IFERROR(INDEX([1]Produtos!$C:$C,MATCH(L144,[1]Produtos!$B:$B,0)), "-")</f>
        <v>MÁSCARA HUBBA GUM TUTTI-FRUTTI</v>
      </c>
      <c r="N144" s="510">
        <f>IFERROR(INDEX([1]Produtos!$E:$E,MATCH(L144,[1]Produtos!$B:$B,0)), "-")</f>
        <v>250</v>
      </c>
      <c r="O144" s="270" t="str">
        <f>IFERROR(INDEX([1]Produtos!$F:$F,MATCH(L144,[1]Produtos!$B:$B,0)), "-")</f>
        <v>g</v>
      </c>
      <c r="P144" s="270" t="str">
        <f>IFERROR(INDEX([1]Produtos!$G:$G,MATCH(L144,[1]Produtos!$B:$B,0)), "-")</f>
        <v>LUA &amp; NEVE</v>
      </c>
      <c r="Q144" s="270" t="str">
        <f>IFERROR(INDEX([1]Produtos!$H:$H,MATCH(L144,[1]Produtos!$B:$B,0)), "-")</f>
        <v>CAPILAR</v>
      </c>
      <c r="R144" s="270" t="str">
        <f>IFERROR(INDEX([1]Produtos!$I:$I,MATCH(L144,[1]Produtos!$B:$B,0)), "-")</f>
        <v>MÁSCARA</v>
      </c>
      <c r="S144" s="270" t="str">
        <f>IFERROR(INDEX([1]Produtos!$J:$J,MATCH(L144,[1]Produtos!$B:$B,0)), "-")</f>
        <v>CREMOSO</v>
      </c>
      <c r="T144" s="473"/>
      <c r="U144" s="270"/>
      <c r="V144" s="270"/>
      <c r="W144" s="270"/>
      <c r="X144" s="270"/>
      <c r="Y144" s="270"/>
      <c r="Z144" s="270"/>
      <c r="AA144" s="270"/>
      <c r="AB144" s="270"/>
      <c r="AC144" s="270"/>
      <c r="AD144" s="270"/>
      <c r="AE144" s="270"/>
      <c r="AF144" s="270"/>
      <c r="AG144" s="270"/>
      <c r="AH144" s="270"/>
      <c r="AI144" s="270"/>
      <c r="AJ144" s="270"/>
      <c r="AK144" s="270"/>
      <c r="AL144" s="270"/>
      <c r="AM144" s="663"/>
      <c r="AN144" s="663"/>
      <c r="AO144" s="708" t="str">
        <f>IF(OR(Table1[[#This Row],[Início Setup Envase]]="",Table1[[#This Row],[Final Setup Envase]]=""),"",Table1[[#This Row],[Final Setup Envase]]-Table1[[#This Row],[Início Setup Envase]])</f>
        <v/>
      </c>
      <c r="AP144" s="663"/>
      <c r="AQ144" s="663"/>
      <c r="AR144" s="270"/>
      <c r="AS144" s="270"/>
      <c r="AT144" s="270"/>
      <c r="AU144" s="270"/>
      <c r="AV144" s="270"/>
      <c r="AW144" s="270"/>
      <c r="AX144" s="270"/>
      <c r="AY144" s="270"/>
      <c r="AZ144" s="270"/>
      <c r="BA144" s="270">
        <f>IF(Table1[[#This Row],[Data de Início]]="","",YEAR(Table1[[#This Row],[Data de Início]]))</f>
        <v>2025</v>
      </c>
      <c r="BB144" s="270">
        <f>IF(Table1[[#This Row],[Data de Início]]="","",MONTH(Table1[[#This Row],[Data de Início]]))</f>
        <v>6</v>
      </c>
      <c r="BC144" s="270"/>
    </row>
    <row r="145" spans="2:55" ht="15" customHeight="1" x14ac:dyDescent="0.25">
      <c r="B145" s="470">
        <v>45818.354166666664</v>
      </c>
      <c r="C145" s="263">
        <v>45818.425694444442</v>
      </c>
      <c r="D145" s="264" cm="1">
        <f t="array" ref="D145">IFERROR(HorasUteisFabrica2Turnos(B145,C145), "")</f>
        <v>1.7166666666744277</v>
      </c>
      <c r="E145" s="265">
        <f t="shared" si="2"/>
        <v>833.5922330059401</v>
      </c>
      <c r="F145" s="265"/>
      <c r="G145" s="265"/>
      <c r="H145" s="265"/>
      <c r="I145" s="266" t="s">
        <v>200</v>
      </c>
      <c r="J145" s="267" t="s">
        <v>15</v>
      </c>
      <c r="K145" s="271">
        <v>1431</v>
      </c>
      <c r="L145" s="269" t="s">
        <v>248</v>
      </c>
      <c r="M145" s="270" t="str">
        <f>IFERROR(INDEX([1]Produtos!$C:$C,MATCH(L145,[1]Produtos!$B:$B,0)), "-")</f>
        <v>MÁSCARA HUBBA GUM UVA</v>
      </c>
      <c r="N145" s="510">
        <f>IFERROR(INDEX([1]Produtos!$E:$E,MATCH(L145,[1]Produtos!$B:$B,0)), "-")</f>
        <v>250</v>
      </c>
      <c r="O145" s="270" t="str">
        <f>IFERROR(INDEX([1]Produtos!$F:$F,MATCH(L145,[1]Produtos!$B:$B,0)), "-")</f>
        <v>g</v>
      </c>
      <c r="P145" s="270" t="str">
        <f>IFERROR(INDEX([1]Produtos!$G:$G,MATCH(L145,[1]Produtos!$B:$B,0)), "-")</f>
        <v>LUA &amp; NEVE</v>
      </c>
      <c r="Q145" s="270" t="str">
        <f>IFERROR(INDEX([1]Produtos!$H:$H,MATCH(L145,[1]Produtos!$B:$B,0)), "-")</f>
        <v>CAPILAR</v>
      </c>
      <c r="R145" s="270" t="str">
        <f>IFERROR(INDEX([1]Produtos!$I:$I,MATCH(L145,[1]Produtos!$B:$B,0)), "-")</f>
        <v>MÁSCARA</v>
      </c>
      <c r="S145" s="270" t="str">
        <f>IFERROR(INDEX([1]Produtos!$J:$J,MATCH(L145,[1]Produtos!$B:$B,0)), "-")</f>
        <v>CREMOSO</v>
      </c>
      <c r="T145" s="473"/>
      <c r="U145" s="270"/>
      <c r="V145" s="270"/>
      <c r="W145" s="270"/>
      <c r="X145" s="270"/>
      <c r="Y145" s="270"/>
      <c r="Z145" s="270"/>
      <c r="AA145" s="270"/>
      <c r="AB145" s="270"/>
      <c r="AC145" s="270"/>
      <c r="AD145" s="270"/>
      <c r="AE145" s="270"/>
      <c r="AF145" s="270"/>
      <c r="AG145" s="270"/>
      <c r="AH145" s="270"/>
      <c r="AI145" s="270"/>
      <c r="AJ145" s="270"/>
      <c r="AK145" s="270"/>
      <c r="AL145" s="270"/>
      <c r="AM145" s="663"/>
      <c r="AN145" s="663"/>
      <c r="AO145" s="708" t="str">
        <f>IF(OR(Table1[[#This Row],[Início Setup Envase]]="",Table1[[#This Row],[Final Setup Envase]]=""),"",Table1[[#This Row],[Final Setup Envase]]-Table1[[#This Row],[Início Setup Envase]])</f>
        <v/>
      </c>
      <c r="AP145" s="663"/>
      <c r="AQ145" s="663"/>
      <c r="AR145" s="270"/>
      <c r="AS145" s="270"/>
      <c r="AT145" s="270"/>
      <c r="AU145" s="270"/>
      <c r="AV145" s="270"/>
      <c r="AW145" s="270"/>
      <c r="AX145" s="270"/>
      <c r="AY145" s="270"/>
      <c r="AZ145" s="270"/>
      <c r="BA145" s="270">
        <f>IF(Table1[[#This Row],[Data de Início]]="","",YEAR(Table1[[#This Row],[Data de Início]]))</f>
        <v>2025</v>
      </c>
      <c r="BB145" s="270">
        <f>IF(Table1[[#This Row],[Data de Início]]="","",MONTH(Table1[[#This Row],[Data de Início]]))</f>
        <v>6</v>
      </c>
      <c r="BC145" s="270"/>
    </row>
    <row r="146" spans="2:55" ht="15" customHeight="1" x14ac:dyDescent="0.25">
      <c r="B146" s="470">
        <v>45818.46875</v>
      </c>
      <c r="C146" s="263">
        <v>45818.625</v>
      </c>
      <c r="D146" s="264" cm="1">
        <f t="array" ref="D146">IFERROR(HorasUteisFabrica2Turnos(B146,C146), "")</f>
        <v>2.75</v>
      </c>
      <c r="E146" s="265">
        <f t="shared" si="2"/>
        <v>593.4545454545455</v>
      </c>
      <c r="F146" s="266" t="s">
        <v>377</v>
      </c>
      <c r="G146" s="266" t="s">
        <v>361</v>
      </c>
      <c r="H146" s="266"/>
      <c r="I146" s="266" t="s">
        <v>285</v>
      </c>
      <c r="J146" s="267" t="s">
        <v>15</v>
      </c>
      <c r="K146" s="268">
        <v>1632</v>
      </c>
      <c r="L146" s="269" t="s">
        <v>275</v>
      </c>
      <c r="M146" s="270" t="str">
        <f>IFERROR(INDEX([1]Produtos!$C:$C,MATCH(L146,[1]Produtos!$B:$B,0)), "-")</f>
        <v>CREME HIDRATANTE CORPORAL AURORA IMPERIAL</v>
      </c>
      <c r="N146" s="510">
        <f>IFERROR(INDEX([1]Produtos!$E:$E,MATCH(L146,[1]Produtos!$B:$B,0)), "-")</f>
        <v>200</v>
      </c>
      <c r="O146" s="270" t="str">
        <f>IFERROR(INDEX([1]Produtos!$F:$F,MATCH(L146,[1]Produtos!$B:$B,0)), "-")</f>
        <v>ml</v>
      </c>
      <c r="P146" s="270" t="str">
        <f>IFERROR(INDEX([1]Produtos!$G:$G,MATCH(L146,[1]Produtos!$B:$B,0)), "-")</f>
        <v>MISS RÔSE</v>
      </c>
      <c r="Q146" s="270" t="str">
        <f>IFERROR(INDEX([1]Produtos!$H:$H,MATCH(L146,[1]Produtos!$B:$B,0)), "-")</f>
        <v>CORPORAL</v>
      </c>
      <c r="R146" s="270" t="str">
        <f>IFERROR(INDEX([1]Produtos!$I:$I,MATCH(L146,[1]Produtos!$B:$B,0)), "-")</f>
        <v>CREME HIDRATANTE</v>
      </c>
      <c r="S146" s="270" t="str">
        <f>IFERROR(INDEX([1]Produtos!$J:$J,MATCH(L146,[1]Produtos!$B:$B,0)), "-")</f>
        <v>CREMOSO</v>
      </c>
      <c r="T146" s="473"/>
      <c r="U146" s="270"/>
      <c r="V146" s="270"/>
      <c r="W146" s="270"/>
      <c r="X146" s="270"/>
      <c r="Y146" s="270"/>
      <c r="Z146" s="270"/>
      <c r="AA146" s="270"/>
      <c r="AB146" s="270"/>
      <c r="AC146" s="270"/>
      <c r="AD146" s="270"/>
      <c r="AE146" s="270"/>
      <c r="AF146" s="270"/>
      <c r="AG146" s="270"/>
      <c r="AH146" s="270"/>
      <c r="AI146" s="270"/>
      <c r="AJ146" s="270"/>
      <c r="AK146" s="270"/>
      <c r="AL146" s="270"/>
      <c r="AM146" s="663"/>
      <c r="AN146" s="663"/>
      <c r="AO146" s="708" t="str">
        <f>IF(OR(Table1[[#This Row],[Início Setup Envase]]="",Table1[[#This Row],[Final Setup Envase]]=""),"",Table1[[#This Row],[Final Setup Envase]]-Table1[[#This Row],[Início Setup Envase]])</f>
        <v/>
      </c>
      <c r="AP146" s="663"/>
      <c r="AQ146" s="663"/>
      <c r="AR146" s="270"/>
      <c r="AS146" s="270"/>
      <c r="AT146" s="270"/>
      <c r="AU146" s="270"/>
      <c r="AV146" s="270"/>
      <c r="AW146" s="270"/>
      <c r="AX146" s="270"/>
      <c r="AY146" s="270"/>
      <c r="AZ146" s="270"/>
      <c r="BA146" s="270">
        <f>IF(Table1[[#This Row],[Data de Início]]="","",YEAR(Table1[[#This Row],[Data de Início]]))</f>
        <v>2025</v>
      </c>
      <c r="BB146" s="270">
        <f>IF(Table1[[#This Row],[Data de Início]]="","",MONTH(Table1[[#This Row],[Data de Início]]))</f>
        <v>6</v>
      </c>
      <c r="BC146" s="270"/>
    </row>
    <row r="147" spans="2:55" ht="15" customHeight="1" x14ac:dyDescent="0.25">
      <c r="B147" s="470">
        <v>45818.541666666664</v>
      </c>
      <c r="C147" s="263">
        <v>45818.625</v>
      </c>
      <c r="D147" s="264" cm="1">
        <f t="array" ref="D147">IFERROR(HorasUteisFabrica2Turnos(B147,C147), "")</f>
        <v>2.0000000000582077</v>
      </c>
      <c r="E147" s="265">
        <f t="shared" si="2"/>
        <v>1007.9999999706633</v>
      </c>
      <c r="F147" s="266" t="s">
        <v>377</v>
      </c>
      <c r="G147" s="266" t="s">
        <v>361</v>
      </c>
      <c r="H147" s="266"/>
      <c r="I147" s="266" t="s">
        <v>286</v>
      </c>
      <c r="J147" s="267" t="s">
        <v>15</v>
      </c>
      <c r="K147" s="268">
        <v>2016</v>
      </c>
      <c r="L147" s="269" t="s">
        <v>275</v>
      </c>
      <c r="M147" s="270" t="str">
        <f>IFERROR(INDEX([1]Produtos!$C:$C,MATCH(L147,[1]Produtos!$B:$B,0)), "-")</f>
        <v>CREME HIDRATANTE CORPORAL AURORA IMPERIAL</v>
      </c>
      <c r="N147" s="510">
        <f>IFERROR(INDEX([1]Produtos!$E:$E,MATCH(L147,[1]Produtos!$B:$B,0)), "-")</f>
        <v>200</v>
      </c>
      <c r="O147" s="270" t="str">
        <f>IFERROR(INDEX([1]Produtos!$F:$F,MATCH(L147,[1]Produtos!$B:$B,0)), "-")</f>
        <v>ml</v>
      </c>
      <c r="P147" s="270" t="str">
        <f>IFERROR(INDEX([1]Produtos!$G:$G,MATCH(L147,[1]Produtos!$B:$B,0)), "-")</f>
        <v>MISS RÔSE</v>
      </c>
      <c r="Q147" s="270" t="str">
        <f>IFERROR(INDEX([1]Produtos!$H:$H,MATCH(L147,[1]Produtos!$B:$B,0)), "-")</f>
        <v>CORPORAL</v>
      </c>
      <c r="R147" s="270" t="str">
        <f>IFERROR(INDEX([1]Produtos!$I:$I,MATCH(L147,[1]Produtos!$B:$B,0)), "-")</f>
        <v>CREME HIDRATANTE</v>
      </c>
      <c r="S147" s="270" t="str">
        <f>IFERROR(INDEX([1]Produtos!$J:$J,MATCH(L147,[1]Produtos!$B:$B,0)), "-")</f>
        <v>CREMOSO</v>
      </c>
      <c r="T147" s="473"/>
      <c r="U147" s="270"/>
      <c r="V147" s="270"/>
      <c r="W147" s="270"/>
      <c r="X147" s="270"/>
      <c r="Y147" s="270"/>
      <c r="Z147" s="270"/>
      <c r="AA147" s="270"/>
      <c r="AB147" s="270"/>
      <c r="AC147" s="270"/>
      <c r="AD147" s="270"/>
      <c r="AE147" s="270"/>
      <c r="AF147" s="270"/>
      <c r="AG147" s="270"/>
      <c r="AH147" s="270"/>
      <c r="AI147" s="270"/>
      <c r="AJ147" s="270"/>
      <c r="AK147" s="270"/>
      <c r="AL147" s="270"/>
      <c r="AM147" s="663"/>
      <c r="AN147" s="663"/>
      <c r="AO147" s="708" t="str">
        <f>IF(OR(Table1[[#This Row],[Início Setup Envase]]="",Table1[[#This Row],[Final Setup Envase]]=""),"",Table1[[#This Row],[Final Setup Envase]]-Table1[[#This Row],[Início Setup Envase]])</f>
        <v/>
      </c>
      <c r="AP147" s="663"/>
      <c r="AQ147" s="663"/>
      <c r="AR147" s="270"/>
      <c r="AS147" s="270"/>
      <c r="AT147" s="270"/>
      <c r="AU147" s="270"/>
      <c r="AV147" s="270"/>
      <c r="AW147" s="270"/>
      <c r="AX147" s="270"/>
      <c r="AY147" s="270"/>
      <c r="AZ147" s="270"/>
      <c r="BA147" s="270">
        <f>IF(Table1[[#This Row],[Data de Início]]="","",YEAR(Table1[[#This Row],[Data de Início]]))</f>
        <v>2025</v>
      </c>
      <c r="BB147" s="270">
        <f>IF(Table1[[#This Row],[Data de Início]]="","",MONTH(Table1[[#This Row],[Data de Início]]))</f>
        <v>6</v>
      </c>
      <c r="BC147" s="270"/>
    </row>
    <row r="148" spans="2:55" ht="15" customHeight="1" x14ac:dyDescent="0.25">
      <c r="B148" s="470">
        <v>45818.625</v>
      </c>
      <c r="C148" s="263">
        <v>45819.4375</v>
      </c>
      <c r="D148" s="264" cm="1">
        <f t="array" ref="D148">IFERROR(HorasUteisFabrica2Turnos(B148,C148), "")</f>
        <v>5.5000000001164153</v>
      </c>
      <c r="E148" s="265">
        <f t="shared" si="2"/>
        <v>274.90909090327204</v>
      </c>
      <c r="F148" s="266" t="s">
        <v>377</v>
      </c>
      <c r="G148" s="266" t="s">
        <v>361</v>
      </c>
      <c r="H148" s="266"/>
      <c r="I148" s="266" t="s">
        <v>287</v>
      </c>
      <c r="J148" s="267" t="s">
        <v>15</v>
      </c>
      <c r="K148" s="268">
        <v>1512</v>
      </c>
      <c r="L148" s="269" t="s">
        <v>275</v>
      </c>
      <c r="M148" s="270" t="str">
        <f>IFERROR(INDEX([1]Produtos!$C:$C,MATCH(L148,[1]Produtos!$B:$B,0)), "-")</f>
        <v>CREME HIDRATANTE CORPORAL AURORA IMPERIAL</v>
      </c>
      <c r="N148" s="510">
        <f>IFERROR(INDEX([1]Produtos!$E:$E,MATCH(L148,[1]Produtos!$B:$B,0)), "-")</f>
        <v>200</v>
      </c>
      <c r="O148" s="270" t="str">
        <f>IFERROR(INDEX([1]Produtos!$F:$F,MATCH(L148,[1]Produtos!$B:$B,0)), "-")</f>
        <v>ml</v>
      </c>
      <c r="P148" s="270" t="str">
        <f>IFERROR(INDEX([1]Produtos!$G:$G,MATCH(L148,[1]Produtos!$B:$B,0)), "-")</f>
        <v>MISS RÔSE</v>
      </c>
      <c r="Q148" s="270" t="str">
        <f>IFERROR(INDEX([1]Produtos!$H:$H,MATCH(L148,[1]Produtos!$B:$B,0)), "-")</f>
        <v>CORPORAL</v>
      </c>
      <c r="R148" s="270" t="str">
        <f>IFERROR(INDEX([1]Produtos!$I:$I,MATCH(L148,[1]Produtos!$B:$B,0)), "-")</f>
        <v>CREME HIDRATANTE</v>
      </c>
      <c r="S148" s="270" t="str">
        <f>IFERROR(INDEX([1]Produtos!$J:$J,MATCH(L148,[1]Produtos!$B:$B,0)), "-")</f>
        <v>CREMOSO</v>
      </c>
      <c r="T148" s="473"/>
      <c r="U148" s="270"/>
      <c r="V148" s="270"/>
      <c r="W148" s="270"/>
      <c r="X148" s="270"/>
      <c r="Y148" s="270"/>
      <c r="Z148" s="270"/>
      <c r="AA148" s="270"/>
      <c r="AB148" s="270"/>
      <c r="AC148" s="270"/>
      <c r="AD148" s="270"/>
      <c r="AE148" s="270"/>
      <c r="AF148" s="270"/>
      <c r="AG148" s="270"/>
      <c r="AH148" s="270"/>
      <c r="AI148" s="270"/>
      <c r="AJ148" s="270"/>
      <c r="AK148" s="270"/>
      <c r="AL148" s="270"/>
      <c r="AM148" s="663"/>
      <c r="AN148" s="663"/>
      <c r="AO148" s="708" t="str">
        <f>IF(OR(Table1[[#This Row],[Início Setup Envase]]="",Table1[[#This Row],[Final Setup Envase]]=""),"",Table1[[#This Row],[Final Setup Envase]]-Table1[[#This Row],[Início Setup Envase]])</f>
        <v/>
      </c>
      <c r="AP148" s="663"/>
      <c r="AQ148" s="663"/>
      <c r="AR148" s="270"/>
      <c r="AS148" s="270"/>
      <c r="AT148" s="270"/>
      <c r="AU148" s="270"/>
      <c r="AV148" s="270"/>
      <c r="AW148" s="270"/>
      <c r="AX148" s="270"/>
      <c r="AY148" s="270"/>
      <c r="AZ148" s="270"/>
      <c r="BA148" s="270">
        <f>IF(Table1[[#This Row],[Data de Início]]="","",YEAR(Table1[[#This Row],[Data de Início]]))</f>
        <v>2025</v>
      </c>
      <c r="BB148" s="270">
        <f>IF(Table1[[#This Row],[Data de Início]]="","",MONTH(Table1[[#This Row],[Data de Início]]))</f>
        <v>6</v>
      </c>
      <c r="BC148" s="270"/>
    </row>
    <row r="149" spans="2:55" ht="15" customHeight="1" x14ac:dyDescent="0.25">
      <c r="B149" s="470">
        <v>45818.697222222225</v>
      </c>
      <c r="C149" s="263">
        <v>45819.401388888888</v>
      </c>
      <c r="D149" s="264" cm="1">
        <f t="array" ref="D149">IFERROR(HorasUteisFabrica2Turnos(B149,C149), "")</f>
        <v>2.9000000000232831</v>
      </c>
      <c r="E149" s="265">
        <f t="shared" si="2"/>
        <v>695.17241378752215</v>
      </c>
      <c r="F149" s="266" t="s">
        <v>377</v>
      </c>
      <c r="G149" s="266" t="s">
        <v>361</v>
      </c>
      <c r="H149" s="266"/>
      <c r="I149" s="266" t="s">
        <v>288</v>
      </c>
      <c r="J149" s="267" t="s">
        <v>15</v>
      </c>
      <c r="K149" s="268">
        <v>2016</v>
      </c>
      <c r="L149" s="269" t="s">
        <v>275</v>
      </c>
      <c r="M149" s="270" t="str">
        <f>IFERROR(INDEX([1]Produtos!$C:$C,MATCH(L149,[1]Produtos!$B:$B,0)), "-")</f>
        <v>CREME HIDRATANTE CORPORAL AURORA IMPERIAL</v>
      </c>
      <c r="N149" s="510">
        <f>IFERROR(INDEX([1]Produtos!$E:$E,MATCH(L149,[1]Produtos!$B:$B,0)), "-")</f>
        <v>200</v>
      </c>
      <c r="O149" s="270" t="str">
        <f>IFERROR(INDEX([1]Produtos!$F:$F,MATCH(L149,[1]Produtos!$B:$B,0)), "-")</f>
        <v>ml</v>
      </c>
      <c r="P149" s="270" t="str">
        <f>IFERROR(INDEX([1]Produtos!$G:$G,MATCH(L149,[1]Produtos!$B:$B,0)), "-")</f>
        <v>MISS RÔSE</v>
      </c>
      <c r="Q149" s="270" t="str">
        <f>IFERROR(INDEX([1]Produtos!$H:$H,MATCH(L149,[1]Produtos!$B:$B,0)), "-")</f>
        <v>CORPORAL</v>
      </c>
      <c r="R149" s="270" t="str">
        <f>IFERROR(INDEX([1]Produtos!$I:$I,MATCH(L149,[1]Produtos!$B:$B,0)), "-")</f>
        <v>CREME HIDRATANTE</v>
      </c>
      <c r="S149" s="270" t="str">
        <f>IFERROR(INDEX([1]Produtos!$J:$J,MATCH(L149,[1]Produtos!$B:$B,0)), "-")</f>
        <v>CREMOSO</v>
      </c>
      <c r="T149" s="473"/>
      <c r="U149" s="270"/>
      <c r="V149" s="270"/>
      <c r="W149" s="270"/>
      <c r="X149" s="270"/>
      <c r="Y149" s="270"/>
      <c r="Z149" s="270"/>
      <c r="AA149" s="270"/>
      <c r="AB149" s="270"/>
      <c r="AC149" s="270"/>
      <c r="AD149" s="270"/>
      <c r="AE149" s="270"/>
      <c r="AF149" s="270"/>
      <c r="AG149" s="270"/>
      <c r="AH149" s="270"/>
      <c r="AI149" s="270"/>
      <c r="AJ149" s="270"/>
      <c r="AK149" s="270"/>
      <c r="AL149" s="270"/>
      <c r="AM149" s="663"/>
      <c r="AN149" s="663"/>
      <c r="AO149" s="708" t="str">
        <f>IF(OR(Table1[[#This Row],[Início Setup Envase]]="",Table1[[#This Row],[Final Setup Envase]]=""),"",Table1[[#This Row],[Final Setup Envase]]-Table1[[#This Row],[Início Setup Envase]])</f>
        <v/>
      </c>
      <c r="AP149" s="663"/>
      <c r="AQ149" s="663"/>
      <c r="AR149" s="270"/>
      <c r="AS149" s="270"/>
      <c r="AT149" s="270"/>
      <c r="AU149" s="270"/>
      <c r="AV149" s="270"/>
      <c r="AW149" s="270"/>
      <c r="AX149" s="270"/>
      <c r="AY149" s="270"/>
      <c r="AZ149" s="270"/>
      <c r="BA149" s="270">
        <f>IF(Table1[[#This Row],[Data de Início]]="","",YEAR(Table1[[#This Row],[Data de Início]]))</f>
        <v>2025</v>
      </c>
      <c r="BB149" s="270">
        <f>IF(Table1[[#This Row],[Data de Início]]="","",MONTH(Table1[[#This Row],[Data de Início]]))</f>
        <v>6</v>
      </c>
      <c r="BC149" s="270"/>
    </row>
    <row r="150" spans="2:55" ht="15" customHeight="1" x14ac:dyDescent="0.25">
      <c r="B150" s="470">
        <v>45819.4375</v>
      </c>
      <c r="C150" s="263">
        <v>45819.645833333336</v>
      </c>
      <c r="D150" s="264" cm="1">
        <f t="array" ref="D150">IFERROR(HorasUteisFabrica2Turnos(B150,C150), "")</f>
        <v>4.0000000000582077</v>
      </c>
      <c r="E150" s="265">
        <f t="shared" si="2"/>
        <v>515.99999999249121</v>
      </c>
      <c r="F150" s="266" t="s">
        <v>377</v>
      </c>
      <c r="G150" s="266" t="s">
        <v>361</v>
      </c>
      <c r="H150" s="266"/>
      <c r="I150" s="266" t="s">
        <v>289</v>
      </c>
      <c r="J150" s="267" t="s">
        <v>15</v>
      </c>
      <c r="K150" s="268">
        <v>2064</v>
      </c>
      <c r="L150" s="269" t="s">
        <v>275</v>
      </c>
      <c r="M150" s="270" t="str">
        <f>IFERROR(INDEX([1]Produtos!$C:$C,MATCH(L150,[1]Produtos!$B:$B,0)), "-")</f>
        <v>CREME HIDRATANTE CORPORAL AURORA IMPERIAL</v>
      </c>
      <c r="N150" s="510">
        <f>IFERROR(INDEX([1]Produtos!$E:$E,MATCH(L150,[1]Produtos!$B:$B,0)), "-")</f>
        <v>200</v>
      </c>
      <c r="O150" s="270" t="str">
        <f>IFERROR(INDEX([1]Produtos!$F:$F,MATCH(L150,[1]Produtos!$B:$B,0)), "-")</f>
        <v>ml</v>
      </c>
      <c r="P150" s="270" t="str">
        <f>IFERROR(INDEX([1]Produtos!$G:$G,MATCH(L150,[1]Produtos!$B:$B,0)), "-")</f>
        <v>MISS RÔSE</v>
      </c>
      <c r="Q150" s="270" t="str">
        <f>IFERROR(INDEX([1]Produtos!$H:$H,MATCH(L150,[1]Produtos!$B:$B,0)), "-")</f>
        <v>CORPORAL</v>
      </c>
      <c r="R150" s="270" t="str">
        <f>IFERROR(INDEX([1]Produtos!$I:$I,MATCH(L150,[1]Produtos!$B:$B,0)), "-")</f>
        <v>CREME HIDRATANTE</v>
      </c>
      <c r="S150" s="270" t="str">
        <f>IFERROR(INDEX([1]Produtos!$J:$J,MATCH(L150,[1]Produtos!$B:$B,0)), "-")</f>
        <v>CREMOSO</v>
      </c>
      <c r="T150" s="473"/>
      <c r="U150" s="270"/>
      <c r="V150" s="270"/>
      <c r="W150" s="270"/>
      <c r="X150" s="270"/>
      <c r="Y150" s="270"/>
      <c r="Z150" s="270"/>
      <c r="AA150" s="270"/>
      <c r="AB150" s="270"/>
      <c r="AC150" s="270"/>
      <c r="AD150" s="270"/>
      <c r="AE150" s="270"/>
      <c r="AF150" s="270"/>
      <c r="AG150" s="270"/>
      <c r="AH150" s="270"/>
      <c r="AI150" s="270"/>
      <c r="AJ150" s="270"/>
      <c r="AK150" s="270"/>
      <c r="AL150" s="270"/>
      <c r="AM150" s="663"/>
      <c r="AN150" s="663"/>
      <c r="AO150" s="708" t="str">
        <f>IF(OR(Table1[[#This Row],[Início Setup Envase]]="",Table1[[#This Row],[Final Setup Envase]]=""),"",Table1[[#This Row],[Final Setup Envase]]-Table1[[#This Row],[Início Setup Envase]])</f>
        <v/>
      </c>
      <c r="AP150" s="663"/>
      <c r="AQ150" s="663"/>
      <c r="AR150" s="270"/>
      <c r="AS150" s="270"/>
      <c r="AT150" s="270"/>
      <c r="AU150" s="270"/>
      <c r="AV150" s="270"/>
      <c r="AW150" s="270"/>
      <c r="AX150" s="270"/>
      <c r="AY150" s="270"/>
      <c r="AZ150" s="270"/>
      <c r="BA150" s="270">
        <f>IF(Table1[[#This Row],[Data de Início]]="","",YEAR(Table1[[#This Row],[Data de Início]]))</f>
        <v>2025</v>
      </c>
      <c r="BB150" s="270">
        <f>IF(Table1[[#This Row],[Data de Início]]="","",MONTH(Table1[[#This Row],[Data de Início]]))</f>
        <v>6</v>
      </c>
      <c r="BC150" s="270"/>
    </row>
    <row r="151" spans="2:55" ht="15" customHeight="1" x14ac:dyDescent="0.25">
      <c r="B151" s="470">
        <v>45819.597916666666</v>
      </c>
      <c r="C151" s="263">
        <v>45820.313888888886</v>
      </c>
      <c r="D151" s="264" cm="1">
        <f t="array" ref="D151">IFERROR(HorasUteisFabrica2Turnos(B151,C151), "")</f>
        <v>3.183333333407063</v>
      </c>
      <c r="E151" s="265">
        <f t="shared" si="2"/>
        <v>633.29842930470375</v>
      </c>
      <c r="F151" s="266" t="s">
        <v>377</v>
      </c>
      <c r="G151" s="266" t="s">
        <v>361</v>
      </c>
      <c r="H151" s="266"/>
      <c r="I151" s="266" t="s">
        <v>280</v>
      </c>
      <c r="J151" s="267" t="s">
        <v>15</v>
      </c>
      <c r="K151" s="268">
        <v>2016</v>
      </c>
      <c r="L151" s="269" t="s">
        <v>276</v>
      </c>
      <c r="M151" s="270" t="str">
        <f>IFERROR(INDEX([1]Produtos!$C:$C,MATCH(L151,[1]Produtos!$B:$B,0)), "-")</f>
        <v>CREME HIDRATANTE CORPORAL DEUSA DO NILO</v>
      </c>
      <c r="N151" s="510">
        <f>IFERROR(INDEX([1]Produtos!$E:$E,MATCH(L151,[1]Produtos!$B:$B,0)), "-")</f>
        <v>200</v>
      </c>
      <c r="O151" s="270" t="str">
        <f>IFERROR(INDEX([1]Produtos!$F:$F,MATCH(L151,[1]Produtos!$B:$B,0)), "-")</f>
        <v>ml</v>
      </c>
      <c r="P151" s="270" t="str">
        <f>IFERROR(INDEX([1]Produtos!$G:$G,MATCH(L151,[1]Produtos!$B:$B,0)), "-")</f>
        <v>MISS RÔSE</v>
      </c>
      <c r="Q151" s="270" t="str">
        <f>IFERROR(INDEX([1]Produtos!$H:$H,MATCH(L151,[1]Produtos!$B:$B,0)), "-")</f>
        <v>CORPORAL</v>
      </c>
      <c r="R151" s="270" t="str">
        <f>IFERROR(INDEX([1]Produtos!$I:$I,MATCH(L151,[1]Produtos!$B:$B,0)), "-")</f>
        <v>CREME HIDRATANTE</v>
      </c>
      <c r="S151" s="270" t="str">
        <f>IFERROR(INDEX([1]Produtos!$J:$J,MATCH(L151,[1]Produtos!$B:$B,0)), "-")</f>
        <v>CREMOSO</v>
      </c>
      <c r="T151" s="473"/>
      <c r="U151" s="270"/>
      <c r="V151" s="270"/>
      <c r="W151" s="270"/>
      <c r="X151" s="270"/>
      <c r="Y151" s="270"/>
      <c r="Z151" s="270"/>
      <c r="AA151" s="270"/>
      <c r="AB151" s="270"/>
      <c r="AC151" s="270"/>
      <c r="AD151" s="270"/>
      <c r="AE151" s="270"/>
      <c r="AF151" s="270"/>
      <c r="AG151" s="270"/>
      <c r="AH151" s="270"/>
      <c r="AI151" s="270"/>
      <c r="AJ151" s="270"/>
      <c r="AK151" s="270"/>
      <c r="AL151" s="270"/>
      <c r="AM151" s="663"/>
      <c r="AN151" s="663"/>
      <c r="AO151" s="708" t="str">
        <f>IF(OR(Table1[[#This Row],[Início Setup Envase]]="",Table1[[#This Row],[Final Setup Envase]]=""),"",Table1[[#This Row],[Final Setup Envase]]-Table1[[#This Row],[Início Setup Envase]])</f>
        <v/>
      </c>
      <c r="AP151" s="663"/>
      <c r="AQ151" s="663"/>
      <c r="AR151" s="270"/>
      <c r="AS151" s="270"/>
      <c r="AT151" s="270"/>
      <c r="AU151" s="270"/>
      <c r="AV151" s="270"/>
      <c r="AW151" s="270"/>
      <c r="AX151" s="270"/>
      <c r="AY151" s="270"/>
      <c r="AZ151" s="270"/>
      <c r="BA151" s="270">
        <f>IF(Table1[[#This Row],[Data de Início]]="","",YEAR(Table1[[#This Row],[Data de Início]]))</f>
        <v>2025</v>
      </c>
      <c r="BB151" s="270">
        <f>IF(Table1[[#This Row],[Data de Início]]="","",MONTH(Table1[[#This Row],[Data de Início]]))</f>
        <v>6</v>
      </c>
      <c r="BC151" s="270"/>
    </row>
    <row r="152" spans="2:55" ht="15" customHeight="1" x14ac:dyDescent="0.25">
      <c r="B152" s="470">
        <v>45820</v>
      </c>
      <c r="C152" s="263">
        <v>45820</v>
      </c>
      <c r="D152" s="264" cm="1">
        <f t="array" ref="D152">IFERROR(HorasUteisFabrica2Turnos(B152,C152), "")</f>
        <v>0</v>
      </c>
      <c r="E152" s="265" t="str">
        <f t="shared" si="2"/>
        <v/>
      </c>
      <c r="F152" s="265"/>
      <c r="G152" s="265"/>
      <c r="H152" s="265"/>
      <c r="I152" s="266" t="s">
        <v>278</v>
      </c>
      <c r="J152" s="267" t="s">
        <v>15</v>
      </c>
      <c r="K152" s="268">
        <v>1082</v>
      </c>
      <c r="L152" s="269" t="s">
        <v>886</v>
      </c>
      <c r="M152" s="270" t="str">
        <f>IFERROR(INDEX([1]Produtos!$C:$C,MATCH(L152,[1]Produtos!$B:$B,0)), "-")</f>
        <v>BASE PARA PERFUME FINA BASE 1l</v>
      </c>
      <c r="N152" s="510">
        <f>IFERROR(INDEX([1]Produtos!$E:$E,MATCH(L152,[1]Produtos!$B:$B,0)), "-")</f>
        <v>1000</v>
      </c>
      <c r="O152" s="270" t="str">
        <f>IFERROR(INDEX([1]Produtos!$F:$F,MATCH(L152,[1]Produtos!$B:$B,0)), "-")</f>
        <v>ml</v>
      </c>
      <c r="P152" s="270" t="str">
        <f>IFERROR(INDEX([1]Produtos!$G:$G,MATCH(L152,[1]Produtos!$B:$B,0)), "-")</f>
        <v>KURYOS</v>
      </c>
      <c r="Q152" s="270" t="str">
        <f>IFERROR(INDEX([1]Produtos!$H:$H,MATCH(L152,[1]Produtos!$B:$B,0)), "-")</f>
        <v>BASE</v>
      </c>
      <c r="R152" s="270" t="str">
        <f>IFERROR(INDEX([1]Produtos!$I:$I,MATCH(L152,[1]Produtos!$B:$B,0)), "-")</f>
        <v>BASE</v>
      </c>
      <c r="S152" s="270" t="str">
        <f>IFERROR(INDEX([1]Produtos!$J:$J,MATCH(L152,[1]Produtos!$B:$B,0)), "-")</f>
        <v>LÍQUIDO</v>
      </c>
      <c r="T152" s="473"/>
      <c r="U152" s="270"/>
      <c r="V152" s="270"/>
      <c r="W152" s="270"/>
      <c r="X152" s="270"/>
      <c r="Y152" s="270"/>
      <c r="Z152" s="270"/>
      <c r="AA152" s="270"/>
      <c r="AB152" s="270"/>
      <c r="AC152" s="270"/>
      <c r="AD152" s="270"/>
      <c r="AE152" s="270"/>
      <c r="AF152" s="270"/>
      <c r="AG152" s="270"/>
      <c r="AH152" s="270"/>
      <c r="AI152" s="270"/>
      <c r="AJ152" s="270"/>
      <c r="AK152" s="270"/>
      <c r="AL152" s="270"/>
      <c r="AM152" s="663"/>
      <c r="AN152" s="663"/>
      <c r="AO152" s="708" t="str">
        <f>IF(OR(Table1[[#This Row],[Início Setup Envase]]="",Table1[[#This Row],[Final Setup Envase]]=""),"",Table1[[#This Row],[Final Setup Envase]]-Table1[[#This Row],[Início Setup Envase]])</f>
        <v/>
      </c>
      <c r="AP152" s="663"/>
      <c r="AQ152" s="663"/>
      <c r="AR152" s="270"/>
      <c r="AS152" s="270"/>
      <c r="AT152" s="270"/>
      <c r="AU152" s="270"/>
      <c r="AV152" s="270"/>
      <c r="AW152" s="270"/>
      <c r="AX152" s="270"/>
      <c r="AY152" s="270"/>
      <c r="AZ152" s="270"/>
      <c r="BA152" s="270">
        <f>IF(Table1[[#This Row],[Data de Início]]="","",YEAR(Table1[[#This Row],[Data de Início]]))</f>
        <v>2025</v>
      </c>
      <c r="BB152" s="270">
        <f>IF(Table1[[#This Row],[Data de Início]]="","",MONTH(Table1[[#This Row],[Data de Início]]))</f>
        <v>6</v>
      </c>
      <c r="BC152" s="270"/>
    </row>
    <row r="153" spans="2:55" ht="15" customHeight="1" x14ac:dyDescent="0.25">
      <c r="B153" s="470">
        <v>45820.313888888886</v>
      </c>
      <c r="C153" s="263">
        <v>45820.541666666664</v>
      </c>
      <c r="D153" s="264" cm="1">
        <f t="array" ref="D153">IFERROR(HorasUteisFabrica2Turnos(B153,C153), "")</f>
        <v>5.4666666666744277</v>
      </c>
      <c r="E153" s="265">
        <f t="shared" si="2"/>
        <v>368.78048780435449</v>
      </c>
      <c r="F153" s="266" t="s">
        <v>377</v>
      </c>
      <c r="G153" s="266" t="s">
        <v>361</v>
      </c>
      <c r="H153" s="266"/>
      <c r="I153" s="266" t="s">
        <v>281</v>
      </c>
      <c r="J153" s="267" t="s">
        <v>15</v>
      </c>
      <c r="K153" s="268">
        <v>2016</v>
      </c>
      <c r="L153" s="269" t="s">
        <v>276</v>
      </c>
      <c r="M153" s="270" t="str">
        <f>IFERROR(INDEX([1]Produtos!$C:$C,MATCH(L153,[1]Produtos!$B:$B,0)), "-")</f>
        <v>CREME HIDRATANTE CORPORAL DEUSA DO NILO</v>
      </c>
      <c r="N153" s="510">
        <f>IFERROR(INDEX([1]Produtos!$E:$E,MATCH(L153,[1]Produtos!$B:$B,0)), "-")</f>
        <v>200</v>
      </c>
      <c r="O153" s="270" t="str">
        <f>IFERROR(INDEX([1]Produtos!$F:$F,MATCH(L153,[1]Produtos!$B:$B,0)), "-")</f>
        <v>ml</v>
      </c>
      <c r="P153" s="270" t="str">
        <f>IFERROR(INDEX([1]Produtos!$G:$G,MATCH(L153,[1]Produtos!$B:$B,0)), "-")</f>
        <v>MISS RÔSE</v>
      </c>
      <c r="Q153" s="270" t="str">
        <f>IFERROR(INDEX([1]Produtos!$H:$H,MATCH(L153,[1]Produtos!$B:$B,0)), "-")</f>
        <v>CORPORAL</v>
      </c>
      <c r="R153" s="270" t="str">
        <f>IFERROR(INDEX([1]Produtos!$I:$I,MATCH(L153,[1]Produtos!$B:$B,0)), "-")</f>
        <v>CREME HIDRATANTE</v>
      </c>
      <c r="S153" s="270" t="str">
        <f>IFERROR(INDEX([1]Produtos!$J:$J,MATCH(L153,[1]Produtos!$B:$B,0)), "-")</f>
        <v>CREMOSO</v>
      </c>
      <c r="T153" s="473"/>
      <c r="U153" s="270"/>
      <c r="V153" s="270"/>
      <c r="W153" s="270"/>
      <c r="X153" s="270"/>
      <c r="Y153" s="270"/>
      <c r="Z153" s="270"/>
      <c r="AA153" s="270"/>
      <c r="AB153" s="270"/>
      <c r="AC153" s="270"/>
      <c r="AD153" s="270"/>
      <c r="AE153" s="270"/>
      <c r="AF153" s="270"/>
      <c r="AG153" s="270"/>
      <c r="AH153" s="270"/>
      <c r="AI153" s="270"/>
      <c r="AJ153" s="270"/>
      <c r="AK153" s="270"/>
      <c r="AL153" s="270"/>
      <c r="AM153" s="663"/>
      <c r="AN153" s="663"/>
      <c r="AO153" s="708" t="str">
        <f>IF(OR(Table1[[#This Row],[Início Setup Envase]]="",Table1[[#This Row],[Final Setup Envase]]=""),"",Table1[[#This Row],[Final Setup Envase]]-Table1[[#This Row],[Início Setup Envase]])</f>
        <v/>
      </c>
      <c r="AP153" s="663"/>
      <c r="AQ153" s="663"/>
      <c r="AR153" s="270"/>
      <c r="AS153" s="270"/>
      <c r="AT153" s="270"/>
      <c r="AU153" s="270"/>
      <c r="AV153" s="270"/>
      <c r="AW153" s="270"/>
      <c r="AX153" s="270"/>
      <c r="AY153" s="270"/>
      <c r="AZ153" s="270"/>
      <c r="BA153" s="270">
        <f>IF(Table1[[#This Row],[Data de Início]]="","",YEAR(Table1[[#This Row],[Data de Início]]))</f>
        <v>2025</v>
      </c>
      <c r="BB153" s="270">
        <f>IF(Table1[[#This Row],[Data de Início]]="","",MONTH(Table1[[#This Row],[Data de Início]]))</f>
        <v>6</v>
      </c>
      <c r="BC153" s="270"/>
    </row>
    <row r="154" spans="2:55" ht="15" customHeight="1" x14ac:dyDescent="0.25">
      <c r="B154" s="470">
        <v>45820.458333333336</v>
      </c>
      <c r="C154" s="263">
        <v>45820.701388888891</v>
      </c>
      <c r="D154" s="264" cm="1">
        <f t="array" ref="D154">IFERROR(HorasUteisFabrica2Turnos(B154,C154), "")</f>
        <v>4.8333333333139308</v>
      </c>
      <c r="E154" s="265">
        <f t="shared" si="2"/>
        <v>221.58620689744123</v>
      </c>
      <c r="F154" s="265"/>
      <c r="G154" s="265"/>
      <c r="H154" s="265"/>
      <c r="I154" s="266" t="s">
        <v>284</v>
      </c>
      <c r="J154" s="267" t="s">
        <v>15</v>
      </c>
      <c r="K154" s="268">
        <v>1071</v>
      </c>
      <c r="L154" s="269" t="s">
        <v>402</v>
      </c>
      <c r="M154" s="270" t="str">
        <f>IFERROR(INDEX([1]Produtos!$C:$C,MATCH(L154,[1]Produtos!$B:$B,0)), "-")</f>
        <v>BASE PARA PERFUME FINA BASE PREMIUM 1l</v>
      </c>
      <c r="N154" s="510">
        <f>IFERROR(INDEX([1]Produtos!$E:$E,MATCH(L154,[1]Produtos!$B:$B,0)), "-")</f>
        <v>1000</v>
      </c>
      <c r="O154" s="270" t="str">
        <f>IFERROR(INDEX([1]Produtos!$F:$F,MATCH(L154,[1]Produtos!$B:$B,0)), "-")</f>
        <v>ml</v>
      </c>
      <c r="P154" s="270" t="str">
        <f>IFERROR(INDEX([1]Produtos!$G:$G,MATCH(L154,[1]Produtos!$B:$B,0)), "-")</f>
        <v>KURYOS</v>
      </c>
      <c r="Q154" s="270" t="str">
        <f>IFERROR(INDEX([1]Produtos!$H:$H,MATCH(L154,[1]Produtos!$B:$B,0)), "-")</f>
        <v>BASE</v>
      </c>
      <c r="R154" s="270" t="str">
        <f>IFERROR(INDEX([1]Produtos!$I:$I,MATCH(L154,[1]Produtos!$B:$B,0)), "-")</f>
        <v>BASE</v>
      </c>
      <c r="S154" s="270" t="str">
        <f>IFERROR(INDEX([1]Produtos!$J:$J,MATCH(L154,[1]Produtos!$B:$B,0)), "-")</f>
        <v>LÍQUIDO</v>
      </c>
      <c r="T154" s="473"/>
      <c r="U154" s="270"/>
      <c r="V154" s="270"/>
      <c r="W154" s="270"/>
      <c r="X154" s="270"/>
      <c r="Y154" s="270"/>
      <c r="Z154" s="270"/>
      <c r="AA154" s="270"/>
      <c r="AB154" s="270"/>
      <c r="AC154" s="270"/>
      <c r="AD154" s="270"/>
      <c r="AE154" s="270"/>
      <c r="AF154" s="270"/>
      <c r="AG154" s="270"/>
      <c r="AH154" s="270"/>
      <c r="AI154" s="270"/>
      <c r="AJ154" s="270"/>
      <c r="AK154" s="270"/>
      <c r="AL154" s="270"/>
      <c r="AM154" s="663"/>
      <c r="AN154" s="663"/>
      <c r="AO154" s="708" t="str">
        <f>IF(OR(Table1[[#This Row],[Início Setup Envase]]="",Table1[[#This Row],[Final Setup Envase]]=""),"",Table1[[#This Row],[Final Setup Envase]]-Table1[[#This Row],[Início Setup Envase]])</f>
        <v/>
      </c>
      <c r="AP154" s="663"/>
      <c r="AQ154" s="663"/>
      <c r="AR154" s="270"/>
      <c r="AS154" s="270"/>
      <c r="AT154" s="270"/>
      <c r="AU154" s="270"/>
      <c r="AV154" s="270"/>
      <c r="AW154" s="270"/>
      <c r="AX154" s="270"/>
      <c r="AY154" s="270"/>
      <c r="AZ154" s="270"/>
      <c r="BA154" s="270">
        <f>IF(Table1[[#This Row],[Data de Início]]="","",YEAR(Table1[[#This Row],[Data de Início]]))</f>
        <v>2025</v>
      </c>
      <c r="BB154" s="270">
        <f>IF(Table1[[#This Row],[Data de Início]]="","",MONTH(Table1[[#This Row],[Data de Início]]))</f>
        <v>6</v>
      </c>
      <c r="BC154" s="270"/>
    </row>
    <row r="155" spans="2:55" ht="15" customHeight="1" x14ac:dyDescent="0.25">
      <c r="B155" s="470">
        <v>45820.541666666664</v>
      </c>
      <c r="C155" s="263">
        <v>45820.59375</v>
      </c>
      <c r="D155" s="264" cm="1">
        <f t="array" ref="D155">IFERROR(HorasUteisFabrica2Turnos(B155,C155), "")</f>
        <v>1.2500000000582077</v>
      </c>
      <c r="E155" s="265">
        <f t="shared" si="2"/>
        <v>1612.7999999248982</v>
      </c>
      <c r="F155" s="266" t="s">
        <v>377</v>
      </c>
      <c r="G155" s="266" t="s">
        <v>361</v>
      </c>
      <c r="H155" s="266"/>
      <c r="I155" s="266" t="s">
        <v>282</v>
      </c>
      <c r="J155" s="267" t="s">
        <v>15</v>
      </c>
      <c r="K155" s="268">
        <v>2016</v>
      </c>
      <c r="L155" s="269" t="s">
        <v>276</v>
      </c>
      <c r="M155" s="270" t="str">
        <f>IFERROR(INDEX([1]Produtos!$C:$C,MATCH(L155,[1]Produtos!$B:$B,0)), "-")</f>
        <v>CREME HIDRATANTE CORPORAL DEUSA DO NILO</v>
      </c>
      <c r="N155" s="510">
        <f>IFERROR(INDEX([1]Produtos!$E:$E,MATCH(L155,[1]Produtos!$B:$B,0)), "-")</f>
        <v>200</v>
      </c>
      <c r="O155" s="270" t="str">
        <f>IFERROR(INDEX([1]Produtos!$F:$F,MATCH(L155,[1]Produtos!$B:$B,0)), "-")</f>
        <v>ml</v>
      </c>
      <c r="P155" s="270" t="str">
        <f>IFERROR(INDEX([1]Produtos!$G:$G,MATCH(L155,[1]Produtos!$B:$B,0)), "-")</f>
        <v>MISS RÔSE</v>
      </c>
      <c r="Q155" s="270" t="str">
        <f>IFERROR(INDEX([1]Produtos!$H:$H,MATCH(L155,[1]Produtos!$B:$B,0)), "-")</f>
        <v>CORPORAL</v>
      </c>
      <c r="R155" s="270" t="str">
        <f>IFERROR(INDEX([1]Produtos!$I:$I,MATCH(L155,[1]Produtos!$B:$B,0)), "-")</f>
        <v>CREME HIDRATANTE</v>
      </c>
      <c r="S155" s="270" t="str">
        <f>IFERROR(INDEX([1]Produtos!$J:$J,MATCH(L155,[1]Produtos!$B:$B,0)), "-")</f>
        <v>CREMOSO</v>
      </c>
      <c r="T155" s="473"/>
      <c r="U155" s="270"/>
      <c r="V155" s="270"/>
      <c r="W155" s="270"/>
      <c r="X155" s="270"/>
      <c r="Y155" s="270"/>
      <c r="Z155" s="270"/>
      <c r="AA155" s="270"/>
      <c r="AB155" s="270"/>
      <c r="AC155" s="270"/>
      <c r="AD155" s="270"/>
      <c r="AE155" s="270"/>
      <c r="AF155" s="270"/>
      <c r="AG155" s="270"/>
      <c r="AH155" s="270"/>
      <c r="AI155" s="270"/>
      <c r="AJ155" s="270"/>
      <c r="AK155" s="270"/>
      <c r="AL155" s="270"/>
      <c r="AM155" s="663"/>
      <c r="AN155" s="663"/>
      <c r="AO155" s="708" t="str">
        <f>IF(OR(Table1[[#This Row],[Início Setup Envase]]="",Table1[[#This Row],[Final Setup Envase]]=""),"",Table1[[#This Row],[Final Setup Envase]]-Table1[[#This Row],[Início Setup Envase]])</f>
        <v/>
      </c>
      <c r="AP155" s="663"/>
      <c r="AQ155" s="663"/>
      <c r="AR155" s="270"/>
      <c r="AS155" s="270"/>
      <c r="AT155" s="270"/>
      <c r="AU155" s="270"/>
      <c r="AV155" s="270"/>
      <c r="AW155" s="270"/>
      <c r="AX155" s="270"/>
      <c r="AY155" s="270"/>
      <c r="AZ155" s="270"/>
      <c r="BA155" s="270">
        <f>IF(Table1[[#This Row],[Data de Início]]="","",YEAR(Table1[[#This Row],[Data de Início]]))</f>
        <v>2025</v>
      </c>
      <c r="BB155" s="270">
        <f>IF(Table1[[#This Row],[Data de Início]]="","",MONTH(Table1[[#This Row],[Data de Início]]))</f>
        <v>6</v>
      </c>
      <c r="BC155" s="270"/>
    </row>
    <row r="156" spans="2:55" ht="15" customHeight="1" x14ac:dyDescent="0.25">
      <c r="B156" s="470">
        <v>45820.625</v>
      </c>
      <c r="C156" s="263">
        <v>45821.40902777778</v>
      </c>
      <c r="D156" s="264" cm="1">
        <f t="array" ref="D156">IFERROR(HorasUteisFabrica2Turnos(B156,C156), "")</f>
        <v>4.8166666668257676</v>
      </c>
      <c r="E156" s="265">
        <f t="shared" si="2"/>
        <v>418.54671278894301</v>
      </c>
      <c r="F156" s="266" t="s">
        <v>377</v>
      </c>
      <c r="G156" s="266" t="s">
        <v>361</v>
      </c>
      <c r="H156" s="266"/>
      <c r="I156" s="266" t="s">
        <v>283</v>
      </c>
      <c r="J156" s="267" t="s">
        <v>15</v>
      </c>
      <c r="K156" s="268">
        <v>2016</v>
      </c>
      <c r="L156" s="269" t="s">
        <v>276</v>
      </c>
      <c r="M156" s="270" t="str">
        <f>IFERROR(INDEX([1]Produtos!$C:$C,MATCH(L156,[1]Produtos!$B:$B,0)), "-")</f>
        <v>CREME HIDRATANTE CORPORAL DEUSA DO NILO</v>
      </c>
      <c r="N156" s="510">
        <f>IFERROR(INDEX([1]Produtos!$E:$E,MATCH(L156,[1]Produtos!$B:$B,0)), "-")</f>
        <v>200</v>
      </c>
      <c r="O156" s="270" t="str">
        <f>IFERROR(INDEX([1]Produtos!$F:$F,MATCH(L156,[1]Produtos!$B:$B,0)), "-")</f>
        <v>ml</v>
      </c>
      <c r="P156" s="270" t="str">
        <f>IFERROR(INDEX([1]Produtos!$G:$G,MATCH(L156,[1]Produtos!$B:$B,0)), "-")</f>
        <v>MISS RÔSE</v>
      </c>
      <c r="Q156" s="270" t="str">
        <f>IFERROR(INDEX([1]Produtos!$H:$H,MATCH(L156,[1]Produtos!$B:$B,0)), "-")</f>
        <v>CORPORAL</v>
      </c>
      <c r="R156" s="270" t="str">
        <f>IFERROR(INDEX([1]Produtos!$I:$I,MATCH(L156,[1]Produtos!$B:$B,0)), "-")</f>
        <v>CREME HIDRATANTE</v>
      </c>
      <c r="S156" s="270" t="str">
        <f>IFERROR(INDEX([1]Produtos!$J:$J,MATCH(L156,[1]Produtos!$B:$B,0)), "-")</f>
        <v>CREMOSO</v>
      </c>
      <c r="T156" s="473"/>
      <c r="U156" s="270"/>
      <c r="V156" s="270"/>
      <c r="W156" s="270"/>
      <c r="X156" s="270"/>
      <c r="Y156" s="270"/>
      <c r="Z156" s="270"/>
      <c r="AA156" s="270"/>
      <c r="AB156" s="270"/>
      <c r="AC156" s="270"/>
      <c r="AD156" s="270"/>
      <c r="AE156" s="270"/>
      <c r="AF156" s="270"/>
      <c r="AG156" s="270"/>
      <c r="AH156" s="270"/>
      <c r="AI156" s="270"/>
      <c r="AJ156" s="270"/>
      <c r="AK156" s="270"/>
      <c r="AL156" s="270"/>
      <c r="AM156" s="663"/>
      <c r="AN156" s="663"/>
      <c r="AO156" s="708" t="str">
        <f>IF(OR(Table1[[#This Row],[Início Setup Envase]]="",Table1[[#This Row],[Final Setup Envase]]=""),"",Table1[[#This Row],[Final Setup Envase]]-Table1[[#This Row],[Início Setup Envase]])</f>
        <v/>
      </c>
      <c r="AP156" s="663"/>
      <c r="AQ156" s="663"/>
      <c r="AR156" s="270"/>
      <c r="AS156" s="270"/>
      <c r="AT156" s="270"/>
      <c r="AU156" s="270"/>
      <c r="AV156" s="270"/>
      <c r="AW156" s="270"/>
      <c r="AX156" s="270"/>
      <c r="AY156" s="270"/>
      <c r="AZ156" s="270"/>
      <c r="BA156" s="270">
        <f>IF(Table1[[#This Row],[Data de Início]]="","",YEAR(Table1[[#This Row],[Data de Início]]))</f>
        <v>2025</v>
      </c>
      <c r="BB156" s="270">
        <f>IF(Table1[[#This Row],[Data de Início]]="","",MONTH(Table1[[#This Row],[Data de Início]]))</f>
        <v>6</v>
      </c>
      <c r="BC156" s="270"/>
    </row>
    <row r="157" spans="2:55" ht="15" customHeight="1" x14ac:dyDescent="0.25">
      <c r="B157" s="470">
        <v>45820.645833333336</v>
      </c>
      <c r="C157" s="263">
        <v>45820.694444444445</v>
      </c>
      <c r="D157" s="264" cm="1">
        <f t="array" ref="D157">IFERROR(HorasUteisFabrica2Turnos(B157,C157), "")</f>
        <v>1.1666666666278616</v>
      </c>
      <c r="E157" s="265">
        <f t="shared" si="2"/>
        <v>1481.1428571921222</v>
      </c>
      <c r="F157" s="266" t="s">
        <v>377</v>
      </c>
      <c r="G157" s="266" t="s">
        <v>361</v>
      </c>
      <c r="H157" s="266"/>
      <c r="I157" s="266" t="s">
        <v>279</v>
      </c>
      <c r="J157" s="267" t="s">
        <v>15</v>
      </c>
      <c r="K157" s="268">
        <v>1728</v>
      </c>
      <c r="L157" s="269" t="s">
        <v>276</v>
      </c>
      <c r="M157" s="270" t="str">
        <f>IFERROR(INDEX([1]Produtos!$C:$C,MATCH(L157,[1]Produtos!$B:$B,0)), "-")</f>
        <v>CREME HIDRATANTE CORPORAL DEUSA DO NILO</v>
      </c>
      <c r="N157" s="510">
        <f>IFERROR(INDEX([1]Produtos!$E:$E,MATCH(L157,[1]Produtos!$B:$B,0)), "-")</f>
        <v>200</v>
      </c>
      <c r="O157" s="270" t="str">
        <f>IFERROR(INDEX([1]Produtos!$F:$F,MATCH(L157,[1]Produtos!$B:$B,0)), "-")</f>
        <v>ml</v>
      </c>
      <c r="P157" s="270" t="str">
        <f>IFERROR(INDEX([1]Produtos!$G:$G,MATCH(L157,[1]Produtos!$B:$B,0)), "-")</f>
        <v>MISS RÔSE</v>
      </c>
      <c r="Q157" s="270" t="str">
        <f>IFERROR(INDEX([1]Produtos!$H:$H,MATCH(L157,[1]Produtos!$B:$B,0)), "-")</f>
        <v>CORPORAL</v>
      </c>
      <c r="R157" s="270" t="str">
        <f>IFERROR(INDEX([1]Produtos!$I:$I,MATCH(L157,[1]Produtos!$B:$B,0)), "-")</f>
        <v>CREME HIDRATANTE</v>
      </c>
      <c r="S157" s="270" t="str">
        <f>IFERROR(INDEX([1]Produtos!$J:$J,MATCH(L157,[1]Produtos!$B:$B,0)), "-")</f>
        <v>CREMOSO</v>
      </c>
      <c r="T157" s="473"/>
      <c r="U157" s="270"/>
      <c r="V157" s="270"/>
      <c r="W157" s="270"/>
      <c r="X157" s="270"/>
      <c r="Y157" s="270"/>
      <c r="Z157" s="270"/>
      <c r="AA157" s="270"/>
      <c r="AB157" s="270"/>
      <c r="AC157" s="270"/>
      <c r="AD157" s="270"/>
      <c r="AE157" s="270"/>
      <c r="AF157" s="270"/>
      <c r="AG157" s="270"/>
      <c r="AH157" s="270"/>
      <c r="AI157" s="270"/>
      <c r="AJ157" s="270"/>
      <c r="AK157" s="270"/>
      <c r="AL157" s="270"/>
      <c r="AM157" s="663"/>
      <c r="AN157" s="663"/>
      <c r="AO157" s="708" t="str">
        <f>IF(OR(Table1[[#This Row],[Início Setup Envase]]="",Table1[[#This Row],[Final Setup Envase]]=""),"",Table1[[#This Row],[Final Setup Envase]]-Table1[[#This Row],[Início Setup Envase]])</f>
        <v/>
      </c>
      <c r="AP157" s="663"/>
      <c r="AQ157" s="663"/>
      <c r="AR157" s="270"/>
      <c r="AS157" s="270"/>
      <c r="AT157" s="270"/>
      <c r="AU157" s="270"/>
      <c r="AV157" s="270"/>
      <c r="AW157" s="270"/>
      <c r="AX157" s="270"/>
      <c r="AY157" s="270"/>
      <c r="AZ157" s="270"/>
      <c r="BA157" s="270">
        <f>IF(Table1[[#This Row],[Data de Início]]="","",YEAR(Table1[[#This Row],[Data de Início]]))</f>
        <v>2025</v>
      </c>
      <c r="BB157" s="270">
        <f>IF(Table1[[#This Row],[Data de Início]]="","",MONTH(Table1[[#This Row],[Data de Início]]))</f>
        <v>6</v>
      </c>
      <c r="BC157" s="270"/>
    </row>
    <row r="158" spans="2:55" ht="15" customHeight="1" x14ac:dyDescent="0.25">
      <c r="B158" s="470">
        <v>45821</v>
      </c>
      <c r="C158" s="263">
        <v>45821</v>
      </c>
      <c r="D158" s="264" cm="1">
        <f t="array" ref="D158">IFERROR(HorasUteisFabrica2Turnos(B158,C158), "")</f>
        <v>0</v>
      </c>
      <c r="E158" s="265" t="str">
        <f t="shared" si="2"/>
        <v/>
      </c>
      <c r="F158" s="266" t="s">
        <v>378</v>
      </c>
      <c r="G158" s="266" t="s">
        <v>359</v>
      </c>
      <c r="H158" s="266"/>
      <c r="I158" s="269" t="s">
        <v>327</v>
      </c>
      <c r="J158" s="267" t="s">
        <v>15</v>
      </c>
      <c r="K158" s="269">
        <v>600</v>
      </c>
      <c r="L158" s="269" t="s">
        <v>221</v>
      </c>
      <c r="M158" s="270" t="str">
        <f>IFERROR(INDEX([1]Produtos!$C:$C,MATCH(L158,[1]Produtos!$B:$B,0)), "-")</f>
        <v>PERFUME MASCULINO 100 SILVER SCENT</v>
      </c>
      <c r="N158" s="510">
        <f>IFERROR(INDEX([1]Produtos!$E:$E,MATCH(L158,[1]Produtos!$B:$B,0)), "-")</f>
        <v>50</v>
      </c>
      <c r="O158" s="270" t="str">
        <f>IFERROR(INDEX([1]Produtos!$F:$F,MATCH(L158,[1]Produtos!$B:$B,0)), "-")</f>
        <v>ml</v>
      </c>
      <c r="P158" s="270" t="str">
        <f>IFERROR(INDEX([1]Produtos!$G:$G,MATCH(L158,[1]Produtos!$B:$B,0)), "-")</f>
        <v>MOUTIER</v>
      </c>
      <c r="Q158" s="270" t="str">
        <f>IFERROR(INDEX([1]Produtos!$H:$H,MATCH(L158,[1]Produtos!$B:$B,0)), "-")</f>
        <v>PERFUMARIA</v>
      </c>
      <c r="R158" s="270" t="str">
        <f>IFERROR(INDEX([1]Produtos!$I:$I,MATCH(L158,[1]Produtos!$B:$B,0)), "-")</f>
        <v>PERFUME</v>
      </c>
      <c r="S158" s="270" t="str">
        <f>IFERROR(INDEX([1]Produtos!$J:$J,MATCH(L158,[1]Produtos!$B:$B,0)), "-")</f>
        <v>LÍQUIDO</v>
      </c>
      <c r="T158" s="474"/>
      <c r="U158" s="270"/>
      <c r="V158" s="270"/>
      <c r="W158" s="270"/>
      <c r="X158" s="270"/>
      <c r="Y158" s="270"/>
      <c r="Z158" s="270"/>
      <c r="AA158" s="270"/>
      <c r="AB158" s="270"/>
      <c r="AC158" s="270"/>
      <c r="AD158" s="270"/>
      <c r="AE158" s="270"/>
      <c r="AF158" s="270"/>
      <c r="AG158" s="270"/>
      <c r="AH158" s="270"/>
      <c r="AI158" s="270"/>
      <c r="AJ158" s="270"/>
      <c r="AK158" s="270"/>
      <c r="AL158" s="270"/>
      <c r="AM158" s="663"/>
      <c r="AN158" s="663"/>
      <c r="AO158" s="708" t="str">
        <f>IF(OR(Table1[[#This Row],[Início Setup Envase]]="",Table1[[#This Row],[Final Setup Envase]]=""),"",Table1[[#This Row],[Final Setup Envase]]-Table1[[#This Row],[Início Setup Envase]])</f>
        <v/>
      </c>
      <c r="AP158" s="663"/>
      <c r="AQ158" s="663"/>
      <c r="AR158" s="270"/>
      <c r="AS158" s="270"/>
      <c r="AT158" s="270"/>
      <c r="AU158" s="270"/>
      <c r="AV158" s="270"/>
      <c r="AW158" s="270"/>
      <c r="AX158" s="270"/>
      <c r="AY158" s="270"/>
      <c r="AZ158" s="270"/>
      <c r="BA158" s="270">
        <f>IF(Table1[[#This Row],[Data de Início]]="","",YEAR(Table1[[#This Row],[Data de Início]]))</f>
        <v>2025</v>
      </c>
      <c r="BB158" s="270">
        <f>IF(Table1[[#This Row],[Data de Início]]="","",MONTH(Table1[[#This Row],[Data de Início]]))</f>
        <v>6</v>
      </c>
      <c r="BC158" s="270"/>
    </row>
    <row r="159" spans="2:55" ht="15" customHeight="1" x14ac:dyDescent="0.25">
      <c r="B159" s="470">
        <v>45821.416666666664</v>
      </c>
      <c r="C159" s="263">
        <v>45821.625</v>
      </c>
      <c r="D159" s="264" cm="1">
        <f t="array" ref="D159">IFERROR(HorasUteisFabrica2Turnos(B159,C159), "")</f>
        <v>4.0000000000582077</v>
      </c>
      <c r="E159" s="265">
        <f t="shared" si="2"/>
        <v>251.99999999633292</v>
      </c>
      <c r="F159" s="265"/>
      <c r="G159" s="265"/>
      <c r="H159" s="265"/>
      <c r="I159" s="266" t="s">
        <v>277</v>
      </c>
      <c r="J159" s="267" t="s">
        <v>15</v>
      </c>
      <c r="K159" s="268">
        <v>1008</v>
      </c>
      <c r="L159" s="269" t="s">
        <v>402</v>
      </c>
      <c r="M159" s="270" t="str">
        <f>IFERROR(INDEX([1]Produtos!$C:$C,MATCH(L159,[1]Produtos!$B:$B,0)), "-")</f>
        <v>BASE PARA PERFUME FINA BASE PREMIUM 1l</v>
      </c>
      <c r="N159" s="510">
        <f>IFERROR(INDEX([1]Produtos!$E:$E,MATCH(L159,[1]Produtos!$B:$B,0)), "-")</f>
        <v>1000</v>
      </c>
      <c r="O159" s="270" t="str">
        <f>IFERROR(INDEX([1]Produtos!$F:$F,MATCH(L159,[1]Produtos!$B:$B,0)), "-")</f>
        <v>ml</v>
      </c>
      <c r="P159" s="270" t="str">
        <f>IFERROR(INDEX([1]Produtos!$G:$G,MATCH(L159,[1]Produtos!$B:$B,0)), "-")</f>
        <v>KURYOS</v>
      </c>
      <c r="Q159" s="270" t="str">
        <f>IFERROR(INDEX([1]Produtos!$H:$H,MATCH(L159,[1]Produtos!$B:$B,0)), "-")</f>
        <v>BASE</v>
      </c>
      <c r="R159" s="270" t="str">
        <f>IFERROR(INDEX([1]Produtos!$I:$I,MATCH(L159,[1]Produtos!$B:$B,0)), "-")</f>
        <v>BASE</v>
      </c>
      <c r="S159" s="270" t="str">
        <f>IFERROR(INDEX([1]Produtos!$J:$J,MATCH(L159,[1]Produtos!$B:$B,0)), "-")</f>
        <v>LÍQUIDO</v>
      </c>
      <c r="T159" s="473"/>
      <c r="U159" s="270"/>
      <c r="V159" s="270"/>
      <c r="W159" s="270"/>
      <c r="X159" s="270"/>
      <c r="Y159" s="270"/>
      <c r="Z159" s="270"/>
      <c r="AA159" s="270"/>
      <c r="AB159" s="270"/>
      <c r="AC159" s="270"/>
      <c r="AD159" s="270"/>
      <c r="AE159" s="270"/>
      <c r="AF159" s="270"/>
      <c r="AG159" s="270"/>
      <c r="AH159" s="270"/>
      <c r="AI159" s="270"/>
      <c r="AJ159" s="270"/>
      <c r="AK159" s="270"/>
      <c r="AL159" s="270"/>
      <c r="AM159" s="663"/>
      <c r="AN159" s="663"/>
      <c r="AO159" s="708" t="str">
        <f>IF(OR(Table1[[#This Row],[Início Setup Envase]]="",Table1[[#This Row],[Final Setup Envase]]=""),"",Table1[[#This Row],[Final Setup Envase]]-Table1[[#This Row],[Início Setup Envase]])</f>
        <v/>
      </c>
      <c r="AP159" s="663"/>
      <c r="AQ159" s="663"/>
      <c r="AR159" s="270"/>
      <c r="AS159" s="270"/>
      <c r="AT159" s="270"/>
      <c r="AU159" s="270"/>
      <c r="AV159" s="270"/>
      <c r="AW159" s="270"/>
      <c r="AX159" s="270"/>
      <c r="AY159" s="270"/>
      <c r="AZ159" s="270"/>
      <c r="BA159" s="270">
        <f>IF(Table1[[#This Row],[Data de Início]]="","",YEAR(Table1[[#This Row],[Data de Início]]))</f>
        <v>2025</v>
      </c>
      <c r="BB159" s="270">
        <f>IF(Table1[[#This Row],[Data de Início]]="","",MONTH(Table1[[#This Row],[Data de Início]]))</f>
        <v>6</v>
      </c>
      <c r="BC159" s="270"/>
    </row>
    <row r="160" spans="2:55" ht="15" customHeight="1" x14ac:dyDescent="0.25">
      <c r="B160" s="470">
        <v>45821.541666666664</v>
      </c>
      <c r="C160" s="263">
        <v>45821.625</v>
      </c>
      <c r="D160" s="264" cm="1">
        <f t="array" ref="D160">IFERROR(HorasUteisFabrica2Turnos(B160,C160), "")</f>
        <v>2.0000000000582077</v>
      </c>
      <c r="E160" s="265">
        <f t="shared" si="2"/>
        <v>407.99999998812564</v>
      </c>
      <c r="F160" s="266" t="s">
        <v>377</v>
      </c>
      <c r="G160" s="266" t="s">
        <v>361</v>
      </c>
      <c r="H160" s="266"/>
      <c r="I160" s="266" t="s">
        <v>290</v>
      </c>
      <c r="J160" s="267" t="s">
        <v>15</v>
      </c>
      <c r="K160" s="268">
        <v>816</v>
      </c>
      <c r="L160" s="269" t="s">
        <v>276</v>
      </c>
      <c r="M160" s="270" t="str">
        <f>IFERROR(INDEX([1]Produtos!$C:$C,MATCH(L160,[1]Produtos!$B:$B,0)), "-")</f>
        <v>CREME HIDRATANTE CORPORAL DEUSA DO NILO</v>
      </c>
      <c r="N160" s="510">
        <f>IFERROR(INDEX([1]Produtos!$E:$E,MATCH(L160,[1]Produtos!$B:$B,0)), "-")</f>
        <v>200</v>
      </c>
      <c r="O160" s="270" t="str">
        <f>IFERROR(INDEX([1]Produtos!$F:$F,MATCH(L160,[1]Produtos!$B:$B,0)), "-")</f>
        <v>ml</v>
      </c>
      <c r="P160" s="270" t="str">
        <f>IFERROR(INDEX([1]Produtos!$G:$G,MATCH(L160,[1]Produtos!$B:$B,0)), "-")</f>
        <v>MISS RÔSE</v>
      </c>
      <c r="Q160" s="270" t="str">
        <f>IFERROR(INDEX([1]Produtos!$H:$H,MATCH(L160,[1]Produtos!$B:$B,0)), "-")</f>
        <v>CORPORAL</v>
      </c>
      <c r="R160" s="270" t="str">
        <f>IFERROR(INDEX([1]Produtos!$I:$I,MATCH(L160,[1]Produtos!$B:$B,0)), "-")</f>
        <v>CREME HIDRATANTE</v>
      </c>
      <c r="S160" s="270" t="str">
        <f>IFERROR(INDEX([1]Produtos!$J:$J,MATCH(L160,[1]Produtos!$B:$B,0)), "-")</f>
        <v>CREMOSO</v>
      </c>
      <c r="T160" s="473"/>
      <c r="U160" s="270"/>
      <c r="V160" s="270"/>
      <c r="W160" s="270"/>
      <c r="X160" s="270"/>
      <c r="Y160" s="270"/>
      <c r="Z160" s="270"/>
      <c r="AA160" s="270"/>
      <c r="AB160" s="270"/>
      <c r="AC160" s="270"/>
      <c r="AD160" s="270"/>
      <c r="AE160" s="270"/>
      <c r="AF160" s="270"/>
      <c r="AG160" s="270"/>
      <c r="AH160" s="270"/>
      <c r="AI160" s="270"/>
      <c r="AJ160" s="270"/>
      <c r="AK160" s="270"/>
      <c r="AL160" s="270"/>
      <c r="AM160" s="663"/>
      <c r="AN160" s="663"/>
      <c r="AO160" s="708" t="str">
        <f>IF(OR(Table1[[#This Row],[Início Setup Envase]]="",Table1[[#This Row],[Final Setup Envase]]=""),"",Table1[[#This Row],[Final Setup Envase]]-Table1[[#This Row],[Início Setup Envase]])</f>
        <v/>
      </c>
      <c r="AP160" s="663"/>
      <c r="AQ160" s="663"/>
      <c r="AR160" s="270"/>
      <c r="AS160" s="270"/>
      <c r="AT160" s="270"/>
      <c r="AU160" s="270"/>
      <c r="AV160" s="270"/>
      <c r="AW160" s="270"/>
      <c r="AX160" s="270"/>
      <c r="AY160" s="270"/>
      <c r="AZ160" s="270"/>
      <c r="BA160" s="270">
        <f>IF(Table1[[#This Row],[Data de Início]]="","",YEAR(Table1[[#This Row],[Data de Início]]))</f>
        <v>2025</v>
      </c>
      <c r="BB160" s="270">
        <f>IF(Table1[[#This Row],[Data de Início]]="","",MONTH(Table1[[#This Row],[Data de Início]]))</f>
        <v>6</v>
      </c>
      <c r="BC160" s="270"/>
    </row>
    <row r="161" spans="2:55" ht="15" customHeight="1" x14ac:dyDescent="0.25">
      <c r="B161" s="470">
        <v>45824</v>
      </c>
      <c r="C161" s="263">
        <v>45824</v>
      </c>
      <c r="D161" s="264" cm="1">
        <f t="array" ref="D161">IFERROR(HorasUteisFabrica2Turnos(B161,C161), "")</f>
        <v>0</v>
      </c>
      <c r="E161" s="265" t="str">
        <f t="shared" si="2"/>
        <v/>
      </c>
      <c r="F161" s="266" t="s">
        <v>378</v>
      </c>
      <c r="G161" s="266" t="s">
        <v>359</v>
      </c>
      <c r="H161" s="266"/>
      <c r="I161" s="269" t="s">
        <v>327</v>
      </c>
      <c r="J161" s="267" t="s">
        <v>15</v>
      </c>
      <c r="K161" s="269">
        <v>942</v>
      </c>
      <c r="L161" s="269" t="s">
        <v>221</v>
      </c>
      <c r="M161" s="270" t="str">
        <f>IFERROR(INDEX([1]Produtos!$C:$C,MATCH(L161,[1]Produtos!$B:$B,0)), "-")</f>
        <v>PERFUME MASCULINO 100 SILVER SCENT</v>
      </c>
      <c r="N161" s="510">
        <f>IFERROR(INDEX([1]Produtos!$E:$E,MATCH(L161,[1]Produtos!$B:$B,0)), "-")</f>
        <v>50</v>
      </c>
      <c r="O161" s="270" t="str">
        <f>IFERROR(INDEX([1]Produtos!$F:$F,MATCH(L161,[1]Produtos!$B:$B,0)), "-")</f>
        <v>ml</v>
      </c>
      <c r="P161" s="270" t="str">
        <f>IFERROR(INDEX([1]Produtos!$G:$G,MATCH(L161,[1]Produtos!$B:$B,0)), "-")</f>
        <v>MOUTIER</v>
      </c>
      <c r="Q161" s="270" t="str">
        <f>IFERROR(INDEX([1]Produtos!$H:$H,MATCH(L161,[1]Produtos!$B:$B,0)), "-")</f>
        <v>PERFUMARIA</v>
      </c>
      <c r="R161" s="270" t="str">
        <f>IFERROR(INDEX([1]Produtos!$I:$I,MATCH(L161,[1]Produtos!$B:$B,0)), "-")</f>
        <v>PERFUME</v>
      </c>
      <c r="S161" s="270" t="str">
        <f>IFERROR(INDEX([1]Produtos!$J:$J,MATCH(L161,[1]Produtos!$B:$B,0)), "-")</f>
        <v>LÍQUIDO</v>
      </c>
      <c r="T161" s="474"/>
      <c r="U161" s="270"/>
      <c r="V161" s="270"/>
      <c r="W161" s="270"/>
      <c r="X161" s="270"/>
      <c r="Y161" s="270"/>
      <c r="Z161" s="270"/>
      <c r="AA161" s="270"/>
      <c r="AB161" s="270"/>
      <c r="AC161" s="270"/>
      <c r="AD161" s="270"/>
      <c r="AE161" s="270"/>
      <c r="AF161" s="270"/>
      <c r="AG161" s="270"/>
      <c r="AH161" s="270"/>
      <c r="AI161" s="270"/>
      <c r="AJ161" s="270"/>
      <c r="AK161" s="270"/>
      <c r="AL161" s="270"/>
      <c r="AM161" s="663"/>
      <c r="AN161" s="663"/>
      <c r="AO161" s="708" t="str">
        <f>IF(OR(Table1[[#This Row],[Início Setup Envase]]="",Table1[[#This Row],[Final Setup Envase]]=""),"",Table1[[#This Row],[Final Setup Envase]]-Table1[[#This Row],[Início Setup Envase]])</f>
        <v/>
      </c>
      <c r="AP161" s="663"/>
      <c r="AQ161" s="663"/>
      <c r="AR161" s="270"/>
      <c r="AS161" s="270"/>
      <c r="AT161" s="270"/>
      <c r="AU161" s="270"/>
      <c r="AV161" s="270"/>
      <c r="AW161" s="270"/>
      <c r="AX161" s="270"/>
      <c r="AY161" s="270"/>
      <c r="AZ161" s="270"/>
      <c r="BA161" s="270">
        <f>IF(Table1[[#This Row],[Data de Início]]="","",YEAR(Table1[[#This Row],[Data de Início]]))</f>
        <v>2025</v>
      </c>
      <c r="BB161" s="270">
        <f>IF(Table1[[#This Row],[Data de Início]]="","",MONTH(Table1[[#This Row],[Data de Início]]))</f>
        <v>6</v>
      </c>
      <c r="BC161" s="270"/>
    </row>
    <row r="162" spans="2:55" ht="15" customHeight="1" x14ac:dyDescent="0.25">
      <c r="B162" s="470">
        <v>45824.375</v>
      </c>
      <c r="C162" s="263">
        <v>45824.46875</v>
      </c>
      <c r="D162" s="264" cm="1">
        <f t="array" ref="D162">IFERROR(HorasUteisFabrica2Turnos(B162,C162), "")</f>
        <v>2.25</v>
      </c>
      <c r="E162" s="265">
        <f t="shared" si="2"/>
        <v>1109.3333333333333</v>
      </c>
      <c r="F162" s="266" t="s">
        <v>377</v>
      </c>
      <c r="G162" s="266" t="s">
        <v>362</v>
      </c>
      <c r="H162" s="266"/>
      <c r="I162" s="266" t="s">
        <v>298</v>
      </c>
      <c r="J162" s="267" t="s">
        <v>15</v>
      </c>
      <c r="K162" s="268">
        <v>2496</v>
      </c>
      <c r="L162" s="269" t="s">
        <v>211</v>
      </c>
      <c r="M162" s="270" t="str">
        <f>IFERROR(INDEX([1]Produtos!$C:$C,MATCH(L162,[1]Produtos!$B:$B,0)), "-")</f>
        <v>BODY SPLASH AURORA IMPERIAL</v>
      </c>
      <c r="N162" s="510">
        <f>IFERROR(INDEX([1]Produtos!$E:$E,MATCH(L162,[1]Produtos!$B:$B,0)), "-")</f>
        <v>220</v>
      </c>
      <c r="O162" s="270" t="str">
        <f>IFERROR(INDEX([1]Produtos!$F:$F,MATCH(L162,[1]Produtos!$B:$B,0)), "-")</f>
        <v>ml</v>
      </c>
      <c r="P162" s="270" t="str">
        <f>IFERROR(INDEX([1]Produtos!$G:$G,MATCH(L162,[1]Produtos!$B:$B,0)), "-")</f>
        <v>MISS RÔSE</v>
      </c>
      <c r="Q162" s="270" t="str">
        <f>IFERROR(INDEX([1]Produtos!$H:$H,MATCH(L162,[1]Produtos!$B:$B,0)), "-")</f>
        <v>PERFUMARIA</v>
      </c>
      <c r="R162" s="270" t="str">
        <f>IFERROR(INDEX([1]Produtos!$I:$I,MATCH(L162,[1]Produtos!$B:$B,0)), "-")</f>
        <v>BODY SPLASH</v>
      </c>
      <c r="S162" s="270" t="str">
        <f>IFERROR(INDEX([1]Produtos!$J:$J,MATCH(L162,[1]Produtos!$B:$B,0)), "-")</f>
        <v>LÍQUIDO</v>
      </c>
      <c r="T162" s="474" t="s">
        <v>318</v>
      </c>
      <c r="U162" s="270"/>
      <c r="V162" s="270"/>
      <c r="W162" s="270"/>
      <c r="X162" s="270"/>
      <c r="Y162" s="270"/>
      <c r="Z162" s="270"/>
      <c r="AA162" s="270"/>
      <c r="AB162" s="270"/>
      <c r="AC162" s="270"/>
      <c r="AD162" s="270"/>
      <c r="AE162" s="270"/>
      <c r="AF162" s="270"/>
      <c r="AG162" s="270"/>
      <c r="AH162" s="270"/>
      <c r="AI162" s="270"/>
      <c r="AJ162" s="270"/>
      <c r="AK162" s="270"/>
      <c r="AL162" s="270"/>
      <c r="AM162" s="663"/>
      <c r="AN162" s="663"/>
      <c r="AO162" s="708" t="str">
        <f>IF(OR(Table1[[#This Row],[Início Setup Envase]]="",Table1[[#This Row],[Final Setup Envase]]=""),"",Table1[[#This Row],[Final Setup Envase]]-Table1[[#This Row],[Início Setup Envase]])</f>
        <v/>
      </c>
      <c r="AP162" s="663"/>
      <c r="AQ162" s="663"/>
      <c r="AR162" s="270"/>
      <c r="AS162" s="270"/>
      <c r="AT162" s="270"/>
      <c r="AU162" s="270"/>
      <c r="AV162" s="270"/>
      <c r="AW162" s="270"/>
      <c r="AX162" s="270"/>
      <c r="AY162" s="270"/>
      <c r="AZ162" s="270"/>
      <c r="BA162" s="270">
        <f>IF(Table1[[#This Row],[Data de Início]]="","",YEAR(Table1[[#This Row],[Data de Início]]))</f>
        <v>2025</v>
      </c>
      <c r="BB162" s="270">
        <f>IF(Table1[[#This Row],[Data de Início]]="","",MONTH(Table1[[#This Row],[Data de Início]]))</f>
        <v>6</v>
      </c>
      <c r="BC162" s="270"/>
    </row>
    <row r="163" spans="2:55" ht="15" customHeight="1" x14ac:dyDescent="0.25">
      <c r="B163" s="470">
        <v>45824.46875</v>
      </c>
      <c r="C163" s="263">
        <v>45824.602083333331</v>
      </c>
      <c r="D163" s="264" cm="1">
        <f t="array" ref="D163">IFERROR(HorasUteisFabrica2Turnos(B163,C163), "")</f>
        <v>2.1999999999534339</v>
      </c>
      <c r="E163" s="265">
        <f t="shared" si="2"/>
        <v>480.00000001015991</v>
      </c>
      <c r="F163" s="266" t="s">
        <v>377</v>
      </c>
      <c r="G163" s="266" t="s">
        <v>362</v>
      </c>
      <c r="H163" s="266"/>
      <c r="I163" s="266" t="s">
        <v>297</v>
      </c>
      <c r="J163" s="267" t="s">
        <v>15</v>
      </c>
      <c r="K163" s="268">
        <v>1056</v>
      </c>
      <c r="L163" s="269" t="s">
        <v>211</v>
      </c>
      <c r="M163" s="270" t="str">
        <f>IFERROR(INDEX([1]Produtos!$C:$C,MATCH(L163,[1]Produtos!$B:$B,0)), "-")</f>
        <v>BODY SPLASH AURORA IMPERIAL</v>
      </c>
      <c r="N163" s="510">
        <f>IFERROR(INDEX([1]Produtos!$E:$E,MATCH(L163,[1]Produtos!$B:$B,0)), "-")</f>
        <v>220</v>
      </c>
      <c r="O163" s="270" t="str">
        <f>IFERROR(INDEX([1]Produtos!$F:$F,MATCH(L163,[1]Produtos!$B:$B,0)), "-")</f>
        <v>ml</v>
      </c>
      <c r="P163" s="270" t="str">
        <f>IFERROR(INDEX([1]Produtos!$G:$G,MATCH(L163,[1]Produtos!$B:$B,0)), "-")</f>
        <v>MISS RÔSE</v>
      </c>
      <c r="Q163" s="270" t="str">
        <f>IFERROR(INDEX([1]Produtos!$H:$H,MATCH(L163,[1]Produtos!$B:$B,0)), "-")</f>
        <v>PERFUMARIA</v>
      </c>
      <c r="R163" s="270" t="str">
        <f>IFERROR(INDEX([1]Produtos!$I:$I,MATCH(L163,[1]Produtos!$B:$B,0)), "-")</f>
        <v>BODY SPLASH</v>
      </c>
      <c r="S163" s="270" t="str">
        <f>IFERROR(INDEX([1]Produtos!$J:$J,MATCH(L163,[1]Produtos!$B:$B,0)), "-")</f>
        <v>LÍQUIDO</v>
      </c>
      <c r="T163" s="474"/>
      <c r="U163" s="270"/>
      <c r="V163" s="270"/>
      <c r="W163" s="270"/>
      <c r="X163" s="270"/>
      <c r="Y163" s="270"/>
      <c r="Z163" s="270"/>
      <c r="AA163" s="270"/>
      <c r="AB163" s="270"/>
      <c r="AC163" s="270"/>
      <c r="AD163" s="270"/>
      <c r="AE163" s="270"/>
      <c r="AF163" s="270"/>
      <c r="AG163" s="270"/>
      <c r="AH163" s="270"/>
      <c r="AI163" s="270"/>
      <c r="AJ163" s="270"/>
      <c r="AK163" s="270"/>
      <c r="AL163" s="270"/>
      <c r="AM163" s="663"/>
      <c r="AN163" s="663"/>
      <c r="AO163" s="708" t="str">
        <f>IF(OR(Table1[[#This Row],[Início Setup Envase]]="",Table1[[#This Row],[Final Setup Envase]]=""),"",Table1[[#This Row],[Final Setup Envase]]-Table1[[#This Row],[Início Setup Envase]])</f>
        <v/>
      </c>
      <c r="AP163" s="663"/>
      <c r="AQ163" s="663"/>
      <c r="AR163" s="270"/>
      <c r="AS163" s="270"/>
      <c r="AT163" s="270"/>
      <c r="AU163" s="270"/>
      <c r="AV163" s="270"/>
      <c r="AW163" s="270"/>
      <c r="AX163" s="270"/>
      <c r="AY163" s="270"/>
      <c r="AZ163" s="270"/>
      <c r="BA163" s="270">
        <f>IF(Table1[[#This Row],[Data de Início]]="","",YEAR(Table1[[#This Row],[Data de Início]]))</f>
        <v>2025</v>
      </c>
      <c r="BB163" s="270">
        <f>IF(Table1[[#This Row],[Data de Início]]="","",MONTH(Table1[[#This Row],[Data de Início]]))</f>
        <v>6</v>
      </c>
      <c r="BC163" s="270"/>
    </row>
    <row r="164" spans="2:55" ht="15" customHeight="1" x14ac:dyDescent="0.25">
      <c r="B164" s="470">
        <v>45824.6</v>
      </c>
      <c r="C164" s="263">
        <v>45825.388888888891</v>
      </c>
      <c r="D164" s="264" cm="1">
        <f t="array" ref="D164">IFERROR(HorasUteisFabrica2Turnos(B164,C164), "")</f>
        <v>4.9333333335234784</v>
      </c>
      <c r="E164" s="265">
        <f t="shared" si="2"/>
        <v>515.67567565579998</v>
      </c>
      <c r="F164" s="266" t="s">
        <v>377</v>
      </c>
      <c r="G164" s="266" t="s">
        <v>362</v>
      </c>
      <c r="H164" s="266"/>
      <c r="I164" s="266" t="s">
        <v>294</v>
      </c>
      <c r="J164" s="267" t="s">
        <v>15</v>
      </c>
      <c r="K164" s="268">
        <v>2544</v>
      </c>
      <c r="L164" s="269" t="s">
        <v>214</v>
      </c>
      <c r="M164" s="270" t="str">
        <f>IFERROR(INDEX([1]Produtos!$C:$C,MATCH(L164,[1]Produtos!$B:$B,0)), "-")</f>
        <v>BODY SPLASH ECLIPSE DOURADO</v>
      </c>
      <c r="N164" s="510">
        <f>IFERROR(INDEX([1]Produtos!$E:$E,MATCH(L164,[1]Produtos!$B:$B,0)), "-")</f>
        <v>220</v>
      </c>
      <c r="O164" s="270" t="str">
        <f>IFERROR(INDEX([1]Produtos!$F:$F,MATCH(L164,[1]Produtos!$B:$B,0)), "-")</f>
        <v>ml</v>
      </c>
      <c r="P164" s="270" t="str">
        <f>IFERROR(INDEX([1]Produtos!$G:$G,MATCH(L164,[1]Produtos!$B:$B,0)), "-")</f>
        <v>MISS RÔSE</v>
      </c>
      <c r="Q164" s="270" t="str">
        <f>IFERROR(INDEX([1]Produtos!$H:$H,MATCH(L164,[1]Produtos!$B:$B,0)), "-")</f>
        <v>PERFUMARIA</v>
      </c>
      <c r="R164" s="270" t="str">
        <f>IFERROR(INDEX([1]Produtos!$I:$I,MATCH(L164,[1]Produtos!$B:$B,0)), "-")</f>
        <v>BODY SPLASH</v>
      </c>
      <c r="S164" s="270" t="str">
        <f>IFERROR(INDEX([1]Produtos!$J:$J,MATCH(L164,[1]Produtos!$B:$B,0)), "-")</f>
        <v>LÍQUIDO</v>
      </c>
      <c r="T164" s="474"/>
      <c r="U164" s="270"/>
      <c r="V164" s="270"/>
      <c r="W164" s="270"/>
      <c r="X164" s="270"/>
      <c r="Y164" s="270"/>
      <c r="Z164" s="270"/>
      <c r="AA164" s="270"/>
      <c r="AB164" s="270"/>
      <c r="AC164" s="270"/>
      <c r="AD164" s="270"/>
      <c r="AE164" s="270"/>
      <c r="AF164" s="270"/>
      <c r="AG164" s="270"/>
      <c r="AH164" s="270"/>
      <c r="AI164" s="270"/>
      <c r="AJ164" s="270"/>
      <c r="AK164" s="270"/>
      <c r="AL164" s="270"/>
      <c r="AM164" s="663"/>
      <c r="AN164" s="663"/>
      <c r="AO164" s="708" t="str">
        <f>IF(OR(Table1[[#This Row],[Início Setup Envase]]="",Table1[[#This Row],[Final Setup Envase]]=""),"",Table1[[#This Row],[Final Setup Envase]]-Table1[[#This Row],[Início Setup Envase]])</f>
        <v/>
      </c>
      <c r="AP164" s="663"/>
      <c r="AQ164" s="663"/>
      <c r="AR164" s="270"/>
      <c r="AS164" s="270"/>
      <c r="AT164" s="270"/>
      <c r="AU164" s="270"/>
      <c r="AV164" s="270"/>
      <c r="AW164" s="270"/>
      <c r="AX164" s="270"/>
      <c r="AY164" s="270"/>
      <c r="AZ164" s="270"/>
      <c r="BA164" s="270">
        <f>IF(Table1[[#This Row],[Data de Início]]="","",YEAR(Table1[[#This Row],[Data de Início]]))</f>
        <v>2025</v>
      </c>
      <c r="BB164" s="270">
        <f>IF(Table1[[#This Row],[Data de Início]]="","",MONTH(Table1[[#This Row],[Data de Início]]))</f>
        <v>6</v>
      </c>
      <c r="BC164" s="270"/>
    </row>
    <row r="165" spans="2:55" ht="15" customHeight="1" x14ac:dyDescent="0.25">
      <c r="B165" s="470">
        <v>45825</v>
      </c>
      <c r="C165" s="263">
        <v>45825</v>
      </c>
      <c r="D165" s="264" cm="1">
        <f t="array" ref="D165">IFERROR(HorasUteisFabrica2Turnos(B165,C165), "")</f>
        <v>0</v>
      </c>
      <c r="E165" s="265" t="str">
        <f t="shared" si="2"/>
        <v/>
      </c>
      <c r="F165" s="266" t="s">
        <v>378</v>
      </c>
      <c r="G165" s="266" t="s">
        <v>359</v>
      </c>
      <c r="H165" s="266"/>
      <c r="I165" s="269" t="s">
        <v>328</v>
      </c>
      <c r="J165" s="267" t="s">
        <v>15</v>
      </c>
      <c r="K165" s="269">
        <v>300</v>
      </c>
      <c r="L165" s="269" t="s">
        <v>234</v>
      </c>
      <c r="M165" s="270" t="str">
        <f>IFERROR(INDEX([1]Produtos!$C:$C,MATCH(L165,[1]Produtos!$B:$B,0)), "-")</f>
        <v>PERFUME FEMININO 02 LA VIE EST BELLE</v>
      </c>
      <c r="N165" s="510">
        <f>IFERROR(INDEX([1]Produtos!$E:$E,MATCH(L165,[1]Produtos!$B:$B,0)), "-")</f>
        <v>50</v>
      </c>
      <c r="O165" s="270" t="str">
        <f>IFERROR(INDEX([1]Produtos!$F:$F,MATCH(L165,[1]Produtos!$B:$B,0)), "-")</f>
        <v>ml</v>
      </c>
      <c r="P165" s="270" t="str">
        <f>IFERROR(INDEX([1]Produtos!$G:$G,MATCH(L165,[1]Produtos!$B:$B,0)), "-")</f>
        <v>MOUTIER</v>
      </c>
      <c r="Q165" s="270" t="str">
        <f>IFERROR(INDEX([1]Produtos!$H:$H,MATCH(L165,[1]Produtos!$B:$B,0)), "-")</f>
        <v>PERFUMARIA</v>
      </c>
      <c r="R165" s="270" t="str">
        <f>IFERROR(INDEX([1]Produtos!$I:$I,MATCH(L165,[1]Produtos!$B:$B,0)), "-")</f>
        <v>PERFUME</v>
      </c>
      <c r="S165" s="270" t="str">
        <f>IFERROR(INDEX([1]Produtos!$J:$J,MATCH(L165,[1]Produtos!$B:$B,0)), "-")</f>
        <v>LÍQUIDO</v>
      </c>
      <c r="T165" s="474"/>
      <c r="U165" s="270"/>
      <c r="V165" s="270"/>
      <c r="W165" s="270"/>
      <c r="X165" s="270"/>
      <c r="Y165" s="270"/>
      <c r="Z165" s="270"/>
      <c r="AA165" s="270"/>
      <c r="AB165" s="270"/>
      <c r="AC165" s="270"/>
      <c r="AD165" s="270"/>
      <c r="AE165" s="270"/>
      <c r="AF165" s="270"/>
      <c r="AG165" s="270"/>
      <c r="AH165" s="270"/>
      <c r="AI165" s="270"/>
      <c r="AJ165" s="270"/>
      <c r="AK165" s="270"/>
      <c r="AL165" s="270"/>
      <c r="AM165" s="663"/>
      <c r="AN165" s="663"/>
      <c r="AO165" s="708" t="str">
        <f>IF(OR(Table1[[#This Row],[Início Setup Envase]]="",Table1[[#This Row],[Final Setup Envase]]=""),"",Table1[[#This Row],[Final Setup Envase]]-Table1[[#This Row],[Início Setup Envase]])</f>
        <v/>
      </c>
      <c r="AP165" s="663"/>
      <c r="AQ165" s="663"/>
      <c r="AR165" s="270"/>
      <c r="AS165" s="270"/>
      <c r="AT165" s="270"/>
      <c r="AU165" s="270"/>
      <c r="AV165" s="270"/>
      <c r="AW165" s="270"/>
      <c r="AX165" s="270"/>
      <c r="AY165" s="270"/>
      <c r="AZ165" s="270"/>
      <c r="BA165" s="270">
        <f>IF(Table1[[#This Row],[Data de Início]]="","",YEAR(Table1[[#This Row],[Data de Início]]))</f>
        <v>2025</v>
      </c>
      <c r="BB165" s="270">
        <f>IF(Table1[[#This Row],[Data de Início]]="","",MONTH(Table1[[#This Row],[Data de Início]]))</f>
        <v>6</v>
      </c>
      <c r="BC165" s="270"/>
    </row>
    <row r="166" spans="2:55" ht="15" customHeight="1" x14ac:dyDescent="0.25">
      <c r="B166" s="470">
        <v>45825</v>
      </c>
      <c r="C166" s="263">
        <v>45825</v>
      </c>
      <c r="D166" s="264" cm="1">
        <f t="array" ref="D166">IFERROR(HorasUteisFabrica2Turnos(B166,C166), "")</f>
        <v>0</v>
      </c>
      <c r="E166" s="265" t="str">
        <f t="shared" si="2"/>
        <v/>
      </c>
      <c r="F166" s="266" t="s">
        <v>378</v>
      </c>
      <c r="G166" s="266" t="s">
        <v>359</v>
      </c>
      <c r="H166" s="266"/>
      <c r="I166" s="269" t="s">
        <v>329</v>
      </c>
      <c r="J166" s="267" t="s">
        <v>15</v>
      </c>
      <c r="K166" s="269">
        <v>300</v>
      </c>
      <c r="L166" s="269" t="s">
        <v>317</v>
      </c>
      <c r="M166" s="270" t="str">
        <f>IFERROR(INDEX([1]Produtos!$C:$C,MATCH(L166,[1]Produtos!$B:$B,0)), "-")</f>
        <v>PERFUME FEMININO 03 GOOD GIRL</v>
      </c>
      <c r="N166" s="510">
        <f>IFERROR(INDEX([1]Produtos!$E:$E,MATCH(L166,[1]Produtos!$B:$B,0)), "-")</f>
        <v>50</v>
      </c>
      <c r="O166" s="270" t="str">
        <f>IFERROR(INDEX([1]Produtos!$F:$F,MATCH(L166,[1]Produtos!$B:$B,0)), "-")</f>
        <v>ml</v>
      </c>
      <c r="P166" s="270" t="str">
        <f>IFERROR(INDEX([1]Produtos!$G:$G,MATCH(L166,[1]Produtos!$B:$B,0)), "-")</f>
        <v>MOUTIER</v>
      </c>
      <c r="Q166" s="270" t="str">
        <f>IFERROR(INDEX([1]Produtos!$H:$H,MATCH(L166,[1]Produtos!$B:$B,0)), "-")</f>
        <v>PERFUMARIA</v>
      </c>
      <c r="R166" s="270" t="str">
        <f>IFERROR(INDEX([1]Produtos!$I:$I,MATCH(L166,[1]Produtos!$B:$B,0)), "-")</f>
        <v>PERFUME</v>
      </c>
      <c r="S166" s="270" t="str">
        <f>IFERROR(INDEX([1]Produtos!$J:$J,MATCH(L166,[1]Produtos!$B:$B,0)), "-")</f>
        <v>LÍQUIDO</v>
      </c>
      <c r="T166" s="474"/>
      <c r="U166" s="270"/>
      <c r="V166" s="270"/>
      <c r="W166" s="270"/>
      <c r="X166" s="270"/>
      <c r="Y166" s="270"/>
      <c r="Z166" s="270"/>
      <c r="AA166" s="270"/>
      <c r="AB166" s="270"/>
      <c r="AC166" s="270"/>
      <c r="AD166" s="270"/>
      <c r="AE166" s="270"/>
      <c r="AF166" s="270"/>
      <c r="AG166" s="270"/>
      <c r="AH166" s="270"/>
      <c r="AI166" s="270"/>
      <c r="AJ166" s="270"/>
      <c r="AK166" s="270"/>
      <c r="AL166" s="270"/>
      <c r="AM166" s="663"/>
      <c r="AN166" s="663"/>
      <c r="AO166" s="708" t="str">
        <f>IF(OR(Table1[[#This Row],[Início Setup Envase]]="",Table1[[#This Row],[Final Setup Envase]]=""),"",Table1[[#This Row],[Final Setup Envase]]-Table1[[#This Row],[Início Setup Envase]])</f>
        <v/>
      </c>
      <c r="AP166" s="663"/>
      <c r="AQ166" s="663"/>
      <c r="AR166" s="270"/>
      <c r="AS166" s="270"/>
      <c r="AT166" s="270"/>
      <c r="AU166" s="270"/>
      <c r="AV166" s="270"/>
      <c r="AW166" s="270"/>
      <c r="AX166" s="270"/>
      <c r="AY166" s="270"/>
      <c r="AZ166" s="270"/>
      <c r="BA166" s="270">
        <f>IF(Table1[[#This Row],[Data de Início]]="","",YEAR(Table1[[#This Row],[Data de Início]]))</f>
        <v>2025</v>
      </c>
      <c r="BB166" s="270">
        <f>IF(Table1[[#This Row],[Data de Início]]="","",MONTH(Table1[[#This Row],[Data de Início]]))</f>
        <v>6</v>
      </c>
      <c r="BC166" s="270"/>
    </row>
    <row r="167" spans="2:55" ht="15" customHeight="1" x14ac:dyDescent="0.25">
      <c r="B167" s="470">
        <v>45825</v>
      </c>
      <c r="C167" s="263">
        <v>45825</v>
      </c>
      <c r="D167" s="264" cm="1">
        <f t="array" ref="D167">IFERROR(HorasUteisFabrica2Turnos(B167,C167), "")</f>
        <v>0</v>
      </c>
      <c r="E167" s="265" t="str">
        <f t="shared" si="2"/>
        <v/>
      </c>
      <c r="F167" s="266" t="s">
        <v>378</v>
      </c>
      <c r="G167" s="266" t="s">
        <v>359</v>
      </c>
      <c r="H167" s="266"/>
      <c r="I167" s="269" t="s">
        <v>330</v>
      </c>
      <c r="J167" s="267" t="s">
        <v>15</v>
      </c>
      <c r="K167" s="269">
        <v>60</v>
      </c>
      <c r="L167" s="269" t="s">
        <v>235</v>
      </c>
      <c r="M167" s="270" t="str">
        <f>IFERROR(INDEX([1]Produtos!$C:$C,MATCH(L167,[1]Produtos!$B:$B,0)), "-")</f>
        <v>PERFUME FEMININO 08 DIOR J'ADORE</v>
      </c>
      <c r="N167" s="510">
        <f>IFERROR(INDEX([1]Produtos!$E:$E,MATCH(L167,[1]Produtos!$B:$B,0)), "-")</f>
        <v>50</v>
      </c>
      <c r="O167" s="270" t="str">
        <f>IFERROR(INDEX([1]Produtos!$F:$F,MATCH(L167,[1]Produtos!$B:$B,0)), "-")</f>
        <v>ml</v>
      </c>
      <c r="P167" s="270" t="str">
        <f>IFERROR(INDEX([1]Produtos!$G:$G,MATCH(L167,[1]Produtos!$B:$B,0)), "-")</f>
        <v>MOUTIER</v>
      </c>
      <c r="Q167" s="270" t="str">
        <f>IFERROR(INDEX([1]Produtos!$H:$H,MATCH(L167,[1]Produtos!$B:$B,0)), "-")</f>
        <v>PERFUMARIA</v>
      </c>
      <c r="R167" s="270" t="str">
        <f>IFERROR(INDEX([1]Produtos!$I:$I,MATCH(L167,[1]Produtos!$B:$B,0)), "-")</f>
        <v>PERFUME</v>
      </c>
      <c r="S167" s="270" t="str">
        <f>IFERROR(INDEX([1]Produtos!$J:$J,MATCH(L167,[1]Produtos!$B:$B,0)), "-")</f>
        <v>LÍQUIDO</v>
      </c>
      <c r="T167" s="474"/>
      <c r="U167" s="270"/>
      <c r="V167" s="270"/>
      <c r="W167" s="270"/>
      <c r="X167" s="270"/>
      <c r="Y167" s="270"/>
      <c r="Z167" s="270"/>
      <c r="AA167" s="270"/>
      <c r="AB167" s="270"/>
      <c r="AC167" s="270"/>
      <c r="AD167" s="270"/>
      <c r="AE167" s="270"/>
      <c r="AF167" s="270"/>
      <c r="AG167" s="270"/>
      <c r="AH167" s="270"/>
      <c r="AI167" s="270"/>
      <c r="AJ167" s="270"/>
      <c r="AK167" s="270"/>
      <c r="AL167" s="270"/>
      <c r="AM167" s="663"/>
      <c r="AN167" s="663"/>
      <c r="AO167" s="708" t="str">
        <f>IF(OR(Table1[[#This Row],[Início Setup Envase]]="",Table1[[#This Row],[Final Setup Envase]]=""),"",Table1[[#This Row],[Final Setup Envase]]-Table1[[#This Row],[Início Setup Envase]])</f>
        <v/>
      </c>
      <c r="AP167" s="663"/>
      <c r="AQ167" s="663"/>
      <c r="AR167" s="270"/>
      <c r="AS167" s="270"/>
      <c r="AT167" s="270"/>
      <c r="AU167" s="270"/>
      <c r="AV167" s="270"/>
      <c r="AW167" s="270"/>
      <c r="AX167" s="270"/>
      <c r="AY167" s="270"/>
      <c r="AZ167" s="270"/>
      <c r="BA167" s="270">
        <f>IF(Table1[[#This Row],[Data de Início]]="","",YEAR(Table1[[#This Row],[Data de Início]]))</f>
        <v>2025</v>
      </c>
      <c r="BB167" s="270">
        <f>IF(Table1[[#This Row],[Data de Início]]="","",MONTH(Table1[[#This Row],[Data de Início]]))</f>
        <v>6</v>
      </c>
      <c r="BC167" s="270"/>
    </row>
    <row r="168" spans="2:55" ht="15" customHeight="1" x14ac:dyDescent="0.25">
      <c r="B168" s="470">
        <v>45825.388888888891</v>
      </c>
      <c r="C168" s="263">
        <v>45825.5625</v>
      </c>
      <c r="D168" s="264" cm="1">
        <f t="array" ref="D168">IFERROR(HorasUteisFabrica2Turnos(B168,C168), "")</f>
        <v>3.1666666666278616</v>
      </c>
      <c r="E168" s="265">
        <f t="shared" si="2"/>
        <v>803.36842106247627</v>
      </c>
      <c r="F168" s="266" t="s">
        <v>377</v>
      </c>
      <c r="G168" s="266" t="s">
        <v>362</v>
      </c>
      <c r="H168" s="266"/>
      <c r="I168" s="266" t="s">
        <v>293</v>
      </c>
      <c r="J168" s="267" t="s">
        <v>15</v>
      </c>
      <c r="K168" s="268">
        <v>2544</v>
      </c>
      <c r="L168" s="269" t="s">
        <v>214</v>
      </c>
      <c r="M168" s="270" t="str">
        <f>IFERROR(INDEX([1]Produtos!$C:$C,MATCH(L168,[1]Produtos!$B:$B,0)), "-")</f>
        <v>BODY SPLASH ECLIPSE DOURADO</v>
      </c>
      <c r="N168" s="510">
        <f>IFERROR(INDEX([1]Produtos!$E:$E,MATCH(L168,[1]Produtos!$B:$B,0)), "-")</f>
        <v>220</v>
      </c>
      <c r="O168" s="270" t="str">
        <f>IFERROR(INDEX([1]Produtos!$F:$F,MATCH(L168,[1]Produtos!$B:$B,0)), "-")</f>
        <v>ml</v>
      </c>
      <c r="P168" s="270" t="str">
        <f>IFERROR(INDEX([1]Produtos!$G:$G,MATCH(L168,[1]Produtos!$B:$B,0)), "-")</f>
        <v>MISS RÔSE</v>
      </c>
      <c r="Q168" s="270" t="str">
        <f>IFERROR(INDEX([1]Produtos!$H:$H,MATCH(L168,[1]Produtos!$B:$B,0)), "-")</f>
        <v>PERFUMARIA</v>
      </c>
      <c r="R168" s="270" t="str">
        <f>IFERROR(INDEX([1]Produtos!$I:$I,MATCH(L168,[1]Produtos!$B:$B,0)), "-")</f>
        <v>BODY SPLASH</v>
      </c>
      <c r="S168" s="270" t="str">
        <f>IFERROR(INDEX([1]Produtos!$J:$J,MATCH(L168,[1]Produtos!$B:$B,0)), "-")</f>
        <v>LÍQUIDO</v>
      </c>
      <c r="T168" s="474"/>
      <c r="U168" s="270"/>
      <c r="V168" s="270"/>
      <c r="W168" s="270"/>
      <c r="X168" s="270"/>
      <c r="Y168" s="270"/>
      <c r="Z168" s="270"/>
      <c r="AA168" s="270"/>
      <c r="AB168" s="270"/>
      <c r="AC168" s="270"/>
      <c r="AD168" s="270"/>
      <c r="AE168" s="270"/>
      <c r="AF168" s="270"/>
      <c r="AG168" s="270"/>
      <c r="AH168" s="270"/>
      <c r="AI168" s="270"/>
      <c r="AJ168" s="270"/>
      <c r="AK168" s="270"/>
      <c r="AL168" s="270"/>
      <c r="AM168" s="663"/>
      <c r="AN168" s="663"/>
      <c r="AO168" s="708" t="str">
        <f>IF(OR(Table1[[#This Row],[Início Setup Envase]]="",Table1[[#This Row],[Final Setup Envase]]=""),"",Table1[[#This Row],[Final Setup Envase]]-Table1[[#This Row],[Início Setup Envase]])</f>
        <v/>
      </c>
      <c r="AP168" s="663"/>
      <c r="AQ168" s="663"/>
      <c r="AR168" s="270"/>
      <c r="AS168" s="270"/>
      <c r="AT168" s="270"/>
      <c r="AU168" s="270"/>
      <c r="AV168" s="270"/>
      <c r="AW168" s="270"/>
      <c r="AX168" s="270"/>
      <c r="AY168" s="270"/>
      <c r="AZ168" s="270"/>
      <c r="BA168" s="270">
        <f>IF(Table1[[#This Row],[Data de Início]]="","",YEAR(Table1[[#This Row],[Data de Início]]))</f>
        <v>2025</v>
      </c>
      <c r="BB168" s="270">
        <f>IF(Table1[[#This Row],[Data de Início]]="","",MONTH(Table1[[#This Row],[Data de Início]]))</f>
        <v>6</v>
      </c>
      <c r="BC168" s="270"/>
    </row>
    <row r="169" spans="2:55" ht="15" customHeight="1" x14ac:dyDescent="0.25">
      <c r="B169" s="470">
        <v>45825.5625</v>
      </c>
      <c r="C169" s="263">
        <v>45826.3125</v>
      </c>
      <c r="D169" s="264" cm="1">
        <f t="array" ref="D169">IFERROR(HorasUteisFabrica2Turnos(B169,C169), "")</f>
        <v>4.0000000001164153</v>
      </c>
      <c r="E169" s="265">
        <f t="shared" si="2"/>
        <v>635.99999998148996</v>
      </c>
      <c r="F169" s="266" t="s">
        <v>377</v>
      </c>
      <c r="G169" s="266" t="s">
        <v>362</v>
      </c>
      <c r="H169" s="266"/>
      <c r="I169" s="266" t="s">
        <v>292</v>
      </c>
      <c r="J169" s="267" t="s">
        <v>15</v>
      </c>
      <c r="K169" s="268">
        <v>2544</v>
      </c>
      <c r="L169" s="269" t="s">
        <v>214</v>
      </c>
      <c r="M169" s="270" t="str">
        <f>IFERROR(INDEX([1]Produtos!$C:$C,MATCH(L169,[1]Produtos!$B:$B,0)), "-")</f>
        <v>BODY SPLASH ECLIPSE DOURADO</v>
      </c>
      <c r="N169" s="510">
        <f>IFERROR(INDEX([1]Produtos!$E:$E,MATCH(L169,[1]Produtos!$B:$B,0)), "-")</f>
        <v>220</v>
      </c>
      <c r="O169" s="270" t="str">
        <f>IFERROR(INDEX([1]Produtos!$F:$F,MATCH(L169,[1]Produtos!$B:$B,0)), "-")</f>
        <v>ml</v>
      </c>
      <c r="P169" s="270" t="str">
        <f>IFERROR(INDEX([1]Produtos!$G:$G,MATCH(L169,[1]Produtos!$B:$B,0)), "-")</f>
        <v>MISS RÔSE</v>
      </c>
      <c r="Q169" s="270" t="str">
        <f>IFERROR(INDEX([1]Produtos!$H:$H,MATCH(L169,[1]Produtos!$B:$B,0)), "-")</f>
        <v>PERFUMARIA</v>
      </c>
      <c r="R169" s="270" t="str">
        <f>IFERROR(INDEX([1]Produtos!$I:$I,MATCH(L169,[1]Produtos!$B:$B,0)), "-")</f>
        <v>BODY SPLASH</v>
      </c>
      <c r="S169" s="270" t="str">
        <f>IFERROR(INDEX([1]Produtos!$J:$J,MATCH(L169,[1]Produtos!$B:$B,0)), "-")</f>
        <v>LÍQUIDO</v>
      </c>
      <c r="T169" s="474"/>
      <c r="U169" s="270"/>
      <c r="V169" s="270"/>
      <c r="W169" s="270"/>
      <c r="X169" s="270"/>
      <c r="Y169" s="270"/>
      <c r="Z169" s="270"/>
      <c r="AA169" s="270"/>
      <c r="AB169" s="270"/>
      <c r="AC169" s="270"/>
      <c r="AD169" s="270"/>
      <c r="AE169" s="270"/>
      <c r="AF169" s="270"/>
      <c r="AG169" s="270"/>
      <c r="AH169" s="270"/>
      <c r="AI169" s="270"/>
      <c r="AJ169" s="270"/>
      <c r="AK169" s="270"/>
      <c r="AL169" s="270"/>
      <c r="AM169" s="663"/>
      <c r="AN169" s="663"/>
      <c r="AO169" s="708" t="str">
        <f>IF(OR(Table1[[#This Row],[Início Setup Envase]]="",Table1[[#This Row],[Final Setup Envase]]=""),"",Table1[[#This Row],[Final Setup Envase]]-Table1[[#This Row],[Início Setup Envase]])</f>
        <v/>
      </c>
      <c r="AP169" s="663"/>
      <c r="AQ169" s="663"/>
      <c r="AR169" s="270"/>
      <c r="AS169" s="270"/>
      <c r="AT169" s="270"/>
      <c r="AU169" s="270"/>
      <c r="AV169" s="270"/>
      <c r="AW169" s="270"/>
      <c r="AX169" s="270"/>
      <c r="AY169" s="270"/>
      <c r="AZ169" s="270"/>
      <c r="BA169" s="270">
        <f>IF(Table1[[#This Row],[Data de Início]]="","",YEAR(Table1[[#This Row],[Data de Início]]))</f>
        <v>2025</v>
      </c>
      <c r="BB169" s="270">
        <f>IF(Table1[[#This Row],[Data de Início]]="","",MONTH(Table1[[#This Row],[Data de Início]]))</f>
        <v>6</v>
      </c>
      <c r="BC169" s="270"/>
    </row>
    <row r="170" spans="2:55" ht="15" customHeight="1" x14ac:dyDescent="0.25">
      <c r="B170" s="470">
        <v>45826</v>
      </c>
      <c r="C170" s="263">
        <v>45826</v>
      </c>
      <c r="D170" s="264" cm="1">
        <f t="array" ref="D170">IFERROR(HorasUteisFabrica2Turnos(B170,C170), "")</f>
        <v>0</v>
      </c>
      <c r="E170" s="265" t="str">
        <f t="shared" si="2"/>
        <v/>
      </c>
      <c r="F170" s="266" t="s">
        <v>378</v>
      </c>
      <c r="G170" s="266" t="s">
        <v>359</v>
      </c>
      <c r="H170" s="266"/>
      <c r="I170" s="269" t="s">
        <v>329</v>
      </c>
      <c r="J170" s="267" t="s">
        <v>15</v>
      </c>
      <c r="K170" s="268">
        <v>202</v>
      </c>
      <c r="L170" s="269" t="s">
        <v>317</v>
      </c>
      <c r="M170" s="270" t="str">
        <f>IFERROR(INDEX([1]Produtos!$C:$C,MATCH(L170,[1]Produtos!$B:$B,0)), "-")</f>
        <v>PERFUME FEMININO 03 GOOD GIRL</v>
      </c>
      <c r="N170" s="510">
        <f>IFERROR(INDEX([1]Produtos!$E:$E,MATCH(L170,[1]Produtos!$B:$B,0)), "-")</f>
        <v>50</v>
      </c>
      <c r="O170" s="270" t="str">
        <f>IFERROR(INDEX([1]Produtos!$F:$F,MATCH(L170,[1]Produtos!$B:$B,0)), "-")</f>
        <v>ml</v>
      </c>
      <c r="P170" s="270" t="str">
        <f>IFERROR(INDEX([1]Produtos!$G:$G,MATCH(L170,[1]Produtos!$B:$B,0)), "-")</f>
        <v>MOUTIER</v>
      </c>
      <c r="Q170" s="270" t="str">
        <f>IFERROR(INDEX([1]Produtos!$H:$H,MATCH(L170,[1]Produtos!$B:$B,0)), "-")</f>
        <v>PERFUMARIA</v>
      </c>
      <c r="R170" s="270" t="str">
        <f>IFERROR(INDEX([1]Produtos!$I:$I,MATCH(L170,[1]Produtos!$B:$B,0)), "-")</f>
        <v>PERFUME</v>
      </c>
      <c r="S170" s="270" t="str">
        <f>IFERROR(INDEX([1]Produtos!$J:$J,MATCH(L170,[1]Produtos!$B:$B,0)), "-")</f>
        <v>LÍQUIDO</v>
      </c>
      <c r="T170" s="474"/>
      <c r="U170" s="270"/>
      <c r="V170" s="270"/>
      <c r="W170" s="270"/>
      <c r="X170" s="270"/>
      <c r="Y170" s="270"/>
      <c r="Z170" s="270"/>
      <c r="AA170" s="270"/>
      <c r="AB170" s="270"/>
      <c r="AC170" s="270"/>
      <c r="AD170" s="270"/>
      <c r="AE170" s="270"/>
      <c r="AF170" s="270"/>
      <c r="AG170" s="270"/>
      <c r="AH170" s="270"/>
      <c r="AI170" s="270"/>
      <c r="AJ170" s="270"/>
      <c r="AK170" s="270"/>
      <c r="AL170" s="270"/>
      <c r="AM170" s="663"/>
      <c r="AN170" s="663"/>
      <c r="AO170" s="708" t="str">
        <f>IF(OR(Table1[[#This Row],[Início Setup Envase]]="",Table1[[#This Row],[Final Setup Envase]]=""),"",Table1[[#This Row],[Final Setup Envase]]-Table1[[#This Row],[Início Setup Envase]])</f>
        <v/>
      </c>
      <c r="AP170" s="663"/>
      <c r="AQ170" s="663"/>
      <c r="AR170" s="270"/>
      <c r="AS170" s="270"/>
      <c r="AT170" s="270"/>
      <c r="AU170" s="270"/>
      <c r="AV170" s="270"/>
      <c r="AW170" s="270"/>
      <c r="AX170" s="270"/>
      <c r="AY170" s="270"/>
      <c r="AZ170" s="270"/>
      <c r="BA170" s="270">
        <f>IF(Table1[[#This Row],[Data de Início]]="","",YEAR(Table1[[#This Row],[Data de Início]]))</f>
        <v>2025</v>
      </c>
      <c r="BB170" s="270">
        <f>IF(Table1[[#This Row],[Data de Início]]="","",MONTH(Table1[[#This Row],[Data de Início]]))</f>
        <v>6</v>
      </c>
      <c r="BC170" s="270"/>
    </row>
    <row r="171" spans="2:55" ht="15" customHeight="1" x14ac:dyDescent="0.25">
      <c r="B171" s="470">
        <v>45826</v>
      </c>
      <c r="C171" s="263">
        <v>45826</v>
      </c>
      <c r="D171" s="264" cm="1">
        <f t="array" ref="D171">IFERROR(HorasUteisFabrica2Turnos(B171,C171), "")</f>
        <v>0</v>
      </c>
      <c r="E171" s="265" t="str">
        <f t="shared" si="2"/>
        <v/>
      </c>
      <c r="F171" s="266" t="s">
        <v>378</v>
      </c>
      <c r="G171" s="266" t="s">
        <v>359</v>
      </c>
      <c r="H171" s="266"/>
      <c r="I171" s="269" t="s">
        <v>330</v>
      </c>
      <c r="J171" s="267" t="s">
        <v>15</v>
      </c>
      <c r="K171" s="269">
        <v>447</v>
      </c>
      <c r="L171" s="269" t="s">
        <v>235</v>
      </c>
      <c r="M171" s="270" t="str">
        <f>IFERROR(INDEX([1]Produtos!$C:$C,MATCH(L171,[1]Produtos!$B:$B,0)), "-")</f>
        <v>PERFUME FEMININO 08 DIOR J'ADORE</v>
      </c>
      <c r="N171" s="510">
        <f>IFERROR(INDEX([1]Produtos!$E:$E,MATCH(L171,[1]Produtos!$B:$B,0)), "-")</f>
        <v>50</v>
      </c>
      <c r="O171" s="270" t="str">
        <f>IFERROR(INDEX([1]Produtos!$F:$F,MATCH(L171,[1]Produtos!$B:$B,0)), "-")</f>
        <v>ml</v>
      </c>
      <c r="P171" s="270" t="str">
        <f>IFERROR(INDEX([1]Produtos!$G:$G,MATCH(L171,[1]Produtos!$B:$B,0)), "-")</f>
        <v>MOUTIER</v>
      </c>
      <c r="Q171" s="270" t="str">
        <f>IFERROR(INDEX([1]Produtos!$H:$H,MATCH(L171,[1]Produtos!$B:$B,0)), "-")</f>
        <v>PERFUMARIA</v>
      </c>
      <c r="R171" s="270" t="str">
        <f>IFERROR(INDEX([1]Produtos!$I:$I,MATCH(L171,[1]Produtos!$B:$B,0)), "-")</f>
        <v>PERFUME</v>
      </c>
      <c r="S171" s="270" t="str">
        <f>IFERROR(INDEX([1]Produtos!$J:$J,MATCH(L171,[1]Produtos!$B:$B,0)), "-")</f>
        <v>LÍQUIDO</v>
      </c>
      <c r="T171" s="474"/>
      <c r="U171" s="270"/>
      <c r="V171" s="270"/>
      <c r="W171" s="270"/>
      <c r="X171" s="270"/>
      <c r="Y171" s="270"/>
      <c r="Z171" s="270"/>
      <c r="AA171" s="270"/>
      <c r="AB171" s="270"/>
      <c r="AC171" s="270"/>
      <c r="AD171" s="270"/>
      <c r="AE171" s="270"/>
      <c r="AF171" s="270"/>
      <c r="AG171" s="270"/>
      <c r="AH171" s="270"/>
      <c r="AI171" s="270"/>
      <c r="AJ171" s="270"/>
      <c r="AK171" s="270"/>
      <c r="AL171" s="270"/>
      <c r="AM171" s="663"/>
      <c r="AN171" s="663"/>
      <c r="AO171" s="708" t="str">
        <f>IF(OR(Table1[[#This Row],[Início Setup Envase]]="",Table1[[#This Row],[Final Setup Envase]]=""),"",Table1[[#This Row],[Final Setup Envase]]-Table1[[#This Row],[Início Setup Envase]])</f>
        <v/>
      </c>
      <c r="AP171" s="663"/>
      <c r="AQ171" s="663"/>
      <c r="AR171" s="270"/>
      <c r="AS171" s="270"/>
      <c r="AT171" s="270"/>
      <c r="AU171" s="270"/>
      <c r="AV171" s="270"/>
      <c r="AW171" s="270"/>
      <c r="AX171" s="270"/>
      <c r="AY171" s="270"/>
      <c r="AZ171" s="270"/>
      <c r="BA171" s="270">
        <f>IF(Table1[[#This Row],[Data de Início]]="","",YEAR(Table1[[#This Row],[Data de Início]]))</f>
        <v>2025</v>
      </c>
      <c r="BB171" s="270">
        <f>IF(Table1[[#This Row],[Data de Início]]="","",MONTH(Table1[[#This Row],[Data de Início]]))</f>
        <v>6</v>
      </c>
      <c r="BC171" s="270"/>
    </row>
    <row r="172" spans="2:55" ht="15" customHeight="1" x14ac:dyDescent="0.25">
      <c r="B172" s="470">
        <v>45826</v>
      </c>
      <c r="C172" s="263">
        <v>45826</v>
      </c>
      <c r="D172" s="264" cm="1">
        <f t="array" ref="D172">IFERROR(HorasUteisFabrica2Turnos(B172,C172), "")</f>
        <v>0</v>
      </c>
      <c r="E172" s="265" t="str">
        <f t="shared" si="2"/>
        <v/>
      </c>
      <c r="F172" s="266" t="s">
        <v>378</v>
      </c>
      <c r="G172" s="266" t="s">
        <v>359</v>
      </c>
      <c r="H172" s="266"/>
      <c r="I172" s="269" t="s">
        <v>331</v>
      </c>
      <c r="J172" s="268" t="s">
        <v>15</v>
      </c>
      <c r="K172" s="269">
        <v>180</v>
      </c>
      <c r="L172" s="269" t="s">
        <v>224</v>
      </c>
      <c r="M172" s="270" t="str">
        <f>IFERROR(INDEX([1]Produtos!$C:$C,MATCH(L172,[1]Produtos!$B:$B,0)), "-")</f>
        <v>PERFUME MASCULINO 104 FERRARI BLACK</v>
      </c>
      <c r="N172" s="510">
        <f>IFERROR(INDEX([1]Produtos!$E:$E,MATCH(L172,[1]Produtos!$B:$B,0)), "-")</f>
        <v>50</v>
      </c>
      <c r="O172" s="270" t="str">
        <f>IFERROR(INDEX([1]Produtos!$F:$F,MATCH(L172,[1]Produtos!$B:$B,0)), "-")</f>
        <v>ml</v>
      </c>
      <c r="P172" s="270" t="str">
        <f>IFERROR(INDEX([1]Produtos!$G:$G,MATCH(L172,[1]Produtos!$B:$B,0)), "-")</f>
        <v>MOUTIER</v>
      </c>
      <c r="Q172" s="270" t="str">
        <f>IFERROR(INDEX([1]Produtos!$H:$H,MATCH(L172,[1]Produtos!$B:$B,0)), "-")</f>
        <v>PERFUMARIA</v>
      </c>
      <c r="R172" s="270" t="str">
        <f>IFERROR(INDEX([1]Produtos!$I:$I,MATCH(L172,[1]Produtos!$B:$B,0)), "-")</f>
        <v>PERFUME</v>
      </c>
      <c r="S172" s="270" t="str">
        <f>IFERROR(INDEX([1]Produtos!$J:$J,MATCH(L172,[1]Produtos!$B:$B,0)), "-")</f>
        <v>LÍQUIDO</v>
      </c>
      <c r="T172" s="474"/>
      <c r="U172" s="270"/>
      <c r="V172" s="270"/>
      <c r="W172" s="270"/>
      <c r="X172" s="270"/>
      <c r="Y172" s="270"/>
      <c r="Z172" s="270"/>
      <c r="AA172" s="270"/>
      <c r="AB172" s="270"/>
      <c r="AC172" s="270"/>
      <c r="AD172" s="270"/>
      <c r="AE172" s="270"/>
      <c r="AF172" s="270"/>
      <c r="AG172" s="270"/>
      <c r="AH172" s="270"/>
      <c r="AI172" s="270"/>
      <c r="AJ172" s="270"/>
      <c r="AK172" s="270"/>
      <c r="AL172" s="270"/>
      <c r="AM172" s="663"/>
      <c r="AN172" s="663"/>
      <c r="AO172" s="708" t="str">
        <f>IF(OR(Table1[[#This Row],[Início Setup Envase]]="",Table1[[#This Row],[Final Setup Envase]]=""),"",Table1[[#This Row],[Final Setup Envase]]-Table1[[#This Row],[Início Setup Envase]])</f>
        <v/>
      </c>
      <c r="AP172" s="663"/>
      <c r="AQ172" s="663"/>
      <c r="AR172" s="270"/>
      <c r="AS172" s="270"/>
      <c r="AT172" s="270"/>
      <c r="AU172" s="270"/>
      <c r="AV172" s="270"/>
      <c r="AW172" s="270"/>
      <c r="AX172" s="270"/>
      <c r="AY172" s="270"/>
      <c r="AZ172" s="270"/>
      <c r="BA172" s="270">
        <f>IF(Table1[[#This Row],[Data de Início]]="","",YEAR(Table1[[#This Row],[Data de Início]]))</f>
        <v>2025</v>
      </c>
      <c r="BB172" s="270">
        <f>IF(Table1[[#This Row],[Data de Início]]="","",MONTH(Table1[[#This Row],[Data de Início]]))</f>
        <v>6</v>
      </c>
      <c r="BC172" s="270"/>
    </row>
    <row r="173" spans="2:55" ht="15" customHeight="1" x14ac:dyDescent="0.25">
      <c r="B173" s="470">
        <v>45826</v>
      </c>
      <c r="C173" s="263">
        <v>45826</v>
      </c>
      <c r="D173" s="264" cm="1">
        <f t="array" ref="D173">IFERROR(HorasUteisFabrica2Turnos(B173,C173), "")</f>
        <v>0</v>
      </c>
      <c r="E173" s="265" t="str">
        <f t="shared" si="2"/>
        <v/>
      </c>
      <c r="F173" s="266" t="s">
        <v>378</v>
      </c>
      <c r="G173" s="266" t="s">
        <v>359</v>
      </c>
      <c r="H173" s="266"/>
      <c r="I173" s="269" t="s">
        <v>332</v>
      </c>
      <c r="J173" s="267" t="s">
        <v>15</v>
      </c>
      <c r="K173" s="269">
        <v>180</v>
      </c>
      <c r="L173" s="269" t="s">
        <v>225</v>
      </c>
      <c r="M173" s="270" t="str">
        <f>IFERROR(INDEX([1]Produtos!$C:$C,MATCH(L173,[1]Produtos!$B:$B,0)), "-")</f>
        <v>PERFUME MASCULINO 105 SAUVAGE</v>
      </c>
      <c r="N173" s="510">
        <f>IFERROR(INDEX([1]Produtos!$E:$E,MATCH(L173,[1]Produtos!$B:$B,0)), "-")</f>
        <v>50</v>
      </c>
      <c r="O173" s="270" t="str">
        <f>IFERROR(INDEX([1]Produtos!$F:$F,MATCH(L173,[1]Produtos!$B:$B,0)), "-")</f>
        <v>ml</v>
      </c>
      <c r="P173" s="270" t="str">
        <f>IFERROR(INDEX([1]Produtos!$G:$G,MATCH(L173,[1]Produtos!$B:$B,0)), "-")</f>
        <v>MOUTIER</v>
      </c>
      <c r="Q173" s="270" t="str">
        <f>IFERROR(INDEX([1]Produtos!$H:$H,MATCH(L173,[1]Produtos!$B:$B,0)), "-")</f>
        <v>PERFUMARIA</v>
      </c>
      <c r="R173" s="270" t="str">
        <f>IFERROR(INDEX([1]Produtos!$I:$I,MATCH(L173,[1]Produtos!$B:$B,0)), "-")</f>
        <v>PERFUME</v>
      </c>
      <c r="S173" s="270" t="str">
        <f>IFERROR(INDEX([1]Produtos!$J:$J,MATCH(L173,[1]Produtos!$B:$B,0)), "-")</f>
        <v>LÍQUIDO</v>
      </c>
      <c r="T173" s="474"/>
      <c r="U173" s="270"/>
      <c r="V173" s="270"/>
      <c r="W173" s="270"/>
      <c r="X173" s="270"/>
      <c r="Y173" s="270"/>
      <c r="Z173" s="270"/>
      <c r="AA173" s="270"/>
      <c r="AB173" s="270"/>
      <c r="AC173" s="270"/>
      <c r="AD173" s="270"/>
      <c r="AE173" s="270"/>
      <c r="AF173" s="270"/>
      <c r="AG173" s="270"/>
      <c r="AH173" s="270"/>
      <c r="AI173" s="270"/>
      <c r="AJ173" s="270"/>
      <c r="AK173" s="270"/>
      <c r="AL173" s="270"/>
      <c r="AM173" s="663"/>
      <c r="AN173" s="663"/>
      <c r="AO173" s="708" t="str">
        <f>IF(OR(Table1[[#This Row],[Início Setup Envase]]="",Table1[[#This Row],[Final Setup Envase]]=""),"",Table1[[#This Row],[Final Setup Envase]]-Table1[[#This Row],[Início Setup Envase]])</f>
        <v/>
      </c>
      <c r="AP173" s="663"/>
      <c r="AQ173" s="663"/>
      <c r="AR173" s="270"/>
      <c r="AS173" s="270"/>
      <c r="AT173" s="270"/>
      <c r="AU173" s="270"/>
      <c r="AV173" s="270"/>
      <c r="AW173" s="270"/>
      <c r="AX173" s="270"/>
      <c r="AY173" s="270"/>
      <c r="AZ173" s="270"/>
      <c r="BA173" s="270">
        <f>IF(Table1[[#This Row],[Data de Início]]="","",YEAR(Table1[[#This Row],[Data de Início]]))</f>
        <v>2025</v>
      </c>
      <c r="BB173" s="270">
        <f>IF(Table1[[#This Row],[Data de Início]]="","",MONTH(Table1[[#This Row],[Data de Início]]))</f>
        <v>6</v>
      </c>
      <c r="BC173" s="270"/>
    </row>
    <row r="174" spans="2:55" ht="15" customHeight="1" x14ac:dyDescent="0.25">
      <c r="B174" s="470">
        <v>45826</v>
      </c>
      <c r="C174" s="263">
        <v>45826</v>
      </c>
      <c r="D174" s="264" cm="1">
        <f t="array" ref="D174">IFERROR(HorasUteisFabrica2Turnos(B174,C174), "")</f>
        <v>0</v>
      </c>
      <c r="E174" s="265" t="str">
        <f t="shared" si="2"/>
        <v/>
      </c>
      <c r="F174" s="266" t="s">
        <v>378</v>
      </c>
      <c r="G174" s="266" t="s">
        <v>359</v>
      </c>
      <c r="H174" s="266"/>
      <c r="I174" s="269" t="s">
        <v>333</v>
      </c>
      <c r="J174" s="267" t="s">
        <v>15</v>
      </c>
      <c r="K174" s="269">
        <v>180</v>
      </c>
      <c r="L174" s="269" t="s">
        <v>222</v>
      </c>
      <c r="M174" s="270" t="str">
        <f>IFERROR(INDEX([1]Produtos!$C:$C,MATCH(L174,[1]Produtos!$B:$B,0)), "-")</f>
        <v>PERFUME MASCULINO 102 VIP BLACK</v>
      </c>
      <c r="N174" s="510">
        <f>IFERROR(INDEX([1]Produtos!$E:$E,MATCH(L174,[1]Produtos!$B:$B,0)), "-")</f>
        <v>50</v>
      </c>
      <c r="O174" s="270" t="str">
        <f>IFERROR(INDEX([1]Produtos!$F:$F,MATCH(L174,[1]Produtos!$B:$B,0)), "-")</f>
        <v>ml</v>
      </c>
      <c r="P174" s="270" t="str">
        <f>IFERROR(INDEX([1]Produtos!$G:$G,MATCH(L174,[1]Produtos!$B:$B,0)), "-")</f>
        <v>MOUTIER</v>
      </c>
      <c r="Q174" s="270" t="str">
        <f>IFERROR(INDEX([1]Produtos!$H:$H,MATCH(L174,[1]Produtos!$B:$B,0)), "-")</f>
        <v>PERFUMARIA</v>
      </c>
      <c r="R174" s="270" t="str">
        <f>IFERROR(INDEX([1]Produtos!$I:$I,MATCH(L174,[1]Produtos!$B:$B,0)), "-")</f>
        <v>PERFUME</v>
      </c>
      <c r="S174" s="270" t="str">
        <f>IFERROR(INDEX([1]Produtos!$J:$J,MATCH(L174,[1]Produtos!$B:$B,0)), "-")</f>
        <v>LÍQUIDO</v>
      </c>
      <c r="T174" s="474"/>
      <c r="U174" s="270"/>
      <c r="V174" s="270"/>
      <c r="W174" s="270"/>
      <c r="X174" s="270"/>
      <c r="Y174" s="270"/>
      <c r="Z174" s="270"/>
      <c r="AA174" s="270"/>
      <c r="AB174" s="270"/>
      <c r="AC174" s="270"/>
      <c r="AD174" s="270"/>
      <c r="AE174" s="270"/>
      <c r="AF174" s="270"/>
      <c r="AG174" s="270"/>
      <c r="AH174" s="270"/>
      <c r="AI174" s="270"/>
      <c r="AJ174" s="270"/>
      <c r="AK174" s="270"/>
      <c r="AL174" s="270"/>
      <c r="AM174" s="663"/>
      <c r="AN174" s="663"/>
      <c r="AO174" s="708" t="str">
        <f>IF(OR(Table1[[#This Row],[Início Setup Envase]]="",Table1[[#This Row],[Final Setup Envase]]=""),"",Table1[[#This Row],[Final Setup Envase]]-Table1[[#This Row],[Início Setup Envase]])</f>
        <v/>
      </c>
      <c r="AP174" s="663"/>
      <c r="AQ174" s="663"/>
      <c r="AR174" s="270"/>
      <c r="AS174" s="270"/>
      <c r="AT174" s="270"/>
      <c r="AU174" s="270"/>
      <c r="AV174" s="270"/>
      <c r="AW174" s="270"/>
      <c r="AX174" s="270"/>
      <c r="AY174" s="270"/>
      <c r="AZ174" s="270"/>
      <c r="BA174" s="270">
        <f>IF(Table1[[#This Row],[Data de Início]]="","",YEAR(Table1[[#This Row],[Data de Início]]))</f>
        <v>2025</v>
      </c>
      <c r="BB174" s="270">
        <f>IF(Table1[[#This Row],[Data de Início]]="","",MONTH(Table1[[#This Row],[Data de Início]]))</f>
        <v>6</v>
      </c>
      <c r="BC174" s="270"/>
    </row>
    <row r="175" spans="2:55" ht="15" customHeight="1" x14ac:dyDescent="0.25">
      <c r="B175" s="470">
        <v>45826.354166666664</v>
      </c>
      <c r="C175" s="263">
        <v>45826.552083333336</v>
      </c>
      <c r="D175" s="264" cm="1">
        <f t="array" ref="D175">IFERROR(HorasUteisFabrica2Turnos(B175,C175), "")</f>
        <v>3.7500000001164153</v>
      </c>
      <c r="E175" s="265">
        <f t="shared" si="2"/>
        <v>921.59999997138982</v>
      </c>
      <c r="F175" s="266" t="s">
        <v>377</v>
      </c>
      <c r="G175" s="266" t="s">
        <v>362</v>
      </c>
      <c r="H175" s="266"/>
      <c r="I175" s="266" t="s">
        <v>291</v>
      </c>
      <c r="J175" s="267" t="s">
        <v>15</v>
      </c>
      <c r="K175" s="268">
        <v>3456</v>
      </c>
      <c r="L175" s="269" t="s">
        <v>214</v>
      </c>
      <c r="M175" s="270" t="str">
        <f>IFERROR(INDEX([1]Produtos!$C:$C,MATCH(L175,[1]Produtos!$B:$B,0)), "-")</f>
        <v>BODY SPLASH ECLIPSE DOURADO</v>
      </c>
      <c r="N175" s="510">
        <f>IFERROR(INDEX([1]Produtos!$E:$E,MATCH(L175,[1]Produtos!$B:$B,0)), "-")</f>
        <v>220</v>
      </c>
      <c r="O175" s="270" t="str">
        <f>IFERROR(INDEX([1]Produtos!$F:$F,MATCH(L175,[1]Produtos!$B:$B,0)), "-")</f>
        <v>ml</v>
      </c>
      <c r="P175" s="270" t="str">
        <f>IFERROR(INDEX([1]Produtos!$G:$G,MATCH(L175,[1]Produtos!$B:$B,0)), "-")</f>
        <v>MISS RÔSE</v>
      </c>
      <c r="Q175" s="270" t="str">
        <f>IFERROR(INDEX([1]Produtos!$H:$H,MATCH(L175,[1]Produtos!$B:$B,0)), "-")</f>
        <v>PERFUMARIA</v>
      </c>
      <c r="R175" s="270" t="str">
        <f>IFERROR(INDEX([1]Produtos!$I:$I,MATCH(L175,[1]Produtos!$B:$B,0)), "-")</f>
        <v>BODY SPLASH</v>
      </c>
      <c r="S175" s="270" t="str">
        <f>IFERROR(INDEX([1]Produtos!$J:$J,MATCH(L175,[1]Produtos!$B:$B,0)), "-")</f>
        <v>LÍQUIDO</v>
      </c>
      <c r="T175" s="474"/>
      <c r="U175" s="270"/>
      <c r="V175" s="270"/>
      <c r="W175" s="270"/>
      <c r="X175" s="270"/>
      <c r="Y175" s="270"/>
      <c r="Z175" s="270"/>
      <c r="AA175" s="270"/>
      <c r="AB175" s="270"/>
      <c r="AC175" s="270"/>
      <c r="AD175" s="270"/>
      <c r="AE175" s="270"/>
      <c r="AF175" s="270"/>
      <c r="AG175" s="270"/>
      <c r="AH175" s="270"/>
      <c r="AI175" s="270"/>
      <c r="AJ175" s="270"/>
      <c r="AK175" s="270"/>
      <c r="AL175" s="270"/>
      <c r="AM175" s="663"/>
      <c r="AN175" s="663"/>
      <c r="AO175" s="708" t="str">
        <f>IF(OR(Table1[[#This Row],[Início Setup Envase]]="",Table1[[#This Row],[Final Setup Envase]]=""),"",Table1[[#This Row],[Final Setup Envase]]-Table1[[#This Row],[Início Setup Envase]])</f>
        <v/>
      </c>
      <c r="AP175" s="663"/>
      <c r="AQ175" s="663"/>
      <c r="AR175" s="270"/>
      <c r="AS175" s="270"/>
      <c r="AT175" s="270"/>
      <c r="AU175" s="270"/>
      <c r="AV175" s="270"/>
      <c r="AW175" s="270"/>
      <c r="AX175" s="270"/>
      <c r="AY175" s="270"/>
      <c r="AZ175" s="270"/>
      <c r="BA175" s="270">
        <f>IF(Table1[[#This Row],[Data de Início]]="","",YEAR(Table1[[#This Row],[Data de Início]]))</f>
        <v>2025</v>
      </c>
      <c r="BB175" s="270">
        <f>IF(Table1[[#This Row],[Data de Início]]="","",MONTH(Table1[[#This Row],[Data de Início]]))</f>
        <v>6</v>
      </c>
      <c r="BC175" s="270"/>
    </row>
    <row r="176" spans="2:55" ht="15" customHeight="1" x14ac:dyDescent="0.25">
      <c r="B176" s="470">
        <v>45826.552083333336</v>
      </c>
      <c r="C176" s="263">
        <v>45826.698611111111</v>
      </c>
      <c r="D176" s="264" cm="1">
        <f t="array" ref="D176">IFERROR(HorasUteisFabrica2Turnos(B176,C176), "")</f>
        <v>3.5166666666045785</v>
      </c>
      <c r="E176" s="265">
        <f t="shared" si="2"/>
        <v>723.41232228765364</v>
      </c>
      <c r="F176" s="266" t="s">
        <v>377</v>
      </c>
      <c r="G176" s="266" t="s">
        <v>362</v>
      </c>
      <c r="H176" s="266"/>
      <c r="I176" s="266" t="s">
        <v>323</v>
      </c>
      <c r="J176" s="267" t="s">
        <v>15</v>
      </c>
      <c r="K176" s="268">
        <v>2544</v>
      </c>
      <c r="L176" s="269" t="s">
        <v>213</v>
      </c>
      <c r="M176" s="270" t="str">
        <f>IFERROR(INDEX([1]Produtos!$C:$C,MATCH(L176,[1]Produtos!$B:$B,0)), "-")</f>
        <v>BODY SPLASH DEUSA DO NILO</v>
      </c>
      <c r="N176" s="510">
        <f>IFERROR(INDEX([1]Produtos!$E:$E,MATCH(L176,[1]Produtos!$B:$B,0)), "-")</f>
        <v>220</v>
      </c>
      <c r="O176" s="270" t="str">
        <f>IFERROR(INDEX([1]Produtos!$F:$F,MATCH(L176,[1]Produtos!$B:$B,0)), "-")</f>
        <v>ml</v>
      </c>
      <c r="P176" s="270" t="str">
        <f>IFERROR(INDEX([1]Produtos!$G:$G,MATCH(L176,[1]Produtos!$B:$B,0)), "-")</f>
        <v>MISS RÔSE</v>
      </c>
      <c r="Q176" s="270" t="str">
        <f>IFERROR(INDEX([1]Produtos!$H:$H,MATCH(L176,[1]Produtos!$B:$B,0)), "-")</f>
        <v>PERFUMARIA</v>
      </c>
      <c r="R176" s="270" t="str">
        <f>IFERROR(INDEX([1]Produtos!$I:$I,MATCH(L176,[1]Produtos!$B:$B,0)), "-")</f>
        <v>BODY SPLASH</v>
      </c>
      <c r="S176" s="270" t="str">
        <f>IFERROR(INDEX([1]Produtos!$J:$J,MATCH(L176,[1]Produtos!$B:$B,0)), "-")</f>
        <v>LÍQUIDO</v>
      </c>
      <c r="T176" s="474"/>
      <c r="U176" s="270"/>
      <c r="V176" s="270"/>
      <c r="W176" s="270"/>
      <c r="X176" s="270"/>
      <c r="Y176" s="270"/>
      <c r="Z176" s="270"/>
      <c r="AA176" s="270"/>
      <c r="AB176" s="270"/>
      <c r="AC176" s="270"/>
      <c r="AD176" s="270"/>
      <c r="AE176" s="270"/>
      <c r="AF176" s="270"/>
      <c r="AG176" s="270"/>
      <c r="AH176" s="270"/>
      <c r="AI176" s="270"/>
      <c r="AJ176" s="270"/>
      <c r="AK176" s="270"/>
      <c r="AL176" s="270"/>
      <c r="AM176" s="663"/>
      <c r="AN176" s="663"/>
      <c r="AO176" s="708" t="str">
        <f>IF(OR(Table1[[#This Row],[Início Setup Envase]]="",Table1[[#This Row],[Final Setup Envase]]=""),"",Table1[[#This Row],[Final Setup Envase]]-Table1[[#This Row],[Início Setup Envase]])</f>
        <v/>
      </c>
      <c r="AP176" s="663"/>
      <c r="AQ176" s="663"/>
      <c r="AR176" s="270"/>
      <c r="AS176" s="270"/>
      <c r="AT176" s="270"/>
      <c r="AU176" s="270"/>
      <c r="AV176" s="270"/>
      <c r="AW176" s="270"/>
      <c r="AX176" s="270"/>
      <c r="AY176" s="270"/>
      <c r="AZ176" s="270"/>
      <c r="BA176" s="270">
        <f>IF(Table1[[#This Row],[Data de Início]]="","",YEAR(Table1[[#This Row],[Data de Início]]))</f>
        <v>2025</v>
      </c>
      <c r="BB176" s="270">
        <f>IF(Table1[[#This Row],[Data de Início]]="","",MONTH(Table1[[#This Row],[Data de Início]]))</f>
        <v>6</v>
      </c>
      <c r="BC176" s="270"/>
    </row>
    <row r="177" spans="2:55" ht="15" customHeight="1" x14ac:dyDescent="0.25">
      <c r="B177" s="470">
        <v>45826.698611111111</v>
      </c>
      <c r="C177" s="263">
        <v>45827.402777777781</v>
      </c>
      <c r="D177" s="264" cm="1">
        <f t="array" ref="D177">IFERROR(HorasUteisFabrica2Turnos(B177,C177), "")</f>
        <v>2.900000000197906</v>
      </c>
      <c r="E177" s="265">
        <f t="shared" si="2"/>
        <v>877.24137925047887</v>
      </c>
      <c r="F177" s="266" t="s">
        <v>377</v>
      </c>
      <c r="G177" s="266" t="s">
        <v>362</v>
      </c>
      <c r="H177" s="266"/>
      <c r="I177" s="266" t="s">
        <v>322</v>
      </c>
      <c r="J177" s="267" t="s">
        <v>15</v>
      </c>
      <c r="K177" s="268">
        <v>2544</v>
      </c>
      <c r="L177" s="269" t="s">
        <v>213</v>
      </c>
      <c r="M177" s="270" t="str">
        <f>IFERROR(INDEX([1]Produtos!$C:$C,MATCH(L177,[1]Produtos!$B:$B,0)), "-")</f>
        <v>BODY SPLASH DEUSA DO NILO</v>
      </c>
      <c r="N177" s="510">
        <f>IFERROR(INDEX([1]Produtos!$E:$E,MATCH(L177,[1]Produtos!$B:$B,0)), "-")</f>
        <v>220</v>
      </c>
      <c r="O177" s="270" t="str">
        <f>IFERROR(INDEX([1]Produtos!$F:$F,MATCH(L177,[1]Produtos!$B:$B,0)), "-")</f>
        <v>ml</v>
      </c>
      <c r="P177" s="270" t="str">
        <f>IFERROR(INDEX([1]Produtos!$G:$G,MATCH(L177,[1]Produtos!$B:$B,0)), "-")</f>
        <v>MISS RÔSE</v>
      </c>
      <c r="Q177" s="270" t="str">
        <f>IFERROR(INDEX([1]Produtos!$H:$H,MATCH(L177,[1]Produtos!$B:$B,0)), "-")</f>
        <v>PERFUMARIA</v>
      </c>
      <c r="R177" s="270" t="str">
        <f>IFERROR(INDEX([1]Produtos!$I:$I,MATCH(L177,[1]Produtos!$B:$B,0)), "-")</f>
        <v>BODY SPLASH</v>
      </c>
      <c r="S177" s="270" t="str">
        <f>IFERROR(INDEX([1]Produtos!$J:$J,MATCH(L177,[1]Produtos!$B:$B,0)), "-")</f>
        <v>LÍQUIDO</v>
      </c>
      <c r="T177" s="474"/>
      <c r="U177" s="270"/>
      <c r="V177" s="270"/>
      <c r="W177" s="270"/>
      <c r="X177" s="270"/>
      <c r="Y177" s="270"/>
      <c r="Z177" s="270"/>
      <c r="AA177" s="270"/>
      <c r="AB177" s="270"/>
      <c r="AC177" s="270"/>
      <c r="AD177" s="270"/>
      <c r="AE177" s="270"/>
      <c r="AF177" s="270"/>
      <c r="AG177" s="270"/>
      <c r="AH177" s="270"/>
      <c r="AI177" s="270"/>
      <c r="AJ177" s="270"/>
      <c r="AK177" s="270"/>
      <c r="AL177" s="270"/>
      <c r="AM177" s="663"/>
      <c r="AN177" s="663"/>
      <c r="AO177" s="708" t="str">
        <f>IF(OR(Table1[[#This Row],[Início Setup Envase]]="",Table1[[#This Row],[Final Setup Envase]]=""),"",Table1[[#This Row],[Final Setup Envase]]-Table1[[#This Row],[Início Setup Envase]])</f>
        <v/>
      </c>
      <c r="AP177" s="663"/>
      <c r="AQ177" s="663"/>
      <c r="AR177" s="270"/>
      <c r="AS177" s="270"/>
      <c r="AT177" s="270"/>
      <c r="AU177" s="270"/>
      <c r="AV177" s="270"/>
      <c r="AW177" s="270"/>
      <c r="AX177" s="270"/>
      <c r="AY177" s="270"/>
      <c r="AZ177" s="270"/>
      <c r="BA177" s="270">
        <f>IF(Table1[[#This Row],[Data de Início]]="","",YEAR(Table1[[#This Row],[Data de Início]]))</f>
        <v>2025</v>
      </c>
      <c r="BB177" s="270">
        <f>IF(Table1[[#This Row],[Data de Início]]="","",MONTH(Table1[[#This Row],[Data de Início]]))</f>
        <v>6</v>
      </c>
      <c r="BC177" s="270"/>
    </row>
    <row r="178" spans="2:55" ht="15" customHeight="1" x14ac:dyDescent="0.25">
      <c r="B178" s="470">
        <v>45827</v>
      </c>
      <c r="C178" s="263">
        <v>45827</v>
      </c>
      <c r="D178" s="264" cm="1">
        <f t="array" ref="D178">IFERROR(HorasUteisFabrica2Turnos(B178,C178), "")</f>
        <v>0</v>
      </c>
      <c r="E178" s="265" t="str">
        <f t="shared" si="2"/>
        <v/>
      </c>
      <c r="F178" s="266" t="s">
        <v>378</v>
      </c>
      <c r="G178" s="266" t="s">
        <v>359</v>
      </c>
      <c r="H178" s="266"/>
      <c r="I178" s="269" t="s">
        <v>333</v>
      </c>
      <c r="J178" s="267" t="s">
        <v>15</v>
      </c>
      <c r="K178" s="269">
        <v>324</v>
      </c>
      <c r="L178" s="269" t="s">
        <v>222</v>
      </c>
      <c r="M178" s="270" t="str">
        <f>IFERROR(INDEX([1]Produtos!$C:$C,MATCH(L178,[1]Produtos!$B:$B,0)), "-")</f>
        <v>PERFUME MASCULINO 102 VIP BLACK</v>
      </c>
      <c r="N178" s="510">
        <f>IFERROR(INDEX([1]Produtos!$E:$E,MATCH(L178,[1]Produtos!$B:$B,0)), "-")</f>
        <v>50</v>
      </c>
      <c r="O178" s="270" t="str">
        <f>IFERROR(INDEX([1]Produtos!$F:$F,MATCH(L178,[1]Produtos!$B:$B,0)), "-")</f>
        <v>ml</v>
      </c>
      <c r="P178" s="270" t="str">
        <f>IFERROR(INDEX([1]Produtos!$G:$G,MATCH(L178,[1]Produtos!$B:$B,0)), "-")</f>
        <v>MOUTIER</v>
      </c>
      <c r="Q178" s="270" t="str">
        <f>IFERROR(INDEX([1]Produtos!$H:$H,MATCH(L178,[1]Produtos!$B:$B,0)), "-")</f>
        <v>PERFUMARIA</v>
      </c>
      <c r="R178" s="270" t="str">
        <f>IFERROR(INDEX([1]Produtos!$I:$I,MATCH(L178,[1]Produtos!$B:$B,0)), "-")</f>
        <v>PERFUME</v>
      </c>
      <c r="S178" s="270" t="str">
        <f>IFERROR(INDEX([1]Produtos!$J:$J,MATCH(L178,[1]Produtos!$B:$B,0)), "-")</f>
        <v>LÍQUIDO</v>
      </c>
      <c r="T178" s="474"/>
      <c r="U178" s="270"/>
      <c r="V178" s="270"/>
      <c r="W178" s="270"/>
      <c r="X178" s="270"/>
      <c r="Y178" s="270"/>
      <c r="Z178" s="270"/>
      <c r="AA178" s="270"/>
      <c r="AB178" s="270"/>
      <c r="AC178" s="270"/>
      <c r="AD178" s="270"/>
      <c r="AE178" s="270"/>
      <c r="AF178" s="270"/>
      <c r="AG178" s="270"/>
      <c r="AH178" s="270"/>
      <c r="AI178" s="270"/>
      <c r="AJ178" s="270"/>
      <c r="AK178" s="270"/>
      <c r="AL178" s="270"/>
      <c r="AM178" s="663"/>
      <c r="AN178" s="663"/>
      <c r="AO178" s="708" t="str">
        <f>IF(OR(Table1[[#This Row],[Início Setup Envase]]="",Table1[[#This Row],[Final Setup Envase]]=""),"",Table1[[#This Row],[Final Setup Envase]]-Table1[[#This Row],[Início Setup Envase]])</f>
        <v/>
      </c>
      <c r="AP178" s="663"/>
      <c r="AQ178" s="663"/>
      <c r="AR178" s="270"/>
      <c r="AS178" s="270"/>
      <c r="AT178" s="270"/>
      <c r="AU178" s="270"/>
      <c r="AV178" s="270"/>
      <c r="AW178" s="270"/>
      <c r="AX178" s="270"/>
      <c r="AY178" s="270"/>
      <c r="AZ178" s="270"/>
      <c r="BA178" s="270">
        <f>IF(Table1[[#This Row],[Data de Início]]="","",YEAR(Table1[[#This Row],[Data de Início]]))</f>
        <v>2025</v>
      </c>
      <c r="BB178" s="270">
        <f>IF(Table1[[#This Row],[Data de Início]]="","",MONTH(Table1[[#This Row],[Data de Início]]))</f>
        <v>6</v>
      </c>
      <c r="BC178" s="270"/>
    </row>
    <row r="179" spans="2:55" ht="15" customHeight="1" x14ac:dyDescent="0.25">
      <c r="B179" s="470">
        <v>45827</v>
      </c>
      <c r="C179" s="263">
        <v>45827</v>
      </c>
      <c r="D179" s="264" cm="1">
        <f t="array" ref="D179">IFERROR(HorasUteisFabrica2Turnos(B179,C179), "")</f>
        <v>0</v>
      </c>
      <c r="E179" s="265" t="str">
        <f t="shared" si="2"/>
        <v/>
      </c>
      <c r="F179" s="266" t="s">
        <v>378</v>
      </c>
      <c r="G179" s="266" t="s">
        <v>359</v>
      </c>
      <c r="H179" s="266"/>
      <c r="I179" s="269" t="s">
        <v>328</v>
      </c>
      <c r="J179" s="267" t="s">
        <v>15</v>
      </c>
      <c r="K179" s="269">
        <v>206</v>
      </c>
      <c r="L179" s="269" t="s">
        <v>234</v>
      </c>
      <c r="M179" s="270" t="str">
        <f>IFERROR(INDEX([1]Produtos!$C:$C,MATCH(L179,[1]Produtos!$B:$B,0)), "-")</f>
        <v>PERFUME FEMININO 02 LA VIE EST BELLE</v>
      </c>
      <c r="N179" s="510">
        <f>IFERROR(INDEX([1]Produtos!$E:$E,MATCH(L179,[1]Produtos!$B:$B,0)), "-")</f>
        <v>50</v>
      </c>
      <c r="O179" s="270" t="str">
        <f>IFERROR(INDEX([1]Produtos!$F:$F,MATCH(L179,[1]Produtos!$B:$B,0)), "-")</f>
        <v>ml</v>
      </c>
      <c r="P179" s="270" t="str">
        <f>IFERROR(INDEX([1]Produtos!$G:$G,MATCH(L179,[1]Produtos!$B:$B,0)), "-")</f>
        <v>MOUTIER</v>
      </c>
      <c r="Q179" s="270" t="str">
        <f>IFERROR(INDEX([1]Produtos!$H:$H,MATCH(L179,[1]Produtos!$B:$B,0)), "-")</f>
        <v>PERFUMARIA</v>
      </c>
      <c r="R179" s="270" t="str">
        <f>IFERROR(INDEX([1]Produtos!$I:$I,MATCH(L179,[1]Produtos!$B:$B,0)), "-")</f>
        <v>PERFUME</v>
      </c>
      <c r="S179" s="270" t="str">
        <f>IFERROR(INDEX([1]Produtos!$J:$J,MATCH(L179,[1]Produtos!$B:$B,0)), "-")</f>
        <v>LÍQUIDO</v>
      </c>
      <c r="T179" s="474"/>
      <c r="U179" s="270"/>
      <c r="V179" s="270"/>
      <c r="W179" s="270"/>
      <c r="X179" s="270"/>
      <c r="Y179" s="270"/>
      <c r="Z179" s="270"/>
      <c r="AA179" s="270"/>
      <c r="AB179" s="270"/>
      <c r="AC179" s="270"/>
      <c r="AD179" s="270"/>
      <c r="AE179" s="270"/>
      <c r="AF179" s="270"/>
      <c r="AG179" s="270"/>
      <c r="AH179" s="270"/>
      <c r="AI179" s="270"/>
      <c r="AJ179" s="270"/>
      <c r="AK179" s="270"/>
      <c r="AL179" s="270"/>
      <c r="AM179" s="663"/>
      <c r="AN179" s="663"/>
      <c r="AO179" s="708" t="str">
        <f>IF(OR(Table1[[#This Row],[Início Setup Envase]]="",Table1[[#This Row],[Final Setup Envase]]=""),"",Table1[[#This Row],[Final Setup Envase]]-Table1[[#This Row],[Início Setup Envase]])</f>
        <v/>
      </c>
      <c r="AP179" s="663"/>
      <c r="AQ179" s="663"/>
      <c r="AR179" s="270"/>
      <c r="AS179" s="270"/>
      <c r="AT179" s="270"/>
      <c r="AU179" s="270"/>
      <c r="AV179" s="270"/>
      <c r="AW179" s="270"/>
      <c r="AX179" s="270"/>
      <c r="AY179" s="270"/>
      <c r="AZ179" s="270"/>
      <c r="BA179" s="270">
        <f>IF(Table1[[#This Row],[Data de Início]]="","",YEAR(Table1[[#This Row],[Data de Início]]))</f>
        <v>2025</v>
      </c>
      <c r="BB179" s="270">
        <f>IF(Table1[[#This Row],[Data de Início]]="","",MONTH(Table1[[#This Row],[Data de Início]]))</f>
        <v>6</v>
      </c>
      <c r="BC179" s="270"/>
    </row>
    <row r="180" spans="2:55" ht="15" customHeight="1" x14ac:dyDescent="0.25">
      <c r="B180" s="470">
        <v>45827</v>
      </c>
      <c r="C180" s="263">
        <v>45827</v>
      </c>
      <c r="D180" s="264" cm="1">
        <f t="array" ref="D180">IFERROR(HorasUteisFabrica2Turnos(B180,C180), "")</f>
        <v>0</v>
      </c>
      <c r="E180" s="265" t="str">
        <f t="shared" si="2"/>
        <v/>
      </c>
      <c r="F180" s="266" t="s">
        <v>378</v>
      </c>
      <c r="G180" s="266" t="s">
        <v>359</v>
      </c>
      <c r="H180" s="266"/>
      <c r="I180" s="269" t="s">
        <v>334</v>
      </c>
      <c r="J180" s="268" t="s">
        <v>15</v>
      </c>
      <c r="K180" s="269">
        <v>378</v>
      </c>
      <c r="L180" s="269" t="s">
        <v>239</v>
      </c>
      <c r="M180" s="270" t="str">
        <f>IFERROR(INDEX([1]Produtos!$C:$C,MATCH(L180,[1]Produtos!$B:$B,0)), "-")</f>
        <v>PERFUME FEMININO 12 LADY MILLION</v>
      </c>
      <c r="N180" s="510">
        <f>IFERROR(INDEX([1]Produtos!$E:$E,MATCH(L180,[1]Produtos!$B:$B,0)), "-")</f>
        <v>50</v>
      </c>
      <c r="O180" s="270" t="str">
        <f>IFERROR(INDEX([1]Produtos!$F:$F,MATCH(L180,[1]Produtos!$B:$B,0)), "-")</f>
        <v>ml</v>
      </c>
      <c r="P180" s="270" t="str">
        <f>IFERROR(INDEX([1]Produtos!$G:$G,MATCH(L180,[1]Produtos!$B:$B,0)), "-")</f>
        <v>MOUTIER</v>
      </c>
      <c r="Q180" s="270" t="str">
        <f>IFERROR(INDEX([1]Produtos!$H:$H,MATCH(L180,[1]Produtos!$B:$B,0)), "-")</f>
        <v>PERFUMARIA</v>
      </c>
      <c r="R180" s="270" t="str">
        <f>IFERROR(INDEX([1]Produtos!$I:$I,MATCH(L180,[1]Produtos!$B:$B,0)), "-")</f>
        <v>PERFUME</v>
      </c>
      <c r="S180" s="270" t="str">
        <f>IFERROR(INDEX([1]Produtos!$J:$J,MATCH(L180,[1]Produtos!$B:$B,0)), "-")</f>
        <v>LÍQUIDO</v>
      </c>
      <c r="T180" s="474"/>
      <c r="U180" s="270"/>
      <c r="V180" s="270"/>
      <c r="W180" s="270"/>
      <c r="X180" s="270"/>
      <c r="Y180" s="270"/>
      <c r="Z180" s="270"/>
      <c r="AA180" s="270"/>
      <c r="AB180" s="270"/>
      <c r="AC180" s="270"/>
      <c r="AD180" s="270"/>
      <c r="AE180" s="270"/>
      <c r="AF180" s="270"/>
      <c r="AG180" s="270"/>
      <c r="AH180" s="270"/>
      <c r="AI180" s="270"/>
      <c r="AJ180" s="270"/>
      <c r="AK180" s="270"/>
      <c r="AL180" s="270"/>
      <c r="AM180" s="663"/>
      <c r="AN180" s="663"/>
      <c r="AO180" s="708" t="str">
        <f>IF(OR(Table1[[#This Row],[Início Setup Envase]]="",Table1[[#This Row],[Final Setup Envase]]=""),"",Table1[[#This Row],[Final Setup Envase]]-Table1[[#This Row],[Início Setup Envase]])</f>
        <v/>
      </c>
      <c r="AP180" s="663"/>
      <c r="AQ180" s="663"/>
      <c r="AR180" s="270"/>
      <c r="AS180" s="270"/>
      <c r="AT180" s="270"/>
      <c r="AU180" s="270"/>
      <c r="AV180" s="270"/>
      <c r="AW180" s="270"/>
      <c r="AX180" s="270"/>
      <c r="AY180" s="270"/>
      <c r="AZ180" s="270"/>
      <c r="BA180" s="270">
        <f>IF(Table1[[#This Row],[Data de Início]]="","",YEAR(Table1[[#This Row],[Data de Início]]))</f>
        <v>2025</v>
      </c>
      <c r="BB180" s="270">
        <f>IF(Table1[[#This Row],[Data de Início]]="","",MONTH(Table1[[#This Row],[Data de Início]]))</f>
        <v>6</v>
      </c>
      <c r="BC180" s="270"/>
    </row>
    <row r="181" spans="2:55" ht="15" customHeight="1" x14ac:dyDescent="0.25">
      <c r="B181" s="470">
        <v>45827</v>
      </c>
      <c r="C181" s="263">
        <v>45827</v>
      </c>
      <c r="D181" s="264" cm="1">
        <f t="array" ref="D181">IFERROR(HorasUteisFabrica2Turnos(B181,C181), "")</f>
        <v>0</v>
      </c>
      <c r="E181" s="265" t="str">
        <f t="shared" si="2"/>
        <v/>
      </c>
      <c r="F181" s="266" t="s">
        <v>378</v>
      </c>
      <c r="G181" s="266" t="s">
        <v>359</v>
      </c>
      <c r="H181" s="266"/>
      <c r="I181" s="269" t="s">
        <v>332</v>
      </c>
      <c r="J181" s="267" t="s">
        <v>15</v>
      </c>
      <c r="K181" s="269">
        <v>335</v>
      </c>
      <c r="L181" s="269" t="s">
        <v>225</v>
      </c>
      <c r="M181" s="270" t="str">
        <f>IFERROR(INDEX([1]Produtos!$C:$C,MATCH(L181,[1]Produtos!$B:$B,0)), "-")</f>
        <v>PERFUME MASCULINO 105 SAUVAGE</v>
      </c>
      <c r="N181" s="510">
        <f>IFERROR(INDEX([1]Produtos!$E:$E,MATCH(L181,[1]Produtos!$B:$B,0)), "-")</f>
        <v>50</v>
      </c>
      <c r="O181" s="270" t="str">
        <f>IFERROR(INDEX([1]Produtos!$F:$F,MATCH(L181,[1]Produtos!$B:$B,0)), "-")</f>
        <v>ml</v>
      </c>
      <c r="P181" s="270" t="str">
        <f>IFERROR(INDEX([1]Produtos!$G:$G,MATCH(L181,[1]Produtos!$B:$B,0)), "-")</f>
        <v>MOUTIER</v>
      </c>
      <c r="Q181" s="270" t="str">
        <f>IFERROR(INDEX([1]Produtos!$H:$H,MATCH(L181,[1]Produtos!$B:$B,0)), "-")</f>
        <v>PERFUMARIA</v>
      </c>
      <c r="R181" s="270" t="str">
        <f>IFERROR(INDEX([1]Produtos!$I:$I,MATCH(L181,[1]Produtos!$B:$B,0)), "-")</f>
        <v>PERFUME</v>
      </c>
      <c r="S181" s="270" t="str">
        <f>IFERROR(INDEX([1]Produtos!$J:$J,MATCH(L181,[1]Produtos!$B:$B,0)), "-")</f>
        <v>LÍQUIDO</v>
      </c>
      <c r="T181" s="474"/>
      <c r="U181" s="270"/>
      <c r="V181" s="270"/>
      <c r="W181" s="270"/>
      <c r="X181" s="270"/>
      <c r="Y181" s="270"/>
      <c r="Z181" s="270"/>
      <c r="AA181" s="270"/>
      <c r="AB181" s="270"/>
      <c r="AC181" s="270"/>
      <c r="AD181" s="270"/>
      <c r="AE181" s="270"/>
      <c r="AF181" s="270"/>
      <c r="AG181" s="270"/>
      <c r="AH181" s="270"/>
      <c r="AI181" s="270"/>
      <c r="AJ181" s="270"/>
      <c r="AK181" s="270"/>
      <c r="AL181" s="270"/>
      <c r="AM181" s="663"/>
      <c r="AN181" s="663"/>
      <c r="AO181" s="708" t="str">
        <f>IF(OR(Table1[[#This Row],[Início Setup Envase]]="",Table1[[#This Row],[Final Setup Envase]]=""),"",Table1[[#This Row],[Final Setup Envase]]-Table1[[#This Row],[Início Setup Envase]])</f>
        <v/>
      </c>
      <c r="AP181" s="663"/>
      <c r="AQ181" s="663"/>
      <c r="AR181" s="270"/>
      <c r="AS181" s="270"/>
      <c r="AT181" s="270"/>
      <c r="AU181" s="270"/>
      <c r="AV181" s="270"/>
      <c r="AW181" s="270"/>
      <c r="AX181" s="270"/>
      <c r="AY181" s="270"/>
      <c r="AZ181" s="270"/>
      <c r="BA181" s="270">
        <f>IF(Table1[[#This Row],[Data de Início]]="","",YEAR(Table1[[#This Row],[Data de Início]]))</f>
        <v>2025</v>
      </c>
      <c r="BB181" s="270">
        <f>IF(Table1[[#This Row],[Data de Início]]="","",MONTH(Table1[[#This Row],[Data de Início]]))</f>
        <v>6</v>
      </c>
      <c r="BC181" s="270"/>
    </row>
    <row r="182" spans="2:55" ht="15" customHeight="1" x14ac:dyDescent="0.25">
      <c r="B182" s="470">
        <v>45827.402777777781</v>
      </c>
      <c r="C182" s="263">
        <v>45827.561111111114</v>
      </c>
      <c r="D182" s="264" cm="1">
        <f t="array" ref="D182">IFERROR(HorasUteisFabrica2Turnos(B182,C182), "")</f>
        <v>2.7999999999883585</v>
      </c>
      <c r="E182" s="265">
        <f t="shared" si="2"/>
        <v>908.57142857520614</v>
      </c>
      <c r="F182" s="266" t="s">
        <v>377</v>
      </c>
      <c r="G182" s="266" t="s">
        <v>362</v>
      </c>
      <c r="H182" s="266"/>
      <c r="I182" s="266" t="s">
        <v>321</v>
      </c>
      <c r="J182" s="267" t="s">
        <v>15</v>
      </c>
      <c r="K182" s="268">
        <v>2544</v>
      </c>
      <c r="L182" s="269" t="s">
        <v>213</v>
      </c>
      <c r="M182" s="270" t="str">
        <f>IFERROR(INDEX([1]Produtos!$C:$C,MATCH(L182,[1]Produtos!$B:$B,0)), "-")</f>
        <v>BODY SPLASH DEUSA DO NILO</v>
      </c>
      <c r="N182" s="510">
        <f>IFERROR(INDEX([1]Produtos!$E:$E,MATCH(L182,[1]Produtos!$B:$B,0)), "-")</f>
        <v>220</v>
      </c>
      <c r="O182" s="270" t="str">
        <f>IFERROR(INDEX([1]Produtos!$F:$F,MATCH(L182,[1]Produtos!$B:$B,0)), "-")</f>
        <v>ml</v>
      </c>
      <c r="P182" s="270" t="str">
        <f>IFERROR(INDEX([1]Produtos!$G:$G,MATCH(L182,[1]Produtos!$B:$B,0)), "-")</f>
        <v>MISS RÔSE</v>
      </c>
      <c r="Q182" s="270" t="str">
        <f>IFERROR(INDEX([1]Produtos!$H:$H,MATCH(L182,[1]Produtos!$B:$B,0)), "-")</f>
        <v>PERFUMARIA</v>
      </c>
      <c r="R182" s="270" t="str">
        <f>IFERROR(INDEX([1]Produtos!$I:$I,MATCH(L182,[1]Produtos!$B:$B,0)), "-")</f>
        <v>BODY SPLASH</v>
      </c>
      <c r="S182" s="270" t="str">
        <f>IFERROR(INDEX([1]Produtos!$J:$J,MATCH(L182,[1]Produtos!$B:$B,0)), "-")</f>
        <v>LÍQUIDO</v>
      </c>
      <c r="T182" s="474"/>
      <c r="U182" s="270"/>
      <c r="V182" s="270"/>
      <c r="W182" s="270"/>
      <c r="X182" s="270"/>
      <c r="Y182" s="270"/>
      <c r="Z182" s="270"/>
      <c r="AA182" s="270"/>
      <c r="AB182" s="270"/>
      <c r="AC182" s="270"/>
      <c r="AD182" s="270"/>
      <c r="AE182" s="270"/>
      <c r="AF182" s="270"/>
      <c r="AG182" s="270"/>
      <c r="AH182" s="270"/>
      <c r="AI182" s="270"/>
      <c r="AJ182" s="270"/>
      <c r="AK182" s="270"/>
      <c r="AL182" s="270"/>
      <c r="AM182" s="663"/>
      <c r="AN182" s="663"/>
      <c r="AO182" s="708" t="str">
        <f>IF(OR(Table1[[#This Row],[Início Setup Envase]]="",Table1[[#This Row],[Final Setup Envase]]=""),"",Table1[[#This Row],[Final Setup Envase]]-Table1[[#This Row],[Início Setup Envase]])</f>
        <v/>
      </c>
      <c r="AP182" s="663"/>
      <c r="AQ182" s="663"/>
      <c r="AR182" s="270"/>
      <c r="AS182" s="270"/>
      <c r="AT182" s="270"/>
      <c r="AU182" s="270"/>
      <c r="AV182" s="270"/>
      <c r="AW182" s="270"/>
      <c r="AX182" s="270"/>
      <c r="AY182" s="270"/>
      <c r="AZ182" s="270"/>
      <c r="BA182" s="270">
        <f>IF(Table1[[#This Row],[Data de Início]]="","",YEAR(Table1[[#This Row],[Data de Início]]))</f>
        <v>2025</v>
      </c>
      <c r="BB182" s="270">
        <f>IF(Table1[[#This Row],[Data de Início]]="","",MONTH(Table1[[#This Row],[Data de Início]]))</f>
        <v>6</v>
      </c>
      <c r="BC182" s="270"/>
    </row>
    <row r="183" spans="2:55" ht="15" customHeight="1" x14ac:dyDescent="0.25">
      <c r="B183" s="470">
        <v>45827.561111111114</v>
      </c>
      <c r="C183" s="263">
        <v>45831.347222222219</v>
      </c>
      <c r="D183" s="264" cm="1">
        <f t="array" ref="D183">IFERROR(HorasUteisFabrica2Turnos(B183,C183), "")</f>
        <v>12.866666666639503</v>
      </c>
      <c r="E183" s="265">
        <f t="shared" si="2"/>
        <v>227.56476683985866</v>
      </c>
      <c r="F183" s="266" t="s">
        <v>377</v>
      </c>
      <c r="G183" s="266" t="s">
        <v>362</v>
      </c>
      <c r="H183" s="266"/>
      <c r="I183" s="266" t="s">
        <v>324</v>
      </c>
      <c r="J183" s="267" t="s">
        <v>15</v>
      </c>
      <c r="K183" s="268">
        <v>2928</v>
      </c>
      <c r="L183" s="269" t="s">
        <v>213</v>
      </c>
      <c r="M183" s="270" t="str">
        <f>IFERROR(INDEX([1]Produtos!$C:$C,MATCH(L183,[1]Produtos!$B:$B,0)), "-")</f>
        <v>BODY SPLASH DEUSA DO NILO</v>
      </c>
      <c r="N183" s="510">
        <f>IFERROR(INDEX([1]Produtos!$E:$E,MATCH(L183,[1]Produtos!$B:$B,0)), "-")</f>
        <v>220</v>
      </c>
      <c r="O183" s="270" t="str">
        <f>IFERROR(INDEX([1]Produtos!$F:$F,MATCH(L183,[1]Produtos!$B:$B,0)), "-")</f>
        <v>ml</v>
      </c>
      <c r="P183" s="270" t="str">
        <f>IFERROR(INDEX([1]Produtos!$G:$G,MATCH(L183,[1]Produtos!$B:$B,0)), "-")</f>
        <v>MISS RÔSE</v>
      </c>
      <c r="Q183" s="270" t="str">
        <f>IFERROR(INDEX([1]Produtos!$H:$H,MATCH(L183,[1]Produtos!$B:$B,0)), "-")</f>
        <v>PERFUMARIA</v>
      </c>
      <c r="R183" s="270" t="str">
        <f>IFERROR(INDEX([1]Produtos!$I:$I,MATCH(L183,[1]Produtos!$B:$B,0)), "-")</f>
        <v>BODY SPLASH</v>
      </c>
      <c r="S183" s="270" t="str">
        <f>IFERROR(INDEX([1]Produtos!$J:$J,MATCH(L183,[1]Produtos!$B:$B,0)), "-")</f>
        <v>LÍQUIDO</v>
      </c>
      <c r="T183" s="474"/>
      <c r="U183" s="270"/>
      <c r="V183" s="270"/>
      <c r="W183" s="270"/>
      <c r="X183" s="270"/>
      <c r="Y183" s="270"/>
      <c r="Z183" s="270"/>
      <c r="AA183" s="270"/>
      <c r="AB183" s="270"/>
      <c r="AC183" s="270"/>
      <c r="AD183" s="270"/>
      <c r="AE183" s="270"/>
      <c r="AF183" s="270"/>
      <c r="AG183" s="270"/>
      <c r="AH183" s="270"/>
      <c r="AI183" s="270"/>
      <c r="AJ183" s="270"/>
      <c r="AK183" s="270"/>
      <c r="AL183" s="270"/>
      <c r="AM183" s="663"/>
      <c r="AN183" s="663"/>
      <c r="AO183" s="708" t="str">
        <f>IF(OR(Table1[[#This Row],[Início Setup Envase]]="",Table1[[#This Row],[Final Setup Envase]]=""),"",Table1[[#This Row],[Final Setup Envase]]-Table1[[#This Row],[Início Setup Envase]])</f>
        <v/>
      </c>
      <c r="AP183" s="663"/>
      <c r="AQ183" s="663"/>
      <c r="AR183" s="270"/>
      <c r="AS183" s="270"/>
      <c r="AT183" s="270"/>
      <c r="AU183" s="270"/>
      <c r="AV183" s="270"/>
      <c r="AW183" s="270"/>
      <c r="AX183" s="270"/>
      <c r="AY183" s="270"/>
      <c r="AZ183" s="270"/>
      <c r="BA183" s="270">
        <f>IF(Table1[[#This Row],[Data de Início]]="","",YEAR(Table1[[#This Row],[Data de Início]]))</f>
        <v>2025</v>
      </c>
      <c r="BB183" s="270">
        <f>IF(Table1[[#This Row],[Data de Início]]="","",MONTH(Table1[[#This Row],[Data de Início]]))</f>
        <v>6</v>
      </c>
      <c r="BC183" s="270"/>
    </row>
    <row r="184" spans="2:55" ht="15" customHeight="1" x14ac:dyDescent="0.25">
      <c r="B184" s="470">
        <v>45831</v>
      </c>
      <c r="C184" s="263">
        <v>45831</v>
      </c>
      <c r="D184" s="264" cm="1">
        <f t="array" ref="D184">IFERROR(HorasUteisFabrica2Turnos(B184,C184), "")</f>
        <v>0</v>
      </c>
      <c r="E184" s="265" t="str">
        <f t="shared" si="2"/>
        <v/>
      </c>
      <c r="F184" s="266" t="s">
        <v>378</v>
      </c>
      <c r="G184" s="266" t="s">
        <v>359</v>
      </c>
      <c r="H184" s="266"/>
      <c r="I184" s="269" t="s">
        <v>331</v>
      </c>
      <c r="J184" s="268" t="s">
        <v>15</v>
      </c>
      <c r="K184" s="268">
        <v>336</v>
      </c>
      <c r="L184" s="269" t="s">
        <v>224</v>
      </c>
      <c r="M184" s="270" t="str">
        <f>IFERROR(INDEX([1]Produtos!$C:$C,MATCH(L184,[1]Produtos!$B:$B,0)), "-")</f>
        <v>PERFUME MASCULINO 104 FERRARI BLACK</v>
      </c>
      <c r="N184" s="510">
        <f>IFERROR(INDEX([1]Produtos!$E:$E,MATCH(L184,[1]Produtos!$B:$B,0)), "-")</f>
        <v>50</v>
      </c>
      <c r="O184" s="270" t="str">
        <f>IFERROR(INDEX([1]Produtos!$F:$F,MATCH(L184,[1]Produtos!$B:$B,0)), "-")</f>
        <v>ml</v>
      </c>
      <c r="P184" s="270" t="str">
        <f>IFERROR(INDEX([1]Produtos!$G:$G,MATCH(L184,[1]Produtos!$B:$B,0)), "-")</f>
        <v>MOUTIER</v>
      </c>
      <c r="Q184" s="270" t="str">
        <f>IFERROR(INDEX([1]Produtos!$H:$H,MATCH(L184,[1]Produtos!$B:$B,0)), "-")</f>
        <v>PERFUMARIA</v>
      </c>
      <c r="R184" s="270" t="str">
        <f>IFERROR(INDEX([1]Produtos!$I:$I,MATCH(L184,[1]Produtos!$B:$B,0)), "-")</f>
        <v>PERFUME</v>
      </c>
      <c r="S184" s="270" t="str">
        <f>IFERROR(INDEX([1]Produtos!$J:$J,MATCH(L184,[1]Produtos!$B:$B,0)), "-")</f>
        <v>LÍQUIDO</v>
      </c>
      <c r="T184" s="474"/>
      <c r="U184" s="270"/>
      <c r="V184" s="270"/>
      <c r="W184" s="270"/>
      <c r="X184" s="270"/>
      <c r="Y184" s="270"/>
      <c r="Z184" s="270"/>
      <c r="AA184" s="270"/>
      <c r="AB184" s="270"/>
      <c r="AC184" s="270"/>
      <c r="AD184" s="270"/>
      <c r="AE184" s="270"/>
      <c r="AF184" s="270"/>
      <c r="AG184" s="270"/>
      <c r="AH184" s="270"/>
      <c r="AI184" s="270"/>
      <c r="AJ184" s="270"/>
      <c r="AK184" s="270"/>
      <c r="AL184" s="270"/>
      <c r="AM184" s="663"/>
      <c r="AN184" s="663"/>
      <c r="AO184" s="708" t="str">
        <f>IF(OR(Table1[[#This Row],[Início Setup Envase]]="",Table1[[#This Row],[Final Setup Envase]]=""),"",Table1[[#This Row],[Final Setup Envase]]-Table1[[#This Row],[Início Setup Envase]])</f>
        <v/>
      </c>
      <c r="AP184" s="663"/>
      <c r="AQ184" s="663"/>
      <c r="AR184" s="270"/>
      <c r="AS184" s="270"/>
      <c r="AT184" s="270"/>
      <c r="AU184" s="270"/>
      <c r="AV184" s="270"/>
      <c r="AW184" s="270"/>
      <c r="AX184" s="270"/>
      <c r="AY184" s="270"/>
      <c r="AZ184" s="270"/>
      <c r="BA184" s="270">
        <f>IF(Table1[[#This Row],[Data de Início]]="","",YEAR(Table1[[#This Row],[Data de Início]]))</f>
        <v>2025</v>
      </c>
      <c r="BB184" s="270">
        <f>IF(Table1[[#This Row],[Data de Início]]="","",MONTH(Table1[[#This Row],[Data de Início]]))</f>
        <v>6</v>
      </c>
      <c r="BC184" s="270"/>
    </row>
    <row r="185" spans="2:55" ht="15" customHeight="1" x14ac:dyDescent="0.25">
      <c r="B185" s="470">
        <v>45831</v>
      </c>
      <c r="C185" s="263">
        <v>45831</v>
      </c>
      <c r="D185" s="264" cm="1">
        <f t="array" ref="D185">IFERROR(HorasUteisFabrica2Turnos(B185,C185), "")</f>
        <v>0</v>
      </c>
      <c r="E185" s="265" t="str">
        <f t="shared" si="2"/>
        <v/>
      </c>
      <c r="F185" s="266" t="s">
        <v>378</v>
      </c>
      <c r="G185" s="266" t="s">
        <v>359</v>
      </c>
      <c r="H185" s="266"/>
      <c r="I185" s="269" t="s">
        <v>336</v>
      </c>
      <c r="J185" s="268" t="s">
        <v>15</v>
      </c>
      <c r="K185" s="268">
        <v>506</v>
      </c>
      <c r="L185" s="269" t="s">
        <v>238</v>
      </c>
      <c r="M185" s="270" t="str">
        <f>IFERROR(INDEX([1]Produtos!$C:$C,MATCH(L185,[1]Produtos!$B:$B,0)), "-")</f>
        <v>PERFUME FEMININO 11 OLYMPEA</v>
      </c>
      <c r="N185" s="510">
        <f>IFERROR(INDEX([1]Produtos!$E:$E,MATCH(L185,[1]Produtos!$B:$B,0)), "-")</f>
        <v>50</v>
      </c>
      <c r="O185" s="270" t="str">
        <f>IFERROR(INDEX([1]Produtos!$F:$F,MATCH(L185,[1]Produtos!$B:$B,0)), "-")</f>
        <v>ml</v>
      </c>
      <c r="P185" s="270" t="str">
        <f>IFERROR(INDEX([1]Produtos!$G:$G,MATCH(L185,[1]Produtos!$B:$B,0)), "-")</f>
        <v>MOUTIER</v>
      </c>
      <c r="Q185" s="270" t="str">
        <f>IFERROR(INDEX([1]Produtos!$H:$H,MATCH(L185,[1]Produtos!$B:$B,0)), "-")</f>
        <v>PERFUMARIA</v>
      </c>
      <c r="R185" s="270" t="str">
        <f>IFERROR(INDEX([1]Produtos!$I:$I,MATCH(L185,[1]Produtos!$B:$B,0)), "-")</f>
        <v>PERFUME</v>
      </c>
      <c r="S185" s="270" t="str">
        <f>IFERROR(INDEX([1]Produtos!$J:$J,MATCH(L185,[1]Produtos!$B:$B,0)), "-")</f>
        <v>LÍQUIDO</v>
      </c>
      <c r="T185" s="474"/>
      <c r="U185" s="270"/>
      <c r="V185" s="270"/>
      <c r="W185" s="270"/>
      <c r="X185" s="270"/>
      <c r="Y185" s="270"/>
      <c r="Z185" s="270"/>
      <c r="AA185" s="270"/>
      <c r="AB185" s="270"/>
      <c r="AC185" s="270"/>
      <c r="AD185" s="270"/>
      <c r="AE185" s="270"/>
      <c r="AF185" s="270"/>
      <c r="AG185" s="270"/>
      <c r="AH185" s="270"/>
      <c r="AI185" s="270"/>
      <c r="AJ185" s="270"/>
      <c r="AK185" s="270"/>
      <c r="AL185" s="270"/>
      <c r="AM185" s="663"/>
      <c r="AN185" s="663"/>
      <c r="AO185" s="708" t="str">
        <f>IF(OR(Table1[[#This Row],[Início Setup Envase]]="",Table1[[#This Row],[Final Setup Envase]]=""),"",Table1[[#This Row],[Final Setup Envase]]-Table1[[#This Row],[Início Setup Envase]])</f>
        <v/>
      </c>
      <c r="AP185" s="663"/>
      <c r="AQ185" s="663"/>
      <c r="AR185" s="270"/>
      <c r="AS185" s="270"/>
      <c r="AT185" s="270"/>
      <c r="AU185" s="270"/>
      <c r="AV185" s="270"/>
      <c r="AW185" s="270"/>
      <c r="AX185" s="270"/>
      <c r="AY185" s="270"/>
      <c r="AZ185" s="270"/>
      <c r="BA185" s="270">
        <f>IF(Table1[[#This Row],[Data de Início]]="","",YEAR(Table1[[#This Row],[Data de Início]]))</f>
        <v>2025</v>
      </c>
      <c r="BB185" s="270">
        <f>IF(Table1[[#This Row],[Data de Início]]="","",MONTH(Table1[[#This Row],[Data de Início]]))</f>
        <v>6</v>
      </c>
      <c r="BC185" s="270"/>
    </row>
    <row r="186" spans="2:55" ht="15" customHeight="1" x14ac:dyDescent="0.25">
      <c r="B186" s="470">
        <v>45831</v>
      </c>
      <c r="C186" s="263">
        <v>45831</v>
      </c>
      <c r="D186" s="264" cm="1">
        <f t="array" ref="D186">IFERROR(HorasUteisFabrica2Turnos(B186,C186), "")</f>
        <v>0</v>
      </c>
      <c r="E186" s="265" t="str">
        <f t="shared" si="2"/>
        <v/>
      </c>
      <c r="F186" s="266" t="s">
        <v>378</v>
      </c>
      <c r="G186" s="266" t="s">
        <v>359</v>
      </c>
      <c r="H186" s="266"/>
      <c r="I186" s="269" t="s">
        <v>334</v>
      </c>
      <c r="J186" s="268" t="s">
        <v>15</v>
      </c>
      <c r="K186" s="268">
        <v>125</v>
      </c>
      <c r="L186" s="269" t="s">
        <v>239</v>
      </c>
      <c r="M186" s="270" t="str">
        <f>IFERROR(INDEX([1]Produtos!$C:$C,MATCH(L186,[1]Produtos!$B:$B,0)), "-")</f>
        <v>PERFUME FEMININO 12 LADY MILLION</v>
      </c>
      <c r="N186" s="510">
        <f>IFERROR(INDEX([1]Produtos!$E:$E,MATCH(L186,[1]Produtos!$B:$B,0)), "-")</f>
        <v>50</v>
      </c>
      <c r="O186" s="270" t="str">
        <f>IFERROR(INDEX([1]Produtos!$F:$F,MATCH(L186,[1]Produtos!$B:$B,0)), "-")</f>
        <v>ml</v>
      </c>
      <c r="P186" s="270" t="str">
        <f>IFERROR(INDEX([1]Produtos!$G:$G,MATCH(L186,[1]Produtos!$B:$B,0)), "-")</f>
        <v>MOUTIER</v>
      </c>
      <c r="Q186" s="270" t="str">
        <f>IFERROR(INDEX([1]Produtos!$H:$H,MATCH(L186,[1]Produtos!$B:$B,0)), "-")</f>
        <v>PERFUMARIA</v>
      </c>
      <c r="R186" s="270" t="str">
        <f>IFERROR(INDEX([1]Produtos!$I:$I,MATCH(L186,[1]Produtos!$B:$B,0)), "-")</f>
        <v>PERFUME</v>
      </c>
      <c r="S186" s="270" t="str">
        <f>IFERROR(INDEX([1]Produtos!$J:$J,MATCH(L186,[1]Produtos!$B:$B,0)), "-")</f>
        <v>LÍQUIDO</v>
      </c>
      <c r="T186" s="473"/>
      <c r="U186" s="270"/>
      <c r="V186" s="270"/>
      <c r="W186" s="270"/>
      <c r="X186" s="270"/>
      <c r="Y186" s="270"/>
      <c r="Z186" s="270"/>
      <c r="AA186" s="270"/>
      <c r="AB186" s="270"/>
      <c r="AC186" s="270"/>
      <c r="AD186" s="270"/>
      <c r="AE186" s="270"/>
      <c r="AF186" s="270"/>
      <c r="AG186" s="270"/>
      <c r="AH186" s="270"/>
      <c r="AI186" s="270"/>
      <c r="AJ186" s="270"/>
      <c r="AK186" s="270"/>
      <c r="AL186" s="270"/>
      <c r="AM186" s="663"/>
      <c r="AN186" s="663"/>
      <c r="AO186" s="708" t="str">
        <f>IF(OR(Table1[[#This Row],[Início Setup Envase]]="",Table1[[#This Row],[Final Setup Envase]]=""),"",Table1[[#This Row],[Final Setup Envase]]-Table1[[#This Row],[Início Setup Envase]])</f>
        <v/>
      </c>
      <c r="AP186" s="663"/>
      <c r="AQ186" s="663"/>
      <c r="AR186" s="270"/>
      <c r="AS186" s="270"/>
      <c r="AT186" s="270"/>
      <c r="AU186" s="270"/>
      <c r="AV186" s="270"/>
      <c r="AW186" s="270"/>
      <c r="AX186" s="270"/>
      <c r="AY186" s="270"/>
      <c r="AZ186" s="270"/>
      <c r="BA186" s="270">
        <f>IF(Table1[[#This Row],[Data de Início]]="","",YEAR(Table1[[#This Row],[Data de Início]]))</f>
        <v>2025</v>
      </c>
      <c r="BB186" s="270">
        <f>IF(Table1[[#This Row],[Data de Início]]="","",MONTH(Table1[[#This Row],[Data de Início]]))</f>
        <v>6</v>
      </c>
      <c r="BC186" s="270"/>
    </row>
    <row r="187" spans="2:55" ht="15" customHeight="1" x14ac:dyDescent="0.25">
      <c r="B187" s="470">
        <v>45831.352083333331</v>
      </c>
      <c r="C187" s="263">
        <v>45831.465277777781</v>
      </c>
      <c r="D187" s="264" cm="1">
        <f t="array" ref="D187">IFERROR(HorasUteisFabrica2Turnos(B187,C187), "")</f>
        <v>2.716666666790843</v>
      </c>
      <c r="E187" s="265">
        <f t="shared" si="2"/>
        <v>936.44171774860718</v>
      </c>
      <c r="F187" s="266" t="s">
        <v>377</v>
      </c>
      <c r="G187" s="266" t="s">
        <v>362</v>
      </c>
      <c r="H187" s="266"/>
      <c r="I187" s="266" t="s">
        <v>326</v>
      </c>
      <c r="J187" s="268" t="s">
        <v>15</v>
      </c>
      <c r="K187" s="268">
        <v>2544</v>
      </c>
      <c r="L187" s="269" t="s">
        <v>296</v>
      </c>
      <c r="M187" s="270" t="str">
        <f>IFERROR(INDEX([1]Produtos!$C:$C,MATCH(L187,[1]Produtos!$B:$B,0)), "-")</f>
        <v>BODY SPLASH NÉCTAR DAS TAMARAS</v>
      </c>
      <c r="N187" s="510">
        <f>IFERROR(INDEX([1]Produtos!$E:$E,MATCH(L187,[1]Produtos!$B:$B,0)), "-")</f>
        <v>220</v>
      </c>
      <c r="O187" s="270" t="str">
        <f>IFERROR(INDEX([1]Produtos!$F:$F,MATCH(L187,[1]Produtos!$B:$B,0)), "-")</f>
        <v>ml</v>
      </c>
      <c r="P187" s="270" t="str">
        <f>IFERROR(INDEX([1]Produtos!$G:$G,MATCH(L187,[1]Produtos!$B:$B,0)), "-")</f>
        <v>MISS RÔSE</v>
      </c>
      <c r="Q187" s="270" t="str">
        <f>IFERROR(INDEX([1]Produtos!$H:$H,MATCH(L187,[1]Produtos!$B:$B,0)), "-")</f>
        <v>PERFUMARIA</v>
      </c>
      <c r="R187" s="270" t="str">
        <f>IFERROR(INDEX([1]Produtos!$I:$I,MATCH(L187,[1]Produtos!$B:$B,0)), "-")</f>
        <v>BODY SPLASH</v>
      </c>
      <c r="S187" s="270" t="str">
        <f>IFERROR(INDEX([1]Produtos!$J:$J,MATCH(L187,[1]Produtos!$B:$B,0)), "-")</f>
        <v>LÍQUIDO</v>
      </c>
      <c r="T187" s="473"/>
      <c r="U187" s="270"/>
      <c r="V187" s="270"/>
      <c r="W187" s="270"/>
      <c r="X187" s="270"/>
      <c r="Y187" s="270"/>
      <c r="Z187" s="270"/>
      <c r="AA187" s="270"/>
      <c r="AB187" s="270"/>
      <c r="AC187" s="270"/>
      <c r="AD187" s="270"/>
      <c r="AE187" s="270"/>
      <c r="AF187" s="270"/>
      <c r="AG187" s="270"/>
      <c r="AH187" s="270"/>
      <c r="AI187" s="270"/>
      <c r="AJ187" s="270"/>
      <c r="AK187" s="270"/>
      <c r="AL187" s="270"/>
      <c r="AM187" s="663"/>
      <c r="AN187" s="663"/>
      <c r="AO187" s="708" t="str">
        <f>IF(OR(Table1[[#This Row],[Início Setup Envase]]="",Table1[[#This Row],[Final Setup Envase]]=""),"",Table1[[#This Row],[Final Setup Envase]]-Table1[[#This Row],[Início Setup Envase]])</f>
        <v/>
      </c>
      <c r="AP187" s="663"/>
      <c r="AQ187" s="663"/>
      <c r="AR187" s="270"/>
      <c r="AS187" s="270"/>
      <c r="AT187" s="270"/>
      <c r="AU187" s="270"/>
      <c r="AV187" s="270"/>
      <c r="AW187" s="270"/>
      <c r="AX187" s="270"/>
      <c r="AY187" s="270"/>
      <c r="AZ187" s="270"/>
      <c r="BA187" s="270">
        <f>IF(Table1[[#This Row],[Data de Início]]="","",YEAR(Table1[[#This Row],[Data de Início]]))</f>
        <v>2025</v>
      </c>
      <c r="BB187" s="270">
        <f>IF(Table1[[#This Row],[Data de Início]]="","",MONTH(Table1[[#This Row],[Data de Início]]))</f>
        <v>6</v>
      </c>
      <c r="BC187" s="270"/>
    </row>
    <row r="188" spans="2:55" ht="15" customHeight="1" x14ac:dyDescent="0.25">
      <c r="B188" s="470">
        <v>45831.465277777781</v>
      </c>
      <c r="C188" s="263">
        <v>45831.619444444441</v>
      </c>
      <c r="D188" s="264" cm="1">
        <f t="array" ref="D188">IFERROR(HorasUteisFabrica2Turnos(B188,C188), "")</f>
        <v>2.6999999998370185</v>
      </c>
      <c r="E188" s="265">
        <f t="shared" si="2"/>
        <v>1031.1111111733526</v>
      </c>
      <c r="F188" s="266" t="s">
        <v>377</v>
      </c>
      <c r="G188" s="266" t="s">
        <v>362</v>
      </c>
      <c r="H188" s="266"/>
      <c r="I188" s="266" t="s">
        <v>325</v>
      </c>
      <c r="J188" s="268" t="s">
        <v>15</v>
      </c>
      <c r="K188" s="268">
        <v>2784</v>
      </c>
      <c r="L188" s="269" t="s">
        <v>296</v>
      </c>
      <c r="M188" s="270" t="str">
        <f>IFERROR(INDEX([1]Produtos!$C:$C,MATCH(L188,[1]Produtos!$B:$B,0)), "-")</f>
        <v>BODY SPLASH NÉCTAR DAS TAMARAS</v>
      </c>
      <c r="N188" s="510">
        <f>IFERROR(INDEX([1]Produtos!$E:$E,MATCH(L188,[1]Produtos!$B:$B,0)), "-")</f>
        <v>220</v>
      </c>
      <c r="O188" s="270" t="str">
        <f>IFERROR(INDEX([1]Produtos!$F:$F,MATCH(L188,[1]Produtos!$B:$B,0)), "-")</f>
        <v>ml</v>
      </c>
      <c r="P188" s="270" t="str">
        <f>IFERROR(INDEX([1]Produtos!$G:$G,MATCH(L188,[1]Produtos!$B:$B,0)), "-")</f>
        <v>MISS RÔSE</v>
      </c>
      <c r="Q188" s="270" t="str">
        <f>IFERROR(INDEX([1]Produtos!$H:$H,MATCH(L188,[1]Produtos!$B:$B,0)), "-")</f>
        <v>PERFUMARIA</v>
      </c>
      <c r="R188" s="270" t="str">
        <f>IFERROR(INDEX([1]Produtos!$I:$I,MATCH(L188,[1]Produtos!$B:$B,0)), "-")</f>
        <v>BODY SPLASH</v>
      </c>
      <c r="S188" s="270" t="str">
        <f>IFERROR(INDEX([1]Produtos!$J:$J,MATCH(L188,[1]Produtos!$B:$B,0)), "-")</f>
        <v>LÍQUIDO</v>
      </c>
      <c r="T188" s="473"/>
      <c r="U188" s="270"/>
      <c r="V188" s="270"/>
      <c r="W188" s="270"/>
      <c r="X188" s="270"/>
      <c r="Y188" s="270"/>
      <c r="Z188" s="270"/>
      <c r="AA188" s="270"/>
      <c r="AB188" s="270"/>
      <c r="AC188" s="270"/>
      <c r="AD188" s="270"/>
      <c r="AE188" s="270"/>
      <c r="AF188" s="270"/>
      <c r="AG188" s="270"/>
      <c r="AH188" s="270"/>
      <c r="AI188" s="270"/>
      <c r="AJ188" s="270"/>
      <c r="AK188" s="270"/>
      <c r="AL188" s="270"/>
      <c r="AM188" s="663"/>
      <c r="AN188" s="663"/>
      <c r="AO188" s="708" t="str">
        <f>IF(OR(Table1[[#This Row],[Início Setup Envase]]="",Table1[[#This Row],[Final Setup Envase]]=""),"",Table1[[#This Row],[Final Setup Envase]]-Table1[[#This Row],[Início Setup Envase]])</f>
        <v/>
      </c>
      <c r="AP188" s="663"/>
      <c r="AQ188" s="663"/>
      <c r="AR188" s="270"/>
      <c r="AS188" s="270"/>
      <c r="AT188" s="270"/>
      <c r="AU188" s="270"/>
      <c r="AV188" s="270"/>
      <c r="AW188" s="270"/>
      <c r="AX188" s="270"/>
      <c r="AY188" s="270"/>
      <c r="AZ188" s="270"/>
      <c r="BA188" s="270">
        <f>IF(Table1[[#This Row],[Data de Início]]="","",YEAR(Table1[[#This Row],[Data de Início]]))</f>
        <v>2025</v>
      </c>
      <c r="BB188" s="270">
        <f>IF(Table1[[#This Row],[Data de Início]]="","",MONTH(Table1[[#This Row],[Data de Início]]))</f>
        <v>6</v>
      </c>
      <c r="BC188" s="270"/>
    </row>
    <row r="189" spans="2:55" ht="15" customHeight="1" x14ac:dyDescent="0.25">
      <c r="B189" s="470">
        <v>45831.619444444441</v>
      </c>
      <c r="C189" s="263">
        <v>45832.365277777775</v>
      </c>
      <c r="D189" s="264" cm="1">
        <f t="array" ref="D189">IFERROR(HorasUteisFabrica2Turnos(B189,C189), "")</f>
        <v>3.9000000001396984</v>
      </c>
      <c r="E189" s="265">
        <f t="shared" si="2"/>
        <v>652.30769228432655</v>
      </c>
      <c r="F189" s="266" t="s">
        <v>377</v>
      </c>
      <c r="G189" s="266" t="s">
        <v>362</v>
      </c>
      <c r="H189" s="266"/>
      <c r="I189" s="266" t="s">
        <v>319</v>
      </c>
      <c r="J189" s="268" t="s">
        <v>15</v>
      </c>
      <c r="K189" s="268">
        <v>2544</v>
      </c>
      <c r="L189" s="269" t="s">
        <v>211</v>
      </c>
      <c r="M189" s="270" t="str">
        <f>IFERROR(INDEX([1]Produtos!$C:$C,MATCH(L189,[1]Produtos!$B:$B,0)), "-")</f>
        <v>BODY SPLASH AURORA IMPERIAL</v>
      </c>
      <c r="N189" s="510">
        <f>IFERROR(INDEX([1]Produtos!$E:$E,MATCH(L189,[1]Produtos!$B:$B,0)), "-")</f>
        <v>220</v>
      </c>
      <c r="O189" s="270" t="str">
        <f>IFERROR(INDEX([1]Produtos!$F:$F,MATCH(L189,[1]Produtos!$B:$B,0)), "-")</f>
        <v>ml</v>
      </c>
      <c r="P189" s="270" t="str">
        <f>IFERROR(INDEX([1]Produtos!$G:$G,MATCH(L189,[1]Produtos!$B:$B,0)), "-")</f>
        <v>MISS RÔSE</v>
      </c>
      <c r="Q189" s="270" t="str">
        <f>IFERROR(INDEX([1]Produtos!$H:$H,MATCH(L189,[1]Produtos!$B:$B,0)), "-")</f>
        <v>PERFUMARIA</v>
      </c>
      <c r="R189" s="270" t="str">
        <f>IFERROR(INDEX([1]Produtos!$I:$I,MATCH(L189,[1]Produtos!$B:$B,0)), "-")</f>
        <v>BODY SPLASH</v>
      </c>
      <c r="S189" s="270" t="str">
        <f>IFERROR(INDEX([1]Produtos!$J:$J,MATCH(L189,[1]Produtos!$B:$B,0)), "-")</f>
        <v>LÍQUIDO</v>
      </c>
      <c r="T189" s="473"/>
      <c r="U189" s="270"/>
      <c r="V189" s="270"/>
      <c r="W189" s="270"/>
      <c r="X189" s="270"/>
      <c r="Y189" s="270"/>
      <c r="Z189" s="270"/>
      <c r="AA189" s="270"/>
      <c r="AB189" s="270"/>
      <c r="AC189" s="270"/>
      <c r="AD189" s="270"/>
      <c r="AE189" s="270"/>
      <c r="AF189" s="270"/>
      <c r="AG189" s="270"/>
      <c r="AH189" s="270"/>
      <c r="AI189" s="270"/>
      <c r="AJ189" s="270"/>
      <c r="AK189" s="270"/>
      <c r="AL189" s="270"/>
      <c r="AM189" s="663"/>
      <c r="AN189" s="663"/>
      <c r="AO189" s="708" t="str">
        <f>IF(OR(Table1[[#This Row],[Início Setup Envase]]="",Table1[[#This Row],[Final Setup Envase]]=""),"",Table1[[#This Row],[Final Setup Envase]]-Table1[[#This Row],[Início Setup Envase]])</f>
        <v/>
      </c>
      <c r="AP189" s="663"/>
      <c r="AQ189" s="663"/>
      <c r="AR189" s="270"/>
      <c r="AS189" s="270"/>
      <c r="AT189" s="270"/>
      <c r="AU189" s="270"/>
      <c r="AV189" s="270"/>
      <c r="AW189" s="270"/>
      <c r="AX189" s="270"/>
      <c r="AY189" s="270"/>
      <c r="AZ189" s="270"/>
      <c r="BA189" s="270">
        <f>IF(Table1[[#This Row],[Data de Início]]="","",YEAR(Table1[[#This Row],[Data de Início]]))</f>
        <v>2025</v>
      </c>
      <c r="BB189" s="270">
        <f>IF(Table1[[#This Row],[Data de Início]]="","",MONTH(Table1[[#This Row],[Data de Início]]))</f>
        <v>6</v>
      </c>
      <c r="BC189" s="270"/>
    </row>
    <row r="190" spans="2:55" ht="15" customHeight="1" x14ac:dyDescent="0.25">
      <c r="B190" s="470">
        <v>45832</v>
      </c>
      <c r="C190" s="263">
        <v>45832</v>
      </c>
      <c r="D190" s="264" cm="1">
        <f t="array" ref="D190">IFERROR(HorasUteisFabrica2Turnos(B190,C190), "")</f>
        <v>0</v>
      </c>
      <c r="E190" s="265" t="str">
        <f t="shared" si="2"/>
        <v/>
      </c>
      <c r="F190" s="266" t="s">
        <v>378</v>
      </c>
      <c r="G190" s="266" t="s">
        <v>359</v>
      </c>
      <c r="H190" s="266"/>
      <c r="I190" s="269" t="s">
        <v>338</v>
      </c>
      <c r="J190" s="268" t="s">
        <v>15</v>
      </c>
      <c r="K190" s="268">
        <v>506</v>
      </c>
      <c r="L190" s="269" t="s">
        <v>237</v>
      </c>
      <c r="M190" s="270" t="str">
        <f>IFERROR(INDEX([1]Produtos!$C:$C,MATCH(L190,[1]Produtos!$B:$B,0)), "-")</f>
        <v>PERFUME FEMININO 10 212 SEXY</v>
      </c>
      <c r="N190" s="510">
        <f>IFERROR(INDEX([1]Produtos!$E:$E,MATCH(L190,[1]Produtos!$B:$B,0)), "-")</f>
        <v>50</v>
      </c>
      <c r="O190" s="270" t="str">
        <f>IFERROR(INDEX([1]Produtos!$F:$F,MATCH(L190,[1]Produtos!$B:$B,0)), "-")</f>
        <v>ml</v>
      </c>
      <c r="P190" s="270" t="str">
        <f>IFERROR(INDEX([1]Produtos!$G:$G,MATCH(L190,[1]Produtos!$B:$B,0)), "-")</f>
        <v>MOUTIER</v>
      </c>
      <c r="Q190" s="270" t="str">
        <f>IFERROR(INDEX([1]Produtos!$H:$H,MATCH(L190,[1]Produtos!$B:$B,0)), "-")</f>
        <v>PERFUMARIA</v>
      </c>
      <c r="R190" s="270" t="str">
        <f>IFERROR(INDEX([1]Produtos!$I:$I,MATCH(L190,[1]Produtos!$B:$B,0)), "-")</f>
        <v>PERFUME</v>
      </c>
      <c r="S190" s="270" t="str">
        <f>IFERROR(INDEX([1]Produtos!$J:$J,MATCH(L190,[1]Produtos!$B:$B,0)), "-")</f>
        <v>LÍQUIDO</v>
      </c>
      <c r="T190" s="474"/>
      <c r="U190" s="270"/>
      <c r="V190" s="270"/>
      <c r="W190" s="270"/>
      <c r="X190" s="270"/>
      <c r="Y190" s="270"/>
      <c r="Z190" s="270"/>
      <c r="AA190" s="270"/>
      <c r="AB190" s="270"/>
      <c r="AC190" s="270"/>
      <c r="AD190" s="270"/>
      <c r="AE190" s="270"/>
      <c r="AF190" s="270"/>
      <c r="AG190" s="270"/>
      <c r="AH190" s="270"/>
      <c r="AI190" s="270"/>
      <c r="AJ190" s="270"/>
      <c r="AK190" s="270"/>
      <c r="AL190" s="270"/>
      <c r="AM190" s="663"/>
      <c r="AN190" s="663"/>
      <c r="AO190" s="708" t="str">
        <f>IF(OR(Table1[[#This Row],[Início Setup Envase]]="",Table1[[#This Row],[Final Setup Envase]]=""),"",Table1[[#This Row],[Final Setup Envase]]-Table1[[#This Row],[Início Setup Envase]])</f>
        <v/>
      </c>
      <c r="AP190" s="663"/>
      <c r="AQ190" s="663"/>
      <c r="AR190" s="270"/>
      <c r="AS190" s="270"/>
      <c r="AT190" s="270"/>
      <c r="AU190" s="270"/>
      <c r="AV190" s="270"/>
      <c r="AW190" s="270"/>
      <c r="AX190" s="270"/>
      <c r="AY190" s="270"/>
      <c r="AZ190" s="270"/>
      <c r="BA190" s="270">
        <f>IF(Table1[[#This Row],[Data de Início]]="","",YEAR(Table1[[#This Row],[Data de Início]]))</f>
        <v>2025</v>
      </c>
      <c r="BB190" s="270">
        <f>IF(Table1[[#This Row],[Data de Início]]="","",MONTH(Table1[[#This Row],[Data de Início]]))</f>
        <v>6</v>
      </c>
      <c r="BC190" s="270"/>
    </row>
    <row r="191" spans="2:55" ht="15" customHeight="1" x14ac:dyDescent="0.25">
      <c r="B191" s="470">
        <v>45832</v>
      </c>
      <c r="C191" s="263">
        <v>45832</v>
      </c>
      <c r="D191" s="264" cm="1">
        <f t="array" ref="D191">IFERROR(HorasUteisFabrica2Turnos(B191,C191), "")</f>
        <v>0</v>
      </c>
      <c r="E191" s="265" t="str">
        <f t="shared" si="2"/>
        <v/>
      </c>
      <c r="F191" s="266" t="s">
        <v>378</v>
      </c>
      <c r="G191" s="266" t="s">
        <v>359</v>
      </c>
      <c r="H191" s="266"/>
      <c r="I191" s="269" t="s">
        <v>337</v>
      </c>
      <c r="J191" s="268" t="s">
        <v>15</v>
      </c>
      <c r="K191" s="268">
        <v>240</v>
      </c>
      <c r="L191" s="269" t="s">
        <v>236</v>
      </c>
      <c r="M191" s="270" t="str">
        <f>IFERROR(INDEX([1]Produtos!$C:$C,MATCH(L191,[1]Produtos!$B:$B,0)), "-")</f>
        <v>PERFUME FEMININO 09 SCANDAL</v>
      </c>
      <c r="N191" s="510">
        <f>IFERROR(INDEX([1]Produtos!$E:$E,MATCH(L191,[1]Produtos!$B:$B,0)), "-")</f>
        <v>50</v>
      </c>
      <c r="O191" s="270" t="str">
        <f>IFERROR(INDEX([1]Produtos!$F:$F,MATCH(L191,[1]Produtos!$B:$B,0)), "-")</f>
        <v>ml</v>
      </c>
      <c r="P191" s="270" t="str">
        <f>IFERROR(INDEX([1]Produtos!$G:$G,MATCH(L191,[1]Produtos!$B:$B,0)), "-")</f>
        <v>MOUTIER</v>
      </c>
      <c r="Q191" s="270" t="str">
        <f>IFERROR(INDEX([1]Produtos!$H:$H,MATCH(L191,[1]Produtos!$B:$B,0)), "-")</f>
        <v>PERFUMARIA</v>
      </c>
      <c r="R191" s="270" t="str">
        <f>IFERROR(INDEX([1]Produtos!$I:$I,MATCH(L191,[1]Produtos!$B:$B,0)), "-")</f>
        <v>PERFUME</v>
      </c>
      <c r="S191" s="270" t="str">
        <f>IFERROR(INDEX([1]Produtos!$J:$J,MATCH(L191,[1]Produtos!$B:$B,0)), "-")</f>
        <v>LÍQUIDO</v>
      </c>
      <c r="T191" s="474"/>
      <c r="U191" s="270"/>
      <c r="V191" s="270"/>
      <c r="W191" s="270"/>
      <c r="X191" s="270"/>
      <c r="Y191" s="270"/>
      <c r="Z191" s="270"/>
      <c r="AA191" s="270"/>
      <c r="AB191" s="270"/>
      <c r="AC191" s="270"/>
      <c r="AD191" s="270"/>
      <c r="AE191" s="270"/>
      <c r="AF191" s="270"/>
      <c r="AG191" s="270"/>
      <c r="AH191" s="270"/>
      <c r="AI191" s="270"/>
      <c r="AJ191" s="270"/>
      <c r="AK191" s="270"/>
      <c r="AL191" s="270"/>
      <c r="AM191" s="663"/>
      <c r="AN191" s="663"/>
      <c r="AO191" s="708" t="str">
        <f>IF(OR(Table1[[#This Row],[Início Setup Envase]]="",Table1[[#This Row],[Final Setup Envase]]=""),"",Table1[[#This Row],[Final Setup Envase]]-Table1[[#This Row],[Início Setup Envase]])</f>
        <v/>
      </c>
      <c r="AP191" s="663"/>
      <c r="AQ191" s="663"/>
      <c r="AR191" s="270"/>
      <c r="AS191" s="270"/>
      <c r="AT191" s="270"/>
      <c r="AU191" s="270"/>
      <c r="AV191" s="270"/>
      <c r="AW191" s="270"/>
      <c r="AX191" s="270"/>
      <c r="AY191" s="270"/>
      <c r="AZ191" s="270"/>
      <c r="BA191" s="270">
        <f>IF(Table1[[#This Row],[Data de Início]]="","",YEAR(Table1[[#This Row],[Data de Início]]))</f>
        <v>2025</v>
      </c>
      <c r="BB191" s="270">
        <f>IF(Table1[[#This Row],[Data de Início]]="","",MONTH(Table1[[#This Row],[Data de Início]]))</f>
        <v>6</v>
      </c>
      <c r="BC191" s="270"/>
    </row>
    <row r="192" spans="2:55" ht="15" customHeight="1" x14ac:dyDescent="0.25">
      <c r="B192" s="470">
        <v>45832.365277777775</v>
      </c>
      <c r="C192" s="263">
        <v>45832.46875</v>
      </c>
      <c r="D192" s="264" cm="1">
        <f t="array" ref="D192">IFERROR(HorasUteisFabrica2Turnos(B192,C192), "")</f>
        <v>2.4833333333954215</v>
      </c>
      <c r="E192" s="265">
        <f t="shared" si="2"/>
        <v>1043.758389235649</v>
      </c>
      <c r="F192" s="266" t="s">
        <v>377</v>
      </c>
      <c r="G192" s="266" t="s">
        <v>362</v>
      </c>
      <c r="H192" s="266"/>
      <c r="I192" s="266" t="s">
        <v>320</v>
      </c>
      <c r="J192" s="268" t="s">
        <v>15</v>
      </c>
      <c r="K192" s="268">
        <v>2592</v>
      </c>
      <c r="L192" s="269" t="s">
        <v>211</v>
      </c>
      <c r="M192" s="270" t="str">
        <f>IFERROR(INDEX([1]Produtos!$C:$C,MATCH(L192,[1]Produtos!$B:$B,0)), "-")</f>
        <v>BODY SPLASH AURORA IMPERIAL</v>
      </c>
      <c r="N192" s="510">
        <f>IFERROR(INDEX([1]Produtos!$E:$E,MATCH(L192,[1]Produtos!$B:$B,0)), "-")</f>
        <v>220</v>
      </c>
      <c r="O192" s="270" t="str">
        <f>IFERROR(INDEX([1]Produtos!$F:$F,MATCH(L192,[1]Produtos!$B:$B,0)), "-")</f>
        <v>ml</v>
      </c>
      <c r="P192" s="270" t="str">
        <f>IFERROR(INDEX([1]Produtos!$G:$G,MATCH(L192,[1]Produtos!$B:$B,0)), "-")</f>
        <v>MISS RÔSE</v>
      </c>
      <c r="Q192" s="270" t="str">
        <f>IFERROR(INDEX([1]Produtos!$H:$H,MATCH(L192,[1]Produtos!$B:$B,0)), "-")</f>
        <v>PERFUMARIA</v>
      </c>
      <c r="R192" s="270" t="str">
        <f>IFERROR(INDEX([1]Produtos!$I:$I,MATCH(L192,[1]Produtos!$B:$B,0)), "-")</f>
        <v>BODY SPLASH</v>
      </c>
      <c r="S192" s="270" t="str">
        <f>IFERROR(INDEX([1]Produtos!$J:$J,MATCH(L192,[1]Produtos!$B:$B,0)), "-")</f>
        <v>LÍQUIDO</v>
      </c>
      <c r="T192" s="473"/>
      <c r="U192" s="270"/>
      <c r="V192" s="270"/>
      <c r="W192" s="270"/>
      <c r="X192" s="270"/>
      <c r="Y192" s="270"/>
      <c r="Z192" s="270"/>
      <c r="AA192" s="270"/>
      <c r="AB192" s="270"/>
      <c r="AC192" s="270"/>
      <c r="AD192" s="270"/>
      <c r="AE192" s="270"/>
      <c r="AF192" s="270"/>
      <c r="AG192" s="270"/>
      <c r="AH192" s="270"/>
      <c r="AI192" s="270"/>
      <c r="AJ192" s="270"/>
      <c r="AK192" s="270"/>
      <c r="AL192" s="270"/>
      <c r="AM192" s="663"/>
      <c r="AN192" s="663"/>
      <c r="AO192" s="708" t="str">
        <f>IF(OR(Table1[[#This Row],[Início Setup Envase]]="",Table1[[#This Row],[Final Setup Envase]]=""),"",Table1[[#This Row],[Final Setup Envase]]-Table1[[#This Row],[Início Setup Envase]])</f>
        <v/>
      </c>
      <c r="AP192" s="663"/>
      <c r="AQ192" s="663"/>
      <c r="AR192" s="270"/>
      <c r="AS192" s="270"/>
      <c r="AT192" s="270"/>
      <c r="AU192" s="270"/>
      <c r="AV192" s="270"/>
      <c r="AW192" s="270"/>
      <c r="AX192" s="270"/>
      <c r="AY192" s="270"/>
      <c r="AZ192" s="270"/>
      <c r="BA192" s="270">
        <f>IF(Table1[[#This Row],[Data de Início]]="","",YEAR(Table1[[#This Row],[Data de Início]]))</f>
        <v>2025</v>
      </c>
      <c r="BB192" s="270">
        <f>IF(Table1[[#This Row],[Data de Início]]="","",MONTH(Table1[[#This Row],[Data de Início]]))</f>
        <v>6</v>
      </c>
      <c r="BC192" s="270"/>
    </row>
    <row r="193" spans="2:55" ht="15" customHeight="1" x14ac:dyDescent="0.25">
      <c r="B193" s="470">
        <v>45832.46875</v>
      </c>
      <c r="C193" s="263">
        <v>45832.625</v>
      </c>
      <c r="D193" s="264" cm="1">
        <f t="array" ref="D193">IFERROR(HorasUteisFabrica2Turnos(B193,C193), "")</f>
        <v>2.75</v>
      </c>
      <c r="E193" s="265">
        <f t="shared" si="2"/>
        <v>942.5454545454545</v>
      </c>
      <c r="F193" s="266" t="s">
        <v>377</v>
      </c>
      <c r="G193" s="266" t="s">
        <v>362</v>
      </c>
      <c r="H193" s="266"/>
      <c r="I193" s="266" t="s">
        <v>389</v>
      </c>
      <c r="J193" s="268" t="s">
        <v>15</v>
      </c>
      <c r="K193" s="268">
        <v>2592</v>
      </c>
      <c r="L193" s="269" t="s">
        <v>211</v>
      </c>
      <c r="M193" s="270" t="str">
        <f>IFERROR(INDEX([1]Produtos!$C:$C,MATCH(L193,[1]Produtos!$B:$B,0)), "-")</f>
        <v>BODY SPLASH AURORA IMPERIAL</v>
      </c>
      <c r="N193" s="510">
        <f>IFERROR(INDEX([1]Produtos!$E:$E,MATCH(L193,[1]Produtos!$B:$B,0)), "-")</f>
        <v>220</v>
      </c>
      <c r="O193" s="270" t="str">
        <f>IFERROR(INDEX([1]Produtos!$F:$F,MATCH(L193,[1]Produtos!$B:$B,0)), "-")</f>
        <v>ml</v>
      </c>
      <c r="P193" s="270" t="str">
        <f>IFERROR(INDEX([1]Produtos!$G:$G,MATCH(L193,[1]Produtos!$B:$B,0)), "-")</f>
        <v>MISS RÔSE</v>
      </c>
      <c r="Q193" s="270" t="str">
        <f>IFERROR(INDEX([1]Produtos!$H:$H,MATCH(L193,[1]Produtos!$B:$B,0)), "-")</f>
        <v>PERFUMARIA</v>
      </c>
      <c r="R193" s="270" t="str">
        <f>IFERROR(INDEX([1]Produtos!$I:$I,MATCH(L193,[1]Produtos!$B:$B,0)), "-")</f>
        <v>BODY SPLASH</v>
      </c>
      <c r="S193" s="270" t="str">
        <f>IFERROR(INDEX([1]Produtos!$J:$J,MATCH(L193,[1]Produtos!$B:$B,0)), "-")</f>
        <v>LÍQUIDO</v>
      </c>
      <c r="T193" s="474"/>
      <c r="U193" s="270"/>
      <c r="V193" s="270"/>
      <c r="W193" s="270"/>
      <c r="X193" s="270"/>
      <c r="Y193" s="270"/>
      <c r="Z193" s="270"/>
      <c r="AA193" s="270"/>
      <c r="AB193" s="270"/>
      <c r="AC193" s="270"/>
      <c r="AD193" s="270"/>
      <c r="AE193" s="270"/>
      <c r="AF193" s="270"/>
      <c r="AG193" s="270"/>
      <c r="AH193" s="270"/>
      <c r="AI193" s="270"/>
      <c r="AJ193" s="270"/>
      <c r="AK193" s="270"/>
      <c r="AL193" s="270"/>
      <c r="AM193" s="663"/>
      <c r="AN193" s="663"/>
      <c r="AO193" s="708" t="str">
        <f>IF(OR(Table1[[#This Row],[Início Setup Envase]]="",Table1[[#This Row],[Final Setup Envase]]=""),"",Table1[[#This Row],[Final Setup Envase]]-Table1[[#This Row],[Início Setup Envase]])</f>
        <v/>
      </c>
      <c r="AP193" s="663"/>
      <c r="AQ193" s="663"/>
      <c r="AR193" s="270"/>
      <c r="AS193" s="270"/>
      <c r="AT193" s="270"/>
      <c r="AU193" s="270"/>
      <c r="AV193" s="270"/>
      <c r="AW193" s="270"/>
      <c r="AX193" s="270"/>
      <c r="AY193" s="270"/>
      <c r="AZ193" s="270"/>
      <c r="BA193" s="270">
        <f>IF(Table1[[#This Row],[Data de Início]]="","",YEAR(Table1[[#This Row],[Data de Início]]))</f>
        <v>2025</v>
      </c>
      <c r="BB193" s="270">
        <f>IF(Table1[[#This Row],[Data de Início]]="","",MONTH(Table1[[#This Row],[Data de Início]]))</f>
        <v>6</v>
      </c>
      <c r="BC193" s="270"/>
    </row>
    <row r="194" spans="2:55" ht="15" customHeight="1" x14ac:dyDescent="0.25">
      <c r="B194" s="470">
        <v>45832.625</v>
      </c>
      <c r="C194" s="263">
        <v>45833.388888888891</v>
      </c>
      <c r="D194" s="264" cm="1">
        <f t="array" ref="D194">IFERROR(HorasUteisFabrica2Turnos(B194,C194), "")</f>
        <v>4.3333333334885538</v>
      </c>
      <c r="E194" s="265">
        <f t="shared" si="2"/>
        <v>609.23076920894653</v>
      </c>
      <c r="F194" s="266" t="s">
        <v>377</v>
      </c>
      <c r="G194" s="266" t="s">
        <v>362</v>
      </c>
      <c r="H194" s="266"/>
      <c r="I194" s="266" t="s">
        <v>390</v>
      </c>
      <c r="J194" s="268" t="s">
        <v>15</v>
      </c>
      <c r="K194" s="268">
        <v>2640</v>
      </c>
      <c r="L194" s="269" t="s">
        <v>211</v>
      </c>
      <c r="M194" s="270" t="str">
        <f>IFERROR(INDEX([1]Produtos!$C:$C,MATCH(L194,[1]Produtos!$B:$B,0)), "-")</f>
        <v>BODY SPLASH AURORA IMPERIAL</v>
      </c>
      <c r="N194" s="510">
        <f>IFERROR(INDEX([1]Produtos!$E:$E,MATCH(L194,[1]Produtos!$B:$B,0)), "-")</f>
        <v>220</v>
      </c>
      <c r="O194" s="270" t="str">
        <f>IFERROR(INDEX([1]Produtos!$F:$F,MATCH(L194,[1]Produtos!$B:$B,0)), "-")</f>
        <v>ml</v>
      </c>
      <c r="P194" s="270" t="str">
        <f>IFERROR(INDEX([1]Produtos!$G:$G,MATCH(L194,[1]Produtos!$B:$B,0)), "-")</f>
        <v>MISS RÔSE</v>
      </c>
      <c r="Q194" s="270" t="str">
        <f>IFERROR(INDEX([1]Produtos!$H:$H,MATCH(L194,[1]Produtos!$B:$B,0)), "-")</f>
        <v>PERFUMARIA</v>
      </c>
      <c r="R194" s="270" t="str">
        <f>IFERROR(INDEX([1]Produtos!$I:$I,MATCH(L194,[1]Produtos!$B:$B,0)), "-")</f>
        <v>BODY SPLASH</v>
      </c>
      <c r="S194" s="270" t="str">
        <f>IFERROR(INDEX([1]Produtos!$J:$J,MATCH(L194,[1]Produtos!$B:$B,0)), "-")</f>
        <v>LÍQUIDO</v>
      </c>
      <c r="T194" s="474"/>
      <c r="U194" s="270"/>
      <c r="V194" s="270"/>
      <c r="W194" s="270"/>
      <c r="X194" s="270"/>
      <c r="Y194" s="270"/>
      <c r="Z194" s="270"/>
      <c r="AA194" s="270"/>
      <c r="AB194" s="270"/>
      <c r="AC194" s="270"/>
      <c r="AD194" s="270"/>
      <c r="AE194" s="270"/>
      <c r="AF194" s="270"/>
      <c r="AG194" s="270"/>
      <c r="AH194" s="270"/>
      <c r="AI194" s="270"/>
      <c r="AJ194" s="270"/>
      <c r="AK194" s="270"/>
      <c r="AL194" s="270"/>
      <c r="AM194" s="663"/>
      <c r="AN194" s="663"/>
      <c r="AO194" s="708" t="str">
        <f>IF(OR(Table1[[#This Row],[Início Setup Envase]]="",Table1[[#This Row],[Final Setup Envase]]=""),"",Table1[[#This Row],[Final Setup Envase]]-Table1[[#This Row],[Início Setup Envase]])</f>
        <v/>
      </c>
      <c r="AP194" s="663"/>
      <c r="AQ194" s="663"/>
      <c r="AR194" s="270"/>
      <c r="AS194" s="270"/>
      <c r="AT194" s="270"/>
      <c r="AU194" s="270"/>
      <c r="AV194" s="270"/>
      <c r="AW194" s="270"/>
      <c r="AX194" s="270"/>
      <c r="AY194" s="270"/>
      <c r="AZ194" s="270"/>
      <c r="BA194" s="270">
        <f>IF(Table1[[#This Row],[Data de Início]]="","",YEAR(Table1[[#This Row],[Data de Início]]))</f>
        <v>2025</v>
      </c>
      <c r="BB194" s="270">
        <f>IF(Table1[[#This Row],[Data de Início]]="","",MONTH(Table1[[#This Row],[Data de Início]]))</f>
        <v>6</v>
      </c>
      <c r="BC194" s="270"/>
    </row>
    <row r="195" spans="2:55" ht="15" customHeight="1" x14ac:dyDescent="0.25">
      <c r="B195" s="470">
        <v>45833</v>
      </c>
      <c r="C195" s="263">
        <v>45833</v>
      </c>
      <c r="D195" s="264" cm="1">
        <f t="array" ref="D195">IFERROR(HorasUteisFabrica2Turnos(B195,C195), "")</f>
        <v>0</v>
      </c>
      <c r="E195" s="265" t="str">
        <f t="shared" ref="E195:E258" si="3">IFERROR(K195/D195, "")</f>
        <v/>
      </c>
      <c r="F195" s="266" t="s">
        <v>378</v>
      </c>
      <c r="G195" s="266" t="s">
        <v>359</v>
      </c>
      <c r="H195" s="266"/>
      <c r="I195" s="269" t="s">
        <v>339</v>
      </c>
      <c r="J195" s="268" t="s">
        <v>15</v>
      </c>
      <c r="K195" s="268">
        <v>420</v>
      </c>
      <c r="L195" s="269" t="s">
        <v>240</v>
      </c>
      <c r="M195" s="270" t="str">
        <f>IFERROR(INDEX([1]Produtos!$C:$C,MATCH(L195,[1]Produtos!$B:$B,0)), "-")</f>
        <v>PERFUME FEMININO 16 COCO MADEMOISELLE</v>
      </c>
      <c r="N195" s="510">
        <f>IFERROR(INDEX([1]Produtos!$E:$E,MATCH(L195,[1]Produtos!$B:$B,0)), "-")</f>
        <v>50</v>
      </c>
      <c r="O195" s="270" t="str">
        <f>IFERROR(INDEX([1]Produtos!$F:$F,MATCH(L195,[1]Produtos!$B:$B,0)), "-")</f>
        <v>ml</v>
      </c>
      <c r="P195" s="270" t="str">
        <f>IFERROR(INDEX([1]Produtos!$G:$G,MATCH(L195,[1]Produtos!$B:$B,0)), "-")</f>
        <v>MOUTIER</v>
      </c>
      <c r="Q195" s="270" t="str">
        <f>IFERROR(INDEX([1]Produtos!$H:$H,MATCH(L195,[1]Produtos!$B:$B,0)), "-")</f>
        <v>PERFUMARIA</v>
      </c>
      <c r="R195" s="270" t="str">
        <f>IFERROR(INDEX([1]Produtos!$I:$I,MATCH(L195,[1]Produtos!$B:$B,0)), "-")</f>
        <v>PERFUME</v>
      </c>
      <c r="S195" s="270" t="str">
        <f>IFERROR(INDEX([1]Produtos!$J:$J,MATCH(L195,[1]Produtos!$B:$B,0)), "-")</f>
        <v>LÍQUIDO</v>
      </c>
      <c r="T195" s="474"/>
      <c r="U195" s="270"/>
      <c r="V195" s="270"/>
      <c r="W195" s="270"/>
      <c r="X195" s="270"/>
      <c r="Y195" s="270"/>
      <c r="Z195" s="270"/>
      <c r="AA195" s="270"/>
      <c r="AB195" s="270"/>
      <c r="AC195" s="270"/>
      <c r="AD195" s="270"/>
      <c r="AE195" s="270"/>
      <c r="AF195" s="270"/>
      <c r="AG195" s="270"/>
      <c r="AH195" s="270"/>
      <c r="AI195" s="270"/>
      <c r="AJ195" s="270"/>
      <c r="AK195" s="270"/>
      <c r="AL195" s="270"/>
      <c r="AM195" s="663"/>
      <c r="AN195" s="663"/>
      <c r="AO195" s="708" t="str">
        <f>IF(OR(Table1[[#This Row],[Início Setup Envase]]="",Table1[[#This Row],[Final Setup Envase]]=""),"",Table1[[#This Row],[Final Setup Envase]]-Table1[[#This Row],[Início Setup Envase]])</f>
        <v/>
      </c>
      <c r="AP195" s="663"/>
      <c r="AQ195" s="663"/>
      <c r="AR195" s="270"/>
      <c r="AS195" s="270"/>
      <c r="AT195" s="270"/>
      <c r="AU195" s="270"/>
      <c r="AV195" s="270"/>
      <c r="AW195" s="270"/>
      <c r="AX195" s="270"/>
      <c r="AY195" s="270"/>
      <c r="AZ195" s="270"/>
      <c r="BA195" s="270">
        <f>IF(Table1[[#This Row],[Data de Início]]="","",YEAR(Table1[[#This Row],[Data de Início]]))</f>
        <v>2025</v>
      </c>
      <c r="BB195" s="270">
        <f>IF(Table1[[#This Row],[Data de Início]]="","",MONTH(Table1[[#This Row],[Data de Início]]))</f>
        <v>6</v>
      </c>
      <c r="BC195" s="270"/>
    </row>
    <row r="196" spans="2:55" ht="15" customHeight="1" x14ac:dyDescent="0.25">
      <c r="B196" s="470">
        <v>45833</v>
      </c>
      <c r="C196" s="263">
        <v>45833</v>
      </c>
      <c r="D196" s="264" cm="1">
        <f t="array" ref="D196">IFERROR(HorasUteisFabrica2Turnos(B196,C196), "")</f>
        <v>0</v>
      </c>
      <c r="E196" s="265" t="str">
        <f t="shared" si="3"/>
        <v/>
      </c>
      <c r="F196" s="266" t="s">
        <v>378</v>
      </c>
      <c r="G196" s="266" t="s">
        <v>359</v>
      </c>
      <c r="H196" s="266"/>
      <c r="I196" s="269" t="s">
        <v>337</v>
      </c>
      <c r="J196" s="268" t="s">
        <v>15</v>
      </c>
      <c r="K196" s="268">
        <v>274</v>
      </c>
      <c r="L196" s="269" t="s">
        <v>236</v>
      </c>
      <c r="M196" s="270" t="str">
        <f>IFERROR(INDEX([1]Produtos!$C:$C,MATCH(L196,[1]Produtos!$B:$B,0)), "-")</f>
        <v>PERFUME FEMININO 09 SCANDAL</v>
      </c>
      <c r="N196" s="510">
        <f>IFERROR(INDEX([1]Produtos!$E:$E,MATCH(L196,[1]Produtos!$B:$B,0)), "-")</f>
        <v>50</v>
      </c>
      <c r="O196" s="270" t="str">
        <f>IFERROR(INDEX([1]Produtos!$F:$F,MATCH(L196,[1]Produtos!$B:$B,0)), "-")</f>
        <v>ml</v>
      </c>
      <c r="P196" s="270" t="str">
        <f>IFERROR(INDEX([1]Produtos!$G:$G,MATCH(L196,[1]Produtos!$B:$B,0)), "-")</f>
        <v>MOUTIER</v>
      </c>
      <c r="Q196" s="270" t="str">
        <f>IFERROR(INDEX([1]Produtos!$H:$H,MATCH(L196,[1]Produtos!$B:$B,0)), "-")</f>
        <v>PERFUMARIA</v>
      </c>
      <c r="R196" s="270" t="str">
        <f>IFERROR(INDEX([1]Produtos!$I:$I,MATCH(L196,[1]Produtos!$B:$B,0)), "-")</f>
        <v>PERFUME</v>
      </c>
      <c r="S196" s="270" t="str">
        <f>IFERROR(INDEX([1]Produtos!$J:$J,MATCH(L196,[1]Produtos!$B:$B,0)), "-")</f>
        <v>LÍQUIDO</v>
      </c>
      <c r="T196" s="474"/>
      <c r="U196" s="270"/>
      <c r="V196" s="270"/>
      <c r="W196" s="270"/>
      <c r="X196" s="270"/>
      <c r="Y196" s="270"/>
      <c r="Z196" s="270"/>
      <c r="AA196" s="270"/>
      <c r="AB196" s="270"/>
      <c r="AC196" s="270"/>
      <c r="AD196" s="270"/>
      <c r="AE196" s="270"/>
      <c r="AF196" s="270"/>
      <c r="AG196" s="270"/>
      <c r="AH196" s="270"/>
      <c r="AI196" s="270"/>
      <c r="AJ196" s="270"/>
      <c r="AK196" s="270"/>
      <c r="AL196" s="270"/>
      <c r="AM196" s="663"/>
      <c r="AN196" s="663"/>
      <c r="AO196" s="708" t="str">
        <f>IF(OR(Table1[[#This Row],[Início Setup Envase]]="",Table1[[#This Row],[Final Setup Envase]]=""),"",Table1[[#This Row],[Final Setup Envase]]-Table1[[#This Row],[Início Setup Envase]])</f>
        <v/>
      </c>
      <c r="AP196" s="663"/>
      <c r="AQ196" s="663"/>
      <c r="AR196" s="270"/>
      <c r="AS196" s="270"/>
      <c r="AT196" s="270"/>
      <c r="AU196" s="270"/>
      <c r="AV196" s="270"/>
      <c r="AW196" s="270"/>
      <c r="AX196" s="270"/>
      <c r="AY196" s="270"/>
      <c r="AZ196" s="270"/>
      <c r="BA196" s="270">
        <f>IF(Table1[[#This Row],[Data de Início]]="","",YEAR(Table1[[#This Row],[Data de Início]]))</f>
        <v>2025</v>
      </c>
      <c r="BB196" s="270">
        <f>IF(Table1[[#This Row],[Data de Início]]="","",MONTH(Table1[[#This Row],[Data de Início]]))</f>
        <v>6</v>
      </c>
      <c r="BC196" s="270"/>
    </row>
    <row r="197" spans="2:55" ht="15" customHeight="1" x14ac:dyDescent="0.25">
      <c r="B197" s="470">
        <v>45833.388888888891</v>
      </c>
      <c r="C197" s="263">
        <v>45833.625</v>
      </c>
      <c r="D197" s="264" cm="1">
        <f t="array" ref="D197">IFERROR(HorasUteisFabrica2Turnos(B197,C197), "")</f>
        <v>4.6666666666278616</v>
      </c>
      <c r="E197" s="265">
        <f t="shared" si="3"/>
        <v>555.42857143318997</v>
      </c>
      <c r="F197" s="266" t="s">
        <v>377</v>
      </c>
      <c r="G197" s="266" t="s">
        <v>362</v>
      </c>
      <c r="H197" s="266"/>
      <c r="I197" s="266" t="s">
        <v>391</v>
      </c>
      <c r="J197" s="268" t="s">
        <v>15</v>
      </c>
      <c r="K197" s="268">
        <v>2592</v>
      </c>
      <c r="L197" s="269" t="s">
        <v>211</v>
      </c>
      <c r="M197" s="270" t="str">
        <f>IFERROR(INDEX([1]Produtos!$C:$C,MATCH(L197,[1]Produtos!$B:$B,0)), "-")</f>
        <v>BODY SPLASH AURORA IMPERIAL</v>
      </c>
      <c r="N197" s="510">
        <f>IFERROR(INDEX([1]Produtos!$E:$E,MATCH(L197,[1]Produtos!$B:$B,0)), "-")</f>
        <v>220</v>
      </c>
      <c r="O197" s="270" t="str">
        <f>IFERROR(INDEX([1]Produtos!$F:$F,MATCH(L197,[1]Produtos!$B:$B,0)), "-")</f>
        <v>ml</v>
      </c>
      <c r="P197" s="270" t="str">
        <f>IFERROR(INDEX([1]Produtos!$G:$G,MATCH(L197,[1]Produtos!$B:$B,0)), "-")</f>
        <v>MISS RÔSE</v>
      </c>
      <c r="Q197" s="270" t="str">
        <f>IFERROR(INDEX([1]Produtos!$H:$H,MATCH(L197,[1]Produtos!$B:$B,0)), "-")</f>
        <v>PERFUMARIA</v>
      </c>
      <c r="R197" s="270" t="str">
        <f>IFERROR(INDEX([1]Produtos!$I:$I,MATCH(L197,[1]Produtos!$B:$B,0)), "-")</f>
        <v>BODY SPLASH</v>
      </c>
      <c r="S197" s="270" t="str">
        <f>IFERROR(INDEX([1]Produtos!$J:$J,MATCH(L197,[1]Produtos!$B:$B,0)), "-")</f>
        <v>LÍQUIDO</v>
      </c>
      <c r="T197" s="474"/>
      <c r="U197" s="270"/>
      <c r="V197" s="270"/>
      <c r="W197" s="270"/>
      <c r="X197" s="270"/>
      <c r="Y197" s="270"/>
      <c r="Z197" s="270"/>
      <c r="AA197" s="270"/>
      <c r="AB197" s="270"/>
      <c r="AC197" s="270"/>
      <c r="AD197" s="270"/>
      <c r="AE197" s="270"/>
      <c r="AF197" s="270"/>
      <c r="AG197" s="270"/>
      <c r="AH197" s="270"/>
      <c r="AI197" s="270"/>
      <c r="AJ197" s="270"/>
      <c r="AK197" s="270"/>
      <c r="AL197" s="270"/>
      <c r="AM197" s="663"/>
      <c r="AN197" s="663"/>
      <c r="AO197" s="708" t="str">
        <f>IF(OR(Table1[[#This Row],[Início Setup Envase]]="",Table1[[#This Row],[Final Setup Envase]]=""),"",Table1[[#This Row],[Final Setup Envase]]-Table1[[#This Row],[Início Setup Envase]])</f>
        <v/>
      </c>
      <c r="AP197" s="663"/>
      <c r="AQ197" s="663"/>
      <c r="AR197" s="270"/>
      <c r="AS197" s="270"/>
      <c r="AT197" s="270"/>
      <c r="AU197" s="270"/>
      <c r="AV197" s="270"/>
      <c r="AW197" s="270"/>
      <c r="AX197" s="270"/>
      <c r="AY197" s="270"/>
      <c r="AZ197" s="270"/>
      <c r="BA197" s="270">
        <f>IF(Table1[[#This Row],[Data de Início]]="","",YEAR(Table1[[#This Row],[Data de Início]]))</f>
        <v>2025</v>
      </c>
      <c r="BB197" s="270">
        <f>IF(Table1[[#This Row],[Data de Início]]="","",MONTH(Table1[[#This Row],[Data de Início]]))</f>
        <v>6</v>
      </c>
      <c r="BC197" s="270"/>
    </row>
    <row r="198" spans="2:55" ht="15" customHeight="1" x14ac:dyDescent="0.25">
      <c r="B198" s="470">
        <v>45833.625</v>
      </c>
      <c r="C198" s="263">
        <v>45834.368055555555</v>
      </c>
      <c r="D198" s="264" cm="1">
        <f t="array" ref="D198">IFERROR(HorasUteisFabrica2Turnos(B198,C198), "")</f>
        <v>3.8333333334303461</v>
      </c>
      <c r="E198" s="265">
        <f t="shared" si="3"/>
        <v>676.17391302636588</v>
      </c>
      <c r="F198" s="266" t="s">
        <v>377</v>
      </c>
      <c r="G198" s="266" t="s">
        <v>362</v>
      </c>
      <c r="H198" s="266"/>
      <c r="I198" s="266" t="s">
        <v>392</v>
      </c>
      <c r="J198" s="268" t="s">
        <v>15</v>
      </c>
      <c r="K198" s="268">
        <v>2592</v>
      </c>
      <c r="L198" s="269" t="s">
        <v>211</v>
      </c>
      <c r="M198" s="270" t="str">
        <f>IFERROR(INDEX([1]Produtos!$C:$C,MATCH(L198,[1]Produtos!$B:$B,0)), "-")</f>
        <v>BODY SPLASH AURORA IMPERIAL</v>
      </c>
      <c r="N198" s="510">
        <f>IFERROR(INDEX([1]Produtos!$E:$E,MATCH(L198,[1]Produtos!$B:$B,0)), "-")</f>
        <v>220</v>
      </c>
      <c r="O198" s="270" t="str">
        <f>IFERROR(INDEX([1]Produtos!$F:$F,MATCH(L198,[1]Produtos!$B:$B,0)), "-")</f>
        <v>ml</v>
      </c>
      <c r="P198" s="270" t="str">
        <f>IFERROR(INDEX([1]Produtos!$G:$G,MATCH(L198,[1]Produtos!$B:$B,0)), "-")</f>
        <v>MISS RÔSE</v>
      </c>
      <c r="Q198" s="270" t="str">
        <f>IFERROR(INDEX([1]Produtos!$H:$H,MATCH(L198,[1]Produtos!$B:$B,0)), "-")</f>
        <v>PERFUMARIA</v>
      </c>
      <c r="R198" s="270" t="str">
        <f>IFERROR(INDEX([1]Produtos!$I:$I,MATCH(L198,[1]Produtos!$B:$B,0)), "-")</f>
        <v>BODY SPLASH</v>
      </c>
      <c r="S198" s="270" t="str">
        <f>IFERROR(INDEX([1]Produtos!$J:$J,MATCH(L198,[1]Produtos!$B:$B,0)), "-")</f>
        <v>LÍQUIDO</v>
      </c>
      <c r="T198" s="474"/>
      <c r="U198" s="270"/>
      <c r="V198" s="270"/>
      <c r="W198" s="270"/>
      <c r="X198" s="270"/>
      <c r="Y198" s="270"/>
      <c r="Z198" s="270"/>
      <c r="AA198" s="270"/>
      <c r="AB198" s="270"/>
      <c r="AC198" s="270"/>
      <c r="AD198" s="270"/>
      <c r="AE198" s="270"/>
      <c r="AF198" s="270"/>
      <c r="AG198" s="270"/>
      <c r="AH198" s="270"/>
      <c r="AI198" s="270"/>
      <c r="AJ198" s="270"/>
      <c r="AK198" s="270"/>
      <c r="AL198" s="270"/>
      <c r="AM198" s="663"/>
      <c r="AN198" s="663"/>
      <c r="AO198" s="708" t="str">
        <f>IF(OR(Table1[[#This Row],[Início Setup Envase]]="",Table1[[#This Row],[Final Setup Envase]]=""),"",Table1[[#This Row],[Final Setup Envase]]-Table1[[#This Row],[Início Setup Envase]])</f>
        <v/>
      </c>
      <c r="AP198" s="663"/>
      <c r="AQ198" s="663"/>
      <c r="AR198" s="270"/>
      <c r="AS198" s="270"/>
      <c r="AT198" s="270"/>
      <c r="AU198" s="270"/>
      <c r="AV198" s="270"/>
      <c r="AW198" s="270"/>
      <c r="AX198" s="270"/>
      <c r="AY198" s="270"/>
      <c r="AZ198" s="270"/>
      <c r="BA198" s="270">
        <f>IF(Table1[[#This Row],[Data de Início]]="","",YEAR(Table1[[#This Row],[Data de Início]]))</f>
        <v>2025</v>
      </c>
      <c r="BB198" s="270">
        <f>IF(Table1[[#This Row],[Data de Início]]="","",MONTH(Table1[[#This Row],[Data de Início]]))</f>
        <v>6</v>
      </c>
      <c r="BC198" s="270"/>
    </row>
    <row r="199" spans="2:55" ht="15" customHeight="1" x14ac:dyDescent="0.25">
      <c r="B199" s="470">
        <v>45834</v>
      </c>
      <c r="C199" s="263">
        <v>45834</v>
      </c>
      <c r="D199" s="264" cm="1">
        <f t="array" ref="D199">IFERROR(HorasUteisFabrica2Turnos(B199,C199), "")</f>
        <v>0</v>
      </c>
      <c r="E199" s="265" t="str">
        <f t="shared" si="3"/>
        <v/>
      </c>
      <c r="F199" s="266" t="s">
        <v>378</v>
      </c>
      <c r="G199" s="266" t="s">
        <v>359</v>
      </c>
      <c r="H199" s="266"/>
      <c r="I199" s="269" t="s">
        <v>339</v>
      </c>
      <c r="J199" s="268" t="s">
        <v>15</v>
      </c>
      <c r="K199" s="268">
        <v>84</v>
      </c>
      <c r="L199" s="269" t="s">
        <v>240</v>
      </c>
      <c r="M199" s="270" t="str">
        <f>IFERROR(INDEX([1]Produtos!$C:$C,MATCH(L199,[1]Produtos!$B:$B,0)), "-")</f>
        <v>PERFUME FEMININO 16 COCO MADEMOISELLE</v>
      </c>
      <c r="N199" s="510">
        <f>IFERROR(INDEX([1]Produtos!$E:$E,MATCH(L199,[1]Produtos!$B:$B,0)), "-")</f>
        <v>50</v>
      </c>
      <c r="O199" s="270" t="str">
        <f>IFERROR(INDEX([1]Produtos!$F:$F,MATCH(L199,[1]Produtos!$B:$B,0)), "-")</f>
        <v>ml</v>
      </c>
      <c r="P199" s="270" t="str">
        <f>IFERROR(INDEX([1]Produtos!$G:$G,MATCH(L199,[1]Produtos!$B:$B,0)), "-")</f>
        <v>MOUTIER</v>
      </c>
      <c r="Q199" s="270" t="str">
        <f>IFERROR(INDEX([1]Produtos!$H:$H,MATCH(L199,[1]Produtos!$B:$B,0)), "-")</f>
        <v>PERFUMARIA</v>
      </c>
      <c r="R199" s="270" t="str">
        <f>IFERROR(INDEX([1]Produtos!$I:$I,MATCH(L199,[1]Produtos!$B:$B,0)), "-")</f>
        <v>PERFUME</v>
      </c>
      <c r="S199" s="270" t="str">
        <f>IFERROR(INDEX([1]Produtos!$J:$J,MATCH(L199,[1]Produtos!$B:$B,0)), "-")</f>
        <v>LÍQUIDO</v>
      </c>
      <c r="T199" s="474"/>
      <c r="U199" s="270"/>
      <c r="V199" s="270"/>
      <c r="W199" s="270"/>
      <c r="X199" s="270"/>
      <c r="Y199" s="270"/>
      <c r="Z199" s="270"/>
      <c r="AA199" s="270"/>
      <c r="AB199" s="270"/>
      <c r="AC199" s="270"/>
      <c r="AD199" s="270"/>
      <c r="AE199" s="270"/>
      <c r="AF199" s="270"/>
      <c r="AG199" s="270"/>
      <c r="AH199" s="270"/>
      <c r="AI199" s="270"/>
      <c r="AJ199" s="270"/>
      <c r="AK199" s="270"/>
      <c r="AL199" s="270"/>
      <c r="AM199" s="663"/>
      <c r="AN199" s="663"/>
      <c r="AO199" s="708" t="str">
        <f>IF(OR(Table1[[#This Row],[Início Setup Envase]]="",Table1[[#This Row],[Final Setup Envase]]=""),"",Table1[[#This Row],[Final Setup Envase]]-Table1[[#This Row],[Início Setup Envase]])</f>
        <v/>
      </c>
      <c r="AP199" s="663"/>
      <c r="AQ199" s="663"/>
      <c r="AR199" s="270"/>
      <c r="AS199" s="270"/>
      <c r="AT199" s="270"/>
      <c r="AU199" s="270"/>
      <c r="AV199" s="270"/>
      <c r="AW199" s="270"/>
      <c r="AX199" s="270"/>
      <c r="AY199" s="270"/>
      <c r="AZ199" s="270"/>
      <c r="BA199" s="270">
        <f>IF(Table1[[#This Row],[Data de Início]]="","",YEAR(Table1[[#This Row],[Data de Início]]))</f>
        <v>2025</v>
      </c>
      <c r="BB199" s="270">
        <f>IF(Table1[[#This Row],[Data de Início]]="","",MONTH(Table1[[#This Row],[Data de Início]]))</f>
        <v>6</v>
      </c>
      <c r="BC199" s="270"/>
    </row>
    <row r="200" spans="2:55" ht="15" customHeight="1" x14ac:dyDescent="0.25">
      <c r="B200" s="470">
        <v>45834</v>
      </c>
      <c r="C200" s="263">
        <v>45834</v>
      </c>
      <c r="D200" s="264" cm="1">
        <f t="array" ref="D200">IFERROR(HorasUteisFabrica2Turnos(B200,C200), "")</f>
        <v>0</v>
      </c>
      <c r="E200" s="265" t="str">
        <f t="shared" si="3"/>
        <v/>
      </c>
      <c r="F200" s="266" t="s">
        <v>378</v>
      </c>
      <c r="G200" s="266" t="s">
        <v>359</v>
      </c>
      <c r="H200" s="266"/>
      <c r="I200" s="269" t="s">
        <v>340</v>
      </c>
      <c r="J200" s="268" t="s">
        <v>15</v>
      </c>
      <c r="K200" s="268">
        <v>497</v>
      </c>
      <c r="L200" s="269" t="s">
        <v>241</v>
      </c>
      <c r="M200" s="270" t="str">
        <f>IFERROR(INDEX([1]Produtos!$C:$C,MATCH(L200,[1]Produtos!$B:$B,0)), "-")</f>
        <v>PERFUME FEMININO 18 AMOR AMOR</v>
      </c>
      <c r="N200" s="510">
        <f>IFERROR(INDEX([1]Produtos!$E:$E,MATCH(L200,[1]Produtos!$B:$B,0)), "-")</f>
        <v>50</v>
      </c>
      <c r="O200" s="270" t="str">
        <f>IFERROR(INDEX([1]Produtos!$F:$F,MATCH(L200,[1]Produtos!$B:$B,0)), "-")</f>
        <v>ml</v>
      </c>
      <c r="P200" s="270" t="str">
        <f>IFERROR(INDEX([1]Produtos!$G:$G,MATCH(L200,[1]Produtos!$B:$B,0)), "-")</f>
        <v>MOUTIER</v>
      </c>
      <c r="Q200" s="270" t="str">
        <f>IFERROR(INDEX([1]Produtos!$H:$H,MATCH(L200,[1]Produtos!$B:$B,0)), "-")</f>
        <v>PERFUMARIA</v>
      </c>
      <c r="R200" s="270" t="str">
        <f>IFERROR(INDEX([1]Produtos!$I:$I,MATCH(L200,[1]Produtos!$B:$B,0)), "-")</f>
        <v>PERFUME</v>
      </c>
      <c r="S200" s="270" t="str">
        <f>IFERROR(INDEX([1]Produtos!$J:$J,MATCH(L200,[1]Produtos!$B:$B,0)), "-")</f>
        <v>LÍQUIDO</v>
      </c>
      <c r="T200" s="474"/>
      <c r="U200" s="270"/>
      <c r="V200" s="270"/>
      <c r="W200" s="270"/>
      <c r="X200" s="270"/>
      <c r="Y200" s="270"/>
      <c r="Z200" s="270"/>
      <c r="AA200" s="270"/>
      <c r="AB200" s="270"/>
      <c r="AC200" s="270"/>
      <c r="AD200" s="270"/>
      <c r="AE200" s="270"/>
      <c r="AF200" s="270"/>
      <c r="AG200" s="270"/>
      <c r="AH200" s="270"/>
      <c r="AI200" s="270"/>
      <c r="AJ200" s="270"/>
      <c r="AK200" s="270"/>
      <c r="AL200" s="270"/>
      <c r="AM200" s="663"/>
      <c r="AN200" s="663"/>
      <c r="AO200" s="708" t="str">
        <f>IF(OR(Table1[[#This Row],[Início Setup Envase]]="",Table1[[#This Row],[Final Setup Envase]]=""),"",Table1[[#This Row],[Final Setup Envase]]-Table1[[#This Row],[Início Setup Envase]])</f>
        <v/>
      </c>
      <c r="AP200" s="663"/>
      <c r="AQ200" s="663"/>
      <c r="AR200" s="270"/>
      <c r="AS200" s="270"/>
      <c r="AT200" s="270"/>
      <c r="AU200" s="270"/>
      <c r="AV200" s="270"/>
      <c r="AW200" s="270"/>
      <c r="AX200" s="270"/>
      <c r="AY200" s="270"/>
      <c r="AZ200" s="270"/>
      <c r="BA200" s="270">
        <f>IF(Table1[[#This Row],[Data de Início]]="","",YEAR(Table1[[#This Row],[Data de Início]]))</f>
        <v>2025</v>
      </c>
      <c r="BB200" s="270">
        <f>IF(Table1[[#This Row],[Data de Início]]="","",MONTH(Table1[[#This Row],[Data de Início]]))</f>
        <v>6</v>
      </c>
      <c r="BC200" s="270"/>
    </row>
    <row r="201" spans="2:55" ht="15" customHeight="1" x14ac:dyDescent="0.25">
      <c r="B201" s="470">
        <v>45834</v>
      </c>
      <c r="C201" s="263">
        <v>45834</v>
      </c>
      <c r="D201" s="264" cm="1">
        <f t="array" ref="D201">IFERROR(HorasUteisFabrica2Turnos(B201,C201), "")</f>
        <v>0</v>
      </c>
      <c r="E201" s="265" t="str">
        <f t="shared" si="3"/>
        <v/>
      </c>
      <c r="F201" s="266" t="s">
        <v>378</v>
      </c>
      <c r="G201" s="266" t="s">
        <v>359</v>
      </c>
      <c r="H201" s="266"/>
      <c r="I201" s="269" t="s">
        <v>341</v>
      </c>
      <c r="J201" s="268" t="s">
        <v>15</v>
      </c>
      <c r="K201" s="269">
        <v>507</v>
      </c>
      <c r="L201" s="269" t="s">
        <v>242</v>
      </c>
      <c r="M201" s="270" t="str">
        <f>IFERROR(INDEX([1]Produtos!$C:$C,MATCH(L201,[1]Produtos!$B:$B,0)), "-")</f>
        <v>PERFUME FEMININO 31 L'INTERDIT ROUGE</v>
      </c>
      <c r="N201" s="510">
        <f>IFERROR(INDEX([1]Produtos!$E:$E,MATCH(L201,[1]Produtos!$B:$B,0)), "-")</f>
        <v>50</v>
      </c>
      <c r="O201" s="270" t="str">
        <f>IFERROR(INDEX([1]Produtos!$F:$F,MATCH(L201,[1]Produtos!$B:$B,0)), "-")</f>
        <v>ml</v>
      </c>
      <c r="P201" s="270" t="str">
        <f>IFERROR(INDEX([1]Produtos!$G:$G,MATCH(L201,[1]Produtos!$B:$B,0)), "-")</f>
        <v>MOUTIER</v>
      </c>
      <c r="Q201" s="270" t="str">
        <f>IFERROR(INDEX([1]Produtos!$H:$H,MATCH(L201,[1]Produtos!$B:$B,0)), "-")</f>
        <v>PERFUMARIA</v>
      </c>
      <c r="R201" s="270" t="str">
        <f>IFERROR(INDEX([1]Produtos!$I:$I,MATCH(L201,[1]Produtos!$B:$B,0)), "-")</f>
        <v>PERFUME</v>
      </c>
      <c r="S201" s="270" t="str">
        <f>IFERROR(INDEX([1]Produtos!$J:$J,MATCH(L201,[1]Produtos!$B:$B,0)), "-")</f>
        <v>LÍQUIDO</v>
      </c>
      <c r="T201" s="474"/>
      <c r="U201" s="270"/>
      <c r="V201" s="270"/>
      <c r="W201" s="270"/>
      <c r="X201" s="270"/>
      <c r="Y201" s="270"/>
      <c r="Z201" s="270"/>
      <c r="AA201" s="270"/>
      <c r="AB201" s="270"/>
      <c r="AC201" s="270"/>
      <c r="AD201" s="270"/>
      <c r="AE201" s="270"/>
      <c r="AF201" s="270"/>
      <c r="AG201" s="270"/>
      <c r="AH201" s="270"/>
      <c r="AI201" s="270"/>
      <c r="AJ201" s="270"/>
      <c r="AK201" s="270"/>
      <c r="AL201" s="270"/>
      <c r="AM201" s="663"/>
      <c r="AN201" s="663"/>
      <c r="AO201" s="708" t="str">
        <f>IF(OR(Table1[[#This Row],[Início Setup Envase]]="",Table1[[#This Row],[Final Setup Envase]]=""),"",Table1[[#This Row],[Final Setup Envase]]-Table1[[#This Row],[Início Setup Envase]])</f>
        <v/>
      </c>
      <c r="AP201" s="663"/>
      <c r="AQ201" s="663"/>
      <c r="AR201" s="270"/>
      <c r="AS201" s="270"/>
      <c r="AT201" s="270"/>
      <c r="AU201" s="270"/>
      <c r="AV201" s="270"/>
      <c r="AW201" s="270"/>
      <c r="AX201" s="270"/>
      <c r="AY201" s="270"/>
      <c r="AZ201" s="270"/>
      <c r="BA201" s="270">
        <f>IF(Table1[[#This Row],[Data de Início]]="","",YEAR(Table1[[#This Row],[Data de Início]]))</f>
        <v>2025</v>
      </c>
      <c r="BB201" s="270">
        <f>IF(Table1[[#This Row],[Data de Início]]="","",MONTH(Table1[[#This Row],[Data de Início]]))</f>
        <v>6</v>
      </c>
      <c r="BC201" s="270"/>
    </row>
    <row r="202" spans="2:55" ht="15" customHeight="1" x14ac:dyDescent="0.25">
      <c r="B202" s="470">
        <v>45834.368055555555</v>
      </c>
      <c r="C202" s="263">
        <v>45835.366666666669</v>
      </c>
      <c r="D202" s="264" cm="1">
        <f t="array" ref="D202">IFERROR(HorasUteisFabrica2Turnos(B202,C202), "")</f>
        <v>8.9666666668490507</v>
      </c>
      <c r="E202" s="265">
        <f t="shared" si="3"/>
        <v>289.07063196438048</v>
      </c>
      <c r="F202" s="266" t="s">
        <v>377</v>
      </c>
      <c r="G202" s="266" t="s">
        <v>362</v>
      </c>
      <c r="H202" s="266"/>
      <c r="I202" s="266" t="s">
        <v>393</v>
      </c>
      <c r="J202" s="268" t="s">
        <v>15</v>
      </c>
      <c r="K202" s="268">
        <v>2592</v>
      </c>
      <c r="L202" s="269" t="s">
        <v>211</v>
      </c>
      <c r="M202" s="270" t="str">
        <f>IFERROR(INDEX([1]Produtos!$C:$C,MATCH(L202,[1]Produtos!$B:$B,0)), "-")</f>
        <v>BODY SPLASH AURORA IMPERIAL</v>
      </c>
      <c r="N202" s="510">
        <f>IFERROR(INDEX([1]Produtos!$E:$E,MATCH(L202,[1]Produtos!$B:$B,0)), "-")</f>
        <v>220</v>
      </c>
      <c r="O202" s="270" t="str">
        <f>IFERROR(INDEX([1]Produtos!$F:$F,MATCH(L202,[1]Produtos!$B:$B,0)), "-")</f>
        <v>ml</v>
      </c>
      <c r="P202" s="270" t="str">
        <f>IFERROR(INDEX([1]Produtos!$G:$G,MATCH(L202,[1]Produtos!$B:$B,0)), "-")</f>
        <v>MISS RÔSE</v>
      </c>
      <c r="Q202" s="270" t="str">
        <f>IFERROR(INDEX([1]Produtos!$H:$H,MATCH(L202,[1]Produtos!$B:$B,0)), "-")</f>
        <v>PERFUMARIA</v>
      </c>
      <c r="R202" s="270" t="str">
        <f>IFERROR(INDEX([1]Produtos!$I:$I,MATCH(L202,[1]Produtos!$B:$B,0)), "-")</f>
        <v>BODY SPLASH</v>
      </c>
      <c r="S202" s="270" t="str">
        <f>IFERROR(INDEX([1]Produtos!$J:$J,MATCH(L202,[1]Produtos!$B:$B,0)), "-")</f>
        <v>LÍQUIDO</v>
      </c>
      <c r="T202" s="474"/>
      <c r="U202" s="270"/>
      <c r="V202" s="270"/>
      <c r="W202" s="270"/>
      <c r="X202" s="270"/>
      <c r="Y202" s="270"/>
      <c r="Z202" s="270"/>
      <c r="AA202" s="270"/>
      <c r="AB202" s="270"/>
      <c r="AC202" s="270"/>
      <c r="AD202" s="270"/>
      <c r="AE202" s="270"/>
      <c r="AF202" s="270"/>
      <c r="AG202" s="270"/>
      <c r="AH202" s="270"/>
      <c r="AI202" s="270"/>
      <c r="AJ202" s="270"/>
      <c r="AK202" s="270"/>
      <c r="AL202" s="270"/>
      <c r="AM202" s="663"/>
      <c r="AN202" s="663"/>
      <c r="AO202" s="708" t="str">
        <f>IF(OR(Table1[[#This Row],[Início Setup Envase]]="",Table1[[#This Row],[Final Setup Envase]]=""),"",Table1[[#This Row],[Final Setup Envase]]-Table1[[#This Row],[Início Setup Envase]])</f>
        <v/>
      </c>
      <c r="AP202" s="663"/>
      <c r="AQ202" s="663"/>
      <c r="AR202" s="270"/>
      <c r="AS202" s="270"/>
      <c r="AT202" s="270"/>
      <c r="AU202" s="270"/>
      <c r="AV202" s="270"/>
      <c r="AW202" s="270"/>
      <c r="AX202" s="270"/>
      <c r="AY202" s="270"/>
      <c r="AZ202" s="270"/>
      <c r="BA202" s="270">
        <f>IF(Table1[[#This Row],[Data de Início]]="","",YEAR(Table1[[#This Row],[Data de Início]]))</f>
        <v>2025</v>
      </c>
      <c r="BB202" s="270">
        <f>IF(Table1[[#This Row],[Data de Início]]="","",MONTH(Table1[[#This Row],[Data de Início]]))</f>
        <v>6</v>
      </c>
      <c r="BC202" s="270"/>
    </row>
    <row r="203" spans="2:55" ht="15" customHeight="1" x14ac:dyDescent="0.25">
      <c r="B203" s="470">
        <v>45835</v>
      </c>
      <c r="C203" s="263">
        <v>45835</v>
      </c>
      <c r="D203" s="264" cm="1">
        <f t="array" ref="D203">IFERROR(HorasUteisFabrica2Turnos(B203,C203), "")</f>
        <v>0</v>
      </c>
      <c r="E203" s="265" t="str">
        <f t="shared" si="3"/>
        <v/>
      </c>
      <c r="F203" s="266" t="s">
        <v>378</v>
      </c>
      <c r="G203" s="266" t="s">
        <v>359</v>
      </c>
      <c r="H203" s="266"/>
      <c r="I203" s="269" t="s">
        <v>335</v>
      </c>
      <c r="J203" s="267" t="s">
        <v>15</v>
      </c>
      <c r="K203" s="269">
        <v>512</v>
      </c>
      <c r="L203" s="269" t="s">
        <v>223</v>
      </c>
      <c r="M203" s="270" t="str">
        <f>IFERROR(INDEX([1]Produtos!$C:$C,MATCH(L203,[1]Produtos!$B:$B,0)), "-")</f>
        <v>PERFUME MASCULINO 103 BOSS BOTTLED</v>
      </c>
      <c r="N203" s="510">
        <f>IFERROR(INDEX([1]Produtos!$E:$E,MATCH(L203,[1]Produtos!$B:$B,0)), "-")</f>
        <v>50</v>
      </c>
      <c r="O203" s="270" t="str">
        <f>IFERROR(INDEX([1]Produtos!$F:$F,MATCH(L203,[1]Produtos!$B:$B,0)), "-")</f>
        <v>ml</v>
      </c>
      <c r="P203" s="270" t="str">
        <f>IFERROR(INDEX([1]Produtos!$G:$G,MATCH(L203,[1]Produtos!$B:$B,0)), "-")</f>
        <v>MOUTIER</v>
      </c>
      <c r="Q203" s="270" t="str">
        <f>IFERROR(INDEX([1]Produtos!$H:$H,MATCH(L203,[1]Produtos!$B:$B,0)), "-")</f>
        <v>PERFUMARIA</v>
      </c>
      <c r="R203" s="270" t="str">
        <f>IFERROR(INDEX([1]Produtos!$I:$I,MATCH(L203,[1]Produtos!$B:$B,0)), "-")</f>
        <v>PERFUME</v>
      </c>
      <c r="S203" s="270" t="str">
        <f>IFERROR(INDEX([1]Produtos!$J:$J,MATCH(L203,[1]Produtos!$B:$B,0)), "-")</f>
        <v>LÍQUIDO</v>
      </c>
      <c r="T203" s="474"/>
      <c r="U203" s="270"/>
      <c r="V203" s="270"/>
      <c r="W203" s="270"/>
      <c r="X203" s="270"/>
      <c r="Y203" s="270"/>
      <c r="Z203" s="270"/>
      <c r="AA203" s="270"/>
      <c r="AB203" s="270"/>
      <c r="AC203" s="270"/>
      <c r="AD203" s="270"/>
      <c r="AE203" s="270"/>
      <c r="AF203" s="270"/>
      <c r="AG203" s="270"/>
      <c r="AH203" s="270"/>
      <c r="AI203" s="270"/>
      <c r="AJ203" s="270"/>
      <c r="AK203" s="270"/>
      <c r="AL203" s="270"/>
      <c r="AM203" s="663"/>
      <c r="AN203" s="663"/>
      <c r="AO203" s="708" t="str">
        <f>IF(OR(Table1[[#This Row],[Início Setup Envase]]="",Table1[[#This Row],[Final Setup Envase]]=""),"",Table1[[#This Row],[Final Setup Envase]]-Table1[[#This Row],[Início Setup Envase]])</f>
        <v/>
      </c>
      <c r="AP203" s="663"/>
      <c r="AQ203" s="663"/>
      <c r="AR203" s="270"/>
      <c r="AS203" s="270"/>
      <c r="AT203" s="270"/>
      <c r="AU203" s="270"/>
      <c r="AV203" s="270"/>
      <c r="AW203" s="270"/>
      <c r="AX203" s="270"/>
      <c r="AY203" s="270"/>
      <c r="AZ203" s="270"/>
      <c r="BA203" s="270">
        <f>IF(Table1[[#This Row],[Data de Início]]="","",YEAR(Table1[[#This Row],[Data de Início]]))</f>
        <v>2025</v>
      </c>
      <c r="BB203" s="270">
        <f>IF(Table1[[#This Row],[Data de Início]]="","",MONTH(Table1[[#This Row],[Data de Início]]))</f>
        <v>6</v>
      </c>
      <c r="BC203" s="270"/>
    </row>
    <row r="204" spans="2:55" ht="15" customHeight="1" x14ac:dyDescent="0.25">
      <c r="B204" s="470">
        <v>45835</v>
      </c>
      <c r="C204" s="263">
        <v>45835</v>
      </c>
      <c r="D204" s="264" cm="1">
        <f t="array" ref="D204">IFERROR(HorasUteisFabrica2Turnos(B204,C204), "")</f>
        <v>0</v>
      </c>
      <c r="E204" s="265" t="str">
        <f t="shared" si="3"/>
        <v/>
      </c>
      <c r="F204" s="266" t="s">
        <v>378</v>
      </c>
      <c r="G204" s="266" t="s">
        <v>359</v>
      </c>
      <c r="H204" s="266"/>
      <c r="I204" s="269" t="s">
        <v>342</v>
      </c>
      <c r="J204" s="267" t="s">
        <v>15</v>
      </c>
      <c r="K204" s="269">
        <v>516</v>
      </c>
      <c r="L204" s="269" t="s">
        <v>226</v>
      </c>
      <c r="M204" s="270" t="str">
        <f>IFERROR(INDEX([1]Produtos!$C:$C,MATCH(L204,[1]Produtos!$B:$B,0)), "-")</f>
        <v>PERFUME MASCULINO 110 ONE MILLION</v>
      </c>
      <c r="N204" s="510">
        <f>IFERROR(INDEX([1]Produtos!$E:$E,MATCH(L204,[1]Produtos!$B:$B,0)), "-")</f>
        <v>50</v>
      </c>
      <c r="O204" s="270" t="str">
        <f>IFERROR(INDEX([1]Produtos!$F:$F,MATCH(L204,[1]Produtos!$B:$B,0)), "-")</f>
        <v>ml</v>
      </c>
      <c r="P204" s="270" t="str">
        <f>IFERROR(INDEX([1]Produtos!$G:$G,MATCH(L204,[1]Produtos!$B:$B,0)), "-")</f>
        <v>MOUTIER</v>
      </c>
      <c r="Q204" s="270" t="str">
        <f>IFERROR(INDEX([1]Produtos!$H:$H,MATCH(L204,[1]Produtos!$B:$B,0)), "-")</f>
        <v>PERFUMARIA</v>
      </c>
      <c r="R204" s="270" t="str">
        <f>IFERROR(INDEX([1]Produtos!$I:$I,MATCH(L204,[1]Produtos!$B:$B,0)), "-")</f>
        <v>PERFUME</v>
      </c>
      <c r="S204" s="270" t="str">
        <f>IFERROR(INDEX([1]Produtos!$J:$J,MATCH(L204,[1]Produtos!$B:$B,0)), "-")</f>
        <v>LÍQUIDO</v>
      </c>
      <c r="T204" s="474"/>
      <c r="U204" s="270"/>
      <c r="V204" s="270"/>
      <c r="W204" s="270"/>
      <c r="X204" s="270"/>
      <c r="Y204" s="270"/>
      <c r="Z204" s="270"/>
      <c r="AA204" s="270"/>
      <c r="AB204" s="270"/>
      <c r="AC204" s="270"/>
      <c r="AD204" s="270"/>
      <c r="AE204" s="270"/>
      <c r="AF204" s="270"/>
      <c r="AG204" s="270"/>
      <c r="AH204" s="270"/>
      <c r="AI204" s="270"/>
      <c r="AJ204" s="270"/>
      <c r="AK204" s="270"/>
      <c r="AL204" s="270"/>
      <c r="AM204" s="663"/>
      <c r="AN204" s="663"/>
      <c r="AO204" s="708" t="str">
        <f>IF(OR(Table1[[#This Row],[Início Setup Envase]]="",Table1[[#This Row],[Final Setup Envase]]=""),"",Table1[[#This Row],[Final Setup Envase]]-Table1[[#This Row],[Início Setup Envase]])</f>
        <v/>
      </c>
      <c r="AP204" s="663"/>
      <c r="AQ204" s="663"/>
      <c r="AR204" s="270"/>
      <c r="AS204" s="270"/>
      <c r="AT204" s="270"/>
      <c r="AU204" s="270"/>
      <c r="AV204" s="270"/>
      <c r="AW204" s="270"/>
      <c r="AX204" s="270"/>
      <c r="AY204" s="270"/>
      <c r="AZ204" s="270"/>
      <c r="BA204" s="270">
        <f>IF(Table1[[#This Row],[Data de Início]]="","",YEAR(Table1[[#This Row],[Data de Início]]))</f>
        <v>2025</v>
      </c>
      <c r="BB204" s="270">
        <f>IF(Table1[[#This Row],[Data de Início]]="","",MONTH(Table1[[#This Row],[Data de Início]]))</f>
        <v>6</v>
      </c>
      <c r="BC204" s="270"/>
    </row>
    <row r="205" spans="2:55" ht="15" customHeight="1" x14ac:dyDescent="0.25">
      <c r="B205" s="470">
        <v>45835</v>
      </c>
      <c r="C205" s="263">
        <v>45835</v>
      </c>
      <c r="D205" s="264" cm="1">
        <f t="array" ref="D205">IFERROR(HorasUteisFabrica2Turnos(B205,C205), "")</f>
        <v>0</v>
      </c>
      <c r="E205" s="265" t="str">
        <f t="shared" si="3"/>
        <v/>
      </c>
      <c r="F205" s="266" t="s">
        <v>378</v>
      </c>
      <c r="G205" s="266" t="s">
        <v>359</v>
      </c>
      <c r="H205" s="266"/>
      <c r="I205" s="269" t="s">
        <v>343</v>
      </c>
      <c r="J205" s="267" t="s">
        <v>15</v>
      </c>
      <c r="K205" s="269">
        <v>500</v>
      </c>
      <c r="L205" s="269" t="s">
        <v>227</v>
      </c>
      <c r="M205" s="270" t="str">
        <f>IFERROR(INDEX([1]Produtos!$C:$C,MATCH(L205,[1]Produtos!$B:$B,0)), "-")</f>
        <v>PERFUME MASCULINO 113 AZZARO WANTED</v>
      </c>
      <c r="N205" s="510">
        <f>IFERROR(INDEX([1]Produtos!$E:$E,MATCH(L205,[1]Produtos!$B:$B,0)), "-")</f>
        <v>50</v>
      </c>
      <c r="O205" s="270" t="str">
        <f>IFERROR(INDEX([1]Produtos!$F:$F,MATCH(L205,[1]Produtos!$B:$B,0)), "-")</f>
        <v>ml</v>
      </c>
      <c r="P205" s="270" t="str">
        <f>IFERROR(INDEX([1]Produtos!$G:$G,MATCH(L205,[1]Produtos!$B:$B,0)), "-")</f>
        <v>MOUTIER</v>
      </c>
      <c r="Q205" s="270" t="str">
        <f>IFERROR(INDEX([1]Produtos!$H:$H,MATCH(L205,[1]Produtos!$B:$B,0)), "-")</f>
        <v>PERFUMARIA</v>
      </c>
      <c r="R205" s="270" t="str">
        <f>IFERROR(INDEX([1]Produtos!$I:$I,MATCH(L205,[1]Produtos!$B:$B,0)), "-")</f>
        <v>PERFUME</v>
      </c>
      <c r="S205" s="270" t="str">
        <f>IFERROR(INDEX([1]Produtos!$J:$J,MATCH(L205,[1]Produtos!$B:$B,0)), "-")</f>
        <v>LÍQUIDO</v>
      </c>
      <c r="T205" s="474"/>
      <c r="U205" s="270"/>
      <c r="V205" s="270"/>
      <c r="W205" s="270"/>
      <c r="X205" s="270"/>
      <c r="Y205" s="270"/>
      <c r="Z205" s="270"/>
      <c r="AA205" s="270"/>
      <c r="AB205" s="270"/>
      <c r="AC205" s="270"/>
      <c r="AD205" s="270"/>
      <c r="AE205" s="270"/>
      <c r="AF205" s="270"/>
      <c r="AG205" s="270"/>
      <c r="AH205" s="270"/>
      <c r="AI205" s="270"/>
      <c r="AJ205" s="270"/>
      <c r="AK205" s="270"/>
      <c r="AL205" s="270"/>
      <c r="AM205" s="663"/>
      <c r="AN205" s="663"/>
      <c r="AO205" s="708" t="str">
        <f>IF(OR(Table1[[#This Row],[Início Setup Envase]]="",Table1[[#This Row],[Final Setup Envase]]=""),"",Table1[[#This Row],[Final Setup Envase]]-Table1[[#This Row],[Início Setup Envase]])</f>
        <v/>
      </c>
      <c r="AP205" s="663"/>
      <c r="AQ205" s="663"/>
      <c r="AR205" s="270"/>
      <c r="AS205" s="270"/>
      <c r="AT205" s="270"/>
      <c r="AU205" s="270"/>
      <c r="AV205" s="270"/>
      <c r="AW205" s="270"/>
      <c r="AX205" s="270"/>
      <c r="AY205" s="270"/>
      <c r="AZ205" s="270"/>
      <c r="BA205" s="270">
        <f>IF(Table1[[#This Row],[Data de Início]]="","",YEAR(Table1[[#This Row],[Data de Início]]))</f>
        <v>2025</v>
      </c>
      <c r="BB205" s="270">
        <f>IF(Table1[[#This Row],[Data de Início]]="","",MONTH(Table1[[#This Row],[Data de Início]]))</f>
        <v>6</v>
      </c>
      <c r="BC205" s="270"/>
    </row>
    <row r="206" spans="2:55" ht="15" customHeight="1" x14ac:dyDescent="0.25">
      <c r="B206" s="470">
        <v>45838</v>
      </c>
      <c r="C206" s="263">
        <v>45838</v>
      </c>
      <c r="D206" s="264" cm="1">
        <f t="array" ref="D206">IFERROR(HorasUteisFabrica2Turnos(B206,C206), "")</f>
        <v>0</v>
      </c>
      <c r="E206" s="265" t="str">
        <f t="shared" si="3"/>
        <v/>
      </c>
      <c r="F206" s="266" t="s">
        <v>378</v>
      </c>
      <c r="G206" s="266" t="s">
        <v>359</v>
      </c>
      <c r="H206" s="266"/>
      <c r="I206" s="269" t="s">
        <v>347</v>
      </c>
      <c r="J206" s="267" t="s">
        <v>15</v>
      </c>
      <c r="K206" s="268">
        <v>516</v>
      </c>
      <c r="L206" s="269" t="s">
        <v>230</v>
      </c>
      <c r="M206" s="270" t="str">
        <f>IFERROR(INDEX([1]Produtos!$C:$C,MATCH(L206,[1]Produtos!$B:$B,0)), "-")</f>
        <v>PERFUME MASCULINO 118 CH BAD BOY</v>
      </c>
      <c r="N206" s="510">
        <f>IFERROR(INDEX([1]Produtos!$E:$E,MATCH(L206,[1]Produtos!$B:$B,0)), "-")</f>
        <v>50</v>
      </c>
      <c r="O206" s="270" t="str">
        <f>IFERROR(INDEX([1]Produtos!$F:$F,MATCH(L206,[1]Produtos!$B:$B,0)), "-")</f>
        <v>ml</v>
      </c>
      <c r="P206" s="270" t="str">
        <f>IFERROR(INDEX([1]Produtos!$G:$G,MATCH(L206,[1]Produtos!$B:$B,0)), "-")</f>
        <v>MOUTIER</v>
      </c>
      <c r="Q206" s="270" t="str">
        <f>IFERROR(INDEX([1]Produtos!$H:$H,MATCH(L206,[1]Produtos!$B:$B,0)), "-")</f>
        <v>PERFUMARIA</v>
      </c>
      <c r="R206" s="270" t="str">
        <f>IFERROR(INDEX([1]Produtos!$I:$I,MATCH(L206,[1]Produtos!$B:$B,0)), "-")</f>
        <v>PERFUME</v>
      </c>
      <c r="S206" s="270" t="str">
        <f>IFERROR(INDEX([1]Produtos!$J:$J,MATCH(L206,[1]Produtos!$B:$B,0)), "-")</f>
        <v>LÍQUIDO</v>
      </c>
      <c r="T206" s="474"/>
      <c r="U206" s="270"/>
      <c r="V206" s="270"/>
      <c r="W206" s="270"/>
      <c r="X206" s="270"/>
      <c r="Y206" s="270"/>
      <c r="Z206" s="270"/>
      <c r="AA206" s="270"/>
      <c r="AB206" s="270"/>
      <c r="AC206" s="270"/>
      <c r="AD206" s="270"/>
      <c r="AE206" s="270"/>
      <c r="AF206" s="270"/>
      <c r="AG206" s="270"/>
      <c r="AH206" s="270"/>
      <c r="AI206" s="270"/>
      <c r="AJ206" s="270"/>
      <c r="AK206" s="270"/>
      <c r="AL206" s="270"/>
      <c r="AM206" s="663"/>
      <c r="AN206" s="663"/>
      <c r="AO206" s="708" t="str">
        <f>IF(OR(Table1[[#This Row],[Início Setup Envase]]="",Table1[[#This Row],[Final Setup Envase]]=""),"",Table1[[#This Row],[Final Setup Envase]]-Table1[[#This Row],[Início Setup Envase]])</f>
        <v/>
      </c>
      <c r="AP206" s="663"/>
      <c r="AQ206" s="663"/>
      <c r="AR206" s="270"/>
      <c r="AS206" s="270"/>
      <c r="AT206" s="270"/>
      <c r="AU206" s="270"/>
      <c r="AV206" s="270"/>
      <c r="AW206" s="270"/>
      <c r="AX206" s="270"/>
      <c r="AY206" s="270"/>
      <c r="AZ206" s="270"/>
      <c r="BA206" s="270">
        <f>IF(Table1[[#This Row],[Data de Início]]="","",YEAR(Table1[[#This Row],[Data de Início]]))</f>
        <v>2025</v>
      </c>
      <c r="BB206" s="270">
        <f>IF(Table1[[#This Row],[Data de Início]]="","",MONTH(Table1[[#This Row],[Data de Início]]))</f>
        <v>6</v>
      </c>
      <c r="BC206" s="270"/>
    </row>
    <row r="207" spans="2:55" ht="15" customHeight="1" x14ac:dyDescent="0.25">
      <c r="B207" s="470">
        <v>45838</v>
      </c>
      <c r="C207" s="263">
        <v>45838</v>
      </c>
      <c r="D207" s="264" cm="1">
        <f t="array" ref="D207">IFERROR(HorasUteisFabrica2Turnos(B207,C207), "")</f>
        <v>0</v>
      </c>
      <c r="E207" s="265" t="str">
        <f t="shared" si="3"/>
        <v/>
      </c>
      <c r="F207" s="266" t="s">
        <v>378</v>
      </c>
      <c r="G207" s="266" t="s">
        <v>359</v>
      </c>
      <c r="H207" s="266"/>
      <c r="I207" s="269" t="s">
        <v>344</v>
      </c>
      <c r="J207" s="267" t="s">
        <v>15</v>
      </c>
      <c r="K207" s="268">
        <v>508</v>
      </c>
      <c r="L207" s="269" t="s">
        <v>228</v>
      </c>
      <c r="M207" s="270" t="str">
        <f>IFERROR(INDEX([1]Produtos!$C:$C,MATCH(L207,[1]Produtos!$B:$B,0)), "-")</f>
        <v>PERFUME MASCULINO 115 BLEU DE CHANEL</v>
      </c>
      <c r="N207" s="510">
        <f>IFERROR(INDEX([1]Produtos!$E:$E,MATCH(L207,[1]Produtos!$B:$B,0)), "-")</f>
        <v>50</v>
      </c>
      <c r="O207" s="270" t="str">
        <f>IFERROR(INDEX([1]Produtos!$F:$F,MATCH(L207,[1]Produtos!$B:$B,0)), "-")</f>
        <v>ml</v>
      </c>
      <c r="P207" s="270" t="str">
        <f>IFERROR(INDEX([1]Produtos!$G:$G,MATCH(L207,[1]Produtos!$B:$B,0)), "-")</f>
        <v>MOUTIER</v>
      </c>
      <c r="Q207" s="270" t="str">
        <f>IFERROR(INDEX([1]Produtos!$H:$H,MATCH(L207,[1]Produtos!$B:$B,0)), "-")</f>
        <v>PERFUMARIA</v>
      </c>
      <c r="R207" s="270" t="str">
        <f>IFERROR(INDEX([1]Produtos!$I:$I,MATCH(L207,[1]Produtos!$B:$B,0)), "-")</f>
        <v>PERFUME</v>
      </c>
      <c r="S207" s="270" t="str">
        <f>IFERROR(INDEX([1]Produtos!$J:$J,MATCH(L207,[1]Produtos!$B:$B,0)), "-")</f>
        <v>LÍQUIDO</v>
      </c>
      <c r="T207" s="474"/>
      <c r="U207" s="270"/>
      <c r="V207" s="270"/>
      <c r="W207" s="270"/>
      <c r="X207" s="270"/>
      <c r="Y207" s="270"/>
      <c r="Z207" s="270"/>
      <c r="AA207" s="270"/>
      <c r="AB207" s="270"/>
      <c r="AC207" s="270"/>
      <c r="AD207" s="270"/>
      <c r="AE207" s="270"/>
      <c r="AF207" s="270"/>
      <c r="AG207" s="270"/>
      <c r="AH207" s="270"/>
      <c r="AI207" s="270"/>
      <c r="AJ207" s="270"/>
      <c r="AK207" s="270"/>
      <c r="AL207" s="270"/>
      <c r="AM207" s="663"/>
      <c r="AN207" s="663"/>
      <c r="AO207" s="708" t="str">
        <f>IF(OR(Table1[[#This Row],[Início Setup Envase]]="",Table1[[#This Row],[Final Setup Envase]]=""),"",Table1[[#This Row],[Final Setup Envase]]-Table1[[#This Row],[Início Setup Envase]])</f>
        <v/>
      </c>
      <c r="AP207" s="663"/>
      <c r="AQ207" s="663"/>
      <c r="AR207" s="270"/>
      <c r="AS207" s="270"/>
      <c r="AT207" s="270"/>
      <c r="AU207" s="270"/>
      <c r="AV207" s="270"/>
      <c r="AW207" s="270"/>
      <c r="AX207" s="270"/>
      <c r="AY207" s="270"/>
      <c r="AZ207" s="270"/>
      <c r="BA207" s="270">
        <f>IF(Table1[[#This Row],[Data de Início]]="","",YEAR(Table1[[#This Row],[Data de Início]]))</f>
        <v>2025</v>
      </c>
      <c r="BB207" s="270">
        <f>IF(Table1[[#This Row],[Data de Início]]="","",MONTH(Table1[[#This Row],[Data de Início]]))</f>
        <v>6</v>
      </c>
      <c r="BC207" s="270"/>
    </row>
    <row r="208" spans="2:55" ht="15" customHeight="1" x14ac:dyDescent="0.25">
      <c r="B208" s="470">
        <v>45838</v>
      </c>
      <c r="C208" s="263">
        <v>45838</v>
      </c>
      <c r="D208" s="264" cm="1">
        <f t="array" ref="D208">IFERROR(HorasUteisFabrica2Turnos(B208,C208), "")</f>
        <v>0</v>
      </c>
      <c r="E208" s="265" t="str">
        <f t="shared" si="3"/>
        <v/>
      </c>
      <c r="F208" s="266" t="s">
        <v>378</v>
      </c>
      <c r="G208" s="266" t="s">
        <v>359</v>
      </c>
      <c r="H208" s="266"/>
      <c r="I208" s="269" t="s">
        <v>346</v>
      </c>
      <c r="J208" s="267" t="s">
        <v>15</v>
      </c>
      <c r="K208" s="268">
        <v>519</v>
      </c>
      <c r="L208" s="269" t="s">
        <v>229</v>
      </c>
      <c r="M208" s="270" t="str">
        <f>IFERROR(INDEX([1]Produtos!$C:$C,MATCH(L208,[1]Produtos!$B:$B,0)), "-")</f>
        <v>PERFUME MASCULINO 117 INVICTUS</v>
      </c>
      <c r="N208" s="510">
        <f>IFERROR(INDEX([1]Produtos!$E:$E,MATCH(L208,[1]Produtos!$B:$B,0)), "-")</f>
        <v>50</v>
      </c>
      <c r="O208" s="270" t="str">
        <f>IFERROR(INDEX([1]Produtos!$F:$F,MATCH(L208,[1]Produtos!$B:$B,0)), "-")</f>
        <v>ml</v>
      </c>
      <c r="P208" s="270" t="str">
        <f>IFERROR(INDEX([1]Produtos!$G:$G,MATCH(L208,[1]Produtos!$B:$B,0)), "-")</f>
        <v>MOUTIER</v>
      </c>
      <c r="Q208" s="270" t="str">
        <f>IFERROR(INDEX([1]Produtos!$H:$H,MATCH(L208,[1]Produtos!$B:$B,0)), "-")</f>
        <v>PERFUMARIA</v>
      </c>
      <c r="R208" s="270" t="str">
        <f>IFERROR(INDEX([1]Produtos!$I:$I,MATCH(L208,[1]Produtos!$B:$B,0)), "-")</f>
        <v>PERFUME</v>
      </c>
      <c r="S208" s="270" t="str">
        <f>IFERROR(INDEX([1]Produtos!$J:$J,MATCH(L208,[1]Produtos!$B:$B,0)), "-")</f>
        <v>LÍQUIDO</v>
      </c>
      <c r="T208" s="474"/>
      <c r="U208" s="270"/>
      <c r="V208" s="270"/>
      <c r="W208" s="270"/>
      <c r="X208" s="270"/>
      <c r="Y208" s="270"/>
      <c r="Z208" s="270"/>
      <c r="AA208" s="270"/>
      <c r="AB208" s="270"/>
      <c r="AC208" s="270"/>
      <c r="AD208" s="270"/>
      <c r="AE208" s="270"/>
      <c r="AF208" s="270"/>
      <c r="AG208" s="270"/>
      <c r="AH208" s="270"/>
      <c r="AI208" s="270"/>
      <c r="AJ208" s="270"/>
      <c r="AK208" s="270"/>
      <c r="AL208" s="270"/>
      <c r="AM208" s="663"/>
      <c r="AN208" s="663"/>
      <c r="AO208" s="708" t="str">
        <f>IF(OR(Table1[[#This Row],[Início Setup Envase]]="",Table1[[#This Row],[Final Setup Envase]]=""),"",Table1[[#This Row],[Final Setup Envase]]-Table1[[#This Row],[Início Setup Envase]])</f>
        <v/>
      </c>
      <c r="AP208" s="663"/>
      <c r="AQ208" s="663"/>
      <c r="AR208" s="270"/>
      <c r="AS208" s="270"/>
      <c r="AT208" s="270"/>
      <c r="AU208" s="270"/>
      <c r="AV208" s="270"/>
      <c r="AW208" s="270"/>
      <c r="AX208" s="270"/>
      <c r="AY208" s="270"/>
      <c r="AZ208" s="270"/>
      <c r="BA208" s="270">
        <f>IF(Table1[[#This Row],[Data de Início]]="","",YEAR(Table1[[#This Row],[Data de Início]]))</f>
        <v>2025</v>
      </c>
      <c r="BB208" s="270">
        <f>IF(Table1[[#This Row],[Data de Início]]="","",MONTH(Table1[[#This Row],[Data de Início]]))</f>
        <v>6</v>
      </c>
      <c r="BC208" s="270"/>
    </row>
    <row r="209" spans="2:55" ht="15" customHeight="1" x14ac:dyDescent="0.25">
      <c r="B209" s="470">
        <v>45838</v>
      </c>
      <c r="C209" s="263">
        <v>45838</v>
      </c>
      <c r="D209" s="264" cm="1">
        <f t="array" ref="D209">IFERROR(HorasUteisFabrica2Turnos(B209,C209), "")</f>
        <v>0</v>
      </c>
      <c r="E209" s="265" t="str">
        <f t="shared" si="3"/>
        <v/>
      </c>
      <c r="F209" s="266" t="s">
        <v>378</v>
      </c>
      <c r="G209" s="266" t="s">
        <v>359</v>
      </c>
      <c r="H209" s="266"/>
      <c r="I209" s="269" t="s">
        <v>348</v>
      </c>
      <c r="J209" s="267" t="s">
        <v>15</v>
      </c>
      <c r="K209" s="268">
        <v>120</v>
      </c>
      <c r="L209" s="269" t="s">
        <v>231</v>
      </c>
      <c r="M209" s="270" t="str">
        <f>IFERROR(INDEX([1]Produtos!$C:$C,MATCH(L209,[1]Produtos!$B:$B,0)), "-")</f>
        <v>PERFUME MASCULINO 119 EROS VERSACE</v>
      </c>
      <c r="N209" s="510">
        <f>IFERROR(INDEX([1]Produtos!$E:$E,MATCH(L209,[1]Produtos!$B:$B,0)), "-")</f>
        <v>50</v>
      </c>
      <c r="O209" s="270" t="str">
        <f>IFERROR(INDEX([1]Produtos!$F:$F,MATCH(L209,[1]Produtos!$B:$B,0)), "-")</f>
        <v>ml</v>
      </c>
      <c r="P209" s="270" t="str">
        <f>IFERROR(INDEX([1]Produtos!$G:$G,MATCH(L209,[1]Produtos!$B:$B,0)), "-")</f>
        <v>MOUTIER</v>
      </c>
      <c r="Q209" s="270" t="str">
        <f>IFERROR(INDEX([1]Produtos!$H:$H,MATCH(L209,[1]Produtos!$B:$B,0)), "-")</f>
        <v>PERFUMARIA</v>
      </c>
      <c r="R209" s="270" t="str">
        <f>IFERROR(INDEX([1]Produtos!$I:$I,MATCH(L209,[1]Produtos!$B:$B,0)), "-")</f>
        <v>PERFUME</v>
      </c>
      <c r="S209" s="270" t="str">
        <f>IFERROR(INDEX([1]Produtos!$J:$J,MATCH(L209,[1]Produtos!$B:$B,0)), "-")</f>
        <v>LÍQUIDO</v>
      </c>
      <c r="T209" s="474"/>
      <c r="U209" s="270"/>
      <c r="V209" s="270"/>
      <c r="W209" s="270"/>
      <c r="X209" s="270"/>
      <c r="Y209" s="270"/>
      <c r="Z209" s="270"/>
      <c r="AA209" s="270"/>
      <c r="AB209" s="270"/>
      <c r="AC209" s="270"/>
      <c r="AD209" s="270"/>
      <c r="AE209" s="270"/>
      <c r="AF209" s="270"/>
      <c r="AG209" s="270"/>
      <c r="AH209" s="270"/>
      <c r="AI209" s="270"/>
      <c r="AJ209" s="270"/>
      <c r="AK209" s="270"/>
      <c r="AL209" s="270"/>
      <c r="AM209" s="663"/>
      <c r="AN209" s="663"/>
      <c r="AO209" s="708" t="str">
        <f>IF(OR(Table1[[#This Row],[Início Setup Envase]]="",Table1[[#This Row],[Final Setup Envase]]=""),"",Table1[[#This Row],[Final Setup Envase]]-Table1[[#This Row],[Início Setup Envase]])</f>
        <v/>
      </c>
      <c r="AP209" s="663"/>
      <c r="AQ209" s="663"/>
      <c r="AR209" s="270"/>
      <c r="AS209" s="270"/>
      <c r="AT209" s="270"/>
      <c r="AU209" s="270"/>
      <c r="AV209" s="270"/>
      <c r="AW209" s="270"/>
      <c r="AX209" s="270"/>
      <c r="AY209" s="270"/>
      <c r="AZ209" s="270"/>
      <c r="BA209" s="270">
        <f>IF(Table1[[#This Row],[Data de Início]]="","",YEAR(Table1[[#This Row],[Data de Início]]))</f>
        <v>2025</v>
      </c>
      <c r="BB209" s="270">
        <f>IF(Table1[[#This Row],[Data de Início]]="","",MONTH(Table1[[#This Row],[Data de Início]]))</f>
        <v>6</v>
      </c>
      <c r="BC209" s="270"/>
    </row>
    <row r="210" spans="2:55" ht="15" customHeight="1" x14ac:dyDescent="0.25">
      <c r="B210" s="470">
        <v>45838.407638888886</v>
      </c>
      <c r="C210" s="263">
        <v>45838.645833333336</v>
      </c>
      <c r="D210" s="264" cm="1">
        <f t="array" ref="D210">IFERROR(HorasUteisFabrica2Turnos(B210,C210), "")</f>
        <v>4.716666666790843</v>
      </c>
      <c r="E210" s="265">
        <f t="shared" si="3"/>
        <v>941.34275615896274</v>
      </c>
      <c r="F210" s="266" t="s">
        <v>377</v>
      </c>
      <c r="G210" s="266" t="s">
        <v>360</v>
      </c>
      <c r="H210" s="266"/>
      <c r="I210" s="269" t="s">
        <v>345</v>
      </c>
      <c r="J210" s="267" t="s">
        <v>15</v>
      </c>
      <c r="K210" s="268">
        <v>4440</v>
      </c>
      <c r="L210" s="269" t="s">
        <v>312</v>
      </c>
      <c r="M210" s="270" t="str">
        <f>IFERROR(INDEX([1]Produtos!$C:$C,MATCH(L210,[1]Produtos!$B:$B,0)), "-")</f>
        <v>BODY SPLASH MATTE SORVETE DE BAUNILHA</v>
      </c>
      <c r="N210" s="510">
        <f>IFERROR(INDEX([1]Produtos!$E:$E,MATCH(L210,[1]Produtos!$B:$B,0)), "-")</f>
        <v>120</v>
      </c>
      <c r="O210" s="270" t="str">
        <f>IFERROR(INDEX([1]Produtos!$F:$F,MATCH(L210,[1]Produtos!$B:$B,0)), "-")</f>
        <v>ml</v>
      </c>
      <c r="P210" s="270" t="str">
        <f>IFERROR(INDEX([1]Produtos!$G:$G,MATCH(L210,[1]Produtos!$B:$B,0)), "-")</f>
        <v>DAPOP</v>
      </c>
      <c r="Q210" s="270" t="str">
        <f>IFERROR(INDEX([1]Produtos!$H:$H,MATCH(L210,[1]Produtos!$B:$B,0)), "-")</f>
        <v>PERFUMARIA</v>
      </c>
      <c r="R210" s="270" t="str">
        <f>IFERROR(INDEX([1]Produtos!$I:$I,MATCH(L210,[1]Produtos!$B:$B,0)), "-")</f>
        <v>BODY SPLASH</v>
      </c>
      <c r="S210" s="270" t="str">
        <f>IFERROR(INDEX([1]Produtos!$J:$J,MATCH(L210,[1]Produtos!$B:$B,0)), "-")</f>
        <v>LÍQUIDO</v>
      </c>
      <c r="T210" s="474"/>
      <c r="U210" s="270"/>
      <c r="V210" s="270"/>
      <c r="W210" s="270"/>
      <c r="X210" s="270"/>
      <c r="Y210" s="270"/>
      <c r="Z210" s="270"/>
      <c r="AA210" s="270"/>
      <c r="AB210" s="270"/>
      <c r="AC210" s="270"/>
      <c r="AD210" s="270"/>
      <c r="AE210" s="270"/>
      <c r="AF210" s="270"/>
      <c r="AG210" s="270"/>
      <c r="AH210" s="270"/>
      <c r="AI210" s="270"/>
      <c r="AJ210" s="270"/>
      <c r="AK210" s="270"/>
      <c r="AL210" s="270"/>
      <c r="AM210" s="663"/>
      <c r="AN210" s="663"/>
      <c r="AO210" s="708" t="str">
        <f>IF(OR(Table1[[#This Row],[Início Setup Envase]]="",Table1[[#This Row],[Final Setup Envase]]=""),"",Table1[[#This Row],[Final Setup Envase]]-Table1[[#This Row],[Início Setup Envase]])</f>
        <v/>
      </c>
      <c r="AP210" s="663"/>
      <c r="AQ210" s="663"/>
      <c r="AR210" s="270"/>
      <c r="AS210" s="270"/>
      <c r="AT210" s="270"/>
      <c r="AU210" s="270"/>
      <c r="AV210" s="270"/>
      <c r="AW210" s="270"/>
      <c r="AX210" s="270"/>
      <c r="AY210" s="270"/>
      <c r="AZ210" s="270"/>
      <c r="BA210" s="270">
        <f>IF(Table1[[#This Row],[Data de Início]]="","",YEAR(Table1[[#This Row],[Data de Início]]))</f>
        <v>2025</v>
      </c>
      <c r="BB210" s="270">
        <f>IF(Table1[[#This Row],[Data de Início]]="","",MONTH(Table1[[#This Row],[Data de Início]]))</f>
        <v>6</v>
      </c>
      <c r="BC210" s="270"/>
    </row>
    <row r="211" spans="2:55" ht="15" customHeight="1" x14ac:dyDescent="0.25">
      <c r="B211" s="470">
        <v>45838.647916666669</v>
      </c>
      <c r="C211" s="263">
        <v>45839.479166666664</v>
      </c>
      <c r="D211" s="264" cm="1">
        <f t="array" ref="D211">IFERROR(HorasUteisFabrica2Turnos(B211,C211), "")</f>
        <v>5.9500000000116415</v>
      </c>
      <c r="E211" s="265">
        <f t="shared" si="3"/>
        <v>776.47058823377495</v>
      </c>
      <c r="F211" s="266" t="s">
        <v>377</v>
      </c>
      <c r="G211" s="266" t="s">
        <v>360</v>
      </c>
      <c r="H211" s="266"/>
      <c r="I211" s="269" t="s">
        <v>349</v>
      </c>
      <c r="J211" s="268" t="s">
        <v>15</v>
      </c>
      <c r="K211" s="268">
        <v>4620</v>
      </c>
      <c r="L211" s="269" t="s">
        <v>312</v>
      </c>
      <c r="M211" s="270" t="str">
        <f>IFERROR(INDEX([1]Produtos!$C:$C,MATCH(L211,[1]Produtos!$B:$B,0)), "-")</f>
        <v>BODY SPLASH MATTE SORVETE DE BAUNILHA</v>
      </c>
      <c r="N211" s="510">
        <f>IFERROR(INDEX([1]Produtos!$E:$E,MATCH(L211,[1]Produtos!$B:$B,0)), "-")</f>
        <v>120</v>
      </c>
      <c r="O211" s="270" t="str">
        <f>IFERROR(INDEX([1]Produtos!$F:$F,MATCH(L211,[1]Produtos!$B:$B,0)), "-")</f>
        <v>ml</v>
      </c>
      <c r="P211" s="270" t="str">
        <f>IFERROR(INDEX([1]Produtos!$G:$G,MATCH(L211,[1]Produtos!$B:$B,0)), "-")</f>
        <v>DAPOP</v>
      </c>
      <c r="Q211" s="270" t="str">
        <f>IFERROR(INDEX([1]Produtos!$H:$H,MATCH(L211,[1]Produtos!$B:$B,0)), "-")</f>
        <v>PERFUMARIA</v>
      </c>
      <c r="R211" s="270" t="str">
        <f>IFERROR(INDEX([1]Produtos!$I:$I,MATCH(L211,[1]Produtos!$B:$B,0)), "-")</f>
        <v>BODY SPLASH</v>
      </c>
      <c r="S211" s="270" t="str">
        <f>IFERROR(INDEX([1]Produtos!$J:$J,MATCH(L211,[1]Produtos!$B:$B,0)), "-")</f>
        <v>LÍQUIDO</v>
      </c>
      <c r="T211" s="474"/>
      <c r="U211" s="270"/>
      <c r="V211" s="270"/>
      <c r="W211" s="270"/>
      <c r="X211" s="270"/>
      <c r="Y211" s="270"/>
      <c r="Z211" s="270"/>
      <c r="AA211" s="270"/>
      <c r="AB211" s="270"/>
      <c r="AC211" s="270"/>
      <c r="AD211" s="270"/>
      <c r="AE211" s="270"/>
      <c r="AF211" s="270"/>
      <c r="AG211" s="270"/>
      <c r="AH211" s="270"/>
      <c r="AI211" s="270"/>
      <c r="AJ211" s="270"/>
      <c r="AK211" s="270"/>
      <c r="AL211" s="270"/>
      <c r="AM211" s="663"/>
      <c r="AN211" s="663"/>
      <c r="AO211" s="708" t="str">
        <f>IF(OR(Table1[[#This Row],[Início Setup Envase]]="",Table1[[#This Row],[Final Setup Envase]]=""),"",Table1[[#This Row],[Final Setup Envase]]-Table1[[#This Row],[Início Setup Envase]])</f>
        <v/>
      </c>
      <c r="AP211" s="663"/>
      <c r="AQ211" s="663"/>
      <c r="AR211" s="270"/>
      <c r="AS211" s="270"/>
      <c r="AT211" s="270"/>
      <c r="AU211" s="270"/>
      <c r="AV211" s="270"/>
      <c r="AW211" s="270"/>
      <c r="AX211" s="270"/>
      <c r="AY211" s="270"/>
      <c r="AZ211" s="270"/>
      <c r="BA211" s="270">
        <f>IF(Table1[[#This Row],[Data de Início]]="","",YEAR(Table1[[#This Row],[Data de Início]]))</f>
        <v>2025</v>
      </c>
      <c r="BB211" s="270">
        <f>IF(Table1[[#This Row],[Data de Início]]="","",MONTH(Table1[[#This Row],[Data de Início]]))</f>
        <v>6</v>
      </c>
      <c r="BC211" s="270"/>
    </row>
    <row r="212" spans="2:55" ht="15" customHeight="1" x14ac:dyDescent="0.25">
      <c r="B212" s="470">
        <v>45839</v>
      </c>
      <c r="C212" s="263">
        <v>45839</v>
      </c>
      <c r="D212" s="264" cm="1">
        <f t="array" ref="D212">IFERROR(HorasUteisFabrica2Turnos(B212,C212), "")</f>
        <v>0</v>
      </c>
      <c r="E212" s="265" t="str">
        <f t="shared" si="3"/>
        <v/>
      </c>
      <c r="F212" s="266" t="s">
        <v>378</v>
      </c>
      <c r="G212" s="266" t="s">
        <v>359</v>
      </c>
      <c r="H212" s="266"/>
      <c r="I212" s="269" t="s">
        <v>348</v>
      </c>
      <c r="J212" s="268" t="s">
        <v>15</v>
      </c>
      <c r="K212" s="268">
        <v>390</v>
      </c>
      <c r="L212" s="269" t="s">
        <v>231</v>
      </c>
      <c r="M212" s="270" t="str">
        <f>IFERROR(INDEX([1]Produtos!$C:$C,MATCH(L212,[1]Produtos!$B:$B,0)), "-")</f>
        <v>PERFUME MASCULINO 119 EROS VERSACE</v>
      </c>
      <c r="N212" s="510">
        <f>IFERROR(INDEX([1]Produtos!$E:$E,MATCH(L212,[1]Produtos!$B:$B,0)), "-")</f>
        <v>50</v>
      </c>
      <c r="O212" s="270" t="str">
        <f>IFERROR(INDEX([1]Produtos!$F:$F,MATCH(L212,[1]Produtos!$B:$B,0)), "-")</f>
        <v>ml</v>
      </c>
      <c r="P212" s="270" t="str">
        <f>IFERROR(INDEX([1]Produtos!$G:$G,MATCH(L212,[1]Produtos!$B:$B,0)), "-")</f>
        <v>MOUTIER</v>
      </c>
      <c r="Q212" s="270" t="str">
        <f>IFERROR(INDEX([1]Produtos!$H:$H,MATCH(L212,[1]Produtos!$B:$B,0)), "-")</f>
        <v>PERFUMARIA</v>
      </c>
      <c r="R212" s="270" t="str">
        <f>IFERROR(INDEX([1]Produtos!$I:$I,MATCH(L212,[1]Produtos!$B:$B,0)), "-")</f>
        <v>PERFUME</v>
      </c>
      <c r="S212" s="270" t="str">
        <f>IFERROR(INDEX([1]Produtos!$J:$J,MATCH(L212,[1]Produtos!$B:$B,0)), "-")</f>
        <v>LÍQUIDO</v>
      </c>
      <c r="T212" s="474"/>
      <c r="U212" s="270"/>
      <c r="V212" s="270"/>
      <c r="W212" s="270"/>
      <c r="X212" s="270"/>
      <c r="Y212" s="270"/>
      <c r="Z212" s="270"/>
      <c r="AA212" s="270"/>
      <c r="AB212" s="270"/>
      <c r="AC212" s="270"/>
      <c r="AD212" s="270"/>
      <c r="AE212" s="270"/>
      <c r="AF212" s="270"/>
      <c r="AG212" s="270"/>
      <c r="AH212" s="270"/>
      <c r="AI212" s="270"/>
      <c r="AJ212" s="270"/>
      <c r="AK212" s="270"/>
      <c r="AL212" s="270"/>
      <c r="AM212" s="663"/>
      <c r="AN212" s="663"/>
      <c r="AO212" s="708" t="str">
        <f>IF(OR(Table1[[#This Row],[Início Setup Envase]]="",Table1[[#This Row],[Final Setup Envase]]=""),"",Table1[[#This Row],[Final Setup Envase]]-Table1[[#This Row],[Início Setup Envase]])</f>
        <v/>
      </c>
      <c r="AP212" s="663"/>
      <c r="AQ212" s="663"/>
      <c r="AR212" s="270"/>
      <c r="AS212" s="270"/>
      <c r="AT212" s="270"/>
      <c r="AU212" s="270"/>
      <c r="AV212" s="270"/>
      <c r="AW212" s="270"/>
      <c r="AX212" s="270"/>
      <c r="AY212" s="270"/>
      <c r="AZ212" s="270"/>
      <c r="BA212" s="270">
        <f>IF(Table1[[#This Row],[Data de Início]]="","",YEAR(Table1[[#This Row],[Data de Início]]))</f>
        <v>2025</v>
      </c>
      <c r="BB212" s="270">
        <f>IF(Table1[[#This Row],[Data de Início]]="","",MONTH(Table1[[#This Row],[Data de Início]]))</f>
        <v>7</v>
      </c>
      <c r="BC212" s="270"/>
    </row>
    <row r="213" spans="2:55" ht="15" customHeight="1" x14ac:dyDescent="0.25">
      <c r="B213" s="470">
        <v>45839</v>
      </c>
      <c r="C213" s="263">
        <v>45839</v>
      </c>
      <c r="D213" s="264" cm="1">
        <f t="array" ref="D213">IFERROR(HorasUteisFabrica2Turnos(B213,C213), "")</f>
        <v>0</v>
      </c>
      <c r="E213" s="265" t="str">
        <f t="shared" si="3"/>
        <v/>
      </c>
      <c r="F213" s="266" t="s">
        <v>378</v>
      </c>
      <c r="G213" s="266" t="s">
        <v>359</v>
      </c>
      <c r="H213" s="266"/>
      <c r="I213" s="269" t="s">
        <v>350</v>
      </c>
      <c r="J213" s="268" t="s">
        <v>15</v>
      </c>
      <c r="K213" s="268">
        <v>524</v>
      </c>
      <c r="L213" s="269" t="s">
        <v>232</v>
      </c>
      <c r="M213" s="270" t="str">
        <f>IFERROR(INDEX([1]Produtos!$C:$C,MATCH(L213,[1]Produtos!$B:$B,0)), "-")</f>
        <v>PERFUME MASCULINO 122 ANIMALE</v>
      </c>
      <c r="N213" s="510">
        <f>IFERROR(INDEX([1]Produtos!$E:$E,MATCH(L213,[1]Produtos!$B:$B,0)), "-")</f>
        <v>50</v>
      </c>
      <c r="O213" s="270" t="str">
        <f>IFERROR(INDEX([1]Produtos!$F:$F,MATCH(L213,[1]Produtos!$B:$B,0)), "-")</f>
        <v>ml</v>
      </c>
      <c r="P213" s="270" t="str">
        <f>IFERROR(INDEX([1]Produtos!$G:$G,MATCH(L213,[1]Produtos!$B:$B,0)), "-")</f>
        <v>MOUTIER</v>
      </c>
      <c r="Q213" s="270" t="str">
        <f>IFERROR(INDEX([1]Produtos!$H:$H,MATCH(L213,[1]Produtos!$B:$B,0)), "-")</f>
        <v>PERFUMARIA</v>
      </c>
      <c r="R213" s="270" t="str">
        <f>IFERROR(INDEX([1]Produtos!$I:$I,MATCH(L213,[1]Produtos!$B:$B,0)), "-")</f>
        <v>PERFUME</v>
      </c>
      <c r="S213" s="270" t="str">
        <f>IFERROR(INDEX([1]Produtos!$J:$J,MATCH(L213,[1]Produtos!$B:$B,0)), "-")</f>
        <v>LÍQUIDO</v>
      </c>
      <c r="T213" s="474"/>
      <c r="U213" s="270"/>
      <c r="V213" s="270"/>
      <c r="W213" s="270"/>
      <c r="X213" s="270"/>
      <c r="Y213" s="270"/>
      <c r="Z213" s="270"/>
      <c r="AA213" s="270"/>
      <c r="AB213" s="270"/>
      <c r="AC213" s="270"/>
      <c r="AD213" s="270"/>
      <c r="AE213" s="270"/>
      <c r="AF213" s="270"/>
      <c r="AG213" s="270"/>
      <c r="AH213" s="270"/>
      <c r="AI213" s="270"/>
      <c r="AJ213" s="270"/>
      <c r="AK213" s="270"/>
      <c r="AL213" s="270"/>
      <c r="AM213" s="663"/>
      <c r="AN213" s="663"/>
      <c r="AO213" s="708" t="str">
        <f>IF(OR(Table1[[#This Row],[Início Setup Envase]]="",Table1[[#This Row],[Final Setup Envase]]=""),"",Table1[[#This Row],[Final Setup Envase]]-Table1[[#This Row],[Início Setup Envase]])</f>
        <v/>
      </c>
      <c r="AP213" s="663"/>
      <c r="AQ213" s="663"/>
      <c r="AR213" s="270"/>
      <c r="AS213" s="270"/>
      <c r="AT213" s="270"/>
      <c r="AU213" s="270"/>
      <c r="AV213" s="270"/>
      <c r="AW213" s="270"/>
      <c r="AX213" s="270"/>
      <c r="AY213" s="270"/>
      <c r="AZ213" s="270"/>
      <c r="BA213" s="270">
        <f>IF(Table1[[#This Row],[Data de Início]]="","",YEAR(Table1[[#This Row],[Data de Início]]))</f>
        <v>2025</v>
      </c>
      <c r="BB213" s="270">
        <f>IF(Table1[[#This Row],[Data de Início]]="","",MONTH(Table1[[#This Row],[Data de Início]]))</f>
        <v>7</v>
      </c>
      <c r="BC213" s="270"/>
    </row>
    <row r="214" spans="2:55" ht="15" customHeight="1" x14ac:dyDescent="0.25">
      <c r="B214" s="470">
        <v>45839</v>
      </c>
      <c r="C214" s="263">
        <v>45839</v>
      </c>
      <c r="D214" s="264" cm="1">
        <f t="array" ref="D214">IFERROR(HorasUteisFabrica2Turnos(B214,C214), "")</f>
        <v>0</v>
      </c>
      <c r="E214" s="265" t="str">
        <f t="shared" si="3"/>
        <v/>
      </c>
      <c r="F214" s="266" t="s">
        <v>378</v>
      </c>
      <c r="G214" s="266" t="s">
        <v>359</v>
      </c>
      <c r="H214" s="266"/>
      <c r="I214" s="269" t="s">
        <v>351</v>
      </c>
      <c r="J214" s="268" t="s">
        <v>15</v>
      </c>
      <c r="K214" s="268">
        <v>516</v>
      </c>
      <c r="L214" s="269" t="s">
        <v>233</v>
      </c>
      <c r="M214" s="270" t="str">
        <f>IFERROR(INDEX([1]Produtos!$C:$C,MATCH(L214,[1]Produtos!$B:$B,0)), "-")</f>
        <v>PERFUME MASCULINO 135 SCANDAL POUR HOMME</v>
      </c>
      <c r="N214" s="510">
        <f>IFERROR(INDEX([1]Produtos!$E:$E,MATCH(L214,[1]Produtos!$B:$B,0)), "-")</f>
        <v>50</v>
      </c>
      <c r="O214" s="270" t="str">
        <f>IFERROR(INDEX([1]Produtos!$F:$F,MATCH(L214,[1]Produtos!$B:$B,0)), "-")</f>
        <v>ml</v>
      </c>
      <c r="P214" s="270" t="str">
        <f>IFERROR(INDEX([1]Produtos!$G:$G,MATCH(L214,[1]Produtos!$B:$B,0)), "-")</f>
        <v>MOUTIER</v>
      </c>
      <c r="Q214" s="270" t="str">
        <f>IFERROR(INDEX([1]Produtos!$H:$H,MATCH(L214,[1]Produtos!$B:$B,0)), "-")</f>
        <v>PERFUMARIA</v>
      </c>
      <c r="R214" s="270" t="str">
        <f>IFERROR(INDEX([1]Produtos!$I:$I,MATCH(L214,[1]Produtos!$B:$B,0)), "-")</f>
        <v>PERFUME</v>
      </c>
      <c r="S214" s="270" t="str">
        <f>IFERROR(INDEX([1]Produtos!$J:$J,MATCH(L214,[1]Produtos!$B:$B,0)), "-")</f>
        <v>LÍQUIDO</v>
      </c>
      <c r="T214" s="474"/>
      <c r="U214" s="270"/>
      <c r="V214" s="270"/>
      <c r="W214" s="270"/>
      <c r="X214" s="270"/>
      <c r="Y214" s="270"/>
      <c r="Z214" s="270"/>
      <c r="AA214" s="270"/>
      <c r="AB214" s="270"/>
      <c r="AC214" s="270"/>
      <c r="AD214" s="270"/>
      <c r="AE214" s="270"/>
      <c r="AF214" s="270"/>
      <c r="AG214" s="270"/>
      <c r="AH214" s="270"/>
      <c r="AI214" s="270"/>
      <c r="AJ214" s="270"/>
      <c r="AK214" s="270"/>
      <c r="AL214" s="270"/>
      <c r="AM214" s="663"/>
      <c r="AN214" s="663"/>
      <c r="AO214" s="708" t="str">
        <f>IF(OR(Table1[[#This Row],[Início Setup Envase]]="",Table1[[#This Row],[Final Setup Envase]]=""),"",Table1[[#This Row],[Final Setup Envase]]-Table1[[#This Row],[Início Setup Envase]])</f>
        <v/>
      </c>
      <c r="AP214" s="663"/>
      <c r="AQ214" s="663"/>
      <c r="AR214" s="270"/>
      <c r="AS214" s="270"/>
      <c r="AT214" s="270"/>
      <c r="AU214" s="270"/>
      <c r="AV214" s="270"/>
      <c r="AW214" s="270"/>
      <c r="AX214" s="270"/>
      <c r="AY214" s="270"/>
      <c r="AZ214" s="270"/>
      <c r="BA214" s="270">
        <f>IF(Table1[[#This Row],[Data de Início]]="","",YEAR(Table1[[#This Row],[Data de Início]]))</f>
        <v>2025</v>
      </c>
      <c r="BB214" s="270">
        <f>IF(Table1[[#This Row],[Data de Início]]="","",MONTH(Table1[[#This Row],[Data de Início]]))</f>
        <v>7</v>
      </c>
      <c r="BC214" s="270"/>
    </row>
    <row r="215" spans="2:55" ht="15" customHeight="1" x14ac:dyDescent="0.25">
      <c r="B215" s="470">
        <v>45839.482638888891</v>
      </c>
      <c r="C215" s="263">
        <v>45839.694444444445</v>
      </c>
      <c r="D215" s="264" cm="1">
        <f t="array" ref="D215">IFERROR(HorasUteisFabrica2Turnos(B215,C215), "")</f>
        <v>4.0833333333139308</v>
      </c>
      <c r="E215" s="265">
        <f t="shared" si="3"/>
        <v>1131.4285714339476</v>
      </c>
      <c r="F215" s="266" t="s">
        <v>377</v>
      </c>
      <c r="G215" s="266" t="s">
        <v>360</v>
      </c>
      <c r="H215" s="266"/>
      <c r="I215" s="269" t="s">
        <v>355</v>
      </c>
      <c r="J215" s="268" t="s">
        <v>15</v>
      </c>
      <c r="K215" s="268">
        <v>4620</v>
      </c>
      <c r="L215" s="269" t="s">
        <v>312</v>
      </c>
      <c r="M215" s="270" t="str">
        <f>IFERROR(INDEX([1]Produtos!$C:$C,MATCH(L215,[1]Produtos!$B:$B,0)), "-")</f>
        <v>BODY SPLASH MATTE SORVETE DE BAUNILHA</v>
      </c>
      <c r="N215" s="510">
        <f>IFERROR(INDEX([1]Produtos!$E:$E,MATCH(L215,[1]Produtos!$B:$B,0)), "-")</f>
        <v>120</v>
      </c>
      <c r="O215" s="270" t="str">
        <f>IFERROR(INDEX([1]Produtos!$F:$F,MATCH(L215,[1]Produtos!$B:$B,0)), "-")</f>
        <v>ml</v>
      </c>
      <c r="P215" s="270" t="str">
        <f>IFERROR(INDEX([1]Produtos!$G:$G,MATCH(L215,[1]Produtos!$B:$B,0)), "-")</f>
        <v>DAPOP</v>
      </c>
      <c r="Q215" s="270" t="str">
        <f>IFERROR(INDEX([1]Produtos!$H:$H,MATCH(L215,[1]Produtos!$B:$B,0)), "-")</f>
        <v>PERFUMARIA</v>
      </c>
      <c r="R215" s="270" t="str">
        <f>IFERROR(INDEX([1]Produtos!$I:$I,MATCH(L215,[1]Produtos!$B:$B,0)), "-")</f>
        <v>BODY SPLASH</v>
      </c>
      <c r="S215" s="270" t="str">
        <f>IFERROR(INDEX([1]Produtos!$J:$J,MATCH(L215,[1]Produtos!$B:$B,0)), "-")</f>
        <v>LÍQUIDO</v>
      </c>
      <c r="T215" s="474"/>
      <c r="U215" s="270"/>
      <c r="V215" s="270"/>
      <c r="W215" s="270"/>
      <c r="X215" s="270"/>
      <c r="Y215" s="270"/>
      <c r="Z215" s="270"/>
      <c r="AA215" s="270"/>
      <c r="AB215" s="270"/>
      <c r="AC215" s="270"/>
      <c r="AD215" s="270"/>
      <c r="AE215" s="270"/>
      <c r="AF215" s="270"/>
      <c r="AG215" s="270"/>
      <c r="AH215" s="270"/>
      <c r="AI215" s="270"/>
      <c r="AJ215" s="270"/>
      <c r="AK215" s="270"/>
      <c r="AL215" s="270"/>
      <c r="AM215" s="663"/>
      <c r="AN215" s="663"/>
      <c r="AO215" s="708" t="str">
        <f>IF(OR(Table1[[#This Row],[Início Setup Envase]]="",Table1[[#This Row],[Final Setup Envase]]=""),"",Table1[[#This Row],[Final Setup Envase]]-Table1[[#This Row],[Início Setup Envase]])</f>
        <v/>
      </c>
      <c r="AP215" s="663"/>
      <c r="AQ215" s="663"/>
      <c r="AR215" s="270"/>
      <c r="AS215" s="270"/>
      <c r="AT215" s="270"/>
      <c r="AU215" s="270"/>
      <c r="AV215" s="270"/>
      <c r="AW215" s="270"/>
      <c r="AX215" s="270"/>
      <c r="AY215" s="270"/>
      <c r="AZ215" s="270"/>
      <c r="BA215" s="270">
        <f>IF(Table1[[#This Row],[Data de Início]]="","",YEAR(Table1[[#This Row],[Data de Início]]))</f>
        <v>2025</v>
      </c>
      <c r="BB215" s="270">
        <f>IF(Table1[[#This Row],[Data de Início]]="","",MONTH(Table1[[#This Row],[Data de Início]]))</f>
        <v>7</v>
      </c>
      <c r="BC215" s="270"/>
    </row>
    <row r="216" spans="2:55" ht="15" customHeight="1" x14ac:dyDescent="0.25">
      <c r="B216" s="470">
        <v>45839.694444444445</v>
      </c>
      <c r="C216" s="263">
        <v>45840.541666666664</v>
      </c>
      <c r="D216" s="264" cm="1">
        <f t="array" ref="D216">IFERROR(HorasUteisFabrica2Turnos(B216,C216), "")</f>
        <v>6.3333333333721384</v>
      </c>
      <c r="E216" s="265">
        <f t="shared" si="3"/>
        <v>719.9999999955885</v>
      </c>
      <c r="F216" s="266" t="s">
        <v>377</v>
      </c>
      <c r="G216" s="266" t="s">
        <v>360</v>
      </c>
      <c r="H216" s="266"/>
      <c r="I216" s="269" t="s">
        <v>366</v>
      </c>
      <c r="J216" s="268" t="s">
        <v>15</v>
      </c>
      <c r="K216" s="268">
        <v>4560</v>
      </c>
      <c r="L216" s="269" t="s">
        <v>312</v>
      </c>
      <c r="M216" s="270" t="str">
        <f>IFERROR(INDEX([1]Produtos!$C:$C,MATCH(L216,[1]Produtos!$B:$B,0)), "-")</f>
        <v>BODY SPLASH MATTE SORVETE DE BAUNILHA</v>
      </c>
      <c r="N216" s="510">
        <f>IFERROR(INDEX([1]Produtos!$E:$E,MATCH(L216,[1]Produtos!$B:$B,0)), "-")</f>
        <v>120</v>
      </c>
      <c r="O216" s="270" t="str">
        <f>IFERROR(INDEX([1]Produtos!$F:$F,MATCH(L216,[1]Produtos!$B:$B,0)), "-")</f>
        <v>ml</v>
      </c>
      <c r="P216" s="270" t="str">
        <f>IFERROR(INDEX([1]Produtos!$G:$G,MATCH(L216,[1]Produtos!$B:$B,0)), "-")</f>
        <v>DAPOP</v>
      </c>
      <c r="Q216" s="270" t="str">
        <f>IFERROR(INDEX([1]Produtos!$H:$H,MATCH(L216,[1]Produtos!$B:$B,0)), "-")</f>
        <v>PERFUMARIA</v>
      </c>
      <c r="R216" s="270" t="str">
        <f>IFERROR(INDEX([1]Produtos!$I:$I,MATCH(L216,[1]Produtos!$B:$B,0)), "-")</f>
        <v>BODY SPLASH</v>
      </c>
      <c r="S216" s="270" t="str">
        <f>IFERROR(INDEX([1]Produtos!$J:$J,MATCH(L216,[1]Produtos!$B:$B,0)), "-")</f>
        <v>LÍQUIDO</v>
      </c>
      <c r="T216" s="474"/>
      <c r="U216" s="270"/>
      <c r="V216" s="270"/>
      <c r="W216" s="270"/>
      <c r="X216" s="270"/>
      <c r="Y216" s="270"/>
      <c r="Z216" s="270"/>
      <c r="AA216" s="270"/>
      <c r="AB216" s="270"/>
      <c r="AC216" s="270"/>
      <c r="AD216" s="270"/>
      <c r="AE216" s="270"/>
      <c r="AF216" s="270"/>
      <c r="AG216" s="270"/>
      <c r="AH216" s="270"/>
      <c r="AI216" s="270"/>
      <c r="AJ216" s="270"/>
      <c r="AK216" s="270"/>
      <c r="AL216" s="270"/>
      <c r="AM216" s="663"/>
      <c r="AN216" s="663"/>
      <c r="AO216" s="708" t="str">
        <f>IF(OR(Table1[[#This Row],[Início Setup Envase]]="",Table1[[#This Row],[Final Setup Envase]]=""),"",Table1[[#This Row],[Final Setup Envase]]-Table1[[#This Row],[Início Setup Envase]])</f>
        <v/>
      </c>
      <c r="AP216" s="663"/>
      <c r="AQ216" s="663"/>
      <c r="AR216" s="270"/>
      <c r="AS216" s="270"/>
      <c r="AT216" s="270"/>
      <c r="AU216" s="270"/>
      <c r="AV216" s="270"/>
      <c r="AW216" s="270"/>
      <c r="AX216" s="270"/>
      <c r="AY216" s="270"/>
      <c r="AZ216" s="270"/>
      <c r="BA216" s="270">
        <f>IF(Table1[[#This Row],[Data de Início]]="","",YEAR(Table1[[#This Row],[Data de Início]]))</f>
        <v>2025</v>
      </c>
      <c r="BB216" s="270">
        <f>IF(Table1[[#This Row],[Data de Início]]="","",MONTH(Table1[[#This Row],[Data de Início]]))</f>
        <v>7</v>
      </c>
      <c r="BC216" s="270"/>
    </row>
    <row r="217" spans="2:55" ht="15" customHeight="1" x14ac:dyDescent="0.25">
      <c r="B217" s="470">
        <v>45840.541666666664</v>
      </c>
      <c r="C217" s="263">
        <v>45840.625</v>
      </c>
      <c r="D217" s="264" cm="1">
        <f t="array" ref="D217">IFERROR(HorasUteisFabrica2Turnos(B217,C217), "")</f>
        <v>2.0000000000582077</v>
      </c>
      <c r="E217" s="265">
        <f t="shared" si="3"/>
        <v>989.99999997118721</v>
      </c>
      <c r="F217" s="266" t="s">
        <v>377</v>
      </c>
      <c r="G217" s="266" t="s">
        <v>360</v>
      </c>
      <c r="H217" s="266"/>
      <c r="I217" s="269" t="s">
        <v>367</v>
      </c>
      <c r="J217" s="268" t="s">
        <v>15</v>
      </c>
      <c r="K217" s="268">
        <v>1980</v>
      </c>
      <c r="L217" s="269" t="s">
        <v>312</v>
      </c>
      <c r="M217" s="270" t="str">
        <f>IFERROR(INDEX([1]Produtos!$C:$C,MATCH(L217,[1]Produtos!$B:$B,0)), "-")</f>
        <v>BODY SPLASH MATTE SORVETE DE BAUNILHA</v>
      </c>
      <c r="N217" s="510">
        <f>IFERROR(INDEX([1]Produtos!$E:$E,MATCH(L217,[1]Produtos!$B:$B,0)), "-")</f>
        <v>120</v>
      </c>
      <c r="O217" s="270" t="str">
        <f>IFERROR(INDEX([1]Produtos!$F:$F,MATCH(L217,[1]Produtos!$B:$B,0)), "-")</f>
        <v>ml</v>
      </c>
      <c r="P217" s="270" t="str">
        <f>IFERROR(INDEX([1]Produtos!$G:$G,MATCH(L217,[1]Produtos!$B:$B,0)), "-")</f>
        <v>DAPOP</v>
      </c>
      <c r="Q217" s="270" t="str">
        <f>IFERROR(INDEX([1]Produtos!$H:$H,MATCH(L217,[1]Produtos!$B:$B,0)), "-")</f>
        <v>PERFUMARIA</v>
      </c>
      <c r="R217" s="270" t="str">
        <f>IFERROR(INDEX([1]Produtos!$I:$I,MATCH(L217,[1]Produtos!$B:$B,0)), "-")</f>
        <v>BODY SPLASH</v>
      </c>
      <c r="S217" s="270" t="str">
        <f>IFERROR(INDEX([1]Produtos!$J:$J,MATCH(L217,[1]Produtos!$B:$B,0)), "-")</f>
        <v>LÍQUIDO</v>
      </c>
      <c r="T217" s="474"/>
      <c r="U217" s="270"/>
      <c r="V217" s="270"/>
      <c r="W217" s="270"/>
      <c r="X217" s="270"/>
      <c r="Y217" s="270"/>
      <c r="Z217" s="270"/>
      <c r="AA217" s="270"/>
      <c r="AB217" s="270"/>
      <c r="AC217" s="270"/>
      <c r="AD217" s="270"/>
      <c r="AE217" s="270"/>
      <c r="AF217" s="270"/>
      <c r="AG217" s="270"/>
      <c r="AH217" s="270"/>
      <c r="AI217" s="270"/>
      <c r="AJ217" s="270"/>
      <c r="AK217" s="270"/>
      <c r="AL217" s="270"/>
      <c r="AM217" s="663"/>
      <c r="AN217" s="663"/>
      <c r="AO217" s="708" t="str">
        <f>IF(OR(Table1[[#This Row],[Início Setup Envase]]="",Table1[[#This Row],[Final Setup Envase]]=""),"",Table1[[#This Row],[Final Setup Envase]]-Table1[[#This Row],[Início Setup Envase]])</f>
        <v/>
      </c>
      <c r="AP217" s="663"/>
      <c r="AQ217" s="663"/>
      <c r="AR217" s="270"/>
      <c r="AS217" s="270"/>
      <c r="AT217" s="270"/>
      <c r="AU217" s="270"/>
      <c r="AV217" s="270"/>
      <c r="AW217" s="270"/>
      <c r="AX217" s="270"/>
      <c r="AY217" s="270"/>
      <c r="AZ217" s="270"/>
      <c r="BA217" s="270">
        <f>IF(Table1[[#This Row],[Data de Início]]="","",YEAR(Table1[[#This Row],[Data de Início]]))</f>
        <v>2025</v>
      </c>
      <c r="BB217" s="270">
        <f>IF(Table1[[#This Row],[Data de Início]]="","",MONTH(Table1[[#This Row],[Data de Início]]))</f>
        <v>7</v>
      </c>
      <c r="BC217" s="270"/>
    </row>
    <row r="218" spans="2:55" ht="15" customHeight="1" x14ac:dyDescent="0.25">
      <c r="B218" s="470">
        <v>45840.625</v>
      </c>
      <c r="C218" s="263">
        <v>45841.401388888888</v>
      </c>
      <c r="D218" s="264" cm="1">
        <f t="array" ref="D218">IFERROR(HorasUteisFabrica2Turnos(B218,C218), "")</f>
        <v>4.6333333334187046</v>
      </c>
      <c r="E218" s="265">
        <f t="shared" si="3"/>
        <v>997.12230213990097</v>
      </c>
      <c r="F218" s="266" t="s">
        <v>377</v>
      </c>
      <c r="G218" s="266" t="s">
        <v>360</v>
      </c>
      <c r="H218" s="266"/>
      <c r="I218" s="269" t="s">
        <v>356</v>
      </c>
      <c r="J218" s="268" t="s">
        <v>15</v>
      </c>
      <c r="K218" s="268">
        <v>4620</v>
      </c>
      <c r="L218" s="269" t="s">
        <v>313</v>
      </c>
      <c r="M218" s="270" t="str">
        <f>IFERROR(INDEX([1]Produtos!$C:$C,MATCH(L218,[1]Produtos!$B:$B,0)), "-")</f>
        <v>BODY SPLASH MATTE OITAVA MARAVILHA</v>
      </c>
      <c r="N218" s="510">
        <f>IFERROR(INDEX([1]Produtos!$E:$E,MATCH(L218,[1]Produtos!$B:$B,0)), "-")</f>
        <v>120</v>
      </c>
      <c r="O218" s="270" t="str">
        <f>IFERROR(INDEX([1]Produtos!$F:$F,MATCH(L218,[1]Produtos!$B:$B,0)), "-")</f>
        <v>ml</v>
      </c>
      <c r="P218" s="270" t="str">
        <f>IFERROR(INDEX([1]Produtos!$G:$G,MATCH(L218,[1]Produtos!$B:$B,0)), "-")</f>
        <v>DAPOP</v>
      </c>
      <c r="Q218" s="270" t="str">
        <f>IFERROR(INDEX([1]Produtos!$H:$H,MATCH(L218,[1]Produtos!$B:$B,0)), "-")</f>
        <v>PERFUMARIA</v>
      </c>
      <c r="R218" s="270" t="str">
        <f>IFERROR(INDEX([1]Produtos!$I:$I,MATCH(L218,[1]Produtos!$B:$B,0)), "-")</f>
        <v>BODY SPLASH</v>
      </c>
      <c r="S218" s="270" t="str">
        <f>IFERROR(INDEX([1]Produtos!$J:$J,MATCH(L218,[1]Produtos!$B:$B,0)), "-")</f>
        <v>LÍQUIDO</v>
      </c>
      <c r="T218" s="474"/>
      <c r="U218" s="270"/>
      <c r="V218" s="270"/>
      <c r="W218" s="270"/>
      <c r="X218" s="270"/>
      <c r="Y218" s="270"/>
      <c r="Z218" s="270"/>
      <c r="AA218" s="270"/>
      <c r="AB218" s="270"/>
      <c r="AC218" s="270"/>
      <c r="AD218" s="270"/>
      <c r="AE218" s="270"/>
      <c r="AF218" s="270"/>
      <c r="AG218" s="270"/>
      <c r="AH218" s="270"/>
      <c r="AI218" s="270"/>
      <c r="AJ218" s="270"/>
      <c r="AK218" s="270"/>
      <c r="AL218" s="270"/>
      <c r="AM218" s="663"/>
      <c r="AN218" s="663"/>
      <c r="AO218" s="708" t="str">
        <f>IF(OR(Table1[[#This Row],[Início Setup Envase]]="",Table1[[#This Row],[Final Setup Envase]]=""),"",Table1[[#This Row],[Final Setup Envase]]-Table1[[#This Row],[Início Setup Envase]])</f>
        <v/>
      </c>
      <c r="AP218" s="663"/>
      <c r="AQ218" s="663"/>
      <c r="AR218" s="270"/>
      <c r="AS218" s="270"/>
      <c r="AT218" s="270"/>
      <c r="AU218" s="270"/>
      <c r="AV218" s="270"/>
      <c r="AW218" s="270"/>
      <c r="AX218" s="270"/>
      <c r="AY218" s="270"/>
      <c r="AZ218" s="270"/>
      <c r="BA218" s="270">
        <f>IF(Table1[[#This Row],[Data de Início]]="","",YEAR(Table1[[#This Row],[Data de Início]]))</f>
        <v>2025</v>
      </c>
      <c r="BB218" s="270">
        <f>IF(Table1[[#This Row],[Data de Início]]="","",MONTH(Table1[[#This Row],[Data de Início]]))</f>
        <v>7</v>
      </c>
      <c r="BC218" s="270"/>
    </row>
    <row r="219" spans="2:55" ht="15" customHeight="1" x14ac:dyDescent="0.25">
      <c r="B219" s="470">
        <v>45841.401388888888</v>
      </c>
      <c r="C219" s="263">
        <v>45841.614583333336</v>
      </c>
      <c r="D219" s="264" cm="1">
        <f t="array" ref="D219">IFERROR(HorasUteisFabrica2Turnos(B219,C219), "")</f>
        <v>4.1166666667559184</v>
      </c>
      <c r="E219" s="265">
        <f t="shared" si="3"/>
        <v>1122.2672064534013</v>
      </c>
      <c r="F219" s="266" t="s">
        <v>377</v>
      </c>
      <c r="G219" s="266" t="s">
        <v>360</v>
      </c>
      <c r="H219" s="266"/>
      <c r="I219" s="269" t="s">
        <v>363</v>
      </c>
      <c r="J219" s="268" t="s">
        <v>15</v>
      </c>
      <c r="K219" s="268">
        <v>4620</v>
      </c>
      <c r="L219" s="269" t="s">
        <v>313</v>
      </c>
      <c r="M219" s="270" t="str">
        <f>IFERROR(INDEX([1]Produtos!$C:$C,MATCH(L219,[1]Produtos!$B:$B,0)), "-")</f>
        <v>BODY SPLASH MATTE OITAVA MARAVILHA</v>
      </c>
      <c r="N219" s="510">
        <f>IFERROR(INDEX([1]Produtos!$E:$E,MATCH(L219,[1]Produtos!$B:$B,0)), "-")</f>
        <v>120</v>
      </c>
      <c r="O219" s="270" t="str">
        <f>IFERROR(INDEX([1]Produtos!$F:$F,MATCH(L219,[1]Produtos!$B:$B,0)), "-")</f>
        <v>ml</v>
      </c>
      <c r="P219" s="270" t="str">
        <f>IFERROR(INDEX([1]Produtos!$G:$G,MATCH(L219,[1]Produtos!$B:$B,0)), "-")</f>
        <v>DAPOP</v>
      </c>
      <c r="Q219" s="270" t="str">
        <f>IFERROR(INDEX([1]Produtos!$H:$H,MATCH(L219,[1]Produtos!$B:$B,0)), "-")</f>
        <v>PERFUMARIA</v>
      </c>
      <c r="R219" s="270" t="str">
        <f>IFERROR(INDEX([1]Produtos!$I:$I,MATCH(L219,[1]Produtos!$B:$B,0)), "-")</f>
        <v>BODY SPLASH</v>
      </c>
      <c r="S219" s="270" t="str">
        <f>IFERROR(INDEX([1]Produtos!$J:$J,MATCH(L219,[1]Produtos!$B:$B,0)), "-")</f>
        <v>LÍQUIDO</v>
      </c>
      <c r="T219" s="474"/>
      <c r="U219" s="270"/>
      <c r="V219" s="270"/>
      <c r="W219" s="270"/>
      <c r="X219" s="270"/>
      <c r="Y219" s="270"/>
      <c r="Z219" s="270"/>
      <c r="AA219" s="270"/>
      <c r="AB219" s="270"/>
      <c r="AC219" s="270"/>
      <c r="AD219" s="270"/>
      <c r="AE219" s="270"/>
      <c r="AF219" s="270"/>
      <c r="AG219" s="270"/>
      <c r="AH219" s="270"/>
      <c r="AI219" s="270"/>
      <c r="AJ219" s="270"/>
      <c r="AK219" s="270"/>
      <c r="AL219" s="270"/>
      <c r="AM219" s="663"/>
      <c r="AN219" s="663"/>
      <c r="AO219" s="708" t="str">
        <f>IF(OR(Table1[[#This Row],[Início Setup Envase]]="",Table1[[#This Row],[Final Setup Envase]]=""),"",Table1[[#This Row],[Final Setup Envase]]-Table1[[#This Row],[Início Setup Envase]])</f>
        <v/>
      </c>
      <c r="AP219" s="663"/>
      <c r="AQ219" s="663"/>
      <c r="AR219" s="270"/>
      <c r="AS219" s="270"/>
      <c r="AT219" s="270"/>
      <c r="AU219" s="270"/>
      <c r="AV219" s="270"/>
      <c r="AW219" s="270"/>
      <c r="AX219" s="270"/>
      <c r="AY219" s="270"/>
      <c r="AZ219" s="270"/>
      <c r="BA219" s="270">
        <f>IF(Table1[[#This Row],[Data de Início]]="","",YEAR(Table1[[#This Row],[Data de Início]]))</f>
        <v>2025</v>
      </c>
      <c r="BB219" s="270">
        <f>IF(Table1[[#This Row],[Data de Início]]="","",MONTH(Table1[[#This Row],[Data de Início]]))</f>
        <v>7</v>
      </c>
      <c r="BC219" s="270"/>
    </row>
    <row r="220" spans="2:55" ht="15" customHeight="1" x14ac:dyDescent="0.25">
      <c r="B220" s="470">
        <v>45841.614583333336</v>
      </c>
      <c r="C220" s="263">
        <v>45842.388888888891</v>
      </c>
      <c r="D220" s="264" cm="1">
        <f t="array" ref="D220">IFERROR(HorasUteisFabrica2Turnos(B220,C220), "")</f>
        <v>4.5833333334303461</v>
      </c>
      <c r="E220" s="265">
        <f t="shared" si="3"/>
        <v>1007.9999999786643</v>
      </c>
      <c r="F220" s="266" t="s">
        <v>377</v>
      </c>
      <c r="G220" s="266" t="s">
        <v>360</v>
      </c>
      <c r="H220" s="266"/>
      <c r="I220" s="269" t="s">
        <v>365</v>
      </c>
      <c r="J220" s="268" t="s">
        <v>15</v>
      </c>
      <c r="K220" s="268">
        <v>4620</v>
      </c>
      <c r="L220" s="269" t="s">
        <v>313</v>
      </c>
      <c r="M220" s="270" t="str">
        <f>IFERROR(INDEX([1]Produtos!$C:$C,MATCH(L220,[1]Produtos!$B:$B,0)), "-")</f>
        <v>BODY SPLASH MATTE OITAVA MARAVILHA</v>
      </c>
      <c r="N220" s="510">
        <f>IFERROR(INDEX([1]Produtos!$E:$E,MATCH(L220,[1]Produtos!$B:$B,0)), "-")</f>
        <v>120</v>
      </c>
      <c r="O220" s="270" t="str">
        <f>IFERROR(INDEX([1]Produtos!$F:$F,MATCH(L220,[1]Produtos!$B:$B,0)), "-")</f>
        <v>ml</v>
      </c>
      <c r="P220" s="270" t="str">
        <f>IFERROR(INDEX([1]Produtos!$G:$G,MATCH(L220,[1]Produtos!$B:$B,0)), "-")</f>
        <v>DAPOP</v>
      </c>
      <c r="Q220" s="270" t="str">
        <f>IFERROR(INDEX([1]Produtos!$H:$H,MATCH(L220,[1]Produtos!$B:$B,0)), "-")</f>
        <v>PERFUMARIA</v>
      </c>
      <c r="R220" s="270" t="str">
        <f>IFERROR(INDEX([1]Produtos!$I:$I,MATCH(L220,[1]Produtos!$B:$B,0)), "-")</f>
        <v>BODY SPLASH</v>
      </c>
      <c r="S220" s="270" t="str">
        <f>IFERROR(INDEX([1]Produtos!$J:$J,MATCH(L220,[1]Produtos!$B:$B,0)), "-")</f>
        <v>LÍQUIDO</v>
      </c>
      <c r="T220" s="474"/>
      <c r="U220" s="270"/>
      <c r="V220" s="270"/>
      <c r="W220" s="270"/>
      <c r="X220" s="270"/>
      <c r="Y220" s="270"/>
      <c r="Z220" s="270"/>
      <c r="AA220" s="270"/>
      <c r="AB220" s="270"/>
      <c r="AC220" s="270"/>
      <c r="AD220" s="270"/>
      <c r="AE220" s="270"/>
      <c r="AF220" s="270"/>
      <c r="AG220" s="270"/>
      <c r="AH220" s="270"/>
      <c r="AI220" s="270"/>
      <c r="AJ220" s="270"/>
      <c r="AK220" s="270"/>
      <c r="AL220" s="270"/>
      <c r="AM220" s="663"/>
      <c r="AN220" s="663"/>
      <c r="AO220" s="708" t="str">
        <f>IF(OR(Table1[[#This Row],[Início Setup Envase]]="",Table1[[#This Row],[Final Setup Envase]]=""),"",Table1[[#This Row],[Final Setup Envase]]-Table1[[#This Row],[Início Setup Envase]])</f>
        <v/>
      </c>
      <c r="AP220" s="663"/>
      <c r="AQ220" s="663"/>
      <c r="AR220" s="270"/>
      <c r="AS220" s="270"/>
      <c r="AT220" s="270"/>
      <c r="AU220" s="270"/>
      <c r="AV220" s="270"/>
      <c r="AW220" s="270"/>
      <c r="AX220" s="270"/>
      <c r="AY220" s="270"/>
      <c r="AZ220" s="270"/>
      <c r="BA220" s="270">
        <f>IF(Table1[[#This Row],[Data de Início]]="","",YEAR(Table1[[#This Row],[Data de Início]]))</f>
        <v>2025</v>
      </c>
      <c r="BB220" s="270">
        <f>IF(Table1[[#This Row],[Data de Início]]="","",MONTH(Table1[[#This Row],[Data de Início]]))</f>
        <v>7</v>
      </c>
      <c r="BC220" s="270"/>
    </row>
    <row r="221" spans="2:55" ht="15" customHeight="1" x14ac:dyDescent="0.25">
      <c r="B221" s="470">
        <v>45842.388888888891</v>
      </c>
      <c r="C221" s="263">
        <v>45842.602083333331</v>
      </c>
      <c r="D221" s="264" cm="1">
        <f t="array" ref="D221">IFERROR(HorasUteisFabrica2Turnos(B221,C221), "")</f>
        <v>4.1166666665812954</v>
      </c>
      <c r="E221" s="265">
        <f t="shared" si="3"/>
        <v>1122.2672065010063</v>
      </c>
      <c r="F221" s="266" t="s">
        <v>377</v>
      </c>
      <c r="G221" s="266" t="s">
        <v>360</v>
      </c>
      <c r="H221" s="266"/>
      <c r="I221" s="269" t="s">
        <v>368</v>
      </c>
      <c r="J221" s="268" t="s">
        <v>15</v>
      </c>
      <c r="K221" s="268">
        <v>4620</v>
      </c>
      <c r="L221" s="269" t="s">
        <v>313</v>
      </c>
      <c r="M221" s="270" t="str">
        <f>IFERROR(INDEX([1]Produtos!$C:$C,MATCH(L221,[1]Produtos!$B:$B,0)), "-")</f>
        <v>BODY SPLASH MATTE OITAVA MARAVILHA</v>
      </c>
      <c r="N221" s="510">
        <f>IFERROR(INDEX([1]Produtos!$E:$E,MATCH(L221,[1]Produtos!$B:$B,0)), "-")</f>
        <v>120</v>
      </c>
      <c r="O221" s="270" t="str">
        <f>IFERROR(INDEX([1]Produtos!$F:$F,MATCH(L221,[1]Produtos!$B:$B,0)), "-")</f>
        <v>ml</v>
      </c>
      <c r="P221" s="270" t="str">
        <f>IFERROR(INDEX([1]Produtos!$G:$G,MATCH(L221,[1]Produtos!$B:$B,0)), "-")</f>
        <v>DAPOP</v>
      </c>
      <c r="Q221" s="270" t="str">
        <f>IFERROR(INDEX([1]Produtos!$H:$H,MATCH(L221,[1]Produtos!$B:$B,0)), "-")</f>
        <v>PERFUMARIA</v>
      </c>
      <c r="R221" s="270" t="str">
        <f>IFERROR(INDEX([1]Produtos!$I:$I,MATCH(L221,[1]Produtos!$B:$B,0)), "-")</f>
        <v>BODY SPLASH</v>
      </c>
      <c r="S221" s="270" t="str">
        <f>IFERROR(INDEX([1]Produtos!$J:$J,MATCH(L221,[1]Produtos!$B:$B,0)), "-")</f>
        <v>LÍQUIDO</v>
      </c>
      <c r="T221" s="474"/>
      <c r="U221" s="270"/>
      <c r="V221" s="270"/>
      <c r="W221" s="270"/>
      <c r="X221" s="270"/>
      <c r="Y221" s="270"/>
      <c r="Z221" s="270"/>
      <c r="AA221" s="270"/>
      <c r="AB221" s="270"/>
      <c r="AC221" s="270"/>
      <c r="AD221" s="270"/>
      <c r="AE221" s="270"/>
      <c r="AF221" s="270"/>
      <c r="AG221" s="270"/>
      <c r="AH221" s="270"/>
      <c r="AI221" s="270"/>
      <c r="AJ221" s="270"/>
      <c r="AK221" s="270"/>
      <c r="AL221" s="270"/>
      <c r="AM221" s="663"/>
      <c r="AN221" s="663"/>
      <c r="AO221" s="708" t="str">
        <f>IF(OR(Table1[[#This Row],[Início Setup Envase]]="",Table1[[#This Row],[Final Setup Envase]]=""),"",Table1[[#This Row],[Final Setup Envase]]-Table1[[#This Row],[Início Setup Envase]])</f>
        <v/>
      </c>
      <c r="AP221" s="663"/>
      <c r="AQ221" s="663"/>
      <c r="AR221" s="270"/>
      <c r="AS221" s="270"/>
      <c r="AT221" s="270"/>
      <c r="AU221" s="270"/>
      <c r="AV221" s="270"/>
      <c r="AW221" s="270"/>
      <c r="AX221" s="270"/>
      <c r="AY221" s="270"/>
      <c r="AZ221" s="270"/>
      <c r="BA221" s="270">
        <f>IF(Table1[[#This Row],[Data de Início]]="","",YEAR(Table1[[#This Row],[Data de Início]]))</f>
        <v>2025</v>
      </c>
      <c r="BB221" s="270">
        <f>IF(Table1[[#This Row],[Data de Início]]="","",MONTH(Table1[[#This Row],[Data de Início]]))</f>
        <v>7</v>
      </c>
      <c r="BC221" s="270"/>
    </row>
    <row r="222" spans="2:55" ht="15" customHeight="1" x14ac:dyDescent="0.25">
      <c r="B222" s="470">
        <v>45842.602083333331</v>
      </c>
      <c r="C222" s="263">
        <v>45842.659722222219</v>
      </c>
      <c r="D222" s="264" cm="1">
        <f t="array" ref="D222">IFERROR(HorasUteisFabrica2Turnos(B222,C222), "")</f>
        <v>1.3833333333022892</v>
      </c>
      <c r="E222" s="265">
        <f t="shared" si="3"/>
        <v>1084.3373494219245</v>
      </c>
      <c r="F222" s="266" t="s">
        <v>377</v>
      </c>
      <c r="G222" s="266" t="s">
        <v>360</v>
      </c>
      <c r="H222" s="266"/>
      <c r="I222" s="269" t="s">
        <v>369</v>
      </c>
      <c r="J222" s="268" t="s">
        <v>15</v>
      </c>
      <c r="K222" s="268">
        <v>1500</v>
      </c>
      <c r="L222" s="269" t="s">
        <v>313</v>
      </c>
      <c r="M222" s="270" t="str">
        <f>IFERROR(INDEX([1]Produtos!$C:$C,MATCH(L222,[1]Produtos!$B:$B,0)), "-")</f>
        <v>BODY SPLASH MATTE OITAVA MARAVILHA</v>
      </c>
      <c r="N222" s="510">
        <f>IFERROR(INDEX([1]Produtos!$E:$E,MATCH(L222,[1]Produtos!$B:$B,0)), "-")</f>
        <v>120</v>
      </c>
      <c r="O222" s="270" t="str">
        <f>IFERROR(INDEX([1]Produtos!$F:$F,MATCH(L222,[1]Produtos!$B:$B,0)), "-")</f>
        <v>ml</v>
      </c>
      <c r="P222" s="270" t="str">
        <f>IFERROR(INDEX([1]Produtos!$G:$G,MATCH(L222,[1]Produtos!$B:$B,0)), "-")</f>
        <v>DAPOP</v>
      </c>
      <c r="Q222" s="270" t="str">
        <f>IFERROR(INDEX([1]Produtos!$H:$H,MATCH(L222,[1]Produtos!$B:$B,0)), "-")</f>
        <v>PERFUMARIA</v>
      </c>
      <c r="R222" s="270" t="str">
        <f>IFERROR(INDEX([1]Produtos!$I:$I,MATCH(L222,[1]Produtos!$B:$B,0)), "-")</f>
        <v>BODY SPLASH</v>
      </c>
      <c r="S222" s="270" t="str">
        <f>IFERROR(INDEX([1]Produtos!$J:$J,MATCH(L222,[1]Produtos!$B:$B,0)), "-")</f>
        <v>LÍQUIDO</v>
      </c>
      <c r="T222" s="474"/>
      <c r="U222" s="270"/>
      <c r="V222" s="270"/>
      <c r="W222" s="270"/>
      <c r="X222" s="270"/>
      <c r="Y222" s="270"/>
      <c r="Z222" s="270"/>
      <c r="AA222" s="270"/>
      <c r="AB222" s="270"/>
      <c r="AC222" s="270"/>
      <c r="AD222" s="270"/>
      <c r="AE222" s="270"/>
      <c r="AF222" s="270"/>
      <c r="AG222" s="270"/>
      <c r="AH222" s="270"/>
      <c r="AI222" s="270"/>
      <c r="AJ222" s="270"/>
      <c r="AK222" s="270"/>
      <c r="AL222" s="270"/>
      <c r="AM222" s="663"/>
      <c r="AN222" s="663"/>
      <c r="AO222" s="708" t="str">
        <f>IF(OR(Table1[[#This Row],[Início Setup Envase]]="",Table1[[#This Row],[Final Setup Envase]]=""),"",Table1[[#This Row],[Final Setup Envase]]-Table1[[#This Row],[Início Setup Envase]])</f>
        <v/>
      </c>
      <c r="AP222" s="663"/>
      <c r="AQ222" s="663"/>
      <c r="AR222" s="270"/>
      <c r="AS222" s="270"/>
      <c r="AT222" s="270"/>
      <c r="AU222" s="270"/>
      <c r="AV222" s="270"/>
      <c r="AW222" s="270"/>
      <c r="AX222" s="270"/>
      <c r="AY222" s="270"/>
      <c r="AZ222" s="270"/>
      <c r="BA222" s="270">
        <f>IF(Table1[[#This Row],[Data de Início]]="","",YEAR(Table1[[#This Row],[Data de Início]]))</f>
        <v>2025</v>
      </c>
      <c r="BB222" s="270">
        <f>IF(Table1[[#This Row],[Data de Início]]="","",MONTH(Table1[[#This Row],[Data de Início]]))</f>
        <v>7</v>
      </c>
      <c r="BC222" s="270"/>
    </row>
    <row r="223" spans="2:55" ht="15" customHeight="1" x14ac:dyDescent="0.25">
      <c r="B223" s="470">
        <v>45845.366666666669</v>
      </c>
      <c r="C223" s="263">
        <v>45845.479166666664</v>
      </c>
      <c r="D223" s="264" cm="1">
        <f t="array" ref="D223">IFERROR(HorasUteisFabrica2Turnos(B223,C223), "")</f>
        <v>2.6999999998952262</v>
      </c>
      <c r="E223" s="265">
        <f t="shared" si="3"/>
        <v>960.0000000372529</v>
      </c>
      <c r="F223" s="266" t="s">
        <v>377</v>
      </c>
      <c r="G223" s="266" t="s">
        <v>362</v>
      </c>
      <c r="H223" s="266"/>
      <c r="I223" s="266" t="s">
        <v>394</v>
      </c>
      <c r="J223" s="268" t="s">
        <v>15</v>
      </c>
      <c r="K223" s="268">
        <v>2592</v>
      </c>
      <c r="L223" s="269" t="s">
        <v>211</v>
      </c>
      <c r="M223" s="270" t="str">
        <f>IFERROR(INDEX([1]Produtos!$C:$C,MATCH(L223,[1]Produtos!$B:$B,0)), "-")</f>
        <v>BODY SPLASH AURORA IMPERIAL</v>
      </c>
      <c r="N223" s="510">
        <f>IFERROR(INDEX([1]Produtos!$E:$E,MATCH(L223,[1]Produtos!$B:$B,0)), "-")</f>
        <v>220</v>
      </c>
      <c r="O223" s="270" t="str">
        <f>IFERROR(INDEX([1]Produtos!$F:$F,MATCH(L223,[1]Produtos!$B:$B,0)), "-")</f>
        <v>ml</v>
      </c>
      <c r="P223" s="270" t="str">
        <f>IFERROR(INDEX([1]Produtos!$G:$G,MATCH(L223,[1]Produtos!$B:$B,0)), "-")</f>
        <v>MISS RÔSE</v>
      </c>
      <c r="Q223" s="270" t="str">
        <f>IFERROR(INDEX([1]Produtos!$H:$H,MATCH(L223,[1]Produtos!$B:$B,0)), "-")</f>
        <v>PERFUMARIA</v>
      </c>
      <c r="R223" s="270" t="str">
        <f>IFERROR(INDEX([1]Produtos!$I:$I,MATCH(L223,[1]Produtos!$B:$B,0)), "-")</f>
        <v>BODY SPLASH</v>
      </c>
      <c r="S223" s="270" t="str">
        <f>IFERROR(INDEX([1]Produtos!$J:$J,MATCH(L223,[1]Produtos!$B:$B,0)), "-")</f>
        <v>LÍQUIDO</v>
      </c>
      <c r="T223" s="474"/>
      <c r="U223" s="270"/>
      <c r="V223" s="270"/>
      <c r="W223" s="270"/>
      <c r="X223" s="270"/>
      <c r="Y223" s="270"/>
      <c r="Z223" s="270"/>
      <c r="AA223" s="270"/>
      <c r="AB223" s="270"/>
      <c r="AC223" s="270"/>
      <c r="AD223" s="270"/>
      <c r="AE223" s="270"/>
      <c r="AF223" s="270"/>
      <c r="AG223" s="270"/>
      <c r="AH223" s="270"/>
      <c r="AI223" s="270"/>
      <c r="AJ223" s="270"/>
      <c r="AK223" s="270"/>
      <c r="AL223" s="270"/>
      <c r="AM223" s="663"/>
      <c r="AN223" s="663"/>
      <c r="AO223" s="708" t="str">
        <f>IF(OR(Table1[[#This Row],[Início Setup Envase]]="",Table1[[#This Row],[Final Setup Envase]]=""),"",Table1[[#This Row],[Final Setup Envase]]-Table1[[#This Row],[Início Setup Envase]])</f>
        <v/>
      </c>
      <c r="AP223" s="663"/>
      <c r="AQ223" s="663"/>
      <c r="AR223" s="270"/>
      <c r="AS223" s="270"/>
      <c r="AT223" s="270"/>
      <c r="AU223" s="270"/>
      <c r="AV223" s="270"/>
      <c r="AW223" s="270"/>
      <c r="AX223" s="270"/>
      <c r="AY223" s="270"/>
      <c r="AZ223" s="270"/>
      <c r="BA223" s="270">
        <f>IF(Table1[[#This Row],[Data de Início]]="","",YEAR(Table1[[#This Row],[Data de Início]]))</f>
        <v>2025</v>
      </c>
      <c r="BB223" s="270">
        <f>IF(Table1[[#This Row],[Data de Início]]="","",MONTH(Table1[[#This Row],[Data de Início]]))</f>
        <v>7</v>
      </c>
      <c r="BC223" s="270"/>
    </row>
    <row r="224" spans="2:55" ht="15" customHeight="1" x14ac:dyDescent="0.25">
      <c r="B224" s="470">
        <v>45845.583333333336</v>
      </c>
      <c r="C224" s="263">
        <v>45845.625</v>
      </c>
      <c r="D224" s="264" cm="1">
        <f t="array" ref="D224">IFERROR(HorasUteisFabrica2Turnos(B224,C224), "")</f>
        <v>0.99999999994179234</v>
      </c>
      <c r="E224" s="265">
        <f t="shared" si="3"/>
        <v>720.00000004190952</v>
      </c>
      <c r="F224" s="266" t="s">
        <v>377</v>
      </c>
      <c r="G224" s="266" t="s">
        <v>362</v>
      </c>
      <c r="H224" s="266"/>
      <c r="I224" s="266" t="s">
        <v>395</v>
      </c>
      <c r="J224" s="268" t="s">
        <v>15</v>
      </c>
      <c r="K224" s="268">
        <v>720</v>
      </c>
      <c r="L224" s="269" t="s">
        <v>211</v>
      </c>
      <c r="M224" s="270" t="str">
        <f>IFERROR(INDEX([1]Produtos!$C:$C,MATCH(L224,[1]Produtos!$B:$B,0)), "-")</f>
        <v>BODY SPLASH AURORA IMPERIAL</v>
      </c>
      <c r="N224" s="510">
        <f>IFERROR(INDEX([1]Produtos!$E:$E,MATCH(L224,[1]Produtos!$B:$B,0)), "-")</f>
        <v>220</v>
      </c>
      <c r="O224" s="270" t="str">
        <f>IFERROR(INDEX([1]Produtos!$F:$F,MATCH(L224,[1]Produtos!$B:$B,0)), "-")</f>
        <v>ml</v>
      </c>
      <c r="P224" s="270" t="str">
        <f>IFERROR(INDEX([1]Produtos!$G:$G,MATCH(L224,[1]Produtos!$B:$B,0)), "-")</f>
        <v>MISS RÔSE</v>
      </c>
      <c r="Q224" s="270" t="str">
        <f>IFERROR(INDEX([1]Produtos!$H:$H,MATCH(L224,[1]Produtos!$B:$B,0)), "-")</f>
        <v>PERFUMARIA</v>
      </c>
      <c r="R224" s="270" t="str">
        <f>IFERROR(INDEX([1]Produtos!$I:$I,MATCH(L224,[1]Produtos!$B:$B,0)), "-")</f>
        <v>BODY SPLASH</v>
      </c>
      <c r="S224" s="270" t="str">
        <f>IFERROR(INDEX([1]Produtos!$J:$J,MATCH(L224,[1]Produtos!$B:$B,0)), "-")</f>
        <v>LÍQUIDO</v>
      </c>
      <c r="T224" s="474"/>
      <c r="U224" s="270"/>
      <c r="V224" s="270"/>
      <c r="W224" s="270"/>
      <c r="X224" s="270"/>
      <c r="Y224" s="270"/>
      <c r="Z224" s="270"/>
      <c r="AA224" s="270"/>
      <c r="AB224" s="270"/>
      <c r="AC224" s="270"/>
      <c r="AD224" s="270"/>
      <c r="AE224" s="270"/>
      <c r="AF224" s="270"/>
      <c r="AG224" s="270"/>
      <c r="AH224" s="270"/>
      <c r="AI224" s="270"/>
      <c r="AJ224" s="270"/>
      <c r="AK224" s="270"/>
      <c r="AL224" s="270"/>
      <c r="AM224" s="663"/>
      <c r="AN224" s="663"/>
      <c r="AO224" s="708" t="str">
        <f>IF(OR(Table1[[#This Row],[Início Setup Envase]]="",Table1[[#This Row],[Final Setup Envase]]=""),"",Table1[[#This Row],[Final Setup Envase]]-Table1[[#This Row],[Início Setup Envase]])</f>
        <v/>
      </c>
      <c r="AP224" s="663"/>
      <c r="AQ224" s="663"/>
      <c r="AR224" s="270"/>
      <c r="AS224" s="270"/>
      <c r="AT224" s="270"/>
      <c r="AU224" s="270"/>
      <c r="AV224" s="270"/>
      <c r="AW224" s="270"/>
      <c r="AX224" s="270"/>
      <c r="AY224" s="270"/>
      <c r="AZ224" s="270"/>
      <c r="BA224" s="270">
        <f>IF(Table1[[#This Row],[Data de Início]]="","",YEAR(Table1[[#This Row],[Data de Início]]))</f>
        <v>2025</v>
      </c>
      <c r="BB224" s="270">
        <f>IF(Table1[[#This Row],[Data de Início]]="","",MONTH(Table1[[#This Row],[Data de Início]]))</f>
        <v>7</v>
      </c>
      <c r="BC224" s="270"/>
    </row>
    <row r="225" spans="2:55" ht="15" customHeight="1" x14ac:dyDescent="0.25">
      <c r="B225" s="470">
        <v>45845.583333333336</v>
      </c>
      <c r="C225" s="263">
        <v>45845.708333333336</v>
      </c>
      <c r="D225" s="264" cm="1">
        <f t="array" ref="D225">IFERROR(HorasUteisFabrica2Turnos(B225,C225), "")</f>
        <v>3</v>
      </c>
      <c r="E225" s="265">
        <f t="shared" si="3"/>
        <v>1026.6666666666667</v>
      </c>
      <c r="F225" s="266" t="s">
        <v>377</v>
      </c>
      <c r="G225" s="266" t="s">
        <v>360</v>
      </c>
      <c r="H225" s="266"/>
      <c r="I225" s="269" t="s">
        <v>373</v>
      </c>
      <c r="J225" s="268" t="s">
        <v>15</v>
      </c>
      <c r="K225" s="268">
        <v>3080</v>
      </c>
      <c r="L225" s="269" t="s">
        <v>372</v>
      </c>
      <c r="M225" s="270" t="str">
        <f>IFERROR(INDEX([1]Produtos!$C:$C,MATCH(L225,[1]Produtos!$B:$B,0)), "-")</f>
        <v>BODY SPLASH MATTE DOCE SEDUÇÃO</v>
      </c>
      <c r="N225" s="510">
        <f>IFERROR(INDEX([1]Produtos!$E:$E,MATCH(L225,[1]Produtos!$B:$B,0)), "-")</f>
        <v>120</v>
      </c>
      <c r="O225" s="270" t="str">
        <f>IFERROR(INDEX([1]Produtos!$F:$F,MATCH(L225,[1]Produtos!$B:$B,0)), "-")</f>
        <v>ml</v>
      </c>
      <c r="P225" s="270" t="str">
        <f>IFERROR(INDEX([1]Produtos!$G:$G,MATCH(L225,[1]Produtos!$B:$B,0)), "-")</f>
        <v>DAPOP</v>
      </c>
      <c r="Q225" s="270" t="str">
        <f>IFERROR(INDEX([1]Produtos!$H:$H,MATCH(L225,[1]Produtos!$B:$B,0)), "-")</f>
        <v>PERFUMARIA</v>
      </c>
      <c r="R225" s="270" t="str">
        <f>IFERROR(INDEX([1]Produtos!$I:$I,MATCH(L225,[1]Produtos!$B:$B,0)), "-")</f>
        <v>BODY SPLASH</v>
      </c>
      <c r="S225" s="270" t="str">
        <f>IFERROR(INDEX([1]Produtos!$J:$J,MATCH(L225,[1]Produtos!$B:$B,0)), "-")</f>
        <v>LÍQUIDO</v>
      </c>
      <c r="T225" s="474"/>
      <c r="U225" s="270"/>
      <c r="V225" s="270"/>
      <c r="W225" s="270"/>
      <c r="X225" s="270"/>
      <c r="Y225" s="270"/>
      <c r="Z225" s="270"/>
      <c r="AA225" s="270"/>
      <c r="AB225" s="270"/>
      <c r="AC225" s="270"/>
      <c r="AD225" s="270"/>
      <c r="AE225" s="270"/>
      <c r="AF225" s="270"/>
      <c r="AG225" s="270"/>
      <c r="AH225" s="270"/>
      <c r="AI225" s="270"/>
      <c r="AJ225" s="270"/>
      <c r="AK225" s="270"/>
      <c r="AL225" s="270"/>
      <c r="AM225" s="663"/>
      <c r="AN225" s="663"/>
      <c r="AO225" s="708" t="str">
        <f>IF(OR(Table1[[#This Row],[Início Setup Envase]]="",Table1[[#This Row],[Final Setup Envase]]=""),"",Table1[[#This Row],[Final Setup Envase]]-Table1[[#This Row],[Início Setup Envase]])</f>
        <v/>
      </c>
      <c r="AP225" s="663"/>
      <c r="AQ225" s="663"/>
      <c r="AR225" s="270"/>
      <c r="AS225" s="270"/>
      <c r="AT225" s="270"/>
      <c r="AU225" s="270"/>
      <c r="AV225" s="270"/>
      <c r="AW225" s="270"/>
      <c r="AX225" s="270"/>
      <c r="AY225" s="270"/>
      <c r="AZ225" s="270"/>
      <c r="BA225" s="270">
        <f>IF(Table1[[#This Row],[Data de Início]]="","",YEAR(Table1[[#This Row],[Data de Início]]))</f>
        <v>2025</v>
      </c>
      <c r="BB225" s="270">
        <f>IF(Table1[[#This Row],[Data de Início]]="","",MONTH(Table1[[#This Row],[Data de Início]]))</f>
        <v>7</v>
      </c>
      <c r="BC225" s="270"/>
    </row>
    <row r="226" spans="2:55" ht="15" customHeight="1" x14ac:dyDescent="0.25">
      <c r="B226" s="470">
        <v>45846.291666666664</v>
      </c>
      <c r="C226" s="263">
        <v>45846.354166666664</v>
      </c>
      <c r="D226" s="264" cm="1">
        <f t="array" ref="D226">IFERROR(HorasUteisFabrica2Turnos(B226,C226), "")</f>
        <v>1.5</v>
      </c>
      <c r="E226" s="265">
        <f t="shared" si="3"/>
        <v>1026.6666666666667</v>
      </c>
      <c r="F226" s="266" t="s">
        <v>377</v>
      </c>
      <c r="G226" s="266" t="s">
        <v>360</v>
      </c>
      <c r="H226" s="266"/>
      <c r="I226" s="269" t="s">
        <v>373</v>
      </c>
      <c r="J226" s="268" t="s">
        <v>15</v>
      </c>
      <c r="K226" s="268">
        <v>1540</v>
      </c>
      <c r="L226" s="269" t="s">
        <v>372</v>
      </c>
      <c r="M226" s="270" t="str">
        <f>IFERROR(INDEX([1]Produtos!$C:$C,MATCH(L226,[1]Produtos!$B:$B,0)), "-")</f>
        <v>BODY SPLASH MATTE DOCE SEDUÇÃO</v>
      </c>
      <c r="N226" s="510">
        <f>IFERROR(INDEX([1]Produtos!$E:$E,MATCH(L226,[1]Produtos!$B:$B,0)), "-")</f>
        <v>120</v>
      </c>
      <c r="O226" s="270" t="str">
        <f>IFERROR(INDEX([1]Produtos!$F:$F,MATCH(L226,[1]Produtos!$B:$B,0)), "-")</f>
        <v>ml</v>
      </c>
      <c r="P226" s="270" t="str">
        <f>IFERROR(INDEX([1]Produtos!$G:$G,MATCH(L226,[1]Produtos!$B:$B,0)), "-")</f>
        <v>DAPOP</v>
      </c>
      <c r="Q226" s="270" t="str">
        <f>IFERROR(INDEX([1]Produtos!$H:$H,MATCH(L226,[1]Produtos!$B:$B,0)), "-")</f>
        <v>PERFUMARIA</v>
      </c>
      <c r="R226" s="270" t="str">
        <f>IFERROR(INDEX([1]Produtos!$I:$I,MATCH(L226,[1]Produtos!$B:$B,0)), "-")</f>
        <v>BODY SPLASH</v>
      </c>
      <c r="S226" s="270" t="str">
        <f>IFERROR(INDEX([1]Produtos!$J:$J,MATCH(L226,[1]Produtos!$B:$B,0)), "-")</f>
        <v>LÍQUIDO</v>
      </c>
      <c r="T226" s="474"/>
      <c r="U226" s="270"/>
      <c r="V226" s="270"/>
      <c r="W226" s="270"/>
      <c r="X226" s="270"/>
      <c r="Y226" s="270"/>
      <c r="Z226" s="270"/>
      <c r="AA226" s="270"/>
      <c r="AB226" s="270"/>
      <c r="AC226" s="270"/>
      <c r="AD226" s="270"/>
      <c r="AE226" s="270"/>
      <c r="AF226" s="270"/>
      <c r="AG226" s="270"/>
      <c r="AH226" s="270"/>
      <c r="AI226" s="270"/>
      <c r="AJ226" s="270"/>
      <c r="AK226" s="270"/>
      <c r="AL226" s="270"/>
      <c r="AM226" s="663"/>
      <c r="AN226" s="663"/>
      <c r="AO226" s="708" t="str">
        <f>IF(OR(Table1[[#This Row],[Início Setup Envase]]="",Table1[[#This Row],[Final Setup Envase]]=""),"",Table1[[#This Row],[Final Setup Envase]]-Table1[[#This Row],[Início Setup Envase]])</f>
        <v/>
      </c>
      <c r="AP226" s="663"/>
      <c r="AQ226" s="663"/>
      <c r="AR226" s="270"/>
      <c r="AS226" s="270"/>
      <c r="AT226" s="270"/>
      <c r="AU226" s="270"/>
      <c r="AV226" s="270"/>
      <c r="AW226" s="270"/>
      <c r="AX226" s="270"/>
      <c r="AY226" s="270"/>
      <c r="AZ226" s="270"/>
      <c r="BA226" s="270">
        <f>IF(Table1[[#This Row],[Data de Início]]="","",YEAR(Table1[[#This Row],[Data de Início]]))</f>
        <v>2025</v>
      </c>
      <c r="BB226" s="270">
        <f>IF(Table1[[#This Row],[Data de Início]]="","",MONTH(Table1[[#This Row],[Data de Início]]))</f>
        <v>7</v>
      </c>
      <c r="BC226" s="270"/>
    </row>
    <row r="227" spans="2:55" ht="15" customHeight="1" x14ac:dyDescent="0.25">
      <c r="B227" s="470">
        <v>45846.323611111111</v>
      </c>
      <c r="C227" s="263">
        <v>45846.458333333336</v>
      </c>
      <c r="D227" s="264" cm="1">
        <f t="array" ref="D227">IFERROR(HorasUteisFabrica2Turnos(B227,C227), "")</f>
        <v>3.2333333333954215</v>
      </c>
      <c r="E227" s="265">
        <f t="shared" si="3"/>
        <v>157.11340205883869</v>
      </c>
      <c r="F227" s="266" t="s">
        <v>378</v>
      </c>
      <c r="G227" s="266" t="s">
        <v>359</v>
      </c>
      <c r="H227" s="266"/>
      <c r="I227" s="269" t="s">
        <v>396</v>
      </c>
      <c r="J227" s="267" t="s">
        <v>15</v>
      </c>
      <c r="K227" s="269">
        <v>508</v>
      </c>
      <c r="L227" s="269" t="s">
        <v>234</v>
      </c>
      <c r="M227" s="270" t="str">
        <f>IFERROR(INDEX([1]Produtos!$C:$C,MATCH(L227,[1]Produtos!$B:$B,0)), "-")</f>
        <v>PERFUME FEMININO 02 LA VIE EST BELLE</v>
      </c>
      <c r="N227" s="510">
        <f>IFERROR(INDEX([1]Produtos!$E:$E,MATCH(L227,[1]Produtos!$B:$B,0)), "-")</f>
        <v>50</v>
      </c>
      <c r="O227" s="270" t="str">
        <f>IFERROR(INDEX([1]Produtos!$F:$F,MATCH(L227,[1]Produtos!$B:$B,0)), "-")</f>
        <v>ml</v>
      </c>
      <c r="P227" s="270" t="str">
        <f>IFERROR(INDEX([1]Produtos!$G:$G,MATCH(L227,[1]Produtos!$B:$B,0)), "-")</f>
        <v>MOUTIER</v>
      </c>
      <c r="Q227" s="270" t="str">
        <f>IFERROR(INDEX([1]Produtos!$H:$H,MATCH(L227,[1]Produtos!$B:$B,0)), "-")</f>
        <v>PERFUMARIA</v>
      </c>
      <c r="R227" s="270" t="str">
        <f>IFERROR(INDEX([1]Produtos!$I:$I,MATCH(L227,[1]Produtos!$B:$B,0)), "-")</f>
        <v>PERFUME</v>
      </c>
      <c r="S227" s="270" t="str">
        <f>IFERROR(INDEX([1]Produtos!$J:$J,MATCH(L227,[1]Produtos!$B:$B,0)), "-")</f>
        <v>LÍQUIDO</v>
      </c>
      <c r="T227" s="474"/>
      <c r="U227" s="270"/>
      <c r="V227" s="270"/>
      <c r="W227" s="270"/>
      <c r="X227" s="270"/>
      <c r="Y227" s="270"/>
      <c r="Z227" s="270"/>
      <c r="AA227" s="270"/>
      <c r="AB227" s="270"/>
      <c r="AC227" s="270"/>
      <c r="AD227" s="270"/>
      <c r="AE227" s="270"/>
      <c r="AF227" s="270"/>
      <c r="AG227" s="270"/>
      <c r="AH227" s="270"/>
      <c r="AI227" s="270"/>
      <c r="AJ227" s="270"/>
      <c r="AK227" s="270"/>
      <c r="AL227" s="270"/>
      <c r="AM227" s="663"/>
      <c r="AN227" s="663"/>
      <c r="AO227" s="708" t="str">
        <f>IF(OR(Table1[[#This Row],[Início Setup Envase]]="",Table1[[#This Row],[Final Setup Envase]]=""),"",Table1[[#This Row],[Final Setup Envase]]-Table1[[#This Row],[Início Setup Envase]])</f>
        <v/>
      </c>
      <c r="AP227" s="663"/>
      <c r="AQ227" s="663"/>
      <c r="AR227" s="270"/>
      <c r="AS227" s="270"/>
      <c r="AT227" s="270"/>
      <c r="AU227" s="270"/>
      <c r="AV227" s="270"/>
      <c r="AW227" s="270"/>
      <c r="AX227" s="270"/>
      <c r="AY227" s="270"/>
      <c r="AZ227" s="270"/>
      <c r="BA227" s="270">
        <f>IF(Table1[[#This Row],[Data de Início]]="","",YEAR(Table1[[#This Row],[Data de Início]]))</f>
        <v>2025</v>
      </c>
      <c r="BB227" s="270">
        <f>IF(Table1[[#This Row],[Data de Início]]="","",MONTH(Table1[[#This Row],[Data de Início]]))</f>
        <v>7</v>
      </c>
      <c r="BC227" s="270"/>
    </row>
    <row r="228" spans="2:55" ht="15" customHeight="1" x14ac:dyDescent="0.25">
      <c r="B228" s="470">
        <v>45846.354166666664</v>
      </c>
      <c r="C228" s="263">
        <v>45846.493055555555</v>
      </c>
      <c r="D228" s="264" cm="1">
        <f t="array" ref="D228">IFERROR(HorasUteisFabrica2Turnos(B228,C228), "")</f>
        <v>3.3333333333721384</v>
      </c>
      <c r="E228" s="265">
        <f t="shared" si="3"/>
        <v>1385.9999999838649</v>
      </c>
      <c r="F228" s="266" t="s">
        <v>377</v>
      </c>
      <c r="G228" s="266" t="s">
        <v>360</v>
      </c>
      <c r="H228" s="266"/>
      <c r="I228" s="269" t="s">
        <v>383</v>
      </c>
      <c r="J228" s="268" t="s">
        <v>15</v>
      </c>
      <c r="K228" s="268">
        <v>4620</v>
      </c>
      <c r="L228" s="269" t="s">
        <v>372</v>
      </c>
      <c r="M228" s="270" t="str">
        <f>IFERROR(INDEX([1]Produtos!$C:$C,MATCH(L228,[1]Produtos!$B:$B,0)), "-")</f>
        <v>BODY SPLASH MATTE DOCE SEDUÇÃO</v>
      </c>
      <c r="N228" s="510">
        <f>IFERROR(INDEX([1]Produtos!$E:$E,MATCH(L228,[1]Produtos!$B:$B,0)), "-")</f>
        <v>120</v>
      </c>
      <c r="O228" s="270" t="str">
        <f>IFERROR(INDEX([1]Produtos!$F:$F,MATCH(L228,[1]Produtos!$B:$B,0)), "-")</f>
        <v>ml</v>
      </c>
      <c r="P228" s="270" t="str">
        <f>IFERROR(INDEX([1]Produtos!$G:$G,MATCH(L228,[1]Produtos!$B:$B,0)), "-")</f>
        <v>DAPOP</v>
      </c>
      <c r="Q228" s="270" t="str">
        <f>IFERROR(INDEX([1]Produtos!$H:$H,MATCH(L228,[1]Produtos!$B:$B,0)), "-")</f>
        <v>PERFUMARIA</v>
      </c>
      <c r="R228" s="270" t="str">
        <f>IFERROR(INDEX([1]Produtos!$I:$I,MATCH(L228,[1]Produtos!$B:$B,0)), "-")</f>
        <v>BODY SPLASH</v>
      </c>
      <c r="S228" s="270" t="str">
        <f>IFERROR(INDEX([1]Produtos!$J:$J,MATCH(L228,[1]Produtos!$B:$B,0)), "-")</f>
        <v>LÍQUIDO</v>
      </c>
      <c r="T228" s="474"/>
      <c r="U228" s="270"/>
      <c r="V228" s="270"/>
      <c r="W228" s="270"/>
      <c r="X228" s="270"/>
      <c r="Y228" s="270"/>
      <c r="Z228" s="270"/>
      <c r="AA228" s="270"/>
      <c r="AB228" s="270"/>
      <c r="AC228" s="270"/>
      <c r="AD228" s="270"/>
      <c r="AE228" s="270"/>
      <c r="AF228" s="270"/>
      <c r="AG228" s="270"/>
      <c r="AH228" s="270"/>
      <c r="AI228" s="270"/>
      <c r="AJ228" s="270"/>
      <c r="AK228" s="270"/>
      <c r="AL228" s="270"/>
      <c r="AM228" s="663"/>
      <c r="AN228" s="663"/>
      <c r="AO228" s="708" t="str">
        <f>IF(OR(Table1[[#This Row],[Início Setup Envase]]="",Table1[[#This Row],[Final Setup Envase]]=""),"",Table1[[#This Row],[Final Setup Envase]]-Table1[[#This Row],[Início Setup Envase]])</f>
        <v/>
      </c>
      <c r="AP228" s="663"/>
      <c r="AQ228" s="663"/>
      <c r="AR228" s="270"/>
      <c r="AS228" s="270"/>
      <c r="AT228" s="270"/>
      <c r="AU228" s="270"/>
      <c r="AV228" s="270"/>
      <c r="AW228" s="270"/>
      <c r="AX228" s="270"/>
      <c r="AY228" s="270"/>
      <c r="AZ228" s="270"/>
      <c r="BA228" s="270">
        <f>IF(Table1[[#This Row],[Data de Início]]="","",YEAR(Table1[[#This Row],[Data de Início]]))</f>
        <v>2025</v>
      </c>
      <c r="BB228" s="270">
        <f>IF(Table1[[#This Row],[Data de Início]]="","",MONTH(Table1[[#This Row],[Data de Início]]))</f>
        <v>7</v>
      </c>
      <c r="BC228" s="270"/>
    </row>
    <row r="229" spans="2:55" ht="15" customHeight="1" x14ac:dyDescent="0.25">
      <c r="B229" s="470">
        <v>45846.541666666664</v>
      </c>
      <c r="C229" s="263">
        <v>45846.698611111111</v>
      </c>
      <c r="D229" s="264" cm="1">
        <f t="array" ref="D229">IFERROR(HorasUteisFabrica2Turnos(B229,C229), "")</f>
        <v>3.7666666667209938</v>
      </c>
      <c r="E229" s="265">
        <f t="shared" si="3"/>
        <v>1226.548672548681</v>
      </c>
      <c r="F229" s="266" t="s">
        <v>377</v>
      </c>
      <c r="G229" s="266" t="s">
        <v>360</v>
      </c>
      <c r="H229" s="266"/>
      <c r="I229" s="269" t="s">
        <v>397</v>
      </c>
      <c r="J229" s="268" t="s">
        <v>15</v>
      </c>
      <c r="K229" s="268">
        <v>4620</v>
      </c>
      <c r="L229" s="269" t="s">
        <v>372</v>
      </c>
      <c r="M229" s="270" t="str">
        <f>IFERROR(INDEX([1]Produtos!$C:$C,MATCH(L229,[1]Produtos!$B:$B,0)), "-")</f>
        <v>BODY SPLASH MATTE DOCE SEDUÇÃO</v>
      </c>
      <c r="N229" s="510">
        <f>IFERROR(INDEX([1]Produtos!$E:$E,MATCH(L229,[1]Produtos!$B:$B,0)), "-")</f>
        <v>120</v>
      </c>
      <c r="O229" s="270" t="str">
        <f>IFERROR(INDEX([1]Produtos!$F:$F,MATCH(L229,[1]Produtos!$B:$B,0)), "-")</f>
        <v>ml</v>
      </c>
      <c r="P229" s="270" t="str">
        <f>IFERROR(INDEX([1]Produtos!$G:$G,MATCH(L229,[1]Produtos!$B:$B,0)), "-")</f>
        <v>DAPOP</v>
      </c>
      <c r="Q229" s="270" t="str">
        <f>IFERROR(INDEX([1]Produtos!$H:$H,MATCH(L229,[1]Produtos!$B:$B,0)), "-")</f>
        <v>PERFUMARIA</v>
      </c>
      <c r="R229" s="270" t="str">
        <f>IFERROR(INDEX([1]Produtos!$I:$I,MATCH(L229,[1]Produtos!$B:$B,0)), "-")</f>
        <v>BODY SPLASH</v>
      </c>
      <c r="S229" s="270" t="str">
        <f>IFERROR(INDEX([1]Produtos!$J:$J,MATCH(L229,[1]Produtos!$B:$B,0)), "-")</f>
        <v>LÍQUIDO</v>
      </c>
      <c r="T229" s="474"/>
      <c r="U229" s="270"/>
      <c r="V229" s="270"/>
      <c r="W229" s="270"/>
      <c r="X229" s="270"/>
      <c r="Y229" s="270"/>
      <c r="Z229" s="270"/>
      <c r="AA229" s="270"/>
      <c r="AB229" s="270"/>
      <c r="AC229" s="270"/>
      <c r="AD229" s="270"/>
      <c r="AE229" s="270"/>
      <c r="AF229" s="270"/>
      <c r="AG229" s="270"/>
      <c r="AH229" s="270"/>
      <c r="AI229" s="270"/>
      <c r="AJ229" s="270"/>
      <c r="AK229" s="270"/>
      <c r="AL229" s="270"/>
      <c r="AM229" s="663"/>
      <c r="AN229" s="663"/>
      <c r="AO229" s="708" t="str">
        <f>IF(OR(Table1[[#This Row],[Início Setup Envase]]="",Table1[[#This Row],[Final Setup Envase]]=""),"",Table1[[#This Row],[Final Setup Envase]]-Table1[[#This Row],[Início Setup Envase]])</f>
        <v/>
      </c>
      <c r="AP229" s="663"/>
      <c r="AQ229" s="663"/>
      <c r="AR229" s="270"/>
      <c r="AS229" s="270"/>
      <c r="AT229" s="270"/>
      <c r="AU229" s="270"/>
      <c r="AV229" s="270"/>
      <c r="AW229" s="270"/>
      <c r="AX229" s="270"/>
      <c r="AY229" s="270"/>
      <c r="AZ229" s="270"/>
      <c r="BA229" s="270">
        <f>IF(Table1[[#This Row],[Data de Início]]="","",YEAR(Table1[[#This Row],[Data de Início]]))</f>
        <v>2025</v>
      </c>
      <c r="BB229" s="270">
        <f>IF(Table1[[#This Row],[Data de Início]]="","",MONTH(Table1[[#This Row],[Data de Início]]))</f>
        <v>7</v>
      </c>
      <c r="BC229" s="270"/>
    </row>
    <row r="230" spans="2:55" ht="15" customHeight="1" x14ac:dyDescent="0.25">
      <c r="B230" s="470">
        <v>45846.698611111111</v>
      </c>
      <c r="C230" s="263">
        <v>45846.708333333336</v>
      </c>
      <c r="D230" s="264" cm="1">
        <f t="array" ref="D230">IFERROR(HorasUteisFabrica2Turnos(B230,C230), "")</f>
        <v>0.2333333333954215</v>
      </c>
      <c r="E230" s="265">
        <f t="shared" si="3"/>
        <v>1091.3385826311478</v>
      </c>
      <c r="F230" s="266" t="s">
        <v>377</v>
      </c>
      <c r="G230" s="266" t="s">
        <v>360</v>
      </c>
      <c r="H230" s="266"/>
      <c r="I230" s="269" t="s">
        <v>398</v>
      </c>
      <c r="J230" s="268" t="s">
        <v>15</v>
      </c>
      <c r="K230" s="268">
        <v>254.64566934836037</v>
      </c>
      <c r="L230" s="269" t="s">
        <v>372</v>
      </c>
      <c r="M230" s="270" t="str">
        <f>IFERROR(INDEX([1]Produtos!$C:$C,MATCH(L230,[1]Produtos!$B:$B,0)), "-")</f>
        <v>BODY SPLASH MATTE DOCE SEDUÇÃO</v>
      </c>
      <c r="N230" s="510">
        <f>IFERROR(INDEX([1]Produtos!$E:$E,MATCH(L230,[1]Produtos!$B:$B,0)), "-")</f>
        <v>120</v>
      </c>
      <c r="O230" s="270" t="str">
        <f>IFERROR(INDEX([1]Produtos!$F:$F,MATCH(L230,[1]Produtos!$B:$B,0)), "-")</f>
        <v>ml</v>
      </c>
      <c r="P230" s="270" t="str">
        <f>IFERROR(INDEX([1]Produtos!$G:$G,MATCH(L230,[1]Produtos!$B:$B,0)), "-")</f>
        <v>DAPOP</v>
      </c>
      <c r="Q230" s="270" t="str">
        <f>IFERROR(INDEX([1]Produtos!$H:$H,MATCH(L230,[1]Produtos!$B:$B,0)), "-")</f>
        <v>PERFUMARIA</v>
      </c>
      <c r="R230" s="270" t="str">
        <f>IFERROR(INDEX([1]Produtos!$I:$I,MATCH(L230,[1]Produtos!$B:$B,0)), "-")</f>
        <v>BODY SPLASH</v>
      </c>
      <c r="S230" s="270" t="str">
        <f>IFERROR(INDEX([1]Produtos!$J:$J,MATCH(L230,[1]Produtos!$B:$B,0)), "-")</f>
        <v>LÍQUIDO</v>
      </c>
      <c r="T230" s="474"/>
      <c r="U230" s="270"/>
      <c r="V230" s="270"/>
      <c r="W230" s="270"/>
      <c r="X230" s="270"/>
      <c r="Y230" s="270"/>
      <c r="Z230" s="270"/>
      <c r="AA230" s="270"/>
      <c r="AB230" s="270"/>
      <c r="AC230" s="270"/>
      <c r="AD230" s="270"/>
      <c r="AE230" s="270"/>
      <c r="AF230" s="270"/>
      <c r="AG230" s="270"/>
      <c r="AH230" s="270"/>
      <c r="AI230" s="270"/>
      <c r="AJ230" s="270"/>
      <c r="AK230" s="270"/>
      <c r="AL230" s="270"/>
      <c r="AM230" s="663"/>
      <c r="AN230" s="663"/>
      <c r="AO230" s="708" t="str">
        <f>IF(OR(Table1[[#This Row],[Início Setup Envase]]="",Table1[[#This Row],[Final Setup Envase]]=""),"",Table1[[#This Row],[Final Setup Envase]]-Table1[[#This Row],[Início Setup Envase]])</f>
        <v/>
      </c>
      <c r="AP230" s="663"/>
      <c r="AQ230" s="663"/>
      <c r="AR230" s="270"/>
      <c r="AS230" s="270"/>
      <c r="AT230" s="270"/>
      <c r="AU230" s="270"/>
      <c r="AV230" s="270"/>
      <c r="AW230" s="270"/>
      <c r="AX230" s="270"/>
      <c r="AY230" s="270"/>
      <c r="AZ230" s="270"/>
      <c r="BA230" s="270">
        <f>IF(Table1[[#This Row],[Data de Início]]="","",YEAR(Table1[[#This Row],[Data de Início]]))</f>
        <v>2025</v>
      </c>
      <c r="BB230" s="270">
        <f>IF(Table1[[#This Row],[Data de Início]]="","",MONTH(Table1[[#This Row],[Data de Início]]))</f>
        <v>7</v>
      </c>
      <c r="BC230" s="270"/>
    </row>
    <row r="231" spans="2:55" ht="15" customHeight="1" x14ac:dyDescent="0.25">
      <c r="B231" s="470">
        <v>45847.291666666664</v>
      </c>
      <c r="C231" s="263">
        <v>45847.458333333336</v>
      </c>
      <c r="D231" s="264" cm="1">
        <f t="array" ref="D231">IFERROR(HorasUteisFabrica2Turnos(B231,C231), "")</f>
        <v>4.0000000001164153</v>
      </c>
      <c r="E231" s="265">
        <f t="shared" si="3"/>
        <v>1091.3385826311478</v>
      </c>
      <c r="F231" s="266" t="s">
        <v>377</v>
      </c>
      <c r="G231" s="266" t="s">
        <v>360</v>
      </c>
      <c r="H231" s="266"/>
      <c r="I231" s="269" t="s">
        <v>398</v>
      </c>
      <c r="J231" s="268" t="s">
        <v>15</v>
      </c>
      <c r="K231" s="268">
        <v>4365.3543306516394</v>
      </c>
      <c r="L231" s="269" t="s">
        <v>372</v>
      </c>
      <c r="M231" s="270" t="str">
        <f>IFERROR(INDEX([1]Produtos!$C:$C,MATCH(L231,[1]Produtos!$B:$B,0)), "-")</f>
        <v>BODY SPLASH MATTE DOCE SEDUÇÃO</v>
      </c>
      <c r="N231" s="510">
        <f>IFERROR(INDEX([1]Produtos!$E:$E,MATCH(L231,[1]Produtos!$B:$B,0)), "-")</f>
        <v>120</v>
      </c>
      <c r="O231" s="270" t="str">
        <f>IFERROR(INDEX([1]Produtos!$F:$F,MATCH(L231,[1]Produtos!$B:$B,0)), "-")</f>
        <v>ml</v>
      </c>
      <c r="P231" s="270" t="str">
        <f>IFERROR(INDEX([1]Produtos!$G:$G,MATCH(L231,[1]Produtos!$B:$B,0)), "-")</f>
        <v>DAPOP</v>
      </c>
      <c r="Q231" s="270" t="str">
        <f>IFERROR(INDEX([1]Produtos!$H:$H,MATCH(L231,[1]Produtos!$B:$B,0)), "-")</f>
        <v>PERFUMARIA</v>
      </c>
      <c r="R231" s="270" t="str">
        <f>IFERROR(INDEX([1]Produtos!$I:$I,MATCH(L231,[1]Produtos!$B:$B,0)), "-")</f>
        <v>BODY SPLASH</v>
      </c>
      <c r="S231" s="270" t="str">
        <f>IFERROR(INDEX([1]Produtos!$J:$J,MATCH(L231,[1]Produtos!$B:$B,0)), "-")</f>
        <v>LÍQUIDO</v>
      </c>
      <c r="T231" s="474"/>
      <c r="U231" s="270"/>
      <c r="V231" s="270"/>
      <c r="W231" s="270"/>
      <c r="X231" s="270"/>
      <c r="Y231" s="270"/>
      <c r="Z231" s="270"/>
      <c r="AA231" s="270"/>
      <c r="AB231" s="270"/>
      <c r="AC231" s="270"/>
      <c r="AD231" s="270"/>
      <c r="AE231" s="270"/>
      <c r="AF231" s="270"/>
      <c r="AG231" s="270"/>
      <c r="AH231" s="270"/>
      <c r="AI231" s="270"/>
      <c r="AJ231" s="270"/>
      <c r="AK231" s="270"/>
      <c r="AL231" s="270"/>
      <c r="AM231" s="663"/>
      <c r="AN231" s="663"/>
      <c r="AO231" s="708" t="str">
        <f>IF(OR(Table1[[#This Row],[Início Setup Envase]]="",Table1[[#This Row],[Final Setup Envase]]=""),"",Table1[[#This Row],[Final Setup Envase]]-Table1[[#This Row],[Início Setup Envase]])</f>
        <v/>
      </c>
      <c r="AP231" s="663"/>
      <c r="AQ231" s="663"/>
      <c r="AR231" s="270"/>
      <c r="AS231" s="270"/>
      <c r="AT231" s="270"/>
      <c r="AU231" s="270"/>
      <c r="AV231" s="270"/>
      <c r="AW231" s="270"/>
      <c r="AX231" s="270"/>
      <c r="AY231" s="270"/>
      <c r="AZ231" s="270"/>
      <c r="BA231" s="270">
        <f>IF(Table1[[#This Row],[Data de Início]]="","",YEAR(Table1[[#This Row],[Data de Início]]))</f>
        <v>2025</v>
      </c>
      <c r="BB231" s="270">
        <f>IF(Table1[[#This Row],[Data de Início]]="","",MONTH(Table1[[#This Row],[Data de Início]]))</f>
        <v>7</v>
      </c>
      <c r="BC231" s="270"/>
    </row>
    <row r="232" spans="2:55" ht="15" customHeight="1" x14ac:dyDescent="0.25">
      <c r="B232" s="470">
        <v>45847.458333333336</v>
      </c>
      <c r="C232" s="263">
        <v>45847.583333333336</v>
      </c>
      <c r="D232" s="264" cm="1">
        <f t="array" ref="D232">IFERROR(HorasUteisFabrica2Turnos(B232,C232), "")</f>
        <v>2</v>
      </c>
      <c r="E232" s="265">
        <f t="shared" si="3"/>
        <v>780</v>
      </c>
      <c r="F232" s="266" t="s">
        <v>377</v>
      </c>
      <c r="G232" s="266" t="s">
        <v>360</v>
      </c>
      <c r="H232" s="266"/>
      <c r="I232" s="269" t="s">
        <v>399</v>
      </c>
      <c r="J232" s="268" t="s">
        <v>15</v>
      </c>
      <c r="K232" s="268">
        <v>1560</v>
      </c>
      <c r="L232" s="269" t="s">
        <v>372</v>
      </c>
      <c r="M232" s="270" t="str">
        <f>IFERROR(INDEX([1]Produtos!$C:$C,MATCH(L232,[1]Produtos!$B:$B,0)), "-")</f>
        <v>BODY SPLASH MATTE DOCE SEDUÇÃO</v>
      </c>
      <c r="N232" s="510">
        <f>IFERROR(INDEX([1]Produtos!$E:$E,MATCH(L232,[1]Produtos!$B:$B,0)), "-")</f>
        <v>120</v>
      </c>
      <c r="O232" s="270" t="str">
        <f>IFERROR(INDEX([1]Produtos!$F:$F,MATCH(L232,[1]Produtos!$B:$B,0)), "-")</f>
        <v>ml</v>
      </c>
      <c r="P232" s="270" t="str">
        <f>IFERROR(INDEX([1]Produtos!$G:$G,MATCH(L232,[1]Produtos!$B:$B,0)), "-")</f>
        <v>DAPOP</v>
      </c>
      <c r="Q232" s="270" t="str">
        <f>IFERROR(INDEX([1]Produtos!$H:$H,MATCH(L232,[1]Produtos!$B:$B,0)), "-")</f>
        <v>PERFUMARIA</v>
      </c>
      <c r="R232" s="270" t="str">
        <f>IFERROR(INDEX([1]Produtos!$I:$I,MATCH(L232,[1]Produtos!$B:$B,0)), "-")</f>
        <v>BODY SPLASH</v>
      </c>
      <c r="S232" s="270" t="str">
        <f>IFERROR(INDEX([1]Produtos!$J:$J,MATCH(L232,[1]Produtos!$B:$B,0)), "-")</f>
        <v>LÍQUIDO</v>
      </c>
      <c r="T232" s="474"/>
      <c r="U232" s="270"/>
      <c r="V232" s="270"/>
      <c r="W232" s="270"/>
      <c r="X232" s="270"/>
      <c r="Y232" s="270"/>
      <c r="Z232" s="270"/>
      <c r="AA232" s="270"/>
      <c r="AB232" s="270"/>
      <c r="AC232" s="270"/>
      <c r="AD232" s="270"/>
      <c r="AE232" s="270"/>
      <c r="AF232" s="270"/>
      <c r="AG232" s="270"/>
      <c r="AH232" s="270"/>
      <c r="AI232" s="270"/>
      <c r="AJ232" s="270"/>
      <c r="AK232" s="270"/>
      <c r="AL232" s="270"/>
      <c r="AM232" s="663"/>
      <c r="AN232" s="663"/>
      <c r="AO232" s="708" t="str">
        <f>IF(OR(Table1[[#This Row],[Início Setup Envase]]="",Table1[[#This Row],[Final Setup Envase]]=""),"",Table1[[#This Row],[Final Setup Envase]]-Table1[[#This Row],[Início Setup Envase]])</f>
        <v/>
      </c>
      <c r="AP232" s="663"/>
      <c r="AQ232" s="663"/>
      <c r="AR232" s="270"/>
      <c r="AS232" s="270"/>
      <c r="AT232" s="270"/>
      <c r="AU232" s="270"/>
      <c r="AV232" s="270"/>
      <c r="AW232" s="270"/>
      <c r="AX232" s="270"/>
      <c r="AY232" s="270"/>
      <c r="AZ232" s="270"/>
      <c r="BA232" s="270">
        <f>IF(Table1[[#This Row],[Data de Início]]="","",YEAR(Table1[[#This Row],[Data de Início]]))</f>
        <v>2025</v>
      </c>
      <c r="BB232" s="270">
        <f>IF(Table1[[#This Row],[Data de Início]]="","",MONTH(Table1[[#This Row],[Data de Início]]))</f>
        <v>7</v>
      </c>
      <c r="BC232" s="270"/>
    </row>
    <row r="233" spans="2:55" ht="15" customHeight="1" x14ac:dyDescent="0.25">
      <c r="B233" s="470">
        <v>45848.375</v>
      </c>
      <c r="C233" s="263">
        <v>45848.458333333336</v>
      </c>
      <c r="D233" s="264" cm="1">
        <f t="array" ref="D233">IFERROR(HorasUteisFabrica2Turnos(B233,C233), "")</f>
        <v>2.0000000000582077</v>
      </c>
      <c r="E233" s="265">
        <f t="shared" si="3"/>
        <v>49.999999998544808</v>
      </c>
      <c r="F233" s="266" t="s">
        <v>377</v>
      </c>
      <c r="G233" s="266" t="s">
        <v>430</v>
      </c>
      <c r="H233" s="266"/>
      <c r="I233" s="269" t="s">
        <v>400</v>
      </c>
      <c r="J233" s="267" t="s">
        <v>15</v>
      </c>
      <c r="K233" s="269">
        <v>100</v>
      </c>
      <c r="L233" s="269" t="s">
        <v>402</v>
      </c>
      <c r="M233" s="270" t="str">
        <f>IFERROR(INDEX([1]Produtos!$C:$C,MATCH(L233,[1]Produtos!$B:$B,0)), "-")</f>
        <v>BASE PARA PERFUME FINA BASE PREMIUM 1l</v>
      </c>
      <c r="N233" s="510">
        <f>IFERROR(INDEX([1]Produtos!$E:$E,MATCH(L233,[1]Produtos!$B:$B,0)), "-")</f>
        <v>1000</v>
      </c>
      <c r="O233" s="270" t="str">
        <f>IFERROR(INDEX([1]Produtos!$F:$F,MATCH(L233,[1]Produtos!$B:$B,0)), "-")</f>
        <v>ml</v>
      </c>
      <c r="P233" s="270" t="str">
        <f>IFERROR(INDEX([1]Produtos!$G:$G,MATCH(L233,[1]Produtos!$B:$B,0)), "-")</f>
        <v>KURYOS</v>
      </c>
      <c r="Q233" s="270" t="str">
        <f>IFERROR(INDEX([1]Produtos!$H:$H,MATCH(L233,[1]Produtos!$B:$B,0)), "-")</f>
        <v>BASE</v>
      </c>
      <c r="R233" s="270" t="str">
        <f>IFERROR(INDEX([1]Produtos!$I:$I,MATCH(L233,[1]Produtos!$B:$B,0)), "-")</f>
        <v>BASE</v>
      </c>
      <c r="S233" s="270" t="str">
        <f>IFERROR(INDEX([1]Produtos!$J:$J,MATCH(L233,[1]Produtos!$B:$B,0)), "-")</f>
        <v>LÍQUIDO</v>
      </c>
      <c r="T233" s="474"/>
      <c r="U233" s="270"/>
      <c r="V233" s="270"/>
      <c r="W233" s="270"/>
      <c r="X233" s="270"/>
      <c r="Y233" s="270"/>
      <c r="Z233" s="270"/>
      <c r="AA233" s="270"/>
      <c r="AB233" s="270"/>
      <c r="AC233" s="270"/>
      <c r="AD233" s="270"/>
      <c r="AE233" s="270"/>
      <c r="AF233" s="270"/>
      <c r="AG233" s="270"/>
      <c r="AH233" s="270"/>
      <c r="AI233" s="270"/>
      <c r="AJ233" s="270"/>
      <c r="AK233" s="270"/>
      <c r="AL233" s="270"/>
      <c r="AM233" s="663"/>
      <c r="AN233" s="663"/>
      <c r="AO233" s="708" t="str">
        <f>IF(OR(Table1[[#This Row],[Início Setup Envase]]="",Table1[[#This Row],[Final Setup Envase]]=""),"",Table1[[#This Row],[Final Setup Envase]]-Table1[[#This Row],[Início Setup Envase]])</f>
        <v/>
      </c>
      <c r="AP233" s="663"/>
      <c r="AQ233" s="663"/>
      <c r="AR233" s="270"/>
      <c r="AS233" s="270"/>
      <c r="AT233" s="270"/>
      <c r="AU233" s="270"/>
      <c r="AV233" s="270"/>
      <c r="AW233" s="270"/>
      <c r="AX233" s="270"/>
      <c r="AY233" s="270"/>
      <c r="AZ233" s="270"/>
      <c r="BA233" s="270">
        <f>IF(Table1[[#This Row],[Data de Início]]="","",YEAR(Table1[[#This Row],[Data de Início]]))</f>
        <v>2025</v>
      </c>
      <c r="BB233" s="270">
        <f>IF(Table1[[#This Row],[Data de Início]]="","",MONTH(Table1[[#This Row],[Data de Início]]))</f>
        <v>7</v>
      </c>
      <c r="BC233" s="270"/>
    </row>
    <row r="234" spans="2:55" ht="15" customHeight="1" x14ac:dyDescent="0.25">
      <c r="B234" s="470">
        <v>45848.541666666664</v>
      </c>
      <c r="C234" s="263">
        <v>45848.625</v>
      </c>
      <c r="D234" s="264" cm="1">
        <f t="array" ref="D234">IFERROR(HorasUteisFabrica2Turnos(B234,C234), "")</f>
        <v>2.0000000000582077</v>
      </c>
      <c r="E234" s="265">
        <f t="shared" si="3"/>
        <v>199.99999999417923</v>
      </c>
      <c r="F234" s="266" t="s">
        <v>377</v>
      </c>
      <c r="G234" s="266" t="s">
        <v>430</v>
      </c>
      <c r="H234" s="266"/>
      <c r="I234" s="269" t="s">
        <v>401</v>
      </c>
      <c r="J234" s="267" t="s">
        <v>15</v>
      </c>
      <c r="K234" s="269">
        <v>400</v>
      </c>
      <c r="L234" s="269" t="s">
        <v>983</v>
      </c>
      <c r="M234" s="270" t="str">
        <f>IFERROR(INDEX([1]Produtos!$C:$C,MATCH(L234,[1]Produtos!$B:$B,0)), "-")</f>
        <v>BASE PARA PERFUME FINA BASE 500ml</v>
      </c>
      <c r="N234" s="510">
        <f>IFERROR(INDEX([1]Produtos!$E:$E,MATCH(L234,[1]Produtos!$B:$B,0)), "-")</f>
        <v>500</v>
      </c>
      <c r="O234" s="270" t="str">
        <f>IFERROR(INDEX([1]Produtos!$F:$F,MATCH(L234,[1]Produtos!$B:$B,0)), "-")</f>
        <v>ml</v>
      </c>
      <c r="P234" s="270" t="str">
        <f>IFERROR(INDEX([1]Produtos!$G:$G,MATCH(L234,[1]Produtos!$B:$B,0)), "-")</f>
        <v>KURYOS</v>
      </c>
      <c r="Q234" s="270" t="str">
        <f>IFERROR(INDEX([1]Produtos!$H:$H,MATCH(L234,[1]Produtos!$B:$B,0)), "-")</f>
        <v>BASE</v>
      </c>
      <c r="R234" s="270" t="str">
        <f>IFERROR(INDEX([1]Produtos!$I:$I,MATCH(L234,[1]Produtos!$B:$B,0)), "-")</f>
        <v>BASE</v>
      </c>
      <c r="S234" s="270" t="str">
        <f>IFERROR(INDEX([1]Produtos!$J:$J,MATCH(L234,[1]Produtos!$B:$B,0)), "-")</f>
        <v>LÍQUIDO</v>
      </c>
      <c r="T234" s="474"/>
      <c r="U234" s="270"/>
      <c r="V234" s="270"/>
      <c r="W234" s="270"/>
      <c r="X234" s="270"/>
      <c r="Y234" s="270"/>
      <c r="Z234" s="270"/>
      <c r="AA234" s="270"/>
      <c r="AB234" s="270"/>
      <c r="AC234" s="270"/>
      <c r="AD234" s="270"/>
      <c r="AE234" s="270"/>
      <c r="AF234" s="270"/>
      <c r="AG234" s="270"/>
      <c r="AH234" s="270"/>
      <c r="AI234" s="270"/>
      <c r="AJ234" s="270"/>
      <c r="AK234" s="270"/>
      <c r="AL234" s="270"/>
      <c r="AM234" s="663"/>
      <c r="AN234" s="663"/>
      <c r="AO234" s="708" t="str">
        <f>IF(OR(Table1[[#This Row],[Início Setup Envase]]="",Table1[[#This Row],[Final Setup Envase]]=""),"",Table1[[#This Row],[Final Setup Envase]]-Table1[[#This Row],[Início Setup Envase]])</f>
        <v/>
      </c>
      <c r="AP234" s="663"/>
      <c r="AQ234" s="663"/>
      <c r="AR234" s="270"/>
      <c r="AS234" s="270"/>
      <c r="AT234" s="270"/>
      <c r="AU234" s="270"/>
      <c r="AV234" s="270"/>
      <c r="AW234" s="270"/>
      <c r="AX234" s="270"/>
      <c r="AY234" s="270"/>
      <c r="AZ234" s="270"/>
      <c r="BA234" s="270">
        <f>IF(Table1[[#This Row],[Data de Início]]="","",YEAR(Table1[[#This Row],[Data de Início]]))</f>
        <v>2025</v>
      </c>
      <c r="BB234" s="270">
        <f>IF(Table1[[#This Row],[Data de Início]]="","",MONTH(Table1[[#This Row],[Data de Início]]))</f>
        <v>7</v>
      </c>
      <c r="BC234" s="270"/>
    </row>
    <row r="235" spans="2:55" ht="15" customHeight="1" x14ac:dyDescent="0.25">
      <c r="B235" s="470">
        <v>45848.5625</v>
      </c>
      <c r="C235" s="263">
        <v>45848.666666666664</v>
      </c>
      <c r="D235" s="264" cm="1">
        <f t="array" ref="D235">IFERROR(HorasUteisFabrica2Turnos(B235,C235), "")</f>
        <v>2.4999999999417923</v>
      </c>
      <c r="E235" s="265">
        <f t="shared" si="3"/>
        <v>969.23076923155827</v>
      </c>
      <c r="F235" s="266" t="s">
        <v>377</v>
      </c>
      <c r="G235" s="266" t="s">
        <v>360</v>
      </c>
      <c r="H235" s="266"/>
      <c r="I235" s="269" t="s">
        <v>403</v>
      </c>
      <c r="J235" s="267" t="s">
        <v>15</v>
      </c>
      <c r="K235" s="268">
        <v>2423.0769230224791</v>
      </c>
      <c r="L235" s="269" t="s">
        <v>404</v>
      </c>
      <c r="M235" s="270" t="str">
        <f>IFERROR(INDEX([1]Produtos!$C:$C,MATCH(L235,[1]Produtos!$B:$B,0)), "-")</f>
        <v>BODY SPLASH GLOW PAIXÃO IRRESISTÍVEL</v>
      </c>
      <c r="N235" s="510">
        <f>IFERROR(INDEX([1]Produtos!$E:$E,MATCH(L235,[1]Produtos!$B:$B,0)), "-")</f>
        <v>120</v>
      </c>
      <c r="O235" s="270" t="str">
        <f>IFERROR(INDEX([1]Produtos!$F:$F,MATCH(L235,[1]Produtos!$B:$B,0)), "-")</f>
        <v>ml</v>
      </c>
      <c r="P235" s="270" t="str">
        <f>IFERROR(INDEX([1]Produtos!$G:$G,MATCH(L235,[1]Produtos!$B:$B,0)), "-")</f>
        <v>DAPOP</v>
      </c>
      <c r="Q235" s="270" t="str">
        <f>IFERROR(INDEX([1]Produtos!$H:$H,MATCH(L235,[1]Produtos!$B:$B,0)), "-")</f>
        <v>PERFUMARIA</v>
      </c>
      <c r="R235" s="270" t="str">
        <f>IFERROR(INDEX([1]Produtos!$I:$I,MATCH(L235,[1]Produtos!$B:$B,0)), "-")</f>
        <v>BODY SPLASH</v>
      </c>
      <c r="S235" s="270" t="str">
        <f>IFERROR(INDEX([1]Produtos!$J:$J,MATCH(L235,[1]Produtos!$B:$B,0)), "-")</f>
        <v>LÍQUIDO ESPESSO</v>
      </c>
      <c r="T235" s="474"/>
      <c r="U235" s="270"/>
      <c r="V235" s="270"/>
      <c r="W235" s="270"/>
      <c r="X235" s="270"/>
      <c r="Y235" s="270"/>
      <c r="Z235" s="270"/>
      <c r="AA235" s="270"/>
      <c r="AB235" s="270"/>
      <c r="AC235" s="270"/>
      <c r="AD235" s="270"/>
      <c r="AE235" s="270"/>
      <c r="AF235" s="270"/>
      <c r="AG235" s="270"/>
      <c r="AH235" s="270"/>
      <c r="AI235" s="270"/>
      <c r="AJ235" s="270"/>
      <c r="AK235" s="270"/>
      <c r="AL235" s="270"/>
      <c r="AM235" s="663"/>
      <c r="AN235" s="663"/>
      <c r="AO235" s="708" t="str">
        <f>IF(OR(Table1[[#This Row],[Início Setup Envase]]="",Table1[[#This Row],[Final Setup Envase]]=""),"",Table1[[#This Row],[Final Setup Envase]]-Table1[[#This Row],[Início Setup Envase]])</f>
        <v/>
      </c>
      <c r="AP235" s="663"/>
      <c r="AQ235" s="663"/>
      <c r="AR235" s="270"/>
      <c r="AS235" s="270"/>
      <c r="AT235" s="270"/>
      <c r="AU235" s="270"/>
      <c r="AV235" s="270"/>
      <c r="AW235" s="270"/>
      <c r="AX235" s="270"/>
      <c r="AY235" s="270"/>
      <c r="AZ235" s="270"/>
      <c r="BA235" s="270">
        <f>IF(Table1[[#This Row],[Data de Início]]="","",YEAR(Table1[[#This Row],[Data de Início]]))</f>
        <v>2025</v>
      </c>
      <c r="BB235" s="270">
        <f>IF(Table1[[#This Row],[Data de Início]]="","",MONTH(Table1[[#This Row],[Data de Início]]))</f>
        <v>7</v>
      </c>
      <c r="BC235" s="270"/>
    </row>
    <row r="236" spans="2:55" ht="15" customHeight="1" x14ac:dyDescent="0.25">
      <c r="B236" s="470">
        <v>45852.291666666664</v>
      </c>
      <c r="C236" s="263">
        <v>45852.386111111111</v>
      </c>
      <c r="D236" s="264" cm="1">
        <f t="array" ref="D236">IFERROR(HorasUteisFabrica2Turnos(B236,C236), "")</f>
        <v>2.2666666667209938</v>
      </c>
      <c r="E236" s="265">
        <f t="shared" si="3"/>
        <v>969.23076923155827</v>
      </c>
      <c r="F236" s="266" t="s">
        <v>377</v>
      </c>
      <c r="G236" s="266" t="s">
        <v>360</v>
      </c>
      <c r="H236" s="266"/>
      <c r="I236" s="269" t="s">
        <v>403</v>
      </c>
      <c r="J236" s="267" t="s">
        <v>15</v>
      </c>
      <c r="K236" s="268">
        <v>2196.9230769775209</v>
      </c>
      <c r="L236" s="269" t="s">
        <v>404</v>
      </c>
      <c r="M236" s="270" t="str">
        <f>IFERROR(INDEX([1]Produtos!$C:$C,MATCH(L236,[1]Produtos!$B:$B,0)), "-")</f>
        <v>BODY SPLASH GLOW PAIXÃO IRRESISTÍVEL</v>
      </c>
      <c r="N236" s="510">
        <f>IFERROR(INDEX([1]Produtos!$E:$E,MATCH(L236,[1]Produtos!$B:$B,0)), "-")</f>
        <v>120</v>
      </c>
      <c r="O236" s="270" t="str">
        <f>IFERROR(INDEX([1]Produtos!$F:$F,MATCH(L236,[1]Produtos!$B:$B,0)), "-")</f>
        <v>ml</v>
      </c>
      <c r="P236" s="270" t="str">
        <f>IFERROR(INDEX([1]Produtos!$G:$G,MATCH(L236,[1]Produtos!$B:$B,0)), "-")</f>
        <v>DAPOP</v>
      </c>
      <c r="Q236" s="270" t="str">
        <f>IFERROR(INDEX([1]Produtos!$H:$H,MATCH(L236,[1]Produtos!$B:$B,0)), "-")</f>
        <v>PERFUMARIA</v>
      </c>
      <c r="R236" s="270" t="str">
        <f>IFERROR(INDEX([1]Produtos!$I:$I,MATCH(L236,[1]Produtos!$B:$B,0)), "-")</f>
        <v>BODY SPLASH</v>
      </c>
      <c r="S236" s="270" t="str">
        <f>IFERROR(INDEX([1]Produtos!$J:$J,MATCH(L236,[1]Produtos!$B:$B,0)), "-")</f>
        <v>LÍQUIDO ESPESSO</v>
      </c>
      <c r="T236" s="474"/>
      <c r="U236" s="270"/>
      <c r="V236" s="270"/>
      <c r="W236" s="270"/>
      <c r="X236" s="270"/>
      <c r="Y236" s="270"/>
      <c r="Z236" s="270"/>
      <c r="AA236" s="270"/>
      <c r="AB236" s="270"/>
      <c r="AC236" s="270"/>
      <c r="AD236" s="270"/>
      <c r="AE236" s="270"/>
      <c r="AF236" s="270"/>
      <c r="AG236" s="270"/>
      <c r="AH236" s="270"/>
      <c r="AI236" s="270"/>
      <c r="AJ236" s="270"/>
      <c r="AK236" s="270"/>
      <c r="AL236" s="270"/>
      <c r="AM236" s="663"/>
      <c r="AN236" s="663"/>
      <c r="AO236" s="708" t="str">
        <f>IF(OR(Table1[[#This Row],[Início Setup Envase]]="",Table1[[#This Row],[Final Setup Envase]]=""),"",Table1[[#This Row],[Final Setup Envase]]-Table1[[#This Row],[Início Setup Envase]])</f>
        <v/>
      </c>
      <c r="AP236" s="663"/>
      <c r="AQ236" s="663"/>
      <c r="AR236" s="270"/>
      <c r="AS236" s="270"/>
      <c r="AT236" s="270"/>
      <c r="AU236" s="270"/>
      <c r="AV236" s="270"/>
      <c r="AW236" s="270"/>
      <c r="AX236" s="270"/>
      <c r="AY236" s="270"/>
      <c r="AZ236" s="270"/>
      <c r="BA236" s="270">
        <f>IF(Table1[[#This Row],[Data de Início]]="","",YEAR(Table1[[#This Row],[Data de Início]]))</f>
        <v>2025</v>
      </c>
      <c r="BB236" s="270">
        <f>IF(Table1[[#This Row],[Data de Início]]="","",MONTH(Table1[[#This Row],[Data de Início]]))</f>
        <v>7</v>
      </c>
      <c r="BC236" s="270"/>
    </row>
    <row r="237" spans="2:55" ht="15" customHeight="1" x14ac:dyDescent="0.25">
      <c r="B237" s="470">
        <v>45852.387499999997</v>
      </c>
      <c r="C237" s="263">
        <v>45852.631944444445</v>
      </c>
      <c r="D237" s="264" cm="1">
        <f t="array" ref="D237">IFERROR(HorasUteisFabrica2Turnos(B237,C237), "")</f>
        <v>4.8666666667559184</v>
      </c>
      <c r="E237" s="265">
        <f t="shared" si="3"/>
        <v>949.31506847574087</v>
      </c>
      <c r="F237" s="266" t="s">
        <v>377</v>
      </c>
      <c r="G237" s="266" t="s">
        <v>360</v>
      </c>
      <c r="H237" s="266"/>
      <c r="I237" s="269" t="s">
        <v>407</v>
      </c>
      <c r="J237" s="267" t="s">
        <v>15</v>
      </c>
      <c r="K237" s="269">
        <v>4620</v>
      </c>
      <c r="L237" s="269" t="s">
        <v>404</v>
      </c>
      <c r="M237" s="270" t="str">
        <f>IFERROR(INDEX([1]Produtos!$C:$C,MATCH(L237,[1]Produtos!$B:$B,0)), "-")</f>
        <v>BODY SPLASH GLOW PAIXÃO IRRESISTÍVEL</v>
      </c>
      <c r="N237" s="510">
        <f>IFERROR(INDEX([1]Produtos!$E:$E,MATCH(L237,[1]Produtos!$B:$B,0)), "-")</f>
        <v>120</v>
      </c>
      <c r="O237" s="270" t="str">
        <f>IFERROR(INDEX([1]Produtos!$F:$F,MATCH(L237,[1]Produtos!$B:$B,0)), "-")</f>
        <v>ml</v>
      </c>
      <c r="P237" s="270" t="str">
        <f>IFERROR(INDEX([1]Produtos!$G:$G,MATCH(L237,[1]Produtos!$B:$B,0)), "-")</f>
        <v>DAPOP</v>
      </c>
      <c r="Q237" s="270" t="str">
        <f>IFERROR(INDEX([1]Produtos!$H:$H,MATCH(L237,[1]Produtos!$B:$B,0)), "-")</f>
        <v>PERFUMARIA</v>
      </c>
      <c r="R237" s="270" t="str">
        <f>IFERROR(INDEX([1]Produtos!$I:$I,MATCH(L237,[1]Produtos!$B:$B,0)), "-")</f>
        <v>BODY SPLASH</v>
      </c>
      <c r="S237" s="270" t="str">
        <f>IFERROR(INDEX([1]Produtos!$J:$J,MATCH(L237,[1]Produtos!$B:$B,0)), "-")</f>
        <v>LÍQUIDO ESPESSO</v>
      </c>
      <c r="T237" s="474"/>
      <c r="U237" s="270"/>
      <c r="V237" s="270"/>
      <c r="W237" s="270"/>
      <c r="X237" s="270"/>
      <c r="Y237" s="270"/>
      <c r="Z237" s="270"/>
      <c r="AA237" s="270"/>
      <c r="AB237" s="270"/>
      <c r="AC237" s="270"/>
      <c r="AD237" s="270"/>
      <c r="AE237" s="270"/>
      <c r="AF237" s="270"/>
      <c r="AG237" s="270"/>
      <c r="AH237" s="270"/>
      <c r="AI237" s="270"/>
      <c r="AJ237" s="270"/>
      <c r="AK237" s="270"/>
      <c r="AL237" s="270"/>
      <c r="AM237" s="663"/>
      <c r="AN237" s="663"/>
      <c r="AO237" s="708" t="str">
        <f>IF(OR(Table1[[#This Row],[Início Setup Envase]]="",Table1[[#This Row],[Final Setup Envase]]=""),"",Table1[[#This Row],[Final Setup Envase]]-Table1[[#This Row],[Início Setup Envase]])</f>
        <v/>
      </c>
      <c r="AP237" s="663"/>
      <c r="AQ237" s="663"/>
      <c r="AR237" s="270"/>
      <c r="AS237" s="270"/>
      <c r="AT237" s="270"/>
      <c r="AU237" s="270"/>
      <c r="AV237" s="270"/>
      <c r="AW237" s="270"/>
      <c r="AX237" s="270"/>
      <c r="AY237" s="270"/>
      <c r="AZ237" s="270"/>
      <c r="BA237" s="270">
        <f>IF(Table1[[#This Row],[Data de Início]]="","",YEAR(Table1[[#This Row],[Data de Início]]))</f>
        <v>2025</v>
      </c>
      <c r="BB237" s="270">
        <f>IF(Table1[[#This Row],[Data de Início]]="","",MONTH(Table1[[#This Row],[Data de Início]]))</f>
        <v>7</v>
      </c>
      <c r="BC237" s="270"/>
    </row>
    <row r="238" spans="2:55" ht="15" customHeight="1" x14ac:dyDescent="0.25">
      <c r="B238" s="470">
        <v>45852.631944444445</v>
      </c>
      <c r="C238" s="263">
        <v>45852.708333333336</v>
      </c>
      <c r="D238" s="264" cm="1">
        <f t="array" ref="D238">IFERROR(HorasUteisFabrica2Turnos(B238,C238), "")</f>
        <v>1.8333333333721384</v>
      </c>
      <c r="E238" s="265">
        <f t="shared" si="3"/>
        <v>1108.7999999638573</v>
      </c>
      <c r="F238" s="266" t="s">
        <v>377</v>
      </c>
      <c r="G238" s="266" t="s">
        <v>360</v>
      </c>
      <c r="H238" s="266"/>
      <c r="I238" s="269" t="s">
        <v>506</v>
      </c>
      <c r="J238" s="267" t="s">
        <v>15</v>
      </c>
      <c r="K238" s="268">
        <v>2032.7999999767655</v>
      </c>
      <c r="L238" s="269" t="s">
        <v>404</v>
      </c>
      <c r="M238" s="270" t="str">
        <f>IFERROR(INDEX([1]Produtos!$C:$C,MATCH(L238,[1]Produtos!$B:$B,0)), "-")</f>
        <v>BODY SPLASH GLOW PAIXÃO IRRESISTÍVEL</v>
      </c>
      <c r="N238" s="510">
        <f>IFERROR(INDEX([1]Produtos!$E:$E,MATCH(L238,[1]Produtos!$B:$B,0)), "-")</f>
        <v>120</v>
      </c>
      <c r="O238" s="270" t="str">
        <f>IFERROR(INDEX([1]Produtos!$F:$F,MATCH(L238,[1]Produtos!$B:$B,0)), "-")</f>
        <v>ml</v>
      </c>
      <c r="P238" s="270" t="str">
        <f>IFERROR(INDEX([1]Produtos!$G:$G,MATCH(L238,[1]Produtos!$B:$B,0)), "-")</f>
        <v>DAPOP</v>
      </c>
      <c r="Q238" s="270" t="str">
        <f>IFERROR(INDEX([1]Produtos!$H:$H,MATCH(L238,[1]Produtos!$B:$B,0)), "-")</f>
        <v>PERFUMARIA</v>
      </c>
      <c r="R238" s="270" t="str">
        <f>IFERROR(INDEX([1]Produtos!$I:$I,MATCH(L238,[1]Produtos!$B:$B,0)), "-")</f>
        <v>BODY SPLASH</v>
      </c>
      <c r="S238" s="270" t="str">
        <f>IFERROR(INDEX([1]Produtos!$J:$J,MATCH(L238,[1]Produtos!$B:$B,0)), "-")</f>
        <v>LÍQUIDO ESPESSO</v>
      </c>
      <c r="T238" s="474"/>
      <c r="U238" s="270"/>
      <c r="V238" s="270"/>
      <c r="W238" s="270"/>
      <c r="X238" s="270"/>
      <c r="Y238" s="270"/>
      <c r="Z238" s="270"/>
      <c r="AA238" s="270"/>
      <c r="AB238" s="270"/>
      <c r="AC238" s="270"/>
      <c r="AD238" s="270"/>
      <c r="AE238" s="270"/>
      <c r="AF238" s="270"/>
      <c r="AG238" s="270"/>
      <c r="AH238" s="270"/>
      <c r="AI238" s="270"/>
      <c r="AJ238" s="270"/>
      <c r="AK238" s="270"/>
      <c r="AL238" s="270"/>
      <c r="AM238" s="663"/>
      <c r="AN238" s="663"/>
      <c r="AO238" s="708" t="str">
        <f>IF(OR(Table1[[#This Row],[Início Setup Envase]]="",Table1[[#This Row],[Final Setup Envase]]=""),"",Table1[[#This Row],[Final Setup Envase]]-Table1[[#This Row],[Início Setup Envase]])</f>
        <v/>
      </c>
      <c r="AP238" s="663"/>
      <c r="AQ238" s="663"/>
      <c r="AR238" s="270"/>
      <c r="AS238" s="270"/>
      <c r="AT238" s="270"/>
      <c r="AU238" s="270"/>
      <c r="AV238" s="270"/>
      <c r="AW238" s="270"/>
      <c r="AX238" s="270"/>
      <c r="AY238" s="270"/>
      <c r="AZ238" s="270"/>
      <c r="BA238" s="270">
        <f>IF(Table1[[#This Row],[Data de Início]]="","",YEAR(Table1[[#This Row],[Data de Início]]))</f>
        <v>2025</v>
      </c>
      <c r="BB238" s="270">
        <f>IF(Table1[[#This Row],[Data de Início]]="","",MONTH(Table1[[#This Row],[Data de Início]]))</f>
        <v>7</v>
      </c>
      <c r="BC238" s="270"/>
    </row>
    <row r="239" spans="2:55" ht="15" customHeight="1" x14ac:dyDescent="0.25">
      <c r="B239" s="470">
        <v>45853.291666666664</v>
      </c>
      <c r="C239" s="263">
        <v>45853.388888888891</v>
      </c>
      <c r="D239" s="264" cm="1">
        <f t="array" ref="D239">IFERROR(HorasUteisFabrica2Turnos(B239,C239), "")</f>
        <v>2.3333333334303461</v>
      </c>
      <c r="E239" s="265">
        <f t="shared" si="3"/>
        <v>1108.7999999638573</v>
      </c>
      <c r="F239" s="266" t="s">
        <v>377</v>
      </c>
      <c r="G239" s="266" t="s">
        <v>360</v>
      </c>
      <c r="H239" s="266"/>
      <c r="I239" s="269" t="s">
        <v>506</v>
      </c>
      <c r="J239" s="267" t="s">
        <v>15</v>
      </c>
      <c r="K239" s="268">
        <v>2587.2000000232347</v>
      </c>
      <c r="L239" s="269" t="s">
        <v>404</v>
      </c>
      <c r="M239" s="270" t="str">
        <f>IFERROR(INDEX([1]Produtos!$C:$C,MATCH(L239,[1]Produtos!$B:$B,0)), "-")</f>
        <v>BODY SPLASH GLOW PAIXÃO IRRESISTÍVEL</v>
      </c>
      <c r="N239" s="510">
        <f>IFERROR(INDEX([1]Produtos!$E:$E,MATCH(L239,[1]Produtos!$B:$B,0)), "-")</f>
        <v>120</v>
      </c>
      <c r="O239" s="270" t="str">
        <f>IFERROR(INDEX([1]Produtos!$F:$F,MATCH(L239,[1]Produtos!$B:$B,0)), "-")</f>
        <v>ml</v>
      </c>
      <c r="P239" s="270" t="str">
        <f>IFERROR(INDEX([1]Produtos!$G:$G,MATCH(L239,[1]Produtos!$B:$B,0)), "-")</f>
        <v>DAPOP</v>
      </c>
      <c r="Q239" s="270" t="str">
        <f>IFERROR(INDEX([1]Produtos!$H:$H,MATCH(L239,[1]Produtos!$B:$B,0)), "-")</f>
        <v>PERFUMARIA</v>
      </c>
      <c r="R239" s="270" t="str">
        <f>IFERROR(INDEX([1]Produtos!$I:$I,MATCH(L239,[1]Produtos!$B:$B,0)), "-")</f>
        <v>BODY SPLASH</v>
      </c>
      <c r="S239" s="270" t="str">
        <f>IFERROR(INDEX([1]Produtos!$J:$J,MATCH(L239,[1]Produtos!$B:$B,0)), "-")</f>
        <v>LÍQUIDO ESPESSO</v>
      </c>
      <c r="T239" s="474"/>
      <c r="U239" s="270"/>
      <c r="V239" s="270"/>
      <c r="W239" s="270"/>
      <c r="X239" s="270"/>
      <c r="Y239" s="270"/>
      <c r="Z239" s="270"/>
      <c r="AA239" s="270"/>
      <c r="AB239" s="270"/>
      <c r="AC239" s="270"/>
      <c r="AD239" s="270"/>
      <c r="AE239" s="270"/>
      <c r="AF239" s="270"/>
      <c r="AG239" s="270"/>
      <c r="AH239" s="270"/>
      <c r="AI239" s="270"/>
      <c r="AJ239" s="270"/>
      <c r="AK239" s="270"/>
      <c r="AL239" s="270"/>
      <c r="AM239" s="663"/>
      <c r="AN239" s="663"/>
      <c r="AO239" s="708" t="str">
        <f>IF(OR(Table1[[#This Row],[Início Setup Envase]]="",Table1[[#This Row],[Final Setup Envase]]=""),"",Table1[[#This Row],[Final Setup Envase]]-Table1[[#This Row],[Início Setup Envase]])</f>
        <v/>
      </c>
      <c r="AP239" s="663"/>
      <c r="AQ239" s="663"/>
      <c r="AR239" s="270"/>
      <c r="AS239" s="270"/>
      <c r="AT239" s="270"/>
      <c r="AU239" s="270"/>
      <c r="AV239" s="270"/>
      <c r="AW239" s="270"/>
      <c r="AX239" s="270"/>
      <c r="AY239" s="270"/>
      <c r="AZ239" s="270"/>
      <c r="BA239" s="270">
        <f>IF(Table1[[#This Row],[Data de Início]]="","",YEAR(Table1[[#This Row],[Data de Início]]))</f>
        <v>2025</v>
      </c>
      <c r="BB239" s="270">
        <f>IF(Table1[[#This Row],[Data de Início]]="","",MONTH(Table1[[#This Row],[Data de Início]]))</f>
        <v>7</v>
      </c>
      <c r="BC239" s="270"/>
    </row>
    <row r="240" spans="2:55" ht="15" customHeight="1" x14ac:dyDescent="0.25">
      <c r="B240" s="470">
        <v>45853.388888888891</v>
      </c>
      <c r="C240" s="263">
        <v>45853.625</v>
      </c>
      <c r="D240" s="264" cm="1">
        <f t="array" ref="D240">IFERROR(HorasUteisFabrica2Turnos(B240,C240), "")</f>
        <v>4.6666666666278616</v>
      </c>
      <c r="E240" s="265">
        <f t="shared" si="3"/>
        <v>990.00000000823218</v>
      </c>
      <c r="F240" s="266" t="s">
        <v>377</v>
      </c>
      <c r="G240" s="266" t="s">
        <v>360</v>
      </c>
      <c r="H240" s="266"/>
      <c r="I240" s="269" t="s">
        <v>507</v>
      </c>
      <c r="J240" s="267" t="s">
        <v>15</v>
      </c>
      <c r="K240" s="269">
        <v>4620</v>
      </c>
      <c r="L240" s="269" t="s">
        <v>404</v>
      </c>
      <c r="M240" s="270" t="str">
        <f>IFERROR(INDEX([1]Produtos!$C:$C,MATCH(L240,[1]Produtos!$B:$B,0)), "-")</f>
        <v>BODY SPLASH GLOW PAIXÃO IRRESISTÍVEL</v>
      </c>
      <c r="N240" s="510">
        <f>IFERROR(INDEX([1]Produtos!$E:$E,MATCH(L240,[1]Produtos!$B:$B,0)), "-")</f>
        <v>120</v>
      </c>
      <c r="O240" s="270" t="str">
        <f>IFERROR(INDEX([1]Produtos!$F:$F,MATCH(L240,[1]Produtos!$B:$B,0)), "-")</f>
        <v>ml</v>
      </c>
      <c r="P240" s="270" t="str">
        <f>IFERROR(INDEX([1]Produtos!$G:$G,MATCH(L240,[1]Produtos!$B:$B,0)), "-")</f>
        <v>DAPOP</v>
      </c>
      <c r="Q240" s="270" t="str">
        <f>IFERROR(INDEX([1]Produtos!$H:$H,MATCH(L240,[1]Produtos!$B:$B,0)), "-")</f>
        <v>PERFUMARIA</v>
      </c>
      <c r="R240" s="270" t="str">
        <f>IFERROR(INDEX([1]Produtos!$I:$I,MATCH(L240,[1]Produtos!$B:$B,0)), "-")</f>
        <v>BODY SPLASH</v>
      </c>
      <c r="S240" s="270" t="str">
        <f>IFERROR(INDEX([1]Produtos!$J:$J,MATCH(L240,[1]Produtos!$B:$B,0)), "-")</f>
        <v>LÍQUIDO ESPESSO</v>
      </c>
      <c r="T240" s="474"/>
      <c r="U240" s="270"/>
      <c r="V240" s="270"/>
      <c r="W240" s="270"/>
      <c r="X240" s="270"/>
      <c r="Y240" s="270"/>
      <c r="Z240" s="270"/>
      <c r="AA240" s="270"/>
      <c r="AB240" s="270"/>
      <c r="AC240" s="270"/>
      <c r="AD240" s="270"/>
      <c r="AE240" s="270"/>
      <c r="AF240" s="270"/>
      <c r="AG240" s="270"/>
      <c r="AH240" s="270"/>
      <c r="AI240" s="270"/>
      <c r="AJ240" s="270"/>
      <c r="AK240" s="270"/>
      <c r="AL240" s="270"/>
      <c r="AM240" s="663"/>
      <c r="AN240" s="663"/>
      <c r="AO240" s="708" t="str">
        <f>IF(OR(Table1[[#This Row],[Início Setup Envase]]="",Table1[[#This Row],[Final Setup Envase]]=""),"",Table1[[#This Row],[Final Setup Envase]]-Table1[[#This Row],[Início Setup Envase]])</f>
        <v/>
      </c>
      <c r="AP240" s="663"/>
      <c r="AQ240" s="663"/>
      <c r="AR240" s="270"/>
      <c r="AS240" s="270"/>
      <c r="AT240" s="270"/>
      <c r="AU240" s="270"/>
      <c r="AV240" s="270"/>
      <c r="AW240" s="270"/>
      <c r="AX240" s="270"/>
      <c r="AY240" s="270"/>
      <c r="AZ240" s="270"/>
      <c r="BA240" s="270">
        <f>IF(Table1[[#This Row],[Data de Início]]="","",YEAR(Table1[[#This Row],[Data de Início]]))</f>
        <v>2025</v>
      </c>
      <c r="BB240" s="270">
        <f>IF(Table1[[#This Row],[Data de Início]]="","",MONTH(Table1[[#This Row],[Data de Início]]))</f>
        <v>7</v>
      </c>
      <c r="BC240" s="270"/>
    </row>
    <row r="241" spans="2:55" ht="15" customHeight="1" x14ac:dyDescent="0.25">
      <c r="B241" s="470">
        <v>45853.625</v>
      </c>
      <c r="C241" s="263">
        <v>45853.708333333336</v>
      </c>
      <c r="D241" s="264" cm="1">
        <f t="array" ref="D241">IFERROR(HorasUteisFabrica2Turnos(B241,C241), "")</f>
        <v>2.0000000000582077</v>
      </c>
      <c r="E241" s="265">
        <f t="shared" si="3"/>
        <v>779.99999997729901</v>
      </c>
      <c r="F241" s="266" t="s">
        <v>377</v>
      </c>
      <c r="G241" s="266" t="s">
        <v>360</v>
      </c>
      <c r="H241" s="266"/>
      <c r="I241" s="269" t="s">
        <v>422</v>
      </c>
      <c r="J241" s="267" t="s">
        <v>15</v>
      </c>
      <c r="K241" s="269">
        <v>1560</v>
      </c>
      <c r="L241" s="269" t="s">
        <v>404</v>
      </c>
      <c r="M241" s="270" t="str">
        <f>IFERROR(INDEX([1]Produtos!$C:$C,MATCH(L241,[1]Produtos!$B:$B,0)), "-")</f>
        <v>BODY SPLASH GLOW PAIXÃO IRRESISTÍVEL</v>
      </c>
      <c r="N241" s="510">
        <f>IFERROR(INDEX([1]Produtos!$E:$E,MATCH(L241,[1]Produtos!$B:$B,0)), "-")</f>
        <v>120</v>
      </c>
      <c r="O241" s="270" t="str">
        <f>IFERROR(INDEX([1]Produtos!$F:$F,MATCH(L241,[1]Produtos!$B:$B,0)), "-")</f>
        <v>ml</v>
      </c>
      <c r="P241" s="270" t="str">
        <f>IFERROR(INDEX([1]Produtos!$G:$G,MATCH(L241,[1]Produtos!$B:$B,0)), "-")</f>
        <v>DAPOP</v>
      </c>
      <c r="Q241" s="270" t="str">
        <f>IFERROR(INDEX([1]Produtos!$H:$H,MATCH(L241,[1]Produtos!$B:$B,0)), "-")</f>
        <v>PERFUMARIA</v>
      </c>
      <c r="R241" s="270" t="str">
        <f>IFERROR(INDEX([1]Produtos!$I:$I,MATCH(L241,[1]Produtos!$B:$B,0)), "-")</f>
        <v>BODY SPLASH</v>
      </c>
      <c r="S241" s="270" t="str">
        <f>IFERROR(INDEX([1]Produtos!$J:$J,MATCH(L241,[1]Produtos!$B:$B,0)), "-")</f>
        <v>LÍQUIDO ESPESSO</v>
      </c>
      <c r="T241" s="474"/>
      <c r="U241" s="270"/>
      <c r="V241" s="270"/>
      <c r="W241" s="270"/>
      <c r="X241" s="270"/>
      <c r="Y241" s="270"/>
      <c r="Z241" s="270"/>
      <c r="AA241" s="270"/>
      <c r="AB241" s="270"/>
      <c r="AC241" s="270"/>
      <c r="AD241" s="270"/>
      <c r="AE241" s="270"/>
      <c r="AF241" s="270"/>
      <c r="AG241" s="270"/>
      <c r="AH241" s="270"/>
      <c r="AI241" s="270"/>
      <c r="AJ241" s="270"/>
      <c r="AK241" s="270"/>
      <c r="AL241" s="270"/>
      <c r="AM241" s="663"/>
      <c r="AN241" s="663"/>
      <c r="AO241" s="708" t="str">
        <f>IF(OR(Table1[[#This Row],[Início Setup Envase]]="",Table1[[#This Row],[Final Setup Envase]]=""),"",Table1[[#This Row],[Final Setup Envase]]-Table1[[#This Row],[Início Setup Envase]])</f>
        <v/>
      </c>
      <c r="AP241" s="663"/>
      <c r="AQ241" s="663"/>
      <c r="AR241" s="270"/>
      <c r="AS241" s="270"/>
      <c r="AT241" s="270"/>
      <c r="AU241" s="270"/>
      <c r="AV241" s="270"/>
      <c r="AW241" s="270"/>
      <c r="AX241" s="270"/>
      <c r="AY241" s="270"/>
      <c r="AZ241" s="270"/>
      <c r="BA241" s="270">
        <f>IF(Table1[[#This Row],[Data de Início]]="","",YEAR(Table1[[#This Row],[Data de Início]]))</f>
        <v>2025</v>
      </c>
      <c r="BB241" s="270">
        <f>IF(Table1[[#This Row],[Data de Início]]="","",MONTH(Table1[[#This Row],[Data de Início]]))</f>
        <v>7</v>
      </c>
      <c r="BC241" s="270"/>
    </row>
    <row r="242" spans="2:55" ht="15" customHeight="1" x14ac:dyDescent="0.25">
      <c r="B242" s="470">
        <v>45854.310416666667</v>
      </c>
      <c r="C242" s="263">
        <v>45854.458333333336</v>
      </c>
      <c r="D242" s="264" cm="1">
        <f t="array" ref="D242">IFERROR(HorasUteisFabrica2Turnos(B242,C242), "")</f>
        <v>3.5500000000465661</v>
      </c>
      <c r="E242" s="265">
        <f t="shared" si="3"/>
        <v>1301.4084506871545</v>
      </c>
      <c r="F242" s="266" t="s">
        <v>377</v>
      </c>
      <c r="G242" s="266" t="s">
        <v>360</v>
      </c>
      <c r="H242" s="266"/>
      <c r="I242" s="269" t="s">
        <v>428</v>
      </c>
      <c r="J242" s="267" t="s">
        <v>15</v>
      </c>
      <c r="K242" s="269">
        <v>4620</v>
      </c>
      <c r="L242" s="269" t="s">
        <v>429</v>
      </c>
      <c r="M242" s="270" t="str">
        <f>IFERROR(INDEX([1]Produtos!$C:$C,MATCH(L242,[1]Produtos!$B:$B,0)), "-")</f>
        <v>BODY SPLASH GLOW TAÇA DE CHAMPAGNE</v>
      </c>
      <c r="N242" s="510">
        <f>IFERROR(INDEX([1]Produtos!$E:$E,MATCH(L242,[1]Produtos!$B:$B,0)), "-")</f>
        <v>120</v>
      </c>
      <c r="O242" s="270" t="str">
        <f>IFERROR(INDEX([1]Produtos!$F:$F,MATCH(L242,[1]Produtos!$B:$B,0)), "-")</f>
        <v>ml</v>
      </c>
      <c r="P242" s="270" t="str">
        <f>IFERROR(INDEX([1]Produtos!$G:$G,MATCH(L242,[1]Produtos!$B:$B,0)), "-")</f>
        <v>DAPOP</v>
      </c>
      <c r="Q242" s="270" t="str">
        <f>IFERROR(INDEX([1]Produtos!$H:$H,MATCH(L242,[1]Produtos!$B:$B,0)), "-")</f>
        <v>PERFUMARIA</v>
      </c>
      <c r="R242" s="270" t="str">
        <f>IFERROR(INDEX([1]Produtos!$I:$I,MATCH(L242,[1]Produtos!$B:$B,0)), "-")</f>
        <v>BODY SPLASH</v>
      </c>
      <c r="S242" s="270" t="str">
        <f>IFERROR(INDEX([1]Produtos!$J:$J,MATCH(L242,[1]Produtos!$B:$B,0)), "-")</f>
        <v>LÍQUIDO ESPESSO</v>
      </c>
      <c r="T242" s="474"/>
      <c r="U242" s="270"/>
      <c r="V242" s="270"/>
      <c r="W242" s="270"/>
      <c r="X242" s="270"/>
      <c r="Y242" s="270"/>
      <c r="Z242" s="270"/>
      <c r="AA242" s="270"/>
      <c r="AB242" s="270"/>
      <c r="AC242" s="270"/>
      <c r="AD242" s="270"/>
      <c r="AE242" s="270"/>
      <c r="AF242" s="270"/>
      <c r="AG242" s="270"/>
      <c r="AH242" s="270"/>
      <c r="AI242" s="270"/>
      <c r="AJ242" s="270"/>
      <c r="AK242" s="270"/>
      <c r="AL242" s="270"/>
      <c r="AM242" s="663"/>
      <c r="AN242" s="663"/>
      <c r="AO242" s="708" t="str">
        <f>IF(OR(Table1[[#This Row],[Início Setup Envase]]="",Table1[[#This Row],[Final Setup Envase]]=""),"",Table1[[#This Row],[Final Setup Envase]]-Table1[[#This Row],[Início Setup Envase]])</f>
        <v/>
      </c>
      <c r="AP242" s="663"/>
      <c r="AQ242" s="663"/>
      <c r="AR242" s="270"/>
      <c r="AS242" s="270"/>
      <c r="AT242" s="270"/>
      <c r="AU242" s="270"/>
      <c r="AV242" s="270"/>
      <c r="AW242" s="270"/>
      <c r="AX242" s="270"/>
      <c r="AY242" s="270"/>
      <c r="AZ242" s="270"/>
      <c r="BA242" s="270">
        <f>IF(Table1[[#This Row],[Data de Início]]="","",YEAR(Table1[[#This Row],[Data de Início]]))</f>
        <v>2025</v>
      </c>
      <c r="BB242" s="270">
        <f>IF(Table1[[#This Row],[Data de Início]]="","",MONTH(Table1[[#This Row],[Data de Início]]))</f>
        <v>7</v>
      </c>
      <c r="BC242" s="270"/>
    </row>
    <row r="243" spans="2:55" ht="15" customHeight="1" x14ac:dyDescent="0.25">
      <c r="B243" s="470">
        <v>45854.458333333336</v>
      </c>
      <c r="C243" s="263">
        <v>45855.673611111109</v>
      </c>
      <c r="D243" s="264" cm="1">
        <f t="array" ref="D243">IFERROR(HorasUteisFabrica2Turnos(B243,C243), "")</f>
        <v>13.166666666686069</v>
      </c>
      <c r="E243" s="265">
        <f t="shared" si="3"/>
        <v>350.88607594885002</v>
      </c>
      <c r="F243" s="266" t="s">
        <v>377</v>
      </c>
      <c r="G243" s="266" t="s">
        <v>360</v>
      </c>
      <c r="H243" s="266"/>
      <c r="I243" s="269" t="s">
        <v>467</v>
      </c>
      <c r="J243" s="267" t="s">
        <v>15</v>
      </c>
      <c r="K243" s="269">
        <v>4620</v>
      </c>
      <c r="L243" s="269" t="s">
        <v>429</v>
      </c>
      <c r="M243" s="270" t="str">
        <f>IFERROR(INDEX([1]Produtos!$C:$C,MATCH(L243,[1]Produtos!$B:$B,0)), "-")</f>
        <v>BODY SPLASH GLOW TAÇA DE CHAMPAGNE</v>
      </c>
      <c r="N243" s="510">
        <f>IFERROR(INDEX([1]Produtos!$E:$E,MATCH(L243,[1]Produtos!$B:$B,0)), "-")</f>
        <v>120</v>
      </c>
      <c r="O243" s="270" t="str">
        <f>IFERROR(INDEX([1]Produtos!$F:$F,MATCH(L243,[1]Produtos!$B:$B,0)), "-")</f>
        <v>ml</v>
      </c>
      <c r="P243" s="270" t="str">
        <f>IFERROR(INDEX([1]Produtos!$G:$G,MATCH(L243,[1]Produtos!$B:$B,0)), "-")</f>
        <v>DAPOP</v>
      </c>
      <c r="Q243" s="270" t="str">
        <f>IFERROR(INDEX([1]Produtos!$H:$H,MATCH(L243,[1]Produtos!$B:$B,0)), "-")</f>
        <v>PERFUMARIA</v>
      </c>
      <c r="R243" s="270" t="str">
        <f>IFERROR(INDEX([1]Produtos!$I:$I,MATCH(L243,[1]Produtos!$B:$B,0)), "-")</f>
        <v>BODY SPLASH</v>
      </c>
      <c r="S243" s="270" t="str">
        <f>IFERROR(INDEX([1]Produtos!$J:$J,MATCH(L243,[1]Produtos!$B:$B,0)), "-")</f>
        <v>LÍQUIDO ESPESSO</v>
      </c>
      <c r="T243" s="474"/>
      <c r="U243" s="270"/>
      <c r="V243" s="270"/>
      <c r="W243" s="270"/>
      <c r="X243" s="270"/>
      <c r="Y243" s="270"/>
      <c r="Z243" s="270"/>
      <c r="AA243" s="270"/>
      <c r="AB243" s="270"/>
      <c r="AC243" s="270"/>
      <c r="AD243" s="270"/>
      <c r="AE243" s="270"/>
      <c r="AF243" s="270"/>
      <c r="AG243" s="270"/>
      <c r="AH243" s="270"/>
      <c r="AI243" s="270"/>
      <c r="AJ243" s="270"/>
      <c r="AK243" s="270"/>
      <c r="AL243" s="270"/>
      <c r="AM243" s="663"/>
      <c r="AN243" s="663"/>
      <c r="AO243" s="708" t="str">
        <f>IF(OR(Table1[[#This Row],[Início Setup Envase]]="",Table1[[#This Row],[Final Setup Envase]]=""),"",Table1[[#This Row],[Final Setup Envase]]-Table1[[#This Row],[Início Setup Envase]])</f>
        <v/>
      </c>
      <c r="AP243" s="663"/>
      <c r="AQ243" s="663"/>
      <c r="AR243" s="270"/>
      <c r="AS243" s="270"/>
      <c r="AT243" s="270"/>
      <c r="AU243" s="270"/>
      <c r="AV243" s="270"/>
      <c r="AW243" s="270"/>
      <c r="AX243" s="270"/>
      <c r="AY243" s="270"/>
      <c r="AZ243" s="270"/>
      <c r="BA243" s="270">
        <f>IF(Table1[[#This Row],[Data de Início]]="","",YEAR(Table1[[#This Row],[Data de Início]]))</f>
        <v>2025</v>
      </c>
      <c r="BB243" s="270">
        <f>IF(Table1[[#This Row],[Data de Início]]="","",MONTH(Table1[[#This Row],[Data de Início]]))</f>
        <v>7</v>
      </c>
      <c r="BC243" s="270"/>
    </row>
    <row r="244" spans="2:55" ht="15" customHeight="1" x14ac:dyDescent="0.25">
      <c r="B244" s="470">
        <v>45854.673611111109</v>
      </c>
      <c r="C244" s="263">
        <v>45854.708333333336</v>
      </c>
      <c r="D244" s="264" cm="1">
        <f t="array" ref="D244">IFERROR(HorasUteisFabrica2Turnos(B244,C244), "")</f>
        <v>0.8333333334303461</v>
      </c>
      <c r="E244" s="265">
        <f t="shared" si="3"/>
        <v>1066.1538461156565</v>
      </c>
      <c r="F244" s="266" t="s">
        <v>377</v>
      </c>
      <c r="G244" s="266" t="s">
        <v>360</v>
      </c>
      <c r="H244" s="266"/>
      <c r="I244" s="269" t="s">
        <v>468</v>
      </c>
      <c r="J244" s="267" t="s">
        <v>15</v>
      </c>
      <c r="K244" s="268">
        <v>888.46153853314433</v>
      </c>
      <c r="L244" s="269" t="s">
        <v>429</v>
      </c>
      <c r="M244" s="270" t="str">
        <f>IFERROR(INDEX([1]Produtos!$C:$C,MATCH(L244,[1]Produtos!$B:$B,0)), "-")</f>
        <v>BODY SPLASH GLOW TAÇA DE CHAMPAGNE</v>
      </c>
      <c r="N244" s="510">
        <f>IFERROR(INDEX([1]Produtos!$E:$E,MATCH(L244,[1]Produtos!$B:$B,0)), "-")</f>
        <v>120</v>
      </c>
      <c r="O244" s="270" t="str">
        <f>IFERROR(INDEX([1]Produtos!$F:$F,MATCH(L244,[1]Produtos!$B:$B,0)), "-")</f>
        <v>ml</v>
      </c>
      <c r="P244" s="270" t="str">
        <f>IFERROR(INDEX([1]Produtos!$G:$G,MATCH(L244,[1]Produtos!$B:$B,0)), "-")</f>
        <v>DAPOP</v>
      </c>
      <c r="Q244" s="270" t="str">
        <f>IFERROR(INDEX([1]Produtos!$H:$H,MATCH(L244,[1]Produtos!$B:$B,0)), "-")</f>
        <v>PERFUMARIA</v>
      </c>
      <c r="R244" s="270" t="str">
        <f>IFERROR(INDEX([1]Produtos!$I:$I,MATCH(L244,[1]Produtos!$B:$B,0)), "-")</f>
        <v>BODY SPLASH</v>
      </c>
      <c r="S244" s="270" t="str">
        <f>IFERROR(INDEX([1]Produtos!$J:$J,MATCH(L244,[1]Produtos!$B:$B,0)), "-")</f>
        <v>LÍQUIDO ESPESSO</v>
      </c>
      <c r="T244" s="474"/>
      <c r="U244" s="270"/>
      <c r="V244" s="270"/>
      <c r="W244" s="270"/>
      <c r="X244" s="270"/>
      <c r="Y244" s="270"/>
      <c r="Z244" s="270"/>
      <c r="AA244" s="270"/>
      <c r="AB244" s="270"/>
      <c r="AC244" s="270"/>
      <c r="AD244" s="270"/>
      <c r="AE244" s="270"/>
      <c r="AF244" s="270"/>
      <c r="AG244" s="270"/>
      <c r="AH244" s="270"/>
      <c r="AI244" s="270"/>
      <c r="AJ244" s="270"/>
      <c r="AK244" s="270"/>
      <c r="AL244" s="270"/>
      <c r="AM244" s="663"/>
      <c r="AN244" s="663"/>
      <c r="AO244" s="708" t="str">
        <f>IF(OR(Table1[[#This Row],[Início Setup Envase]]="",Table1[[#This Row],[Final Setup Envase]]=""),"",Table1[[#This Row],[Final Setup Envase]]-Table1[[#This Row],[Início Setup Envase]])</f>
        <v/>
      </c>
      <c r="AP244" s="663"/>
      <c r="AQ244" s="663"/>
      <c r="AR244" s="270"/>
      <c r="AS244" s="270"/>
      <c r="AT244" s="270"/>
      <c r="AU244" s="270"/>
      <c r="AV244" s="270"/>
      <c r="AW244" s="270"/>
      <c r="AX244" s="270"/>
      <c r="AY244" s="270"/>
      <c r="AZ244" s="270"/>
      <c r="BA244" s="270">
        <f>IF(Table1[[#This Row],[Data de Início]]="","",YEAR(Table1[[#This Row],[Data de Início]]))</f>
        <v>2025</v>
      </c>
      <c r="BB244" s="270">
        <f>IF(Table1[[#This Row],[Data de Início]]="","",MONTH(Table1[[#This Row],[Data de Início]]))</f>
        <v>7</v>
      </c>
      <c r="BC244" s="270"/>
    </row>
    <row r="245" spans="2:55" ht="15" customHeight="1" x14ac:dyDescent="0.25">
      <c r="B245" s="470">
        <v>45855.291666666664</v>
      </c>
      <c r="C245" s="263">
        <v>45855.4375</v>
      </c>
      <c r="D245" s="264" cm="1">
        <f t="array" ref="D245">IFERROR(HorasUteisFabrica2Turnos(B245,C245), "")</f>
        <v>3.5000000000582077</v>
      </c>
      <c r="E245" s="265">
        <f t="shared" si="3"/>
        <v>1066.1538461156565</v>
      </c>
      <c r="F245" s="266" t="s">
        <v>377</v>
      </c>
      <c r="G245" s="266" t="s">
        <v>360</v>
      </c>
      <c r="H245" s="266"/>
      <c r="I245" s="269" t="s">
        <v>468</v>
      </c>
      <c r="J245" s="267" t="s">
        <v>15</v>
      </c>
      <c r="K245" s="268">
        <v>3731.538461466856</v>
      </c>
      <c r="L245" s="269" t="s">
        <v>429</v>
      </c>
      <c r="M245" s="270" t="str">
        <f>IFERROR(INDEX([1]Produtos!$C:$C,MATCH(L245,[1]Produtos!$B:$B,0)), "-")</f>
        <v>BODY SPLASH GLOW TAÇA DE CHAMPAGNE</v>
      </c>
      <c r="N245" s="510">
        <f>IFERROR(INDEX([1]Produtos!$E:$E,MATCH(L245,[1]Produtos!$B:$B,0)), "-")</f>
        <v>120</v>
      </c>
      <c r="O245" s="270" t="str">
        <f>IFERROR(INDEX([1]Produtos!$F:$F,MATCH(L245,[1]Produtos!$B:$B,0)), "-")</f>
        <v>ml</v>
      </c>
      <c r="P245" s="270" t="str">
        <f>IFERROR(INDEX([1]Produtos!$G:$G,MATCH(L245,[1]Produtos!$B:$B,0)), "-")</f>
        <v>DAPOP</v>
      </c>
      <c r="Q245" s="270" t="str">
        <f>IFERROR(INDEX([1]Produtos!$H:$H,MATCH(L245,[1]Produtos!$B:$B,0)), "-")</f>
        <v>PERFUMARIA</v>
      </c>
      <c r="R245" s="270" t="str">
        <f>IFERROR(INDEX([1]Produtos!$I:$I,MATCH(L245,[1]Produtos!$B:$B,0)), "-")</f>
        <v>BODY SPLASH</v>
      </c>
      <c r="S245" s="270" t="str">
        <f>IFERROR(INDEX([1]Produtos!$J:$J,MATCH(L245,[1]Produtos!$B:$B,0)), "-")</f>
        <v>LÍQUIDO ESPESSO</v>
      </c>
      <c r="T245" s="474"/>
      <c r="U245" s="270"/>
      <c r="V245" s="270"/>
      <c r="W245" s="270"/>
      <c r="X245" s="270"/>
      <c r="Y245" s="270"/>
      <c r="Z245" s="270"/>
      <c r="AA245" s="270"/>
      <c r="AB245" s="270"/>
      <c r="AC245" s="270"/>
      <c r="AD245" s="270"/>
      <c r="AE245" s="270"/>
      <c r="AF245" s="270"/>
      <c r="AG245" s="270"/>
      <c r="AH245" s="270"/>
      <c r="AI245" s="270"/>
      <c r="AJ245" s="270"/>
      <c r="AK245" s="270"/>
      <c r="AL245" s="270"/>
      <c r="AM245" s="663"/>
      <c r="AN245" s="663"/>
      <c r="AO245" s="708" t="str">
        <f>IF(OR(Table1[[#This Row],[Início Setup Envase]]="",Table1[[#This Row],[Final Setup Envase]]=""),"",Table1[[#This Row],[Final Setup Envase]]-Table1[[#This Row],[Início Setup Envase]])</f>
        <v/>
      </c>
      <c r="AP245" s="663"/>
      <c r="AQ245" s="663"/>
      <c r="AR245" s="270"/>
      <c r="AS245" s="270"/>
      <c r="AT245" s="270"/>
      <c r="AU245" s="270"/>
      <c r="AV245" s="270"/>
      <c r="AW245" s="270"/>
      <c r="AX245" s="270"/>
      <c r="AY245" s="270"/>
      <c r="AZ245" s="270"/>
      <c r="BA245" s="270">
        <f>IF(Table1[[#This Row],[Data de Início]]="","",YEAR(Table1[[#This Row],[Data de Início]]))</f>
        <v>2025</v>
      </c>
      <c r="BB245" s="270">
        <f>IF(Table1[[#This Row],[Data de Início]]="","",MONTH(Table1[[#This Row],[Data de Início]]))</f>
        <v>7</v>
      </c>
      <c r="BC245" s="270"/>
    </row>
    <row r="246" spans="2:55" ht="15" customHeight="1" x14ac:dyDescent="0.25">
      <c r="B246" s="470">
        <v>45855.4375</v>
      </c>
      <c r="C246" s="263">
        <v>45855.541666666664</v>
      </c>
      <c r="D246" s="264" cm="1">
        <f t="array" ref="D246">IFERROR(HorasUteisFabrica2Turnos(B246,C246), "")</f>
        <v>2.4999999999417923</v>
      </c>
      <c r="E246" s="265">
        <f t="shared" si="3"/>
        <v>1848.0000000430271</v>
      </c>
      <c r="F246" s="266" t="s">
        <v>377</v>
      </c>
      <c r="G246" s="266" t="s">
        <v>360</v>
      </c>
      <c r="H246" s="266"/>
      <c r="I246" s="269" t="s">
        <v>469</v>
      </c>
      <c r="J246" s="267" t="s">
        <v>15</v>
      </c>
      <c r="K246" s="268">
        <v>4620</v>
      </c>
      <c r="L246" s="269" t="s">
        <v>429</v>
      </c>
      <c r="M246" s="270" t="str">
        <f>IFERROR(INDEX([1]Produtos!$C:$C,MATCH(L246,[1]Produtos!$B:$B,0)), "-")</f>
        <v>BODY SPLASH GLOW TAÇA DE CHAMPAGNE</v>
      </c>
      <c r="N246" s="510">
        <f>IFERROR(INDEX([1]Produtos!$E:$E,MATCH(L246,[1]Produtos!$B:$B,0)), "-")</f>
        <v>120</v>
      </c>
      <c r="O246" s="270" t="str">
        <f>IFERROR(INDEX([1]Produtos!$F:$F,MATCH(L246,[1]Produtos!$B:$B,0)), "-")</f>
        <v>ml</v>
      </c>
      <c r="P246" s="270" t="str">
        <f>IFERROR(INDEX([1]Produtos!$G:$G,MATCH(L246,[1]Produtos!$B:$B,0)), "-")</f>
        <v>DAPOP</v>
      </c>
      <c r="Q246" s="270" t="str">
        <f>IFERROR(INDEX([1]Produtos!$H:$H,MATCH(L246,[1]Produtos!$B:$B,0)), "-")</f>
        <v>PERFUMARIA</v>
      </c>
      <c r="R246" s="270" t="str">
        <f>IFERROR(INDEX([1]Produtos!$I:$I,MATCH(L246,[1]Produtos!$B:$B,0)), "-")</f>
        <v>BODY SPLASH</v>
      </c>
      <c r="S246" s="270" t="str">
        <f>IFERROR(INDEX([1]Produtos!$J:$J,MATCH(L246,[1]Produtos!$B:$B,0)), "-")</f>
        <v>LÍQUIDO ESPESSO</v>
      </c>
      <c r="T246" s="474"/>
      <c r="U246" s="270"/>
      <c r="V246" s="270"/>
      <c r="W246" s="270"/>
      <c r="X246" s="270"/>
      <c r="Y246" s="270"/>
      <c r="Z246" s="270"/>
      <c r="AA246" s="270"/>
      <c r="AB246" s="270"/>
      <c r="AC246" s="270"/>
      <c r="AD246" s="270"/>
      <c r="AE246" s="270"/>
      <c r="AF246" s="270"/>
      <c r="AG246" s="270"/>
      <c r="AH246" s="270"/>
      <c r="AI246" s="270"/>
      <c r="AJ246" s="270"/>
      <c r="AK246" s="270"/>
      <c r="AL246" s="270"/>
      <c r="AM246" s="663"/>
      <c r="AN246" s="663"/>
      <c r="AO246" s="708" t="str">
        <f>IF(OR(Table1[[#This Row],[Início Setup Envase]]="",Table1[[#This Row],[Final Setup Envase]]=""),"",Table1[[#This Row],[Final Setup Envase]]-Table1[[#This Row],[Início Setup Envase]])</f>
        <v/>
      </c>
      <c r="AP246" s="663"/>
      <c r="AQ246" s="663"/>
      <c r="AR246" s="270"/>
      <c r="AS246" s="270"/>
      <c r="AT246" s="270"/>
      <c r="AU246" s="270"/>
      <c r="AV246" s="270"/>
      <c r="AW246" s="270"/>
      <c r="AX246" s="270"/>
      <c r="AY246" s="270"/>
      <c r="AZ246" s="270"/>
      <c r="BA246" s="270">
        <f>IF(Table1[[#This Row],[Data de Início]]="","",YEAR(Table1[[#This Row],[Data de Início]]))</f>
        <v>2025</v>
      </c>
      <c r="BB246" s="270">
        <f>IF(Table1[[#This Row],[Data de Início]]="","",MONTH(Table1[[#This Row],[Data de Início]]))</f>
        <v>7</v>
      </c>
      <c r="BC246" s="270"/>
    </row>
    <row r="247" spans="2:55" ht="15" customHeight="1" x14ac:dyDescent="0.25">
      <c r="B247" s="470">
        <v>45855.541666666664</v>
      </c>
      <c r="C247" s="263">
        <v>45855.6875</v>
      </c>
      <c r="D247" s="264" cm="1">
        <f t="array" ref="D247">IFERROR(HorasUteisFabrica2Turnos(B247,C247), "")</f>
        <v>3.5000000000582077</v>
      </c>
      <c r="E247" s="265">
        <f t="shared" si="3"/>
        <v>445.71428570687317</v>
      </c>
      <c r="F247" s="266" t="s">
        <v>377</v>
      </c>
      <c r="G247" s="266" t="s">
        <v>360</v>
      </c>
      <c r="H247" s="266"/>
      <c r="I247" s="269" t="s">
        <v>447</v>
      </c>
      <c r="J247" s="267" t="s">
        <v>15</v>
      </c>
      <c r="K247" s="268">
        <v>1560</v>
      </c>
      <c r="L247" s="269" t="s">
        <v>429</v>
      </c>
      <c r="M247" s="270" t="str">
        <f>IFERROR(INDEX([1]Produtos!$C:$C,MATCH(L247,[1]Produtos!$B:$B,0)), "-")</f>
        <v>BODY SPLASH GLOW TAÇA DE CHAMPAGNE</v>
      </c>
      <c r="N247" s="510">
        <f>IFERROR(INDEX([1]Produtos!$E:$E,MATCH(L247,[1]Produtos!$B:$B,0)), "-")</f>
        <v>120</v>
      </c>
      <c r="O247" s="270" t="str">
        <f>IFERROR(INDEX([1]Produtos!$F:$F,MATCH(L247,[1]Produtos!$B:$B,0)), "-")</f>
        <v>ml</v>
      </c>
      <c r="P247" s="270" t="str">
        <f>IFERROR(INDEX([1]Produtos!$G:$G,MATCH(L247,[1]Produtos!$B:$B,0)), "-")</f>
        <v>DAPOP</v>
      </c>
      <c r="Q247" s="270" t="str">
        <f>IFERROR(INDEX([1]Produtos!$H:$H,MATCH(L247,[1]Produtos!$B:$B,0)), "-")</f>
        <v>PERFUMARIA</v>
      </c>
      <c r="R247" s="270" t="str">
        <f>IFERROR(INDEX([1]Produtos!$I:$I,MATCH(L247,[1]Produtos!$B:$B,0)), "-")</f>
        <v>BODY SPLASH</v>
      </c>
      <c r="S247" s="270" t="str">
        <f>IFERROR(INDEX([1]Produtos!$J:$J,MATCH(L247,[1]Produtos!$B:$B,0)), "-")</f>
        <v>LÍQUIDO ESPESSO</v>
      </c>
      <c r="T247" s="474"/>
      <c r="U247" s="270"/>
      <c r="V247" s="270"/>
      <c r="W247" s="270"/>
      <c r="X247" s="270"/>
      <c r="Y247" s="270"/>
      <c r="Z247" s="270"/>
      <c r="AA247" s="270"/>
      <c r="AB247" s="270"/>
      <c r="AC247" s="270"/>
      <c r="AD247" s="270"/>
      <c r="AE247" s="270"/>
      <c r="AF247" s="270"/>
      <c r="AG247" s="270"/>
      <c r="AH247" s="270"/>
      <c r="AI247" s="270"/>
      <c r="AJ247" s="270"/>
      <c r="AK247" s="270"/>
      <c r="AL247" s="270"/>
      <c r="AM247" s="663"/>
      <c r="AN247" s="663"/>
      <c r="AO247" s="708" t="str">
        <f>IF(OR(Table1[[#This Row],[Início Setup Envase]]="",Table1[[#This Row],[Final Setup Envase]]=""),"",Table1[[#This Row],[Final Setup Envase]]-Table1[[#This Row],[Início Setup Envase]])</f>
        <v/>
      </c>
      <c r="AP247" s="663"/>
      <c r="AQ247" s="663"/>
      <c r="AR247" s="270"/>
      <c r="AS247" s="270"/>
      <c r="AT247" s="270"/>
      <c r="AU247" s="270"/>
      <c r="AV247" s="270"/>
      <c r="AW247" s="270"/>
      <c r="AX247" s="270"/>
      <c r="AY247" s="270"/>
      <c r="AZ247" s="270"/>
      <c r="BA247" s="270">
        <f>IF(Table1[[#This Row],[Data de Início]]="","",YEAR(Table1[[#This Row],[Data de Início]]))</f>
        <v>2025</v>
      </c>
      <c r="BB247" s="270">
        <f>IF(Table1[[#This Row],[Data de Início]]="","",MONTH(Table1[[#This Row],[Data de Início]]))</f>
        <v>7</v>
      </c>
      <c r="BC247" s="270"/>
    </row>
    <row r="248" spans="2:55" ht="15" customHeight="1" x14ac:dyDescent="0.25">
      <c r="B248" s="470">
        <v>45856.338888888888</v>
      </c>
      <c r="C248" s="263">
        <v>45856.458333333336</v>
      </c>
      <c r="D248" s="264" cm="1">
        <f t="array" ref="D248">IFERROR(HorasUteisFabrica2Turnos(B248,C248), "")</f>
        <v>2.8666666667559184</v>
      </c>
      <c r="E248" s="265">
        <f t="shared" si="3"/>
        <v>707.09302323379904</v>
      </c>
      <c r="F248" s="266" t="s">
        <v>377</v>
      </c>
      <c r="G248" s="266" t="s">
        <v>439</v>
      </c>
      <c r="H248" s="266"/>
      <c r="I248" s="269" t="s">
        <v>441</v>
      </c>
      <c r="J248" s="267" t="s">
        <v>15</v>
      </c>
      <c r="K248" s="269">
        <v>2027</v>
      </c>
      <c r="L248" s="269" t="s">
        <v>434</v>
      </c>
      <c r="M248" s="270" t="str">
        <f>IFERROR(INDEX([1]Produtos!$C:$C,MATCH(L248,[1]Produtos!$B:$B,0)), "-")</f>
        <v>BODY SPLASH GOTA BELLE</v>
      </c>
      <c r="N248" s="510">
        <f>IFERROR(INDEX([1]Produtos!$E:$E,MATCH(L248,[1]Produtos!$B:$B,0)), "-")</f>
        <v>210</v>
      </c>
      <c r="O248" s="270" t="str">
        <f>IFERROR(INDEX([1]Produtos!$F:$F,MATCH(L248,[1]Produtos!$B:$B,0)), "-")</f>
        <v>ml</v>
      </c>
      <c r="P248" s="270" t="str">
        <f>IFERROR(INDEX([1]Produtos!$G:$G,MATCH(L248,[1]Produtos!$B:$B,0)), "-")</f>
        <v>GOTA ZEN</v>
      </c>
      <c r="Q248" s="270" t="str">
        <f>IFERROR(INDEX([1]Produtos!$H:$H,MATCH(L248,[1]Produtos!$B:$B,0)), "-")</f>
        <v>PERFUMARIA</v>
      </c>
      <c r="R248" s="270" t="str">
        <f>IFERROR(INDEX([1]Produtos!$I:$I,MATCH(L248,[1]Produtos!$B:$B,0)), "-")</f>
        <v>BODY SPLASH</v>
      </c>
      <c r="S248" s="270" t="str">
        <f>IFERROR(INDEX([1]Produtos!$J:$J,MATCH(L248,[1]Produtos!$B:$B,0)), "-")</f>
        <v>LÍQUIDO</v>
      </c>
      <c r="T248" s="474"/>
      <c r="U248" s="270"/>
      <c r="V248" s="270"/>
      <c r="W248" s="270"/>
      <c r="X248" s="270"/>
      <c r="Y248" s="270"/>
      <c r="Z248" s="270"/>
      <c r="AA248" s="270"/>
      <c r="AB248" s="270"/>
      <c r="AC248" s="270"/>
      <c r="AD248" s="270"/>
      <c r="AE248" s="270"/>
      <c r="AF248" s="270"/>
      <c r="AG248" s="270"/>
      <c r="AH248" s="270"/>
      <c r="AI248" s="270"/>
      <c r="AJ248" s="270"/>
      <c r="AK248" s="270"/>
      <c r="AL248" s="270"/>
      <c r="AM248" s="663"/>
      <c r="AN248" s="663"/>
      <c r="AO248" s="708" t="str">
        <f>IF(OR(Table1[[#This Row],[Início Setup Envase]]="",Table1[[#This Row],[Final Setup Envase]]=""),"",Table1[[#This Row],[Final Setup Envase]]-Table1[[#This Row],[Início Setup Envase]])</f>
        <v/>
      </c>
      <c r="AP248" s="663"/>
      <c r="AQ248" s="663"/>
      <c r="AR248" s="270"/>
      <c r="AS248" s="270"/>
      <c r="AT248" s="270"/>
      <c r="AU248" s="270"/>
      <c r="AV248" s="270"/>
      <c r="AW248" s="270"/>
      <c r="AX248" s="270"/>
      <c r="AY248" s="270"/>
      <c r="AZ248" s="270"/>
      <c r="BA248" s="270">
        <f>IF(Table1[[#This Row],[Data de Início]]="","",YEAR(Table1[[#This Row],[Data de Início]]))</f>
        <v>2025</v>
      </c>
      <c r="BB248" s="270">
        <f>IF(Table1[[#This Row],[Data de Início]]="","",MONTH(Table1[[#This Row],[Data de Início]]))</f>
        <v>7</v>
      </c>
      <c r="BC248" s="270"/>
    </row>
    <row r="249" spans="2:55" ht="15" customHeight="1" x14ac:dyDescent="0.25">
      <c r="B249" s="470">
        <v>45856.458333333336</v>
      </c>
      <c r="C249" s="263">
        <v>45856.597222222219</v>
      </c>
      <c r="D249" s="264" cm="1">
        <f t="array" ref="D249">IFERROR(HorasUteisFabrica2Turnos(B249,C249), "")</f>
        <v>2.3333333331975155</v>
      </c>
      <c r="E249" s="265">
        <f t="shared" si="3"/>
        <v>876.00000005098991</v>
      </c>
      <c r="F249" s="266" t="s">
        <v>377</v>
      </c>
      <c r="G249" s="266" t="s">
        <v>439</v>
      </c>
      <c r="H249" s="266"/>
      <c r="I249" s="269" t="s">
        <v>440</v>
      </c>
      <c r="J249" s="267" t="s">
        <v>15</v>
      </c>
      <c r="K249" s="269">
        <v>2044</v>
      </c>
      <c r="L249" s="269" t="s">
        <v>435</v>
      </c>
      <c r="M249" s="270" t="str">
        <f>IFERROR(INDEX([1]Produtos!$C:$C,MATCH(L249,[1]Produtos!$B:$B,0)), "-")</f>
        <v>BODY SPLASH GOTA LOVE</v>
      </c>
      <c r="N249" s="510">
        <f>IFERROR(INDEX([1]Produtos!$E:$E,MATCH(L249,[1]Produtos!$B:$B,0)), "-")</f>
        <v>210</v>
      </c>
      <c r="O249" s="270" t="str">
        <f>IFERROR(INDEX([1]Produtos!$F:$F,MATCH(L249,[1]Produtos!$B:$B,0)), "-")</f>
        <v>ml</v>
      </c>
      <c r="P249" s="270" t="str">
        <f>IFERROR(INDEX([1]Produtos!$G:$G,MATCH(L249,[1]Produtos!$B:$B,0)), "-")</f>
        <v>GOTA ZEN</v>
      </c>
      <c r="Q249" s="270" t="str">
        <f>IFERROR(INDEX([1]Produtos!$H:$H,MATCH(L249,[1]Produtos!$B:$B,0)), "-")</f>
        <v>PERFUMARIA</v>
      </c>
      <c r="R249" s="270" t="str">
        <f>IFERROR(INDEX([1]Produtos!$I:$I,MATCH(L249,[1]Produtos!$B:$B,0)), "-")</f>
        <v>BODY SPLASH</v>
      </c>
      <c r="S249" s="270" t="str">
        <f>IFERROR(INDEX([1]Produtos!$J:$J,MATCH(L249,[1]Produtos!$B:$B,0)), "-")</f>
        <v>LÍQUIDO</v>
      </c>
      <c r="T249" s="474"/>
      <c r="U249" s="270"/>
      <c r="V249" s="270"/>
      <c r="W249" s="270"/>
      <c r="X249" s="270"/>
      <c r="Y249" s="270"/>
      <c r="Z249" s="270"/>
      <c r="AA249" s="270"/>
      <c r="AB249" s="270"/>
      <c r="AC249" s="270"/>
      <c r="AD249" s="270"/>
      <c r="AE249" s="270"/>
      <c r="AF249" s="270"/>
      <c r="AG249" s="270"/>
      <c r="AH249" s="270"/>
      <c r="AI249" s="270"/>
      <c r="AJ249" s="270"/>
      <c r="AK249" s="270"/>
      <c r="AL249" s="270"/>
      <c r="AM249" s="663"/>
      <c r="AN249" s="663"/>
      <c r="AO249" s="708" t="str">
        <f>IF(OR(Table1[[#This Row],[Início Setup Envase]]="",Table1[[#This Row],[Final Setup Envase]]=""),"",Table1[[#This Row],[Final Setup Envase]]-Table1[[#This Row],[Início Setup Envase]])</f>
        <v/>
      </c>
      <c r="AP249" s="663"/>
      <c r="AQ249" s="663"/>
      <c r="AR249" s="270"/>
      <c r="AS249" s="270"/>
      <c r="AT249" s="270"/>
      <c r="AU249" s="270"/>
      <c r="AV249" s="270"/>
      <c r="AW249" s="270"/>
      <c r="AX249" s="270"/>
      <c r="AY249" s="270"/>
      <c r="AZ249" s="270"/>
      <c r="BA249" s="270">
        <f>IF(Table1[[#This Row],[Data de Início]]="","",YEAR(Table1[[#This Row],[Data de Início]]))</f>
        <v>2025</v>
      </c>
      <c r="BB249" s="270">
        <f>IF(Table1[[#This Row],[Data de Início]]="","",MONTH(Table1[[#This Row],[Data de Início]]))</f>
        <v>7</v>
      </c>
      <c r="BC249" s="270"/>
    </row>
    <row r="250" spans="2:55" ht="15" customHeight="1" x14ac:dyDescent="0.25">
      <c r="B250" s="470">
        <v>45856.597222222219</v>
      </c>
      <c r="C250" s="263">
        <v>45856.666666666664</v>
      </c>
      <c r="D250" s="264" cm="1">
        <f t="array" ref="D250">IFERROR(HorasUteisFabrica2Turnos(B250,C250), "")</f>
        <v>1.6666666666860692</v>
      </c>
      <c r="E250" s="265">
        <f t="shared" si="3"/>
        <v>662.3999999922886</v>
      </c>
      <c r="F250" s="266" t="s">
        <v>377</v>
      </c>
      <c r="G250" s="266" t="s">
        <v>439</v>
      </c>
      <c r="H250" s="266"/>
      <c r="I250" s="269" t="s">
        <v>442</v>
      </c>
      <c r="J250" s="267" t="s">
        <v>15</v>
      </c>
      <c r="K250" s="269">
        <v>1104</v>
      </c>
      <c r="L250" s="269" t="s">
        <v>436</v>
      </c>
      <c r="M250" s="270" t="str">
        <f>IFERROR(INDEX([1]Produtos!$C:$C,MATCH(L250,[1]Produtos!$B:$B,0)), "-")</f>
        <v>BODY SPLASH ARABYS' AMBAR</v>
      </c>
      <c r="N250" s="510">
        <f>IFERROR(INDEX([1]Produtos!$E:$E,MATCH(L250,[1]Produtos!$B:$B,0)), "-")</f>
        <v>210</v>
      </c>
      <c r="O250" s="270" t="str">
        <f>IFERROR(INDEX([1]Produtos!$F:$F,MATCH(L250,[1]Produtos!$B:$B,0)), "-")</f>
        <v>ml</v>
      </c>
      <c r="P250" s="270" t="str">
        <f>IFERROR(INDEX([1]Produtos!$G:$G,MATCH(L250,[1]Produtos!$B:$B,0)), "-")</f>
        <v>GOTA ZEN</v>
      </c>
      <c r="Q250" s="270" t="str">
        <f>IFERROR(INDEX([1]Produtos!$H:$H,MATCH(L250,[1]Produtos!$B:$B,0)), "-")</f>
        <v>PERFUMARIA</v>
      </c>
      <c r="R250" s="270" t="str">
        <f>IFERROR(INDEX([1]Produtos!$I:$I,MATCH(L250,[1]Produtos!$B:$B,0)), "-")</f>
        <v>BODY SPLASH</v>
      </c>
      <c r="S250" s="270" t="str">
        <f>IFERROR(INDEX([1]Produtos!$J:$J,MATCH(L250,[1]Produtos!$B:$B,0)), "-")</f>
        <v>LÍQUIDO</v>
      </c>
      <c r="T250" s="474"/>
      <c r="U250" s="270"/>
      <c r="V250" s="270"/>
      <c r="W250" s="270"/>
      <c r="X250" s="270"/>
      <c r="Y250" s="270"/>
      <c r="Z250" s="270"/>
      <c r="AA250" s="270"/>
      <c r="AB250" s="270"/>
      <c r="AC250" s="270"/>
      <c r="AD250" s="270"/>
      <c r="AE250" s="270"/>
      <c r="AF250" s="270"/>
      <c r="AG250" s="270"/>
      <c r="AH250" s="270"/>
      <c r="AI250" s="270"/>
      <c r="AJ250" s="270"/>
      <c r="AK250" s="270"/>
      <c r="AL250" s="270"/>
      <c r="AM250" s="663"/>
      <c r="AN250" s="663"/>
      <c r="AO250" s="708" t="str">
        <f>IF(OR(Table1[[#This Row],[Início Setup Envase]]="",Table1[[#This Row],[Final Setup Envase]]=""),"",Table1[[#This Row],[Final Setup Envase]]-Table1[[#This Row],[Início Setup Envase]])</f>
        <v/>
      </c>
      <c r="AP250" s="663"/>
      <c r="AQ250" s="663"/>
      <c r="AR250" s="270"/>
      <c r="AS250" s="270"/>
      <c r="AT250" s="270"/>
      <c r="AU250" s="270"/>
      <c r="AV250" s="270"/>
      <c r="AW250" s="270"/>
      <c r="AX250" s="270"/>
      <c r="AY250" s="270"/>
      <c r="AZ250" s="270"/>
      <c r="BA250" s="270">
        <f>IF(Table1[[#This Row],[Data de Início]]="","",YEAR(Table1[[#This Row],[Data de Início]]))</f>
        <v>2025</v>
      </c>
      <c r="BB250" s="270">
        <f>IF(Table1[[#This Row],[Data de Início]]="","",MONTH(Table1[[#This Row],[Data de Início]]))</f>
        <v>7</v>
      </c>
      <c r="BC250" s="270"/>
    </row>
    <row r="251" spans="2:55" ht="15" customHeight="1" x14ac:dyDescent="0.25">
      <c r="B251" s="470">
        <v>45859.291666666664</v>
      </c>
      <c r="C251" s="263">
        <v>45859.34375</v>
      </c>
      <c r="D251" s="264" cm="1">
        <f t="array" ref="D251">IFERROR(HorasUteisFabrica2Turnos(B251,C251), "")</f>
        <v>1.2500000000582077</v>
      </c>
      <c r="E251" s="265">
        <f t="shared" si="3"/>
        <v>738.39999996561562</v>
      </c>
      <c r="F251" s="266" t="s">
        <v>377</v>
      </c>
      <c r="G251" s="266" t="s">
        <v>439</v>
      </c>
      <c r="H251" s="266"/>
      <c r="I251" s="269" t="s">
        <v>442</v>
      </c>
      <c r="J251" s="267" t="s">
        <v>15</v>
      </c>
      <c r="K251" s="269">
        <f>912+11</f>
        <v>923</v>
      </c>
      <c r="L251" s="269" t="s">
        <v>436</v>
      </c>
      <c r="M251" s="270" t="str">
        <f>IFERROR(INDEX([1]Produtos!$C:$C,MATCH(L251,[1]Produtos!$B:$B,0)), "-")</f>
        <v>BODY SPLASH ARABYS' AMBAR</v>
      </c>
      <c r="N251" s="510">
        <f>IFERROR(INDEX([1]Produtos!$E:$E,MATCH(L251,[1]Produtos!$B:$B,0)), "-")</f>
        <v>210</v>
      </c>
      <c r="O251" s="270" t="str">
        <f>IFERROR(INDEX([1]Produtos!$F:$F,MATCH(L251,[1]Produtos!$B:$B,0)), "-")</f>
        <v>ml</v>
      </c>
      <c r="P251" s="270" t="str">
        <f>IFERROR(INDEX([1]Produtos!$G:$G,MATCH(L251,[1]Produtos!$B:$B,0)), "-")</f>
        <v>GOTA ZEN</v>
      </c>
      <c r="Q251" s="270" t="str">
        <f>IFERROR(INDEX([1]Produtos!$H:$H,MATCH(L251,[1]Produtos!$B:$B,0)), "-")</f>
        <v>PERFUMARIA</v>
      </c>
      <c r="R251" s="270" t="str">
        <f>IFERROR(INDEX([1]Produtos!$I:$I,MATCH(L251,[1]Produtos!$B:$B,0)), "-")</f>
        <v>BODY SPLASH</v>
      </c>
      <c r="S251" s="270" t="str">
        <f>IFERROR(INDEX([1]Produtos!$J:$J,MATCH(L251,[1]Produtos!$B:$B,0)), "-")</f>
        <v>LÍQUIDO</v>
      </c>
      <c r="T251" s="474"/>
      <c r="U251" s="270"/>
      <c r="V251" s="270"/>
      <c r="W251" s="270"/>
      <c r="X251" s="270"/>
      <c r="Y251" s="270"/>
      <c r="Z251" s="270"/>
      <c r="AA251" s="270"/>
      <c r="AB251" s="270"/>
      <c r="AC251" s="270"/>
      <c r="AD251" s="270"/>
      <c r="AE251" s="270"/>
      <c r="AF251" s="270"/>
      <c r="AG251" s="270"/>
      <c r="AH251" s="270"/>
      <c r="AI251" s="270"/>
      <c r="AJ251" s="270"/>
      <c r="AK251" s="270"/>
      <c r="AL251" s="270"/>
      <c r="AM251" s="663"/>
      <c r="AN251" s="663"/>
      <c r="AO251" s="708" t="str">
        <f>IF(OR(Table1[[#This Row],[Início Setup Envase]]="",Table1[[#This Row],[Final Setup Envase]]=""),"",Table1[[#This Row],[Final Setup Envase]]-Table1[[#This Row],[Início Setup Envase]])</f>
        <v/>
      </c>
      <c r="AP251" s="663"/>
      <c r="AQ251" s="663"/>
      <c r="AR251" s="270"/>
      <c r="AS251" s="270"/>
      <c r="AT251" s="270"/>
      <c r="AU251" s="270"/>
      <c r="AV251" s="270"/>
      <c r="AW251" s="270"/>
      <c r="AX251" s="270"/>
      <c r="AY251" s="270"/>
      <c r="AZ251" s="270"/>
      <c r="BA251" s="270">
        <f>IF(Table1[[#This Row],[Data de Início]]="","",YEAR(Table1[[#This Row],[Data de Início]]))</f>
        <v>2025</v>
      </c>
      <c r="BB251" s="270">
        <f>IF(Table1[[#This Row],[Data de Início]]="","",MONTH(Table1[[#This Row],[Data de Início]]))</f>
        <v>7</v>
      </c>
      <c r="BC251" s="270"/>
    </row>
    <row r="252" spans="2:55" ht="15" customHeight="1" x14ac:dyDescent="0.25">
      <c r="B252" s="470">
        <v>45859.34375</v>
      </c>
      <c r="C252" s="263">
        <v>45859.430555555555</v>
      </c>
      <c r="D252" s="264" cm="1">
        <f t="array" ref="D252">IFERROR(HorasUteisFabrica2Turnos(B252,C252), "")</f>
        <v>2.0833333333139308</v>
      </c>
      <c r="E252" s="265">
        <f t="shared" si="3"/>
        <v>972.96000000906145</v>
      </c>
      <c r="F252" s="266" t="s">
        <v>377</v>
      </c>
      <c r="G252" s="266" t="s">
        <v>439</v>
      </c>
      <c r="H252" s="266"/>
      <c r="I252" s="269" t="s">
        <v>454</v>
      </c>
      <c r="J252" s="267" t="s">
        <v>15</v>
      </c>
      <c r="K252" s="269">
        <v>2027</v>
      </c>
      <c r="L252" s="269" t="s">
        <v>453</v>
      </c>
      <c r="M252" s="270" t="str">
        <f>IFERROR(INDEX([1]Produtos!$C:$C,MATCH(L252,[1]Produtos!$B:$B,0)), "-")</f>
        <v>BODY SPLASH ARABYS' FEROZ</v>
      </c>
      <c r="N252" s="510">
        <f>IFERROR(INDEX([1]Produtos!$E:$E,MATCH(L252,[1]Produtos!$B:$B,0)), "-")</f>
        <v>210</v>
      </c>
      <c r="O252" s="270" t="str">
        <f>IFERROR(INDEX([1]Produtos!$F:$F,MATCH(L252,[1]Produtos!$B:$B,0)), "-")</f>
        <v>ml</v>
      </c>
      <c r="P252" s="270" t="str">
        <f>IFERROR(INDEX([1]Produtos!$G:$G,MATCH(L252,[1]Produtos!$B:$B,0)), "-")</f>
        <v>GOTA ZEN</v>
      </c>
      <c r="Q252" s="270" t="str">
        <f>IFERROR(INDEX([1]Produtos!$H:$H,MATCH(L252,[1]Produtos!$B:$B,0)), "-")</f>
        <v>PERFUMARIA</v>
      </c>
      <c r="R252" s="270" t="str">
        <f>IFERROR(INDEX([1]Produtos!$I:$I,MATCH(L252,[1]Produtos!$B:$B,0)), "-")</f>
        <v>BODY SPLASH</v>
      </c>
      <c r="S252" s="270" t="str">
        <f>IFERROR(INDEX([1]Produtos!$J:$J,MATCH(L252,[1]Produtos!$B:$B,0)), "-")</f>
        <v>LÍQUIDO</v>
      </c>
      <c r="T252" s="474"/>
      <c r="U252" s="270"/>
      <c r="V252" s="270"/>
      <c r="W252" s="270"/>
      <c r="X252" s="270"/>
      <c r="Y252" s="270"/>
      <c r="Z252" s="270"/>
      <c r="AA252" s="270"/>
      <c r="AB252" s="270"/>
      <c r="AC252" s="270"/>
      <c r="AD252" s="270"/>
      <c r="AE252" s="270"/>
      <c r="AF252" s="270"/>
      <c r="AG252" s="270"/>
      <c r="AH252" s="270"/>
      <c r="AI252" s="270"/>
      <c r="AJ252" s="270"/>
      <c r="AK252" s="270"/>
      <c r="AL252" s="270"/>
      <c r="AM252" s="663"/>
      <c r="AN252" s="663"/>
      <c r="AO252" s="708" t="str">
        <f>IF(OR(Table1[[#This Row],[Início Setup Envase]]="",Table1[[#This Row],[Final Setup Envase]]=""),"",Table1[[#This Row],[Final Setup Envase]]-Table1[[#This Row],[Início Setup Envase]])</f>
        <v/>
      </c>
      <c r="AP252" s="663"/>
      <c r="AQ252" s="663"/>
      <c r="AR252" s="270"/>
      <c r="AS252" s="270"/>
      <c r="AT252" s="270"/>
      <c r="AU252" s="270"/>
      <c r="AV252" s="270"/>
      <c r="AW252" s="270"/>
      <c r="AX252" s="270"/>
      <c r="AY252" s="270"/>
      <c r="AZ252" s="270"/>
      <c r="BA252" s="270">
        <f>IF(Table1[[#This Row],[Data de Início]]="","",YEAR(Table1[[#This Row],[Data de Início]]))</f>
        <v>2025</v>
      </c>
      <c r="BB252" s="270">
        <f>IF(Table1[[#This Row],[Data de Início]]="","",MONTH(Table1[[#This Row],[Data de Início]]))</f>
        <v>7</v>
      </c>
      <c r="BC252" s="270"/>
    </row>
    <row r="253" spans="2:55" ht="15" customHeight="1" x14ac:dyDescent="0.25">
      <c r="B253" s="470">
        <v>45859.430555555555</v>
      </c>
      <c r="C253" s="263">
        <v>45859.569444444445</v>
      </c>
      <c r="D253" s="264" cm="1">
        <f t="array" ref="D253">IFERROR(HorasUteisFabrica2Turnos(B253,C253), "")</f>
        <v>2.3333333333721384</v>
      </c>
      <c r="E253" s="265">
        <f t="shared" si="3"/>
        <v>868.71428569983834</v>
      </c>
      <c r="F253" s="266" t="s">
        <v>377</v>
      </c>
      <c r="G253" s="266" t="s">
        <v>439</v>
      </c>
      <c r="H253" s="266"/>
      <c r="I253" s="269" t="s">
        <v>456</v>
      </c>
      <c r="J253" s="267" t="s">
        <v>15</v>
      </c>
      <c r="K253" s="269">
        <v>2027</v>
      </c>
      <c r="L253" s="269" t="s">
        <v>455</v>
      </c>
      <c r="M253" s="270" t="str">
        <f>IFERROR(INDEX([1]Produtos!$C:$C,MATCH(L253,[1]Produtos!$B:$B,0)), "-")</f>
        <v>BODY SPLASH GLOW CHAMPAGNE</v>
      </c>
      <c r="N253" s="510">
        <f>IFERROR(INDEX([1]Produtos!$E:$E,MATCH(L253,[1]Produtos!$B:$B,0)), "-")</f>
        <v>210</v>
      </c>
      <c r="O253" s="270" t="str">
        <f>IFERROR(INDEX([1]Produtos!$F:$F,MATCH(L253,[1]Produtos!$B:$B,0)), "-")</f>
        <v>ml</v>
      </c>
      <c r="P253" s="270" t="str">
        <f>IFERROR(INDEX([1]Produtos!$G:$G,MATCH(L253,[1]Produtos!$B:$B,0)), "-")</f>
        <v>GOTA ZEN</v>
      </c>
      <c r="Q253" s="270" t="str">
        <f>IFERROR(INDEX([1]Produtos!$H:$H,MATCH(L253,[1]Produtos!$B:$B,0)), "-")</f>
        <v>PERFUMARIA</v>
      </c>
      <c r="R253" s="270" t="str">
        <f>IFERROR(INDEX([1]Produtos!$I:$I,MATCH(L253,[1]Produtos!$B:$B,0)), "-")</f>
        <v>BODY SPLASH</v>
      </c>
      <c r="S253" s="270" t="str">
        <f>IFERROR(INDEX([1]Produtos!$J:$J,MATCH(L253,[1]Produtos!$B:$B,0)), "-")</f>
        <v>LÍQUIDO</v>
      </c>
      <c r="T253" s="474"/>
      <c r="U253" s="270"/>
      <c r="V253" s="270"/>
      <c r="W253" s="270"/>
      <c r="X253" s="270"/>
      <c r="Y253" s="270"/>
      <c r="Z253" s="270"/>
      <c r="AA253" s="270"/>
      <c r="AB253" s="270"/>
      <c r="AC253" s="270"/>
      <c r="AD253" s="270"/>
      <c r="AE253" s="270"/>
      <c r="AF253" s="270"/>
      <c r="AG253" s="270"/>
      <c r="AH253" s="270"/>
      <c r="AI253" s="270"/>
      <c r="AJ253" s="270"/>
      <c r="AK253" s="270"/>
      <c r="AL253" s="270"/>
      <c r="AM253" s="663"/>
      <c r="AN253" s="663"/>
      <c r="AO253" s="708" t="str">
        <f>IF(OR(Table1[[#This Row],[Início Setup Envase]]="",Table1[[#This Row],[Final Setup Envase]]=""),"",Table1[[#This Row],[Final Setup Envase]]-Table1[[#This Row],[Início Setup Envase]])</f>
        <v/>
      </c>
      <c r="AP253" s="663"/>
      <c r="AQ253" s="663"/>
      <c r="AR253" s="270"/>
      <c r="AS253" s="270"/>
      <c r="AT253" s="270"/>
      <c r="AU253" s="270"/>
      <c r="AV253" s="270"/>
      <c r="AW253" s="270"/>
      <c r="AX253" s="270"/>
      <c r="AY253" s="270"/>
      <c r="AZ253" s="270"/>
      <c r="BA253" s="270">
        <f>IF(Table1[[#This Row],[Data de Início]]="","",YEAR(Table1[[#This Row],[Data de Início]]))</f>
        <v>2025</v>
      </c>
      <c r="BB253" s="270">
        <f>IF(Table1[[#This Row],[Data de Início]]="","",MONTH(Table1[[#This Row],[Data de Início]]))</f>
        <v>7</v>
      </c>
      <c r="BC253" s="270"/>
    </row>
    <row r="254" spans="2:55" ht="15" customHeight="1" x14ac:dyDescent="0.25">
      <c r="B254" s="470">
        <v>45859.569444444445</v>
      </c>
      <c r="C254" s="263">
        <v>45859.645833333336</v>
      </c>
      <c r="D254" s="264" cm="1">
        <f t="array" ref="D254">IFERROR(HorasUteisFabrica2Turnos(B254,C254), "")</f>
        <v>1.8333333333721384</v>
      </c>
      <c r="E254" s="265">
        <f t="shared" si="3"/>
        <v>1105.6363636129613</v>
      </c>
      <c r="F254" s="266" t="s">
        <v>377</v>
      </c>
      <c r="G254" s="266" t="s">
        <v>439</v>
      </c>
      <c r="H254" s="266"/>
      <c r="I254" s="269" t="s">
        <v>466</v>
      </c>
      <c r="J254" s="267" t="s">
        <v>15</v>
      </c>
      <c r="K254" s="269">
        <v>2027</v>
      </c>
      <c r="L254" s="269" t="s">
        <v>457</v>
      </c>
      <c r="M254" s="270" t="str">
        <f>IFERROR(INDEX([1]Produtos!$C:$C,MATCH(L254,[1]Produtos!$B:$B,0)), "-")</f>
        <v>BODY SPLASH ESCAN DALOSA</v>
      </c>
      <c r="N254" s="510">
        <f>IFERROR(INDEX([1]Produtos!$E:$E,MATCH(L254,[1]Produtos!$B:$B,0)), "-")</f>
        <v>210</v>
      </c>
      <c r="O254" s="270" t="str">
        <f>IFERROR(INDEX([1]Produtos!$F:$F,MATCH(L254,[1]Produtos!$B:$B,0)), "-")</f>
        <v>ml</v>
      </c>
      <c r="P254" s="270" t="str">
        <f>IFERROR(INDEX([1]Produtos!$G:$G,MATCH(L254,[1]Produtos!$B:$B,0)), "-")</f>
        <v>GOTA ZEN</v>
      </c>
      <c r="Q254" s="270" t="str">
        <f>IFERROR(INDEX([1]Produtos!$H:$H,MATCH(L254,[1]Produtos!$B:$B,0)), "-")</f>
        <v>PERFUMARIA</v>
      </c>
      <c r="R254" s="270" t="str">
        <f>IFERROR(INDEX([1]Produtos!$I:$I,MATCH(L254,[1]Produtos!$B:$B,0)), "-")</f>
        <v>BODY SPLASH</v>
      </c>
      <c r="S254" s="270" t="str">
        <f>IFERROR(INDEX([1]Produtos!$J:$J,MATCH(L254,[1]Produtos!$B:$B,0)), "-")</f>
        <v>LÍQUIDO</v>
      </c>
      <c r="T254" s="474"/>
      <c r="U254" s="270"/>
      <c r="V254" s="270"/>
      <c r="W254" s="270"/>
      <c r="X254" s="270"/>
      <c r="Y254" s="270"/>
      <c r="Z254" s="270"/>
      <c r="AA254" s="270"/>
      <c r="AB254" s="270"/>
      <c r="AC254" s="270"/>
      <c r="AD254" s="270"/>
      <c r="AE254" s="270"/>
      <c r="AF254" s="270"/>
      <c r="AG254" s="270"/>
      <c r="AH254" s="270"/>
      <c r="AI254" s="270"/>
      <c r="AJ254" s="270"/>
      <c r="AK254" s="270"/>
      <c r="AL254" s="270"/>
      <c r="AM254" s="663"/>
      <c r="AN254" s="663"/>
      <c r="AO254" s="708" t="str">
        <f>IF(OR(Table1[[#This Row],[Início Setup Envase]]="",Table1[[#This Row],[Final Setup Envase]]=""),"",Table1[[#This Row],[Final Setup Envase]]-Table1[[#This Row],[Início Setup Envase]])</f>
        <v/>
      </c>
      <c r="AP254" s="663"/>
      <c r="AQ254" s="663"/>
      <c r="AR254" s="270"/>
      <c r="AS254" s="270"/>
      <c r="AT254" s="270"/>
      <c r="AU254" s="270"/>
      <c r="AV254" s="270"/>
      <c r="AW254" s="270"/>
      <c r="AX254" s="270"/>
      <c r="AY254" s="270"/>
      <c r="AZ254" s="270"/>
      <c r="BA254" s="270">
        <f>IF(Table1[[#This Row],[Data de Início]]="","",YEAR(Table1[[#This Row],[Data de Início]]))</f>
        <v>2025</v>
      </c>
      <c r="BB254" s="270">
        <f>IF(Table1[[#This Row],[Data de Início]]="","",MONTH(Table1[[#This Row],[Data de Início]]))</f>
        <v>7</v>
      </c>
      <c r="BC254" s="270"/>
    </row>
    <row r="255" spans="2:55" ht="15" customHeight="1" x14ac:dyDescent="0.25">
      <c r="B255" s="470">
        <v>45859.645833333336</v>
      </c>
      <c r="C255" s="263">
        <v>45859.708333333336</v>
      </c>
      <c r="D255" s="264" cm="1">
        <f t="array" ref="D255">IFERROR(HorasUteisFabrica2Turnos(B255,C255), "")</f>
        <v>1.5</v>
      </c>
      <c r="E255" s="265">
        <f t="shared" si="3"/>
        <v>1026.6666666666667</v>
      </c>
      <c r="F255" s="266" t="s">
        <v>377</v>
      </c>
      <c r="G255" s="266" t="s">
        <v>360</v>
      </c>
      <c r="H255" s="266"/>
      <c r="I255" s="269" t="s">
        <v>497</v>
      </c>
      <c r="J255" s="267" t="s">
        <v>15</v>
      </c>
      <c r="K255" s="268">
        <v>1540</v>
      </c>
      <c r="L255" s="269" t="s">
        <v>465</v>
      </c>
      <c r="M255" s="270" t="str">
        <f>IFERROR(INDEX([1]Produtos!$C:$C,MATCH(L255,[1]Produtos!$B:$B,0)), "-")</f>
        <v>BODY SPLASH GLOW NOITE DE GLAMOUR</v>
      </c>
      <c r="N255" s="510">
        <f>IFERROR(INDEX([1]Produtos!$E:$E,MATCH(L255,[1]Produtos!$B:$B,0)), "-")</f>
        <v>120</v>
      </c>
      <c r="O255" s="270" t="str">
        <f>IFERROR(INDEX([1]Produtos!$F:$F,MATCH(L255,[1]Produtos!$B:$B,0)), "-")</f>
        <v>ml</v>
      </c>
      <c r="P255" s="270" t="str">
        <f>IFERROR(INDEX([1]Produtos!$G:$G,MATCH(L255,[1]Produtos!$B:$B,0)), "-")</f>
        <v>DAPOP</v>
      </c>
      <c r="Q255" s="270" t="str">
        <f>IFERROR(INDEX([1]Produtos!$H:$H,MATCH(L255,[1]Produtos!$B:$B,0)), "-")</f>
        <v>PERFUMARIA</v>
      </c>
      <c r="R255" s="270" t="str">
        <f>IFERROR(INDEX([1]Produtos!$I:$I,MATCH(L255,[1]Produtos!$B:$B,0)), "-")</f>
        <v>BODY SPLASH</v>
      </c>
      <c r="S255" s="270" t="str">
        <f>IFERROR(INDEX([1]Produtos!$J:$J,MATCH(L255,[1]Produtos!$B:$B,0)), "-")</f>
        <v>LÍQUIDO ESPESSO</v>
      </c>
      <c r="T255" s="474"/>
      <c r="U255" s="270"/>
      <c r="V255" s="270"/>
      <c r="W255" s="270"/>
      <c r="X255" s="270"/>
      <c r="Y255" s="270"/>
      <c r="Z255" s="270"/>
      <c r="AA255" s="270"/>
      <c r="AB255" s="270"/>
      <c r="AC255" s="270"/>
      <c r="AD255" s="270"/>
      <c r="AE255" s="270"/>
      <c r="AF255" s="270"/>
      <c r="AG255" s="270"/>
      <c r="AH255" s="270"/>
      <c r="AI255" s="270"/>
      <c r="AJ255" s="270"/>
      <c r="AK255" s="270"/>
      <c r="AL255" s="270"/>
      <c r="AM255" s="663"/>
      <c r="AN255" s="663"/>
      <c r="AO255" s="708" t="str">
        <f>IF(OR(Table1[[#This Row],[Início Setup Envase]]="",Table1[[#This Row],[Final Setup Envase]]=""),"",Table1[[#This Row],[Final Setup Envase]]-Table1[[#This Row],[Início Setup Envase]])</f>
        <v/>
      </c>
      <c r="AP255" s="663"/>
      <c r="AQ255" s="663"/>
      <c r="AR255" s="270"/>
      <c r="AS255" s="270"/>
      <c r="AT255" s="270"/>
      <c r="AU255" s="270"/>
      <c r="AV255" s="270"/>
      <c r="AW255" s="270"/>
      <c r="AX255" s="270"/>
      <c r="AY255" s="270"/>
      <c r="AZ255" s="270"/>
      <c r="BA255" s="270">
        <f>IF(Table1[[#This Row],[Data de Início]]="","",YEAR(Table1[[#This Row],[Data de Início]]))</f>
        <v>2025</v>
      </c>
      <c r="BB255" s="270">
        <f>IF(Table1[[#This Row],[Data de Início]]="","",MONTH(Table1[[#This Row],[Data de Início]]))</f>
        <v>7</v>
      </c>
      <c r="BC255" s="270"/>
    </row>
    <row r="256" spans="2:55" ht="15" customHeight="1" x14ac:dyDescent="0.25">
      <c r="B256" s="470">
        <v>45860.291666666664</v>
      </c>
      <c r="C256" s="263">
        <v>45860.416666666664</v>
      </c>
      <c r="D256" s="264" cm="1">
        <f t="array" ref="D256">IFERROR(HorasUteisFabrica2Turnos(B256,C256), "")</f>
        <v>3</v>
      </c>
      <c r="E256" s="265">
        <f t="shared" si="3"/>
        <v>1026.6666666666667</v>
      </c>
      <c r="F256" s="266" t="s">
        <v>377</v>
      </c>
      <c r="G256" s="266" t="s">
        <v>360</v>
      </c>
      <c r="H256" s="266"/>
      <c r="I256" s="269" t="s">
        <v>497</v>
      </c>
      <c r="J256" s="267" t="s">
        <v>15</v>
      </c>
      <c r="K256" s="268">
        <v>3080</v>
      </c>
      <c r="L256" s="269" t="s">
        <v>465</v>
      </c>
      <c r="M256" s="270" t="str">
        <f>IFERROR(INDEX([1]Produtos!$C:$C,MATCH(L256,[1]Produtos!$B:$B,0)), "-")</f>
        <v>BODY SPLASH GLOW NOITE DE GLAMOUR</v>
      </c>
      <c r="N256" s="510">
        <f>IFERROR(INDEX([1]Produtos!$E:$E,MATCH(L256,[1]Produtos!$B:$B,0)), "-")</f>
        <v>120</v>
      </c>
      <c r="O256" s="270" t="str">
        <f>IFERROR(INDEX([1]Produtos!$F:$F,MATCH(L256,[1]Produtos!$B:$B,0)), "-")</f>
        <v>ml</v>
      </c>
      <c r="P256" s="270" t="str">
        <f>IFERROR(INDEX([1]Produtos!$G:$G,MATCH(L256,[1]Produtos!$B:$B,0)), "-")</f>
        <v>DAPOP</v>
      </c>
      <c r="Q256" s="270" t="str">
        <f>IFERROR(INDEX([1]Produtos!$H:$H,MATCH(L256,[1]Produtos!$B:$B,0)), "-")</f>
        <v>PERFUMARIA</v>
      </c>
      <c r="R256" s="270" t="str">
        <f>IFERROR(INDEX([1]Produtos!$I:$I,MATCH(L256,[1]Produtos!$B:$B,0)), "-")</f>
        <v>BODY SPLASH</v>
      </c>
      <c r="S256" s="270" t="str">
        <f>IFERROR(INDEX([1]Produtos!$J:$J,MATCH(L256,[1]Produtos!$B:$B,0)), "-")</f>
        <v>LÍQUIDO ESPESSO</v>
      </c>
      <c r="T256" s="474"/>
      <c r="U256" s="270"/>
      <c r="V256" s="270"/>
      <c r="W256" s="270"/>
      <c r="X256" s="270"/>
      <c r="Y256" s="270"/>
      <c r="Z256" s="270"/>
      <c r="AA256" s="270"/>
      <c r="AB256" s="270"/>
      <c r="AC256" s="270"/>
      <c r="AD256" s="270"/>
      <c r="AE256" s="270"/>
      <c r="AF256" s="270"/>
      <c r="AG256" s="270"/>
      <c r="AH256" s="270"/>
      <c r="AI256" s="270"/>
      <c r="AJ256" s="270"/>
      <c r="AK256" s="270"/>
      <c r="AL256" s="270"/>
      <c r="AM256" s="663"/>
      <c r="AN256" s="663"/>
      <c r="AO256" s="708" t="str">
        <f>IF(OR(Table1[[#This Row],[Início Setup Envase]]="",Table1[[#This Row],[Final Setup Envase]]=""),"",Table1[[#This Row],[Final Setup Envase]]-Table1[[#This Row],[Início Setup Envase]])</f>
        <v/>
      </c>
      <c r="AP256" s="663"/>
      <c r="AQ256" s="663"/>
      <c r="AR256" s="270"/>
      <c r="AS256" s="270"/>
      <c r="AT256" s="270"/>
      <c r="AU256" s="270"/>
      <c r="AV256" s="270"/>
      <c r="AW256" s="270"/>
      <c r="AX256" s="270"/>
      <c r="AY256" s="270"/>
      <c r="AZ256" s="270"/>
      <c r="BA256" s="270">
        <f>IF(Table1[[#This Row],[Data de Início]]="","",YEAR(Table1[[#This Row],[Data de Início]]))</f>
        <v>2025</v>
      </c>
      <c r="BB256" s="270">
        <f>IF(Table1[[#This Row],[Data de Início]]="","",MONTH(Table1[[#This Row],[Data de Início]]))</f>
        <v>7</v>
      </c>
      <c r="BC256" s="270"/>
    </row>
    <row r="257" spans="1:55" ht="15" customHeight="1" x14ac:dyDescent="0.25">
      <c r="B257" s="470">
        <v>45860.333333333336</v>
      </c>
      <c r="C257" s="263">
        <v>45860.479166666664</v>
      </c>
      <c r="D257" s="264" cm="1">
        <f t="array" ref="D257">IFERROR(HorasUteisFabrica2Turnos(B257,C257), "")</f>
        <v>3.4999999998835847</v>
      </c>
      <c r="E257" s="265">
        <f t="shared" si="3"/>
        <v>726.85714288131919</v>
      </c>
      <c r="F257" s="266" t="s">
        <v>378</v>
      </c>
      <c r="G257" s="266" t="s">
        <v>463</v>
      </c>
      <c r="H257" s="266"/>
      <c r="I257" s="269" t="s">
        <v>464</v>
      </c>
      <c r="J257" s="267" t="s">
        <v>15</v>
      </c>
      <c r="K257" s="269">
        <v>2544</v>
      </c>
      <c r="L257" s="269" t="s">
        <v>212</v>
      </c>
      <c r="M257" s="270" t="str">
        <f>IFERROR(INDEX([1]Produtos!$C:$C,MATCH(L257,[1]Produtos!$B:$B,0)), "-")</f>
        <v>BODY SPLASH FORÇA DO LEAO</v>
      </c>
      <c r="N257" s="510">
        <f>IFERROR(INDEX([1]Produtos!$E:$E,MATCH(L257,[1]Produtos!$B:$B,0)), "-")</f>
        <v>220</v>
      </c>
      <c r="O257" s="270" t="str">
        <f>IFERROR(INDEX([1]Produtos!$F:$F,MATCH(L257,[1]Produtos!$B:$B,0)), "-")</f>
        <v>ml</v>
      </c>
      <c r="P257" s="270" t="str">
        <f>IFERROR(INDEX([1]Produtos!$G:$G,MATCH(L257,[1]Produtos!$B:$B,0)), "-")</f>
        <v>MISS RÔSE</v>
      </c>
      <c r="Q257" s="270" t="str">
        <f>IFERROR(INDEX([1]Produtos!$H:$H,MATCH(L257,[1]Produtos!$B:$B,0)), "-")</f>
        <v>PERFUMARIA</v>
      </c>
      <c r="R257" s="270" t="str">
        <f>IFERROR(INDEX([1]Produtos!$I:$I,MATCH(L257,[1]Produtos!$B:$B,0)), "-")</f>
        <v>BODY SPLASH</v>
      </c>
      <c r="S257" s="270" t="str">
        <f>IFERROR(INDEX([1]Produtos!$J:$J,MATCH(L257,[1]Produtos!$B:$B,0)), "-")</f>
        <v>LÍQUIDO</v>
      </c>
      <c r="T257" s="474"/>
      <c r="U257" s="270"/>
      <c r="V257" s="270"/>
      <c r="W257" s="270"/>
      <c r="X257" s="270"/>
      <c r="Y257" s="270"/>
      <c r="Z257" s="270"/>
      <c r="AA257" s="270"/>
      <c r="AB257" s="270"/>
      <c r="AC257" s="270"/>
      <c r="AD257" s="270"/>
      <c r="AE257" s="270"/>
      <c r="AF257" s="270"/>
      <c r="AG257" s="270"/>
      <c r="AH257" s="270"/>
      <c r="AI257" s="270"/>
      <c r="AJ257" s="270"/>
      <c r="AK257" s="270"/>
      <c r="AL257" s="270"/>
      <c r="AM257" s="663"/>
      <c r="AN257" s="663"/>
      <c r="AO257" s="708" t="str">
        <f>IF(OR(Table1[[#This Row],[Início Setup Envase]]="",Table1[[#This Row],[Final Setup Envase]]=""),"",Table1[[#This Row],[Final Setup Envase]]-Table1[[#This Row],[Início Setup Envase]])</f>
        <v/>
      </c>
      <c r="AP257" s="663"/>
      <c r="AQ257" s="663"/>
      <c r="AR257" s="270"/>
      <c r="AS257" s="270"/>
      <c r="AT257" s="270"/>
      <c r="AU257" s="270"/>
      <c r="AV257" s="270"/>
      <c r="AW257" s="270"/>
      <c r="AX257" s="270"/>
      <c r="AY257" s="270"/>
      <c r="AZ257" s="270"/>
      <c r="BA257" s="270">
        <f>IF(Table1[[#This Row],[Data de Início]]="","",YEAR(Table1[[#This Row],[Data de Início]]))</f>
        <v>2025</v>
      </c>
      <c r="BB257" s="270">
        <f>IF(Table1[[#This Row],[Data de Início]]="","",MONTH(Table1[[#This Row],[Data de Início]]))</f>
        <v>7</v>
      </c>
      <c r="BC257" s="270"/>
    </row>
    <row r="258" spans="1:55" ht="15" customHeight="1" x14ac:dyDescent="0.25">
      <c r="B258" s="470">
        <v>45860.416666666664</v>
      </c>
      <c r="C258" s="263">
        <v>45860.708333333336</v>
      </c>
      <c r="D258" s="264" cm="1">
        <f t="array" ref="D258">IFERROR(HorasUteisFabrica2Turnos(B258,C258), "")</f>
        <v>6.0000000001164153</v>
      </c>
      <c r="E258" s="265">
        <f t="shared" si="3"/>
        <v>714.43298966414125</v>
      </c>
      <c r="F258" s="266" t="s">
        <v>377</v>
      </c>
      <c r="G258" s="266" t="s">
        <v>360</v>
      </c>
      <c r="H258" s="266"/>
      <c r="I258" s="269" t="s">
        <v>498</v>
      </c>
      <c r="J258" s="267" t="s">
        <v>15</v>
      </c>
      <c r="K258" s="268">
        <v>4286.5979380680183</v>
      </c>
      <c r="L258" s="269" t="s">
        <v>465</v>
      </c>
      <c r="M258" s="270" t="str">
        <f>IFERROR(INDEX([1]Produtos!$C:$C,MATCH(L258,[1]Produtos!$B:$B,0)), "-")</f>
        <v>BODY SPLASH GLOW NOITE DE GLAMOUR</v>
      </c>
      <c r="N258" s="510">
        <f>IFERROR(INDEX([1]Produtos!$E:$E,MATCH(L258,[1]Produtos!$B:$B,0)), "-")</f>
        <v>120</v>
      </c>
      <c r="O258" s="270" t="str">
        <f>IFERROR(INDEX([1]Produtos!$F:$F,MATCH(L258,[1]Produtos!$B:$B,0)), "-")</f>
        <v>ml</v>
      </c>
      <c r="P258" s="270" t="str">
        <f>IFERROR(INDEX([1]Produtos!$G:$G,MATCH(L258,[1]Produtos!$B:$B,0)), "-")</f>
        <v>DAPOP</v>
      </c>
      <c r="Q258" s="270" t="str">
        <f>IFERROR(INDEX([1]Produtos!$H:$H,MATCH(L258,[1]Produtos!$B:$B,0)), "-")</f>
        <v>PERFUMARIA</v>
      </c>
      <c r="R258" s="270" t="str">
        <f>IFERROR(INDEX([1]Produtos!$I:$I,MATCH(L258,[1]Produtos!$B:$B,0)), "-")</f>
        <v>BODY SPLASH</v>
      </c>
      <c r="S258" s="270" t="str">
        <f>IFERROR(INDEX([1]Produtos!$J:$J,MATCH(L258,[1]Produtos!$B:$B,0)), "-")</f>
        <v>LÍQUIDO ESPESSO</v>
      </c>
      <c r="T258" s="474"/>
      <c r="U258" s="270"/>
      <c r="V258" s="270"/>
      <c r="W258" s="270"/>
      <c r="X258" s="270"/>
      <c r="Y258" s="270"/>
      <c r="Z258" s="270"/>
      <c r="AA258" s="270"/>
      <c r="AB258" s="270"/>
      <c r="AC258" s="270"/>
      <c r="AD258" s="270"/>
      <c r="AE258" s="270"/>
      <c r="AF258" s="270"/>
      <c r="AG258" s="270"/>
      <c r="AH258" s="270"/>
      <c r="AI258" s="270"/>
      <c r="AJ258" s="270"/>
      <c r="AK258" s="270"/>
      <c r="AL258" s="270"/>
      <c r="AM258" s="663"/>
      <c r="AN258" s="663"/>
      <c r="AO258" s="708" t="str">
        <f>IF(OR(Table1[[#This Row],[Início Setup Envase]]="",Table1[[#This Row],[Final Setup Envase]]=""),"",Table1[[#This Row],[Final Setup Envase]]-Table1[[#This Row],[Início Setup Envase]])</f>
        <v/>
      </c>
      <c r="AP258" s="663"/>
      <c r="AQ258" s="663"/>
      <c r="AR258" s="270"/>
      <c r="AS258" s="270"/>
      <c r="AT258" s="270"/>
      <c r="AU258" s="270"/>
      <c r="AV258" s="270"/>
      <c r="AW258" s="270"/>
      <c r="AX258" s="270"/>
      <c r="AY258" s="270"/>
      <c r="AZ258" s="270"/>
      <c r="BA258" s="270">
        <f>IF(Table1[[#This Row],[Data de Início]]="","",YEAR(Table1[[#This Row],[Data de Início]]))</f>
        <v>2025</v>
      </c>
      <c r="BB258" s="270">
        <f>IF(Table1[[#This Row],[Data de Início]]="","",MONTH(Table1[[#This Row],[Data de Início]]))</f>
        <v>7</v>
      </c>
      <c r="BC258" s="270"/>
    </row>
    <row r="259" spans="1:55" ht="15" customHeight="1" x14ac:dyDescent="0.25">
      <c r="B259" s="470">
        <v>45860.479166666664</v>
      </c>
      <c r="C259" s="263">
        <v>45860.708333333336</v>
      </c>
      <c r="D259" s="264" cm="1">
        <f t="array" ref="D259">IFERROR(HorasUteisFabrica2Turnos(B259,C259), "")</f>
        <v>4.5000000001164153</v>
      </c>
      <c r="E259" s="265">
        <f t="shared" ref="E259:E322" si="4">IFERROR(K259/D259, "")</f>
        <v>507.1096345283521</v>
      </c>
      <c r="F259" s="266" t="s">
        <v>378</v>
      </c>
      <c r="G259" s="266" t="s">
        <v>463</v>
      </c>
      <c r="H259" s="266"/>
      <c r="I259" s="269" t="s">
        <v>491</v>
      </c>
      <c r="J259" s="267" t="s">
        <v>15</v>
      </c>
      <c r="K259" s="268">
        <v>2281.9933554366198</v>
      </c>
      <c r="L259" s="269" t="s">
        <v>212</v>
      </c>
      <c r="M259" s="270" t="str">
        <f>IFERROR(INDEX([1]Produtos!$C:$C,MATCH(L259,[1]Produtos!$B:$B,0)), "-")</f>
        <v>BODY SPLASH FORÇA DO LEAO</v>
      </c>
      <c r="N259" s="510">
        <f>IFERROR(INDEX([1]Produtos!$E:$E,MATCH(L259,[1]Produtos!$B:$B,0)), "-")</f>
        <v>220</v>
      </c>
      <c r="O259" s="270" t="str">
        <f>IFERROR(INDEX([1]Produtos!$F:$F,MATCH(L259,[1]Produtos!$B:$B,0)), "-")</f>
        <v>ml</v>
      </c>
      <c r="P259" s="270" t="str">
        <f>IFERROR(INDEX([1]Produtos!$G:$G,MATCH(L259,[1]Produtos!$B:$B,0)), "-")</f>
        <v>MISS RÔSE</v>
      </c>
      <c r="Q259" s="270" t="str">
        <f>IFERROR(INDEX([1]Produtos!$H:$H,MATCH(L259,[1]Produtos!$B:$B,0)), "-")</f>
        <v>PERFUMARIA</v>
      </c>
      <c r="R259" s="270" t="str">
        <f>IFERROR(INDEX([1]Produtos!$I:$I,MATCH(L259,[1]Produtos!$B:$B,0)), "-")</f>
        <v>BODY SPLASH</v>
      </c>
      <c r="S259" s="270" t="str">
        <f>IFERROR(INDEX([1]Produtos!$J:$J,MATCH(L259,[1]Produtos!$B:$B,0)), "-")</f>
        <v>LÍQUIDO</v>
      </c>
      <c r="T259" s="474"/>
      <c r="U259" s="270"/>
      <c r="V259" s="270"/>
      <c r="W259" s="270"/>
      <c r="X259" s="270"/>
      <c r="Y259" s="270"/>
      <c r="Z259" s="270"/>
      <c r="AA259" s="270"/>
      <c r="AB259" s="270"/>
      <c r="AC259" s="270"/>
      <c r="AD259" s="270"/>
      <c r="AE259" s="270"/>
      <c r="AF259" s="270"/>
      <c r="AG259" s="270"/>
      <c r="AH259" s="270"/>
      <c r="AI259" s="270"/>
      <c r="AJ259" s="270"/>
      <c r="AK259" s="270"/>
      <c r="AL259" s="270"/>
      <c r="AM259" s="663"/>
      <c r="AN259" s="663"/>
      <c r="AO259" s="708" t="str">
        <f>IF(OR(Table1[[#This Row],[Início Setup Envase]]="",Table1[[#This Row],[Final Setup Envase]]=""),"",Table1[[#This Row],[Final Setup Envase]]-Table1[[#This Row],[Início Setup Envase]])</f>
        <v/>
      </c>
      <c r="AP259" s="663"/>
      <c r="AQ259" s="663"/>
      <c r="AR259" s="270"/>
      <c r="AS259" s="270"/>
      <c r="AT259" s="270"/>
      <c r="AU259" s="270"/>
      <c r="AV259" s="270"/>
      <c r="AW259" s="270"/>
      <c r="AX259" s="270"/>
      <c r="AY259" s="270"/>
      <c r="AZ259" s="270"/>
      <c r="BA259" s="270">
        <f>IF(Table1[[#This Row],[Data de Início]]="","",YEAR(Table1[[#This Row],[Data de Início]]))</f>
        <v>2025</v>
      </c>
      <c r="BB259" s="270">
        <f>IF(Table1[[#This Row],[Data de Início]]="","",MONTH(Table1[[#This Row],[Data de Início]]))</f>
        <v>7</v>
      </c>
      <c r="BC259" s="270"/>
    </row>
    <row r="260" spans="1:55" ht="15" customHeight="1" x14ac:dyDescent="0.25">
      <c r="B260" s="470">
        <v>45861.291666666664</v>
      </c>
      <c r="C260" s="263">
        <v>45861.311111111114</v>
      </c>
      <c r="D260" s="264" cm="1">
        <f t="array" ref="D260">IFERROR(HorasUteisFabrica2Turnos(B260,C260), "")</f>
        <v>0.46666666679084301</v>
      </c>
      <c r="E260" s="265">
        <f t="shared" si="4"/>
        <v>714.43298966414113</v>
      </c>
      <c r="F260" s="266" t="s">
        <v>377</v>
      </c>
      <c r="G260" s="266" t="s">
        <v>360</v>
      </c>
      <c r="H260" s="266"/>
      <c r="I260" s="269" t="s">
        <v>498</v>
      </c>
      <c r="J260" s="267" t="s">
        <v>15</v>
      </c>
      <c r="K260" s="268">
        <v>333.40206193198156</v>
      </c>
      <c r="L260" s="269" t="s">
        <v>465</v>
      </c>
      <c r="M260" s="270" t="str">
        <f>IFERROR(INDEX([1]Produtos!$C:$C,MATCH(L260,[1]Produtos!$B:$B,0)), "-")</f>
        <v>BODY SPLASH GLOW NOITE DE GLAMOUR</v>
      </c>
      <c r="N260" s="510">
        <f>IFERROR(INDEX([1]Produtos!$E:$E,MATCH(L260,[1]Produtos!$B:$B,0)), "-")</f>
        <v>120</v>
      </c>
      <c r="O260" s="270" t="str">
        <f>IFERROR(INDEX([1]Produtos!$F:$F,MATCH(L260,[1]Produtos!$B:$B,0)), "-")</f>
        <v>ml</v>
      </c>
      <c r="P260" s="270" t="str">
        <f>IFERROR(INDEX([1]Produtos!$G:$G,MATCH(L260,[1]Produtos!$B:$B,0)), "-")</f>
        <v>DAPOP</v>
      </c>
      <c r="Q260" s="270" t="str">
        <f>IFERROR(INDEX([1]Produtos!$H:$H,MATCH(L260,[1]Produtos!$B:$B,0)), "-")</f>
        <v>PERFUMARIA</v>
      </c>
      <c r="R260" s="270" t="str">
        <f>IFERROR(INDEX([1]Produtos!$I:$I,MATCH(L260,[1]Produtos!$B:$B,0)), "-")</f>
        <v>BODY SPLASH</v>
      </c>
      <c r="S260" s="270" t="str">
        <f>IFERROR(INDEX([1]Produtos!$J:$J,MATCH(L260,[1]Produtos!$B:$B,0)), "-")</f>
        <v>LÍQUIDO ESPESSO</v>
      </c>
      <c r="T260" s="474"/>
      <c r="U260" s="270"/>
      <c r="V260" s="270"/>
      <c r="W260" s="270"/>
      <c r="X260" s="270"/>
      <c r="Y260" s="270"/>
      <c r="Z260" s="270"/>
      <c r="AA260" s="270"/>
      <c r="AB260" s="270"/>
      <c r="AC260" s="270"/>
      <c r="AD260" s="270"/>
      <c r="AE260" s="270"/>
      <c r="AF260" s="270"/>
      <c r="AG260" s="270"/>
      <c r="AH260" s="270"/>
      <c r="AI260" s="270"/>
      <c r="AJ260" s="270"/>
      <c r="AK260" s="270"/>
      <c r="AL260" s="270"/>
      <c r="AM260" s="663"/>
      <c r="AN260" s="663"/>
      <c r="AO260" s="708" t="str">
        <f>IF(OR(Table1[[#This Row],[Início Setup Envase]]="",Table1[[#This Row],[Final Setup Envase]]=""),"",Table1[[#This Row],[Final Setup Envase]]-Table1[[#This Row],[Início Setup Envase]])</f>
        <v/>
      </c>
      <c r="AP260" s="663"/>
      <c r="AQ260" s="663"/>
      <c r="AR260" s="270"/>
      <c r="AS260" s="270"/>
      <c r="AT260" s="270"/>
      <c r="AU260" s="270"/>
      <c r="AV260" s="270"/>
      <c r="AW260" s="270"/>
      <c r="AX260" s="270"/>
      <c r="AY260" s="270"/>
      <c r="AZ260" s="270"/>
      <c r="BA260" s="270">
        <f>IF(Table1[[#This Row],[Data de Início]]="","",YEAR(Table1[[#This Row],[Data de Início]]))</f>
        <v>2025</v>
      </c>
      <c r="BB260" s="270">
        <f>IF(Table1[[#This Row],[Data de Início]]="","",MONTH(Table1[[#This Row],[Data de Início]]))</f>
        <v>7</v>
      </c>
      <c r="BC260" s="270"/>
    </row>
    <row r="261" spans="1:55" ht="15" customHeight="1" x14ac:dyDescent="0.25">
      <c r="B261" s="470">
        <v>45861.291666666664</v>
      </c>
      <c r="C261" s="263">
        <v>45861.313194444447</v>
      </c>
      <c r="D261" s="264" cm="1">
        <f t="array" ref="D261">IFERROR(HorasUteisFabrica2Turnos(B261,C261), "")</f>
        <v>0.51666666677920148</v>
      </c>
      <c r="E261" s="265">
        <f t="shared" si="4"/>
        <v>507.10963452835068</v>
      </c>
      <c r="F261" s="266" t="s">
        <v>378</v>
      </c>
      <c r="G261" s="266" t="s">
        <v>463</v>
      </c>
      <c r="H261" s="266"/>
      <c r="I261" s="269" t="s">
        <v>491</v>
      </c>
      <c r="J261" s="267" t="s">
        <v>15</v>
      </c>
      <c r="K261" s="268">
        <v>262.006644563382</v>
      </c>
      <c r="L261" s="269" t="s">
        <v>212</v>
      </c>
      <c r="M261" s="270" t="str">
        <f>IFERROR(INDEX([1]Produtos!$C:$C,MATCH(L261,[1]Produtos!$B:$B,0)), "-")</f>
        <v>BODY SPLASH FORÇA DO LEAO</v>
      </c>
      <c r="N261" s="510">
        <f>IFERROR(INDEX([1]Produtos!$E:$E,MATCH(L261,[1]Produtos!$B:$B,0)), "-")</f>
        <v>220</v>
      </c>
      <c r="O261" s="270" t="str">
        <f>IFERROR(INDEX([1]Produtos!$F:$F,MATCH(L261,[1]Produtos!$B:$B,0)), "-")</f>
        <v>ml</v>
      </c>
      <c r="P261" s="270" t="str">
        <f>IFERROR(INDEX([1]Produtos!$G:$G,MATCH(L261,[1]Produtos!$B:$B,0)), "-")</f>
        <v>MISS RÔSE</v>
      </c>
      <c r="Q261" s="270" t="str">
        <f>IFERROR(INDEX([1]Produtos!$H:$H,MATCH(L261,[1]Produtos!$B:$B,0)), "-")</f>
        <v>PERFUMARIA</v>
      </c>
      <c r="R261" s="270" t="str">
        <f>IFERROR(INDEX([1]Produtos!$I:$I,MATCH(L261,[1]Produtos!$B:$B,0)), "-")</f>
        <v>BODY SPLASH</v>
      </c>
      <c r="S261" s="270" t="str">
        <f>IFERROR(INDEX([1]Produtos!$J:$J,MATCH(L261,[1]Produtos!$B:$B,0)), "-")</f>
        <v>LÍQUIDO</v>
      </c>
      <c r="T261" s="474"/>
      <c r="U261" s="270"/>
      <c r="V261" s="270"/>
      <c r="W261" s="270"/>
      <c r="X261" s="270"/>
      <c r="Y261" s="270"/>
      <c r="Z261" s="270"/>
      <c r="AA261" s="270"/>
      <c r="AB261" s="270"/>
      <c r="AC261" s="270"/>
      <c r="AD261" s="270"/>
      <c r="AE261" s="270"/>
      <c r="AF261" s="270"/>
      <c r="AG261" s="270"/>
      <c r="AH261" s="270"/>
      <c r="AI261" s="270"/>
      <c r="AJ261" s="270"/>
      <c r="AK261" s="270"/>
      <c r="AL261" s="270"/>
      <c r="AM261" s="663"/>
      <c r="AN261" s="663"/>
      <c r="AO261" s="708" t="str">
        <f>IF(OR(Table1[[#This Row],[Início Setup Envase]]="",Table1[[#This Row],[Final Setup Envase]]=""),"",Table1[[#This Row],[Final Setup Envase]]-Table1[[#This Row],[Início Setup Envase]])</f>
        <v/>
      </c>
      <c r="AP261" s="663"/>
      <c r="AQ261" s="663"/>
      <c r="AR261" s="270"/>
      <c r="AS261" s="270"/>
      <c r="AT261" s="270"/>
      <c r="AU261" s="270"/>
      <c r="AV261" s="270"/>
      <c r="AW261" s="270"/>
      <c r="AX261" s="270"/>
      <c r="AY261" s="270"/>
      <c r="AZ261" s="270"/>
      <c r="BA261" s="270">
        <f>IF(Table1[[#This Row],[Data de Início]]="","",YEAR(Table1[[#This Row],[Data de Início]]))</f>
        <v>2025</v>
      </c>
      <c r="BB261" s="270">
        <f>IF(Table1[[#This Row],[Data de Início]]="","",MONTH(Table1[[#This Row],[Data de Início]]))</f>
        <v>7</v>
      </c>
      <c r="BC261" s="270"/>
    </row>
    <row r="262" spans="1:55" ht="15" customHeight="1" x14ac:dyDescent="0.25">
      <c r="B262" s="470">
        <v>45861.311111111114</v>
      </c>
      <c r="C262" s="263">
        <v>45861.5625</v>
      </c>
      <c r="D262" s="264" cm="1">
        <f t="array" ref="D262">IFERROR(HorasUteisFabrica2Turnos(B262,C262), "")</f>
        <v>5.0333333332673647</v>
      </c>
      <c r="E262" s="265">
        <f t="shared" si="4"/>
        <v>917.88079471401682</v>
      </c>
      <c r="F262" s="266" t="s">
        <v>377</v>
      </c>
      <c r="G262" s="266" t="s">
        <v>360</v>
      </c>
      <c r="H262" s="266"/>
      <c r="I262" s="269" t="s">
        <v>499</v>
      </c>
      <c r="J262" s="267" t="s">
        <v>15</v>
      </c>
      <c r="K262" s="268">
        <v>4620</v>
      </c>
      <c r="L262" s="269" t="s">
        <v>465</v>
      </c>
      <c r="M262" s="270" t="str">
        <f>IFERROR(INDEX([1]Produtos!$C:$C,MATCH(L262,[1]Produtos!$B:$B,0)), "-")</f>
        <v>BODY SPLASH GLOW NOITE DE GLAMOUR</v>
      </c>
      <c r="N262" s="510">
        <f>IFERROR(INDEX([1]Produtos!$E:$E,MATCH(L262,[1]Produtos!$B:$B,0)), "-")</f>
        <v>120</v>
      </c>
      <c r="O262" s="270" t="str">
        <f>IFERROR(INDEX([1]Produtos!$F:$F,MATCH(L262,[1]Produtos!$B:$B,0)), "-")</f>
        <v>ml</v>
      </c>
      <c r="P262" s="270" t="str">
        <f>IFERROR(INDEX([1]Produtos!$G:$G,MATCH(L262,[1]Produtos!$B:$B,0)), "-")</f>
        <v>DAPOP</v>
      </c>
      <c r="Q262" s="270" t="str">
        <f>IFERROR(INDEX([1]Produtos!$H:$H,MATCH(L262,[1]Produtos!$B:$B,0)), "-")</f>
        <v>PERFUMARIA</v>
      </c>
      <c r="R262" s="270" t="str">
        <f>IFERROR(INDEX([1]Produtos!$I:$I,MATCH(L262,[1]Produtos!$B:$B,0)), "-")</f>
        <v>BODY SPLASH</v>
      </c>
      <c r="S262" s="270" t="str">
        <f>IFERROR(INDEX([1]Produtos!$J:$J,MATCH(L262,[1]Produtos!$B:$B,0)), "-")</f>
        <v>LÍQUIDO ESPESSO</v>
      </c>
      <c r="T262" s="474"/>
      <c r="U262" s="270"/>
      <c r="V262" s="270"/>
      <c r="W262" s="270"/>
      <c r="X262" s="270"/>
      <c r="Y262" s="270"/>
      <c r="Z262" s="270"/>
      <c r="AA262" s="270"/>
      <c r="AB262" s="270"/>
      <c r="AC262" s="270"/>
      <c r="AD262" s="270"/>
      <c r="AE262" s="270"/>
      <c r="AF262" s="270"/>
      <c r="AG262" s="270"/>
      <c r="AH262" s="270"/>
      <c r="AI262" s="270"/>
      <c r="AJ262" s="270"/>
      <c r="AK262" s="270"/>
      <c r="AL262" s="270"/>
      <c r="AM262" s="663"/>
      <c r="AN262" s="663"/>
      <c r="AO262" s="708" t="str">
        <f>IF(OR(Table1[[#This Row],[Início Setup Envase]]="",Table1[[#This Row],[Final Setup Envase]]=""),"",Table1[[#This Row],[Final Setup Envase]]-Table1[[#This Row],[Início Setup Envase]])</f>
        <v/>
      </c>
      <c r="AP262" s="663"/>
      <c r="AQ262" s="663"/>
      <c r="AR262" s="270"/>
      <c r="AS262" s="270"/>
      <c r="AT262" s="270"/>
      <c r="AU262" s="270"/>
      <c r="AV262" s="270"/>
      <c r="AW262" s="270"/>
      <c r="AX262" s="270"/>
      <c r="AY262" s="270"/>
      <c r="AZ262" s="270"/>
      <c r="BA262" s="270">
        <f>IF(Table1[[#This Row],[Data de Início]]="","",YEAR(Table1[[#This Row],[Data de Início]]))</f>
        <v>2025</v>
      </c>
      <c r="BB262" s="270">
        <f>IF(Table1[[#This Row],[Data de Início]]="","",MONTH(Table1[[#This Row],[Data de Início]]))</f>
        <v>7</v>
      </c>
      <c r="BC262" s="270"/>
    </row>
    <row r="263" spans="1:55" ht="15" customHeight="1" x14ac:dyDescent="0.25">
      <c r="B263" s="470">
        <v>45861.313194444447</v>
      </c>
      <c r="C263" s="263">
        <v>45861.482638888891</v>
      </c>
      <c r="D263" s="264" cm="1">
        <f t="array" ref="D263">IFERROR(HorasUteisFabrica2Turnos(B263,C263), "")</f>
        <v>4.0666666666511446</v>
      </c>
      <c r="E263" s="265">
        <f t="shared" si="4"/>
        <v>625.57377049419108</v>
      </c>
      <c r="F263" s="266" t="s">
        <v>378</v>
      </c>
      <c r="G263" s="266" t="s">
        <v>463</v>
      </c>
      <c r="H263" s="266"/>
      <c r="I263" s="269" t="s">
        <v>492</v>
      </c>
      <c r="J263" s="267" t="s">
        <v>15</v>
      </c>
      <c r="K263" s="269">
        <v>2544</v>
      </c>
      <c r="L263" s="269" t="s">
        <v>212</v>
      </c>
      <c r="M263" s="270" t="str">
        <f>IFERROR(INDEX([1]Produtos!$C:$C,MATCH(L263,[1]Produtos!$B:$B,0)), "-")</f>
        <v>BODY SPLASH FORÇA DO LEAO</v>
      </c>
      <c r="N263" s="510">
        <f>IFERROR(INDEX([1]Produtos!$E:$E,MATCH(L263,[1]Produtos!$B:$B,0)), "-")</f>
        <v>220</v>
      </c>
      <c r="O263" s="270" t="str">
        <f>IFERROR(INDEX([1]Produtos!$F:$F,MATCH(L263,[1]Produtos!$B:$B,0)), "-")</f>
        <v>ml</v>
      </c>
      <c r="P263" s="270" t="str">
        <f>IFERROR(INDEX([1]Produtos!$G:$G,MATCH(L263,[1]Produtos!$B:$B,0)), "-")</f>
        <v>MISS RÔSE</v>
      </c>
      <c r="Q263" s="270" t="str">
        <f>IFERROR(INDEX([1]Produtos!$H:$H,MATCH(L263,[1]Produtos!$B:$B,0)), "-")</f>
        <v>PERFUMARIA</v>
      </c>
      <c r="R263" s="270" t="str">
        <f>IFERROR(INDEX([1]Produtos!$I:$I,MATCH(L263,[1]Produtos!$B:$B,0)), "-")</f>
        <v>BODY SPLASH</v>
      </c>
      <c r="S263" s="270" t="str">
        <f>IFERROR(INDEX([1]Produtos!$J:$J,MATCH(L263,[1]Produtos!$B:$B,0)), "-")</f>
        <v>LÍQUIDO</v>
      </c>
      <c r="T263" s="474"/>
      <c r="U263" s="270"/>
      <c r="V263" s="270"/>
      <c r="W263" s="270"/>
      <c r="X263" s="270"/>
      <c r="Y263" s="270"/>
      <c r="Z263" s="270"/>
      <c r="AA263" s="270"/>
      <c r="AB263" s="270"/>
      <c r="AC263" s="270"/>
      <c r="AD263" s="270"/>
      <c r="AE263" s="270"/>
      <c r="AF263" s="270"/>
      <c r="AG263" s="270"/>
      <c r="AH263" s="270"/>
      <c r="AI263" s="270"/>
      <c r="AJ263" s="270"/>
      <c r="AK263" s="270"/>
      <c r="AL263" s="270"/>
      <c r="AM263" s="663"/>
      <c r="AN263" s="663"/>
      <c r="AO263" s="708" t="str">
        <f>IF(OR(Table1[[#This Row],[Início Setup Envase]]="",Table1[[#This Row],[Final Setup Envase]]=""),"",Table1[[#This Row],[Final Setup Envase]]-Table1[[#This Row],[Início Setup Envase]])</f>
        <v/>
      </c>
      <c r="AP263" s="663"/>
      <c r="AQ263" s="663"/>
      <c r="AR263" s="270"/>
      <c r="AS263" s="270"/>
      <c r="AT263" s="270"/>
      <c r="AU263" s="270"/>
      <c r="AV263" s="270"/>
      <c r="AW263" s="270"/>
      <c r="AX263" s="270"/>
      <c r="AY263" s="270"/>
      <c r="AZ263" s="270"/>
      <c r="BA263" s="270">
        <f>IF(Table1[[#This Row],[Data de Início]]="","",YEAR(Table1[[#This Row],[Data de Início]]))</f>
        <v>2025</v>
      </c>
      <c r="BB263" s="270">
        <f>IF(Table1[[#This Row],[Data de Início]]="","",MONTH(Table1[[#This Row],[Data de Início]]))</f>
        <v>7</v>
      </c>
      <c r="BC263" s="270"/>
    </row>
    <row r="264" spans="1:55" ht="15" customHeight="1" x14ac:dyDescent="0.25">
      <c r="A264" s="262"/>
      <c r="B264" s="470">
        <v>45861.482638888891</v>
      </c>
      <c r="C264" s="263">
        <v>45861.690972222219</v>
      </c>
      <c r="D264" s="264" cm="1">
        <f t="array" ref="D264">IFERROR(HorasUteisFabrica2Turnos(B264,C264), "")</f>
        <v>3.9999999998835847</v>
      </c>
      <c r="E264" s="265">
        <f t="shared" si="4"/>
        <v>636.00000001851004</v>
      </c>
      <c r="F264" s="266" t="s">
        <v>378</v>
      </c>
      <c r="G264" s="266" t="s">
        <v>463</v>
      </c>
      <c r="H264" s="266"/>
      <c r="I264" s="269" t="s">
        <v>493</v>
      </c>
      <c r="J264" s="267" t="s">
        <v>15</v>
      </c>
      <c r="K264" s="269">
        <v>2544</v>
      </c>
      <c r="L264" s="269" t="s">
        <v>212</v>
      </c>
      <c r="M264" s="270" t="str">
        <f>IFERROR(INDEX([1]Produtos!$C:$C,MATCH(L264,[1]Produtos!$B:$B,0)), "-")</f>
        <v>BODY SPLASH FORÇA DO LEAO</v>
      </c>
      <c r="N264" s="510">
        <f>IFERROR(INDEX([1]Produtos!$E:$E,MATCH(L264,[1]Produtos!$B:$B,0)), "-")</f>
        <v>220</v>
      </c>
      <c r="O264" s="270" t="str">
        <f>IFERROR(INDEX([1]Produtos!$F:$F,MATCH(L264,[1]Produtos!$B:$B,0)), "-")</f>
        <v>ml</v>
      </c>
      <c r="P264" s="270" t="str">
        <f>IFERROR(INDEX([1]Produtos!$G:$G,MATCH(L264,[1]Produtos!$B:$B,0)), "-")</f>
        <v>MISS RÔSE</v>
      </c>
      <c r="Q264" s="270" t="str">
        <f>IFERROR(INDEX([1]Produtos!$H:$H,MATCH(L264,[1]Produtos!$B:$B,0)), "-")</f>
        <v>PERFUMARIA</v>
      </c>
      <c r="R264" s="270" t="str">
        <f>IFERROR(INDEX([1]Produtos!$I:$I,MATCH(L264,[1]Produtos!$B:$B,0)), "-")</f>
        <v>BODY SPLASH</v>
      </c>
      <c r="S264" s="270" t="str">
        <f>IFERROR(INDEX([1]Produtos!$J:$J,MATCH(L264,[1]Produtos!$B:$B,0)), "-")</f>
        <v>LÍQUIDO</v>
      </c>
      <c r="T264" s="474"/>
      <c r="U264" s="270"/>
      <c r="V264" s="270"/>
      <c r="W264" s="270"/>
      <c r="X264" s="270"/>
      <c r="Y264" s="270"/>
      <c r="Z264" s="270"/>
      <c r="AA264" s="270"/>
      <c r="AB264" s="270"/>
      <c r="AC264" s="270"/>
      <c r="AD264" s="270"/>
      <c r="AE264" s="270"/>
      <c r="AF264" s="270"/>
      <c r="AG264" s="270"/>
      <c r="AH264" s="270"/>
      <c r="AI264" s="270"/>
      <c r="AJ264" s="270"/>
      <c r="AK264" s="270"/>
      <c r="AL264" s="270"/>
      <c r="AM264" s="663"/>
      <c r="AN264" s="663"/>
      <c r="AO264" s="708" t="str">
        <f>IF(OR(Table1[[#This Row],[Início Setup Envase]]="",Table1[[#This Row],[Final Setup Envase]]=""),"",Table1[[#This Row],[Final Setup Envase]]-Table1[[#This Row],[Início Setup Envase]])</f>
        <v/>
      </c>
      <c r="AP264" s="663"/>
      <c r="AQ264" s="663"/>
      <c r="AR264" s="270"/>
      <c r="AS264" s="270"/>
      <c r="AT264" s="270"/>
      <c r="AU264" s="270"/>
      <c r="AV264" s="270"/>
      <c r="AW264" s="270"/>
      <c r="AX264" s="270"/>
      <c r="AY264" s="270"/>
      <c r="AZ264" s="270"/>
      <c r="BA264" s="270">
        <f>IF(Table1[[#This Row],[Data de Início]]="","",YEAR(Table1[[#This Row],[Data de Início]]))</f>
        <v>2025</v>
      </c>
      <c r="BB264" s="270">
        <f>IF(Table1[[#This Row],[Data de Início]]="","",MONTH(Table1[[#This Row],[Data de Início]]))</f>
        <v>7</v>
      </c>
      <c r="BC264" s="270"/>
    </row>
    <row r="265" spans="1:55" ht="15" customHeight="1" x14ac:dyDescent="0.25">
      <c r="A265" s="262"/>
      <c r="B265" s="470">
        <v>45861.5625</v>
      </c>
      <c r="C265" s="263">
        <v>45861.708333333336</v>
      </c>
      <c r="D265" s="264" cm="1">
        <f t="array" ref="D265">IFERROR(HorasUteisFabrica2Turnos(B265,C265), "")</f>
        <v>3.5000000000582077</v>
      </c>
      <c r="E265" s="265">
        <f t="shared" si="4"/>
        <v>461.99999999731079</v>
      </c>
      <c r="F265" s="266" t="s">
        <v>377</v>
      </c>
      <c r="G265" s="266" t="s">
        <v>360</v>
      </c>
      <c r="H265" s="266"/>
      <c r="I265" s="269" t="s">
        <v>500</v>
      </c>
      <c r="J265" s="267" t="s">
        <v>15</v>
      </c>
      <c r="K265" s="268">
        <v>1617.0000000174798</v>
      </c>
      <c r="L265" s="269" t="s">
        <v>465</v>
      </c>
      <c r="M265" s="270" t="str">
        <f>IFERROR(INDEX([1]Produtos!$C:$C,MATCH(L265,[1]Produtos!$B:$B,0)), "-")</f>
        <v>BODY SPLASH GLOW NOITE DE GLAMOUR</v>
      </c>
      <c r="N265" s="510">
        <f>IFERROR(INDEX([1]Produtos!$E:$E,MATCH(L265,[1]Produtos!$B:$B,0)), "-")</f>
        <v>120</v>
      </c>
      <c r="O265" s="270" t="str">
        <f>IFERROR(INDEX([1]Produtos!$F:$F,MATCH(L265,[1]Produtos!$B:$B,0)), "-")</f>
        <v>ml</v>
      </c>
      <c r="P265" s="270" t="str">
        <f>IFERROR(INDEX([1]Produtos!$G:$G,MATCH(L265,[1]Produtos!$B:$B,0)), "-")</f>
        <v>DAPOP</v>
      </c>
      <c r="Q265" s="270" t="str">
        <f>IFERROR(INDEX([1]Produtos!$H:$H,MATCH(L265,[1]Produtos!$B:$B,0)), "-")</f>
        <v>PERFUMARIA</v>
      </c>
      <c r="R265" s="270" t="str">
        <f>IFERROR(INDEX([1]Produtos!$I:$I,MATCH(L265,[1]Produtos!$B:$B,0)), "-")</f>
        <v>BODY SPLASH</v>
      </c>
      <c r="S265" s="270" t="str">
        <f>IFERROR(INDEX([1]Produtos!$J:$J,MATCH(L265,[1]Produtos!$B:$B,0)), "-")</f>
        <v>LÍQUIDO ESPESSO</v>
      </c>
      <c r="T265" s="474"/>
      <c r="U265" s="270"/>
      <c r="V265" s="270"/>
      <c r="W265" s="270"/>
      <c r="X265" s="270"/>
      <c r="Y265" s="270"/>
      <c r="Z265" s="270"/>
      <c r="AA265" s="270"/>
      <c r="AB265" s="270"/>
      <c r="AC265" s="270"/>
      <c r="AD265" s="270"/>
      <c r="AE265" s="270"/>
      <c r="AF265" s="270"/>
      <c r="AG265" s="270"/>
      <c r="AH265" s="270"/>
      <c r="AI265" s="270"/>
      <c r="AJ265" s="270"/>
      <c r="AK265" s="270"/>
      <c r="AL265" s="270"/>
      <c r="AM265" s="663"/>
      <c r="AN265" s="663"/>
      <c r="AO265" s="708" t="str">
        <f>IF(OR(Table1[[#This Row],[Início Setup Envase]]="",Table1[[#This Row],[Final Setup Envase]]=""),"",Table1[[#This Row],[Final Setup Envase]]-Table1[[#This Row],[Início Setup Envase]])</f>
        <v/>
      </c>
      <c r="AP265" s="663"/>
      <c r="AQ265" s="663"/>
      <c r="AR265" s="270"/>
      <c r="AS265" s="270"/>
      <c r="AT265" s="270"/>
      <c r="AU265" s="270"/>
      <c r="AV265" s="270"/>
      <c r="AW265" s="270"/>
      <c r="AX265" s="270"/>
      <c r="AY265" s="270"/>
      <c r="AZ265" s="270"/>
      <c r="BA265" s="270">
        <f>IF(Table1[[#This Row],[Data de Início]]="","",YEAR(Table1[[#This Row],[Data de Início]]))</f>
        <v>2025</v>
      </c>
      <c r="BB265" s="270">
        <f>IF(Table1[[#This Row],[Data de Início]]="","",MONTH(Table1[[#This Row],[Data de Início]]))</f>
        <v>7</v>
      </c>
      <c r="BC265" s="270"/>
    </row>
    <row r="266" spans="1:55" ht="15" customHeight="1" x14ac:dyDescent="0.25">
      <c r="B266" s="470">
        <v>45862.291666666664</v>
      </c>
      <c r="C266" s="263">
        <v>45862.604166666664</v>
      </c>
      <c r="D266" s="264" cm="1">
        <f t="array" ref="D266">IFERROR(HorasUteisFabrica2Turnos(B266,C266), "")</f>
        <v>6.5</v>
      </c>
      <c r="E266" s="265">
        <f t="shared" si="4"/>
        <v>461.99999999731074</v>
      </c>
      <c r="F266" s="266" t="s">
        <v>377</v>
      </c>
      <c r="G266" s="266" t="s">
        <v>360</v>
      </c>
      <c r="H266" s="266"/>
      <c r="I266" s="269" t="s">
        <v>500</v>
      </c>
      <c r="J266" s="267" t="s">
        <v>15</v>
      </c>
      <c r="K266" s="268">
        <v>3002.99999998252</v>
      </c>
      <c r="L266" s="269" t="s">
        <v>465</v>
      </c>
      <c r="M266" s="270" t="str">
        <f>IFERROR(INDEX([1]Produtos!$C:$C,MATCH(L266,[1]Produtos!$B:$B,0)), "-")</f>
        <v>BODY SPLASH GLOW NOITE DE GLAMOUR</v>
      </c>
      <c r="N266" s="510">
        <f>IFERROR(INDEX([1]Produtos!$E:$E,MATCH(L266,[1]Produtos!$B:$B,0)), "-")</f>
        <v>120</v>
      </c>
      <c r="O266" s="270" t="str">
        <f>IFERROR(INDEX([1]Produtos!$F:$F,MATCH(L266,[1]Produtos!$B:$B,0)), "-")</f>
        <v>ml</v>
      </c>
      <c r="P266" s="270" t="str">
        <f>IFERROR(INDEX([1]Produtos!$G:$G,MATCH(L266,[1]Produtos!$B:$B,0)), "-")</f>
        <v>DAPOP</v>
      </c>
      <c r="Q266" s="270" t="str">
        <f>IFERROR(INDEX([1]Produtos!$H:$H,MATCH(L266,[1]Produtos!$B:$B,0)), "-")</f>
        <v>PERFUMARIA</v>
      </c>
      <c r="R266" s="270" t="str">
        <f>IFERROR(INDEX([1]Produtos!$I:$I,MATCH(L266,[1]Produtos!$B:$B,0)), "-")</f>
        <v>BODY SPLASH</v>
      </c>
      <c r="S266" s="270" t="str">
        <f>IFERROR(INDEX([1]Produtos!$J:$J,MATCH(L266,[1]Produtos!$B:$B,0)), "-")</f>
        <v>LÍQUIDO ESPESSO</v>
      </c>
      <c r="T266" s="474"/>
      <c r="U266" s="270"/>
      <c r="V266" s="270"/>
      <c r="W266" s="270"/>
      <c r="X266" s="270"/>
      <c r="Y266" s="270"/>
      <c r="Z266" s="270"/>
      <c r="AA266" s="270"/>
      <c r="AB266" s="270"/>
      <c r="AC266" s="270"/>
      <c r="AD266" s="270"/>
      <c r="AE266" s="270"/>
      <c r="AF266" s="270"/>
      <c r="AG266" s="270"/>
      <c r="AH266" s="270"/>
      <c r="AI266" s="270"/>
      <c r="AJ266" s="270"/>
      <c r="AK266" s="270"/>
      <c r="AL266" s="270"/>
      <c r="AM266" s="663"/>
      <c r="AN266" s="663"/>
      <c r="AO266" s="708" t="str">
        <f>IF(OR(Table1[[#This Row],[Início Setup Envase]]="",Table1[[#This Row],[Final Setup Envase]]=""),"",Table1[[#This Row],[Final Setup Envase]]-Table1[[#This Row],[Início Setup Envase]])</f>
        <v/>
      </c>
      <c r="AP266" s="663"/>
      <c r="AQ266" s="663"/>
      <c r="AR266" s="270"/>
      <c r="AS266" s="270"/>
      <c r="AT266" s="270"/>
      <c r="AU266" s="270"/>
      <c r="AV266" s="270"/>
      <c r="AW266" s="270"/>
      <c r="AX266" s="270"/>
      <c r="AY266" s="270"/>
      <c r="AZ266" s="270"/>
      <c r="BA266" s="270">
        <f>IF(Table1[[#This Row],[Data de Início]]="","",YEAR(Table1[[#This Row],[Data de Início]]))</f>
        <v>2025</v>
      </c>
      <c r="BB266" s="270">
        <f>IF(Table1[[#This Row],[Data de Início]]="","",MONTH(Table1[[#This Row],[Data de Início]]))</f>
        <v>7</v>
      </c>
      <c r="BC266" s="270"/>
    </row>
    <row r="267" spans="1:55" ht="15" customHeight="1" x14ac:dyDescent="0.25">
      <c r="B267" s="470">
        <v>45862.302083333336</v>
      </c>
      <c r="C267" s="263">
        <v>45862.409722222219</v>
      </c>
      <c r="D267" s="264" cm="1">
        <f t="array" ref="D267">IFERROR(HorasUteisFabrica2Turnos(B267,C267), "")</f>
        <v>2.5833333331975155</v>
      </c>
      <c r="E267" s="265">
        <f t="shared" si="4"/>
        <v>984.77419360016131</v>
      </c>
      <c r="F267" s="266" t="s">
        <v>378</v>
      </c>
      <c r="G267" s="266" t="s">
        <v>463</v>
      </c>
      <c r="H267" s="266"/>
      <c r="I267" s="269" t="s">
        <v>494</v>
      </c>
      <c r="J267" s="267" t="s">
        <v>15</v>
      </c>
      <c r="K267" s="269">
        <v>2544</v>
      </c>
      <c r="L267" s="269" t="s">
        <v>212</v>
      </c>
      <c r="M267" s="270" t="str">
        <f>IFERROR(INDEX([1]Produtos!$C:$C,MATCH(L267,[1]Produtos!$B:$B,0)), "-")</f>
        <v>BODY SPLASH FORÇA DO LEAO</v>
      </c>
      <c r="N267" s="510">
        <f>IFERROR(INDEX([1]Produtos!$E:$E,MATCH(L267,[1]Produtos!$B:$B,0)), "-")</f>
        <v>220</v>
      </c>
      <c r="O267" s="270" t="str">
        <f>IFERROR(INDEX([1]Produtos!$F:$F,MATCH(L267,[1]Produtos!$B:$B,0)), "-")</f>
        <v>ml</v>
      </c>
      <c r="P267" s="270" t="str">
        <f>IFERROR(INDEX([1]Produtos!$G:$G,MATCH(L267,[1]Produtos!$B:$B,0)), "-")</f>
        <v>MISS RÔSE</v>
      </c>
      <c r="Q267" s="270" t="str">
        <f>IFERROR(INDEX([1]Produtos!$H:$H,MATCH(L267,[1]Produtos!$B:$B,0)), "-")</f>
        <v>PERFUMARIA</v>
      </c>
      <c r="R267" s="270" t="str">
        <f>IFERROR(INDEX([1]Produtos!$I:$I,MATCH(L267,[1]Produtos!$B:$B,0)), "-")</f>
        <v>BODY SPLASH</v>
      </c>
      <c r="S267" s="270" t="str">
        <f>IFERROR(INDEX([1]Produtos!$J:$J,MATCH(L267,[1]Produtos!$B:$B,0)), "-")</f>
        <v>LÍQUIDO</v>
      </c>
      <c r="T267" s="474"/>
      <c r="U267" s="270"/>
      <c r="V267" s="270"/>
      <c r="W267" s="270"/>
      <c r="X267" s="270"/>
      <c r="Y267" s="270"/>
      <c r="Z267" s="270"/>
      <c r="AA267" s="270"/>
      <c r="AB267" s="270"/>
      <c r="AC267" s="270"/>
      <c r="AD267" s="270"/>
      <c r="AE267" s="270"/>
      <c r="AF267" s="270"/>
      <c r="AG267" s="270"/>
      <c r="AH267" s="270"/>
      <c r="AI267" s="270"/>
      <c r="AJ267" s="270"/>
      <c r="AK267" s="270"/>
      <c r="AL267" s="270"/>
      <c r="AM267" s="663"/>
      <c r="AN267" s="663"/>
      <c r="AO267" s="708" t="str">
        <f>IF(OR(Table1[[#This Row],[Início Setup Envase]]="",Table1[[#This Row],[Final Setup Envase]]=""),"",Table1[[#This Row],[Final Setup Envase]]-Table1[[#This Row],[Início Setup Envase]])</f>
        <v/>
      </c>
      <c r="AP267" s="663"/>
      <c r="AQ267" s="663"/>
      <c r="AR267" s="270"/>
      <c r="AS267" s="270"/>
      <c r="AT267" s="270"/>
      <c r="AU267" s="270"/>
      <c r="AV267" s="270"/>
      <c r="AW267" s="270"/>
      <c r="AX267" s="270"/>
      <c r="AY267" s="270"/>
      <c r="AZ267" s="270"/>
      <c r="BA267" s="270">
        <f>IF(Table1[[#This Row],[Data de Início]]="","",YEAR(Table1[[#This Row],[Data de Início]]))</f>
        <v>2025</v>
      </c>
      <c r="BB267" s="270">
        <f>IF(Table1[[#This Row],[Data de Início]]="","",MONTH(Table1[[#This Row],[Data de Início]]))</f>
        <v>7</v>
      </c>
      <c r="BC267" s="270"/>
    </row>
    <row r="268" spans="1:55" ht="15" customHeight="1" x14ac:dyDescent="0.25">
      <c r="B268" s="470">
        <v>45862.409722222219</v>
      </c>
      <c r="C268" s="263">
        <v>45862.583333333336</v>
      </c>
      <c r="D268" s="264" cm="1">
        <f t="array" ref="D268">IFERROR(HorasUteisFabrica2Turnos(B268,C268), "")</f>
        <v>3.1666666668024845</v>
      </c>
      <c r="E268" s="265">
        <f t="shared" si="4"/>
        <v>803.36842101817524</v>
      </c>
      <c r="F268" s="266" t="s">
        <v>378</v>
      </c>
      <c r="G268" s="266" t="s">
        <v>463</v>
      </c>
      <c r="H268" s="266"/>
      <c r="I268" s="269" t="s">
        <v>495</v>
      </c>
      <c r="J268" s="267" t="s">
        <v>15</v>
      </c>
      <c r="K268" s="269">
        <v>2544</v>
      </c>
      <c r="L268" s="269" t="s">
        <v>212</v>
      </c>
      <c r="M268" s="270" t="str">
        <f>IFERROR(INDEX([1]Produtos!$C:$C,MATCH(L268,[1]Produtos!$B:$B,0)), "-")</f>
        <v>BODY SPLASH FORÇA DO LEAO</v>
      </c>
      <c r="N268" s="510">
        <f>IFERROR(INDEX([1]Produtos!$E:$E,MATCH(L268,[1]Produtos!$B:$B,0)), "-")</f>
        <v>220</v>
      </c>
      <c r="O268" s="270" t="str">
        <f>IFERROR(INDEX([1]Produtos!$F:$F,MATCH(L268,[1]Produtos!$B:$B,0)), "-")</f>
        <v>ml</v>
      </c>
      <c r="P268" s="270" t="str">
        <f>IFERROR(INDEX([1]Produtos!$G:$G,MATCH(L268,[1]Produtos!$B:$B,0)), "-")</f>
        <v>MISS RÔSE</v>
      </c>
      <c r="Q268" s="270" t="str">
        <f>IFERROR(INDEX([1]Produtos!$H:$H,MATCH(L268,[1]Produtos!$B:$B,0)), "-")</f>
        <v>PERFUMARIA</v>
      </c>
      <c r="R268" s="270" t="str">
        <f>IFERROR(INDEX([1]Produtos!$I:$I,MATCH(L268,[1]Produtos!$B:$B,0)), "-")</f>
        <v>BODY SPLASH</v>
      </c>
      <c r="S268" s="270" t="str">
        <f>IFERROR(INDEX([1]Produtos!$J:$J,MATCH(L268,[1]Produtos!$B:$B,0)), "-")</f>
        <v>LÍQUIDO</v>
      </c>
      <c r="T268" s="474"/>
      <c r="U268" s="270"/>
      <c r="V268" s="270"/>
      <c r="W268" s="270"/>
      <c r="X268" s="270"/>
      <c r="Y268" s="270"/>
      <c r="Z268" s="270"/>
      <c r="AA268" s="270"/>
      <c r="AB268" s="270"/>
      <c r="AC268" s="270"/>
      <c r="AD268" s="270"/>
      <c r="AE268" s="270"/>
      <c r="AF268" s="270"/>
      <c r="AG268" s="270"/>
      <c r="AH268" s="270"/>
      <c r="AI268" s="270"/>
      <c r="AJ268" s="270"/>
      <c r="AK268" s="270"/>
      <c r="AL268" s="270"/>
      <c r="AM268" s="663"/>
      <c r="AN268" s="663"/>
      <c r="AO268" s="708" t="str">
        <f>IF(OR(Table1[[#This Row],[Início Setup Envase]]="",Table1[[#This Row],[Final Setup Envase]]=""),"",Table1[[#This Row],[Final Setup Envase]]-Table1[[#This Row],[Início Setup Envase]])</f>
        <v/>
      </c>
      <c r="AP268" s="663"/>
      <c r="AQ268" s="663"/>
      <c r="AR268" s="270"/>
      <c r="AS268" s="270"/>
      <c r="AT268" s="270"/>
      <c r="AU268" s="270"/>
      <c r="AV268" s="270"/>
      <c r="AW268" s="270"/>
      <c r="AX268" s="270"/>
      <c r="AY268" s="270"/>
      <c r="AZ268" s="270"/>
      <c r="BA268" s="270">
        <f>IF(Table1[[#This Row],[Data de Início]]="","",YEAR(Table1[[#This Row],[Data de Início]]))</f>
        <v>2025</v>
      </c>
      <c r="BB268" s="270">
        <f>IF(Table1[[#This Row],[Data de Início]]="","",MONTH(Table1[[#This Row],[Data de Início]]))</f>
        <v>7</v>
      </c>
      <c r="BC268" s="270"/>
    </row>
    <row r="269" spans="1:55" ht="15" customHeight="1" x14ac:dyDescent="0.25">
      <c r="B269" s="470">
        <v>45862.583333333336</v>
      </c>
      <c r="C269" s="263">
        <v>45862.708333333336</v>
      </c>
      <c r="D269" s="264" cm="1">
        <f t="array" ref="D269">IFERROR(HorasUteisFabrica2Turnos(B269,C269), "")</f>
        <v>3</v>
      </c>
      <c r="E269" s="265">
        <f t="shared" si="4"/>
        <v>885.33333333333337</v>
      </c>
      <c r="F269" s="266" t="s">
        <v>378</v>
      </c>
      <c r="G269" s="266" t="s">
        <v>463</v>
      </c>
      <c r="H269" s="266"/>
      <c r="I269" s="269" t="s">
        <v>496</v>
      </c>
      <c r="J269" s="267" t="s">
        <v>15</v>
      </c>
      <c r="K269" s="269">
        <v>2656</v>
      </c>
      <c r="L269" s="269" t="s">
        <v>212</v>
      </c>
      <c r="M269" s="270" t="str">
        <f>IFERROR(INDEX([1]Produtos!$C:$C,MATCH(L269,[1]Produtos!$B:$B,0)), "-")</f>
        <v>BODY SPLASH FORÇA DO LEAO</v>
      </c>
      <c r="N269" s="510">
        <f>IFERROR(INDEX([1]Produtos!$E:$E,MATCH(L269,[1]Produtos!$B:$B,0)), "-")</f>
        <v>220</v>
      </c>
      <c r="O269" s="270" t="str">
        <f>IFERROR(INDEX([1]Produtos!$F:$F,MATCH(L269,[1]Produtos!$B:$B,0)), "-")</f>
        <v>ml</v>
      </c>
      <c r="P269" s="270" t="str">
        <f>IFERROR(INDEX([1]Produtos!$G:$G,MATCH(L269,[1]Produtos!$B:$B,0)), "-")</f>
        <v>MISS RÔSE</v>
      </c>
      <c r="Q269" s="270" t="str">
        <f>IFERROR(INDEX([1]Produtos!$H:$H,MATCH(L269,[1]Produtos!$B:$B,0)), "-")</f>
        <v>PERFUMARIA</v>
      </c>
      <c r="R269" s="270" t="str">
        <f>IFERROR(INDEX([1]Produtos!$I:$I,MATCH(L269,[1]Produtos!$B:$B,0)), "-")</f>
        <v>BODY SPLASH</v>
      </c>
      <c r="S269" s="270" t="str">
        <f>IFERROR(INDEX([1]Produtos!$J:$J,MATCH(L269,[1]Produtos!$B:$B,0)), "-")</f>
        <v>LÍQUIDO</v>
      </c>
      <c r="T269" s="474"/>
      <c r="U269" s="270"/>
      <c r="V269" s="270"/>
      <c r="W269" s="270"/>
      <c r="X269" s="270"/>
      <c r="Y269" s="270"/>
      <c r="Z269" s="270"/>
      <c r="AA269" s="270"/>
      <c r="AB269" s="270"/>
      <c r="AC269" s="270"/>
      <c r="AD269" s="270"/>
      <c r="AE269" s="270"/>
      <c r="AF269" s="270"/>
      <c r="AG269" s="270"/>
      <c r="AH269" s="270"/>
      <c r="AI269" s="270"/>
      <c r="AJ269" s="270"/>
      <c r="AK269" s="270"/>
      <c r="AL269" s="270"/>
      <c r="AM269" s="663"/>
      <c r="AN269" s="663"/>
      <c r="AO269" s="708" t="str">
        <f>IF(OR(Table1[[#This Row],[Início Setup Envase]]="",Table1[[#This Row],[Final Setup Envase]]=""),"",Table1[[#This Row],[Final Setup Envase]]-Table1[[#This Row],[Início Setup Envase]])</f>
        <v/>
      </c>
      <c r="AP269" s="663"/>
      <c r="AQ269" s="663"/>
      <c r="AR269" s="270"/>
      <c r="AS269" s="270"/>
      <c r="AT269" s="270"/>
      <c r="AU269" s="270"/>
      <c r="AV269" s="270"/>
      <c r="AW269" s="270"/>
      <c r="AX269" s="270"/>
      <c r="AY269" s="270"/>
      <c r="AZ269" s="270"/>
      <c r="BA269" s="270">
        <f>IF(Table1[[#This Row],[Data de Início]]="","",YEAR(Table1[[#This Row],[Data de Início]]))</f>
        <v>2025</v>
      </c>
      <c r="BB269" s="270">
        <f>IF(Table1[[#This Row],[Data de Início]]="","",MONTH(Table1[[#This Row],[Data de Início]]))</f>
        <v>7</v>
      </c>
      <c r="BC269" s="270"/>
    </row>
    <row r="270" spans="1:55" ht="15" customHeight="1" x14ac:dyDescent="0.25">
      <c r="B270" s="470">
        <v>45862.604166666664</v>
      </c>
      <c r="C270" s="263">
        <v>45862.638888888891</v>
      </c>
      <c r="D270" s="264" cm="1">
        <f t="array" ref="D270">IFERROR(HorasUteisFabrica2Turnos(B270,C270), "")</f>
        <v>0.8333333334303461</v>
      </c>
      <c r="E270" s="265">
        <f t="shared" si="4"/>
        <v>1511.99999982398</v>
      </c>
      <c r="F270" s="266" t="s">
        <v>377</v>
      </c>
      <c r="G270" s="266" t="s">
        <v>360</v>
      </c>
      <c r="H270" s="266"/>
      <c r="I270" s="269" t="s">
        <v>501</v>
      </c>
      <c r="J270" s="267" t="s">
        <v>15</v>
      </c>
      <c r="K270" s="269">
        <v>1260</v>
      </c>
      <c r="L270" s="269" t="s">
        <v>465</v>
      </c>
      <c r="M270" s="270" t="str">
        <f>IFERROR(INDEX([1]Produtos!$C:$C,MATCH(L270,[1]Produtos!$B:$B,0)), "-")</f>
        <v>BODY SPLASH GLOW NOITE DE GLAMOUR</v>
      </c>
      <c r="N270" s="510">
        <f>IFERROR(INDEX([1]Produtos!$E:$E,MATCH(L270,[1]Produtos!$B:$B,0)), "-")</f>
        <v>120</v>
      </c>
      <c r="O270" s="270" t="str">
        <f>IFERROR(INDEX([1]Produtos!$F:$F,MATCH(L270,[1]Produtos!$B:$B,0)), "-")</f>
        <v>ml</v>
      </c>
      <c r="P270" s="270" t="str">
        <f>IFERROR(INDEX([1]Produtos!$G:$G,MATCH(L270,[1]Produtos!$B:$B,0)), "-")</f>
        <v>DAPOP</v>
      </c>
      <c r="Q270" s="270" t="str">
        <f>IFERROR(INDEX([1]Produtos!$H:$H,MATCH(L270,[1]Produtos!$B:$B,0)), "-")</f>
        <v>PERFUMARIA</v>
      </c>
      <c r="R270" s="270" t="str">
        <f>IFERROR(INDEX([1]Produtos!$I:$I,MATCH(L270,[1]Produtos!$B:$B,0)), "-")</f>
        <v>BODY SPLASH</v>
      </c>
      <c r="S270" s="270" t="str">
        <f>IFERROR(INDEX([1]Produtos!$J:$J,MATCH(L270,[1]Produtos!$B:$B,0)), "-")</f>
        <v>LÍQUIDO ESPESSO</v>
      </c>
      <c r="T270" s="474"/>
      <c r="U270" s="270"/>
      <c r="V270" s="270"/>
      <c r="W270" s="270"/>
      <c r="X270" s="270"/>
      <c r="Y270" s="270"/>
      <c r="Z270" s="270"/>
      <c r="AA270" s="270"/>
      <c r="AB270" s="270"/>
      <c r="AC270" s="270"/>
      <c r="AD270" s="270"/>
      <c r="AE270" s="270"/>
      <c r="AF270" s="270"/>
      <c r="AG270" s="270"/>
      <c r="AH270" s="270"/>
      <c r="AI270" s="270"/>
      <c r="AJ270" s="270"/>
      <c r="AK270" s="270"/>
      <c r="AL270" s="270"/>
      <c r="AM270" s="663"/>
      <c r="AN270" s="663"/>
      <c r="AO270" s="708" t="str">
        <f>IF(OR(Table1[[#This Row],[Início Setup Envase]]="",Table1[[#This Row],[Final Setup Envase]]=""),"",Table1[[#This Row],[Final Setup Envase]]-Table1[[#This Row],[Início Setup Envase]])</f>
        <v/>
      </c>
      <c r="AP270" s="663"/>
      <c r="AQ270" s="663"/>
      <c r="AR270" s="270"/>
      <c r="AS270" s="270"/>
      <c r="AT270" s="270"/>
      <c r="AU270" s="270"/>
      <c r="AV270" s="270"/>
      <c r="AW270" s="270"/>
      <c r="AX270" s="270"/>
      <c r="AY270" s="270"/>
      <c r="AZ270" s="270"/>
      <c r="BA270" s="270">
        <f>IF(Table1[[#This Row],[Data de Início]]="","",YEAR(Table1[[#This Row],[Data de Início]]))</f>
        <v>2025</v>
      </c>
      <c r="BB270" s="270">
        <f>IF(Table1[[#This Row],[Data de Início]]="","",MONTH(Table1[[#This Row],[Data de Início]]))</f>
        <v>7</v>
      </c>
      <c r="BC270" s="270"/>
    </row>
    <row r="271" spans="1:55" ht="15" customHeight="1" x14ac:dyDescent="0.25">
      <c r="B271" s="470">
        <v>45862.645833333336</v>
      </c>
      <c r="C271" s="263">
        <v>45862.708333333336</v>
      </c>
      <c r="D271" s="264" cm="1">
        <f t="array" ref="D271">IFERROR(HorasUteisFabrica2Turnos(B271,C271), "")</f>
        <v>1.5</v>
      </c>
      <c r="E271" s="265">
        <f t="shared" si="4"/>
        <v>299.29411764500929</v>
      </c>
      <c r="F271" s="266" t="s">
        <v>377</v>
      </c>
      <c r="G271" s="266" t="s">
        <v>470</v>
      </c>
      <c r="H271" s="266"/>
      <c r="I271" s="269" t="s">
        <v>508</v>
      </c>
      <c r="J271" s="267" t="s">
        <v>15</v>
      </c>
      <c r="K271" s="268">
        <v>448.94117646751397</v>
      </c>
      <c r="L271" s="269" t="s">
        <v>211</v>
      </c>
      <c r="M271" s="270" t="str">
        <f>IFERROR(INDEX([1]Produtos!$C:$C,MATCH(L271,[1]Produtos!$B:$B,0)), "-")</f>
        <v>BODY SPLASH AURORA IMPERIAL</v>
      </c>
      <c r="N271" s="510">
        <f>IFERROR(INDEX([1]Produtos!$E:$E,MATCH(L271,[1]Produtos!$B:$B,0)), "-")</f>
        <v>220</v>
      </c>
      <c r="O271" s="270" t="str">
        <f>IFERROR(INDEX([1]Produtos!$F:$F,MATCH(L271,[1]Produtos!$B:$B,0)), "-")</f>
        <v>ml</v>
      </c>
      <c r="P271" s="270" t="str">
        <f>IFERROR(INDEX([1]Produtos!$G:$G,MATCH(L271,[1]Produtos!$B:$B,0)), "-")</f>
        <v>MISS RÔSE</v>
      </c>
      <c r="Q271" s="270" t="str">
        <f>IFERROR(INDEX([1]Produtos!$H:$H,MATCH(L271,[1]Produtos!$B:$B,0)), "-")</f>
        <v>PERFUMARIA</v>
      </c>
      <c r="R271" s="270" t="str">
        <f>IFERROR(INDEX([1]Produtos!$I:$I,MATCH(L271,[1]Produtos!$B:$B,0)), "-")</f>
        <v>BODY SPLASH</v>
      </c>
      <c r="S271" s="270" t="str">
        <f>IFERROR(INDEX([1]Produtos!$J:$J,MATCH(L271,[1]Produtos!$B:$B,0)), "-")</f>
        <v>LÍQUIDO</v>
      </c>
      <c r="T271" s="474"/>
      <c r="U271" s="270"/>
      <c r="V271" s="270"/>
      <c r="W271" s="270"/>
      <c r="X271" s="270"/>
      <c r="Y271" s="270"/>
      <c r="Z271" s="270"/>
      <c r="AA271" s="270"/>
      <c r="AB271" s="270"/>
      <c r="AC271" s="270"/>
      <c r="AD271" s="270"/>
      <c r="AE271" s="270"/>
      <c r="AF271" s="270"/>
      <c r="AG271" s="270"/>
      <c r="AH271" s="270"/>
      <c r="AI271" s="270"/>
      <c r="AJ271" s="270"/>
      <c r="AK271" s="270"/>
      <c r="AL271" s="270"/>
      <c r="AM271" s="663"/>
      <c r="AN271" s="663"/>
      <c r="AO271" s="708" t="str">
        <f>IF(OR(Table1[[#This Row],[Início Setup Envase]]="",Table1[[#This Row],[Final Setup Envase]]=""),"",Table1[[#This Row],[Final Setup Envase]]-Table1[[#This Row],[Início Setup Envase]])</f>
        <v/>
      </c>
      <c r="AP271" s="663"/>
      <c r="AQ271" s="663"/>
      <c r="AR271" s="270"/>
      <c r="AS271" s="270"/>
      <c r="AT271" s="270"/>
      <c r="AU271" s="270"/>
      <c r="AV271" s="270"/>
      <c r="AW271" s="270"/>
      <c r="AX271" s="270"/>
      <c r="AY271" s="270"/>
      <c r="AZ271" s="270"/>
      <c r="BA271" s="270">
        <f>IF(Table1[[#This Row],[Data de Início]]="","",YEAR(Table1[[#This Row],[Data de Início]]))</f>
        <v>2025</v>
      </c>
      <c r="BB271" s="270">
        <f>IF(Table1[[#This Row],[Data de Início]]="","",MONTH(Table1[[#This Row],[Data de Início]]))</f>
        <v>7</v>
      </c>
      <c r="BC271" s="270"/>
    </row>
    <row r="272" spans="1:55" ht="15" customHeight="1" x14ac:dyDescent="0.25">
      <c r="B272" s="470">
        <v>45863.291666666664</v>
      </c>
      <c r="C272" s="263">
        <v>45863.625</v>
      </c>
      <c r="D272" s="264" cm="1">
        <f t="array" ref="D272">IFERROR(HorasUteisFabrica2Turnos(B272,C272), "")</f>
        <v>7.0000000000582077</v>
      </c>
      <c r="E272" s="265">
        <f t="shared" si="4"/>
        <v>299.29411764500929</v>
      </c>
      <c r="F272" s="266" t="s">
        <v>377</v>
      </c>
      <c r="G272" s="266" t="s">
        <v>470</v>
      </c>
      <c r="H272" s="266"/>
      <c r="I272" s="269" t="s">
        <v>508</v>
      </c>
      <c r="J272" s="267" t="s">
        <v>15</v>
      </c>
      <c r="K272" s="268">
        <v>2095.0588235324863</v>
      </c>
      <c r="L272" s="269" t="s">
        <v>211</v>
      </c>
      <c r="M272" s="270" t="str">
        <f>IFERROR(INDEX([1]Produtos!$C:$C,MATCH(L272,[1]Produtos!$B:$B,0)), "-")</f>
        <v>BODY SPLASH AURORA IMPERIAL</v>
      </c>
      <c r="N272" s="510">
        <f>IFERROR(INDEX([1]Produtos!$E:$E,MATCH(L272,[1]Produtos!$B:$B,0)), "-")</f>
        <v>220</v>
      </c>
      <c r="O272" s="270" t="str">
        <f>IFERROR(INDEX([1]Produtos!$F:$F,MATCH(L272,[1]Produtos!$B:$B,0)), "-")</f>
        <v>ml</v>
      </c>
      <c r="P272" s="270" t="str">
        <f>IFERROR(INDEX([1]Produtos!$G:$G,MATCH(L272,[1]Produtos!$B:$B,0)), "-")</f>
        <v>MISS RÔSE</v>
      </c>
      <c r="Q272" s="270" t="str">
        <f>IFERROR(INDEX([1]Produtos!$H:$H,MATCH(L272,[1]Produtos!$B:$B,0)), "-")</f>
        <v>PERFUMARIA</v>
      </c>
      <c r="R272" s="270" t="str">
        <f>IFERROR(INDEX([1]Produtos!$I:$I,MATCH(L272,[1]Produtos!$B:$B,0)), "-")</f>
        <v>BODY SPLASH</v>
      </c>
      <c r="S272" s="270" t="str">
        <f>IFERROR(INDEX([1]Produtos!$J:$J,MATCH(L272,[1]Produtos!$B:$B,0)), "-")</f>
        <v>LÍQUIDO</v>
      </c>
      <c r="T272" s="474"/>
      <c r="U272" s="270"/>
      <c r="V272" s="270"/>
      <c r="W272" s="270"/>
      <c r="X272" s="270"/>
      <c r="Y272" s="270"/>
      <c r="Z272" s="270"/>
      <c r="AA272" s="270"/>
      <c r="AB272" s="270"/>
      <c r="AC272" s="270"/>
      <c r="AD272" s="270"/>
      <c r="AE272" s="270"/>
      <c r="AF272" s="270"/>
      <c r="AG272" s="270"/>
      <c r="AH272" s="270"/>
      <c r="AI272" s="270"/>
      <c r="AJ272" s="270"/>
      <c r="AK272" s="270"/>
      <c r="AL272" s="270"/>
      <c r="AM272" s="663"/>
      <c r="AN272" s="663"/>
      <c r="AO272" s="708" t="str">
        <f>IF(OR(Table1[[#This Row],[Início Setup Envase]]="",Table1[[#This Row],[Final Setup Envase]]=""),"",Table1[[#This Row],[Final Setup Envase]]-Table1[[#This Row],[Início Setup Envase]])</f>
        <v/>
      </c>
      <c r="AP272" s="663"/>
      <c r="AQ272" s="663"/>
      <c r="AR272" s="270"/>
      <c r="AS272" s="270"/>
      <c r="AT272" s="270"/>
      <c r="AU272" s="270"/>
      <c r="AV272" s="270"/>
      <c r="AW272" s="270"/>
      <c r="AX272" s="270"/>
      <c r="AY272" s="270"/>
      <c r="AZ272" s="270"/>
      <c r="BA272" s="270">
        <f>IF(Table1[[#This Row],[Data de Início]]="","",YEAR(Table1[[#This Row],[Data de Início]]))</f>
        <v>2025</v>
      </c>
      <c r="BB272" s="270">
        <f>IF(Table1[[#This Row],[Data de Início]]="","",MONTH(Table1[[#This Row],[Data de Início]]))</f>
        <v>7</v>
      </c>
      <c r="BC272" s="270"/>
    </row>
    <row r="273" spans="2:55" ht="15" customHeight="1" x14ac:dyDescent="0.25">
      <c r="B273" s="470">
        <v>45863.34375</v>
      </c>
      <c r="C273" s="263">
        <v>45863.430555555555</v>
      </c>
      <c r="D273" s="264" cm="1">
        <f t="array" ref="D273">IFERROR(HorasUteisFabrica2Turnos(B273,C273), "")</f>
        <v>2.0833333333139308</v>
      </c>
      <c r="E273" s="265">
        <f t="shared" si="4"/>
        <v>875.52000000815394</v>
      </c>
      <c r="F273" s="266" t="s">
        <v>378</v>
      </c>
      <c r="G273" s="266" t="s">
        <v>475</v>
      </c>
      <c r="H273" s="266"/>
      <c r="I273" s="269" t="s">
        <v>477</v>
      </c>
      <c r="J273" s="267" t="s">
        <v>15</v>
      </c>
      <c r="K273" s="269">
        <v>1824</v>
      </c>
      <c r="L273" s="269" t="s">
        <v>474</v>
      </c>
      <c r="M273" s="270" t="str">
        <f>IFERROR(INDEX([1]Produtos!$C:$C,MATCH(L273,[1]Produtos!$B:$B,0)), "-")</f>
        <v>ÁGUA MICELAR ÁCIDO HIAULURÔNICO</v>
      </c>
      <c r="N273" s="510">
        <f>IFERROR(INDEX([1]Produtos!$E:$E,MATCH(L273,[1]Produtos!$B:$B,0)), "-")</f>
        <v>325</v>
      </c>
      <c r="O273" s="270" t="str">
        <f>IFERROR(INDEX([1]Produtos!$F:$F,MATCH(L273,[1]Produtos!$B:$B,0)), "-")</f>
        <v>ml</v>
      </c>
      <c r="P273" s="270" t="str">
        <f>IFERROR(INDEX([1]Produtos!$G:$G,MATCH(L273,[1]Produtos!$B:$B,0)), "-")</f>
        <v>GLOW MAKE UP</v>
      </c>
      <c r="Q273" s="270" t="str">
        <f>IFERROR(INDEX([1]Produtos!$H:$H,MATCH(L273,[1]Produtos!$B:$B,0)), "-")</f>
        <v>MAQUIAGEM</v>
      </c>
      <c r="R273" s="270" t="str">
        <f>IFERROR(INDEX([1]Produtos!$I:$I,MATCH(L273,[1]Produtos!$B:$B,0)), "-")</f>
        <v>ÁGUA MICELAR</v>
      </c>
      <c r="S273" s="270" t="str">
        <f>IFERROR(INDEX([1]Produtos!$J:$J,MATCH(L273,[1]Produtos!$B:$B,0)), "-")</f>
        <v>LÍQUIDO</v>
      </c>
      <c r="T273" s="474"/>
      <c r="U273" s="270"/>
      <c r="V273" s="270"/>
      <c r="W273" s="270"/>
      <c r="X273" s="270"/>
      <c r="Y273" s="270"/>
      <c r="Z273" s="270"/>
      <c r="AA273" s="270"/>
      <c r="AB273" s="270"/>
      <c r="AC273" s="270"/>
      <c r="AD273" s="270"/>
      <c r="AE273" s="270"/>
      <c r="AF273" s="270"/>
      <c r="AG273" s="270"/>
      <c r="AH273" s="270"/>
      <c r="AI273" s="270"/>
      <c r="AJ273" s="270"/>
      <c r="AK273" s="270"/>
      <c r="AL273" s="270"/>
      <c r="AM273" s="663"/>
      <c r="AN273" s="663"/>
      <c r="AO273" s="708" t="str">
        <f>IF(OR(Table1[[#This Row],[Início Setup Envase]]="",Table1[[#This Row],[Final Setup Envase]]=""),"",Table1[[#This Row],[Final Setup Envase]]-Table1[[#This Row],[Início Setup Envase]])</f>
        <v/>
      </c>
      <c r="AP273" s="663"/>
      <c r="AQ273" s="663"/>
      <c r="AR273" s="270"/>
      <c r="AS273" s="270"/>
      <c r="AT273" s="270"/>
      <c r="AU273" s="270"/>
      <c r="AV273" s="270"/>
      <c r="AW273" s="270"/>
      <c r="AX273" s="270"/>
      <c r="AY273" s="270"/>
      <c r="AZ273" s="270"/>
      <c r="BA273" s="270">
        <f>IF(Table1[[#This Row],[Data de Início]]="","",YEAR(Table1[[#This Row],[Data de Início]]))</f>
        <v>2025</v>
      </c>
      <c r="BB273" s="270">
        <f>IF(Table1[[#This Row],[Data de Início]]="","",MONTH(Table1[[#This Row],[Data de Início]]))</f>
        <v>7</v>
      </c>
      <c r="BC273" s="270"/>
    </row>
    <row r="274" spans="2:55" ht="15" customHeight="1" x14ac:dyDescent="0.25">
      <c r="B274" s="470">
        <v>45863.430555555555</v>
      </c>
      <c r="C274" s="263">
        <v>45863.493055555555</v>
      </c>
      <c r="D274" s="264" cm="1">
        <f t="array" ref="D274">IFERROR(HorasUteisFabrica2Turnos(B274,C274), "")</f>
        <v>1.5</v>
      </c>
      <c r="E274" s="265">
        <f t="shared" si="4"/>
        <v>1120</v>
      </c>
      <c r="F274" s="266" t="s">
        <v>378</v>
      </c>
      <c r="G274" s="266" t="s">
        <v>475</v>
      </c>
      <c r="H274" s="266"/>
      <c r="I274" s="269" t="s">
        <v>514</v>
      </c>
      <c r="J274" s="267" t="s">
        <v>15</v>
      </c>
      <c r="K274" s="269">
        <v>1680</v>
      </c>
      <c r="L274" s="269" t="s">
        <v>474</v>
      </c>
      <c r="M274" s="270" t="str">
        <f>IFERROR(INDEX([1]Produtos!$C:$C,MATCH(L274,[1]Produtos!$B:$B,0)), "-")</f>
        <v>ÁGUA MICELAR ÁCIDO HIAULURÔNICO</v>
      </c>
      <c r="N274" s="510">
        <f>IFERROR(INDEX([1]Produtos!$E:$E,MATCH(L274,[1]Produtos!$B:$B,0)), "-")</f>
        <v>325</v>
      </c>
      <c r="O274" s="270" t="str">
        <f>IFERROR(INDEX([1]Produtos!$F:$F,MATCH(L274,[1]Produtos!$B:$B,0)), "-")</f>
        <v>ml</v>
      </c>
      <c r="P274" s="270" t="str">
        <f>IFERROR(INDEX([1]Produtos!$G:$G,MATCH(L274,[1]Produtos!$B:$B,0)), "-")</f>
        <v>GLOW MAKE UP</v>
      </c>
      <c r="Q274" s="270" t="str">
        <f>IFERROR(INDEX([1]Produtos!$H:$H,MATCH(L274,[1]Produtos!$B:$B,0)), "-")</f>
        <v>MAQUIAGEM</v>
      </c>
      <c r="R274" s="270" t="str">
        <f>IFERROR(INDEX([1]Produtos!$I:$I,MATCH(L274,[1]Produtos!$B:$B,0)), "-")</f>
        <v>ÁGUA MICELAR</v>
      </c>
      <c r="S274" s="270" t="str">
        <f>IFERROR(INDEX([1]Produtos!$J:$J,MATCH(L274,[1]Produtos!$B:$B,0)), "-")</f>
        <v>LÍQUIDO</v>
      </c>
      <c r="T274" s="474"/>
      <c r="U274" s="270"/>
      <c r="V274" s="270"/>
      <c r="W274" s="270"/>
      <c r="X274" s="270"/>
      <c r="Y274" s="270"/>
      <c r="Z274" s="270"/>
      <c r="AA274" s="270"/>
      <c r="AB274" s="270"/>
      <c r="AC274" s="270"/>
      <c r="AD274" s="270"/>
      <c r="AE274" s="270"/>
      <c r="AF274" s="270"/>
      <c r="AG274" s="270"/>
      <c r="AH274" s="270"/>
      <c r="AI274" s="270"/>
      <c r="AJ274" s="270"/>
      <c r="AK274" s="270"/>
      <c r="AL274" s="270"/>
      <c r="AM274" s="663"/>
      <c r="AN274" s="663"/>
      <c r="AO274" s="708" t="str">
        <f>IF(OR(Table1[[#This Row],[Início Setup Envase]]="",Table1[[#This Row],[Final Setup Envase]]=""),"",Table1[[#This Row],[Final Setup Envase]]-Table1[[#This Row],[Início Setup Envase]])</f>
        <v/>
      </c>
      <c r="AP274" s="663"/>
      <c r="AQ274" s="663"/>
      <c r="AR274" s="270"/>
      <c r="AS274" s="270"/>
      <c r="AT274" s="270"/>
      <c r="AU274" s="270"/>
      <c r="AV274" s="270"/>
      <c r="AW274" s="270"/>
      <c r="AX274" s="270"/>
      <c r="AY274" s="270"/>
      <c r="AZ274" s="270"/>
      <c r="BA274" s="270">
        <f>IF(Table1[[#This Row],[Data de Início]]="","",YEAR(Table1[[#This Row],[Data de Início]]))</f>
        <v>2025</v>
      </c>
      <c r="BB274" s="270">
        <f>IF(Table1[[#This Row],[Data de Início]]="","",MONTH(Table1[[#This Row],[Data de Início]]))</f>
        <v>7</v>
      </c>
      <c r="BC274" s="270"/>
    </row>
    <row r="275" spans="2:55" ht="15" customHeight="1" x14ac:dyDescent="0.25">
      <c r="B275" s="470">
        <v>45863.493055555555</v>
      </c>
      <c r="C275" s="263">
        <v>45863.645833333336</v>
      </c>
      <c r="D275" s="264" cm="1">
        <f t="array" ref="D275">IFERROR(HorasUteisFabrica2Turnos(B275,C275), "")</f>
        <v>2.6666666667442769</v>
      </c>
      <c r="E275" s="265">
        <f t="shared" si="4"/>
        <v>602.24999998247222</v>
      </c>
      <c r="F275" s="266" t="s">
        <v>378</v>
      </c>
      <c r="G275" s="266" t="s">
        <v>475</v>
      </c>
      <c r="H275" s="266"/>
      <c r="I275" s="269" t="s">
        <v>515</v>
      </c>
      <c r="J275" s="267" t="s">
        <v>15</v>
      </c>
      <c r="K275" s="269">
        <v>1606</v>
      </c>
      <c r="L275" s="269" t="s">
        <v>474</v>
      </c>
      <c r="M275" s="270" t="str">
        <f>IFERROR(INDEX([1]Produtos!$C:$C,MATCH(L275,[1]Produtos!$B:$B,0)), "-")</f>
        <v>ÁGUA MICELAR ÁCIDO HIAULURÔNICO</v>
      </c>
      <c r="N275" s="510">
        <f>IFERROR(INDEX([1]Produtos!$E:$E,MATCH(L275,[1]Produtos!$B:$B,0)), "-")</f>
        <v>325</v>
      </c>
      <c r="O275" s="270" t="str">
        <f>IFERROR(INDEX([1]Produtos!$F:$F,MATCH(L275,[1]Produtos!$B:$B,0)), "-")</f>
        <v>ml</v>
      </c>
      <c r="P275" s="270" t="str">
        <f>IFERROR(INDEX([1]Produtos!$G:$G,MATCH(L275,[1]Produtos!$B:$B,0)), "-")</f>
        <v>GLOW MAKE UP</v>
      </c>
      <c r="Q275" s="270" t="str">
        <f>IFERROR(INDEX([1]Produtos!$H:$H,MATCH(L275,[1]Produtos!$B:$B,0)), "-")</f>
        <v>MAQUIAGEM</v>
      </c>
      <c r="R275" s="270" t="str">
        <f>IFERROR(INDEX([1]Produtos!$I:$I,MATCH(L275,[1]Produtos!$B:$B,0)), "-")</f>
        <v>ÁGUA MICELAR</v>
      </c>
      <c r="S275" s="270" t="str">
        <f>IFERROR(INDEX([1]Produtos!$J:$J,MATCH(L275,[1]Produtos!$B:$B,0)), "-")</f>
        <v>LÍQUIDO</v>
      </c>
      <c r="T275" s="474"/>
      <c r="U275" s="270"/>
      <c r="V275" s="270"/>
      <c r="W275" s="270"/>
      <c r="X275" s="270"/>
      <c r="Y275" s="270"/>
      <c r="Z275" s="270"/>
      <c r="AA275" s="270"/>
      <c r="AB275" s="270"/>
      <c r="AC275" s="270"/>
      <c r="AD275" s="270"/>
      <c r="AE275" s="270"/>
      <c r="AF275" s="270"/>
      <c r="AG275" s="270"/>
      <c r="AH275" s="270"/>
      <c r="AI275" s="270"/>
      <c r="AJ275" s="270"/>
      <c r="AK275" s="270"/>
      <c r="AL275" s="270"/>
      <c r="AM275" s="663"/>
      <c r="AN275" s="663"/>
      <c r="AO275" s="708" t="str">
        <f>IF(OR(Table1[[#This Row],[Início Setup Envase]]="",Table1[[#This Row],[Final Setup Envase]]=""),"",Table1[[#This Row],[Final Setup Envase]]-Table1[[#This Row],[Início Setup Envase]])</f>
        <v/>
      </c>
      <c r="AP275" s="663"/>
      <c r="AQ275" s="663"/>
      <c r="AR275" s="270"/>
      <c r="AS275" s="270"/>
      <c r="AT275" s="270"/>
      <c r="AU275" s="270"/>
      <c r="AV275" s="270"/>
      <c r="AW275" s="270"/>
      <c r="AX275" s="270"/>
      <c r="AY275" s="270"/>
      <c r="AZ275" s="270"/>
      <c r="BA275" s="270">
        <f>IF(Table1[[#This Row],[Data de Início]]="","",YEAR(Table1[[#This Row],[Data de Início]]))</f>
        <v>2025</v>
      </c>
      <c r="BB275" s="270">
        <f>IF(Table1[[#This Row],[Data de Início]]="","",MONTH(Table1[[#This Row],[Data de Início]]))</f>
        <v>7</v>
      </c>
      <c r="BC275" s="270"/>
    </row>
    <row r="276" spans="2:55" ht="15" customHeight="1" x14ac:dyDescent="0.25">
      <c r="B276" s="470">
        <v>45866.305555555555</v>
      </c>
      <c r="C276" s="263">
        <v>45866.479166666664</v>
      </c>
      <c r="D276" s="264" cm="1">
        <f t="array" ref="D276">IFERROR(HorasUteisFabrica2Turnos(B276,C276), "")</f>
        <v>4.1666666666278616</v>
      </c>
      <c r="E276" s="265">
        <f t="shared" si="4"/>
        <v>610.56000000568633</v>
      </c>
      <c r="F276" s="266" t="s">
        <v>377</v>
      </c>
      <c r="G276" s="266" t="s">
        <v>470</v>
      </c>
      <c r="H276" s="266"/>
      <c r="I276" s="269" t="s">
        <v>509</v>
      </c>
      <c r="J276" s="267" t="s">
        <v>15</v>
      </c>
      <c r="K276" s="269">
        <v>2544</v>
      </c>
      <c r="L276" s="269" t="s">
        <v>211</v>
      </c>
      <c r="M276" s="270" t="str">
        <f>IFERROR(INDEX([1]Produtos!$C:$C,MATCH(L276,[1]Produtos!$B:$B,0)), "-")</f>
        <v>BODY SPLASH AURORA IMPERIAL</v>
      </c>
      <c r="N276" s="510">
        <f>IFERROR(INDEX([1]Produtos!$E:$E,MATCH(L276,[1]Produtos!$B:$B,0)), "-")</f>
        <v>220</v>
      </c>
      <c r="O276" s="270" t="str">
        <f>IFERROR(INDEX([1]Produtos!$F:$F,MATCH(L276,[1]Produtos!$B:$B,0)), "-")</f>
        <v>ml</v>
      </c>
      <c r="P276" s="270" t="str">
        <f>IFERROR(INDEX([1]Produtos!$G:$G,MATCH(L276,[1]Produtos!$B:$B,0)), "-")</f>
        <v>MISS RÔSE</v>
      </c>
      <c r="Q276" s="270" t="str">
        <f>IFERROR(INDEX([1]Produtos!$H:$H,MATCH(L276,[1]Produtos!$B:$B,0)), "-")</f>
        <v>PERFUMARIA</v>
      </c>
      <c r="R276" s="270" t="str">
        <f>IFERROR(INDEX([1]Produtos!$I:$I,MATCH(L276,[1]Produtos!$B:$B,0)), "-")</f>
        <v>BODY SPLASH</v>
      </c>
      <c r="S276" s="270" t="str">
        <f>IFERROR(INDEX([1]Produtos!$J:$J,MATCH(L276,[1]Produtos!$B:$B,0)), "-")</f>
        <v>LÍQUIDO</v>
      </c>
      <c r="T276" s="474"/>
      <c r="U276" s="270"/>
      <c r="V276" s="270"/>
      <c r="W276" s="270"/>
      <c r="X276" s="270"/>
      <c r="Y276" s="270"/>
      <c r="Z276" s="270"/>
      <c r="AA276" s="270"/>
      <c r="AB276" s="270"/>
      <c r="AC276" s="270"/>
      <c r="AD276" s="270"/>
      <c r="AE276" s="270"/>
      <c r="AF276" s="270"/>
      <c r="AG276" s="270"/>
      <c r="AH276" s="270"/>
      <c r="AI276" s="270"/>
      <c r="AJ276" s="270"/>
      <c r="AK276" s="270"/>
      <c r="AL276" s="270"/>
      <c r="AM276" s="663"/>
      <c r="AN276" s="663"/>
      <c r="AO276" s="708" t="str">
        <f>IF(OR(Table1[[#This Row],[Início Setup Envase]]="",Table1[[#This Row],[Final Setup Envase]]=""),"",Table1[[#This Row],[Final Setup Envase]]-Table1[[#This Row],[Início Setup Envase]])</f>
        <v/>
      </c>
      <c r="AP276" s="663"/>
      <c r="AQ276" s="663"/>
      <c r="AR276" s="270"/>
      <c r="AS276" s="270"/>
      <c r="AT276" s="270"/>
      <c r="AU276" s="270"/>
      <c r="AV276" s="270"/>
      <c r="AW276" s="270"/>
      <c r="AX276" s="270"/>
      <c r="AY276" s="270"/>
      <c r="AZ276" s="270"/>
      <c r="BA276" s="270">
        <f>IF(Table1[[#This Row],[Data de Início]]="","",YEAR(Table1[[#This Row],[Data de Início]]))</f>
        <v>2025</v>
      </c>
      <c r="BB276" s="270">
        <f>IF(Table1[[#This Row],[Data de Início]]="","",MONTH(Table1[[#This Row],[Data de Início]]))</f>
        <v>7</v>
      </c>
      <c r="BC276" s="270"/>
    </row>
    <row r="277" spans="2:55" ht="15" customHeight="1" x14ac:dyDescent="0.25">
      <c r="B277" s="470">
        <v>45866.402777777781</v>
      </c>
      <c r="C277" s="263">
        <v>45866.5625</v>
      </c>
      <c r="D277" s="264" cm="1">
        <f t="array" ref="D277">IFERROR(HorasUteisFabrica2Turnos(B277,C277), "")</f>
        <v>2.8333333332557231</v>
      </c>
      <c r="E277" s="265">
        <f t="shared" si="4"/>
        <v>592.94117648682993</v>
      </c>
      <c r="F277" s="266" t="s">
        <v>378</v>
      </c>
      <c r="G277" s="266" t="s">
        <v>475</v>
      </c>
      <c r="H277" s="266"/>
      <c r="I277" s="269" t="s">
        <v>512</v>
      </c>
      <c r="J277" s="267" t="s">
        <v>15</v>
      </c>
      <c r="K277" s="269">
        <v>1680</v>
      </c>
      <c r="L277" s="269" t="s">
        <v>478</v>
      </c>
      <c r="M277" s="270" t="str">
        <f>IFERROR(INDEX([1]Produtos!$C:$C,MATCH(L277,[1]Produtos!$B:$B,0)), "-")</f>
        <v>ÁGUA MICELAR 3 EM 1</v>
      </c>
      <c r="N277" s="510">
        <f>IFERROR(INDEX([1]Produtos!$E:$E,MATCH(L277,[1]Produtos!$B:$B,0)), "-")</f>
        <v>325</v>
      </c>
      <c r="O277" s="270" t="str">
        <f>IFERROR(INDEX([1]Produtos!$F:$F,MATCH(L277,[1]Produtos!$B:$B,0)), "-")</f>
        <v>ml</v>
      </c>
      <c r="P277" s="270" t="str">
        <f>IFERROR(INDEX([1]Produtos!$G:$G,MATCH(L277,[1]Produtos!$B:$B,0)), "-")</f>
        <v>GLOW MAKE UP</v>
      </c>
      <c r="Q277" s="270" t="str">
        <f>IFERROR(INDEX([1]Produtos!$H:$H,MATCH(L277,[1]Produtos!$B:$B,0)), "-")</f>
        <v>MAQUIAGEM</v>
      </c>
      <c r="R277" s="270" t="str">
        <f>IFERROR(INDEX([1]Produtos!$I:$I,MATCH(L277,[1]Produtos!$B:$B,0)), "-")</f>
        <v>ÁGUA MICELAR</v>
      </c>
      <c r="S277" s="270" t="str">
        <f>IFERROR(INDEX([1]Produtos!$J:$J,MATCH(L277,[1]Produtos!$B:$B,0)), "-")</f>
        <v>LÍQUIDO</v>
      </c>
      <c r="T277" s="474"/>
      <c r="U277" s="270"/>
      <c r="V277" s="270"/>
      <c r="W277" s="270"/>
      <c r="X277" s="270"/>
      <c r="Y277" s="270"/>
      <c r="Z277" s="270"/>
      <c r="AA277" s="270"/>
      <c r="AB277" s="270"/>
      <c r="AC277" s="270"/>
      <c r="AD277" s="270"/>
      <c r="AE277" s="270"/>
      <c r="AF277" s="270"/>
      <c r="AG277" s="270"/>
      <c r="AH277" s="270"/>
      <c r="AI277" s="270"/>
      <c r="AJ277" s="270"/>
      <c r="AK277" s="270"/>
      <c r="AL277" s="270"/>
      <c r="AM277" s="663"/>
      <c r="AN277" s="663"/>
      <c r="AO277" s="708" t="str">
        <f>IF(OR(Table1[[#This Row],[Início Setup Envase]]="",Table1[[#This Row],[Final Setup Envase]]=""),"",Table1[[#This Row],[Final Setup Envase]]-Table1[[#This Row],[Início Setup Envase]])</f>
        <v/>
      </c>
      <c r="AP277" s="663"/>
      <c r="AQ277" s="663"/>
      <c r="AR277" s="270"/>
      <c r="AS277" s="270"/>
      <c r="AT277" s="270"/>
      <c r="AU277" s="270"/>
      <c r="AV277" s="270"/>
      <c r="AW277" s="270"/>
      <c r="AX277" s="270"/>
      <c r="AY277" s="270"/>
      <c r="AZ277" s="270"/>
      <c r="BA277" s="270">
        <f>IF(Table1[[#This Row],[Data de Início]]="","",YEAR(Table1[[#This Row],[Data de Início]]))</f>
        <v>2025</v>
      </c>
      <c r="BB277" s="270">
        <f>IF(Table1[[#This Row],[Data de Início]]="","",MONTH(Table1[[#This Row],[Data de Início]]))</f>
        <v>7</v>
      </c>
      <c r="BC277" s="270"/>
    </row>
    <row r="278" spans="2:55" ht="15" customHeight="1" x14ac:dyDescent="0.25">
      <c r="B278" s="470">
        <v>45866.479166666664</v>
      </c>
      <c r="C278" s="263">
        <v>45866.694444444445</v>
      </c>
      <c r="D278" s="264" cm="1">
        <f t="array" ref="D278">IFERROR(HorasUteisFabrica2Turnos(B278,C278), "")</f>
        <v>4.1666666667442769</v>
      </c>
      <c r="E278" s="265">
        <f t="shared" si="4"/>
        <v>610.5599999886274</v>
      </c>
      <c r="F278" s="266" t="s">
        <v>377</v>
      </c>
      <c r="G278" s="266" t="s">
        <v>470</v>
      </c>
      <c r="H278" s="266"/>
      <c r="I278" s="269" t="s">
        <v>510</v>
      </c>
      <c r="J278" s="267" t="s">
        <v>15</v>
      </c>
      <c r="K278" s="269">
        <v>2544</v>
      </c>
      <c r="L278" s="269" t="s">
        <v>211</v>
      </c>
      <c r="M278" s="270" t="str">
        <f>IFERROR(INDEX([1]Produtos!$C:$C,MATCH(L278,[1]Produtos!$B:$B,0)), "-")</f>
        <v>BODY SPLASH AURORA IMPERIAL</v>
      </c>
      <c r="N278" s="510">
        <f>IFERROR(INDEX([1]Produtos!$E:$E,MATCH(L278,[1]Produtos!$B:$B,0)), "-")</f>
        <v>220</v>
      </c>
      <c r="O278" s="270" t="str">
        <f>IFERROR(INDEX([1]Produtos!$F:$F,MATCH(L278,[1]Produtos!$B:$B,0)), "-")</f>
        <v>ml</v>
      </c>
      <c r="P278" s="270" t="str">
        <f>IFERROR(INDEX([1]Produtos!$G:$G,MATCH(L278,[1]Produtos!$B:$B,0)), "-")</f>
        <v>MISS RÔSE</v>
      </c>
      <c r="Q278" s="270" t="str">
        <f>IFERROR(INDEX([1]Produtos!$H:$H,MATCH(L278,[1]Produtos!$B:$B,0)), "-")</f>
        <v>PERFUMARIA</v>
      </c>
      <c r="R278" s="270" t="str">
        <f>IFERROR(INDEX([1]Produtos!$I:$I,MATCH(L278,[1]Produtos!$B:$B,0)), "-")</f>
        <v>BODY SPLASH</v>
      </c>
      <c r="S278" s="270" t="str">
        <f>IFERROR(INDEX([1]Produtos!$J:$J,MATCH(L278,[1]Produtos!$B:$B,0)), "-")</f>
        <v>LÍQUIDO</v>
      </c>
      <c r="T278" s="474"/>
      <c r="U278" s="270"/>
      <c r="V278" s="270"/>
      <c r="W278" s="270"/>
      <c r="X278" s="270"/>
      <c r="Y278" s="270"/>
      <c r="Z278" s="270"/>
      <c r="AA278" s="270"/>
      <c r="AB278" s="270"/>
      <c r="AC278" s="270"/>
      <c r="AD278" s="270"/>
      <c r="AE278" s="270"/>
      <c r="AF278" s="270"/>
      <c r="AG278" s="270"/>
      <c r="AH278" s="270"/>
      <c r="AI278" s="270"/>
      <c r="AJ278" s="270"/>
      <c r="AK278" s="270"/>
      <c r="AL278" s="270"/>
      <c r="AM278" s="663"/>
      <c r="AN278" s="663"/>
      <c r="AO278" s="708" t="str">
        <f>IF(OR(Table1[[#This Row],[Início Setup Envase]]="",Table1[[#This Row],[Final Setup Envase]]=""),"",Table1[[#This Row],[Final Setup Envase]]-Table1[[#This Row],[Início Setup Envase]])</f>
        <v/>
      </c>
      <c r="AP278" s="663"/>
      <c r="AQ278" s="663"/>
      <c r="AR278" s="270"/>
      <c r="AS278" s="270"/>
      <c r="AT278" s="270"/>
      <c r="AU278" s="270"/>
      <c r="AV278" s="270"/>
      <c r="AW278" s="270"/>
      <c r="AX278" s="270"/>
      <c r="AY278" s="270"/>
      <c r="AZ278" s="270"/>
      <c r="BA278" s="270">
        <f>IF(Table1[[#This Row],[Data de Início]]="","",YEAR(Table1[[#This Row],[Data de Início]]))</f>
        <v>2025</v>
      </c>
      <c r="BB278" s="270">
        <f>IF(Table1[[#This Row],[Data de Início]]="","",MONTH(Table1[[#This Row],[Data de Início]]))</f>
        <v>7</v>
      </c>
      <c r="BC278" s="270"/>
    </row>
    <row r="279" spans="2:55" ht="15" customHeight="1" x14ac:dyDescent="0.25">
      <c r="B279" s="470">
        <v>45866.5625</v>
      </c>
      <c r="C279" s="263">
        <v>45866.703472222223</v>
      </c>
      <c r="D279" s="264" cm="1">
        <f t="array" ref="D279">IFERROR(HorasUteisFabrica2Turnos(B279,C279), "")</f>
        <v>3.3833333333604969</v>
      </c>
      <c r="E279" s="265">
        <f t="shared" si="4"/>
        <v>312.11822659847934</v>
      </c>
      <c r="F279" s="266" t="s">
        <v>378</v>
      </c>
      <c r="G279" s="266" t="s">
        <v>475</v>
      </c>
      <c r="H279" s="266"/>
      <c r="I279" s="269" t="s">
        <v>513</v>
      </c>
      <c r="J279" s="267" t="s">
        <v>15</v>
      </c>
      <c r="K279" s="269">
        <v>1056</v>
      </c>
      <c r="L279" s="269" t="s">
        <v>478</v>
      </c>
      <c r="M279" s="270" t="str">
        <f>IFERROR(INDEX([1]Produtos!$C:$C,MATCH(L279,[1]Produtos!$B:$B,0)), "-")</f>
        <v>ÁGUA MICELAR 3 EM 1</v>
      </c>
      <c r="N279" s="510">
        <f>IFERROR(INDEX([1]Produtos!$E:$E,MATCH(L279,[1]Produtos!$B:$B,0)), "-")</f>
        <v>325</v>
      </c>
      <c r="O279" s="270" t="str">
        <f>IFERROR(INDEX([1]Produtos!$F:$F,MATCH(L279,[1]Produtos!$B:$B,0)), "-")</f>
        <v>ml</v>
      </c>
      <c r="P279" s="270" t="str">
        <f>IFERROR(INDEX([1]Produtos!$G:$G,MATCH(L279,[1]Produtos!$B:$B,0)), "-")</f>
        <v>GLOW MAKE UP</v>
      </c>
      <c r="Q279" s="270" t="str">
        <f>IFERROR(INDEX([1]Produtos!$H:$H,MATCH(L279,[1]Produtos!$B:$B,0)), "-")</f>
        <v>MAQUIAGEM</v>
      </c>
      <c r="R279" s="270" t="str">
        <f>IFERROR(INDEX([1]Produtos!$I:$I,MATCH(L279,[1]Produtos!$B:$B,0)), "-")</f>
        <v>ÁGUA MICELAR</v>
      </c>
      <c r="S279" s="270" t="str">
        <f>IFERROR(INDEX([1]Produtos!$J:$J,MATCH(L279,[1]Produtos!$B:$B,0)), "-")</f>
        <v>LÍQUIDO</v>
      </c>
      <c r="T279" s="474"/>
      <c r="U279" s="270"/>
      <c r="V279" s="270"/>
      <c r="W279" s="270"/>
      <c r="X279" s="270"/>
      <c r="Y279" s="270"/>
      <c r="Z279" s="270"/>
      <c r="AA279" s="270"/>
      <c r="AB279" s="270"/>
      <c r="AC279" s="270"/>
      <c r="AD279" s="270"/>
      <c r="AE279" s="270"/>
      <c r="AF279" s="270"/>
      <c r="AG279" s="270"/>
      <c r="AH279" s="270"/>
      <c r="AI279" s="270"/>
      <c r="AJ279" s="270"/>
      <c r="AK279" s="270"/>
      <c r="AL279" s="270"/>
      <c r="AM279" s="663"/>
      <c r="AN279" s="663"/>
      <c r="AO279" s="708" t="str">
        <f>IF(OR(Table1[[#This Row],[Início Setup Envase]]="",Table1[[#This Row],[Final Setup Envase]]=""),"",Table1[[#This Row],[Final Setup Envase]]-Table1[[#This Row],[Início Setup Envase]])</f>
        <v/>
      </c>
      <c r="AP279" s="663"/>
      <c r="AQ279" s="663"/>
      <c r="AR279" s="270"/>
      <c r="AS279" s="270"/>
      <c r="AT279" s="270"/>
      <c r="AU279" s="270"/>
      <c r="AV279" s="270"/>
      <c r="AW279" s="270"/>
      <c r="AX279" s="270"/>
      <c r="AY279" s="270"/>
      <c r="AZ279" s="270"/>
      <c r="BA279" s="270">
        <f>IF(Table1[[#This Row],[Data de Início]]="","",YEAR(Table1[[#This Row],[Data de Início]]))</f>
        <v>2025</v>
      </c>
      <c r="BB279" s="270">
        <f>IF(Table1[[#This Row],[Data de Início]]="","",MONTH(Table1[[#This Row],[Data de Início]]))</f>
        <v>7</v>
      </c>
      <c r="BC279" s="270"/>
    </row>
    <row r="280" spans="2:55" ht="15" customHeight="1" x14ac:dyDescent="0.25">
      <c r="B280" s="470">
        <v>45866.625</v>
      </c>
      <c r="C280" s="263">
        <v>45866.708333333336</v>
      </c>
      <c r="D280" s="264" cm="1">
        <f t="array" ref="D280">IFERROR(HorasUteisFabrica2Turnos(B280,C280), "")</f>
        <v>2.0000000000582077</v>
      </c>
      <c r="E280" s="265">
        <f t="shared" si="4"/>
        <v>629.99999996791303</v>
      </c>
      <c r="F280" s="266" t="s">
        <v>378</v>
      </c>
      <c r="G280" s="266" t="s">
        <v>475</v>
      </c>
      <c r="H280" s="266"/>
      <c r="I280" s="269" t="s">
        <v>519</v>
      </c>
      <c r="J280" s="267" t="s">
        <v>15</v>
      </c>
      <c r="K280" s="268">
        <v>1259.9999999724969</v>
      </c>
      <c r="L280" s="269" t="s">
        <v>479</v>
      </c>
      <c r="M280" s="270" t="str">
        <f>IFERROR(INDEX([1]Produtos!$C:$C,MATCH(L280,[1]Produtos!$B:$B,0)), "-")</f>
        <v>ÁGUA MICELAR CARVÃO ATIVADO</v>
      </c>
      <c r="N280" s="510">
        <f>IFERROR(INDEX([1]Produtos!$E:$E,MATCH(L280,[1]Produtos!$B:$B,0)), "-")</f>
        <v>325</v>
      </c>
      <c r="O280" s="270" t="str">
        <f>IFERROR(INDEX([1]Produtos!$F:$F,MATCH(L280,[1]Produtos!$B:$B,0)), "-")</f>
        <v>ml</v>
      </c>
      <c r="P280" s="270" t="str">
        <f>IFERROR(INDEX([1]Produtos!$G:$G,MATCH(L280,[1]Produtos!$B:$B,0)), "-")</f>
        <v>GLOW MAKE UP</v>
      </c>
      <c r="Q280" s="270" t="str">
        <f>IFERROR(INDEX([1]Produtos!$H:$H,MATCH(L280,[1]Produtos!$B:$B,0)), "-")</f>
        <v>MAQUIAGEM</v>
      </c>
      <c r="R280" s="270" t="str">
        <f>IFERROR(INDEX([1]Produtos!$I:$I,MATCH(L280,[1]Produtos!$B:$B,0)), "-")</f>
        <v>ÁGUA MICELAR</v>
      </c>
      <c r="S280" s="270" t="str">
        <f>IFERROR(INDEX([1]Produtos!$J:$J,MATCH(L280,[1]Produtos!$B:$B,0)), "-")</f>
        <v>LÍQUIDO</v>
      </c>
      <c r="T280" s="474"/>
      <c r="U280" s="270"/>
      <c r="V280" s="270"/>
      <c r="W280" s="270"/>
      <c r="X280" s="270"/>
      <c r="Y280" s="270"/>
      <c r="Z280" s="270"/>
      <c r="AA280" s="270"/>
      <c r="AB280" s="270"/>
      <c r="AC280" s="270"/>
      <c r="AD280" s="270"/>
      <c r="AE280" s="270"/>
      <c r="AF280" s="270"/>
      <c r="AG280" s="270"/>
      <c r="AH280" s="270"/>
      <c r="AI280" s="270"/>
      <c r="AJ280" s="270"/>
      <c r="AK280" s="270"/>
      <c r="AL280" s="270"/>
      <c r="AM280" s="663"/>
      <c r="AN280" s="663"/>
      <c r="AO280" s="708" t="str">
        <f>IF(OR(Table1[[#This Row],[Início Setup Envase]]="",Table1[[#This Row],[Final Setup Envase]]=""),"",Table1[[#This Row],[Final Setup Envase]]-Table1[[#This Row],[Início Setup Envase]])</f>
        <v/>
      </c>
      <c r="AP280" s="663"/>
      <c r="AQ280" s="663"/>
      <c r="AR280" s="270"/>
      <c r="AS280" s="270"/>
      <c r="AT280" s="270"/>
      <c r="AU280" s="270"/>
      <c r="AV280" s="270"/>
      <c r="AW280" s="270"/>
      <c r="AX280" s="270"/>
      <c r="AY280" s="270"/>
      <c r="AZ280" s="270"/>
      <c r="BA280" s="270">
        <f>IF(Table1[[#This Row],[Data de Início]]="","",YEAR(Table1[[#This Row],[Data de Início]]))</f>
        <v>2025</v>
      </c>
      <c r="BB280" s="270">
        <f>IF(Table1[[#This Row],[Data de Início]]="","",MONTH(Table1[[#This Row],[Data de Início]]))</f>
        <v>7</v>
      </c>
      <c r="BC280" s="270"/>
    </row>
    <row r="281" spans="2:55" ht="15" customHeight="1" x14ac:dyDescent="0.25">
      <c r="B281" s="470">
        <v>45866.645833333336</v>
      </c>
      <c r="C281" s="263">
        <v>45866.708333333336</v>
      </c>
      <c r="D281" s="264" cm="1">
        <f t="array" ref="D281">IFERROR(HorasUteisFabrica2Turnos(B281,C281), "")</f>
        <v>1.5</v>
      </c>
      <c r="E281" s="265">
        <f t="shared" si="4"/>
        <v>403.19999998685716</v>
      </c>
      <c r="F281" s="266" t="s">
        <v>378</v>
      </c>
      <c r="G281" s="266" t="s">
        <v>475</v>
      </c>
      <c r="H281" s="266"/>
      <c r="I281" s="269" t="s">
        <v>511</v>
      </c>
      <c r="J281" s="267" t="s">
        <v>15</v>
      </c>
      <c r="K281" s="268">
        <v>604.79999998028575</v>
      </c>
      <c r="L281" s="269" t="s">
        <v>478</v>
      </c>
      <c r="M281" s="270" t="str">
        <f>IFERROR(INDEX([1]Produtos!$C:$C,MATCH(L281,[1]Produtos!$B:$B,0)), "-")</f>
        <v>ÁGUA MICELAR 3 EM 1</v>
      </c>
      <c r="N281" s="510">
        <f>IFERROR(INDEX([1]Produtos!$E:$E,MATCH(L281,[1]Produtos!$B:$B,0)), "-")</f>
        <v>325</v>
      </c>
      <c r="O281" s="270" t="str">
        <f>IFERROR(INDEX([1]Produtos!$F:$F,MATCH(L281,[1]Produtos!$B:$B,0)), "-")</f>
        <v>ml</v>
      </c>
      <c r="P281" s="270" t="str">
        <f>IFERROR(INDEX([1]Produtos!$G:$G,MATCH(L281,[1]Produtos!$B:$B,0)), "-")</f>
        <v>GLOW MAKE UP</v>
      </c>
      <c r="Q281" s="270" t="str">
        <f>IFERROR(INDEX([1]Produtos!$H:$H,MATCH(L281,[1]Produtos!$B:$B,0)), "-")</f>
        <v>MAQUIAGEM</v>
      </c>
      <c r="R281" s="270" t="str">
        <f>IFERROR(INDEX([1]Produtos!$I:$I,MATCH(L281,[1]Produtos!$B:$B,0)), "-")</f>
        <v>ÁGUA MICELAR</v>
      </c>
      <c r="S281" s="270" t="str">
        <f>IFERROR(INDEX([1]Produtos!$J:$J,MATCH(L281,[1]Produtos!$B:$B,0)), "-")</f>
        <v>LÍQUIDO</v>
      </c>
      <c r="T281" s="474"/>
      <c r="U281" s="270"/>
      <c r="V281" s="270"/>
      <c r="W281" s="270"/>
      <c r="X281" s="270"/>
      <c r="Y281" s="270"/>
      <c r="Z281" s="270"/>
      <c r="AA281" s="270"/>
      <c r="AB281" s="270"/>
      <c r="AC281" s="270"/>
      <c r="AD281" s="270"/>
      <c r="AE281" s="270"/>
      <c r="AF281" s="270"/>
      <c r="AG281" s="270"/>
      <c r="AH281" s="270"/>
      <c r="AI281" s="270"/>
      <c r="AJ281" s="270"/>
      <c r="AK281" s="270"/>
      <c r="AL281" s="270"/>
      <c r="AM281" s="663"/>
      <c r="AN281" s="663"/>
      <c r="AO281" s="708" t="str">
        <f>IF(OR(Table1[[#This Row],[Início Setup Envase]]="",Table1[[#This Row],[Final Setup Envase]]=""),"",Table1[[#This Row],[Final Setup Envase]]-Table1[[#This Row],[Início Setup Envase]])</f>
        <v/>
      </c>
      <c r="AP281" s="663"/>
      <c r="AQ281" s="663"/>
      <c r="AR281" s="270"/>
      <c r="AS281" s="270"/>
      <c r="AT281" s="270"/>
      <c r="AU281" s="270"/>
      <c r="AV281" s="270"/>
      <c r="AW281" s="270"/>
      <c r="AX281" s="270"/>
      <c r="AY281" s="270"/>
      <c r="AZ281" s="270"/>
      <c r="BA281" s="270">
        <f>IF(Table1[[#This Row],[Data de Início]]="","",YEAR(Table1[[#This Row],[Data de Início]]))</f>
        <v>2025</v>
      </c>
      <c r="BB281" s="270">
        <f>IF(Table1[[#This Row],[Data de Início]]="","",MONTH(Table1[[#This Row],[Data de Início]]))</f>
        <v>7</v>
      </c>
      <c r="BC281" s="270"/>
    </row>
    <row r="282" spans="2:55" ht="15" customHeight="1" x14ac:dyDescent="0.25">
      <c r="B282" s="470">
        <v>45866.694444444445</v>
      </c>
      <c r="C282" s="263">
        <v>45866.708333333336</v>
      </c>
      <c r="D282" s="264" cm="1">
        <f t="array" ref="D282">IFERROR(HorasUteisFabrica2Turnos(B282,C282), "")</f>
        <v>0.33333333337213844</v>
      </c>
      <c r="E282" s="265">
        <f t="shared" si="4"/>
        <v>617.97570847988834</v>
      </c>
      <c r="F282" s="266" t="s">
        <v>377</v>
      </c>
      <c r="G282" s="266" t="s">
        <v>470</v>
      </c>
      <c r="H282" s="266"/>
      <c r="I282" s="269" t="s">
        <v>525</v>
      </c>
      <c r="J282" s="267" t="s">
        <v>15</v>
      </c>
      <c r="K282" s="268">
        <v>205.99190285061007</v>
      </c>
      <c r="L282" s="269" t="s">
        <v>211</v>
      </c>
      <c r="M282" s="270" t="str">
        <f>IFERROR(INDEX([1]Produtos!$C:$C,MATCH(L282,[1]Produtos!$B:$B,0)), "-")</f>
        <v>BODY SPLASH AURORA IMPERIAL</v>
      </c>
      <c r="N282" s="510">
        <f>IFERROR(INDEX([1]Produtos!$E:$E,MATCH(L282,[1]Produtos!$B:$B,0)), "-")</f>
        <v>220</v>
      </c>
      <c r="O282" s="270" t="str">
        <f>IFERROR(INDEX([1]Produtos!$F:$F,MATCH(L282,[1]Produtos!$B:$B,0)), "-")</f>
        <v>ml</v>
      </c>
      <c r="P282" s="270" t="str">
        <f>IFERROR(INDEX([1]Produtos!$G:$G,MATCH(L282,[1]Produtos!$B:$B,0)), "-")</f>
        <v>MISS RÔSE</v>
      </c>
      <c r="Q282" s="270" t="str">
        <f>IFERROR(INDEX([1]Produtos!$H:$H,MATCH(L282,[1]Produtos!$B:$B,0)), "-")</f>
        <v>PERFUMARIA</v>
      </c>
      <c r="R282" s="270" t="str">
        <f>IFERROR(INDEX([1]Produtos!$I:$I,MATCH(L282,[1]Produtos!$B:$B,0)), "-")</f>
        <v>BODY SPLASH</v>
      </c>
      <c r="S282" s="270" t="str">
        <f>IFERROR(INDEX([1]Produtos!$J:$J,MATCH(L282,[1]Produtos!$B:$B,0)), "-")</f>
        <v>LÍQUIDO</v>
      </c>
      <c r="T282" s="474"/>
      <c r="U282" s="270"/>
      <c r="V282" s="270"/>
      <c r="W282" s="270"/>
      <c r="X282" s="270"/>
      <c r="Y282" s="270"/>
      <c r="Z282" s="270"/>
      <c r="AA282" s="270"/>
      <c r="AB282" s="270"/>
      <c r="AC282" s="270"/>
      <c r="AD282" s="270"/>
      <c r="AE282" s="270"/>
      <c r="AF282" s="270"/>
      <c r="AG282" s="270"/>
      <c r="AH282" s="270"/>
      <c r="AI282" s="270"/>
      <c r="AJ282" s="270"/>
      <c r="AK282" s="270"/>
      <c r="AL282" s="270"/>
      <c r="AM282" s="663"/>
      <c r="AN282" s="663"/>
      <c r="AO282" s="708" t="str">
        <f>IF(OR(Table1[[#This Row],[Início Setup Envase]]="",Table1[[#This Row],[Final Setup Envase]]=""),"",Table1[[#This Row],[Final Setup Envase]]-Table1[[#This Row],[Início Setup Envase]])</f>
        <v/>
      </c>
      <c r="AP282" s="663"/>
      <c r="AQ282" s="663"/>
      <c r="AR282" s="270"/>
      <c r="AS282" s="270"/>
      <c r="AT282" s="270"/>
      <c r="AU282" s="270"/>
      <c r="AV282" s="270"/>
      <c r="AW282" s="270"/>
      <c r="AX282" s="270"/>
      <c r="AY282" s="270"/>
      <c r="AZ282" s="270"/>
      <c r="BA282" s="270">
        <f>IF(Table1[[#This Row],[Data de Início]]="","",YEAR(Table1[[#This Row],[Data de Início]]))</f>
        <v>2025</v>
      </c>
      <c r="BB282" s="270">
        <f>IF(Table1[[#This Row],[Data de Início]]="","",MONTH(Table1[[#This Row],[Data de Início]]))</f>
        <v>7</v>
      </c>
      <c r="BC282" s="270"/>
    </row>
    <row r="283" spans="2:55" ht="15" customHeight="1" x14ac:dyDescent="0.25">
      <c r="B283" s="470">
        <v>45867.291666666664</v>
      </c>
      <c r="C283" s="263">
        <v>45867.402777777781</v>
      </c>
      <c r="D283" s="264" cm="1">
        <f t="array" ref="D283">IFERROR(HorasUteisFabrica2Turnos(B283,C283), "")</f>
        <v>2.6666666668024845</v>
      </c>
      <c r="E283" s="265">
        <f t="shared" si="4"/>
        <v>403.19999998685716</v>
      </c>
      <c r="F283" s="266" t="s">
        <v>378</v>
      </c>
      <c r="G283" s="266" t="s">
        <v>475</v>
      </c>
      <c r="H283" s="266"/>
      <c r="I283" s="269" t="s">
        <v>511</v>
      </c>
      <c r="J283" s="267" t="s">
        <v>15</v>
      </c>
      <c r="K283" s="268">
        <v>1075.2000000197143</v>
      </c>
      <c r="L283" s="269" t="s">
        <v>478</v>
      </c>
      <c r="M283" s="270" t="str">
        <f>IFERROR(INDEX([1]Produtos!$C:$C,MATCH(L283,[1]Produtos!$B:$B,0)), "-")</f>
        <v>ÁGUA MICELAR 3 EM 1</v>
      </c>
      <c r="N283" s="510">
        <f>IFERROR(INDEX([1]Produtos!$E:$E,MATCH(L283,[1]Produtos!$B:$B,0)), "-")</f>
        <v>325</v>
      </c>
      <c r="O283" s="270" t="str">
        <f>IFERROR(INDEX([1]Produtos!$F:$F,MATCH(L283,[1]Produtos!$B:$B,0)), "-")</f>
        <v>ml</v>
      </c>
      <c r="P283" s="270" t="str">
        <f>IFERROR(INDEX([1]Produtos!$G:$G,MATCH(L283,[1]Produtos!$B:$B,0)), "-")</f>
        <v>GLOW MAKE UP</v>
      </c>
      <c r="Q283" s="270" t="str">
        <f>IFERROR(INDEX([1]Produtos!$H:$H,MATCH(L283,[1]Produtos!$B:$B,0)), "-")</f>
        <v>MAQUIAGEM</v>
      </c>
      <c r="R283" s="270" t="str">
        <f>IFERROR(INDEX([1]Produtos!$I:$I,MATCH(L283,[1]Produtos!$B:$B,0)), "-")</f>
        <v>ÁGUA MICELAR</v>
      </c>
      <c r="S283" s="270" t="str">
        <f>IFERROR(INDEX([1]Produtos!$J:$J,MATCH(L283,[1]Produtos!$B:$B,0)), "-")</f>
        <v>LÍQUIDO</v>
      </c>
      <c r="T283" s="474"/>
      <c r="U283" s="270"/>
      <c r="V283" s="270"/>
      <c r="W283" s="270"/>
      <c r="X283" s="270"/>
      <c r="Y283" s="270"/>
      <c r="Z283" s="270"/>
      <c r="AA283" s="270"/>
      <c r="AB283" s="270"/>
      <c r="AC283" s="270"/>
      <c r="AD283" s="270"/>
      <c r="AE283" s="270"/>
      <c r="AF283" s="270"/>
      <c r="AG283" s="270"/>
      <c r="AH283" s="270"/>
      <c r="AI283" s="270"/>
      <c r="AJ283" s="270"/>
      <c r="AK283" s="270"/>
      <c r="AL283" s="270"/>
      <c r="AM283" s="663"/>
      <c r="AN283" s="663"/>
      <c r="AO283" s="708" t="str">
        <f>IF(OR(Table1[[#This Row],[Início Setup Envase]]="",Table1[[#This Row],[Final Setup Envase]]=""),"",Table1[[#This Row],[Final Setup Envase]]-Table1[[#This Row],[Início Setup Envase]])</f>
        <v/>
      </c>
      <c r="AP283" s="663"/>
      <c r="AQ283" s="663"/>
      <c r="AR283" s="270"/>
      <c r="AS283" s="270"/>
      <c r="AT283" s="270"/>
      <c r="AU283" s="270"/>
      <c r="AV283" s="270"/>
      <c r="AW283" s="270"/>
      <c r="AX283" s="270"/>
      <c r="AY283" s="270"/>
      <c r="AZ283" s="270"/>
      <c r="BA283" s="270">
        <f>IF(Table1[[#This Row],[Data de Início]]="","",YEAR(Table1[[#This Row],[Data de Início]]))</f>
        <v>2025</v>
      </c>
      <c r="BB283" s="270">
        <f>IF(Table1[[#This Row],[Data de Início]]="","",MONTH(Table1[[#This Row],[Data de Início]]))</f>
        <v>7</v>
      </c>
      <c r="BC283" s="270"/>
    </row>
    <row r="284" spans="2:55" ht="15" customHeight="1" x14ac:dyDescent="0.25">
      <c r="B284" s="470">
        <v>45867.291666666664</v>
      </c>
      <c r="C284" s="263">
        <v>45867.319444444445</v>
      </c>
      <c r="D284" s="264" cm="1">
        <f t="array" ref="D284">IFERROR(HorasUteisFabrica2Turnos(B284,C284), "")</f>
        <v>0.66666666674427688</v>
      </c>
      <c r="E284" s="265">
        <f t="shared" si="4"/>
        <v>629.99999996791303</v>
      </c>
      <c r="F284" s="266" t="s">
        <v>378</v>
      </c>
      <c r="G284" s="266" t="s">
        <v>475</v>
      </c>
      <c r="H284" s="266"/>
      <c r="I284" s="269" t="s">
        <v>519</v>
      </c>
      <c r="J284" s="267" t="s">
        <v>15</v>
      </c>
      <c r="K284" s="268">
        <v>420.00000002750312</v>
      </c>
      <c r="L284" s="269" t="s">
        <v>479</v>
      </c>
      <c r="M284" s="270" t="str">
        <f>IFERROR(INDEX([1]Produtos!$C:$C,MATCH(L284,[1]Produtos!$B:$B,0)), "-")</f>
        <v>ÁGUA MICELAR CARVÃO ATIVADO</v>
      </c>
      <c r="N284" s="510">
        <f>IFERROR(INDEX([1]Produtos!$E:$E,MATCH(L284,[1]Produtos!$B:$B,0)), "-")</f>
        <v>325</v>
      </c>
      <c r="O284" s="270" t="str">
        <f>IFERROR(INDEX([1]Produtos!$F:$F,MATCH(L284,[1]Produtos!$B:$B,0)), "-")</f>
        <v>ml</v>
      </c>
      <c r="P284" s="270" t="str">
        <f>IFERROR(INDEX([1]Produtos!$G:$G,MATCH(L284,[1]Produtos!$B:$B,0)), "-")</f>
        <v>GLOW MAKE UP</v>
      </c>
      <c r="Q284" s="270" t="str">
        <f>IFERROR(INDEX([1]Produtos!$H:$H,MATCH(L284,[1]Produtos!$B:$B,0)), "-")</f>
        <v>MAQUIAGEM</v>
      </c>
      <c r="R284" s="270" t="str">
        <f>IFERROR(INDEX([1]Produtos!$I:$I,MATCH(L284,[1]Produtos!$B:$B,0)), "-")</f>
        <v>ÁGUA MICELAR</v>
      </c>
      <c r="S284" s="270" t="str">
        <f>IFERROR(INDEX([1]Produtos!$J:$J,MATCH(L284,[1]Produtos!$B:$B,0)), "-")</f>
        <v>LÍQUIDO</v>
      </c>
      <c r="T284" s="474"/>
      <c r="U284" s="270"/>
      <c r="V284" s="270"/>
      <c r="W284" s="270"/>
      <c r="X284" s="270"/>
      <c r="Y284" s="270"/>
      <c r="Z284" s="270"/>
      <c r="AA284" s="270"/>
      <c r="AB284" s="270"/>
      <c r="AC284" s="270"/>
      <c r="AD284" s="270"/>
      <c r="AE284" s="270"/>
      <c r="AF284" s="270"/>
      <c r="AG284" s="270"/>
      <c r="AH284" s="270"/>
      <c r="AI284" s="270"/>
      <c r="AJ284" s="270"/>
      <c r="AK284" s="270"/>
      <c r="AL284" s="270"/>
      <c r="AM284" s="663"/>
      <c r="AN284" s="663"/>
      <c r="AO284" s="708" t="str">
        <f>IF(OR(Table1[[#This Row],[Início Setup Envase]]="",Table1[[#This Row],[Final Setup Envase]]=""),"",Table1[[#This Row],[Final Setup Envase]]-Table1[[#This Row],[Início Setup Envase]])</f>
        <v/>
      </c>
      <c r="AP284" s="663"/>
      <c r="AQ284" s="663"/>
      <c r="AR284" s="270"/>
      <c r="AS284" s="270"/>
      <c r="AT284" s="270"/>
      <c r="AU284" s="270"/>
      <c r="AV284" s="270"/>
      <c r="AW284" s="270"/>
      <c r="AX284" s="270"/>
      <c r="AY284" s="270"/>
      <c r="AZ284" s="270"/>
      <c r="BA284" s="270">
        <f>IF(Table1[[#This Row],[Data de Início]]="","",YEAR(Table1[[#This Row],[Data de Início]]))</f>
        <v>2025</v>
      </c>
      <c r="BB284" s="270">
        <f>IF(Table1[[#This Row],[Data de Início]]="","",MONTH(Table1[[#This Row],[Data de Início]]))</f>
        <v>7</v>
      </c>
      <c r="BC284" s="270"/>
    </row>
    <row r="285" spans="2:55" ht="15" customHeight="1" x14ac:dyDescent="0.25">
      <c r="B285" s="470">
        <v>45867.291666666664</v>
      </c>
      <c r="C285" s="263">
        <v>45867.449305555558</v>
      </c>
      <c r="D285" s="264" cm="1">
        <f t="array" ref="D285">IFERROR(HorasUteisFabrica2Turnos(B285,C285), "")</f>
        <v>3.7833333334419876</v>
      </c>
      <c r="E285" s="265">
        <f t="shared" si="4"/>
        <v>617.97570847988834</v>
      </c>
      <c r="F285" s="266" t="s">
        <v>377</v>
      </c>
      <c r="G285" s="266" t="s">
        <v>470</v>
      </c>
      <c r="H285" s="266"/>
      <c r="I285" s="269" t="s">
        <v>525</v>
      </c>
      <c r="J285" s="267" t="s">
        <v>15</v>
      </c>
      <c r="K285" s="268">
        <v>2338.0080971493899</v>
      </c>
      <c r="L285" s="269" t="s">
        <v>211</v>
      </c>
      <c r="M285" s="270" t="str">
        <f>IFERROR(INDEX([1]Produtos!$C:$C,MATCH(L285,[1]Produtos!$B:$B,0)), "-")</f>
        <v>BODY SPLASH AURORA IMPERIAL</v>
      </c>
      <c r="N285" s="510">
        <f>IFERROR(INDEX([1]Produtos!$E:$E,MATCH(L285,[1]Produtos!$B:$B,0)), "-")</f>
        <v>220</v>
      </c>
      <c r="O285" s="270" t="str">
        <f>IFERROR(INDEX([1]Produtos!$F:$F,MATCH(L285,[1]Produtos!$B:$B,0)), "-")</f>
        <v>ml</v>
      </c>
      <c r="P285" s="270" t="str">
        <f>IFERROR(INDEX([1]Produtos!$G:$G,MATCH(L285,[1]Produtos!$B:$B,0)), "-")</f>
        <v>MISS RÔSE</v>
      </c>
      <c r="Q285" s="270" t="str">
        <f>IFERROR(INDEX([1]Produtos!$H:$H,MATCH(L285,[1]Produtos!$B:$B,0)), "-")</f>
        <v>PERFUMARIA</v>
      </c>
      <c r="R285" s="270" t="str">
        <f>IFERROR(INDEX([1]Produtos!$I:$I,MATCH(L285,[1]Produtos!$B:$B,0)), "-")</f>
        <v>BODY SPLASH</v>
      </c>
      <c r="S285" s="270" t="str">
        <f>IFERROR(INDEX([1]Produtos!$J:$J,MATCH(L285,[1]Produtos!$B:$B,0)), "-")</f>
        <v>LÍQUIDO</v>
      </c>
      <c r="T285" s="474"/>
      <c r="U285" s="270"/>
      <c r="V285" s="270"/>
      <c r="W285" s="270"/>
      <c r="X285" s="270"/>
      <c r="Y285" s="270"/>
      <c r="Z285" s="270"/>
      <c r="AA285" s="270"/>
      <c r="AB285" s="270"/>
      <c r="AC285" s="270"/>
      <c r="AD285" s="270"/>
      <c r="AE285" s="270"/>
      <c r="AF285" s="270"/>
      <c r="AG285" s="270"/>
      <c r="AH285" s="270"/>
      <c r="AI285" s="270"/>
      <c r="AJ285" s="270"/>
      <c r="AK285" s="270"/>
      <c r="AL285" s="270"/>
      <c r="AM285" s="663"/>
      <c r="AN285" s="663"/>
      <c r="AO285" s="708" t="str">
        <f>IF(OR(Table1[[#This Row],[Início Setup Envase]]="",Table1[[#This Row],[Final Setup Envase]]=""),"",Table1[[#This Row],[Final Setup Envase]]-Table1[[#This Row],[Início Setup Envase]])</f>
        <v/>
      </c>
      <c r="AP285" s="663"/>
      <c r="AQ285" s="663"/>
      <c r="AR285" s="270"/>
      <c r="AS285" s="270"/>
      <c r="AT285" s="270"/>
      <c r="AU285" s="270"/>
      <c r="AV285" s="270"/>
      <c r="AW285" s="270"/>
      <c r="AX285" s="270"/>
      <c r="AY285" s="270"/>
      <c r="AZ285" s="270"/>
      <c r="BA285" s="270">
        <f>IF(Table1[[#This Row],[Data de Início]]="","",YEAR(Table1[[#This Row],[Data de Início]]))</f>
        <v>2025</v>
      </c>
      <c r="BB285" s="270">
        <f>IF(Table1[[#This Row],[Data de Início]]="","",MONTH(Table1[[#This Row],[Data de Início]]))</f>
        <v>7</v>
      </c>
      <c r="BC285" s="270"/>
    </row>
    <row r="286" spans="2:55" ht="15" customHeight="1" x14ac:dyDescent="0.25">
      <c r="B286" s="470">
        <v>45867.319444444445</v>
      </c>
      <c r="C286" s="263">
        <v>45867.419444444444</v>
      </c>
      <c r="D286" s="264" cm="1">
        <f t="array" ref="D286">IFERROR(HorasUteisFabrica2Turnos(B286,C286), "")</f>
        <v>2.3999999999650754</v>
      </c>
      <c r="E286" s="265">
        <f t="shared" si="4"/>
        <v>700.00000001018634</v>
      </c>
      <c r="F286" s="266" t="s">
        <v>378</v>
      </c>
      <c r="G286" s="266" t="s">
        <v>475</v>
      </c>
      <c r="H286" s="266"/>
      <c r="I286" s="269" t="s">
        <v>520</v>
      </c>
      <c r="J286" s="267" t="s">
        <v>15</v>
      </c>
      <c r="K286" s="268">
        <v>1680</v>
      </c>
      <c r="L286" s="269" t="s">
        <v>479</v>
      </c>
      <c r="M286" s="270" t="str">
        <f>IFERROR(INDEX([1]Produtos!$C:$C,MATCH(L286,[1]Produtos!$B:$B,0)), "-")</f>
        <v>ÁGUA MICELAR CARVÃO ATIVADO</v>
      </c>
      <c r="N286" s="510">
        <f>IFERROR(INDEX([1]Produtos!$E:$E,MATCH(L286,[1]Produtos!$B:$B,0)), "-")</f>
        <v>325</v>
      </c>
      <c r="O286" s="270" t="str">
        <f>IFERROR(INDEX([1]Produtos!$F:$F,MATCH(L286,[1]Produtos!$B:$B,0)), "-")</f>
        <v>ml</v>
      </c>
      <c r="P286" s="270" t="str">
        <f>IFERROR(INDEX([1]Produtos!$G:$G,MATCH(L286,[1]Produtos!$B:$B,0)), "-")</f>
        <v>GLOW MAKE UP</v>
      </c>
      <c r="Q286" s="270" t="str">
        <f>IFERROR(INDEX([1]Produtos!$H:$H,MATCH(L286,[1]Produtos!$B:$B,0)), "-")</f>
        <v>MAQUIAGEM</v>
      </c>
      <c r="R286" s="270" t="str">
        <f>IFERROR(INDEX([1]Produtos!$I:$I,MATCH(L286,[1]Produtos!$B:$B,0)), "-")</f>
        <v>ÁGUA MICELAR</v>
      </c>
      <c r="S286" s="270" t="str">
        <f>IFERROR(INDEX([1]Produtos!$J:$J,MATCH(L286,[1]Produtos!$B:$B,0)), "-")</f>
        <v>LÍQUIDO</v>
      </c>
      <c r="T286" s="474"/>
      <c r="U286" s="270"/>
      <c r="V286" s="270"/>
      <c r="W286" s="270"/>
      <c r="X286" s="270"/>
      <c r="Y286" s="270"/>
      <c r="Z286" s="270"/>
      <c r="AA286" s="270"/>
      <c r="AB286" s="270"/>
      <c r="AC286" s="270"/>
      <c r="AD286" s="270"/>
      <c r="AE286" s="270"/>
      <c r="AF286" s="270"/>
      <c r="AG286" s="270"/>
      <c r="AH286" s="270"/>
      <c r="AI286" s="270"/>
      <c r="AJ286" s="270"/>
      <c r="AK286" s="270"/>
      <c r="AL286" s="270"/>
      <c r="AM286" s="663"/>
      <c r="AN286" s="663"/>
      <c r="AO286" s="708" t="str">
        <f>IF(OR(Table1[[#This Row],[Início Setup Envase]]="",Table1[[#This Row],[Final Setup Envase]]=""),"",Table1[[#This Row],[Final Setup Envase]]-Table1[[#This Row],[Início Setup Envase]])</f>
        <v/>
      </c>
      <c r="AP286" s="663"/>
      <c r="AQ286" s="663"/>
      <c r="AR286" s="270"/>
      <c r="AS286" s="270"/>
      <c r="AT286" s="270"/>
      <c r="AU286" s="270"/>
      <c r="AV286" s="270"/>
      <c r="AW286" s="270"/>
      <c r="AX286" s="270"/>
      <c r="AY286" s="270"/>
      <c r="AZ286" s="270"/>
      <c r="BA286" s="270">
        <f>IF(Table1[[#This Row],[Data de Início]]="","",YEAR(Table1[[#This Row],[Data de Início]]))</f>
        <v>2025</v>
      </c>
      <c r="BB286" s="270">
        <f>IF(Table1[[#This Row],[Data de Início]]="","",MONTH(Table1[[#This Row],[Data de Início]]))</f>
        <v>7</v>
      </c>
      <c r="BC286" s="270"/>
    </row>
    <row r="287" spans="2:55" ht="15" customHeight="1" x14ac:dyDescent="0.25">
      <c r="B287" s="470">
        <v>45867.419444444444</v>
      </c>
      <c r="C287" s="263">
        <v>45867.576388888891</v>
      </c>
      <c r="D287" s="264" cm="1">
        <f t="array" ref="D287">IFERROR(HorasUteisFabrica2Turnos(B287,C287), "")</f>
        <v>2.7666666667209938</v>
      </c>
      <c r="E287" s="265">
        <f t="shared" si="4"/>
        <v>584.45783131382461</v>
      </c>
      <c r="F287" s="266" t="s">
        <v>378</v>
      </c>
      <c r="G287" s="266" t="s">
        <v>475</v>
      </c>
      <c r="H287" s="266"/>
      <c r="I287" s="269" t="s">
        <v>521</v>
      </c>
      <c r="J287" s="267" t="s">
        <v>15</v>
      </c>
      <c r="K287" s="268">
        <v>1617</v>
      </c>
      <c r="L287" s="269" t="s">
        <v>479</v>
      </c>
      <c r="M287" s="270" t="str">
        <f>IFERROR(INDEX([1]Produtos!$C:$C,MATCH(L287,[1]Produtos!$B:$B,0)), "-")</f>
        <v>ÁGUA MICELAR CARVÃO ATIVADO</v>
      </c>
      <c r="N287" s="510">
        <f>IFERROR(INDEX([1]Produtos!$E:$E,MATCH(L287,[1]Produtos!$B:$B,0)), "-")</f>
        <v>325</v>
      </c>
      <c r="O287" s="270" t="str">
        <f>IFERROR(INDEX([1]Produtos!$F:$F,MATCH(L287,[1]Produtos!$B:$B,0)), "-")</f>
        <v>ml</v>
      </c>
      <c r="P287" s="270" t="str">
        <f>IFERROR(INDEX([1]Produtos!$G:$G,MATCH(L287,[1]Produtos!$B:$B,0)), "-")</f>
        <v>GLOW MAKE UP</v>
      </c>
      <c r="Q287" s="270" t="str">
        <f>IFERROR(INDEX([1]Produtos!$H:$H,MATCH(L287,[1]Produtos!$B:$B,0)), "-")</f>
        <v>MAQUIAGEM</v>
      </c>
      <c r="R287" s="270" t="str">
        <f>IFERROR(INDEX([1]Produtos!$I:$I,MATCH(L287,[1]Produtos!$B:$B,0)), "-")</f>
        <v>ÁGUA MICELAR</v>
      </c>
      <c r="S287" s="270" t="str">
        <f>IFERROR(INDEX([1]Produtos!$J:$J,MATCH(L287,[1]Produtos!$B:$B,0)), "-")</f>
        <v>LÍQUIDO</v>
      </c>
      <c r="T287" s="474"/>
      <c r="U287" s="270"/>
      <c r="V287" s="270"/>
      <c r="W287" s="270"/>
      <c r="X287" s="270"/>
      <c r="Y287" s="270"/>
      <c r="Z287" s="270"/>
      <c r="AA287" s="270"/>
      <c r="AB287" s="270"/>
      <c r="AC287" s="270"/>
      <c r="AD287" s="270"/>
      <c r="AE287" s="270"/>
      <c r="AF287" s="270"/>
      <c r="AG287" s="270"/>
      <c r="AH287" s="270"/>
      <c r="AI287" s="270"/>
      <c r="AJ287" s="270"/>
      <c r="AK287" s="270"/>
      <c r="AL287" s="270"/>
      <c r="AM287" s="663"/>
      <c r="AN287" s="663"/>
      <c r="AO287" s="708" t="str">
        <f>IF(OR(Table1[[#This Row],[Início Setup Envase]]="",Table1[[#This Row],[Final Setup Envase]]=""),"",Table1[[#This Row],[Final Setup Envase]]-Table1[[#This Row],[Início Setup Envase]])</f>
        <v/>
      </c>
      <c r="AP287" s="663"/>
      <c r="AQ287" s="663"/>
      <c r="AR287" s="270"/>
      <c r="AS287" s="270"/>
      <c r="AT287" s="270"/>
      <c r="AU287" s="270"/>
      <c r="AV287" s="270"/>
      <c r="AW287" s="270"/>
      <c r="AX287" s="270"/>
      <c r="AY287" s="270"/>
      <c r="AZ287" s="270"/>
      <c r="BA287" s="270">
        <f>IF(Table1[[#This Row],[Data de Início]]="","",YEAR(Table1[[#This Row],[Data de Início]]))</f>
        <v>2025</v>
      </c>
      <c r="BB287" s="270">
        <f>IF(Table1[[#This Row],[Data de Início]]="","",MONTH(Table1[[#This Row],[Data de Início]]))</f>
        <v>7</v>
      </c>
      <c r="BC287" s="270"/>
    </row>
    <row r="288" spans="2:55" ht="15" customHeight="1" x14ac:dyDescent="0.25">
      <c r="B288" s="470">
        <v>45867.449305555558</v>
      </c>
      <c r="C288" s="263">
        <v>45867.645833333336</v>
      </c>
      <c r="D288" s="264" cm="1">
        <f t="array" ref="D288">IFERROR(HorasUteisFabrica2Turnos(B288,C288), "")</f>
        <v>3.7166666666744277</v>
      </c>
      <c r="E288" s="265">
        <f t="shared" si="4"/>
        <v>684.48430493130616</v>
      </c>
      <c r="F288" s="266" t="s">
        <v>377</v>
      </c>
      <c r="G288" s="266" t="s">
        <v>470</v>
      </c>
      <c r="H288" s="266"/>
      <c r="I288" s="269" t="s">
        <v>526</v>
      </c>
      <c r="J288" s="267" t="s">
        <v>15</v>
      </c>
      <c r="K288" s="269">
        <v>2544</v>
      </c>
      <c r="L288" s="269" t="s">
        <v>211</v>
      </c>
      <c r="M288" s="270" t="str">
        <f>IFERROR(INDEX([1]Produtos!$C:$C,MATCH(L288,[1]Produtos!$B:$B,0)), "-")</f>
        <v>BODY SPLASH AURORA IMPERIAL</v>
      </c>
      <c r="N288" s="510">
        <f>IFERROR(INDEX([1]Produtos!$E:$E,MATCH(L288,[1]Produtos!$B:$B,0)), "-")</f>
        <v>220</v>
      </c>
      <c r="O288" s="270" t="str">
        <f>IFERROR(INDEX([1]Produtos!$F:$F,MATCH(L288,[1]Produtos!$B:$B,0)), "-")</f>
        <v>ml</v>
      </c>
      <c r="P288" s="270" t="str">
        <f>IFERROR(INDEX([1]Produtos!$G:$G,MATCH(L288,[1]Produtos!$B:$B,0)), "-")</f>
        <v>MISS RÔSE</v>
      </c>
      <c r="Q288" s="270" t="str">
        <f>IFERROR(INDEX([1]Produtos!$H:$H,MATCH(L288,[1]Produtos!$B:$B,0)), "-")</f>
        <v>PERFUMARIA</v>
      </c>
      <c r="R288" s="270" t="str">
        <f>IFERROR(INDEX([1]Produtos!$I:$I,MATCH(L288,[1]Produtos!$B:$B,0)), "-")</f>
        <v>BODY SPLASH</v>
      </c>
      <c r="S288" s="270" t="str">
        <f>IFERROR(INDEX([1]Produtos!$J:$J,MATCH(L288,[1]Produtos!$B:$B,0)), "-")</f>
        <v>LÍQUIDO</v>
      </c>
      <c r="T288" s="474"/>
      <c r="U288" s="270"/>
      <c r="V288" s="270"/>
      <c r="W288" s="270"/>
      <c r="X288" s="270"/>
      <c r="Y288" s="270"/>
      <c r="Z288" s="270"/>
      <c r="AA288" s="270"/>
      <c r="AB288" s="270"/>
      <c r="AC288" s="270"/>
      <c r="AD288" s="270"/>
      <c r="AE288" s="270"/>
      <c r="AF288" s="270"/>
      <c r="AG288" s="270"/>
      <c r="AH288" s="270"/>
      <c r="AI288" s="270"/>
      <c r="AJ288" s="270"/>
      <c r="AK288" s="270"/>
      <c r="AL288" s="270"/>
      <c r="AM288" s="663"/>
      <c r="AN288" s="663"/>
      <c r="AO288" s="708" t="str">
        <f>IF(OR(Table1[[#This Row],[Início Setup Envase]]="",Table1[[#This Row],[Final Setup Envase]]=""),"",Table1[[#This Row],[Final Setup Envase]]-Table1[[#This Row],[Início Setup Envase]])</f>
        <v/>
      </c>
      <c r="AP288" s="663"/>
      <c r="AQ288" s="663"/>
      <c r="AR288" s="270"/>
      <c r="AS288" s="270"/>
      <c r="AT288" s="270"/>
      <c r="AU288" s="270"/>
      <c r="AV288" s="270"/>
      <c r="AW288" s="270"/>
      <c r="AX288" s="270"/>
      <c r="AY288" s="270"/>
      <c r="AZ288" s="270"/>
      <c r="BA288" s="270">
        <f>IF(Table1[[#This Row],[Data de Início]]="","",YEAR(Table1[[#This Row],[Data de Início]]))</f>
        <v>2025</v>
      </c>
      <c r="BB288" s="270">
        <f>IF(Table1[[#This Row],[Data de Início]]="","",MONTH(Table1[[#This Row],[Data de Início]]))</f>
        <v>7</v>
      </c>
      <c r="BC288" s="270"/>
    </row>
    <row r="289" spans="2:55" ht="15" customHeight="1" x14ac:dyDescent="0.25">
      <c r="B289" s="470">
        <v>45867.576388888891</v>
      </c>
      <c r="C289" s="263">
        <v>45867.677083333336</v>
      </c>
      <c r="D289" s="264" cm="1">
        <f t="array" ref="D289">IFERROR(HorasUteisFabrica2Turnos(B289,C289), "")</f>
        <v>2.4166666666860692</v>
      </c>
      <c r="E289" s="265">
        <f t="shared" si="4"/>
        <v>695.17241378752215</v>
      </c>
      <c r="F289" s="266" t="s">
        <v>378</v>
      </c>
      <c r="G289" s="266" t="s">
        <v>475</v>
      </c>
      <c r="H289" s="266"/>
      <c r="I289" s="269" t="s">
        <v>522</v>
      </c>
      <c r="J289" s="267" t="s">
        <v>15</v>
      </c>
      <c r="K289" s="268">
        <v>1680</v>
      </c>
      <c r="L289" s="269" t="s">
        <v>488</v>
      </c>
      <c r="M289" s="270" t="str">
        <f>IFERROR(INDEX([1]Produtos!$C:$C,MATCH(L289,[1]Produtos!$B:$B,0)), "-")</f>
        <v>ÁGUA MICELAR COLÁGENO</v>
      </c>
      <c r="N289" s="510">
        <f>IFERROR(INDEX([1]Produtos!$E:$E,MATCH(L289,[1]Produtos!$B:$B,0)), "-")</f>
        <v>325</v>
      </c>
      <c r="O289" s="270" t="str">
        <f>IFERROR(INDEX([1]Produtos!$F:$F,MATCH(L289,[1]Produtos!$B:$B,0)), "-")</f>
        <v>ml</v>
      </c>
      <c r="P289" s="270" t="str">
        <f>IFERROR(INDEX([1]Produtos!$G:$G,MATCH(L289,[1]Produtos!$B:$B,0)), "-")</f>
        <v>GLOW MAKE UP</v>
      </c>
      <c r="Q289" s="270" t="str">
        <f>IFERROR(INDEX([1]Produtos!$H:$H,MATCH(L289,[1]Produtos!$B:$B,0)), "-")</f>
        <v>MAQUIAGEM</v>
      </c>
      <c r="R289" s="270" t="str">
        <f>IFERROR(INDEX([1]Produtos!$I:$I,MATCH(L289,[1]Produtos!$B:$B,0)), "-")</f>
        <v>ÁGUA MICELAR</v>
      </c>
      <c r="S289" s="270" t="str">
        <f>IFERROR(INDEX([1]Produtos!$J:$J,MATCH(L289,[1]Produtos!$B:$B,0)), "-")</f>
        <v>LÍQUIDO</v>
      </c>
      <c r="T289" s="474"/>
      <c r="U289" s="270"/>
      <c r="V289" s="270"/>
      <c r="W289" s="270"/>
      <c r="X289" s="270"/>
      <c r="Y289" s="270"/>
      <c r="Z289" s="270"/>
      <c r="AA289" s="270"/>
      <c r="AB289" s="270"/>
      <c r="AC289" s="270"/>
      <c r="AD289" s="270"/>
      <c r="AE289" s="270"/>
      <c r="AF289" s="270"/>
      <c r="AG289" s="270"/>
      <c r="AH289" s="270"/>
      <c r="AI289" s="270"/>
      <c r="AJ289" s="270"/>
      <c r="AK289" s="270"/>
      <c r="AL289" s="270"/>
      <c r="AM289" s="663"/>
      <c r="AN289" s="663"/>
      <c r="AO289" s="708" t="str">
        <f>IF(OR(Table1[[#This Row],[Início Setup Envase]]="",Table1[[#This Row],[Final Setup Envase]]=""),"",Table1[[#This Row],[Final Setup Envase]]-Table1[[#This Row],[Início Setup Envase]])</f>
        <v/>
      </c>
      <c r="AP289" s="663"/>
      <c r="AQ289" s="663"/>
      <c r="AR289" s="270"/>
      <c r="AS289" s="270"/>
      <c r="AT289" s="270"/>
      <c r="AU289" s="270"/>
      <c r="AV289" s="270"/>
      <c r="AW289" s="270"/>
      <c r="AX289" s="270"/>
      <c r="AY289" s="270"/>
      <c r="AZ289" s="270"/>
      <c r="BA289" s="270">
        <f>IF(Table1[[#This Row],[Data de Início]]="","",YEAR(Table1[[#This Row],[Data de Início]]))</f>
        <v>2025</v>
      </c>
      <c r="BB289" s="270">
        <f>IF(Table1[[#This Row],[Data de Início]]="","",MONTH(Table1[[#This Row],[Data de Início]]))</f>
        <v>7</v>
      </c>
      <c r="BC289" s="270"/>
    </row>
    <row r="290" spans="2:55" ht="15" customHeight="1" x14ac:dyDescent="0.25">
      <c r="B290" s="470">
        <v>45867.645833333336</v>
      </c>
      <c r="C290" s="263">
        <v>45867.708333333336</v>
      </c>
      <c r="D290" s="264" cm="1">
        <f t="array" ref="D290">IFERROR(HorasUteisFabrica2Turnos(B290,C290), "")</f>
        <v>1.5</v>
      </c>
      <c r="E290" s="265">
        <f t="shared" si="4"/>
        <v>635.99999998148996</v>
      </c>
      <c r="F290" s="266" t="s">
        <v>377</v>
      </c>
      <c r="G290" s="266" t="s">
        <v>470</v>
      </c>
      <c r="H290" s="266"/>
      <c r="I290" s="269" t="s">
        <v>527</v>
      </c>
      <c r="J290" s="267" t="s">
        <v>15</v>
      </c>
      <c r="K290" s="268">
        <v>953.99999997223495</v>
      </c>
      <c r="L290" s="269" t="s">
        <v>211</v>
      </c>
      <c r="M290" s="270" t="str">
        <f>IFERROR(INDEX([1]Produtos!$C:$C,MATCH(L290,[1]Produtos!$B:$B,0)), "-")</f>
        <v>BODY SPLASH AURORA IMPERIAL</v>
      </c>
      <c r="N290" s="510">
        <f>IFERROR(INDEX([1]Produtos!$E:$E,MATCH(L290,[1]Produtos!$B:$B,0)), "-")</f>
        <v>220</v>
      </c>
      <c r="O290" s="270" t="str">
        <f>IFERROR(INDEX([1]Produtos!$F:$F,MATCH(L290,[1]Produtos!$B:$B,0)), "-")</f>
        <v>ml</v>
      </c>
      <c r="P290" s="270" t="str">
        <f>IFERROR(INDEX([1]Produtos!$G:$G,MATCH(L290,[1]Produtos!$B:$B,0)), "-")</f>
        <v>MISS RÔSE</v>
      </c>
      <c r="Q290" s="270" t="str">
        <f>IFERROR(INDEX([1]Produtos!$H:$H,MATCH(L290,[1]Produtos!$B:$B,0)), "-")</f>
        <v>PERFUMARIA</v>
      </c>
      <c r="R290" s="270" t="str">
        <f>IFERROR(INDEX([1]Produtos!$I:$I,MATCH(L290,[1]Produtos!$B:$B,0)), "-")</f>
        <v>BODY SPLASH</v>
      </c>
      <c r="S290" s="270" t="str">
        <f>IFERROR(INDEX([1]Produtos!$J:$J,MATCH(L290,[1]Produtos!$B:$B,0)), "-")</f>
        <v>LÍQUIDO</v>
      </c>
      <c r="T290" s="474"/>
      <c r="U290" s="270"/>
      <c r="V290" s="270"/>
      <c r="W290" s="270"/>
      <c r="X290" s="270"/>
      <c r="Y290" s="270"/>
      <c r="Z290" s="270"/>
      <c r="AA290" s="270"/>
      <c r="AB290" s="270"/>
      <c r="AC290" s="270"/>
      <c r="AD290" s="270"/>
      <c r="AE290" s="270"/>
      <c r="AF290" s="270"/>
      <c r="AG290" s="270"/>
      <c r="AH290" s="270"/>
      <c r="AI290" s="270"/>
      <c r="AJ290" s="270"/>
      <c r="AK290" s="270"/>
      <c r="AL290" s="270"/>
      <c r="AM290" s="663"/>
      <c r="AN290" s="663"/>
      <c r="AO290" s="708" t="str">
        <f>IF(OR(Table1[[#This Row],[Início Setup Envase]]="",Table1[[#This Row],[Final Setup Envase]]=""),"",Table1[[#This Row],[Final Setup Envase]]-Table1[[#This Row],[Início Setup Envase]])</f>
        <v/>
      </c>
      <c r="AP290" s="663"/>
      <c r="AQ290" s="663"/>
      <c r="AR290" s="270"/>
      <c r="AS290" s="270"/>
      <c r="AT290" s="270"/>
      <c r="AU290" s="270"/>
      <c r="AV290" s="270"/>
      <c r="AW290" s="270"/>
      <c r="AX290" s="270"/>
      <c r="AY290" s="270"/>
      <c r="AZ290" s="270"/>
      <c r="BA290" s="270">
        <f>IF(Table1[[#This Row],[Data de Início]]="","",YEAR(Table1[[#This Row],[Data de Início]]))</f>
        <v>2025</v>
      </c>
      <c r="BB290" s="270">
        <f>IF(Table1[[#This Row],[Data de Início]]="","",MONTH(Table1[[#This Row],[Data de Início]]))</f>
        <v>7</v>
      </c>
      <c r="BC290" s="270"/>
    </row>
    <row r="291" spans="2:55" ht="15" customHeight="1" x14ac:dyDescent="0.25">
      <c r="B291" s="470">
        <v>45867.677083333336</v>
      </c>
      <c r="C291" s="263">
        <v>45867.708333333336</v>
      </c>
      <c r="D291" s="264" cm="1">
        <f t="array" ref="D291">IFERROR(HorasUteisFabrica2Turnos(B291,C291), "")</f>
        <v>0.75</v>
      </c>
      <c r="E291" s="265">
        <f t="shared" si="4"/>
        <v>560</v>
      </c>
      <c r="F291" s="266" t="s">
        <v>378</v>
      </c>
      <c r="G291" s="266" t="s">
        <v>475</v>
      </c>
      <c r="H291" s="266"/>
      <c r="I291" s="269" t="s">
        <v>523</v>
      </c>
      <c r="J291" s="267" t="s">
        <v>15</v>
      </c>
      <c r="K291" s="268">
        <v>420</v>
      </c>
      <c r="L291" s="269" t="s">
        <v>488</v>
      </c>
      <c r="M291" s="270" t="str">
        <f>IFERROR(INDEX([1]Produtos!$C:$C,MATCH(L291,[1]Produtos!$B:$B,0)), "-")</f>
        <v>ÁGUA MICELAR COLÁGENO</v>
      </c>
      <c r="N291" s="510">
        <f>IFERROR(INDEX([1]Produtos!$E:$E,MATCH(L291,[1]Produtos!$B:$B,0)), "-")</f>
        <v>325</v>
      </c>
      <c r="O291" s="270" t="str">
        <f>IFERROR(INDEX([1]Produtos!$F:$F,MATCH(L291,[1]Produtos!$B:$B,0)), "-")</f>
        <v>ml</v>
      </c>
      <c r="P291" s="270" t="str">
        <f>IFERROR(INDEX([1]Produtos!$G:$G,MATCH(L291,[1]Produtos!$B:$B,0)), "-")</f>
        <v>GLOW MAKE UP</v>
      </c>
      <c r="Q291" s="270" t="str">
        <f>IFERROR(INDEX([1]Produtos!$H:$H,MATCH(L291,[1]Produtos!$B:$B,0)), "-")</f>
        <v>MAQUIAGEM</v>
      </c>
      <c r="R291" s="270" t="str">
        <f>IFERROR(INDEX([1]Produtos!$I:$I,MATCH(L291,[1]Produtos!$B:$B,0)), "-")</f>
        <v>ÁGUA MICELAR</v>
      </c>
      <c r="S291" s="270" t="str">
        <f>IFERROR(INDEX([1]Produtos!$J:$J,MATCH(L291,[1]Produtos!$B:$B,0)), "-")</f>
        <v>LÍQUIDO</v>
      </c>
      <c r="T291" s="474"/>
      <c r="U291" s="270"/>
      <c r="V291" s="270"/>
      <c r="W291" s="270"/>
      <c r="X291" s="270"/>
      <c r="Y291" s="270"/>
      <c r="Z291" s="270"/>
      <c r="AA291" s="270"/>
      <c r="AB291" s="270"/>
      <c r="AC291" s="270"/>
      <c r="AD291" s="270"/>
      <c r="AE291" s="270"/>
      <c r="AF291" s="270"/>
      <c r="AG291" s="270"/>
      <c r="AH291" s="270"/>
      <c r="AI291" s="270"/>
      <c r="AJ291" s="270"/>
      <c r="AK291" s="270"/>
      <c r="AL291" s="270"/>
      <c r="AM291" s="663"/>
      <c r="AN291" s="663"/>
      <c r="AO291" s="708" t="str">
        <f>IF(OR(Table1[[#This Row],[Início Setup Envase]]="",Table1[[#This Row],[Final Setup Envase]]=""),"",Table1[[#This Row],[Final Setup Envase]]-Table1[[#This Row],[Início Setup Envase]])</f>
        <v/>
      </c>
      <c r="AP291" s="663"/>
      <c r="AQ291" s="663"/>
      <c r="AR291" s="270"/>
      <c r="AS291" s="270"/>
      <c r="AT291" s="270"/>
      <c r="AU291" s="270"/>
      <c r="AV291" s="270"/>
      <c r="AW291" s="270"/>
      <c r="AX291" s="270"/>
      <c r="AY291" s="270"/>
      <c r="AZ291" s="270"/>
      <c r="BA291" s="270">
        <f>IF(Table1[[#This Row],[Data de Início]]="","",YEAR(Table1[[#This Row],[Data de Início]]))</f>
        <v>2025</v>
      </c>
      <c r="BB291" s="270">
        <f>IF(Table1[[#This Row],[Data de Início]]="","",MONTH(Table1[[#This Row],[Data de Início]]))</f>
        <v>7</v>
      </c>
      <c r="BC291" s="270"/>
    </row>
    <row r="292" spans="2:55" ht="15" customHeight="1" x14ac:dyDescent="0.25">
      <c r="B292" s="470">
        <v>45868.291666666664</v>
      </c>
      <c r="C292" s="263">
        <v>45868.395833333336</v>
      </c>
      <c r="D292" s="264" cm="1">
        <f t="array" ref="D292">IFERROR(HorasUteisFabrica2Turnos(B292,C292), "")</f>
        <v>2.5000000001164153</v>
      </c>
      <c r="E292" s="265">
        <f t="shared" si="4"/>
        <v>635.99999998148996</v>
      </c>
      <c r="F292" s="266" t="s">
        <v>377</v>
      </c>
      <c r="G292" s="266" t="s">
        <v>470</v>
      </c>
      <c r="H292" s="266"/>
      <c r="I292" s="269" t="s">
        <v>527</v>
      </c>
      <c r="J292" s="267" t="s">
        <v>15</v>
      </c>
      <c r="K292" s="268">
        <v>1590.0000000277651</v>
      </c>
      <c r="L292" s="269" t="s">
        <v>211</v>
      </c>
      <c r="M292" s="270" t="str">
        <f>IFERROR(INDEX([1]Produtos!$C:$C,MATCH(L292,[1]Produtos!$B:$B,0)), "-")</f>
        <v>BODY SPLASH AURORA IMPERIAL</v>
      </c>
      <c r="N292" s="510">
        <f>IFERROR(INDEX([1]Produtos!$E:$E,MATCH(L292,[1]Produtos!$B:$B,0)), "-")</f>
        <v>220</v>
      </c>
      <c r="O292" s="270" t="str">
        <f>IFERROR(INDEX([1]Produtos!$F:$F,MATCH(L292,[1]Produtos!$B:$B,0)), "-")</f>
        <v>ml</v>
      </c>
      <c r="P292" s="270" t="str">
        <f>IFERROR(INDEX([1]Produtos!$G:$G,MATCH(L292,[1]Produtos!$B:$B,0)), "-")</f>
        <v>MISS RÔSE</v>
      </c>
      <c r="Q292" s="270" t="str">
        <f>IFERROR(INDEX([1]Produtos!$H:$H,MATCH(L292,[1]Produtos!$B:$B,0)), "-")</f>
        <v>PERFUMARIA</v>
      </c>
      <c r="R292" s="270" t="str">
        <f>IFERROR(INDEX([1]Produtos!$I:$I,MATCH(L292,[1]Produtos!$B:$B,0)), "-")</f>
        <v>BODY SPLASH</v>
      </c>
      <c r="S292" s="270" t="str">
        <f>IFERROR(INDEX([1]Produtos!$J:$J,MATCH(L292,[1]Produtos!$B:$B,0)), "-")</f>
        <v>LÍQUIDO</v>
      </c>
      <c r="T292" s="474"/>
      <c r="U292" s="270"/>
      <c r="V292" s="270"/>
      <c r="W292" s="270"/>
      <c r="X292" s="270"/>
      <c r="Y292" s="270"/>
      <c r="Z292" s="270"/>
      <c r="AA292" s="270"/>
      <c r="AB292" s="270"/>
      <c r="AC292" s="270"/>
      <c r="AD292" s="270"/>
      <c r="AE292" s="270"/>
      <c r="AF292" s="270"/>
      <c r="AG292" s="270"/>
      <c r="AH292" s="270"/>
      <c r="AI292" s="270"/>
      <c r="AJ292" s="270"/>
      <c r="AK292" s="270"/>
      <c r="AL292" s="270"/>
      <c r="AM292" s="663"/>
      <c r="AN292" s="663"/>
      <c r="AO292" s="708" t="str">
        <f>IF(OR(Table1[[#This Row],[Início Setup Envase]]="",Table1[[#This Row],[Final Setup Envase]]=""),"",Table1[[#This Row],[Final Setup Envase]]-Table1[[#This Row],[Início Setup Envase]])</f>
        <v/>
      </c>
      <c r="AP292" s="663"/>
      <c r="AQ292" s="663"/>
      <c r="AR292" s="270"/>
      <c r="AS292" s="270"/>
      <c r="AT292" s="270"/>
      <c r="AU292" s="270"/>
      <c r="AV292" s="270"/>
      <c r="AW292" s="270"/>
      <c r="AX292" s="270"/>
      <c r="AY292" s="270"/>
      <c r="AZ292" s="270"/>
      <c r="BA292" s="270">
        <f>IF(Table1[[#This Row],[Data de Início]]="","",YEAR(Table1[[#This Row],[Data de Início]]))</f>
        <v>2025</v>
      </c>
      <c r="BB292" s="270">
        <f>IF(Table1[[#This Row],[Data de Início]]="","",MONTH(Table1[[#This Row],[Data de Início]]))</f>
        <v>7</v>
      </c>
      <c r="BC292" s="270"/>
    </row>
    <row r="293" spans="2:55" ht="15" customHeight="1" x14ac:dyDescent="0.25">
      <c r="B293" s="470">
        <v>45868.291666666664</v>
      </c>
      <c r="C293" s="263">
        <v>45868.385416666664</v>
      </c>
      <c r="D293" s="264" cm="1">
        <f t="array" ref="D293">IFERROR(HorasUteisFabrica2Turnos(B293,C293), "")</f>
        <v>2.25</v>
      </c>
      <c r="E293" s="265">
        <f t="shared" si="4"/>
        <v>560</v>
      </c>
      <c r="F293" s="266" t="s">
        <v>378</v>
      </c>
      <c r="G293" s="266" t="s">
        <v>475</v>
      </c>
      <c r="H293" s="266"/>
      <c r="I293" s="269" t="s">
        <v>523</v>
      </c>
      <c r="J293" s="267" t="s">
        <v>15</v>
      </c>
      <c r="K293" s="268">
        <v>1260</v>
      </c>
      <c r="L293" s="269" t="s">
        <v>488</v>
      </c>
      <c r="M293" s="270" t="str">
        <f>IFERROR(INDEX([1]Produtos!$C:$C,MATCH(L293,[1]Produtos!$B:$B,0)), "-")</f>
        <v>ÁGUA MICELAR COLÁGENO</v>
      </c>
      <c r="N293" s="510">
        <f>IFERROR(INDEX([1]Produtos!$E:$E,MATCH(L293,[1]Produtos!$B:$B,0)), "-")</f>
        <v>325</v>
      </c>
      <c r="O293" s="270" t="str">
        <f>IFERROR(INDEX([1]Produtos!$F:$F,MATCH(L293,[1]Produtos!$B:$B,0)), "-")</f>
        <v>ml</v>
      </c>
      <c r="P293" s="270" t="str">
        <f>IFERROR(INDEX([1]Produtos!$G:$G,MATCH(L293,[1]Produtos!$B:$B,0)), "-")</f>
        <v>GLOW MAKE UP</v>
      </c>
      <c r="Q293" s="270" t="str">
        <f>IFERROR(INDEX([1]Produtos!$H:$H,MATCH(L293,[1]Produtos!$B:$B,0)), "-")</f>
        <v>MAQUIAGEM</v>
      </c>
      <c r="R293" s="270" t="str">
        <f>IFERROR(INDEX([1]Produtos!$I:$I,MATCH(L293,[1]Produtos!$B:$B,0)), "-")</f>
        <v>ÁGUA MICELAR</v>
      </c>
      <c r="S293" s="270" t="str">
        <f>IFERROR(INDEX([1]Produtos!$J:$J,MATCH(L293,[1]Produtos!$B:$B,0)), "-")</f>
        <v>LÍQUIDO</v>
      </c>
      <c r="T293" s="474"/>
      <c r="U293" s="270"/>
      <c r="V293" s="270"/>
      <c r="W293" s="270"/>
      <c r="X293" s="270"/>
      <c r="Y293" s="270"/>
      <c r="Z293" s="270"/>
      <c r="AA293" s="270"/>
      <c r="AB293" s="270"/>
      <c r="AC293" s="270"/>
      <c r="AD293" s="270"/>
      <c r="AE293" s="270"/>
      <c r="AF293" s="270"/>
      <c r="AG293" s="270"/>
      <c r="AH293" s="270"/>
      <c r="AI293" s="270"/>
      <c r="AJ293" s="270"/>
      <c r="AK293" s="270"/>
      <c r="AL293" s="270"/>
      <c r="AM293" s="663"/>
      <c r="AN293" s="663"/>
      <c r="AO293" s="708" t="str">
        <f>IF(OR(Table1[[#This Row],[Início Setup Envase]]="",Table1[[#This Row],[Final Setup Envase]]=""),"",Table1[[#This Row],[Final Setup Envase]]-Table1[[#This Row],[Início Setup Envase]])</f>
        <v/>
      </c>
      <c r="AP293" s="663"/>
      <c r="AQ293" s="663"/>
      <c r="AR293" s="270"/>
      <c r="AS293" s="270"/>
      <c r="AT293" s="270"/>
      <c r="AU293" s="270"/>
      <c r="AV293" s="270"/>
      <c r="AW293" s="270"/>
      <c r="AX293" s="270"/>
      <c r="AY293" s="270"/>
      <c r="AZ293" s="270"/>
      <c r="BA293" s="270">
        <f>IF(Table1[[#This Row],[Data de Início]]="","",YEAR(Table1[[#This Row],[Data de Início]]))</f>
        <v>2025</v>
      </c>
      <c r="BB293" s="270">
        <f>IF(Table1[[#This Row],[Data de Início]]="","",MONTH(Table1[[#This Row],[Data de Início]]))</f>
        <v>7</v>
      </c>
      <c r="BC293" s="270"/>
    </row>
    <row r="294" spans="2:55" ht="15" customHeight="1" x14ac:dyDescent="0.25">
      <c r="B294" s="470">
        <v>45868.385416666664</v>
      </c>
      <c r="C294" s="263">
        <v>45868.4375</v>
      </c>
      <c r="D294" s="264" cm="1">
        <f t="array" ref="D294">IFERROR(HorasUteisFabrica2Turnos(B294,C294), "")</f>
        <v>1.2500000000582077</v>
      </c>
      <c r="E294" s="265">
        <f t="shared" si="4"/>
        <v>1032.7999999519066</v>
      </c>
      <c r="F294" s="266" t="s">
        <v>378</v>
      </c>
      <c r="G294" s="266" t="s">
        <v>475</v>
      </c>
      <c r="H294" s="266"/>
      <c r="I294" s="269" t="s">
        <v>524</v>
      </c>
      <c r="J294" s="267" t="s">
        <v>15</v>
      </c>
      <c r="K294" s="268">
        <v>1291</v>
      </c>
      <c r="L294" s="269" t="s">
        <v>488</v>
      </c>
      <c r="M294" s="270" t="str">
        <f>IFERROR(INDEX([1]Produtos!$C:$C,MATCH(L294,[1]Produtos!$B:$B,0)), "-")</f>
        <v>ÁGUA MICELAR COLÁGENO</v>
      </c>
      <c r="N294" s="510">
        <f>IFERROR(INDEX([1]Produtos!$E:$E,MATCH(L294,[1]Produtos!$B:$B,0)), "-")</f>
        <v>325</v>
      </c>
      <c r="O294" s="270" t="str">
        <f>IFERROR(INDEX([1]Produtos!$F:$F,MATCH(L294,[1]Produtos!$B:$B,0)), "-")</f>
        <v>ml</v>
      </c>
      <c r="P294" s="270" t="str">
        <f>IFERROR(INDEX([1]Produtos!$G:$G,MATCH(L294,[1]Produtos!$B:$B,0)), "-")</f>
        <v>GLOW MAKE UP</v>
      </c>
      <c r="Q294" s="270" t="str">
        <f>IFERROR(INDEX([1]Produtos!$H:$H,MATCH(L294,[1]Produtos!$B:$B,0)), "-")</f>
        <v>MAQUIAGEM</v>
      </c>
      <c r="R294" s="270" t="str">
        <f>IFERROR(INDEX([1]Produtos!$I:$I,MATCH(L294,[1]Produtos!$B:$B,0)), "-")</f>
        <v>ÁGUA MICELAR</v>
      </c>
      <c r="S294" s="270" t="str">
        <f>IFERROR(INDEX([1]Produtos!$J:$J,MATCH(L294,[1]Produtos!$B:$B,0)), "-")</f>
        <v>LÍQUIDO</v>
      </c>
      <c r="T294" s="474"/>
      <c r="U294" s="270"/>
      <c r="V294" s="270"/>
      <c r="W294" s="270"/>
      <c r="X294" s="270"/>
      <c r="Y294" s="270"/>
      <c r="Z294" s="270"/>
      <c r="AA294" s="270"/>
      <c r="AB294" s="270"/>
      <c r="AC294" s="270"/>
      <c r="AD294" s="270"/>
      <c r="AE294" s="270"/>
      <c r="AF294" s="270"/>
      <c r="AG294" s="270"/>
      <c r="AH294" s="270"/>
      <c r="AI294" s="270"/>
      <c r="AJ294" s="270"/>
      <c r="AK294" s="270"/>
      <c r="AL294" s="270"/>
      <c r="AM294" s="663"/>
      <c r="AN294" s="663"/>
      <c r="AO294" s="708" t="str">
        <f>IF(OR(Table1[[#This Row],[Início Setup Envase]]="",Table1[[#This Row],[Final Setup Envase]]=""),"",Table1[[#This Row],[Final Setup Envase]]-Table1[[#This Row],[Início Setup Envase]])</f>
        <v/>
      </c>
      <c r="AP294" s="663"/>
      <c r="AQ294" s="663"/>
      <c r="AR294" s="270"/>
      <c r="AS294" s="270"/>
      <c r="AT294" s="270"/>
      <c r="AU294" s="270"/>
      <c r="AV294" s="270"/>
      <c r="AW294" s="270"/>
      <c r="AX294" s="270"/>
      <c r="AY294" s="270"/>
      <c r="AZ294" s="270"/>
      <c r="BA294" s="270">
        <f>IF(Table1[[#This Row],[Data de Início]]="","",YEAR(Table1[[#This Row],[Data de Início]]))</f>
        <v>2025</v>
      </c>
      <c r="BB294" s="270">
        <f>IF(Table1[[#This Row],[Data de Início]]="","",MONTH(Table1[[#This Row],[Data de Início]]))</f>
        <v>7</v>
      </c>
      <c r="BC294" s="270"/>
    </row>
    <row r="295" spans="2:55" ht="15" customHeight="1" x14ac:dyDescent="0.25">
      <c r="B295" s="470">
        <v>45868.395833333336</v>
      </c>
      <c r="C295" s="263">
        <v>45868.604166666664</v>
      </c>
      <c r="D295" s="264" cm="1">
        <f t="array" ref="D295">IFERROR(HorasUteisFabrica2Turnos(B295,C295), "")</f>
        <v>3.9999999998835847</v>
      </c>
      <c r="E295" s="265">
        <f t="shared" si="4"/>
        <v>636.00000001851004</v>
      </c>
      <c r="F295" s="266" t="s">
        <v>377</v>
      </c>
      <c r="G295" s="266" t="s">
        <v>470</v>
      </c>
      <c r="H295" s="266"/>
      <c r="I295" s="269" t="s">
        <v>528</v>
      </c>
      <c r="J295" s="267" t="s">
        <v>15</v>
      </c>
      <c r="K295" s="268">
        <v>2544</v>
      </c>
      <c r="L295" s="269" t="s">
        <v>211</v>
      </c>
      <c r="M295" s="270" t="str">
        <f>IFERROR(INDEX([1]Produtos!$C:$C,MATCH(L295,[1]Produtos!$B:$B,0)), "-")</f>
        <v>BODY SPLASH AURORA IMPERIAL</v>
      </c>
      <c r="N295" s="510">
        <f>IFERROR(INDEX([1]Produtos!$E:$E,MATCH(L295,[1]Produtos!$B:$B,0)), "-")</f>
        <v>220</v>
      </c>
      <c r="O295" s="270" t="str">
        <f>IFERROR(INDEX([1]Produtos!$F:$F,MATCH(L295,[1]Produtos!$B:$B,0)), "-")</f>
        <v>ml</v>
      </c>
      <c r="P295" s="270" t="str">
        <f>IFERROR(INDEX([1]Produtos!$G:$G,MATCH(L295,[1]Produtos!$B:$B,0)), "-")</f>
        <v>MISS RÔSE</v>
      </c>
      <c r="Q295" s="270" t="str">
        <f>IFERROR(INDEX([1]Produtos!$H:$H,MATCH(L295,[1]Produtos!$B:$B,0)), "-")</f>
        <v>PERFUMARIA</v>
      </c>
      <c r="R295" s="270" t="str">
        <f>IFERROR(INDEX([1]Produtos!$I:$I,MATCH(L295,[1]Produtos!$B:$B,0)), "-")</f>
        <v>BODY SPLASH</v>
      </c>
      <c r="S295" s="270" t="str">
        <f>IFERROR(INDEX([1]Produtos!$J:$J,MATCH(L295,[1]Produtos!$B:$B,0)), "-")</f>
        <v>LÍQUIDO</v>
      </c>
      <c r="T295" s="474"/>
      <c r="U295" s="270"/>
      <c r="V295" s="270"/>
      <c r="W295" s="270"/>
      <c r="X295" s="270"/>
      <c r="Y295" s="270"/>
      <c r="Z295" s="270"/>
      <c r="AA295" s="270"/>
      <c r="AB295" s="270"/>
      <c r="AC295" s="270"/>
      <c r="AD295" s="270"/>
      <c r="AE295" s="270"/>
      <c r="AF295" s="270"/>
      <c r="AG295" s="270"/>
      <c r="AH295" s="270"/>
      <c r="AI295" s="270"/>
      <c r="AJ295" s="270"/>
      <c r="AK295" s="270"/>
      <c r="AL295" s="270"/>
      <c r="AM295" s="663"/>
      <c r="AN295" s="663"/>
      <c r="AO295" s="708" t="str">
        <f>IF(OR(Table1[[#This Row],[Início Setup Envase]]="",Table1[[#This Row],[Final Setup Envase]]=""),"",Table1[[#This Row],[Final Setup Envase]]-Table1[[#This Row],[Início Setup Envase]])</f>
        <v/>
      </c>
      <c r="AP295" s="663"/>
      <c r="AQ295" s="663"/>
      <c r="AR295" s="270"/>
      <c r="AS295" s="270"/>
      <c r="AT295" s="270"/>
      <c r="AU295" s="270"/>
      <c r="AV295" s="270"/>
      <c r="AW295" s="270"/>
      <c r="AX295" s="270"/>
      <c r="AY295" s="270"/>
      <c r="AZ295" s="270"/>
      <c r="BA295" s="270">
        <f>IF(Table1[[#This Row],[Data de Início]]="","",YEAR(Table1[[#This Row],[Data de Início]]))</f>
        <v>2025</v>
      </c>
      <c r="BB295" s="270">
        <f>IF(Table1[[#This Row],[Data de Início]]="","",MONTH(Table1[[#This Row],[Data de Início]]))</f>
        <v>7</v>
      </c>
      <c r="BC295" s="270"/>
    </row>
    <row r="296" spans="2:55" ht="15" customHeight="1" x14ac:dyDescent="0.25">
      <c r="B296" s="470">
        <v>45868.4375</v>
      </c>
      <c r="C296" s="263">
        <v>45868.583333333336</v>
      </c>
      <c r="D296" s="264" cm="1">
        <f t="array" ref="D296">IFERROR(HorasUteisFabrica2Turnos(B296,C296), "")</f>
        <v>2.5000000000582077</v>
      </c>
      <c r="E296" s="265">
        <f t="shared" si="4"/>
        <v>671.99999998435374</v>
      </c>
      <c r="F296" s="266" t="s">
        <v>378</v>
      </c>
      <c r="G296" s="266" t="s">
        <v>475</v>
      </c>
      <c r="H296" s="266"/>
      <c r="I296" s="269" t="s">
        <v>516</v>
      </c>
      <c r="J296" s="267" t="s">
        <v>15</v>
      </c>
      <c r="K296" s="269">
        <v>1680</v>
      </c>
      <c r="L296" s="269" t="s">
        <v>503</v>
      </c>
      <c r="M296" s="270" t="str">
        <f>IFERROR(INDEX([1]Produtos!$C:$C,MATCH(L296,[1]Produtos!$B:$B,0)), "-")</f>
        <v>ÁGUA MICELAR ROSA MOSQUETA</v>
      </c>
      <c r="N296" s="510">
        <f>IFERROR(INDEX([1]Produtos!$E:$E,MATCH(L296,[1]Produtos!$B:$B,0)), "-")</f>
        <v>325</v>
      </c>
      <c r="O296" s="270" t="str">
        <f>IFERROR(INDEX([1]Produtos!$F:$F,MATCH(L296,[1]Produtos!$B:$B,0)), "-")</f>
        <v>ml</v>
      </c>
      <c r="P296" s="270" t="str">
        <f>IFERROR(INDEX([1]Produtos!$G:$G,MATCH(L296,[1]Produtos!$B:$B,0)), "-")</f>
        <v>GLOW MAKE UP</v>
      </c>
      <c r="Q296" s="270" t="str">
        <f>IFERROR(INDEX([1]Produtos!$H:$H,MATCH(L296,[1]Produtos!$B:$B,0)), "-")</f>
        <v>MAQUIAGEM</v>
      </c>
      <c r="R296" s="270" t="str">
        <f>IFERROR(INDEX([1]Produtos!$I:$I,MATCH(L296,[1]Produtos!$B:$B,0)), "-")</f>
        <v>ÁGUA MICELAR</v>
      </c>
      <c r="S296" s="270" t="str">
        <f>IFERROR(INDEX([1]Produtos!$J:$J,MATCH(L296,[1]Produtos!$B:$B,0)), "-")</f>
        <v>LÍQUIDO</v>
      </c>
      <c r="T296" s="474"/>
      <c r="U296" s="270"/>
      <c r="V296" s="270"/>
      <c r="W296" s="270"/>
      <c r="X296" s="270"/>
      <c r="Y296" s="270"/>
      <c r="Z296" s="270"/>
      <c r="AA296" s="270"/>
      <c r="AB296" s="270"/>
      <c r="AC296" s="270"/>
      <c r="AD296" s="270"/>
      <c r="AE296" s="270"/>
      <c r="AF296" s="270"/>
      <c r="AG296" s="270"/>
      <c r="AH296" s="270"/>
      <c r="AI296" s="270"/>
      <c r="AJ296" s="270"/>
      <c r="AK296" s="270"/>
      <c r="AL296" s="270"/>
      <c r="AM296" s="663"/>
      <c r="AN296" s="663"/>
      <c r="AO296" s="708" t="str">
        <f>IF(OR(Table1[[#This Row],[Início Setup Envase]]="",Table1[[#This Row],[Final Setup Envase]]=""),"",Table1[[#This Row],[Final Setup Envase]]-Table1[[#This Row],[Início Setup Envase]])</f>
        <v/>
      </c>
      <c r="AP296" s="663"/>
      <c r="AQ296" s="663"/>
      <c r="AR296" s="270"/>
      <c r="AS296" s="270"/>
      <c r="AT296" s="270"/>
      <c r="AU296" s="270"/>
      <c r="AV296" s="270"/>
      <c r="AW296" s="270"/>
      <c r="AX296" s="270"/>
      <c r="AY296" s="270"/>
      <c r="AZ296" s="270"/>
      <c r="BA296" s="270">
        <f>IF(Table1[[#This Row],[Data de Início]]="","",YEAR(Table1[[#This Row],[Data de Início]]))</f>
        <v>2025</v>
      </c>
      <c r="BB296" s="270">
        <f>IF(Table1[[#This Row],[Data de Início]]="","",MONTH(Table1[[#This Row],[Data de Início]]))</f>
        <v>7</v>
      </c>
      <c r="BC296" s="270"/>
    </row>
    <row r="297" spans="2:55" ht="15" customHeight="1" x14ac:dyDescent="0.25">
      <c r="B297" s="470">
        <v>45868.583333333336</v>
      </c>
      <c r="C297" s="263">
        <v>45868.661805555559</v>
      </c>
      <c r="D297" s="264" cm="1">
        <f t="array" ref="D297">IFERROR(HorasUteisFabrica2Turnos(B297,C297), "")</f>
        <v>1.8833333333604969</v>
      </c>
      <c r="E297" s="265">
        <f t="shared" si="4"/>
        <v>892.03539821722256</v>
      </c>
      <c r="F297" s="266" t="s">
        <v>378</v>
      </c>
      <c r="G297" s="266" t="s">
        <v>475</v>
      </c>
      <c r="H297" s="266"/>
      <c r="I297" s="269" t="s">
        <v>517</v>
      </c>
      <c r="J297" s="267" t="s">
        <v>15</v>
      </c>
      <c r="K297" s="269">
        <v>1680</v>
      </c>
      <c r="L297" s="269" t="s">
        <v>503</v>
      </c>
      <c r="M297" s="270" t="str">
        <f>IFERROR(INDEX([1]Produtos!$C:$C,MATCH(L297,[1]Produtos!$B:$B,0)), "-")</f>
        <v>ÁGUA MICELAR ROSA MOSQUETA</v>
      </c>
      <c r="N297" s="510">
        <f>IFERROR(INDEX([1]Produtos!$E:$E,MATCH(L297,[1]Produtos!$B:$B,0)), "-")</f>
        <v>325</v>
      </c>
      <c r="O297" s="270" t="str">
        <f>IFERROR(INDEX([1]Produtos!$F:$F,MATCH(L297,[1]Produtos!$B:$B,0)), "-")</f>
        <v>ml</v>
      </c>
      <c r="P297" s="270" t="str">
        <f>IFERROR(INDEX([1]Produtos!$G:$G,MATCH(L297,[1]Produtos!$B:$B,0)), "-")</f>
        <v>GLOW MAKE UP</v>
      </c>
      <c r="Q297" s="270" t="str">
        <f>IFERROR(INDEX([1]Produtos!$H:$H,MATCH(L297,[1]Produtos!$B:$B,0)), "-")</f>
        <v>MAQUIAGEM</v>
      </c>
      <c r="R297" s="270" t="str">
        <f>IFERROR(INDEX([1]Produtos!$I:$I,MATCH(L297,[1]Produtos!$B:$B,0)), "-")</f>
        <v>ÁGUA MICELAR</v>
      </c>
      <c r="S297" s="270" t="str">
        <f>IFERROR(INDEX([1]Produtos!$J:$J,MATCH(L297,[1]Produtos!$B:$B,0)), "-")</f>
        <v>LÍQUIDO</v>
      </c>
      <c r="T297" s="474"/>
      <c r="U297" s="270"/>
      <c r="V297" s="270"/>
      <c r="W297" s="270"/>
      <c r="X297" s="270"/>
      <c r="Y297" s="270"/>
      <c r="Z297" s="270"/>
      <c r="AA297" s="270"/>
      <c r="AB297" s="270"/>
      <c r="AC297" s="270"/>
      <c r="AD297" s="270"/>
      <c r="AE297" s="270"/>
      <c r="AF297" s="270"/>
      <c r="AG297" s="270"/>
      <c r="AH297" s="270"/>
      <c r="AI297" s="270"/>
      <c r="AJ297" s="270"/>
      <c r="AK297" s="270"/>
      <c r="AL297" s="270"/>
      <c r="AM297" s="663"/>
      <c r="AN297" s="663"/>
      <c r="AO297" s="708" t="str">
        <f>IF(OR(Table1[[#This Row],[Início Setup Envase]]="",Table1[[#This Row],[Final Setup Envase]]=""),"",Table1[[#This Row],[Final Setup Envase]]-Table1[[#This Row],[Início Setup Envase]])</f>
        <v/>
      </c>
      <c r="AP297" s="663"/>
      <c r="AQ297" s="663"/>
      <c r="AR297" s="270"/>
      <c r="AS297" s="270"/>
      <c r="AT297" s="270"/>
      <c r="AU297" s="270"/>
      <c r="AV297" s="270"/>
      <c r="AW297" s="270"/>
      <c r="AX297" s="270"/>
      <c r="AY297" s="270"/>
      <c r="AZ297" s="270"/>
      <c r="BA297" s="270">
        <f>IF(Table1[[#This Row],[Data de Início]]="","",YEAR(Table1[[#This Row],[Data de Início]]))</f>
        <v>2025</v>
      </c>
      <c r="BB297" s="270">
        <f>IF(Table1[[#This Row],[Data de Início]]="","",MONTH(Table1[[#This Row],[Data de Início]]))</f>
        <v>7</v>
      </c>
      <c r="BC297" s="270"/>
    </row>
    <row r="298" spans="2:55" ht="15" customHeight="1" x14ac:dyDescent="0.25">
      <c r="B298" s="470">
        <v>45868.604166666664</v>
      </c>
      <c r="C298" s="263">
        <v>45868.70416666667</v>
      </c>
      <c r="D298" s="264" cm="1">
        <f t="array" ref="D298">IFERROR(HorasUteisFabrica2Turnos(B298,C298), "")</f>
        <v>2.4000000001396984</v>
      </c>
      <c r="E298" s="265">
        <f t="shared" si="4"/>
        <v>1059.9999999382999</v>
      </c>
      <c r="F298" s="266" t="s">
        <v>377</v>
      </c>
      <c r="G298" s="266" t="s">
        <v>470</v>
      </c>
      <c r="H298" s="266"/>
      <c r="I298" s="269" t="s">
        <v>529</v>
      </c>
      <c r="J298" s="267" t="s">
        <v>15</v>
      </c>
      <c r="K298" s="268">
        <v>2544</v>
      </c>
      <c r="L298" s="269" t="s">
        <v>211</v>
      </c>
      <c r="M298" s="270" t="str">
        <f>IFERROR(INDEX([1]Produtos!$C:$C,MATCH(L298,[1]Produtos!$B:$B,0)), "-")</f>
        <v>BODY SPLASH AURORA IMPERIAL</v>
      </c>
      <c r="N298" s="510">
        <f>IFERROR(INDEX([1]Produtos!$E:$E,MATCH(L298,[1]Produtos!$B:$B,0)), "-")</f>
        <v>220</v>
      </c>
      <c r="O298" s="270" t="str">
        <f>IFERROR(INDEX([1]Produtos!$F:$F,MATCH(L298,[1]Produtos!$B:$B,0)), "-")</f>
        <v>ml</v>
      </c>
      <c r="P298" s="270" t="str">
        <f>IFERROR(INDEX([1]Produtos!$G:$G,MATCH(L298,[1]Produtos!$B:$B,0)), "-")</f>
        <v>MISS RÔSE</v>
      </c>
      <c r="Q298" s="270" t="str">
        <f>IFERROR(INDEX([1]Produtos!$H:$H,MATCH(L298,[1]Produtos!$B:$B,0)), "-")</f>
        <v>PERFUMARIA</v>
      </c>
      <c r="R298" s="270" t="str">
        <f>IFERROR(INDEX([1]Produtos!$I:$I,MATCH(L298,[1]Produtos!$B:$B,0)), "-")</f>
        <v>BODY SPLASH</v>
      </c>
      <c r="S298" s="270" t="str">
        <f>IFERROR(INDEX([1]Produtos!$J:$J,MATCH(L298,[1]Produtos!$B:$B,0)), "-")</f>
        <v>LÍQUIDO</v>
      </c>
      <c r="T298" s="474"/>
      <c r="U298" s="270"/>
      <c r="V298" s="270"/>
      <c r="W298" s="270"/>
      <c r="X298" s="270"/>
      <c r="Y298" s="270"/>
      <c r="Z298" s="270"/>
      <c r="AA298" s="270"/>
      <c r="AB298" s="270"/>
      <c r="AC298" s="270"/>
      <c r="AD298" s="270"/>
      <c r="AE298" s="270"/>
      <c r="AF298" s="270"/>
      <c r="AG298" s="270"/>
      <c r="AH298" s="270"/>
      <c r="AI298" s="270"/>
      <c r="AJ298" s="270"/>
      <c r="AK298" s="270"/>
      <c r="AL298" s="270"/>
      <c r="AM298" s="663"/>
      <c r="AN298" s="663"/>
      <c r="AO298" s="708" t="str">
        <f>IF(OR(Table1[[#This Row],[Início Setup Envase]]="",Table1[[#This Row],[Final Setup Envase]]=""),"",Table1[[#This Row],[Final Setup Envase]]-Table1[[#This Row],[Início Setup Envase]])</f>
        <v/>
      </c>
      <c r="AP298" s="663"/>
      <c r="AQ298" s="663"/>
      <c r="AR298" s="270"/>
      <c r="AS298" s="270"/>
      <c r="AT298" s="270"/>
      <c r="AU298" s="270"/>
      <c r="AV298" s="270"/>
      <c r="AW298" s="270"/>
      <c r="AX298" s="270"/>
      <c r="AY298" s="270"/>
      <c r="AZ298" s="270"/>
      <c r="BA298" s="270">
        <f>IF(Table1[[#This Row],[Data de Início]]="","",YEAR(Table1[[#This Row],[Data de Início]]))</f>
        <v>2025</v>
      </c>
      <c r="BB298" s="270">
        <f>IF(Table1[[#This Row],[Data de Início]]="","",MONTH(Table1[[#This Row],[Data de Início]]))</f>
        <v>7</v>
      </c>
      <c r="BC298" s="270"/>
    </row>
    <row r="299" spans="2:55" ht="15" customHeight="1" x14ac:dyDescent="0.25">
      <c r="B299" s="470">
        <v>45868.661805555559</v>
      </c>
      <c r="C299" s="263">
        <v>45868.708333333336</v>
      </c>
      <c r="D299" s="264" cm="1">
        <f t="array" ref="D299">IFERROR(HorasUteisFabrica2Turnos(B299,C299), "")</f>
        <v>1.1166666666395031</v>
      </c>
      <c r="E299" s="265">
        <f t="shared" si="4"/>
        <v>647.38853503856762</v>
      </c>
      <c r="F299" s="266" t="s">
        <v>378</v>
      </c>
      <c r="G299" s="266" t="s">
        <v>475</v>
      </c>
      <c r="H299" s="266"/>
      <c r="I299" s="269" t="s">
        <v>518</v>
      </c>
      <c r="J299" s="267" t="s">
        <v>15</v>
      </c>
      <c r="K299" s="268">
        <v>722.91719744214845</v>
      </c>
      <c r="L299" s="269" t="s">
        <v>503</v>
      </c>
      <c r="M299" s="270" t="str">
        <f>IFERROR(INDEX([1]Produtos!$C:$C,MATCH(L299,[1]Produtos!$B:$B,0)), "-")</f>
        <v>ÁGUA MICELAR ROSA MOSQUETA</v>
      </c>
      <c r="N299" s="510">
        <f>IFERROR(INDEX([1]Produtos!$E:$E,MATCH(L299,[1]Produtos!$B:$B,0)), "-")</f>
        <v>325</v>
      </c>
      <c r="O299" s="270" t="str">
        <f>IFERROR(INDEX([1]Produtos!$F:$F,MATCH(L299,[1]Produtos!$B:$B,0)), "-")</f>
        <v>ml</v>
      </c>
      <c r="P299" s="270" t="str">
        <f>IFERROR(INDEX([1]Produtos!$G:$G,MATCH(L299,[1]Produtos!$B:$B,0)), "-")</f>
        <v>GLOW MAKE UP</v>
      </c>
      <c r="Q299" s="270" t="str">
        <f>IFERROR(INDEX([1]Produtos!$H:$H,MATCH(L299,[1]Produtos!$B:$B,0)), "-")</f>
        <v>MAQUIAGEM</v>
      </c>
      <c r="R299" s="270" t="str">
        <f>IFERROR(INDEX([1]Produtos!$I:$I,MATCH(L299,[1]Produtos!$B:$B,0)), "-")</f>
        <v>ÁGUA MICELAR</v>
      </c>
      <c r="S299" s="270" t="str">
        <f>IFERROR(INDEX([1]Produtos!$J:$J,MATCH(L299,[1]Produtos!$B:$B,0)), "-")</f>
        <v>LÍQUIDO</v>
      </c>
      <c r="T299" s="474"/>
      <c r="U299" s="270"/>
      <c r="V299" s="270"/>
      <c r="W299" s="270"/>
      <c r="X299" s="270"/>
      <c r="Y299" s="270"/>
      <c r="Z299" s="270"/>
      <c r="AA299" s="270"/>
      <c r="AB299" s="270"/>
      <c r="AC299" s="270"/>
      <c r="AD299" s="270"/>
      <c r="AE299" s="270"/>
      <c r="AF299" s="270"/>
      <c r="AG299" s="270"/>
      <c r="AH299" s="270"/>
      <c r="AI299" s="270"/>
      <c r="AJ299" s="270"/>
      <c r="AK299" s="270"/>
      <c r="AL299" s="270"/>
      <c r="AM299" s="663"/>
      <c r="AN299" s="663"/>
      <c r="AO299" s="708" t="str">
        <f>IF(OR(Table1[[#This Row],[Início Setup Envase]]="",Table1[[#This Row],[Final Setup Envase]]=""),"",Table1[[#This Row],[Final Setup Envase]]-Table1[[#This Row],[Início Setup Envase]])</f>
        <v/>
      </c>
      <c r="AP299" s="663"/>
      <c r="AQ299" s="663"/>
      <c r="AR299" s="270"/>
      <c r="AS299" s="270"/>
      <c r="AT299" s="270"/>
      <c r="AU299" s="270"/>
      <c r="AV299" s="270"/>
      <c r="AW299" s="270"/>
      <c r="AX299" s="270"/>
      <c r="AY299" s="270"/>
      <c r="AZ299" s="270"/>
      <c r="BA299" s="270">
        <f>IF(Table1[[#This Row],[Data de Início]]="","",YEAR(Table1[[#This Row],[Data de Início]]))</f>
        <v>2025</v>
      </c>
      <c r="BB299" s="270">
        <f>IF(Table1[[#This Row],[Data de Início]]="","",MONTH(Table1[[#This Row],[Data de Início]]))</f>
        <v>7</v>
      </c>
      <c r="BC299" s="270"/>
    </row>
    <row r="300" spans="2:55" ht="15" customHeight="1" x14ac:dyDescent="0.25">
      <c r="B300" s="470">
        <v>45869.291666666664</v>
      </c>
      <c r="C300" s="263">
        <v>45869.354166666664</v>
      </c>
      <c r="D300" s="264" cm="1">
        <f t="array" ref="D300">IFERROR(HorasUteisFabrica2Turnos(B300,C300), "")</f>
        <v>1.5</v>
      </c>
      <c r="E300" s="265">
        <f t="shared" si="4"/>
        <v>647.38853503856762</v>
      </c>
      <c r="F300" s="266" t="s">
        <v>378</v>
      </c>
      <c r="G300" s="266" t="s">
        <v>475</v>
      </c>
      <c r="H300" s="266"/>
      <c r="I300" s="269" t="s">
        <v>518</v>
      </c>
      <c r="J300" s="267" t="s">
        <v>15</v>
      </c>
      <c r="K300" s="268">
        <v>971.08280255785144</v>
      </c>
      <c r="L300" s="269" t="s">
        <v>503</v>
      </c>
      <c r="M300" s="270" t="str">
        <f>IFERROR(INDEX([1]Produtos!$C:$C,MATCH(L300,[1]Produtos!$B:$B,0)), "-")</f>
        <v>ÁGUA MICELAR ROSA MOSQUETA</v>
      </c>
      <c r="N300" s="510">
        <f>IFERROR(INDEX([1]Produtos!$E:$E,MATCH(L300,[1]Produtos!$B:$B,0)), "-")</f>
        <v>325</v>
      </c>
      <c r="O300" s="270" t="str">
        <f>IFERROR(INDEX([1]Produtos!$F:$F,MATCH(L300,[1]Produtos!$B:$B,0)), "-")</f>
        <v>ml</v>
      </c>
      <c r="P300" s="270" t="str">
        <f>IFERROR(INDEX([1]Produtos!$G:$G,MATCH(L300,[1]Produtos!$B:$B,0)), "-")</f>
        <v>GLOW MAKE UP</v>
      </c>
      <c r="Q300" s="270" t="str">
        <f>IFERROR(INDEX([1]Produtos!$H:$H,MATCH(L300,[1]Produtos!$B:$B,0)), "-")</f>
        <v>MAQUIAGEM</v>
      </c>
      <c r="R300" s="270" t="str">
        <f>IFERROR(INDEX([1]Produtos!$I:$I,MATCH(L300,[1]Produtos!$B:$B,0)), "-")</f>
        <v>ÁGUA MICELAR</v>
      </c>
      <c r="S300" s="270" t="str">
        <f>IFERROR(INDEX([1]Produtos!$J:$J,MATCH(L300,[1]Produtos!$B:$B,0)), "-")</f>
        <v>LÍQUIDO</v>
      </c>
      <c r="T300" s="474"/>
      <c r="U300" s="270"/>
      <c r="V300" s="270"/>
      <c r="W300" s="270"/>
      <c r="X300" s="270"/>
      <c r="Y300" s="270"/>
      <c r="Z300" s="270"/>
      <c r="AA300" s="270"/>
      <c r="AB300" s="270"/>
      <c r="AC300" s="270"/>
      <c r="AD300" s="270"/>
      <c r="AE300" s="270"/>
      <c r="AF300" s="270"/>
      <c r="AG300" s="270"/>
      <c r="AH300" s="270"/>
      <c r="AI300" s="270"/>
      <c r="AJ300" s="270"/>
      <c r="AK300" s="270"/>
      <c r="AL300" s="270"/>
      <c r="AM300" s="663"/>
      <c r="AN300" s="663"/>
      <c r="AO300" s="708" t="str">
        <f>IF(OR(Table1[[#This Row],[Início Setup Envase]]="",Table1[[#This Row],[Final Setup Envase]]=""),"",Table1[[#This Row],[Final Setup Envase]]-Table1[[#This Row],[Início Setup Envase]])</f>
        <v/>
      </c>
      <c r="AP300" s="663"/>
      <c r="AQ300" s="663"/>
      <c r="AR300" s="270"/>
      <c r="AS300" s="270"/>
      <c r="AT300" s="270"/>
      <c r="AU300" s="270"/>
      <c r="AV300" s="270"/>
      <c r="AW300" s="270"/>
      <c r="AX300" s="270"/>
      <c r="AY300" s="270"/>
      <c r="AZ300" s="270"/>
      <c r="BA300" s="270">
        <f>IF(Table1[[#This Row],[Data de Início]]="","",YEAR(Table1[[#This Row],[Data de Início]]))</f>
        <v>2025</v>
      </c>
      <c r="BB300" s="270">
        <f>IF(Table1[[#This Row],[Data de Início]]="","",MONTH(Table1[[#This Row],[Data de Início]]))</f>
        <v>7</v>
      </c>
      <c r="BC300" s="270"/>
    </row>
    <row r="301" spans="2:55" ht="15" customHeight="1" x14ac:dyDescent="0.25">
      <c r="B301" s="470">
        <v>45869.354166666664</v>
      </c>
      <c r="C301" s="263">
        <v>45869.59375</v>
      </c>
      <c r="D301" s="264" cm="1">
        <f t="array" ref="D301">IFERROR(HorasUteisFabrica2Turnos(B301,C301), "")</f>
        <v>4.7500000000582077</v>
      </c>
      <c r="E301" s="265">
        <f t="shared" si="4"/>
        <v>353.68421052198164</v>
      </c>
      <c r="F301" s="266" t="s">
        <v>378</v>
      </c>
      <c r="G301" s="266" t="s">
        <v>475</v>
      </c>
      <c r="H301" s="266"/>
      <c r="I301" s="269" t="s">
        <v>530</v>
      </c>
      <c r="J301" s="267" t="s">
        <v>15</v>
      </c>
      <c r="K301" s="268">
        <v>1680</v>
      </c>
      <c r="L301" s="269" t="s">
        <v>504</v>
      </c>
      <c r="M301" s="270" t="str">
        <f>IFERROR(INDEX([1]Produtos!$C:$C,MATCH(L301,[1]Produtos!$B:$B,0)), "-")</f>
        <v>ÁGUA MICELAR BABA GLOW</v>
      </c>
      <c r="N301" s="510">
        <f>IFERROR(INDEX([1]Produtos!$E:$E,MATCH(L301,[1]Produtos!$B:$B,0)), "-")</f>
        <v>325</v>
      </c>
      <c r="O301" s="270" t="str">
        <f>IFERROR(INDEX([1]Produtos!$F:$F,MATCH(L301,[1]Produtos!$B:$B,0)), "-")</f>
        <v>ml</v>
      </c>
      <c r="P301" s="270" t="str">
        <f>IFERROR(INDEX([1]Produtos!$G:$G,MATCH(L301,[1]Produtos!$B:$B,0)), "-")</f>
        <v>GLOW MAKE UP</v>
      </c>
      <c r="Q301" s="270" t="str">
        <f>IFERROR(INDEX([1]Produtos!$H:$H,MATCH(L301,[1]Produtos!$B:$B,0)), "-")</f>
        <v>MAQUIAGEM</v>
      </c>
      <c r="R301" s="270" t="str">
        <f>IFERROR(INDEX([1]Produtos!$I:$I,MATCH(L301,[1]Produtos!$B:$B,0)), "-")</f>
        <v>ÁGUA MICELAR</v>
      </c>
      <c r="S301" s="270" t="str">
        <f>IFERROR(INDEX([1]Produtos!$J:$J,MATCH(L301,[1]Produtos!$B:$B,0)), "-")</f>
        <v>LÍQUIDO</v>
      </c>
      <c r="T301" s="474"/>
      <c r="U301" s="270"/>
      <c r="V301" s="270"/>
      <c r="W301" s="270"/>
      <c r="X301" s="270"/>
      <c r="Y301" s="270"/>
      <c r="Z301" s="270"/>
      <c r="AA301" s="270"/>
      <c r="AB301" s="270"/>
      <c r="AC301" s="270"/>
      <c r="AD301" s="270"/>
      <c r="AE301" s="270"/>
      <c r="AF301" s="270"/>
      <c r="AG301" s="270"/>
      <c r="AH301" s="270"/>
      <c r="AI301" s="270"/>
      <c r="AJ301" s="270"/>
      <c r="AK301" s="270"/>
      <c r="AL301" s="270"/>
      <c r="AM301" s="663"/>
      <c r="AN301" s="663"/>
      <c r="AO301" s="708" t="str">
        <f>IF(OR(Table1[[#This Row],[Início Setup Envase]]="",Table1[[#This Row],[Final Setup Envase]]=""),"",Table1[[#This Row],[Final Setup Envase]]-Table1[[#This Row],[Início Setup Envase]])</f>
        <v/>
      </c>
      <c r="AP301" s="663"/>
      <c r="AQ301" s="663"/>
      <c r="AR301" s="270"/>
      <c r="AS301" s="270"/>
      <c r="AT301" s="270"/>
      <c r="AU301" s="270"/>
      <c r="AV301" s="270"/>
      <c r="AW301" s="270"/>
      <c r="AX301" s="270"/>
      <c r="AY301" s="270"/>
      <c r="AZ301" s="270"/>
      <c r="BA301" s="270">
        <f>IF(Table1[[#This Row],[Data de Início]]="","",YEAR(Table1[[#This Row],[Data de Início]]))</f>
        <v>2025</v>
      </c>
      <c r="BB301" s="270">
        <f>IF(Table1[[#This Row],[Data de Início]]="","",MONTH(Table1[[#This Row],[Data de Início]]))</f>
        <v>7</v>
      </c>
      <c r="BC301" s="270"/>
    </row>
    <row r="302" spans="2:55" ht="15" customHeight="1" x14ac:dyDescent="0.25">
      <c r="B302" s="470">
        <v>45869.354166666664</v>
      </c>
      <c r="C302" s="263">
        <v>45869.553472222222</v>
      </c>
      <c r="D302" s="264" cm="1">
        <f t="array" ref="D302">IFERROR(HorasUteisFabrica2Turnos(B302,C302), "")</f>
        <v>3.78333333338378</v>
      </c>
      <c r="E302" s="265">
        <f t="shared" si="4"/>
        <v>672.42290748002074</v>
      </c>
      <c r="F302" s="266" t="s">
        <v>377</v>
      </c>
      <c r="G302" s="266" t="s">
        <v>505</v>
      </c>
      <c r="H302" s="266"/>
      <c r="I302" s="269" t="s">
        <v>542</v>
      </c>
      <c r="J302" s="267" t="s">
        <v>15</v>
      </c>
      <c r="K302" s="269">
        <v>2544</v>
      </c>
      <c r="L302" s="269" t="s">
        <v>296</v>
      </c>
      <c r="M302" s="270" t="str">
        <f>IFERROR(INDEX([1]Produtos!$C:$C,MATCH(L302,[1]Produtos!$B:$B,0)), "-")</f>
        <v>BODY SPLASH NÉCTAR DAS TAMARAS</v>
      </c>
      <c r="N302" s="510">
        <f>IFERROR(INDEX([1]Produtos!$E:$E,MATCH(L302,[1]Produtos!$B:$B,0)), "-")</f>
        <v>220</v>
      </c>
      <c r="O302" s="270" t="str">
        <f>IFERROR(INDEX([1]Produtos!$F:$F,MATCH(L302,[1]Produtos!$B:$B,0)), "-")</f>
        <v>ml</v>
      </c>
      <c r="P302" s="270" t="str">
        <f>IFERROR(INDEX([1]Produtos!$G:$G,MATCH(L302,[1]Produtos!$B:$B,0)), "-")</f>
        <v>MISS RÔSE</v>
      </c>
      <c r="Q302" s="270" t="str">
        <f>IFERROR(INDEX([1]Produtos!$H:$H,MATCH(L302,[1]Produtos!$B:$B,0)), "-")</f>
        <v>PERFUMARIA</v>
      </c>
      <c r="R302" s="270" t="str">
        <f>IFERROR(INDEX([1]Produtos!$I:$I,MATCH(L302,[1]Produtos!$B:$B,0)), "-")</f>
        <v>BODY SPLASH</v>
      </c>
      <c r="S302" s="270" t="str">
        <f>IFERROR(INDEX([1]Produtos!$J:$J,MATCH(L302,[1]Produtos!$B:$B,0)), "-")</f>
        <v>LÍQUIDO</v>
      </c>
      <c r="T302" s="474"/>
      <c r="U302" s="270"/>
      <c r="V302" s="270"/>
      <c r="W302" s="270"/>
      <c r="X302" s="270"/>
      <c r="Y302" s="270"/>
      <c r="Z302" s="270"/>
      <c r="AA302" s="270"/>
      <c r="AB302" s="270"/>
      <c r="AC302" s="270"/>
      <c r="AD302" s="270"/>
      <c r="AE302" s="270"/>
      <c r="AF302" s="270"/>
      <c r="AG302" s="270"/>
      <c r="AH302" s="270"/>
      <c r="AI302" s="270"/>
      <c r="AJ302" s="270"/>
      <c r="AK302" s="270"/>
      <c r="AL302" s="270"/>
      <c r="AM302" s="663"/>
      <c r="AN302" s="663"/>
      <c r="AO302" s="708" t="str">
        <f>IF(OR(Table1[[#This Row],[Início Setup Envase]]="",Table1[[#This Row],[Final Setup Envase]]=""),"",Table1[[#This Row],[Final Setup Envase]]-Table1[[#This Row],[Início Setup Envase]])</f>
        <v/>
      </c>
      <c r="AP302" s="663"/>
      <c r="AQ302" s="663"/>
      <c r="AR302" s="270"/>
      <c r="AS302" s="270"/>
      <c r="AT302" s="270"/>
      <c r="AU302" s="270"/>
      <c r="AV302" s="270"/>
      <c r="AW302" s="270"/>
      <c r="AX302" s="270"/>
      <c r="AY302" s="270"/>
      <c r="AZ302" s="270"/>
      <c r="BA302" s="270">
        <f>IF(Table1[[#This Row],[Data de Início]]="","",YEAR(Table1[[#This Row],[Data de Início]]))</f>
        <v>2025</v>
      </c>
      <c r="BB302" s="270">
        <f>IF(Table1[[#This Row],[Data de Início]]="","",MONTH(Table1[[#This Row],[Data de Início]]))</f>
        <v>7</v>
      </c>
      <c r="BC302" s="270"/>
    </row>
    <row r="303" spans="2:55" ht="15" customHeight="1" x14ac:dyDescent="0.25">
      <c r="B303" s="470">
        <v>45869.354166666664</v>
      </c>
      <c r="C303" s="263">
        <v>45869.59375</v>
      </c>
      <c r="D303" s="264" cm="1">
        <f t="array" ref="D303">IFERROR(HorasUteisFabrica2Turnos(B303,C303), "")</f>
        <v>4.7500000000582077</v>
      </c>
      <c r="E303" s="265">
        <f t="shared" si="4"/>
        <v>353.68421052198164</v>
      </c>
      <c r="F303" s="266" t="s">
        <v>378</v>
      </c>
      <c r="G303" s="266" t="s">
        <v>475</v>
      </c>
      <c r="H303" s="266"/>
      <c r="I303" s="269" t="s">
        <v>531</v>
      </c>
      <c r="J303" s="267" t="s">
        <v>15</v>
      </c>
      <c r="K303" s="268">
        <v>1680</v>
      </c>
      <c r="L303" s="269" t="s">
        <v>504</v>
      </c>
      <c r="M303" s="270" t="str">
        <f>IFERROR(INDEX([1]Produtos!$C:$C,MATCH(L303,[1]Produtos!$B:$B,0)), "-")</f>
        <v>ÁGUA MICELAR BABA GLOW</v>
      </c>
      <c r="N303" s="510">
        <f>IFERROR(INDEX([1]Produtos!$E:$E,MATCH(L303,[1]Produtos!$B:$B,0)), "-")</f>
        <v>325</v>
      </c>
      <c r="O303" s="270" t="str">
        <f>IFERROR(INDEX([1]Produtos!$F:$F,MATCH(L303,[1]Produtos!$B:$B,0)), "-")</f>
        <v>ml</v>
      </c>
      <c r="P303" s="270" t="str">
        <f>IFERROR(INDEX([1]Produtos!$G:$G,MATCH(L303,[1]Produtos!$B:$B,0)), "-")</f>
        <v>GLOW MAKE UP</v>
      </c>
      <c r="Q303" s="270" t="str">
        <f>IFERROR(INDEX([1]Produtos!$H:$H,MATCH(L303,[1]Produtos!$B:$B,0)), "-")</f>
        <v>MAQUIAGEM</v>
      </c>
      <c r="R303" s="270" t="str">
        <f>IFERROR(INDEX([1]Produtos!$I:$I,MATCH(L303,[1]Produtos!$B:$B,0)), "-")</f>
        <v>ÁGUA MICELAR</v>
      </c>
      <c r="S303" s="270" t="str">
        <f>IFERROR(INDEX([1]Produtos!$J:$J,MATCH(L303,[1]Produtos!$B:$B,0)), "-")</f>
        <v>LÍQUIDO</v>
      </c>
      <c r="T303" s="474"/>
      <c r="U303" s="270"/>
      <c r="V303" s="270"/>
      <c r="W303" s="270"/>
      <c r="X303" s="270"/>
      <c r="Y303" s="270"/>
      <c r="Z303" s="270"/>
      <c r="AA303" s="270"/>
      <c r="AB303" s="270"/>
      <c r="AC303" s="270"/>
      <c r="AD303" s="270"/>
      <c r="AE303" s="270"/>
      <c r="AF303" s="270"/>
      <c r="AG303" s="270"/>
      <c r="AH303" s="270"/>
      <c r="AI303" s="270"/>
      <c r="AJ303" s="270"/>
      <c r="AK303" s="270"/>
      <c r="AL303" s="270"/>
      <c r="AM303" s="663"/>
      <c r="AN303" s="663"/>
      <c r="AO303" s="708" t="str">
        <f>IF(OR(Table1[[#This Row],[Início Setup Envase]]="",Table1[[#This Row],[Final Setup Envase]]=""),"",Table1[[#This Row],[Final Setup Envase]]-Table1[[#This Row],[Início Setup Envase]])</f>
        <v/>
      </c>
      <c r="AP303" s="663"/>
      <c r="AQ303" s="663"/>
      <c r="AR303" s="270"/>
      <c r="AS303" s="270"/>
      <c r="AT303" s="270"/>
      <c r="AU303" s="270"/>
      <c r="AV303" s="270"/>
      <c r="AW303" s="270"/>
      <c r="AX303" s="270"/>
      <c r="AY303" s="270"/>
      <c r="AZ303" s="270"/>
      <c r="BA303" s="270">
        <f>IF(Table1[[#This Row],[Data de Início]]="","",YEAR(Table1[[#This Row],[Data de Início]]))</f>
        <v>2025</v>
      </c>
      <c r="BB303" s="270">
        <f>IF(Table1[[#This Row],[Data de Início]]="","",MONTH(Table1[[#This Row],[Data de Início]]))</f>
        <v>7</v>
      </c>
      <c r="BC303" s="270"/>
    </row>
    <row r="304" spans="2:55" ht="15" customHeight="1" x14ac:dyDescent="0.25">
      <c r="B304" s="470">
        <v>45869.553472222222</v>
      </c>
      <c r="C304" s="263">
        <v>45870.302083333336</v>
      </c>
      <c r="D304" s="264" cm="1">
        <f t="array" ref="D304">IFERROR(HorasUteisFabrica2Turnos(B304,C304), "")</f>
        <v>3.9666666668490507</v>
      </c>
      <c r="E304" s="265">
        <f t="shared" si="4"/>
        <v>641.34453778563761</v>
      </c>
      <c r="F304" s="266" t="s">
        <v>377</v>
      </c>
      <c r="G304" s="266" t="s">
        <v>505</v>
      </c>
      <c r="H304" s="266"/>
      <c r="I304" s="269" t="s">
        <v>543</v>
      </c>
      <c r="J304" s="267" t="s">
        <v>15</v>
      </c>
      <c r="K304" s="269">
        <v>2544</v>
      </c>
      <c r="L304" s="269" t="s">
        <v>296</v>
      </c>
      <c r="M304" s="270" t="str">
        <f>IFERROR(INDEX([1]Produtos!$C:$C,MATCH(L304,[1]Produtos!$B:$B,0)), "-")</f>
        <v>BODY SPLASH NÉCTAR DAS TAMARAS</v>
      </c>
      <c r="N304" s="510">
        <f>IFERROR(INDEX([1]Produtos!$E:$E,MATCH(L304,[1]Produtos!$B:$B,0)), "-")</f>
        <v>220</v>
      </c>
      <c r="O304" s="270" t="str">
        <f>IFERROR(INDEX([1]Produtos!$F:$F,MATCH(L304,[1]Produtos!$B:$B,0)), "-")</f>
        <v>ml</v>
      </c>
      <c r="P304" s="270" t="str">
        <f>IFERROR(INDEX([1]Produtos!$G:$G,MATCH(L304,[1]Produtos!$B:$B,0)), "-")</f>
        <v>MISS RÔSE</v>
      </c>
      <c r="Q304" s="270" t="str">
        <f>IFERROR(INDEX([1]Produtos!$H:$H,MATCH(L304,[1]Produtos!$B:$B,0)), "-")</f>
        <v>PERFUMARIA</v>
      </c>
      <c r="R304" s="270" t="str">
        <f>IFERROR(INDEX([1]Produtos!$I:$I,MATCH(L304,[1]Produtos!$B:$B,0)), "-")</f>
        <v>BODY SPLASH</v>
      </c>
      <c r="S304" s="270" t="str">
        <f>IFERROR(INDEX([1]Produtos!$J:$J,MATCH(L304,[1]Produtos!$B:$B,0)), "-")</f>
        <v>LÍQUIDO</v>
      </c>
      <c r="T304" s="474"/>
      <c r="U304" s="270"/>
      <c r="V304" s="270"/>
      <c r="W304" s="270"/>
      <c r="X304" s="270"/>
      <c r="Y304" s="270"/>
      <c r="Z304" s="270"/>
      <c r="AA304" s="270"/>
      <c r="AB304" s="270"/>
      <c r="AC304" s="270"/>
      <c r="AD304" s="270"/>
      <c r="AE304" s="270"/>
      <c r="AF304" s="270"/>
      <c r="AG304" s="270"/>
      <c r="AH304" s="270"/>
      <c r="AI304" s="270"/>
      <c r="AJ304" s="270"/>
      <c r="AK304" s="270"/>
      <c r="AL304" s="270"/>
      <c r="AM304" s="663"/>
      <c r="AN304" s="663"/>
      <c r="AO304" s="708" t="str">
        <f>IF(OR(Table1[[#This Row],[Início Setup Envase]]="",Table1[[#This Row],[Final Setup Envase]]=""),"",Table1[[#This Row],[Final Setup Envase]]-Table1[[#This Row],[Início Setup Envase]])</f>
        <v/>
      </c>
      <c r="AP304" s="663"/>
      <c r="AQ304" s="663"/>
      <c r="AR304" s="270"/>
      <c r="AS304" s="270"/>
      <c r="AT304" s="270"/>
      <c r="AU304" s="270"/>
      <c r="AV304" s="270"/>
      <c r="AW304" s="270"/>
      <c r="AX304" s="270"/>
      <c r="AY304" s="270"/>
      <c r="AZ304" s="270"/>
      <c r="BA304" s="270">
        <f>IF(Table1[[#This Row],[Data de Início]]="","",YEAR(Table1[[#This Row],[Data de Início]]))</f>
        <v>2025</v>
      </c>
      <c r="BB304" s="270">
        <f>IF(Table1[[#This Row],[Data de Início]]="","",MONTH(Table1[[#This Row],[Data de Início]]))</f>
        <v>7</v>
      </c>
      <c r="BC304" s="270"/>
    </row>
    <row r="305" spans="2:55" ht="15" customHeight="1" x14ac:dyDescent="0.25">
      <c r="B305" s="470">
        <v>45869.59375</v>
      </c>
      <c r="C305" s="263">
        <v>45869.6875</v>
      </c>
      <c r="D305" s="264" cm="1">
        <f t="array" ref="D305">IFERROR(HorasUteisFabrica2Turnos(B305,C305), "")</f>
        <v>2.25</v>
      </c>
      <c r="E305" s="265">
        <f t="shared" si="4"/>
        <v>746.66666666666663</v>
      </c>
      <c r="F305" s="266" t="s">
        <v>378</v>
      </c>
      <c r="G305" s="266" t="s">
        <v>475</v>
      </c>
      <c r="H305" s="266"/>
      <c r="I305" s="269" t="s">
        <v>532</v>
      </c>
      <c r="J305" s="267" t="s">
        <v>15</v>
      </c>
      <c r="K305" s="268">
        <v>1680</v>
      </c>
      <c r="L305" s="269" t="s">
        <v>504</v>
      </c>
      <c r="M305" s="270" t="str">
        <f>IFERROR(INDEX([1]Produtos!$C:$C,MATCH(L305,[1]Produtos!$B:$B,0)), "-")</f>
        <v>ÁGUA MICELAR BABA GLOW</v>
      </c>
      <c r="N305" s="510">
        <f>IFERROR(INDEX([1]Produtos!$E:$E,MATCH(L305,[1]Produtos!$B:$B,0)), "-")</f>
        <v>325</v>
      </c>
      <c r="O305" s="270" t="str">
        <f>IFERROR(INDEX([1]Produtos!$F:$F,MATCH(L305,[1]Produtos!$B:$B,0)), "-")</f>
        <v>ml</v>
      </c>
      <c r="P305" s="270" t="str">
        <f>IFERROR(INDEX([1]Produtos!$G:$G,MATCH(L305,[1]Produtos!$B:$B,0)), "-")</f>
        <v>GLOW MAKE UP</v>
      </c>
      <c r="Q305" s="270" t="str">
        <f>IFERROR(INDEX([1]Produtos!$H:$H,MATCH(L305,[1]Produtos!$B:$B,0)), "-")</f>
        <v>MAQUIAGEM</v>
      </c>
      <c r="R305" s="270" t="str">
        <f>IFERROR(INDEX([1]Produtos!$I:$I,MATCH(L305,[1]Produtos!$B:$B,0)), "-")</f>
        <v>ÁGUA MICELAR</v>
      </c>
      <c r="S305" s="270" t="str">
        <f>IFERROR(INDEX([1]Produtos!$J:$J,MATCH(L305,[1]Produtos!$B:$B,0)), "-")</f>
        <v>LÍQUIDO</v>
      </c>
      <c r="T305" s="474"/>
      <c r="U305" s="270"/>
      <c r="V305" s="270"/>
      <c r="W305" s="270"/>
      <c r="X305" s="270"/>
      <c r="Y305" s="270"/>
      <c r="Z305" s="270"/>
      <c r="AA305" s="270"/>
      <c r="AB305" s="270"/>
      <c r="AC305" s="270"/>
      <c r="AD305" s="270"/>
      <c r="AE305" s="270"/>
      <c r="AF305" s="270"/>
      <c r="AG305" s="270"/>
      <c r="AH305" s="270"/>
      <c r="AI305" s="270"/>
      <c r="AJ305" s="270"/>
      <c r="AK305" s="270"/>
      <c r="AL305" s="270"/>
      <c r="AM305" s="663"/>
      <c r="AN305" s="663"/>
      <c r="AO305" s="708" t="str">
        <f>IF(OR(Table1[[#This Row],[Início Setup Envase]]="",Table1[[#This Row],[Final Setup Envase]]=""),"",Table1[[#This Row],[Final Setup Envase]]-Table1[[#This Row],[Início Setup Envase]])</f>
        <v/>
      </c>
      <c r="AP305" s="663"/>
      <c r="AQ305" s="663"/>
      <c r="AR305" s="270"/>
      <c r="AS305" s="270"/>
      <c r="AT305" s="270"/>
      <c r="AU305" s="270"/>
      <c r="AV305" s="270"/>
      <c r="AW305" s="270"/>
      <c r="AX305" s="270"/>
      <c r="AY305" s="270"/>
      <c r="AZ305" s="270"/>
      <c r="BA305" s="270">
        <f>IF(Table1[[#This Row],[Data de Início]]="","",YEAR(Table1[[#This Row],[Data de Início]]))</f>
        <v>2025</v>
      </c>
      <c r="BB305" s="270">
        <f>IF(Table1[[#This Row],[Data de Início]]="","",MONTH(Table1[[#This Row],[Data de Início]]))</f>
        <v>7</v>
      </c>
      <c r="BC305" s="270"/>
    </row>
    <row r="306" spans="2:55" ht="15" customHeight="1" x14ac:dyDescent="0.25">
      <c r="B306" s="470">
        <v>45870.302083333336</v>
      </c>
      <c r="C306" s="263">
        <v>45870.430555555555</v>
      </c>
      <c r="D306" s="264" cm="1">
        <f t="array" ref="D306">IFERROR(HorasUteisFabrica2Turnos(B306,C306), "")</f>
        <v>3.0833333332557231</v>
      </c>
      <c r="E306" s="265">
        <f t="shared" si="4"/>
        <v>825.08108110184912</v>
      </c>
      <c r="F306" s="266" t="s">
        <v>377</v>
      </c>
      <c r="G306" s="266" t="s">
        <v>505</v>
      </c>
      <c r="H306" s="266"/>
      <c r="I306" s="269" t="s">
        <v>544</v>
      </c>
      <c r="J306" s="267" t="s">
        <v>15</v>
      </c>
      <c r="K306" s="269">
        <v>2544</v>
      </c>
      <c r="L306" s="269" t="s">
        <v>296</v>
      </c>
      <c r="M306" s="270" t="str">
        <f>IFERROR(INDEX([1]Produtos!$C:$C,MATCH(L306,[1]Produtos!$B:$B,0)), "-")</f>
        <v>BODY SPLASH NÉCTAR DAS TAMARAS</v>
      </c>
      <c r="N306" s="510">
        <f>IFERROR(INDEX([1]Produtos!$E:$E,MATCH(L306,[1]Produtos!$B:$B,0)), "-")</f>
        <v>220</v>
      </c>
      <c r="O306" s="270" t="str">
        <f>IFERROR(INDEX([1]Produtos!$F:$F,MATCH(L306,[1]Produtos!$B:$B,0)), "-")</f>
        <v>ml</v>
      </c>
      <c r="P306" s="270" t="str">
        <f>IFERROR(INDEX([1]Produtos!$G:$G,MATCH(L306,[1]Produtos!$B:$B,0)), "-")</f>
        <v>MISS RÔSE</v>
      </c>
      <c r="Q306" s="270" t="str">
        <f>IFERROR(INDEX([1]Produtos!$H:$H,MATCH(L306,[1]Produtos!$B:$B,0)), "-")</f>
        <v>PERFUMARIA</v>
      </c>
      <c r="R306" s="270" t="str">
        <f>IFERROR(INDEX([1]Produtos!$I:$I,MATCH(L306,[1]Produtos!$B:$B,0)), "-")</f>
        <v>BODY SPLASH</v>
      </c>
      <c r="S306" s="270" t="str">
        <f>IFERROR(INDEX([1]Produtos!$J:$J,MATCH(L306,[1]Produtos!$B:$B,0)), "-")</f>
        <v>LÍQUIDO</v>
      </c>
      <c r="T306" s="474"/>
      <c r="U306" s="270"/>
      <c r="V306" s="270"/>
      <c r="W306" s="270"/>
      <c r="X306" s="270"/>
      <c r="Y306" s="270"/>
      <c r="Z306" s="270"/>
      <c r="AA306" s="270"/>
      <c r="AB306" s="270"/>
      <c r="AC306" s="270"/>
      <c r="AD306" s="270"/>
      <c r="AE306" s="270"/>
      <c r="AF306" s="270"/>
      <c r="AG306" s="270"/>
      <c r="AH306" s="270"/>
      <c r="AI306" s="270"/>
      <c r="AJ306" s="270"/>
      <c r="AK306" s="270"/>
      <c r="AL306" s="270"/>
      <c r="AM306" s="663"/>
      <c r="AN306" s="663"/>
      <c r="AO306" s="708" t="str">
        <f>IF(OR(Table1[[#This Row],[Início Setup Envase]]="",Table1[[#This Row],[Final Setup Envase]]=""),"",Table1[[#This Row],[Final Setup Envase]]-Table1[[#This Row],[Início Setup Envase]])</f>
        <v/>
      </c>
      <c r="AP306" s="663"/>
      <c r="AQ306" s="663"/>
      <c r="AR306" s="270"/>
      <c r="AS306" s="270"/>
      <c r="AT306" s="270"/>
      <c r="AU306" s="270"/>
      <c r="AV306" s="270"/>
      <c r="AW306" s="270"/>
      <c r="AX306" s="270"/>
      <c r="AY306" s="270"/>
      <c r="AZ306" s="270"/>
      <c r="BA306" s="270">
        <f>IF(Table1[[#This Row],[Data de Início]]="","",YEAR(Table1[[#This Row],[Data de Início]]))</f>
        <v>2025</v>
      </c>
      <c r="BB306" s="270">
        <f>IF(Table1[[#This Row],[Data de Início]]="","",MONTH(Table1[[#This Row],[Data de Início]]))</f>
        <v>8</v>
      </c>
      <c r="BC306" s="270"/>
    </row>
    <row r="307" spans="2:55" ht="15" customHeight="1" x14ac:dyDescent="0.25">
      <c r="B307" s="470">
        <v>45870.430555555555</v>
      </c>
      <c r="C307" s="263">
        <v>45870.618055555555</v>
      </c>
      <c r="D307" s="264" cm="1">
        <f t="array" ref="D307">IFERROR(HorasUteisFabrica2Turnos(B307,C307), "")</f>
        <v>3.5</v>
      </c>
      <c r="E307" s="265">
        <f t="shared" si="4"/>
        <v>740.57142857142856</v>
      </c>
      <c r="F307" s="266" t="s">
        <v>377</v>
      </c>
      <c r="G307" s="266" t="s">
        <v>505</v>
      </c>
      <c r="H307" s="266"/>
      <c r="I307" s="269" t="s">
        <v>545</v>
      </c>
      <c r="J307" s="267" t="s">
        <v>15</v>
      </c>
      <c r="K307" s="269">
        <v>2592</v>
      </c>
      <c r="L307" s="269" t="s">
        <v>296</v>
      </c>
      <c r="M307" s="270" t="str">
        <f>IFERROR(INDEX([1]Produtos!$C:$C,MATCH(L307,[1]Produtos!$B:$B,0)), "-")</f>
        <v>BODY SPLASH NÉCTAR DAS TAMARAS</v>
      </c>
      <c r="N307" s="510">
        <f>IFERROR(INDEX([1]Produtos!$E:$E,MATCH(L307,[1]Produtos!$B:$B,0)), "-")</f>
        <v>220</v>
      </c>
      <c r="O307" s="270" t="str">
        <f>IFERROR(INDEX([1]Produtos!$F:$F,MATCH(L307,[1]Produtos!$B:$B,0)), "-")</f>
        <v>ml</v>
      </c>
      <c r="P307" s="270" t="str">
        <f>IFERROR(INDEX([1]Produtos!$G:$G,MATCH(L307,[1]Produtos!$B:$B,0)), "-")</f>
        <v>MISS RÔSE</v>
      </c>
      <c r="Q307" s="270" t="str">
        <f>IFERROR(INDEX([1]Produtos!$H:$H,MATCH(L307,[1]Produtos!$B:$B,0)), "-")</f>
        <v>PERFUMARIA</v>
      </c>
      <c r="R307" s="270" t="str">
        <f>IFERROR(INDEX([1]Produtos!$I:$I,MATCH(L307,[1]Produtos!$B:$B,0)), "-")</f>
        <v>BODY SPLASH</v>
      </c>
      <c r="S307" s="270" t="str">
        <f>IFERROR(INDEX([1]Produtos!$J:$J,MATCH(L307,[1]Produtos!$B:$B,0)), "-")</f>
        <v>LÍQUIDO</v>
      </c>
      <c r="T307" s="474"/>
      <c r="U307" s="270"/>
      <c r="V307" s="270"/>
      <c r="W307" s="270"/>
      <c r="X307" s="270"/>
      <c r="Y307" s="270"/>
      <c r="Z307" s="270"/>
      <c r="AA307" s="270"/>
      <c r="AB307" s="270"/>
      <c r="AC307" s="270"/>
      <c r="AD307" s="270"/>
      <c r="AE307" s="270"/>
      <c r="AF307" s="270"/>
      <c r="AG307" s="270"/>
      <c r="AH307" s="270"/>
      <c r="AI307" s="270"/>
      <c r="AJ307" s="270"/>
      <c r="AK307" s="270"/>
      <c r="AL307" s="270"/>
      <c r="AM307" s="663"/>
      <c r="AN307" s="663"/>
      <c r="AO307" s="708" t="str">
        <f>IF(OR(Table1[[#This Row],[Início Setup Envase]]="",Table1[[#This Row],[Final Setup Envase]]=""),"",Table1[[#This Row],[Final Setup Envase]]-Table1[[#This Row],[Início Setup Envase]])</f>
        <v/>
      </c>
      <c r="AP307" s="663"/>
      <c r="AQ307" s="663"/>
      <c r="AR307" s="270"/>
      <c r="AS307" s="270"/>
      <c r="AT307" s="270"/>
      <c r="AU307" s="270"/>
      <c r="AV307" s="270"/>
      <c r="AW307" s="270"/>
      <c r="AX307" s="270"/>
      <c r="AY307" s="270"/>
      <c r="AZ307" s="270"/>
      <c r="BA307" s="270">
        <f>IF(Table1[[#This Row],[Data de Início]]="","",YEAR(Table1[[#This Row],[Data de Início]]))</f>
        <v>2025</v>
      </c>
      <c r="BB307" s="270">
        <f>IF(Table1[[#This Row],[Data de Início]]="","",MONTH(Table1[[#This Row],[Data de Início]]))</f>
        <v>8</v>
      </c>
      <c r="BC307" s="270"/>
    </row>
    <row r="308" spans="2:55" ht="15" customHeight="1" x14ac:dyDescent="0.25">
      <c r="B308" s="470">
        <v>45870.4375</v>
      </c>
      <c r="C308" s="263">
        <v>45870.652777777781</v>
      </c>
      <c r="D308" s="264" cm="1">
        <f t="array" ref="D308">IFERROR(HorasUteisFabrica2Turnos(B308,C308), "")</f>
        <v>4.1666666667442769</v>
      </c>
      <c r="E308" s="265">
        <f t="shared" si="4"/>
        <v>610.5599999886274</v>
      </c>
      <c r="F308" s="266" t="s">
        <v>378</v>
      </c>
      <c r="G308" s="266" t="s">
        <v>505</v>
      </c>
      <c r="H308" s="266"/>
      <c r="I308" s="269" t="s">
        <v>538</v>
      </c>
      <c r="J308" s="267" t="s">
        <v>15</v>
      </c>
      <c r="K308" s="269">
        <v>2544</v>
      </c>
      <c r="L308" s="269" t="s">
        <v>214</v>
      </c>
      <c r="M308" s="270" t="str">
        <f>IFERROR(INDEX([1]Produtos!$C:$C,MATCH(L308,[1]Produtos!$B:$B,0)), "-")</f>
        <v>BODY SPLASH ECLIPSE DOURADO</v>
      </c>
      <c r="N308" s="510">
        <f>IFERROR(INDEX([1]Produtos!$E:$E,MATCH(L308,[1]Produtos!$B:$B,0)), "-")</f>
        <v>220</v>
      </c>
      <c r="O308" s="270" t="str">
        <f>IFERROR(INDEX([1]Produtos!$F:$F,MATCH(L308,[1]Produtos!$B:$B,0)), "-")</f>
        <v>ml</v>
      </c>
      <c r="P308" s="270" t="str">
        <f>IFERROR(INDEX([1]Produtos!$G:$G,MATCH(L308,[1]Produtos!$B:$B,0)), "-")</f>
        <v>MISS RÔSE</v>
      </c>
      <c r="Q308" s="270" t="str">
        <f>IFERROR(INDEX([1]Produtos!$H:$H,MATCH(L308,[1]Produtos!$B:$B,0)), "-")</f>
        <v>PERFUMARIA</v>
      </c>
      <c r="R308" s="270" t="str">
        <f>IFERROR(INDEX([1]Produtos!$I:$I,MATCH(L308,[1]Produtos!$B:$B,0)), "-")</f>
        <v>BODY SPLASH</v>
      </c>
      <c r="S308" s="270" t="str">
        <f>IFERROR(INDEX([1]Produtos!$J:$J,MATCH(L308,[1]Produtos!$B:$B,0)), "-")</f>
        <v>LÍQUIDO</v>
      </c>
      <c r="T308" s="474"/>
      <c r="U308" s="270"/>
      <c r="V308" s="270"/>
      <c r="W308" s="270"/>
      <c r="X308" s="270"/>
      <c r="Y308" s="270"/>
      <c r="Z308" s="270"/>
      <c r="AA308" s="270"/>
      <c r="AB308" s="270"/>
      <c r="AC308" s="270"/>
      <c r="AD308" s="270"/>
      <c r="AE308" s="270"/>
      <c r="AF308" s="270"/>
      <c r="AG308" s="270"/>
      <c r="AH308" s="270"/>
      <c r="AI308" s="270"/>
      <c r="AJ308" s="270"/>
      <c r="AK308" s="270"/>
      <c r="AL308" s="270"/>
      <c r="AM308" s="663"/>
      <c r="AN308" s="663"/>
      <c r="AO308" s="708" t="str">
        <f>IF(OR(Table1[[#This Row],[Início Setup Envase]]="",Table1[[#This Row],[Final Setup Envase]]=""),"",Table1[[#This Row],[Final Setup Envase]]-Table1[[#This Row],[Início Setup Envase]])</f>
        <v/>
      </c>
      <c r="AP308" s="663"/>
      <c r="AQ308" s="663"/>
      <c r="AR308" s="270"/>
      <c r="AS308" s="270"/>
      <c r="AT308" s="270"/>
      <c r="AU308" s="270"/>
      <c r="AV308" s="270"/>
      <c r="AW308" s="270"/>
      <c r="AX308" s="270"/>
      <c r="AY308" s="270"/>
      <c r="AZ308" s="270"/>
      <c r="BA308" s="270">
        <f>IF(Table1[[#This Row],[Data de Início]]="","",YEAR(Table1[[#This Row],[Data de Início]]))</f>
        <v>2025</v>
      </c>
      <c r="BB308" s="270">
        <f>IF(Table1[[#This Row],[Data de Início]]="","",MONTH(Table1[[#This Row],[Data de Início]]))</f>
        <v>8</v>
      </c>
      <c r="BC308" s="270"/>
    </row>
    <row r="309" spans="2:55" ht="15" customHeight="1" x14ac:dyDescent="0.25">
      <c r="B309" s="470">
        <v>45870.652777777781</v>
      </c>
      <c r="C309" s="263">
        <v>45873.666666666664</v>
      </c>
      <c r="D309" s="264" cm="1">
        <f t="array" ref="D309">IFERROR(HorasUteisFabrica2Turnos(B309,C309), "")</f>
        <v>8.3333333331975155</v>
      </c>
      <c r="E309" s="265">
        <f t="shared" si="4"/>
        <v>305.28000000497548</v>
      </c>
      <c r="F309" s="266" t="s">
        <v>377</v>
      </c>
      <c r="G309" s="266" t="s">
        <v>505</v>
      </c>
      <c r="H309" s="266"/>
      <c r="I309" s="269" t="s">
        <v>539</v>
      </c>
      <c r="J309" s="267" t="s">
        <v>15</v>
      </c>
      <c r="K309" s="269">
        <v>2544</v>
      </c>
      <c r="L309" s="269" t="s">
        <v>214</v>
      </c>
      <c r="M309" s="270" t="str">
        <f>IFERROR(INDEX([1]Produtos!$C:$C,MATCH(L309,[1]Produtos!$B:$B,0)), "-")</f>
        <v>BODY SPLASH ECLIPSE DOURADO</v>
      </c>
      <c r="N309" s="510">
        <f>IFERROR(INDEX([1]Produtos!$E:$E,MATCH(L309,[1]Produtos!$B:$B,0)), "-")</f>
        <v>220</v>
      </c>
      <c r="O309" s="270" t="str">
        <f>IFERROR(INDEX([1]Produtos!$F:$F,MATCH(L309,[1]Produtos!$B:$B,0)), "-")</f>
        <v>ml</v>
      </c>
      <c r="P309" s="270" t="str">
        <f>IFERROR(INDEX([1]Produtos!$G:$G,MATCH(L309,[1]Produtos!$B:$B,0)), "-")</f>
        <v>MISS RÔSE</v>
      </c>
      <c r="Q309" s="270" t="str">
        <f>IFERROR(INDEX([1]Produtos!$H:$H,MATCH(L309,[1]Produtos!$B:$B,0)), "-")</f>
        <v>PERFUMARIA</v>
      </c>
      <c r="R309" s="270" t="str">
        <f>IFERROR(INDEX([1]Produtos!$I:$I,MATCH(L309,[1]Produtos!$B:$B,0)), "-")</f>
        <v>BODY SPLASH</v>
      </c>
      <c r="S309" s="270" t="str">
        <f>IFERROR(INDEX([1]Produtos!$J:$J,MATCH(L309,[1]Produtos!$B:$B,0)), "-")</f>
        <v>LÍQUIDO</v>
      </c>
      <c r="T309" s="474"/>
      <c r="U309" s="270"/>
      <c r="V309" s="270"/>
      <c r="W309" s="270"/>
      <c r="X309" s="270"/>
      <c r="Y309" s="270"/>
      <c r="Z309" s="270"/>
      <c r="AA309" s="270"/>
      <c r="AB309" s="270"/>
      <c r="AC309" s="270"/>
      <c r="AD309" s="270"/>
      <c r="AE309" s="270"/>
      <c r="AF309" s="270"/>
      <c r="AG309" s="270"/>
      <c r="AH309" s="270"/>
      <c r="AI309" s="270"/>
      <c r="AJ309" s="270"/>
      <c r="AK309" s="270"/>
      <c r="AL309" s="270"/>
      <c r="AM309" s="663"/>
      <c r="AN309" s="663"/>
      <c r="AO309" s="708" t="str">
        <f>IF(OR(Table1[[#This Row],[Início Setup Envase]]="",Table1[[#This Row],[Final Setup Envase]]=""),"",Table1[[#This Row],[Final Setup Envase]]-Table1[[#This Row],[Início Setup Envase]])</f>
        <v/>
      </c>
      <c r="AP309" s="663"/>
      <c r="AQ309" s="663"/>
      <c r="AR309" s="270"/>
      <c r="AS309" s="270"/>
      <c r="AT309" s="270"/>
      <c r="AU309" s="270"/>
      <c r="AV309" s="270"/>
      <c r="AW309" s="270"/>
      <c r="AX309" s="270"/>
      <c r="AY309" s="270"/>
      <c r="AZ309" s="270"/>
      <c r="BA309" s="270">
        <f>IF(Table1[[#This Row],[Data de Início]]="","",YEAR(Table1[[#This Row],[Data de Início]]))</f>
        <v>2025</v>
      </c>
      <c r="BB309" s="270">
        <f>IF(Table1[[#This Row],[Data de Início]]="","",MONTH(Table1[[#This Row],[Data de Início]]))</f>
        <v>8</v>
      </c>
      <c r="BC309" s="270"/>
    </row>
    <row r="310" spans="2:55" ht="15" customHeight="1" x14ac:dyDescent="0.25">
      <c r="B310" s="470">
        <v>45873.302083333336</v>
      </c>
      <c r="C310" s="263">
        <v>45873.625</v>
      </c>
      <c r="D310" s="264" cm="1">
        <f t="array" ref="D310">IFERROR(HorasUteisFabrica2Turnos(B310,C310), "")</f>
        <v>6.7499999999417923</v>
      </c>
      <c r="E310" s="265">
        <f t="shared" si="4"/>
        <v>595.55555556069123</v>
      </c>
      <c r="F310" s="266" t="s">
        <v>378</v>
      </c>
      <c r="G310" s="266" t="s">
        <v>360</v>
      </c>
      <c r="H310" s="266"/>
      <c r="I310" s="269" t="s">
        <v>877</v>
      </c>
      <c r="J310" s="267" t="s">
        <v>15</v>
      </c>
      <c r="K310" s="268">
        <v>4020</v>
      </c>
      <c r="L310" s="269" t="s">
        <v>537</v>
      </c>
      <c r="M310" s="270" t="str">
        <f>IFERROR(INDEX([1]Produtos!$C:$C,MATCH(L310,[1]Produtos!$B:$B,0)), "-")</f>
        <v>HIDRATANTE MATTE OITAVA MARAVILHA</v>
      </c>
      <c r="N310" s="510">
        <f>IFERROR(INDEX([1]Produtos!$E:$E,MATCH(L310,[1]Produtos!$B:$B,0)), "-")</f>
        <v>120</v>
      </c>
      <c r="O310" s="270" t="str">
        <f>IFERROR(INDEX([1]Produtos!$F:$F,MATCH(L310,[1]Produtos!$B:$B,0)), "-")</f>
        <v>ml</v>
      </c>
      <c r="P310" s="270" t="str">
        <f>IFERROR(INDEX([1]Produtos!$G:$G,MATCH(L310,[1]Produtos!$B:$B,0)), "-")</f>
        <v>DAPOP</v>
      </c>
      <c r="Q310" s="270" t="str">
        <f>IFERROR(INDEX([1]Produtos!$H:$H,MATCH(L310,[1]Produtos!$B:$B,0)), "-")</f>
        <v>CORPORAL</v>
      </c>
      <c r="R310" s="270" t="str">
        <f>IFERROR(INDEX([1]Produtos!$I:$I,MATCH(L310,[1]Produtos!$B:$B,0)), "-")</f>
        <v>CREME HIDRATANTE</v>
      </c>
      <c r="S310" s="270" t="str">
        <f>IFERROR(INDEX([1]Produtos!$J:$J,MATCH(L310,[1]Produtos!$B:$B,0)), "-")</f>
        <v>CREMOSO</v>
      </c>
      <c r="T310" s="474"/>
      <c r="U310" s="270"/>
      <c r="V310" s="270"/>
      <c r="W310" s="270"/>
      <c r="X310" s="270"/>
      <c r="Y310" s="270"/>
      <c r="Z310" s="270"/>
      <c r="AA310" s="270"/>
      <c r="AB310" s="270"/>
      <c r="AC310" s="270"/>
      <c r="AD310" s="270"/>
      <c r="AE310" s="270"/>
      <c r="AF310" s="270"/>
      <c r="AG310" s="270"/>
      <c r="AH310" s="270"/>
      <c r="AI310" s="270"/>
      <c r="AJ310" s="270"/>
      <c r="AK310" s="270"/>
      <c r="AL310" s="270"/>
      <c r="AM310" s="663"/>
      <c r="AN310" s="663"/>
      <c r="AO310" s="708" t="str">
        <f>IF(OR(Table1[[#This Row],[Início Setup Envase]]="",Table1[[#This Row],[Final Setup Envase]]=""),"",Table1[[#This Row],[Final Setup Envase]]-Table1[[#This Row],[Início Setup Envase]])</f>
        <v/>
      </c>
      <c r="AP310" s="663"/>
      <c r="AQ310" s="663"/>
      <c r="AR310" s="270"/>
      <c r="AS310" s="270"/>
      <c r="AT310" s="270"/>
      <c r="AU310" s="270"/>
      <c r="AV310" s="270"/>
      <c r="AW310" s="270"/>
      <c r="AX310" s="270"/>
      <c r="AY310" s="270"/>
      <c r="AZ310" s="270"/>
      <c r="BA310" s="270">
        <f>IF(Table1[[#This Row],[Data de Início]]="","",YEAR(Table1[[#This Row],[Data de Início]]))</f>
        <v>2025</v>
      </c>
      <c r="BB310" s="270">
        <f>IF(Table1[[#This Row],[Data de Início]]="","",MONTH(Table1[[#This Row],[Data de Início]]))</f>
        <v>8</v>
      </c>
      <c r="BC310" s="270"/>
    </row>
    <row r="311" spans="2:55" ht="15" customHeight="1" x14ac:dyDescent="0.25">
      <c r="B311" s="470">
        <v>45873.659722222219</v>
      </c>
      <c r="C311" s="263">
        <v>45874.5625</v>
      </c>
      <c r="D311" s="264" cm="1">
        <f t="array" ref="D311">IFERROR(HorasUteisFabrica2Turnos(B311,C311), "")</f>
        <v>6.6666666668606922</v>
      </c>
      <c r="E311" s="265">
        <f t="shared" si="4"/>
        <v>602.99999998245039</v>
      </c>
      <c r="F311" s="266" t="s">
        <v>378</v>
      </c>
      <c r="G311" s="266" t="s">
        <v>360</v>
      </c>
      <c r="H311" s="266"/>
      <c r="I311" s="269" t="s">
        <v>878</v>
      </c>
      <c r="J311" s="267" t="s">
        <v>15</v>
      </c>
      <c r="K311" s="268">
        <v>4020</v>
      </c>
      <c r="L311" s="269" t="s">
        <v>537</v>
      </c>
      <c r="M311" s="270" t="str">
        <f>IFERROR(INDEX([1]Produtos!$C:$C,MATCH(L311,[1]Produtos!$B:$B,0)), "-")</f>
        <v>HIDRATANTE MATTE OITAVA MARAVILHA</v>
      </c>
      <c r="N311" s="510">
        <f>IFERROR(INDEX([1]Produtos!$E:$E,MATCH(L311,[1]Produtos!$B:$B,0)), "-")</f>
        <v>120</v>
      </c>
      <c r="O311" s="270" t="str">
        <f>IFERROR(INDEX([1]Produtos!$F:$F,MATCH(L311,[1]Produtos!$B:$B,0)), "-")</f>
        <v>ml</v>
      </c>
      <c r="P311" s="270" t="str">
        <f>IFERROR(INDEX([1]Produtos!$G:$G,MATCH(L311,[1]Produtos!$B:$B,0)), "-")</f>
        <v>DAPOP</v>
      </c>
      <c r="Q311" s="270" t="str">
        <f>IFERROR(INDEX([1]Produtos!$H:$H,MATCH(L311,[1]Produtos!$B:$B,0)), "-")</f>
        <v>CORPORAL</v>
      </c>
      <c r="R311" s="270" t="str">
        <f>IFERROR(INDEX([1]Produtos!$I:$I,MATCH(L311,[1]Produtos!$B:$B,0)), "-")</f>
        <v>CREME HIDRATANTE</v>
      </c>
      <c r="S311" s="270" t="str">
        <f>IFERROR(INDEX([1]Produtos!$J:$J,MATCH(L311,[1]Produtos!$B:$B,0)), "-")</f>
        <v>CREMOSO</v>
      </c>
      <c r="T311" s="474"/>
      <c r="U311" s="270"/>
      <c r="V311" s="270"/>
      <c r="W311" s="270"/>
      <c r="X311" s="270"/>
      <c r="Y311" s="270"/>
      <c r="Z311" s="270"/>
      <c r="AA311" s="270"/>
      <c r="AB311" s="270"/>
      <c r="AC311" s="270"/>
      <c r="AD311" s="270"/>
      <c r="AE311" s="270"/>
      <c r="AF311" s="270"/>
      <c r="AG311" s="270"/>
      <c r="AH311" s="270"/>
      <c r="AI311" s="270"/>
      <c r="AJ311" s="270"/>
      <c r="AK311" s="270"/>
      <c r="AL311" s="270"/>
      <c r="AM311" s="663"/>
      <c r="AN311" s="663"/>
      <c r="AO311" s="708" t="str">
        <f>IF(OR(Table1[[#This Row],[Início Setup Envase]]="",Table1[[#This Row],[Final Setup Envase]]=""),"",Table1[[#This Row],[Final Setup Envase]]-Table1[[#This Row],[Início Setup Envase]])</f>
        <v/>
      </c>
      <c r="AP311" s="663"/>
      <c r="AQ311" s="663"/>
      <c r="AR311" s="270"/>
      <c r="AS311" s="270"/>
      <c r="AT311" s="270"/>
      <c r="AU311" s="270"/>
      <c r="AV311" s="270"/>
      <c r="AW311" s="270"/>
      <c r="AX311" s="270"/>
      <c r="AY311" s="270"/>
      <c r="AZ311" s="270"/>
      <c r="BA311" s="270">
        <f>IF(Table1[[#This Row],[Data de Início]]="","",YEAR(Table1[[#This Row],[Data de Início]]))</f>
        <v>2025</v>
      </c>
      <c r="BB311" s="270">
        <f>IF(Table1[[#This Row],[Data de Início]]="","",MONTH(Table1[[#This Row],[Data de Início]]))</f>
        <v>8</v>
      </c>
      <c r="BC311" s="270"/>
    </row>
    <row r="312" spans="2:55" ht="15" customHeight="1" x14ac:dyDescent="0.25">
      <c r="B312" s="470">
        <v>45873.666666666664</v>
      </c>
      <c r="C312" s="263">
        <v>45874.402777777781</v>
      </c>
      <c r="D312" s="264" cm="1">
        <f t="array" ref="D312">IFERROR(HorasUteisFabrica2Turnos(B312,C312), "")</f>
        <v>3.6666666669188999</v>
      </c>
      <c r="E312" s="265">
        <f t="shared" si="4"/>
        <v>693.81818177045341</v>
      </c>
      <c r="F312" s="266" t="s">
        <v>377</v>
      </c>
      <c r="G312" s="266" t="s">
        <v>505</v>
      </c>
      <c r="H312" s="266"/>
      <c r="I312" s="269" t="s">
        <v>540</v>
      </c>
      <c r="J312" s="267" t="s">
        <v>15</v>
      </c>
      <c r="K312" s="269">
        <v>2544</v>
      </c>
      <c r="L312" s="269" t="s">
        <v>214</v>
      </c>
      <c r="M312" s="270" t="str">
        <f>IFERROR(INDEX([1]Produtos!$C:$C,MATCH(L312,[1]Produtos!$B:$B,0)), "-")</f>
        <v>BODY SPLASH ECLIPSE DOURADO</v>
      </c>
      <c r="N312" s="510">
        <f>IFERROR(INDEX([1]Produtos!$E:$E,MATCH(L312,[1]Produtos!$B:$B,0)), "-")</f>
        <v>220</v>
      </c>
      <c r="O312" s="270" t="str">
        <f>IFERROR(INDEX([1]Produtos!$F:$F,MATCH(L312,[1]Produtos!$B:$B,0)), "-")</f>
        <v>ml</v>
      </c>
      <c r="P312" s="270" t="str">
        <f>IFERROR(INDEX([1]Produtos!$G:$G,MATCH(L312,[1]Produtos!$B:$B,0)), "-")</f>
        <v>MISS RÔSE</v>
      </c>
      <c r="Q312" s="270" t="str">
        <f>IFERROR(INDEX([1]Produtos!$H:$H,MATCH(L312,[1]Produtos!$B:$B,0)), "-")</f>
        <v>PERFUMARIA</v>
      </c>
      <c r="R312" s="270" t="str">
        <f>IFERROR(INDEX([1]Produtos!$I:$I,MATCH(L312,[1]Produtos!$B:$B,0)), "-")</f>
        <v>BODY SPLASH</v>
      </c>
      <c r="S312" s="270" t="str">
        <f>IFERROR(INDEX([1]Produtos!$J:$J,MATCH(L312,[1]Produtos!$B:$B,0)), "-")</f>
        <v>LÍQUIDO</v>
      </c>
      <c r="T312" s="474"/>
      <c r="U312" s="270"/>
      <c r="V312" s="270"/>
      <c r="W312" s="270"/>
      <c r="X312" s="270"/>
      <c r="Y312" s="270"/>
      <c r="Z312" s="270"/>
      <c r="AA312" s="270"/>
      <c r="AB312" s="270"/>
      <c r="AC312" s="270"/>
      <c r="AD312" s="270"/>
      <c r="AE312" s="270"/>
      <c r="AF312" s="270"/>
      <c r="AG312" s="270"/>
      <c r="AH312" s="270"/>
      <c r="AI312" s="270"/>
      <c r="AJ312" s="270"/>
      <c r="AK312" s="270"/>
      <c r="AL312" s="270"/>
      <c r="AM312" s="663"/>
      <c r="AN312" s="663"/>
      <c r="AO312" s="708" t="str">
        <f>IF(OR(Table1[[#This Row],[Início Setup Envase]]="",Table1[[#This Row],[Final Setup Envase]]=""),"",Table1[[#This Row],[Final Setup Envase]]-Table1[[#This Row],[Início Setup Envase]])</f>
        <v/>
      </c>
      <c r="AP312" s="663"/>
      <c r="AQ312" s="663"/>
      <c r="AR312" s="270"/>
      <c r="AS312" s="270"/>
      <c r="AT312" s="270"/>
      <c r="AU312" s="270"/>
      <c r="AV312" s="270"/>
      <c r="AW312" s="270"/>
      <c r="AX312" s="270"/>
      <c r="AY312" s="270"/>
      <c r="AZ312" s="270"/>
      <c r="BA312" s="270">
        <f>IF(Table1[[#This Row],[Data de Início]]="","",YEAR(Table1[[#This Row],[Data de Início]]))</f>
        <v>2025</v>
      </c>
      <c r="BB312" s="270">
        <f>IF(Table1[[#This Row],[Data de Início]]="","",MONTH(Table1[[#This Row],[Data de Início]]))</f>
        <v>8</v>
      </c>
      <c r="BC312" s="270"/>
    </row>
    <row r="313" spans="2:55" ht="15" customHeight="1" x14ac:dyDescent="0.25">
      <c r="B313" s="470">
        <v>45874.402777777781</v>
      </c>
      <c r="C313" s="263">
        <v>45874.5625</v>
      </c>
      <c r="D313" s="264" cm="1">
        <f t="array" ref="D313">IFERROR(HorasUteisFabrica2Turnos(B313,C313), "")</f>
        <v>2.8333333332557231</v>
      </c>
      <c r="E313" s="265">
        <f t="shared" si="4"/>
        <v>897.88235296577113</v>
      </c>
      <c r="F313" s="266" t="s">
        <v>377</v>
      </c>
      <c r="G313" s="266" t="s">
        <v>505</v>
      </c>
      <c r="H313" s="266"/>
      <c r="I313" s="269" t="s">
        <v>541</v>
      </c>
      <c r="J313" s="267" t="s">
        <v>15</v>
      </c>
      <c r="K313" s="269">
        <v>2544</v>
      </c>
      <c r="L313" s="269" t="s">
        <v>214</v>
      </c>
      <c r="M313" s="270" t="str">
        <f>IFERROR(INDEX([1]Produtos!$C:$C,MATCH(L313,[1]Produtos!$B:$B,0)), "-")</f>
        <v>BODY SPLASH ECLIPSE DOURADO</v>
      </c>
      <c r="N313" s="510">
        <f>IFERROR(INDEX([1]Produtos!$E:$E,MATCH(L313,[1]Produtos!$B:$B,0)), "-")</f>
        <v>220</v>
      </c>
      <c r="O313" s="270" t="str">
        <f>IFERROR(INDEX([1]Produtos!$F:$F,MATCH(L313,[1]Produtos!$B:$B,0)), "-")</f>
        <v>ml</v>
      </c>
      <c r="P313" s="270" t="str">
        <f>IFERROR(INDEX([1]Produtos!$G:$G,MATCH(L313,[1]Produtos!$B:$B,0)), "-")</f>
        <v>MISS RÔSE</v>
      </c>
      <c r="Q313" s="270" t="str">
        <f>IFERROR(INDEX([1]Produtos!$H:$H,MATCH(L313,[1]Produtos!$B:$B,0)), "-")</f>
        <v>PERFUMARIA</v>
      </c>
      <c r="R313" s="270" t="str">
        <f>IFERROR(INDEX([1]Produtos!$I:$I,MATCH(L313,[1]Produtos!$B:$B,0)), "-")</f>
        <v>BODY SPLASH</v>
      </c>
      <c r="S313" s="270" t="str">
        <f>IFERROR(INDEX([1]Produtos!$J:$J,MATCH(L313,[1]Produtos!$B:$B,0)), "-")</f>
        <v>LÍQUIDO</v>
      </c>
      <c r="T313" s="474"/>
      <c r="U313" s="270"/>
      <c r="V313" s="270"/>
      <c r="W313" s="270"/>
      <c r="X313" s="270"/>
      <c r="Y313" s="270"/>
      <c r="Z313" s="270"/>
      <c r="AA313" s="270"/>
      <c r="AB313" s="270"/>
      <c r="AC313" s="270"/>
      <c r="AD313" s="270"/>
      <c r="AE313" s="270"/>
      <c r="AF313" s="270"/>
      <c r="AG313" s="270"/>
      <c r="AH313" s="270"/>
      <c r="AI313" s="270"/>
      <c r="AJ313" s="270"/>
      <c r="AK313" s="270"/>
      <c r="AL313" s="270"/>
      <c r="AM313" s="663"/>
      <c r="AN313" s="663"/>
      <c r="AO313" s="708" t="str">
        <f>IF(OR(Table1[[#This Row],[Início Setup Envase]]="",Table1[[#This Row],[Final Setup Envase]]=""),"",Table1[[#This Row],[Final Setup Envase]]-Table1[[#This Row],[Início Setup Envase]])</f>
        <v/>
      </c>
      <c r="AP313" s="663"/>
      <c r="AQ313" s="663"/>
      <c r="AR313" s="270"/>
      <c r="AS313" s="270"/>
      <c r="AT313" s="270"/>
      <c r="AU313" s="270"/>
      <c r="AV313" s="270"/>
      <c r="AW313" s="270"/>
      <c r="AX313" s="270"/>
      <c r="AY313" s="270"/>
      <c r="AZ313" s="270"/>
      <c r="BA313" s="270">
        <f>IF(Table1[[#This Row],[Data de Início]]="","",YEAR(Table1[[#This Row],[Data de Início]]))</f>
        <v>2025</v>
      </c>
      <c r="BB313" s="270">
        <f>IF(Table1[[#This Row],[Data de Início]]="","",MONTH(Table1[[#This Row],[Data de Início]]))</f>
        <v>8</v>
      </c>
      <c r="BC313" s="270"/>
    </row>
    <row r="314" spans="2:55" ht="15" customHeight="1" x14ac:dyDescent="0.25">
      <c r="B314" s="470">
        <v>45874.5625</v>
      </c>
      <c r="C314" s="263">
        <v>45875.444444444445</v>
      </c>
      <c r="D314" s="264" cm="1">
        <f t="array" ref="D314">IFERROR(HorasUteisFabrica2Turnos(B314,C314), "")</f>
        <v>7.1666666668024845</v>
      </c>
      <c r="E314" s="265">
        <f t="shared" si="4"/>
        <v>560.93023254750915</v>
      </c>
      <c r="F314" s="266" t="s">
        <v>378</v>
      </c>
      <c r="G314" s="266" t="s">
        <v>360</v>
      </c>
      <c r="H314" s="266"/>
      <c r="I314" s="269" t="s">
        <v>879</v>
      </c>
      <c r="J314" s="267" t="s">
        <v>15</v>
      </c>
      <c r="K314" s="268">
        <v>4020</v>
      </c>
      <c r="L314" s="269" t="s">
        <v>537</v>
      </c>
      <c r="M314" s="270" t="str">
        <f>IFERROR(INDEX([1]Produtos!$C:$C,MATCH(L314,[1]Produtos!$B:$B,0)), "-")</f>
        <v>HIDRATANTE MATTE OITAVA MARAVILHA</v>
      </c>
      <c r="N314" s="510">
        <f>IFERROR(INDEX([1]Produtos!$E:$E,MATCH(L314,[1]Produtos!$B:$B,0)), "-")</f>
        <v>120</v>
      </c>
      <c r="O314" s="270" t="str">
        <f>IFERROR(INDEX([1]Produtos!$F:$F,MATCH(L314,[1]Produtos!$B:$B,0)), "-")</f>
        <v>ml</v>
      </c>
      <c r="P314" s="270" t="str">
        <f>IFERROR(INDEX([1]Produtos!$G:$G,MATCH(L314,[1]Produtos!$B:$B,0)), "-")</f>
        <v>DAPOP</v>
      </c>
      <c r="Q314" s="270" t="str">
        <f>IFERROR(INDEX([1]Produtos!$H:$H,MATCH(L314,[1]Produtos!$B:$B,0)), "-")</f>
        <v>CORPORAL</v>
      </c>
      <c r="R314" s="270" t="str">
        <f>IFERROR(INDEX([1]Produtos!$I:$I,MATCH(L314,[1]Produtos!$B:$B,0)), "-")</f>
        <v>CREME HIDRATANTE</v>
      </c>
      <c r="S314" s="270" t="str">
        <f>IFERROR(INDEX([1]Produtos!$J:$J,MATCH(L314,[1]Produtos!$B:$B,0)), "-")</f>
        <v>CREMOSO</v>
      </c>
      <c r="T314" s="474"/>
      <c r="U314" s="270"/>
      <c r="V314" s="270"/>
      <c r="W314" s="270"/>
      <c r="X314" s="270"/>
      <c r="Y314" s="270"/>
      <c r="Z314" s="270"/>
      <c r="AA314" s="270"/>
      <c r="AB314" s="270"/>
      <c r="AC314" s="270"/>
      <c r="AD314" s="270"/>
      <c r="AE314" s="270"/>
      <c r="AF314" s="270"/>
      <c r="AG314" s="270"/>
      <c r="AH314" s="270"/>
      <c r="AI314" s="270"/>
      <c r="AJ314" s="270"/>
      <c r="AK314" s="270"/>
      <c r="AL314" s="270"/>
      <c r="AM314" s="663"/>
      <c r="AN314" s="663"/>
      <c r="AO314" s="708" t="str">
        <f>IF(OR(Table1[[#This Row],[Início Setup Envase]]="",Table1[[#This Row],[Final Setup Envase]]=""),"",Table1[[#This Row],[Final Setup Envase]]-Table1[[#This Row],[Início Setup Envase]])</f>
        <v/>
      </c>
      <c r="AP314" s="663"/>
      <c r="AQ314" s="663"/>
      <c r="AR314" s="270"/>
      <c r="AS314" s="270"/>
      <c r="AT314" s="270"/>
      <c r="AU314" s="270"/>
      <c r="AV314" s="270"/>
      <c r="AW314" s="270"/>
      <c r="AX314" s="270"/>
      <c r="AY314" s="270"/>
      <c r="AZ314" s="270"/>
      <c r="BA314" s="270">
        <f>IF(Table1[[#This Row],[Data de Início]]="","",YEAR(Table1[[#This Row],[Data de Início]]))</f>
        <v>2025</v>
      </c>
      <c r="BB314" s="270">
        <f>IF(Table1[[#This Row],[Data de Início]]="","",MONTH(Table1[[#This Row],[Data de Início]]))</f>
        <v>8</v>
      </c>
      <c r="BC314" s="270"/>
    </row>
    <row r="315" spans="2:55" ht="15" customHeight="1" x14ac:dyDescent="0.25">
      <c r="B315" s="470">
        <v>45874.590277777781</v>
      </c>
      <c r="C315" s="263">
        <v>45874.708333333336</v>
      </c>
      <c r="D315" s="264" cm="1">
        <f t="array" ref="D315">IFERROR(HorasUteisFabrica2Turnos(B315,C315), "")</f>
        <v>2.8333333333139308</v>
      </c>
      <c r="E315" s="265">
        <f t="shared" si="4"/>
        <v>635.99999998148996</v>
      </c>
      <c r="F315" s="266" t="s">
        <v>377</v>
      </c>
      <c r="G315" s="266" t="s">
        <v>505</v>
      </c>
      <c r="H315" s="266"/>
      <c r="I315" s="269" t="s">
        <v>632</v>
      </c>
      <c r="J315" s="267" t="s">
        <v>15</v>
      </c>
      <c r="K315" s="268">
        <v>1801.9999999352149</v>
      </c>
      <c r="L315" s="269" t="s">
        <v>213</v>
      </c>
      <c r="M315" s="270" t="str">
        <f>IFERROR(INDEX([1]Produtos!$C:$C,MATCH(L315,[1]Produtos!$B:$B,0)), "-")</f>
        <v>BODY SPLASH DEUSA DO NILO</v>
      </c>
      <c r="N315" s="510">
        <f>IFERROR(INDEX([1]Produtos!$E:$E,MATCH(L315,[1]Produtos!$B:$B,0)), "-")</f>
        <v>220</v>
      </c>
      <c r="O315" s="270" t="str">
        <f>IFERROR(INDEX([1]Produtos!$F:$F,MATCH(L315,[1]Produtos!$B:$B,0)), "-")</f>
        <v>ml</v>
      </c>
      <c r="P315" s="270" t="str">
        <f>IFERROR(INDEX([1]Produtos!$G:$G,MATCH(L315,[1]Produtos!$B:$B,0)), "-")</f>
        <v>MISS RÔSE</v>
      </c>
      <c r="Q315" s="270" t="str">
        <f>IFERROR(INDEX([1]Produtos!$H:$H,MATCH(L315,[1]Produtos!$B:$B,0)), "-")</f>
        <v>PERFUMARIA</v>
      </c>
      <c r="R315" s="270" t="str">
        <f>IFERROR(INDEX([1]Produtos!$I:$I,MATCH(L315,[1]Produtos!$B:$B,0)), "-")</f>
        <v>BODY SPLASH</v>
      </c>
      <c r="S315" s="270" t="str">
        <f>IFERROR(INDEX([1]Produtos!$J:$J,MATCH(L315,[1]Produtos!$B:$B,0)), "-")</f>
        <v>LÍQUIDO</v>
      </c>
      <c r="T315" s="474"/>
      <c r="U315" s="270"/>
      <c r="V315" s="270"/>
      <c r="W315" s="270"/>
      <c r="X315" s="270"/>
      <c r="Y315" s="270"/>
      <c r="Z315" s="270"/>
      <c r="AA315" s="270"/>
      <c r="AB315" s="270"/>
      <c r="AC315" s="270"/>
      <c r="AD315" s="270"/>
      <c r="AE315" s="270"/>
      <c r="AF315" s="270"/>
      <c r="AG315" s="270"/>
      <c r="AH315" s="270"/>
      <c r="AI315" s="270"/>
      <c r="AJ315" s="270"/>
      <c r="AK315" s="270"/>
      <c r="AL315" s="270"/>
      <c r="AM315" s="663"/>
      <c r="AN315" s="663"/>
      <c r="AO315" s="708" t="str">
        <f>IF(OR(Table1[[#This Row],[Início Setup Envase]]="",Table1[[#This Row],[Final Setup Envase]]=""),"",Table1[[#This Row],[Final Setup Envase]]-Table1[[#This Row],[Início Setup Envase]])</f>
        <v/>
      </c>
      <c r="AP315" s="663"/>
      <c r="AQ315" s="663"/>
      <c r="AR315" s="270"/>
      <c r="AS315" s="270"/>
      <c r="AT315" s="270"/>
      <c r="AU315" s="270"/>
      <c r="AV315" s="270"/>
      <c r="AW315" s="270"/>
      <c r="AX315" s="270"/>
      <c r="AY315" s="270"/>
      <c r="AZ315" s="270"/>
      <c r="BA315" s="270">
        <f>IF(Table1[[#This Row],[Data de Início]]="","",YEAR(Table1[[#This Row],[Data de Início]]))</f>
        <v>2025</v>
      </c>
      <c r="BB315" s="270">
        <f>IF(Table1[[#This Row],[Data de Início]]="","",MONTH(Table1[[#This Row],[Data de Início]]))</f>
        <v>8</v>
      </c>
      <c r="BC315" s="270"/>
    </row>
    <row r="316" spans="2:55" ht="15" customHeight="1" x14ac:dyDescent="0.25">
      <c r="B316" s="470">
        <v>45875.291666666664</v>
      </c>
      <c r="C316" s="263">
        <v>45875.340277777781</v>
      </c>
      <c r="D316" s="264" cm="1">
        <f t="array" ref="D316">IFERROR(HorasUteisFabrica2Turnos(B316,C316), "")</f>
        <v>1.1666666668024845</v>
      </c>
      <c r="E316" s="265">
        <f t="shared" si="4"/>
        <v>635.99999998148996</v>
      </c>
      <c r="F316" s="266" t="s">
        <v>377</v>
      </c>
      <c r="G316" s="266" t="s">
        <v>505</v>
      </c>
      <c r="H316" s="266"/>
      <c r="I316" s="269" t="s">
        <v>632</v>
      </c>
      <c r="J316" s="267" t="s">
        <v>15</v>
      </c>
      <c r="K316" s="268">
        <v>742.00000006478513</v>
      </c>
      <c r="L316" s="269" t="s">
        <v>213</v>
      </c>
      <c r="M316" s="270" t="str">
        <f>IFERROR(INDEX([1]Produtos!$C:$C,MATCH(L316,[1]Produtos!$B:$B,0)), "-")</f>
        <v>BODY SPLASH DEUSA DO NILO</v>
      </c>
      <c r="N316" s="510">
        <f>IFERROR(INDEX([1]Produtos!$E:$E,MATCH(L316,[1]Produtos!$B:$B,0)), "-")</f>
        <v>220</v>
      </c>
      <c r="O316" s="270" t="str">
        <f>IFERROR(INDEX([1]Produtos!$F:$F,MATCH(L316,[1]Produtos!$B:$B,0)), "-")</f>
        <v>ml</v>
      </c>
      <c r="P316" s="270" t="str">
        <f>IFERROR(INDEX([1]Produtos!$G:$G,MATCH(L316,[1]Produtos!$B:$B,0)), "-")</f>
        <v>MISS RÔSE</v>
      </c>
      <c r="Q316" s="270" t="str">
        <f>IFERROR(INDEX([1]Produtos!$H:$H,MATCH(L316,[1]Produtos!$B:$B,0)), "-")</f>
        <v>PERFUMARIA</v>
      </c>
      <c r="R316" s="270" t="str">
        <f>IFERROR(INDEX([1]Produtos!$I:$I,MATCH(L316,[1]Produtos!$B:$B,0)), "-")</f>
        <v>BODY SPLASH</v>
      </c>
      <c r="S316" s="270" t="str">
        <f>IFERROR(INDEX([1]Produtos!$J:$J,MATCH(L316,[1]Produtos!$B:$B,0)), "-")</f>
        <v>LÍQUIDO</v>
      </c>
      <c r="T316" s="474"/>
      <c r="U316" s="270"/>
      <c r="V316" s="270"/>
      <c r="W316" s="270"/>
      <c r="X316" s="270"/>
      <c r="Y316" s="270"/>
      <c r="Z316" s="270"/>
      <c r="AA316" s="270"/>
      <c r="AB316" s="270"/>
      <c r="AC316" s="270"/>
      <c r="AD316" s="270"/>
      <c r="AE316" s="270"/>
      <c r="AF316" s="270"/>
      <c r="AG316" s="270"/>
      <c r="AH316" s="270"/>
      <c r="AI316" s="270"/>
      <c r="AJ316" s="270"/>
      <c r="AK316" s="270"/>
      <c r="AL316" s="270"/>
      <c r="AM316" s="663"/>
      <c r="AN316" s="663"/>
      <c r="AO316" s="708" t="str">
        <f>IF(OR(Table1[[#This Row],[Início Setup Envase]]="",Table1[[#This Row],[Final Setup Envase]]=""),"",Table1[[#This Row],[Final Setup Envase]]-Table1[[#This Row],[Início Setup Envase]])</f>
        <v/>
      </c>
      <c r="AP316" s="663"/>
      <c r="AQ316" s="663"/>
      <c r="AR316" s="270"/>
      <c r="AS316" s="270"/>
      <c r="AT316" s="270"/>
      <c r="AU316" s="270"/>
      <c r="AV316" s="270"/>
      <c r="AW316" s="270"/>
      <c r="AX316" s="270"/>
      <c r="AY316" s="270"/>
      <c r="AZ316" s="270"/>
      <c r="BA316" s="270">
        <f>IF(Table1[[#This Row],[Data de Início]]="","",YEAR(Table1[[#This Row],[Data de Início]]))</f>
        <v>2025</v>
      </c>
      <c r="BB316" s="270">
        <f>IF(Table1[[#This Row],[Data de Início]]="","",MONTH(Table1[[#This Row],[Data de Início]]))</f>
        <v>8</v>
      </c>
      <c r="BC316" s="270"/>
    </row>
    <row r="317" spans="2:55" ht="15" customHeight="1" x14ac:dyDescent="0.25">
      <c r="B317" s="470">
        <v>45875.340277777781</v>
      </c>
      <c r="C317" s="263">
        <v>45875.478472222225</v>
      </c>
      <c r="D317" s="264" cm="1">
        <f t="array" ref="D317">IFERROR(HorasUteisFabrica2Turnos(B317,C317), "")</f>
        <v>3.3166666666511446</v>
      </c>
      <c r="E317" s="265">
        <f t="shared" si="4"/>
        <v>767.03517588298666</v>
      </c>
      <c r="F317" s="266" t="s">
        <v>377</v>
      </c>
      <c r="G317" s="266" t="s">
        <v>505</v>
      </c>
      <c r="H317" s="266"/>
      <c r="I317" s="269" t="s">
        <v>633</v>
      </c>
      <c r="J317" s="267" t="s">
        <v>15</v>
      </c>
      <c r="K317" s="269">
        <v>2544</v>
      </c>
      <c r="L317" s="269" t="s">
        <v>213</v>
      </c>
      <c r="M317" s="270" t="str">
        <f>IFERROR(INDEX([1]Produtos!$C:$C,MATCH(L317,[1]Produtos!$B:$B,0)), "-")</f>
        <v>BODY SPLASH DEUSA DO NILO</v>
      </c>
      <c r="N317" s="510">
        <f>IFERROR(INDEX([1]Produtos!$E:$E,MATCH(L317,[1]Produtos!$B:$B,0)), "-")</f>
        <v>220</v>
      </c>
      <c r="O317" s="270" t="str">
        <f>IFERROR(INDEX([1]Produtos!$F:$F,MATCH(L317,[1]Produtos!$B:$B,0)), "-")</f>
        <v>ml</v>
      </c>
      <c r="P317" s="270" t="str">
        <f>IFERROR(INDEX([1]Produtos!$G:$G,MATCH(L317,[1]Produtos!$B:$B,0)), "-")</f>
        <v>MISS RÔSE</v>
      </c>
      <c r="Q317" s="270" t="str">
        <f>IFERROR(INDEX([1]Produtos!$H:$H,MATCH(L317,[1]Produtos!$B:$B,0)), "-")</f>
        <v>PERFUMARIA</v>
      </c>
      <c r="R317" s="270" t="str">
        <f>IFERROR(INDEX([1]Produtos!$I:$I,MATCH(L317,[1]Produtos!$B:$B,0)), "-")</f>
        <v>BODY SPLASH</v>
      </c>
      <c r="S317" s="270" t="str">
        <f>IFERROR(INDEX([1]Produtos!$J:$J,MATCH(L317,[1]Produtos!$B:$B,0)), "-")</f>
        <v>LÍQUIDO</v>
      </c>
      <c r="T317" s="474"/>
      <c r="U317" s="270"/>
      <c r="V317" s="270"/>
      <c r="W317" s="270"/>
      <c r="X317" s="270"/>
      <c r="Y317" s="270"/>
      <c r="Z317" s="270"/>
      <c r="AA317" s="270"/>
      <c r="AB317" s="270"/>
      <c r="AC317" s="270"/>
      <c r="AD317" s="270"/>
      <c r="AE317" s="270"/>
      <c r="AF317" s="270"/>
      <c r="AG317" s="270"/>
      <c r="AH317" s="270"/>
      <c r="AI317" s="270"/>
      <c r="AJ317" s="270"/>
      <c r="AK317" s="270"/>
      <c r="AL317" s="270"/>
      <c r="AM317" s="663"/>
      <c r="AN317" s="663"/>
      <c r="AO317" s="708" t="str">
        <f>IF(OR(Table1[[#This Row],[Início Setup Envase]]="",Table1[[#This Row],[Final Setup Envase]]=""),"",Table1[[#This Row],[Final Setup Envase]]-Table1[[#This Row],[Início Setup Envase]])</f>
        <v/>
      </c>
      <c r="AP317" s="663"/>
      <c r="AQ317" s="663"/>
      <c r="AR317" s="270"/>
      <c r="AS317" s="270"/>
      <c r="AT317" s="270"/>
      <c r="AU317" s="270"/>
      <c r="AV317" s="270"/>
      <c r="AW317" s="270"/>
      <c r="AX317" s="270"/>
      <c r="AY317" s="270"/>
      <c r="AZ317" s="270"/>
      <c r="BA317" s="270">
        <f>IF(Table1[[#This Row],[Data de Início]]="","",YEAR(Table1[[#This Row],[Data de Início]]))</f>
        <v>2025</v>
      </c>
      <c r="BB317" s="270">
        <f>IF(Table1[[#This Row],[Data de Início]]="","",MONTH(Table1[[#This Row],[Data de Início]]))</f>
        <v>8</v>
      </c>
      <c r="BC317" s="270"/>
    </row>
    <row r="318" spans="2:55" ht="15" customHeight="1" x14ac:dyDescent="0.25">
      <c r="B318" s="470">
        <v>45875.444444444445</v>
      </c>
      <c r="C318" s="263">
        <v>45875.690972222219</v>
      </c>
      <c r="D318" s="264" cm="1">
        <f t="array" ref="D318">IFERROR(HorasUteisFabrica2Turnos(B318,C318), "")</f>
        <v>4.9166666665696539</v>
      </c>
      <c r="E318" s="265">
        <f t="shared" si="4"/>
        <v>817.62711866020072</v>
      </c>
      <c r="F318" s="266" t="s">
        <v>378</v>
      </c>
      <c r="G318" s="266" t="s">
        <v>360</v>
      </c>
      <c r="H318" s="266"/>
      <c r="I318" s="269" t="s">
        <v>880</v>
      </c>
      <c r="J318" s="267" t="s">
        <v>15</v>
      </c>
      <c r="K318" s="268">
        <v>4020</v>
      </c>
      <c r="L318" s="269" t="s">
        <v>537</v>
      </c>
      <c r="M318" s="270" t="str">
        <f>IFERROR(INDEX([1]Produtos!$C:$C,MATCH(L318,[1]Produtos!$B:$B,0)), "-")</f>
        <v>HIDRATANTE MATTE OITAVA MARAVILHA</v>
      </c>
      <c r="N318" s="510">
        <f>IFERROR(INDEX([1]Produtos!$E:$E,MATCH(L318,[1]Produtos!$B:$B,0)), "-")</f>
        <v>120</v>
      </c>
      <c r="O318" s="270" t="str">
        <f>IFERROR(INDEX([1]Produtos!$F:$F,MATCH(L318,[1]Produtos!$B:$B,0)), "-")</f>
        <v>ml</v>
      </c>
      <c r="P318" s="270" t="str">
        <f>IFERROR(INDEX([1]Produtos!$G:$G,MATCH(L318,[1]Produtos!$B:$B,0)), "-")</f>
        <v>DAPOP</v>
      </c>
      <c r="Q318" s="270" t="str">
        <f>IFERROR(INDEX([1]Produtos!$H:$H,MATCH(L318,[1]Produtos!$B:$B,0)), "-")</f>
        <v>CORPORAL</v>
      </c>
      <c r="R318" s="270" t="str">
        <f>IFERROR(INDEX([1]Produtos!$I:$I,MATCH(L318,[1]Produtos!$B:$B,0)), "-")</f>
        <v>CREME HIDRATANTE</v>
      </c>
      <c r="S318" s="270" t="str">
        <f>IFERROR(INDEX([1]Produtos!$J:$J,MATCH(L318,[1]Produtos!$B:$B,0)), "-")</f>
        <v>CREMOSO</v>
      </c>
      <c r="T318" s="474"/>
      <c r="U318" s="270"/>
      <c r="V318" s="270"/>
      <c r="W318" s="270"/>
      <c r="X318" s="270"/>
      <c r="Y318" s="270"/>
      <c r="Z318" s="270"/>
      <c r="AA318" s="270"/>
      <c r="AB318" s="270"/>
      <c r="AC318" s="270"/>
      <c r="AD318" s="270"/>
      <c r="AE318" s="270"/>
      <c r="AF318" s="270"/>
      <c r="AG318" s="270"/>
      <c r="AH318" s="270"/>
      <c r="AI318" s="270"/>
      <c r="AJ318" s="270"/>
      <c r="AK318" s="270"/>
      <c r="AL318" s="270"/>
      <c r="AM318" s="663"/>
      <c r="AN318" s="663"/>
      <c r="AO318" s="708" t="str">
        <f>IF(OR(Table1[[#This Row],[Início Setup Envase]]="",Table1[[#This Row],[Final Setup Envase]]=""),"",Table1[[#This Row],[Final Setup Envase]]-Table1[[#This Row],[Início Setup Envase]])</f>
        <v/>
      </c>
      <c r="AP318" s="663"/>
      <c r="AQ318" s="663"/>
      <c r="AR318" s="270"/>
      <c r="AS318" s="270"/>
      <c r="AT318" s="270"/>
      <c r="AU318" s="270"/>
      <c r="AV318" s="270"/>
      <c r="AW318" s="270"/>
      <c r="AX318" s="270"/>
      <c r="AY318" s="270"/>
      <c r="AZ318" s="270"/>
      <c r="BA318" s="270">
        <f>IF(Table1[[#This Row],[Data de Início]]="","",YEAR(Table1[[#This Row],[Data de Início]]))</f>
        <v>2025</v>
      </c>
      <c r="BB318" s="270">
        <f>IF(Table1[[#This Row],[Data de Início]]="","",MONTH(Table1[[#This Row],[Data de Início]]))</f>
        <v>8</v>
      </c>
      <c r="BC318" s="270"/>
    </row>
    <row r="319" spans="2:55" ht="15" customHeight="1" x14ac:dyDescent="0.25">
      <c r="B319" s="470">
        <v>45875.478472222225</v>
      </c>
      <c r="C319" s="263">
        <v>45875.645833333336</v>
      </c>
      <c r="D319" s="264" cm="1">
        <f t="array" ref="D319">IFERROR(HorasUteisFabrica2Turnos(B319,C319), "")</f>
        <v>3.0166666666627862</v>
      </c>
      <c r="E319" s="265">
        <f t="shared" si="4"/>
        <v>843.31491712815659</v>
      </c>
      <c r="F319" s="266" t="s">
        <v>377</v>
      </c>
      <c r="G319" s="266" t="s">
        <v>505</v>
      </c>
      <c r="H319" s="266"/>
      <c r="I319" s="269" t="s">
        <v>634</v>
      </c>
      <c r="J319" s="267" t="s">
        <v>15</v>
      </c>
      <c r="K319" s="269">
        <v>2544</v>
      </c>
      <c r="L319" s="269" t="s">
        <v>213</v>
      </c>
      <c r="M319" s="270" t="str">
        <f>IFERROR(INDEX([1]Produtos!$C:$C,MATCH(L319,[1]Produtos!$B:$B,0)), "-")</f>
        <v>BODY SPLASH DEUSA DO NILO</v>
      </c>
      <c r="N319" s="510">
        <f>IFERROR(INDEX([1]Produtos!$E:$E,MATCH(L319,[1]Produtos!$B:$B,0)), "-")</f>
        <v>220</v>
      </c>
      <c r="O319" s="270" t="str">
        <f>IFERROR(INDEX([1]Produtos!$F:$F,MATCH(L319,[1]Produtos!$B:$B,0)), "-")</f>
        <v>ml</v>
      </c>
      <c r="P319" s="270" t="str">
        <f>IFERROR(INDEX([1]Produtos!$G:$G,MATCH(L319,[1]Produtos!$B:$B,0)), "-")</f>
        <v>MISS RÔSE</v>
      </c>
      <c r="Q319" s="270" t="str">
        <f>IFERROR(INDEX([1]Produtos!$H:$H,MATCH(L319,[1]Produtos!$B:$B,0)), "-")</f>
        <v>PERFUMARIA</v>
      </c>
      <c r="R319" s="270" t="str">
        <f>IFERROR(INDEX([1]Produtos!$I:$I,MATCH(L319,[1]Produtos!$B:$B,0)), "-")</f>
        <v>BODY SPLASH</v>
      </c>
      <c r="S319" s="270" t="str">
        <f>IFERROR(INDEX([1]Produtos!$J:$J,MATCH(L319,[1]Produtos!$B:$B,0)), "-")</f>
        <v>LÍQUIDO</v>
      </c>
      <c r="T319" s="474"/>
      <c r="U319" s="270"/>
      <c r="V319" s="270"/>
      <c r="W319" s="270"/>
      <c r="X319" s="270"/>
      <c r="Y319" s="270"/>
      <c r="Z319" s="270"/>
      <c r="AA319" s="270"/>
      <c r="AB319" s="270"/>
      <c r="AC319" s="270"/>
      <c r="AD319" s="270"/>
      <c r="AE319" s="270"/>
      <c r="AF319" s="270"/>
      <c r="AG319" s="270"/>
      <c r="AH319" s="270"/>
      <c r="AI319" s="270"/>
      <c r="AJ319" s="270"/>
      <c r="AK319" s="270"/>
      <c r="AL319" s="270"/>
      <c r="AM319" s="663"/>
      <c r="AN319" s="663"/>
      <c r="AO319" s="708" t="str">
        <f>IF(OR(Table1[[#This Row],[Início Setup Envase]]="",Table1[[#This Row],[Final Setup Envase]]=""),"",Table1[[#This Row],[Final Setup Envase]]-Table1[[#This Row],[Início Setup Envase]])</f>
        <v/>
      </c>
      <c r="AP319" s="663"/>
      <c r="AQ319" s="663"/>
      <c r="AR319" s="270"/>
      <c r="AS319" s="270"/>
      <c r="AT319" s="270"/>
      <c r="AU319" s="270"/>
      <c r="AV319" s="270"/>
      <c r="AW319" s="270"/>
      <c r="AX319" s="270"/>
      <c r="AY319" s="270"/>
      <c r="AZ319" s="270"/>
      <c r="BA319" s="270">
        <f>IF(Table1[[#This Row],[Data de Início]]="","",YEAR(Table1[[#This Row],[Data de Início]]))</f>
        <v>2025</v>
      </c>
      <c r="BB319" s="270">
        <f>IF(Table1[[#This Row],[Data de Início]]="","",MONTH(Table1[[#This Row],[Data de Início]]))</f>
        <v>8</v>
      </c>
      <c r="BC319" s="270"/>
    </row>
    <row r="320" spans="2:55" ht="15" customHeight="1" x14ac:dyDescent="0.25">
      <c r="B320" s="470">
        <v>45875.690972222219</v>
      </c>
      <c r="C320" s="263">
        <v>45876.497916666667</v>
      </c>
      <c r="D320" s="264" cm="1">
        <f t="array" ref="D320">IFERROR(HorasUteisFabrica2Turnos(B320,C320), "")</f>
        <v>5.3666666668723337</v>
      </c>
      <c r="E320" s="265">
        <f t="shared" si="4"/>
        <v>749.06832295265986</v>
      </c>
      <c r="F320" s="266" t="s">
        <v>378</v>
      </c>
      <c r="G320" s="266" t="s">
        <v>360</v>
      </c>
      <c r="H320" s="266"/>
      <c r="I320" s="269" t="s">
        <v>881</v>
      </c>
      <c r="J320" s="267" t="s">
        <v>15</v>
      </c>
      <c r="K320" s="268">
        <v>4020</v>
      </c>
      <c r="L320" s="269" t="s">
        <v>537</v>
      </c>
      <c r="M320" s="270" t="str">
        <f>IFERROR(INDEX([1]Produtos!$C:$C,MATCH(L320,[1]Produtos!$B:$B,0)), "-")</f>
        <v>HIDRATANTE MATTE OITAVA MARAVILHA</v>
      </c>
      <c r="N320" s="510">
        <f>IFERROR(INDEX([1]Produtos!$E:$E,MATCH(L320,[1]Produtos!$B:$B,0)), "-")</f>
        <v>120</v>
      </c>
      <c r="O320" s="270" t="str">
        <f>IFERROR(INDEX([1]Produtos!$F:$F,MATCH(L320,[1]Produtos!$B:$B,0)), "-")</f>
        <v>ml</v>
      </c>
      <c r="P320" s="270" t="str">
        <f>IFERROR(INDEX([1]Produtos!$G:$G,MATCH(L320,[1]Produtos!$B:$B,0)), "-")</f>
        <v>DAPOP</v>
      </c>
      <c r="Q320" s="270" t="str">
        <f>IFERROR(INDEX([1]Produtos!$H:$H,MATCH(L320,[1]Produtos!$B:$B,0)), "-")</f>
        <v>CORPORAL</v>
      </c>
      <c r="R320" s="270" t="str">
        <f>IFERROR(INDEX([1]Produtos!$I:$I,MATCH(L320,[1]Produtos!$B:$B,0)), "-")</f>
        <v>CREME HIDRATANTE</v>
      </c>
      <c r="S320" s="270" t="str">
        <f>IFERROR(INDEX([1]Produtos!$J:$J,MATCH(L320,[1]Produtos!$B:$B,0)), "-")</f>
        <v>CREMOSO</v>
      </c>
      <c r="T320" s="475"/>
      <c r="U320" s="270"/>
      <c r="V320" s="270"/>
      <c r="W320" s="270"/>
      <c r="X320" s="270"/>
      <c r="Y320" s="270"/>
      <c r="Z320" s="270"/>
      <c r="AA320" s="270"/>
      <c r="AB320" s="270"/>
      <c r="AC320" s="270"/>
      <c r="AD320" s="270"/>
      <c r="AE320" s="270"/>
      <c r="AF320" s="270"/>
      <c r="AG320" s="270"/>
      <c r="AH320" s="270"/>
      <c r="AI320" s="270"/>
      <c r="AJ320" s="270"/>
      <c r="AK320" s="270"/>
      <c r="AL320" s="270"/>
      <c r="AM320" s="663"/>
      <c r="AN320" s="663"/>
      <c r="AO320" s="708" t="str">
        <f>IF(OR(Table1[[#This Row],[Início Setup Envase]]="",Table1[[#This Row],[Final Setup Envase]]=""),"",Table1[[#This Row],[Final Setup Envase]]-Table1[[#This Row],[Início Setup Envase]])</f>
        <v/>
      </c>
      <c r="AP320" s="663"/>
      <c r="AQ320" s="663"/>
      <c r="AR320" s="270"/>
      <c r="AS320" s="270"/>
      <c r="AT320" s="270"/>
      <c r="AU320" s="270"/>
      <c r="AV320" s="270"/>
      <c r="AW320" s="270"/>
      <c r="AX320" s="270"/>
      <c r="AY320" s="270"/>
      <c r="AZ320" s="270"/>
      <c r="BA320" s="270">
        <f>IF(Table1[[#This Row],[Data de Início]]="","",YEAR(Table1[[#This Row],[Data de Início]]))</f>
        <v>2025</v>
      </c>
      <c r="BB320" s="270">
        <f>IF(Table1[[#This Row],[Data de Início]]="","",MONTH(Table1[[#This Row],[Data de Início]]))</f>
        <v>8</v>
      </c>
      <c r="BC320" s="270"/>
    </row>
    <row r="321" spans="2:55" ht="15" customHeight="1" x14ac:dyDescent="0.25">
      <c r="B321" s="470">
        <v>45876.3125</v>
      </c>
      <c r="C321" s="263">
        <v>45876.395833333336</v>
      </c>
      <c r="D321" s="264" cm="1">
        <f t="array" ref="D321">IFERROR(HorasUteisFabrica2Turnos(B321,C321), "")</f>
        <v>2.0000000000582077</v>
      </c>
      <c r="E321" s="265">
        <f t="shared" si="4"/>
        <v>272.99999999205465</v>
      </c>
      <c r="F321" s="266" t="s">
        <v>377</v>
      </c>
      <c r="G321" s="266" t="s">
        <v>546</v>
      </c>
      <c r="H321" s="266"/>
      <c r="I321" s="269" t="s">
        <v>549</v>
      </c>
      <c r="J321" s="267" t="s">
        <v>15</v>
      </c>
      <c r="K321" s="269">
        <v>546</v>
      </c>
      <c r="L321" s="269" t="s">
        <v>402</v>
      </c>
      <c r="M321" s="270" t="str">
        <f>IFERROR(INDEX([1]Produtos!$C:$C,MATCH(L321,[1]Produtos!$B:$B,0)), "-")</f>
        <v>BASE PARA PERFUME FINA BASE PREMIUM 1l</v>
      </c>
      <c r="N321" s="510">
        <f>IFERROR(INDEX([1]Produtos!$E:$E,MATCH(L321,[1]Produtos!$B:$B,0)), "-")</f>
        <v>1000</v>
      </c>
      <c r="O321" s="270" t="str">
        <f>IFERROR(INDEX([1]Produtos!$F:$F,MATCH(L321,[1]Produtos!$B:$B,0)), "-")</f>
        <v>ml</v>
      </c>
      <c r="P321" s="270" t="str">
        <f>IFERROR(INDEX([1]Produtos!$G:$G,MATCH(L321,[1]Produtos!$B:$B,0)), "-")</f>
        <v>KURYOS</v>
      </c>
      <c r="Q321" s="270" t="str">
        <f>IFERROR(INDEX([1]Produtos!$H:$H,MATCH(L321,[1]Produtos!$B:$B,0)), "-")</f>
        <v>BASE</v>
      </c>
      <c r="R321" s="270" t="str">
        <f>IFERROR(INDEX([1]Produtos!$I:$I,MATCH(L321,[1]Produtos!$B:$B,0)), "-")</f>
        <v>BASE</v>
      </c>
      <c r="S321" s="270" t="str">
        <f>IFERROR(INDEX([1]Produtos!$J:$J,MATCH(L321,[1]Produtos!$B:$B,0)), "-")</f>
        <v>LÍQUIDO</v>
      </c>
      <c r="T321" s="474"/>
      <c r="U321" s="270"/>
      <c r="V321" s="270"/>
      <c r="W321" s="270"/>
      <c r="X321" s="270"/>
      <c r="Y321" s="270"/>
      <c r="Z321" s="270"/>
      <c r="AA321" s="270"/>
      <c r="AB321" s="270"/>
      <c r="AC321" s="270"/>
      <c r="AD321" s="270"/>
      <c r="AE321" s="270"/>
      <c r="AF321" s="270"/>
      <c r="AG321" s="270"/>
      <c r="AH321" s="270"/>
      <c r="AI321" s="270"/>
      <c r="AJ321" s="270"/>
      <c r="AK321" s="270"/>
      <c r="AL321" s="270"/>
      <c r="AM321" s="663"/>
      <c r="AN321" s="663"/>
      <c r="AO321" s="708" t="str">
        <f>IF(OR(Table1[[#This Row],[Início Setup Envase]]="",Table1[[#This Row],[Final Setup Envase]]=""),"",Table1[[#This Row],[Final Setup Envase]]-Table1[[#This Row],[Início Setup Envase]])</f>
        <v/>
      </c>
      <c r="AP321" s="663"/>
      <c r="AQ321" s="663"/>
      <c r="AR321" s="270"/>
      <c r="AS321" s="270"/>
      <c r="AT321" s="270"/>
      <c r="AU321" s="270"/>
      <c r="AV321" s="270"/>
      <c r="AW321" s="270"/>
      <c r="AX321" s="270"/>
      <c r="AY321" s="270"/>
      <c r="AZ321" s="270"/>
      <c r="BA321" s="270">
        <f>IF(Table1[[#This Row],[Data de Início]]="","",YEAR(Table1[[#This Row],[Data de Início]]))</f>
        <v>2025</v>
      </c>
      <c r="BB321" s="270">
        <f>IF(Table1[[#This Row],[Data de Início]]="","",MONTH(Table1[[#This Row],[Data de Início]]))</f>
        <v>8</v>
      </c>
      <c r="BC321" s="270"/>
    </row>
    <row r="322" spans="2:55" ht="15" customHeight="1" x14ac:dyDescent="0.25">
      <c r="B322" s="470">
        <v>45876.395833333336</v>
      </c>
      <c r="C322" s="263">
        <v>45876.499305555553</v>
      </c>
      <c r="D322" s="264" cm="1">
        <f t="array" ref="D322">IFERROR(HorasUteisFabrica2Turnos(B322,C322), "")</f>
        <v>2.4833333332207985</v>
      </c>
      <c r="E322" s="265">
        <f t="shared" si="4"/>
        <v>223.48993289603371</v>
      </c>
      <c r="F322" s="266" t="s">
        <v>377</v>
      </c>
      <c r="G322" s="266" t="s">
        <v>546</v>
      </c>
      <c r="H322" s="266"/>
      <c r="I322" s="269" t="s">
        <v>550</v>
      </c>
      <c r="J322" s="267" t="s">
        <v>15</v>
      </c>
      <c r="K322" s="269">
        <v>555</v>
      </c>
      <c r="L322" s="269" t="s">
        <v>402</v>
      </c>
      <c r="M322" s="270" t="str">
        <f>IFERROR(INDEX([1]Produtos!$C:$C,MATCH(L322,[1]Produtos!$B:$B,0)), "-")</f>
        <v>BASE PARA PERFUME FINA BASE PREMIUM 1l</v>
      </c>
      <c r="N322" s="510">
        <f>IFERROR(INDEX([1]Produtos!$E:$E,MATCH(L322,[1]Produtos!$B:$B,0)), "-")</f>
        <v>1000</v>
      </c>
      <c r="O322" s="270" t="str">
        <f>IFERROR(INDEX([1]Produtos!$F:$F,MATCH(L322,[1]Produtos!$B:$B,0)), "-")</f>
        <v>ml</v>
      </c>
      <c r="P322" s="270" t="str">
        <f>IFERROR(INDEX([1]Produtos!$G:$G,MATCH(L322,[1]Produtos!$B:$B,0)), "-")</f>
        <v>KURYOS</v>
      </c>
      <c r="Q322" s="270" t="str">
        <f>IFERROR(INDEX([1]Produtos!$H:$H,MATCH(L322,[1]Produtos!$B:$B,0)), "-")</f>
        <v>BASE</v>
      </c>
      <c r="R322" s="270" t="str">
        <f>IFERROR(INDEX([1]Produtos!$I:$I,MATCH(L322,[1]Produtos!$B:$B,0)), "-")</f>
        <v>BASE</v>
      </c>
      <c r="S322" s="270" t="str">
        <f>IFERROR(INDEX([1]Produtos!$J:$J,MATCH(L322,[1]Produtos!$B:$B,0)), "-")</f>
        <v>LÍQUIDO</v>
      </c>
      <c r="T322" s="474"/>
      <c r="U322" s="270"/>
      <c r="V322" s="270"/>
      <c r="W322" s="270"/>
      <c r="X322" s="270"/>
      <c r="Y322" s="270"/>
      <c r="Z322" s="270"/>
      <c r="AA322" s="270"/>
      <c r="AB322" s="270"/>
      <c r="AC322" s="270"/>
      <c r="AD322" s="270"/>
      <c r="AE322" s="270"/>
      <c r="AF322" s="270"/>
      <c r="AG322" s="270"/>
      <c r="AH322" s="270"/>
      <c r="AI322" s="270"/>
      <c r="AJ322" s="270"/>
      <c r="AK322" s="270"/>
      <c r="AL322" s="270"/>
      <c r="AM322" s="663"/>
      <c r="AN322" s="663"/>
      <c r="AO322" s="708" t="str">
        <f>IF(OR(Table1[[#This Row],[Início Setup Envase]]="",Table1[[#This Row],[Final Setup Envase]]=""),"",Table1[[#This Row],[Final Setup Envase]]-Table1[[#This Row],[Início Setup Envase]])</f>
        <v/>
      </c>
      <c r="AP322" s="663"/>
      <c r="AQ322" s="663"/>
      <c r="AR322" s="270"/>
      <c r="AS322" s="270"/>
      <c r="AT322" s="270"/>
      <c r="AU322" s="270"/>
      <c r="AV322" s="270"/>
      <c r="AW322" s="270"/>
      <c r="AX322" s="270"/>
      <c r="AY322" s="270"/>
      <c r="AZ322" s="270"/>
      <c r="BA322" s="270">
        <f>IF(Table1[[#This Row],[Data de Início]]="","",YEAR(Table1[[#This Row],[Data de Início]]))</f>
        <v>2025</v>
      </c>
      <c r="BB322" s="270">
        <f>IF(Table1[[#This Row],[Data de Início]]="","",MONTH(Table1[[#This Row],[Data de Início]]))</f>
        <v>8</v>
      </c>
      <c r="BC322" s="270"/>
    </row>
    <row r="323" spans="2:55" ht="15" customHeight="1" x14ac:dyDescent="0.25">
      <c r="B323" s="470">
        <v>45876.548611111109</v>
      </c>
      <c r="C323" s="470">
        <v>45876.708333333336</v>
      </c>
      <c r="D323" s="264" cm="1">
        <f t="array" ref="D323">IFERROR(HorasUteisFabrica2Turnos(B323,C323), "")</f>
        <v>3.8333333334303461</v>
      </c>
      <c r="E323" s="265">
        <f t="shared" ref="E323:E386" si="5">IFERROR(K323/D323, "")</f>
        <v>831.72413789430755</v>
      </c>
      <c r="F323" s="266" t="s">
        <v>378</v>
      </c>
      <c r="G323" s="266" t="s">
        <v>360</v>
      </c>
      <c r="H323" s="266"/>
      <c r="I323" s="269" t="s">
        <v>566</v>
      </c>
      <c r="J323" s="267" t="s">
        <v>15</v>
      </c>
      <c r="K323" s="268">
        <v>3188.2758620088666</v>
      </c>
      <c r="L323" s="269" t="s">
        <v>547</v>
      </c>
      <c r="M323" s="270" t="str">
        <f>IFERROR(INDEX([1]Produtos!$C:$C,MATCH(L323,[1]Produtos!$B:$B,0)), "-")</f>
        <v>HIDRATANTE MATTE SORVETE DE BAUNILHA</v>
      </c>
      <c r="N323" s="510">
        <f>IFERROR(INDEX([1]Produtos!$E:$E,MATCH(L323,[1]Produtos!$B:$B,0)), "-")</f>
        <v>120</v>
      </c>
      <c r="O323" s="270" t="str">
        <f>IFERROR(INDEX([1]Produtos!$F:$F,MATCH(L323,[1]Produtos!$B:$B,0)), "-")</f>
        <v>ml</v>
      </c>
      <c r="P323" s="270" t="str">
        <f>IFERROR(INDEX([1]Produtos!$G:$G,MATCH(L323,[1]Produtos!$B:$B,0)), "-")</f>
        <v>DAPOP</v>
      </c>
      <c r="Q323" s="270" t="str">
        <f>IFERROR(INDEX([1]Produtos!$H:$H,MATCH(L323,[1]Produtos!$B:$B,0)), "-")</f>
        <v>CORPORAL</v>
      </c>
      <c r="R323" s="270" t="str">
        <f>IFERROR(INDEX([1]Produtos!$I:$I,MATCH(L323,[1]Produtos!$B:$B,0)), "-")</f>
        <v>CREME HIDRATANTE</v>
      </c>
      <c r="S323" s="270" t="str">
        <f>IFERROR(INDEX([1]Produtos!$J:$J,MATCH(L323,[1]Produtos!$B:$B,0)), "-")</f>
        <v>CREMOSO</v>
      </c>
      <c r="T323" s="474"/>
      <c r="U323" s="270"/>
      <c r="V323" s="270"/>
      <c r="W323" s="270"/>
      <c r="X323" s="270"/>
      <c r="Y323" s="270"/>
      <c r="Z323" s="270"/>
      <c r="AA323" s="270"/>
      <c r="AB323" s="270"/>
      <c r="AC323" s="270"/>
      <c r="AD323" s="270"/>
      <c r="AE323" s="270"/>
      <c r="AF323" s="270"/>
      <c r="AG323" s="270"/>
      <c r="AH323" s="270"/>
      <c r="AI323" s="270"/>
      <c r="AJ323" s="270"/>
      <c r="AK323" s="270"/>
      <c r="AL323" s="270"/>
      <c r="AM323" s="663"/>
      <c r="AN323" s="663"/>
      <c r="AO323" s="708" t="str">
        <f>IF(OR(Table1[[#This Row],[Início Setup Envase]]="",Table1[[#This Row],[Final Setup Envase]]=""),"",Table1[[#This Row],[Final Setup Envase]]-Table1[[#This Row],[Início Setup Envase]])</f>
        <v/>
      </c>
      <c r="AP323" s="663"/>
      <c r="AQ323" s="663"/>
      <c r="AR323" s="270"/>
      <c r="AS323" s="270"/>
      <c r="AT323" s="270"/>
      <c r="AU323" s="270"/>
      <c r="AV323" s="270"/>
      <c r="AW323" s="270"/>
      <c r="AX323" s="270"/>
      <c r="AY323" s="270"/>
      <c r="AZ323" s="270"/>
      <c r="BA323" s="270">
        <f>IF(Table1[[#This Row],[Data de Início]]="","",YEAR(Table1[[#This Row],[Data de Início]]))</f>
        <v>2025</v>
      </c>
      <c r="BB323" s="270">
        <f>IF(Table1[[#This Row],[Data de Início]]="","",MONTH(Table1[[#This Row],[Data de Início]]))</f>
        <v>8</v>
      </c>
      <c r="BC323" s="270"/>
    </row>
    <row r="324" spans="2:55" ht="15" customHeight="1" x14ac:dyDescent="0.25">
      <c r="B324" s="470">
        <v>45876.548611111109</v>
      </c>
      <c r="C324" s="263">
        <v>45876.638888888891</v>
      </c>
      <c r="D324" s="264" cm="1">
        <f t="array" ref="D324">IFERROR(HorasUteisFabrica2Turnos(B324,C324), "")</f>
        <v>2.1666666667442769</v>
      </c>
      <c r="E324" s="265">
        <f t="shared" si="5"/>
        <v>256.15384614467069</v>
      </c>
      <c r="F324" s="266" t="s">
        <v>377</v>
      </c>
      <c r="G324" s="266" t="s">
        <v>546</v>
      </c>
      <c r="H324" s="266"/>
      <c r="I324" s="269" t="s">
        <v>553</v>
      </c>
      <c r="J324" s="267" t="s">
        <v>15</v>
      </c>
      <c r="K324" s="269">
        <v>555</v>
      </c>
      <c r="L324" s="269" t="s">
        <v>983</v>
      </c>
      <c r="M324" s="270" t="str">
        <f>IFERROR(INDEX([1]Produtos!$C:$C,MATCH(L324,[1]Produtos!$B:$B,0)), "-")</f>
        <v>BASE PARA PERFUME FINA BASE 500ml</v>
      </c>
      <c r="N324" s="510">
        <f>IFERROR(INDEX([1]Produtos!$E:$E,MATCH(L324,[1]Produtos!$B:$B,0)), "-")</f>
        <v>500</v>
      </c>
      <c r="O324" s="270" t="str">
        <f>IFERROR(INDEX([1]Produtos!$F:$F,MATCH(L324,[1]Produtos!$B:$B,0)), "-")</f>
        <v>ml</v>
      </c>
      <c r="P324" s="270" t="str">
        <f>IFERROR(INDEX([1]Produtos!$G:$G,MATCH(L324,[1]Produtos!$B:$B,0)), "-")</f>
        <v>KURYOS</v>
      </c>
      <c r="Q324" s="270" t="str">
        <f>IFERROR(INDEX([1]Produtos!$H:$H,MATCH(L324,[1]Produtos!$B:$B,0)), "-")</f>
        <v>BASE</v>
      </c>
      <c r="R324" s="270" t="str">
        <f>IFERROR(INDEX([1]Produtos!$I:$I,MATCH(L324,[1]Produtos!$B:$B,0)), "-")</f>
        <v>BASE</v>
      </c>
      <c r="S324" s="270" t="str">
        <f>IFERROR(INDEX([1]Produtos!$J:$J,MATCH(L324,[1]Produtos!$B:$B,0)), "-")</f>
        <v>LÍQUIDO</v>
      </c>
      <c r="T324" s="474"/>
      <c r="U324" s="270"/>
      <c r="V324" s="270"/>
      <c r="W324" s="270"/>
      <c r="X324" s="270"/>
      <c r="Y324" s="270"/>
      <c r="Z324" s="270"/>
      <c r="AA324" s="270"/>
      <c r="AB324" s="270"/>
      <c r="AC324" s="270"/>
      <c r="AD324" s="270"/>
      <c r="AE324" s="270"/>
      <c r="AF324" s="270"/>
      <c r="AG324" s="270"/>
      <c r="AH324" s="270"/>
      <c r="AI324" s="270"/>
      <c r="AJ324" s="270"/>
      <c r="AK324" s="270"/>
      <c r="AL324" s="270"/>
      <c r="AM324" s="663"/>
      <c r="AN324" s="663"/>
      <c r="AO324" s="708" t="str">
        <f>IF(OR(Table1[[#This Row],[Início Setup Envase]]="",Table1[[#This Row],[Final Setup Envase]]=""),"",Table1[[#This Row],[Final Setup Envase]]-Table1[[#This Row],[Início Setup Envase]])</f>
        <v/>
      </c>
      <c r="AP324" s="663"/>
      <c r="AQ324" s="663"/>
      <c r="AR324" s="270"/>
      <c r="AS324" s="270"/>
      <c r="AT324" s="270"/>
      <c r="AU324" s="270"/>
      <c r="AV324" s="270"/>
      <c r="AW324" s="270"/>
      <c r="AX324" s="270"/>
      <c r="AY324" s="270"/>
      <c r="AZ324" s="270"/>
      <c r="BA324" s="270">
        <f>IF(Table1[[#This Row],[Data de Início]]="","",YEAR(Table1[[#This Row],[Data de Início]]))</f>
        <v>2025</v>
      </c>
      <c r="BB324" s="270">
        <f>IF(Table1[[#This Row],[Data de Início]]="","",MONTH(Table1[[#This Row],[Data de Início]]))</f>
        <v>8</v>
      </c>
      <c r="BC324" s="270"/>
    </row>
    <row r="325" spans="2:55" ht="15" customHeight="1" x14ac:dyDescent="0.25">
      <c r="B325" s="470">
        <v>45876.638888888891</v>
      </c>
      <c r="C325" s="263">
        <v>45876.708333333336</v>
      </c>
      <c r="D325" s="264" cm="1">
        <f t="array" ref="D325">IFERROR(HorasUteisFabrica2Turnos(B325,C325), "")</f>
        <v>1.6666666666860692</v>
      </c>
      <c r="E325" s="265">
        <f t="shared" si="5"/>
        <v>248.50746267318161</v>
      </c>
      <c r="F325" s="266" t="s">
        <v>377</v>
      </c>
      <c r="G325" s="266" t="s">
        <v>546</v>
      </c>
      <c r="H325" s="266"/>
      <c r="I325" s="269" t="s">
        <v>551</v>
      </c>
      <c r="J325" s="267" t="s">
        <v>15</v>
      </c>
      <c r="K325" s="268">
        <v>414.17910446012434</v>
      </c>
      <c r="L325" s="269" t="s">
        <v>983</v>
      </c>
      <c r="M325" s="270" t="str">
        <f>IFERROR(INDEX([1]Produtos!$C:$C,MATCH(L325,[1]Produtos!$B:$B,0)), "-")</f>
        <v>BASE PARA PERFUME FINA BASE 500ml</v>
      </c>
      <c r="N325" s="510">
        <f>IFERROR(INDEX([1]Produtos!$E:$E,MATCH(L325,[1]Produtos!$B:$B,0)), "-")</f>
        <v>500</v>
      </c>
      <c r="O325" s="270" t="str">
        <f>IFERROR(INDEX([1]Produtos!$F:$F,MATCH(L325,[1]Produtos!$B:$B,0)), "-")</f>
        <v>ml</v>
      </c>
      <c r="P325" s="270" t="str">
        <f>IFERROR(INDEX([1]Produtos!$G:$G,MATCH(L325,[1]Produtos!$B:$B,0)), "-")</f>
        <v>KURYOS</v>
      </c>
      <c r="Q325" s="270" t="str">
        <f>IFERROR(INDEX([1]Produtos!$H:$H,MATCH(L325,[1]Produtos!$B:$B,0)), "-")</f>
        <v>BASE</v>
      </c>
      <c r="R325" s="270" t="str">
        <f>IFERROR(INDEX([1]Produtos!$I:$I,MATCH(L325,[1]Produtos!$B:$B,0)), "-")</f>
        <v>BASE</v>
      </c>
      <c r="S325" s="270" t="str">
        <f>IFERROR(INDEX([1]Produtos!$J:$J,MATCH(L325,[1]Produtos!$B:$B,0)), "-")</f>
        <v>LÍQUIDO</v>
      </c>
      <c r="T325" s="474"/>
      <c r="U325" s="270"/>
      <c r="V325" s="270"/>
      <c r="W325" s="270"/>
      <c r="X325" s="270"/>
      <c r="Y325" s="270"/>
      <c r="Z325" s="270"/>
      <c r="AA325" s="270"/>
      <c r="AB325" s="270"/>
      <c r="AC325" s="270"/>
      <c r="AD325" s="270"/>
      <c r="AE325" s="270"/>
      <c r="AF325" s="270"/>
      <c r="AG325" s="270"/>
      <c r="AH325" s="270"/>
      <c r="AI325" s="270"/>
      <c r="AJ325" s="270"/>
      <c r="AK325" s="270"/>
      <c r="AL325" s="270"/>
      <c r="AM325" s="663"/>
      <c r="AN325" s="663"/>
      <c r="AO325" s="708" t="str">
        <f>IF(OR(Table1[[#This Row],[Início Setup Envase]]="",Table1[[#This Row],[Final Setup Envase]]=""),"",Table1[[#This Row],[Final Setup Envase]]-Table1[[#This Row],[Início Setup Envase]])</f>
        <v/>
      </c>
      <c r="AP325" s="663"/>
      <c r="AQ325" s="663"/>
      <c r="AR325" s="270"/>
      <c r="AS325" s="270"/>
      <c r="AT325" s="270"/>
      <c r="AU325" s="270"/>
      <c r="AV325" s="270"/>
      <c r="AW325" s="270"/>
      <c r="AX325" s="270"/>
      <c r="AY325" s="270"/>
      <c r="AZ325" s="270"/>
      <c r="BA325" s="270">
        <f>IF(Table1[[#This Row],[Data de Início]]="","",YEAR(Table1[[#This Row],[Data de Início]]))</f>
        <v>2025</v>
      </c>
      <c r="BB325" s="270">
        <f>IF(Table1[[#This Row],[Data de Início]]="","",MONTH(Table1[[#This Row],[Data de Início]]))</f>
        <v>8</v>
      </c>
      <c r="BC325" s="270"/>
    </row>
    <row r="326" spans="2:55" ht="15" customHeight="1" x14ac:dyDescent="0.25">
      <c r="B326" s="470">
        <v>45877.291666666664</v>
      </c>
      <c r="C326" s="263">
        <v>45877.333333333336</v>
      </c>
      <c r="D326" s="264" cm="1">
        <f t="array" ref="D326">IFERROR(HorasUteisFabrica2Turnos(B326,C326), "")</f>
        <v>1.0000000001164153</v>
      </c>
      <c r="E326" s="265">
        <f t="shared" si="5"/>
        <v>831.72413789430755</v>
      </c>
      <c r="F326" s="266" t="s">
        <v>378</v>
      </c>
      <c r="G326" s="266" t="s">
        <v>360</v>
      </c>
      <c r="H326" s="266"/>
      <c r="I326" s="269" t="s">
        <v>566</v>
      </c>
      <c r="J326" s="267" t="s">
        <v>15</v>
      </c>
      <c r="K326" s="268">
        <v>831.72413799113303</v>
      </c>
      <c r="L326" s="269" t="s">
        <v>547</v>
      </c>
      <c r="M326" s="270" t="str">
        <f>IFERROR(INDEX([1]Produtos!$C:$C,MATCH(L326,[1]Produtos!$B:$B,0)), "-")</f>
        <v>HIDRATANTE MATTE SORVETE DE BAUNILHA</v>
      </c>
      <c r="N326" s="510">
        <f>IFERROR(INDEX([1]Produtos!$E:$E,MATCH(L326,[1]Produtos!$B:$B,0)), "-")</f>
        <v>120</v>
      </c>
      <c r="O326" s="270" t="str">
        <f>IFERROR(INDEX([1]Produtos!$F:$F,MATCH(L326,[1]Produtos!$B:$B,0)), "-")</f>
        <v>ml</v>
      </c>
      <c r="P326" s="270" t="str">
        <f>IFERROR(INDEX([1]Produtos!$G:$G,MATCH(L326,[1]Produtos!$B:$B,0)), "-")</f>
        <v>DAPOP</v>
      </c>
      <c r="Q326" s="270" t="str">
        <f>IFERROR(INDEX([1]Produtos!$H:$H,MATCH(L326,[1]Produtos!$B:$B,0)), "-")</f>
        <v>CORPORAL</v>
      </c>
      <c r="R326" s="270" t="str">
        <f>IFERROR(INDEX([1]Produtos!$I:$I,MATCH(L326,[1]Produtos!$B:$B,0)), "-")</f>
        <v>CREME HIDRATANTE</v>
      </c>
      <c r="S326" s="270" t="str">
        <f>IFERROR(INDEX([1]Produtos!$J:$J,MATCH(L326,[1]Produtos!$B:$B,0)), "-")</f>
        <v>CREMOSO</v>
      </c>
      <c r="T326" s="475"/>
      <c r="U326" s="270"/>
      <c r="V326" s="270"/>
      <c r="W326" s="270"/>
      <c r="X326" s="270"/>
      <c r="Y326" s="270"/>
      <c r="Z326" s="270"/>
      <c r="AA326" s="270"/>
      <c r="AB326" s="270"/>
      <c r="AC326" s="270"/>
      <c r="AD326" s="270"/>
      <c r="AE326" s="270"/>
      <c r="AF326" s="270"/>
      <c r="AG326" s="270"/>
      <c r="AH326" s="270"/>
      <c r="AI326" s="270"/>
      <c r="AJ326" s="270"/>
      <c r="AK326" s="270"/>
      <c r="AL326" s="270"/>
      <c r="AM326" s="663"/>
      <c r="AN326" s="663"/>
      <c r="AO326" s="708" t="str">
        <f>IF(OR(Table1[[#This Row],[Início Setup Envase]]="",Table1[[#This Row],[Final Setup Envase]]=""),"",Table1[[#This Row],[Final Setup Envase]]-Table1[[#This Row],[Início Setup Envase]])</f>
        <v/>
      </c>
      <c r="AP326" s="663"/>
      <c r="AQ326" s="663"/>
      <c r="AR326" s="270"/>
      <c r="AS326" s="270"/>
      <c r="AT326" s="270"/>
      <c r="AU326" s="270"/>
      <c r="AV326" s="270"/>
      <c r="AW326" s="270"/>
      <c r="AX326" s="270"/>
      <c r="AY326" s="270"/>
      <c r="AZ326" s="270"/>
      <c r="BA326" s="270">
        <f>IF(Table1[[#This Row],[Data de Início]]="","",YEAR(Table1[[#This Row],[Data de Início]]))</f>
        <v>2025</v>
      </c>
      <c r="BB326" s="270">
        <f>IF(Table1[[#This Row],[Data de Início]]="","",MONTH(Table1[[#This Row],[Data de Início]]))</f>
        <v>8</v>
      </c>
      <c r="BC326" s="270"/>
    </row>
    <row r="327" spans="2:55" ht="15" customHeight="1" x14ac:dyDescent="0.25">
      <c r="B327" s="470">
        <v>45877.291666666664</v>
      </c>
      <c r="C327" s="263">
        <v>45877.31527777778</v>
      </c>
      <c r="D327" s="264" cm="1">
        <f t="array" ref="D327">IFERROR(HorasUteisFabrica2Turnos(B327,C327), "")</f>
        <v>0.56666666676755995</v>
      </c>
      <c r="E327" s="265">
        <f t="shared" si="5"/>
        <v>248.50746267318161</v>
      </c>
      <c r="F327" s="266" t="s">
        <v>377</v>
      </c>
      <c r="G327" s="266" t="s">
        <v>546</v>
      </c>
      <c r="H327" s="266"/>
      <c r="I327" s="269" t="s">
        <v>551</v>
      </c>
      <c r="J327" s="267" t="s">
        <v>15</v>
      </c>
      <c r="K327" s="268">
        <v>140.82089553987564</v>
      </c>
      <c r="L327" s="269" t="s">
        <v>983</v>
      </c>
      <c r="M327" s="270" t="str">
        <f>IFERROR(INDEX([1]Produtos!$C:$C,MATCH(L327,[1]Produtos!$B:$B,0)), "-")</f>
        <v>BASE PARA PERFUME FINA BASE 500ml</v>
      </c>
      <c r="N327" s="510">
        <f>IFERROR(INDEX([1]Produtos!$E:$E,MATCH(L327,[1]Produtos!$B:$B,0)), "-")</f>
        <v>500</v>
      </c>
      <c r="O327" s="270" t="str">
        <f>IFERROR(INDEX([1]Produtos!$F:$F,MATCH(L327,[1]Produtos!$B:$B,0)), "-")</f>
        <v>ml</v>
      </c>
      <c r="P327" s="270" t="str">
        <f>IFERROR(INDEX([1]Produtos!$G:$G,MATCH(L327,[1]Produtos!$B:$B,0)), "-")</f>
        <v>KURYOS</v>
      </c>
      <c r="Q327" s="270" t="str">
        <f>IFERROR(INDEX([1]Produtos!$H:$H,MATCH(L327,[1]Produtos!$B:$B,0)), "-")</f>
        <v>BASE</v>
      </c>
      <c r="R327" s="270" t="str">
        <f>IFERROR(INDEX([1]Produtos!$I:$I,MATCH(L327,[1]Produtos!$B:$B,0)), "-")</f>
        <v>BASE</v>
      </c>
      <c r="S327" s="270" t="str">
        <f>IFERROR(INDEX([1]Produtos!$J:$J,MATCH(L327,[1]Produtos!$B:$B,0)), "-")</f>
        <v>LÍQUIDO</v>
      </c>
      <c r="T327" s="474"/>
      <c r="U327" s="270"/>
      <c r="V327" s="270"/>
      <c r="W327" s="270"/>
      <c r="X327" s="270"/>
      <c r="Y327" s="270"/>
      <c r="Z327" s="270"/>
      <c r="AA327" s="270"/>
      <c r="AB327" s="270"/>
      <c r="AC327" s="270"/>
      <c r="AD327" s="270"/>
      <c r="AE327" s="270"/>
      <c r="AF327" s="270"/>
      <c r="AG327" s="270"/>
      <c r="AH327" s="270"/>
      <c r="AI327" s="270"/>
      <c r="AJ327" s="270"/>
      <c r="AK327" s="270"/>
      <c r="AL327" s="270"/>
      <c r="AM327" s="663"/>
      <c r="AN327" s="663"/>
      <c r="AO327" s="708" t="str">
        <f>IF(OR(Table1[[#This Row],[Início Setup Envase]]="",Table1[[#This Row],[Final Setup Envase]]=""),"",Table1[[#This Row],[Final Setup Envase]]-Table1[[#This Row],[Início Setup Envase]])</f>
        <v/>
      </c>
      <c r="AP327" s="663"/>
      <c r="AQ327" s="663"/>
      <c r="AR327" s="270"/>
      <c r="AS327" s="270"/>
      <c r="AT327" s="270"/>
      <c r="AU327" s="270"/>
      <c r="AV327" s="270"/>
      <c r="AW327" s="270"/>
      <c r="AX327" s="270"/>
      <c r="AY327" s="270"/>
      <c r="AZ327" s="270"/>
      <c r="BA327" s="270">
        <f>IF(Table1[[#This Row],[Data de Início]]="","",YEAR(Table1[[#This Row],[Data de Início]]))</f>
        <v>2025</v>
      </c>
      <c r="BB327" s="270">
        <f>IF(Table1[[#This Row],[Data de Início]]="","",MONTH(Table1[[#This Row],[Data de Início]]))</f>
        <v>8</v>
      </c>
      <c r="BC327" s="270"/>
    </row>
    <row r="328" spans="2:55" ht="15" customHeight="1" x14ac:dyDescent="0.25">
      <c r="B328" s="470">
        <v>45877.318055555559</v>
      </c>
      <c r="C328" s="263">
        <v>45877.409722222219</v>
      </c>
      <c r="D328" s="264" cm="1">
        <f t="array" ref="D328">IFERROR(HorasUteisFabrica2Turnos(B328,C328), "")</f>
        <v>2.1999999998370185</v>
      </c>
      <c r="E328" s="265">
        <f t="shared" si="5"/>
        <v>252.27272729141626</v>
      </c>
      <c r="F328" s="266" t="s">
        <v>377</v>
      </c>
      <c r="G328" s="266" t="s">
        <v>546</v>
      </c>
      <c r="H328" s="266"/>
      <c r="I328" s="269" t="s">
        <v>552</v>
      </c>
      <c r="J328" s="267" t="s">
        <v>15</v>
      </c>
      <c r="K328" s="268">
        <v>555</v>
      </c>
      <c r="L328" s="269" t="s">
        <v>983</v>
      </c>
      <c r="M328" s="270" t="str">
        <f>IFERROR(INDEX([1]Produtos!$C:$C,MATCH(L328,[1]Produtos!$B:$B,0)), "-")</f>
        <v>BASE PARA PERFUME FINA BASE 500ml</v>
      </c>
      <c r="N328" s="510">
        <f>IFERROR(INDEX([1]Produtos!$E:$E,MATCH(L328,[1]Produtos!$B:$B,0)), "-")</f>
        <v>500</v>
      </c>
      <c r="O328" s="270" t="str">
        <f>IFERROR(INDEX([1]Produtos!$F:$F,MATCH(L328,[1]Produtos!$B:$B,0)), "-")</f>
        <v>ml</v>
      </c>
      <c r="P328" s="270" t="str">
        <f>IFERROR(INDEX([1]Produtos!$G:$G,MATCH(L328,[1]Produtos!$B:$B,0)), "-")</f>
        <v>KURYOS</v>
      </c>
      <c r="Q328" s="270" t="str">
        <f>IFERROR(INDEX([1]Produtos!$H:$H,MATCH(L328,[1]Produtos!$B:$B,0)), "-")</f>
        <v>BASE</v>
      </c>
      <c r="R328" s="270" t="str">
        <f>IFERROR(INDEX([1]Produtos!$I:$I,MATCH(L328,[1]Produtos!$B:$B,0)), "-")</f>
        <v>BASE</v>
      </c>
      <c r="S328" s="270" t="str">
        <f>IFERROR(INDEX([1]Produtos!$J:$J,MATCH(L328,[1]Produtos!$B:$B,0)), "-")</f>
        <v>LÍQUIDO</v>
      </c>
      <c r="T328" s="474"/>
      <c r="U328" s="270"/>
      <c r="V328" s="270"/>
      <c r="W328" s="270"/>
      <c r="X328" s="270"/>
      <c r="Y328" s="270"/>
      <c r="Z328" s="270"/>
      <c r="AA328" s="270"/>
      <c r="AB328" s="270"/>
      <c r="AC328" s="270"/>
      <c r="AD328" s="270"/>
      <c r="AE328" s="270"/>
      <c r="AF328" s="270"/>
      <c r="AG328" s="270"/>
      <c r="AH328" s="270"/>
      <c r="AI328" s="270"/>
      <c r="AJ328" s="270"/>
      <c r="AK328" s="270"/>
      <c r="AL328" s="270"/>
      <c r="AM328" s="663"/>
      <c r="AN328" s="663"/>
      <c r="AO328" s="708" t="str">
        <f>IF(OR(Table1[[#This Row],[Início Setup Envase]]="",Table1[[#This Row],[Final Setup Envase]]=""),"",Table1[[#This Row],[Final Setup Envase]]-Table1[[#This Row],[Início Setup Envase]])</f>
        <v/>
      </c>
      <c r="AP328" s="663"/>
      <c r="AQ328" s="663"/>
      <c r="AR328" s="270"/>
      <c r="AS328" s="270"/>
      <c r="AT328" s="270"/>
      <c r="AU328" s="270"/>
      <c r="AV328" s="270"/>
      <c r="AW328" s="270"/>
      <c r="AX328" s="270"/>
      <c r="AY328" s="270"/>
      <c r="AZ328" s="270"/>
      <c r="BA328" s="270">
        <f>IF(Table1[[#This Row],[Data de Início]]="","",YEAR(Table1[[#This Row],[Data de Início]]))</f>
        <v>2025</v>
      </c>
      <c r="BB328" s="270">
        <f>IF(Table1[[#This Row],[Data de Início]]="","",MONTH(Table1[[#This Row],[Data de Início]]))</f>
        <v>8</v>
      </c>
      <c r="BC328" s="270"/>
    </row>
    <row r="329" spans="2:55" ht="15" customHeight="1" x14ac:dyDescent="0.25">
      <c r="B329" s="470">
        <v>45877.369444444441</v>
      </c>
      <c r="C329" s="263">
        <v>45877.645833333336</v>
      </c>
      <c r="D329" s="264" cm="1">
        <f t="array" ref="D329">IFERROR(HorasUteisFabrica2Turnos(B329,C329), "")</f>
        <v>5.6333333334769122</v>
      </c>
      <c r="E329" s="265">
        <f t="shared" si="5"/>
        <v>713.6094674374333</v>
      </c>
      <c r="F329" s="266" t="s">
        <v>378</v>
      </c>
      <c r="G329" s="266" t="s">
        <v>360</v>
      </c>
      <c r="H329" s="266"/>
      <c r="I329" s="269" t="s">
        <v>567</v>
      </c>
      <c r="J329" s="267" t="s">
        <v>15</v>
      </c>
      <c r="K329" s="269">
        <v>4020</v>
      </c>
      <c r="L329" s="269" t="s">
        <v>547</v>
      </c>
      <c r="M329" s="270" t="str">
        <f>IFERROR(INDEX([1]Produtos!$C:$C,MATCH(L329,[1]Produtos!$B:$B,0)), "-")</f>
        <v>HIDRATANTE MATTE SORVETE DE BAUNILHA</v>
      </c>
      <c r="N329" s="510">
        <f>IFERROR(INDEX([1]Produtos!$E:$E,MATCH(L329,[1]Produtos!$B:$B,0)), "-")</f>
        <v>120</v>
      </c>
      <c r="O329" s="270" t="str">
        <f>IFERROR(INDEX([1]Produtos!$F:$F,MATCH(L329,[1]Produtos!$B:$B,0)), "-")</f>
        <v>ml</v>
      </c>
      <c r="P329" s="270" t="str">
        <f>IFERROR(INDEX([1]Produtos!$G:$G,MATCH(L329,[1]Produtos!$B:$B,0)), "-")</f>
        <v>DAPOP</v>
      </c>
      <c r="Q329" s="270" t="str">
        <f>IFERROR(INDEX([1]Produtos!$H:$H,MATCH(L329,[1]Produtos!$B:$B,0)), "-")</f>
        <v>CORPORAL</v>
      </c>
      <c r="R329" s="270" t="str">
        <f>IFERROR(INDEX([1]Produtos!$I:$I,MATCH(L329,[1]Produtos!$B:$B,0)), "-")</f>
        <v>CREME HIDRATANTE</v>
      </c>
      <c r="S329" s="270" t="str">
        <f>IFERROR(INDEX([1]Produtos!$J:$J,MATCH(L329,[1]Produtos!$B:$B,0)), "-")</f>
        <v>CREMOSO</v>
      </c>
      <c r="T329" s="475"/>
      <c r="U329" s="270"/>
      <c r="V329" s="270"/>
      <c r="W329" s="270"/>
      <c r="X329" s="270"/>
      <c r="Y329" s="270"/>
      <c r="Z329" s="270"/>
      <c r="AA329" s="270"/>
      <c r="AB329" s="270"/>
      <c r="AC329" s="270"/>
      <c r="AD329" s="270"/>
      <c r="AE329" s="270"/>
      <c r="AF329" s="270"/>
      <c r="AG329" s="270"/>
      <c r="AH329" s="270"/>
      <c r="AI329" s="270"/>
      <c r="AJ329" s="270"/>
      <c r="AK329" s="270"/>
      <c r="AL329" s="270"/>
      <c r="AM329" s="663"/>
      <c r="AN329" s="663"/>
      <c r="AO329" s="708" t="str">
        <f>IF(OR(Table1[[#This Row],[Início Setup Envase]]="",Table1[[#This Row],[Final Setup Envase]]=""),"",Table1[[#This Row],[Final Setup Envase]]-Table1[[#This Row],[Início Setup Envase]])</f>
        <v/>
      </c>
      <c r="AP329" s="663"/>
      <c r="AQ329" s="663"/>
      <c r="AR329" s="270"/>
      <c r="AS329" s="270"/>
      <c r="AT329" s="270"/>
      <c r="AU329" s="270"/>
      <c r="AV329" s="270"/>
      <c r="AW329" s="270"/>
      <c r="AX329" s="270"/>
      <c r="AY329" s="270"/>
      <c r="AZ329" s="270"/>
      <c r="BA329" s="270">
        <f>IF(Table1[[#This Row],[Data de Início]]="","",YEAR(Table1[[#This Row],[Data de Início]]))</f>
        <v>2025</v>
      </c>
      <c r="BB329" s="270">
        <f>IF(Table1[[#This Row],[Data de Início]]="","",MONTH(Table1[[#This Row],[Data de Início]]))</f>
        <v>8</v>
      </c>
      <c r="BC329" s="270"/>
    </row>
    <row r="330" spans="2:55" ht="15" customHeight="1" x14ac:dyDescent="0.25">
      <c r="B330" s="470">
        <v>45877.409722222219</v>
      </c>
      <c r="C330" s="263">
        <v>45877.479166666664</v>
      </c>
      <c r="D330" s="264" cm="1">
        <f t="array" ref="D330">IFERROR(HorasUteisFabrica2Turnos(B330,C330), "")</f>
        <v>1.6666666666860692</v>
      </c>
      <c r="E330" s="265">
        <f t="shared" si="5"/>
        <v>332.99999999612339</v>
      </c>
      <c r="F330" s="266" t="s">
        <v>377</v>
      </c>
      <c r="G330" s="266" t="s">
        <v>546</v>
      </c>
      <c r="H330" s="266"/>
      <c r="I330" s="269" t="s">
        <v>554</v>
      </c>
      <c r="J330" s="267" t="s">
        <v>15</v>
      </c>
      <c r="K330" s="268">
        <v>555</v>
      </c>
      <c r="L330" s="269" t="s">
        <v>983</v>
      </c>
      <c r="M330" s="270" t="str">
        <f>IFERROR(INDEX([1]Produtos!$C:$C,MATCH(L330,[1]Produtos!$B:$B,0)), "-")</f>
        <v>BASE PARA PERFUME FINA BASE 500ml</v>
      </c>
      <c r="N330" s="510">
        <f>IFERROR(INDEX([1]Produtos!$E:$E,MATCH(L330,[1]Produtos!$B:$B,0)), "-")</f>
        <v>500</v>
      </c>
      <c r="O330" s="270" t="str">
        <f>IFERROR(INDEX([1]Produtos!$F:$F,MATCH(L330,[1]Produtos!$B:$B,0)), "-")</f>
        <v>ml</v>
      </c>
      <c r="P330" s="270" t="str">
        <f>IFERROR(INDEX([1]Produtos!$G:$G,MATCH(L330,[1]Produtos!$B:$B,0)), "-")</f>
        <v>KURYOS</v>
      </c>
      <c r="Q330" s="270" t="str">
        <f>IFERROR(INDEX([1]Produtos!$H:$H,MATCH(L330,[1]Produtos!$B:$B,0)), "-")</f>
        <v>BASE</v>
      </c>
      <c r="R330" s="270" t="str">
        <f>IFERROR(INDEX([1]Produtos!$I:$I,MATCH(L330,[1]Produtos!$B:$B,0)), "-")</f>
        <v>BASE</v>
      </c>
      <c r="S330" s="270" t="str">
        <f>IFERROR(INDEX([1]Produtos!$J:$J,MATCH(L330,[1]Produtos!$B:$B,0)), "-")</f>
        <v>LÍQUIDO</v>
      </c>
      <c r="T330" s="474"/>
      <c r="U330" s="270"/>
      <c r="V330" s="270"/>
      <c r="W330" s="270"/>
      <c r="X330" s="270"/>
      <c r="Y330" s="270"/>
      <c r="Z330" s="270"/>
      <c r="AA330" s="270"/>
      <c r="AB330" s="270"/>
      <c r="AC330" s="270"/>
      <c r="AD330" s="270"/>
      <c r="AE330" s="270"/>
      <c r="AF330" s="270"/>
      <c r="AG330" s="270"/>
      <c r="AH330" s="270"/>
      <c r="AI330" s="270"/>
      <c r="AJ330" s="270"/>
      <c r="AK330" s="270"/>
      <c r="AL330" s="270"/>
      <c r="AM330" s="663"/>
      <c r="AN330" s="663"/>
      <c r="AO330" s="708" t="str">
        <f>IF(OR(Table1[[#This Row],[Início Setup Envase]]="",Table1[[#This Row],[Final Setup Envase]]=""),"",Table1[[#This Row],[Final Setup Envase]]-Table1[[#This Row],[Início Setup Envase]])</f>
        <v/>
      </c>
      <c r="AP330" s="663"/>
      <c r="AQ330" s="663"/>
      <c r="AR330" s="270"/>
      <c r="AS330" s="270"/>
      <c r="AT330" s="270"/>
      <c r="AU330" s="270"/>
      <c r="AV330" s="270"/>
      <c r="AW330" s="270"/>
      <c r="AX330" s="270"/>
      <c r="AY330" s="270"/>
      <c r="AZ330" s="270"/>
      <c r="BA330" s="270">
        <f>IF(Table1[[#This Row],[Data de Início]]="","",YEAR(Table1[[#This Row],[Data de Início]]))</f>
        <v>2025</v>
      </c>
      <c r="BB330" s="270">
        <f>IF(Table1[[#This Row],[Data de Início]]="","",MONTH(Table1[[#This Row],[Data de Início]]))</f>
        <v>8</v>
      </c>
      <c r="BC330" s="270"/>
    </row>
    <row r="331" spans="2:55" ht="15" customHeight="1" x14ac:dyDescent="0.25">
      <c r="B331" s="470">
        <v>45877.484027777777</v>
      </c>
      <c r="C331" s="263">
        <v>45877.583333333336</v>
      </c>
      <c r="D331" s="264" cm="1">
        <f t="array" ref="D331">IFERROR(HorasUteisFabrica2Turnos(B331,C331), "")</f>
        <v>1.3833333334187046</v>
      </c>
      <c r="E331" s="265">
        <f t="shared" si="5"/>
        <v>198.7951807106231</v>
      </c>
      <c r="F331" s="266" t="s">
        <v>377</v>
      </c>
      <c r="G331" s="266" t="s">
        <v>546</v>
      </c>
      <c r="H331" s="266"/>
      <c r="I331" s="269" t="s">
        <v>555</v>
      </c>
      <c r="J331" s="267" t="s">
        <v>15</v>
      </c>
      <c r="K331" s="268">
        <v>275</v>
      </c>
      <c r="L331" s="269" t="s">
        <v>983</v>
      </c>
      <c r="M331" s="270" t="str">
        <f>IFERROR(INDEX([1]Produtos!$C:$C,MATCH(L331,[1]Produtos!$B:$B,0)), "-")</f>
        <v>BASE PARA PERFUME FINA BASE 500ml</v>
      </c>
      <c r="N331" s="510">
        <f>IFERROR(INDEX([1]Produtos!$E:$E,MATCH(L331,[1]Produtos!$B:$B,0)), "-")</f>
        <v>500</v>
      </c>
      <c r="O331" s="270" t="str">
        <f>IFERROR(INDEX([1]Produtos!$F:$F,MATCH(L331,[1]Produtos!$B:$B,0)), "-")</f>
        <v>ml</v>
      </c>
      <c r="P331" s="270" t="str">
        <f>IFERROR(INDEX([1]Produtos!$G:$G,MATCH(L331,[1]Produtos!$B:$B,0)), "-")</f>
        <v>KURYOS</v>
      </c>
      <c r="Q331" s="270" t="str">
        <f>IFERROR(INDEX([1]Produtos!$H:$H,MATCH(L331,[1]Produtos!$B:$B,0)), "-")</f>
        <v>BASE</v>
      </c>
      <c r="R331" s="270" t="str">
        <f>IFERROR(INDEX([1]Produtos!$I:$I,MATCH(L331,[1]Produtos!$B:$B,0)), "-")</f>
        <v>BASE</v>
      </c>
      <c r="S331" s="270" t="str">
        <f>IFERROR(INDEX([1]Produtos!$J:$J,MATCH(L331,[1]Produtos!$B:$B,0)), "-")</f>
        <v>LÍQUIDO</v>
      </c>
      <c r="T331" s="474"/>
      <c r="U331" s="270"/>
      <c r="V331" s="270"/>
      <c r="W331" s="270"/>
      <c r="X331" s="270"/>
      <c r="Y331" s="270"/>
      <c r="Z331" s="270"/>
      <c r="AA331" s="270"/>
      <c r="AB331" s="270"/>
      <c r="AC331" s="270"/>
      <c r="AD331" s="270"/>
      <c r="AE331" s="270"/>
      <c r="AF331" s="270"/>
      <c r="AG331" s="270"/>
      <c r="AH331" s="270"/>
      <c r="AI331" s="270"/>
      <c r="AJ331" s="270"/>
      <c r="AK331" s="270"/>
      <c r="AL331" s="270"/>
      <c r="AM331" s="663"/>
      <c r="AN331" s="663"/>
      <c r="AO331" s="708" t="str">
        <f>IF(OR(Table1[[#This Row],[Início Setup Envase]]="",Table1[[#This Row],[Final Setup Envase]]=""),"",Table1[[#This Row],[Final Setup Envase]]-Table1[[#This Row],[Início Setup Envase]])</f>
        <v/>
      </c>
      <c r="AP331" s="663"/>
      <c r="AQ331" s="663"/>
      <c r="AR331" s="270"/>
      <c r="AS331" s="270"/>
      <c r="AT331" s="270"/>
      <c r="AU331" s="270"/>
      <c r="AV331" s="270"/>
      <c r="AW331" s="270"/>
      <c r="AX331" s="270"/>
      <c r="AY331" s="270"/>
      <c r="AZ331" s="270"/>
      <c r="BA331" s="270">
        <f>IF(Table1[[#This Row],[Data de Início]]="","",YEAR(Table1[[#This Row],[Data de Início]]))</f>
        <v>2025</v>
      </c>
      <c r="BB331" s="270">
        <f>IF(Table1[[#This Row],[Data de Início]]="","",MONTH(Table1[[#This Row],[Data de Início]]))</f>
        <v>8</v>
      </c>
      <c r="BC331" s="270"/>
    </row>
    <row r="332" spans="2:55" ht="15" customHeight="1" x14ac:dyDescent="0.25">
      <c r="B332" s="470">
        <v>45880.298611111109</v>
      </c>
      <c r="C332" s="263">
        <v>45880.5625</v>
      </c>
      <c r="D332" s="264" cm="1">
        <f t="array" ref="D332">IFERROR(HorasUteisFabrica2Turnos(B332,C332), "")</f>
        <v>5.3333333333721384</v>
      </c>
      <c r="E332" s="265">
        <f t="shared" si="5"/>
        <v>753.74999999451575</v>
      </c>
      <c r="F332" s="266" t="s">
        <v>378</v>
      </c>
      <c r="G332" s="266" t="s">
        <v>360</v>
      </c>
      <c r="H332" s="266"/>
      <c r="I332" s="269" t="s">
        <v>568</v>
      </c>
      <c r="J332" s="267" t="s">
        <v>15</v>
      </c>
      <c r="K332" s="269">
        <v>4020</v>
      </c>
      <c r="L332" s="269" t="s">
        <v>547</v>
      </c>
      <c r="M332" s="270" t="str">
        <f>IFERROR(INDEX([1]Produtos!$C:$C,MATCH(L332,[1]Produtos!$B:$B,0)), "-")</f>
        <v>HIDRATANTE MATTE SORVETE DE BAUNILHA</v>
      </c>
      <c r="N332" s="510">
        <f>IFERROR(INDEX([1]Produtos!$E:$E,MATCH(L332,[1]Produtos!$B:$B,0)), "-")</f>
        <v>120</v>
      </c>
      <c r="O332" s="270" t="str">
        <f>IFERROR(INDEX([1]Produtos!$F:$F,MATCH(L332,[1]Produtos!$B:$B,0)), "-")</f>
        <v>ml</v>
      </c>
      <c r="P332" s="270" t="str">
        <f>IFERROR(INDEX([1]Produtos!$G:$G,MATCH(L332,[1]Produtos!$B:$B,0)), "-")</f>
        <v>DAPOP</v>
      </c>
      <c r="Q332" s="270" t="str">
        <f>IFERROR(INDEX([1]Produtos!$H:$H,MATCH(L332,[1]Produtos!$B:$B,0)), "-")</f>
        <v>CORPORAL</v>
      </c>
      <c r="R332" s="270" t="str">
        <f>IFERROR(INDEX([1]Produtos!$I:$I,MATCH(L332,[1]Produtos!$B:$B,0)), "-")</f>
        <v>CREME HIDRATANTE</v>
      </c>
      <c r="S332" s="270" t="str">
        <f>IFERROR(INDEX([1]Produtos!$J:$J,MATCH(L332,[1]Produtos!$B:$B,0)), "-")</f>
        <v>CREMOSO</v>
      </c>
      <c r="T332" s="475"/>
      <c r="U332" s="270"/>
      <c r="V332" s="270"/>
      <c r="W332" s="270"/>
      <c r="X332" s="270"/>
      <c r="Y332" s="270"/>
      <c r="Z332" s="270"/>
      <c r="AA332" s="270"/>
      <c r="AB332" s="270"/>
      <c r="AC332" s="270"/>
      <c r="AD332" s="270"/>
      <c r="AE332" s="270"/>
      <c r="AF332" s="270"/>
      <c r="AG332" s="270"/>
      <c r="AH332" s="270"/>
      <c r="AI332" s="270"/>
      <c r="AJ332" s="270"/>
      <c r="AK332" s="270"/>
      <c r="AL332" s="270"/>
      <c r="AM332" s="663"/>
      <c r="AN332" s="663"/>
      <c r="AO332" s="708" t="str">
        <f>IF(OR(Table1[[#This Row],[Início Setup Envase]]="",Table1[[#This Row],[Final Setup Envase]]=""),"",Table1[[#This Row],[Final Setup Envase]]-Table1[[#This Row],[Início Setup Envase]])</f>
        <v/>
      </c>
      <c r="AP332" s="663"/>
      <c r="AQ332" s="663"/>
      <c r="AR332" s="270"/>
      <c r="AS332" s="270"/>
      <c r="AT332" s="270"/>
      <c r="AU332" s="270"/>
      <c r="AV332" s="270"/>
      <c r="AW332" s="270"/>
      <c r="AX332" s="270"/>
      <c r="AY332" s="270"/>
      <c r="AZ332" s="270"/>
      <c r="BA332" s="270">
        <f>IF(Table1[[#This Row],[Data de Início]]="","",YEAR(Table1[[#This Row],[Data de Início]]))</f>
        <v>2025</v>
      </c>
      <c r="BB332" s="270">
        <f>IF(Table1[[#This Row],[Data de Início]]="","",MONTH(Table1[[#This Row],[Data de Início]]))</f>
        <v>8</v>
      </c>
      <c r="BC332" s="270"/>
    </row>
    <row r="333" spans="2:55" ht="15" customHeight="1" x14ac:dyDescent="0.25">
      <c r="B333" s="470">
        <v>45880.368055555555</v>
      </c>
      <c r="C333" s="263">
        <v>45880.5625</v>
      </c>
      <c r="D333" s="264" cm="1">
        <f t="array" ref="D333">IFERROR(HorasUteisFabrica2Turnos(B333,C333), "")</f>
        <v>3.6666666666860692</v>
      </c>
      <c r="E333" s="265">
        <f t="shared" si="5"/>
        <v>693.81818181451035</v>
      </c>
      <c r="F333" s="266" t="s">
        <v>377</v>
      </c>
      <c r="G333" s="266" t="s">
        <v>505</v>
      </c>
      <c r="H333" s="266"/>
      <c r="I333" s="269" t="s">
        <v>635</v>
      </c>
      <c r="J333" s="267" t="s">
        <v>15</v>
      </c>
      <c r="K333" s="269">
        <v>2544</v>
      </c>
      <c r="L333" s="269" t="s">
        <v>213</v>
      </c>
      <c r="M333" s="270" t="str">
        <f>IFERROR(INDEX([1]Produtos!$C:$C,MATCH(L333,[1]Produtos!$B:$B,0)), "-")</f>
        <v>BODY SPLASH DEUSA DO NILO</v>
      </c>
      <c r="N333" s="510">
        <f>IFERROR(INDEX([1]Produtos!$E:$E,MATCH(L333,[1]Produtos!$B:$B,0)), "-")</f>
        <v>220</v>
      </c>
      <c r="O333" s="270" t="str">
        <f>IFERROR(INDEX([1]Produtos!$F:$F,MATCH(L333,[1]Produtos!$B:$B,0)), "-")</f>
        <v>ml</v>
      </c>
      <c r="P333" s="270" t="str">
        <f>IFERROR(INDEX([1]Produtos!$G:$G,MATCH(L333,[1]Produtos!$B:$B,0)), "-")</f>
        <v>MISS RÔSE</v>
      </c>
      <c r="Q333" s="270" t="str">
        <f>IFERROR(INDEX([1]Produtos!$H:$H,MATCH(L333,[1]Produtos!$B:$B,0)), "-")</f>
        <v>PERFUMARIA</v>
      </c>
      <c r="R333" s="270" t="str">
        <f>IFERROR(INDEX([1]Produtos!$I:$I,MATCH(L333,[1]Produtos!$B:$B,0)), "-")</f>
        <v>BODY SPLASH</v>
      </c>
      <c r="S333" s="270" t="str">
        <f>IFERROR(INDEX([1]Produtos!$J:$J,MATCH(L333,[1]Produtos!$B:$B,0)), "-")</f>
        <v>LÍQUIDO</v>
      </c>
      <c r="T333" s="474"/>
      <c r="U333" s="270"/>
      <c r="V333" s="270"/>
      <c r="W333" s="270"/>
      <c r="X333" s="270"/>
      <c r="Y333" s="270"/>
      <c r="Z333" s="270"/>
      <c r="AA333" s="270"/>
      <c r="AB333" s="270"/>
      <c r="AC333" s="270"/>
      <c r="AD333" s="270"/>
      <c r="AE333" s="270"/>
      <c r="AF333" s="270"/>
      <c r="AG333" s="270"/>
      <c r="AH333" s="270"/>
      <c r="AI333" s="270"/>
      <c r="AJ333" s="270"/>
      <c r="AK333" s="270"/>
      <c r="AL333" s="270"/>
      <c r="AM333" s="663"/>
      <c r="AN333" s="663"/>
      <c r="AO333" s="708" t="str">
        <f>IF(OR(Table1[[#This Row],[Início Setup Envase]]="",Table1[[#This Row],[Final Setup Envase]]=""),"",Table1[[#This Row],[Final Setup Envase]]-Table1[[#This Row],[Início Setup Envase]])</f>
        <v/>
      </c>
      <c r="AP333" s="663"/>
      <c r="AQ333" s="663"/>
      <c r="AR333" s="270"/>
      <c r="AS333" s="270"/>
      <c r="AT333" s="270"/>
      <c r="AU333" s="270"/>
      <c r="AV333" s="270"/>
      <c r="AW333" s="270"/>
      <c r="AX333" s="270"/>
      <c r="AY333" s="270"/>
      <c r="AZ333" s="270"/>
      <c r="BA333" s="270">
        <f>IF(Table1[[#This Row],[Data de Início]]="","",YEAR(Table1[[#This Row],[Data de Início]]))</f>
        <v>2025</v>
      </c>
      <c r="BB333" s="270">
        <f>IF(Table1[[#This Row],[Data de Início]]="","",MONTH(Table1[[#This Row],[Data de Início]]))</f>
        <v>8</v>
      </c>
      <c r="BC333" s="270"/>
    </row>
    <row r="334" spans="2:55" ht="15" customHeight="1" x14ac:dyDescent="0.25">
      <c r="B334" s="470">
        <v>45880.5625</v>
      </c>
      <c r="C334" s="263">
        <v>45880.708333333336</v>
      </c>
      <c r="D334" s="264" cm="1">
        <f t="array" ref="D334">IFERROR(HorasUteisFabrica2Turnos(B334,C334), "")</f>
        <v>3.5000000000582077</v>
      </c>
      <c r="E334" s="265">
        <f t="shared" si="5"/>
        <v>524.34782607368652</v>
      </c>
      <c r="F334" s="266" t="s">
        <v>378</v>
      </c>
      <c r="G334" s="266" t="s">
        <v>360</v>
      </c>
      <c r="H334" s="266"/>
      <c r="I334" s="269" t="s">
        <v>569</v>
      </c>
      <c r="J334" s="267" t="s">
        <v>15</v>
      </c>
      <c r="K334" s="268">
        <v>1835.2173912884239</v>
      </c>
      <c r="L334" s="269" t="s">
        <v>547</v>
      </c>
      <c r="M334" s="270" t="str">
        <f>IFERROR(INDEX([1]Produtos!$C:$C,MATCH(L334,[1]Produtos!$B:$B,0)), "-")</f>
        <v>HIDRATANTE MATTE SORVETE DE BAUNILHA</v>
      </c>
      <c r="N334" s="510">
        <f>IFERROR(INDEX([1]Produtos!$E:$E,MATCH(L334,[1]Produtos!$B:$B,0)), "-")</f>
        <v>120</v>
      </c>
      <c r="O334" s="270" t="str">
        <f>IFERROR(INDEX([1]Produtos!$F:$F,MATCH(L334,[1]Produtos!$B:$B,0)), "-")</f>
        <v>ml</v>
      </c>
      <c r="P334" s="270" t="str">
        <f>IFERROR(INDEX([1]Produtos!$G:$G,MATCH(L334,[1]Produtos!$B:$B,0)), "-")</f>
        <v>DAPOP</v>
      </c>
      <c r="Q334" s="270" t="str">
        <f>IFERROR(INDEX([1]Produtos!$H:$H,MATCH(L334,[1]Produtos!$B:$B,0)), "-")</f>
        <v>CORPORAL</v>
      </c>
      <c r="R334" s="270" t="str">
        <f>IFERROR(INDEX([1]Produtos!$I:$I,MATCH(L334,[1]Produtos!$B:$B,0)), "-")</f>
        <v>CREME HIDRATANTE</v>
      </c>
      <c r="S334" s="270" t="str">
        <f>IFERROR(INDEX([1]Produtos!$J:$J,MATCH(L334,[1]Produtos!$B:$B,0)), "-")</f>
        <v>CREMOSO</v>
      </c>
      <c r="T334" s="475"/>
      <c r="U334" s="270"/>
      <c r="V334" s="270"/>
      <c r="W334" s="270"/>
      <c r="X334" s="270"/>
      <c r="Y334" s="270"/>
      <c r="Z334" s="270"/>
      <c r="AA334" s="270"/>
      <c r="AB334" s="270"/>
      <c r="AC334" s="270"/>
      <c r="AD334" s="270"/>
      <c r="AE334" s="270"/>
      <c r="AF334" s="270"/>
      <c r="AG334" s="270"/>
      <c r="AH334" s="270"/>
      <c r="AI334" s="270"/>
      <c r="AJ334" s="270"/>
      <c r="AK334" s="270"/>
      <c r="AL334" s="270"/>
      <c r="AM334" s="663"/>
      <c r="AN334" s="663"/>
      <c r="AO334" s="708" t="str">
        <f>IF(OR(Table1[[#This Row],[Início Setup Envase]]="",Table1[[#This Row],[Final Setup Envase]]=""),"",Table1[[#This Row],[Final Setup Envase]]-Table1[[#This Row],[Início Setup Envase]])</f>
        <v/>
      </c>
      <c r="AP334" s="663"/>
      <c r="AQ334" s="663"/>
      <c r="AR334" s="270"/>
      <c r="AS334" s="270"/>
      <c r="AT334" s="270"/>
      <c r="AU334" s="270"/>
      <c r="AV334" s="270"/>
      <c r="AW334" s="270"/>
      <c r="AX334" s="270"/>
      <c r="AY334" s="270"/>
      <c r="AZ334" s="270"/>
      <c r="BA334" s="270">
        <f>IF(Table1[[#This Row],[Data de Início]]="","",YEAR(Table1[[#This Row],[Data de Início]]))</f>
        <v>2025</v>
      </c>
      <c r="BB334" s="270">
        <f>IF(Table1[[#This Row],[Data de Início]]="","",MONTH(Table1[[#This Row],[Data de Início]]))</f>
        <v>8</v>
      </c>
      <c r="BC334" s="270"/>
    </row>
    <row r="335" spans="2:55" ht="15" customHeight="1" x14ac:dyDescent="0.25">
      <c r="B335" s="470">
        <v>45880.566666666666</v>
      </c>
      <c r="C335" s="263">
        <v>45880.708333333336</v>
      </c>
      <c r="D335" s="264" cm="1">
        <f t="array" ref="D335">IFERROR(HorasUteisFabrica2Turnos(B335,C335), "")</f>
        <v>3.4000000000814907</v>
      </c>
      <c r="E335" s="265">
        <f t="shared" si="5"/>
        <v>578.18181815581238</v>
      </c>
      <c r="F335" s="266" t="s">
        <v>377</v>
      </c>
      <c r="G335" s="266" t="s">
        <v>505</v>
      </c>
      <c r="H335" s="266"/>
      <c r="I335" s="269" t="s">
        <v>571</v>
      </c>
      <c r="J335" s="267" t="s">
        <v>15</v>
      </c>
      <c r="K335" s="268">
        <v>1965.8181817768786</v>
      </c>
      <c r="L335" s="269" t="s">
        <v>213</v>
      </c>
      <c r="M335" s="270" t="str">
        <f>IFERROR(INDEX([1]Produtos!$C:$C,MATCH(L335,[1]Produtos!$B:$B,0)), "-")</f>
        <v>BODY SPLASH DEUSA DO NILO</v>
      </c>
      <c r="N335" s="510">
        <f>IFERROR(INDEX([1]Produtos!$E:$E,MATCH(L335,[1]Produtos!$B:$B,0)), "-")</f>
        <v>220</v>
      </c>
      <c r="O335" s="270" t="str">
        <f>IFERROR(INDEX([1]Produtos!$F:$F,MATCH(L335,[1]Produtos!$B:$B,0)), "-")</f>
        <v>ml</v>
      </c>
      <c r="P335" s="270" t="str">
        <f>IFERROR(INDEX([1]Produtos!$G:$G,MATCH(L335,[1]Produtos!$B:$B,0)), "-")</f>
        <v>MISS RÔSE</v>
      </c>
      <c r="Q335" s="270" t="str">
        <f>IFERROR(INDEX([1]Produtos!$H:$H,MATCH(L335,[1]Produtos!$B:$B,0)), "-")</f>
        <v>PERFUMARIA</v>
      </c>
      <c r="R335" s="270" t="str">
        <f>IFERROR(INDEX([1]Produtos!$I:$I,MATCH(L335,[1]Produtos!$B:$B,0)), "-")</f>
        <v>BODY SPLASH</v>
      </c>
      <c r="S335" s="270" t="str">
        <f>IFERROR(INDEX([1]Produtos!$J:$J,MATCH(L335,[1]Produtos!$B:$B,0)), "-")</f>
        <v>LÍQUIDO</v>
      </c>
      <c r="T335" s="474"/>
      <c r="U335" s="270"/>
      <c r="V335" s="270"/>
      <c r="W335" s="270"/>
      <c r="X335" s="270"/>
      <c r="Y335" s="270"/>
      <c r="Z335" s="270"/>
      <c r="AA335" s="270"/>
      <c r="AB335" s="270"/>
      <c r="AC335" s="270"/>
      <c r="AD335" s="270"/>
      <c r="AE335" s="270"/>
      <c r="AF335" s="270"/>
      <c r="AG335" s="270"/>
      <c r="AH335" s="270"/>
      <c r="AI335" s="270"/>
      <c r="AJ335" s="270"/>
      <c r="AK335" s="270"/>
      <c r="AL335" s="270"/>
      <c r="AM335" s="663"/>
      <c r="AN335" s="663"/>
      <c r="AO335" s="708" t="str">
        <f>IF(OR(Table1[[#This Row],[Início Setup Envase]]="",Table1[[#This Row],[Final Setup Envase]]=""),"",Table1[[#This Row],[Final Setup Envase]]-Table1[[#This Row],[Início Setup Envase]])</f>
        <v/>
      </c>
      <c r="AP335" s="663"/>
      <c r="AQ335" s="663"/>
      <c r="AR335" s="270"/>
      <c r="AS335" s="270"/>
      <c r="AT335" s="270"/>
      <c r="AU335" s="270"/>
      <c r="AV335" s="270"/>
      <c r="AW335" s="270"/>
      <c r="AX335" s="270"/>
      <c r="AY335" s="270"/>
      <c r="AZ335" s="270"/>
      <c r="BA335" s="270">
        <f>IF(Table1[[#This Row],[Data de Início]]="","",YEAR(Table1[[#This Row],[Data de Início]]))</f>
        <v>2025</v>
      </c>
      <c r="BB335" s="270">
        <f>IF(Table1[[#This Row],[Data de Início]]="","",MONTH(Table1[[#This Row],[Data de Início]]))</f>
        <v>8</v>
      </c>
      <c r="BC335" s="270"/>
    </row>
    <row r="336" spans="2:55" ht="15" customHeight="1" x14ac:dyDescent="0.25">
      <c r="B336" s="470">
        <v>45881.291666666664</v>
      </c>
      <c r="C336" s="263">
        <v>45881.465277777781</v>
      </c>
      <c r="D336" s="264" cm="1">
        <f t="array" ref="D336">IFERROR(HorasUteisFabrica2Turnos(B336,C336), "")</f>
        <v>4.1666666668024845</v>
      </c>
      <c r="E336" s="265">
        <f t="shared" si="5"/>
        <v>524.34782607368652</v>
      </c>
      <c r="F336" s="266" t="s">
        <v>378</v>
      </c>
      <c r="G336" s="266" t="s">
        <v>360</v>
      </c>
      <c r="H336" s="266"/>
      <c r="I336" s="269" t="s">
        <v>569</v>
      </c>
      <c r="J336" s="267" t="s">
        <v>15</v>
      </c>
      <c r="K336" s="268">
        <v>2184.7826087115764</v>
      </c>
      <c r="L336" s="269" t="s">
        <v>547</v>
      </c>
      <c r="M336" s="270" t="str">
        <f>IFERROR(INDEX([1]Produtos!$C:$C,MATCH(L336,[1]Produtos!$B:$B,0)), "-")</f>
        <v>HIDRATANTE MATTE SORVETE DE BAUNILHA</v>
      </c>
      <c r="N336" s="510">
        <f>IFERROR(INDEX([1]Produtos!$E:$E,MATCH(L336,[1]Produtos!$B:$B,0)), "-")</f>
        <v>120</v>
      </c>
      <c r="O336" s="270" t="str">
        <f>IFERROR(INDEX([1]Produtos!$F:$F,MATCH(L336,[1]Produtos!$B:$B,0)), "-")</f>
        <v>ml</v>
      </c>
      <c r="P336" s="270" t="str">
        <f>IFERROR(INDEX([1]Produtos!$G:$G,MATCH(L336,[1]Produtos!$B:$B,0)), "-")</f>
        <v>DAPOP</v>
      </c>
      <c r="Q336" s="270" t="str">
        <f>IFERROR(INDEX([1]Produtos!$H:$H,MATCH(L336,[1]Produtos!$B:$B,0)), "-")</f>
        <v>CORPORAL</v>
      </c>
      <c r="R336" s="270" t="str">
        <f>IFERROR(INDEX([1]Produtos!$I:$I,MATCH(L336,[1]Produtos!$B:$B,0)), "-")</f>
        <v>CREME HIDRATANTE</v>
      </c>
      <c r="S336" s="270" t="str">
        <f>IFERROR(INDEX([1]Produtos!$J:$J,MATCH(L336,[1]Produtos!$B:$B,0)), "-")</f>
        <v>CREMOSO</v>
      </c>
      <c r="T336" s="475"/>
      <c r="U336" s="270"/>
      <c r="V336" s="270"/>
      <c r="W336" s="270"/>
      <c r="X336" s="270"/>
      <c r="Y336" s="270"/>
      <c r="Z336" s="270"/>
      <c r="AA336" s="270"/>
      <c r="AB336" s="270"/>
      <c r="AC336" s="270"/>
      <c r="AD336" s="270"/>
      <c r="AE336" s="270"/>
      <c r="AF336" s="270"/>
      <c r="AG336" s="270"/>
      <c r="AH336" s="270"/>
      <c r="AI336" s="270"/>
      <c r="AJ336" s="270"/>
      <c r="AK336" s="270"/>
      <c r="AL336" s="270"/>
      <c r="AM336" s="663"/>
      <c r="AN336" s="663"/>
      <c r="AO336" s="708" t="str">
        <f>IF(OR(Table1[[#This Row],[Início Setup Envase]]="",Table1[[#This Row],[Final Setup Envase]]=""),"",Table1[[#This Row],[Final Setup Envase]]-Table1[[#This Row],[Início Setup Envase]])</f>
        <v/>
      </c>
      <c r="AP336" s="663"/>
      <c r="AQ336" s="663"/>
      <c r="AR336" s="270"/>
      <c r="AS336" s="270"/>
      <c r="AT336" s="270"/>
      <c r="AU336" s="270"/>
      <c r="AV336" s="270"/>
      <c r="AW336" s="270"/>
      <c r="AX336" s="270"/>
      <c r="AY336" s="270"/>
      <c r="AZ336" s="270"/>
      <c r="BA336" s="270">
        <f>IF(Table1[[#This Row],[Data de Início]]="","",YEAR(Table1[[#This Row],[Data de Início]]))</f>
        <v>2025</v>
      </c>
      <c r="BB336" s="270">
        <f>IF(Table1[[#This Row],[Data de Início]]="","",MONTH(Table1[[#This Row],[Data de Início]]))</f>
        <v>8</v>
      </c>
      <c r="BC336" s="270"/>
    </row>
    <row r="337" spans="2:55" ht="15" customHeight="1" x14ac:dyDescent="0.25">
      <c r="B337" s="470">
        <v>45881.291666666664</v>
      </c>
      <c r="C337" s="263">
        <v>45881.333333333336</v>
      </c>
      <c r="D337" s="264" cm="1">
        <f t="array" ref="D337">IFERROR(HorasUteisFabrica2Turnos(B337,C337), "")</f>
        <v>1.0000000001164153</v>
      </c>
      <c r="E337" s="265">
        <f t="shared" si="5"/>
        <v>578.18181815581238</v>
      </c>
      <c r="F337" s="266" t="s">
        <v>377</v>
      </c>
      <c r="G337" s="266" t="s">
        <v>505</v>
      </c>
      <c r="H337" s="266"/>
      <c r="I337" s="269" t="s">
        <v>571</v>
      </c>
      <c r="J337" s="267" t="s">
        <v>15</v>
      </c>
      <c r="K337" s="268">
        <v>578.18181822312158</v>
      </c>
      <c r="L337" s="269" t="s">
        <v>213</v>
      </c>
      <c r="M337" s="270" t="str">
        <f>IFERROR(INDEX([1]Produtos!$C:$C,MATCH(L337,[1]Produtos!$B:$B,0)), "-")</f>
        <v>BODY SPLASH DEUSA DO NILO</v>
      </c>
      <c r="N337" s="510">
        <f>IFERROR(INDEX([1]Produtos!$E:$E,MATCH(L337,[1]Produtos!$B:$B,0)), "-")</f>
        <v>220</v>
      </c>
      <c r="O337" s="270" t="str">
        <f>IFERROR(INDEX([1]Produtos!$F:$F,MATCH(L337,[1]Produtos!$B:$B,0)), "-")</f>
        <v>ml</v>
      </c>
      <c r="P337" s="270" t="str">
        <f>IFERROR(INDEX([1]Produtos!$G:$G,MATCH(L337,[1]Produtos!$B:$B,0)), "-")</f>
        <v>MISS RÔSE</v>
      </c>
      <c r="Q337" s="270" t="str">
        <f>IFERROR(INDEX([1]Produtos!$H:$H,MATCH(L337,[1]Produtos!$B:$B,0)), "-")</f>
        <v>PERFUMARIA</v>
      </c>
      <c r="R337" s="270" t="str">
        <f>IFERROR(INDEX([1]Produtos!$I:$I,MATCH(L337,[1]Produtos!$B:$B,0)), "-")</f>
        <v>BODY SPLASH</v>
      </c>
      <c r="S337" s="270" t="str">
        <f>IFERROR(INDEX([1]Produtos!$J:$J,MATCH(L337,[1]Produtos!$B:$B,0)), "-")</f>
        <v>LÍQUIDO</v>
      </c>
      <c r="T337" s="475"/>
      <c r="U337" s="270"/>
      <c r="V337" s="270"/>
      <c r="W337" s="270"/>
      <c r="X337" s="270"/>
      <c r="Y337" s="270"/>
      <c r="Z337" s="270"/>
      <c r="AA337" s="270"/>
      <c r="AB337" s="270"/>
      <c r="AC337" s="270"/>
      <c r="AD337" s="270"/>
      <c r="AE337" s="270"/>
      <c r="AF337" s="270"/>
      <c r="AG337" s="270"/>
      <c r="AH337" s="270"/>
      <c r="AI337" s="270"/>
      <c r="AJ337" s="270"/>
      <c r="AK337" s="270"/>
      <c r="AL337" s="270"/>
      <c r="AM337" s="663"/>
      <c r="AN337" s="663"/>
      <c r="AO337" s="708" t="str">
        <f>IF(OR(Table1[[#This Row],[Início Setup Envase]]="",Table1[[#This Row],[Final Setup Envase]]=""),"",Table1[[#This Row],[Final Setup Envase]]-Table1[[#This Row],[Início Setup Envase]])</f>
        <v/>
      </c>
      <c r="AP337" s="663"/>
      <c r="AQ337" s="663"/>
      <c r="AR337" s="270"/>
      <c r="AS337" s="270"/>
      <c r="AT337" s="270"/>
      <c r="AU337" s="270"/>
      <c r="AV337" s="270"/>
      <c r="AW337" s="270"/>
      <c r="AX337" s="270"/>
      <c r="AY337" s="270"/>
      <c r="AZ337" s="270"/>
      <c r="BA337" s="270">
        <f>IF(Table1[[#This Row],[Data de Início]]="","",YEAR(Table1[[#This Row],[Data de Início]]))</f>
        <v>2025</v>
      </c>
      <c r="BB337" s="270">
        <f>IF(Table1[[#This Row],[Data de Início]]="","",MONTH(Table1[[#This Row],[Data de Início]]))</f>
        <v>8</v>
      </c>
      <c r="BC337" s="270"/>
    </row>
    <row r="338" spans="2:55" ht="15" customHeight="1" x14ac:dyDescent="0.25">
      <c r="B338" s="470">
        <v>45881.333333333336</v>
      </c>
      <c r="C338" s="263">
        <v>45881.459722222222</v>
      </c>
      <c r="D338" s="264" cm="1">
        <f t="array" ref="D338">IFERROR(HorasUteisFabrica2Turnos(B338,C338), "")</f>
        <v>3.0333333332673647</v>
      </c>
      <c r="E338" s="265">
        <f t="shared" si="5"/>
        <v>506.37362638463895</v>
      </c>
      <c r="F338" s="266" t="s">
        <v>377</v>
      </c>
      <c r="G338" s="266" t="s">
        <v>505</v>
      </c>
      <c r="H338" s="266"/>
      <c r="I338" s="269" t="s">
        <v>572</v>
      </c>
      <c r="J338" s="267" t="s">
        <v>15</v>
      </c>
      <c r="K338" s="269">
        <v>1536</v>
      </c>
      <c r="L338" s="269" t="s">
        <v>213</v>
      </c>
      <c r="M338" s="270" t="str">
        <f>IFERROR(INDEX([1]Produtos!$C:$C,MATCH(L338,[1]Produtos!$B:$B,0)), "-")</f>
        <v>BODY SPLASH DEUSA DO NILO</v>
      </c>
      <c r="N338" s="510">
        <f>IFERROR(INDEX([1]Produtos!$E:$E,MATCH(L338,[1]Produtos!$B:$B,0)), "-")</f>
        <v>220</v>
      </c>
      <c r="O338" s="270" t="str">
        <f>IFERROR(INDEX([1]Produtos!$F:$F,MATCH(L338,[1]Produtos!$B:$B,0)), "-")</f>
        <v>ml</v>
      </c>
      <c r="P338" s="270" t="str">
        <f>IFERROR(INDEX([1]Produtos!$G:$G,MATCH(L338,[1]Produtos!$B:$B,0)), "-")</f>
        <v>MISS RÔSE</v>
      </c>
      <c r="Q338" s="270" t="str">
        <f>IFERROR(INDEX([1]Produtos!$H:$H,MATCH(L338,[1]Produtos!$B:$B,0)), "-")</f>
        <v>PERFUMARIA</v>
      </c>
      <c r="R338" s="270" t="str">
        <f>IFERROR(INDEX([1]Produtos!$I:$I,MATCH(L338,[1]Produtos!$B:$B,0)), "-")</f>
        <v>BODY SPLASH</v>
      </c>
      <c r="S338" s="270" t="str">
        <f>IFERROR(INDEX([1]Produtos!$J:$J,MATCH(L338,[1]Produtos!$B:$B,0)), "-")</f>
        <v>LÍQUIDO</v>
      </c>
      <c r="T338" s="474"/>
      <c r="U338" s="270"/>
      <c r="V338" s="270"/>
      <c r="W338" s="270"/>
      <c r="X338" s="270"/>
      <c r="Y338" s="270"/>
      <c r="Z338" s="270"/>
      <c r="AA338" s="270"/>
      <c r="AB338" s="270"/>
      <c r="AC338" s="270"/>
      <c r="AD338" s="270"/>
      <c r="AE338" s="270"/>
      <c r="AF338" s="270"/>
      <c r="AG338" s="270"/>
      <c r="AH338" s="270"/>
      <c r="AI338" s="270"/>
      <c r="AJ338" s="270"/>
      <c r="AK338" s="270"/>
      <c r="AL338" s="270"/>
      <c r="AM338" s="663"/>
      <c r="AN338" s="663"/>
      <c r="AO338" s="708" t="str">
        <f>IF(OR(Table1[[#This Row],[Início Setup Envase]]="",Table1[[#This Row],[Final Setup Envase]]=""),"",Table1[[#This Row],[Final Setup Envase]]-Table1[[#This Row],[Início Setup Envase]])</f>
        <v/>
      </c>
      <c r="AP338" s="663"/>
      <c r="AQ338" s="663"/>
      <c r="AR338" s="270"/>
      <c r="AS338" s="270"/>
      <c r="AT338" s="270"/>
      <c r="AU338" s="270"/>
      <c r="AV338" s="270"/>
      <c r="AW338" s="270"/>
      <c r="AX338" s="270"/>
      <c r="AY338" s="270"/>
      <c r="AZ338" s="270"/>
      <c r="BA338" s="270">
        <f>IF(Table1[[#This Row],[Data de Início]]="","",YEAR(Table1[[#This Row],[Data de Início]]))</f>
        <v>2025</v>
      </c>
      <c r="BB338" s="270">
        <f>IF(Table1[[#This Row],[Data de Início]]="","",MONTH(Table1[[#This Row],[Data de Início]]))</f>
        <v>8</v>
      </c>
      <c r="BC338" s="270"/>
    </row>
    <row r="339" spans="2:55" ht="15" customHeight="1" x14ac:dyDescent="0.25">
      <c r="B339" s="470">
        <v>45881.465277777781</v>
      </c>
      <c r="C339" s="263">
        <v>45881.666666666664</v>
      </c>
      <c r="D339" s="264" cm="1">
        <f t="array" ref="D339">IFERROR(HorasUteisFabrica2Turnos(B339,C339), "")</f>
        <v>3.8333333331975155</v>
      </c>
      <c r="E339" s="265">
        <f t="shared" si="5"/>
        <v>1048.695652211069</v>
      </c>
      <c r="F339" s="266" t="s">
        <v>378</v>
      </c>
      <c r="G339" s="266" t="s">
        <v>360</v>
      </c>
      <c r="H339" s="266"/>
      <c r="I339" s="269" t="s">
        <v>570</v>
      </c>
      <c r="J339" s="267" t="s">
        <v>15</v>
      </c>
      <c r="K339" s="268">
        <v>4020</v>
      </c>
      <c r="L339" s="269" t="s">
        <v>547</v>
      </c>
      <c r="M339" s="270" t="str">
        <f>IFERROR(INDEX([1]Produtos!$C:$C,MATCH(L339,[1]Produtos!$B:$B,0)), "-")</f>
        <v>HIDRATANTE MATTE SORVETE DE BAUNILHA</v>
      </c>
      <c r="N339" s="510">
        <f>IFERROR(INDEX([1]Produtos!$E:$E,MATCH(L339,[1]Produtos!$B:$B,0)), "-")</f>
        <v>120</v>
      </c>
      <c r="O339" s="270" t="str">
        <f>IFERROR(INDEX([1]Produtos!$F:$F,MATCH(L339,[1]Produtos!$B:$B,0)), "-")</f>
        <v>ml</v>
      </c>
      <c r="P339" s="270" t="str">
        <f>IFERROR(INDEX([1]Produtos!$G:$G,MATCH(L339,[1]Produtos!$B:$B,0)), "-")</f>
        <v>DAPOP</v>
      </c>
      <c r="Q339" s="270" t="str">
        <f>IFERROR(INDEX([1]Produtos!$H:$H,MATCH(L339,[1]Produtos!$B:$B,0)), "-")</f>
        <v>CORPORAL</v>
      </c>
      <c r="R339" s="270" t="str">
        <f>IFERROR(INDEX([1]Produtos!$I:$I,MATCH(L339,[1]Produtos!$B:$B,0)), "-")</f>
        <v>CREME HIDRATANTE</v>
      </c>
      <c r="S339" s="270" t="str">
        <f>IFERROR(INDEX([1]Produtos!$J:$J,MATCH(L339,[1]Produtos!$B:$B,0)), "-")</f>
        <v>CREMOSO</v>
      </c>
      <c r="T339" s="475"/>
      <c r="U339" s="270"/>
      <c r="V339" s="270"/>
      <c r="W339" s="270"/>
      <c r="X339" s="270"/>
      <c r="Y339" s="270"/>
      <c r="Z339" s="270"/>
      <c r="AA339" s="270"/>
      <c r="AB339" s="270"/>
      <c r="AC339" s="270"/>
      <c r="AD339" s="270"/>
      <c r="AE339" s="270"/>
      <c r="AF339" s="270"/>
      <c r="AG339" s="270"/>
      <c r="AH339" s="270"/>
      <c r="AI339" s="270"/>
      <c r="AJ339" s="270"/>
      <c r="AK339" s="270"/>
      <c r="AL339" s="270"/>
      <c r="AM339" s="663"/>
      <c r="AN339" s="663"/>
      <c r="AO339" s="708" t="str">
        <f>IF(OR(Table1[[#This Row],[Início Setup Envase]]="",Table1[[#This Row],[Final Setup Envase]]=""),"",Table1[[#This Row],[Final Setup Envase]]-Table1[[#This Row],[Início Setup Envase]])</f>
        <v/>
      </c>
      <c r="AP339" s="663"/>
      <c r="AQ339" s="663"/>
      <c r="AR339" s="270"/>
      <c r="AS339" s="270"/>
      <c r="AT339" s="270"/>
      <c r="AU339" s="270"/>
      <c r="AV339" s="270"/>
      <c r="AW339" s="270"/>
      <c r="AX339" s="270"/>
      <c r="AY339" s="270"/>
      <c r="AZ339" s="270"/>
      <c r="BA339" s="270">
        <f>IF(Table1[[#This Row],[Data de Início]]="","",YEAR(Table1[[#This Row],[Data de Início]]))</f>
        <v>2025</v>
      </c>
      <c r="BB339" s="270">
        <f>IF(Table1[[#This Row],[Data de Início]]="","",MONTH(Table1[[#This Row],[Data de Início]]))</f>
        <v>8</v>
      </c>
      <c r="BC339" s="270"/>
    </row>
    <row r="340" spans="2:55" ht="15" customHeight="1" x14ac:dyDescent="0.25">
      <c r="B340" s="470">
        <v>45881.548611111109</v>
      </c>
      <c r="C340" s="263">
        <v>45881.666666666664</v>
      </c>
      <c r="D340" s="264" cm="1">
        <f t="array" ref="D340">IFERROR(HorasUteisFabrica2Turnos(B340,C340), "")</f>
        <v>2.8333333333139308</v>
      </c>
      <c r="E340" s="265">
        <f t="shared" si="5"/>
        <v>897.8823529473251</v>
      </c>
      <c r="F340" s="266" t="s">
        <v>377</v>
      </c>
      <c r="G340" s="266" t="s">
        <v>505</v>
      </c>
      <c r="H340" s="266"/>
      <c r="I340" s="269" t="s">
        <v>630</v>
      </c>
      <c r="J340" s="267" t="s">
        <v>15</v>
      </c>
      <c r="K340" s="269">
        <v>2544</v>
      </c>
      <c r="L340" s="269" t="s">
        <v>211</v>
      </c>
      <c r="M340" s="270" t="str">
        <f>IFERROR(INDEX([1]Produtos!$C:$C,MATCH(L340,[1]Produtos!$B:$B,0)), "-")</f>
        <v>BODY SPLASH AURORA IMPERIAL</v>
      </c>
      <c r="N340" s="510">
        <f>IFERROR(INDEX([1]Produtos!$E:$E,MATCH(L340,[1]Produtos!$B:$B,0)), "-")</f>
        <v>220</v>
      </c>
      <c r="O340" s="270" t="str">
        <f>IFERROR(INDEX([1]Produtos!$F:$F,MATCH(L340,[1]Produtos!$B:$B,0)), "-")</f>
        <v>ml</v>
      </c>
      <c r="P340" s="270" t="str">
        <f>IFERROR(INDEX([1]Produtos!$G:$G,MATCH(L340,[1]Produtos!$B:$B,0)), "-")</f>
        <v>MISS RÔSE</v>
      </c>
      <c r="Q340" s="270" t="str">
        <f>IFERROR(INDEX([1]Produtos!$H:$H,MATCH(L340,[1]Produtos!$B:$B,0)), "-")</f>
        <v>PERFUMARIA</v>
      </c>
      <c r="R340" s="270" t="str">
        <f>IFERROR(INDEX([1]Produtos!$I:$I,MATCH(L340,[1]Produtos!$B:$B,0)), "-")</f>
        <v>BODY SPLASH</v>
      </c>
      <c r="S340" s="270" t="str">
        <f>IFERROR(INDEX([1]Produtos!$J:$J,MATCH(L340,[1]Produtos!$B:$B,0)), "-")</f>
        <v>LÍQUIDO</v>
      </c>
      <c r="T340" s="474"/>
      <c r="U340" s="270"/>
      <c r="V340" s="270"/>
      <c r="W340" s="270"/>
      <c r="X340" s="270"/>
      <c r="Y340" s="270"/>
      <c r="Z340" s="270"/>
      <c r="AA340" s="270"/>
      <c r="AB340" s="270"/>
      <c r="AC340" s="270"/>
      <c r="AD340" s="270"/>
      <c r="AE340" s="270"/>
      <c r="AF340" s="270"/>
      <c r="AG340" s="270"/>
      <c r="AH340" s="270"/>
      <c r="AI340" s="270"/>
      <c r="AJ340" s="270"/>
      <c r="AK340" s="270"/>
      <c r="AL340" s="270"/>
      <c r="AM340" s="663"/>
      <c r="AN340" s="663"/>
      <c r="AO340" s="708" t="str">
        <f>IF(OR(Table1[[#This Row],[Início Setup Envase]]="",Table1[[#This Row],[Final Setup Envase]]=""),"",Table1[[#This Row],[Final Setup Envase]]-Table1[[#This Row],[Início Setup Envase]])</f>
        <v/>
      </c>
      <c r="AP340" s="663"/>
      <c r="AQ340" s="663"/>
      <c r="AR340" s="270"/>
      <c r="AS340" s="270"/>
      <c r="AT340" s="270"/>
      <c r="AU340" s="270"/>
      <c r="AV340" s="270"/>
      <c r="AW340" s="270"/>
      <c r="AX340" s="270"/>
      <c r="AY340" s="270"/>
      <c r="AZ340" s="270"/>
      <c r="BA340" s="270">
        <f>IF(Table1[[#This Row],[Data de Início]]="","",YEAR(Table1[[#This Row],[Data de Início]]))</f>
        <v>2025</v>
      </c>
      <c r="BB340" s="270">
        <f>IF(Table1[[#This Row],[Data de Início]]="","",MONTH(Table1[[#This Row],[Data de Início]]))</f>
        <v>8</v>
      </c>
      <c r="BC340" s="270"/>
    </row>
    <row r="341" spans="2:55" ht="15" customHeight="1" x14ac:dyDescent="0.25">
      <c r="B341" s="470">
        <v>45881.663194444445</v>
      </c>
      <c r="C341" s="263">
        <v>45881.708333333336</v>
      </c>
      <c r="D341" s="264" cm="1">
        <f t="array" ref="D341">IFERROR(HorasUteisFabrica2Turnos(B341,C341), "")</f>
        <v>1.0833333333721384</v>
      </c>
      <c r="E341" s="265">
        <f t="shared" si="5"/>
        <v>430.7142857071226</v>
      </c>
      <c r="F341" s="266" t="s">
        <v>378</v>
      </c>
      <c r="G341" s="266" t="s">
        <v>360</v>
      </c>
      <c r="H341" s="266"/>
      <c r="I341" s="269" t="s">
        <v>646</v>
      </c>
      <c r="J341" s="267" t="s">
        <v>15</v>
      </c>
      <c r="K341" s="268">
        <v>466.60714286609675</v>
      </c>
      <c r="L341" s="269" t="s">
        <v>636</v>
      </c>
      <c r="M341" s="270" t="str">
        <f>IFERROR(INDEX([1]Produtos!$C:$C,MATCH(L341,[1]Produtos!$B:$B,0)), "-")</f>
        <v>HIDRATANTE MATTE DOCE SEDUÇÃO</v>
      </c>
      <c r="N341" s="510">
        <f>IFERROR(INDEX([1]Produtos!$E:$E,MATCH(L341,[1]Produtos!$B:$B,0)), "-")</f>
        <v>120</v>
      </c>
      <c r="O341" s="270" t="str">
        <f>IFERROR(INDEX([1]Produtos!$F:$F,MATCH(L341,[1]Produtos!$B:$B,0)), "-")</f>
        <v>ml</v>
      </c>
      <c r="P341" s="270" t="str">
        <f>IFERROR(INDEX([1]Produtos!$G:$G,MATCH(L341,[1]Produtos!$B:$B,0)), "-")</f>
        <v>DAPOP</v>
      </c>
      <c r="Q341" s="270" t="str">
        <f>IFERROR(INDEX([1]Produtos!$H:$H,MATCH(L341,[1]Produtos!$B:$B,0)), "-")</f>
        <v>CORPORAL</v>
      </c>
      <c r="R341" s="270" t="str">
        <f>IFERROR(INDEX([1]Produtos!$I:$I,MATCH(L341,[1]Produtos!$B:$B,0)), "-")</f>
        <v>CREME HIDRATANTE</v>
      </c>
      <c r="S341" s="270" t="str">
        <f>IFERROR(INDEX([1]Produtos!$J:$J,MATCH(L341,[1]Produtos!$B:$B,0)), "-")</f>
        <v>CREMOSO</v>
      </c>
      <c r="T341" s="474"/>
      <c r="U341" s="270"/>
      <c r="V341" s="270"/>
      <c r="W341" s="270"/>
      <c r="X341" s="270"/>
      <c r="Y341" s="270"/>
      <c r="Z341" s="270"/>
      <c r="AA341" s="270"/>
      <c r="AB341" s="270"/>
      <c r="AC341" s="270"/>
      <c r="AD341" s="270"/>
      <c r="AE341" s="270"/>
      <c r="AF341" s="270"/>
      <c r="AG341" s="270"/>
      <c r="AH341" s="270"/>
      <c r="AI341" s="270"/>
      <c r="AJ341" s="270"/>
      <c r="AK341" s="270"/>
      <c r="AL341" s="270"/>
      <c r="AM341" s="663"/>
      <c r="AN341" s="663"/>
      <c r="AO341" s="708" t="str">
        <f>IF(OR(Table1[[#This Row],[Início Setup Envase]]="",Table1[[#This Row],[Final Setup Envase]]=""),"",Table1[[#This Row],[Final Setup Envase]]-Table1[[#This Row],[Início Setup Envase]])</f>
        <v/>
      </c>
      <c r="AP341" s="663"/>
      <c r="AQ341" s="663"/>
      <c r="AR341" s="270"/>
      <c r="AS341" s="270"/>
      <c r="AT341" s="270"/>
      <c r="AU341" s="270"/>
      <c r="AV341" s="270"/>
      <c r="AW341" s="270"/>
      <c r="AX341" s="270"/>
      <c r="AY341" s="270"/>
      <c r="AZ341" s="270"/>
      <c r="BA341" s="270">
        <f>IF(Table1[[#This Row],[Data de Início]]="","",YEAR(Table1[[#This Row],[Data de Início]]))</f>
        <v>2025</v>
      </c>
      <c r="BB341" s="270">
        <f>IF(Table1[[#This Row],[Data de Início]]="","",MONTH(Table1[[#This Row],[Data de Início]]))</f>
        <v>8</v>
      </c>
      <c r="BC341" s="270"/>
    </row>
    <row r="342" spans="2:55" ht="15" customHeight="1" x14ac:dyDescent="0.25">
      <c r="B342" s="470">
        <v>45881.666666666664</v>
      </c>
      <c r="C342" s="263">
        <v>45881.708333333336</v>
      </c>
      <c r="D342" s="264" cm="1">
        <f t="array" ref="D342">IFERROR(HorasUteisFabrica2Turnos(B342,C342), "")</f>
        <v>1.0000000001164153</v>
      </c>
      <c r="E342" s="265">
        <f t="shared" si="5"/>
        <v>820.79999994744549</v>
      </c>
      <c r="F342" s="266" t="s">
        <v>377</v>
      </c>
      <c r="G342" s="266" t="s">
        <v>505</v>
      </c>
      <c r="H342" s="266"/>
      <c r="I342" s="269" t="s">
        <v>631</v>
      </c>
      <c r="J342" s="267" t="s">
        <v>15</v>
      </c>
      <c r="K342" s="268">
        <v>820.80000004299916</v>
      </c>
      <c r="L342" s="269" t="s">
        <v>211</v>
      </c>
      <c r="M342" s="270" t="str">
        <f>IFERROR(INDEX([1]Produtos!$C:$C,MATCH(L342,[1]Produtos!$B:$B,0)), "-")</f>
        <v>BODY SPLASH AURORA IMPERIAL</v>
      </c>
      <c r="N342" s="510">
        <f>IFERROR(INDEX([1]Produtos!$E:$E,MATCH(L342,[1]Produtos!$B:$B,0)), "-")</f>
        <v>220</v>
      </c>
      <c r="O342" s="270" t="str">
        <f>IFERROR(INDEX([1]Produtos!$F:$F,MATCH(L342,[1]Produtos!$B:$B,0)), "-")</f>
        <v>ml</v>
      </c>
      <c r="P342" s="270" t="str">
        <f>IFERROR(INDEX([1]Produtos!$G:$G,MATCH(L342,[1]Produtos!$B:$B,0)), "-")</f>
        <v>MISS RÔSE</v>
      </c>
      <c r="Q342" s="270" t="str">
        <f>IFERROR(INDEX([1]Produtos!$H:$H,MATCH(L342,[1]Produtos!$B:$B,0)), "-")</f>
        <v>PERFUMARIA</v>
      </c>
      <c r="R342" s="270" t="str">
        <f>IFERROR(INDEX([1]Produtos!$I:$I,MATCH(L342,[1]Produtos!$B:$B,0)), "-")</f>
        <v>BODY SPLASH</v>
      </c>
      <c r="S342" s="270" t="str">
        <f>IFERROR(INDEX([1]Produtos!$J:$J,MATCH(L342,[1]Produtos!$B:$B,0)), "-")</f>
        <v>LÍQUIDO</v>
      </c>
      <c r="T342" s="475"/>
      <c r="U342" s="270"/>
      <c r="V342" s="270"/>
      <c r="W342" s="270"/>
      <c r="X342" s="270"/>
      <c r="Y342" s="270"/>
      <c r="Z342" s="270"/>
      <c r="AA342" s="270"/>
      <c r="AB342" s="270"/>
      <c r="AC342" s="270"/>
      <c r="AD342" s="270"/>
      <c r="AE342" s="270"/>
      <c r="AF342" s="270"/>
      <c r="AG342" s="270"/>
      <c r="AH342" s="270"/>
      <c r="AI342" s="270"/>
      <c r="AJ342" s="270"/>
      <c r="AK342" s="270"/>
      <c r="AL342" s="270"/>
      <c r="AM342" s="663"/>
      <c r="AN342" s="663"/>
      <c r="AO342" s="708" t="str">
        <f>IF(OR(Table1[[#This Row],[Início Setup Envase]]="",Table1[[#This Row],[Final Setup Envase]]=""),"",Table1[[#This Row],[Final Setup Envase]]-Table1[[#This Row],[Início Setup Envase]])</f>
        <v/>
      </c>
      <c r="AP342" s="663"/>
      <c r="AQ342" s="663"/>
      <c r="AR342" s="270"/>
      <c r="AS342" s="270"/>
      <c r="AT342" s="270"/>
      <c r="AU342" s="270"/>
      <c r="AV342" s="270"/>
      <c r="AW342" s="270"/>
      <c r="AX342" s="270"/>
      <c r="AY342" s="270"/>
      <c r="AZ342" s="270"/>
      <c r="BA342" s="270">
        <f>IF(Table1[[#This Row],[Data de Início]]="","",YEAR(Table1[[#This Row],[Data de Início]]))</f>
        <v>2025</v>
      </c>
      <c r="BB342" s="270">
        <f>IF(Table1[[#This Row],[Data de Início]]="","",MONTH(Table1[[#This Row],[Data de Início]]))</f>
        <v>8</v>
      </c>
      <c r="BC342" s="270"/>
    </row>
    <row r="343" spans="2:55" ht="15" customHeight="1" x14ac:dyDescent="0.25">
      <c r="B343" s="470">
        <v>45882.291666666664</v>
      </c>
      <c r="C343" s="263">
        <v>45882.388888888891</v>
      </c>
      <c r="D343" s="264" cm="1">
        <f t="array" ref="D343">IFERROR(HorasUteisFabrica2Turnos(B343,C343), "")</f>
        <v>2.3333333334303461</v>
      </c>
      <c r="E343" s="265">
        <f t="shared" si="5"/>
        <v>820.79999994744549</v>
      </c>
      <c r="F343" s="266" t="s">
        <v>377</v>
      </c>
      <c r="G343" s="266" t="s">
        <v>505</v>
      </c>
      <c r="H343" s="266"/>
      <c r="I343" s="269" t="s">
        <v>631</v>
      </c>
      <c r="J343" s="267" t="s">
        <v>15</v>
      </c>
      <c r="K343" s="268">
        <v>1915.199999957001</v>
      </c>
      <c r="L343" s="269" t="s">
        <v>211</v>
      </c>
      <c r="M343" s="270" t="str">
        <f>IFERROR(INDEX([1]Produtos!$C:$C,MATCH(L343,[1]Produtos!$B:$B,0)), "-")</f>
        <v>BODY SPLASH AURORA IMPERIAL</v>
      </c>
      <c r="N343" s="510">
        <f>IFERROR(INDEX([1]Produtos!$E:$E,MATCH(L343,[1]Produtos!$B:$B,0)), "-")</f>
        <v>220</v>
      </c>
      <c r="O343" s="270" t="str">
        <f>IFERROR(INDEX([1]Produtos!$F:$F,MATCH(L343,[1]Produtos!$B:$B,0)), "-")</f>
        <v>ml</v>
      </c>
      <c r="P343" s="270" t="str">
        <f>IFERROR(INDEX([1]Produtos!$G:$G,MATCH(L343,[1]Produtos!$B:$B,0)), "-")</f>
        <v>MISS RÔSE</v>
      </c>
      <c r="Q343" s="270" t="str">
        <f>IFERROR(INDEX([1]Produtos!$H:$H,MATCH(L343,[1]Produtos!$B:$B,0)), "-")</f>
        <v>PERFUMARIA</v>
      </c>
      <c r="R343" s="270" t="str">
        <f>IFERROR(INDEX([1]Produtos!$I:$I,MATCH(L343,[1]Produtos!$B:$B,0)), "-")</f>
        <v>BODY SPLASH</v>
      </c>
      <c r="S343" s="270" t="str">
        <f>IFERROR(INDEX([1]Produtos!$J:$J,MATCH(L343,[1]Produtos!$B:$B,0)), "-")</f>
        <v>LÍQUIDO</v>
      </c>
      <c r="T343" s="475"/>
      <c r="U343" s="270"/>
      <c r="V343" s="270"/>
      <c r="W343" s="270"/>
      <c r="X343" s="270"/>
      <c r="Y343" s="270"/>
      <c r="Z343" s="270"/>
      <c r="AA343" s="270"/>
      <c r="AB343" s="270"/>
      <c r="AC343" s="270"/>
      <c r="AD343" s="270"/>
      <c r="AE343" s="270"/>
      <c r="AF343" s="270"/>
      <c r="AG343" s="270"/>
      <c r="AH343" s="270"/>
      <c r="AI343" s="270"/>
      <c r="AJ343" s="270"/>
      <c r="AK343" s="270"/>
      <c r="AL343" s="270"/>
      <c r="AM343" s="663"/>
      <c r="AN343" s="663"/>
      <c r="AO343" s="708" t="str">
        <f>IF(OR(Table1[[#This Row],[Início Setup Envase]]="",Table1[[#This Row],[Final Setup Envase]]=""),"",Table1[[#This Row],[Final Setup Envase]]-Table1[[#This Row],[Início Setup Envase]])</f>
        <v/>
      </c>
      <c r="AP343" s="663"/>
      <c r="AQ343" s="663"/>
      <c r="AR343" s="270"/>
      <c r="AS343" s="270"/>
      <c r="AT343" s="270"/>
      <c r="AU343" s="270"/>
      <c r="AV343" s="270"/>
      <c r="AW343" s="270"/>
      <c r="AX343" s="270"/>
      <c r="AY343" s="270"/>
      <c r="AZ343" s="270"/>
      <c r="BA343" s="270">
        <f>IF(Table1[[#This Row],[Data de Início]]="","",YEAR(Table1[[#This Row],[Data de Início]]))</f>
        <v>2025</v>
      </c>
      <c r="BB343" s="270">
        <f>IF(Table1[[#This Row],[Data de Início]]="","",MONTH(Table1[[#This Row],[Data de Início]]))</f>
        <v>8</v>
      </c>
      <c r="BC343" s="270"/>
    </row>
    <row r="344" spans="2:55" ht="15" customHeight="1" x14ac:dyDescent="0.25">
      <c r="B344" s="470">
        <v>45882.388888888891</v>
      </c>
      <c r="C344" s="263">
        <v>45882.5625</v>
      </c>
      <c r="D344" s="264" cm="1">
        <f t="array" ref="D344">IFERROR(HorasUteisFabrica2Turnos(B344,C344), "")</f>
        <v>3.1666666666278616</v>
      </c>
      <c r="E344" s="265">
        <f t="shared" si="5"/>
        <v>803.36842106247627</v>
      </c>
      <c r="F344" s="266" t="s">
        <v>377</v>
      </c>
      <c r="G344" s="266" t="s">
        <v>565</v>
      </c>
      <c r="H344" s="266"/>
      <c r="I344" s="269" t="s">
        <v>624</v>
      </c>
      <c r="J344" s="267" t="s">
        <v>15</v>
      </c>
      <c r="K344" s="269">
        <v>2544</v>
      </c>
      <c r="L344" s="269" t="s">
        <v>562</v>
      </c>
      <c r="M344" s="270" t="str">
        <f>IFERROR(INDEX([1]Produtos!$C:$C,MATCH(L344,[1]Produtos!$B:$B,0)), "-")</f>
        <v>BODY SPLASH BIO BALM EUPHORIA PINK</v>
      </c>
      <c r="N344" s="510">
        <f>IFERROR(INDEX([1]Produtos!$E:$E,MATCH(L344,[1]Produtos!$B:$B,0)), "-")</f>
        <v>200</v>
      </c>
      <c r="O344" s="270" t="str">
        <f>IFERROR(INDEX([1]Produtos!$F:$F,MATCH(L344,[1]Produtos!$B:$B,0)), "-")</f>
        <v>ml</v>
      </c>
      <c r="P344" s="270" t="str">
        <f>IFERROR(INDEX([1]Produtos!$G:$G,MATCH(L344,[1]Produtos!$B:$B,0)), "-")</f>
        <v>BIOFLORA</v>
      </c>
      <c r="Q344" s="270" t="str">
        <f>IFERROR(INDEX([1]Produtos!$H:$H,MATCH(L344,[1]Produtos!$B:$B,0)), "-")</f>
        <v>PERFUMARIA</v>
      </c>
      <c r="R344" s="270" t="str">
        <f>IFERROR(INDEX([1]Produtos!$I:$I,MATCH(L344,[1]Produtos!$B:$B,0)), "-")</f>
        <v>BODY SPLASH</v>
      </c>
      <c r="S344" s="270" t="str">
        <f>IFERROR(INDEX([1]Produtos!$J:$J,MATCH(L344,[1]Produtos!$B:$B,0)), "-")</f>
        <v>LÍQUIDO</v>
      </c>
      <c r="T344" s="475"/>
      <c r="U344" s="270"/>
      <c r="V344" s="270"/>
      <c r="W344" s="270"/>
      <c r="X344" s="270"/>
      <c r="Y344" s="270"/>
      <c r="Z344" s="270"/>
      <c r="AA344" s="270"/>
      <c r="AB344" s="270"/>
      <c r="AC344" s="270"/>
      <c r="AD344" s="270"/>
      <c r="AE344" s="270"/>
      <c r="AF344" s="270"/>
      <c r="AG344" s="270"/>
      <c r="AH344" s="270"/>
      <c r="AI344" s="270"/>
      <c r="AJ344" s="270"/>
      <c r="AK344" s="270"/>
      <c r="AL344" s="270"/>
      <c r="AM344" s="663"/>
      <c r="AN344" s="663"/>
      <c r="AO344" s="708" t="str">
        <f>IF(OR(Table1[[#This Row],[Início Setup Envase]]="",Table1[[#This Row],[Final Setup Envase]]=""),"",Table1[[#This Row],[Final Setup Envase]]-Table1[[#This Row],[Início Setup Envase]])</f>
        <v/>
      </c>
      <c r="AP344" s="663"/>
      <c r="AQ344" s="663"/>
      <c r="AR344" s="270"/>
      <c r="AS344" s="270"/>
      <c r="AT344" s="270"/>
      <c r="AU344" s="270"/>
      <c r="AV344" s="270"/>
      <c r="AW344" s="270"/>
      <c r="AX344" s="270"/>
      <c r="AY344" s="270"/>
      <c r="AZ344" s="270"/>
      <c r="BA344" s="270">
        <f>IF(Table1[[#This Row],[Data de Início]]="","",YEAR(Table1[[#This Row],[Data de Início]]))</f>
        <v>2025</v>
      </c>
      <c r="BB344" s="270">
        <f>IF(Table1[[#This Row],[Data de Início]]="","",MONTH(Table1[[#This Row],[Data de Início]]))</f>
        <v>8</v>
      </c>
      <c r="BC344" s="270"/>
    </row>
    <row r="345" spans="2:55" ht="15" customHeight="1" x14ac:dyDescent="0.25">
      <c r="B345" s="470">
        <v>45882.5625</v>
      </c>
      <c r="C345" s="263">
        <v>45882.694444444445</v>
      </c>
      <c r="D345" s="264" cm="1">
        <f t="array" ref="D345">IFERROR(HorasUteisFabrica2Turnos(B345,C345), "")</f>
        <v>3.1666666666860692</v>
      </c>
      <c r="E345" s="265">
        <f t="shared" si="5"/>
        <v>803.36842104770926</v>
      </c>
      <c r="F345" s="266" t="s">
        <v>377</v>
      </c>
      <c r="G345" s="266" t="s">
        <v>565</v>
      </c>
      <c r="H345" s="266"/>
      <c r="I345" s="269" t="s">
        <v>625</v>
      </c>
      <c r="J345" s="267" t="s">
        <v>15</v>
      </c>
      <c r="K345" s="269">
        <v>2544</v>
      </c>
      <c r="L345" s="269" t="s">
        <v>562</v>
      </c>
      <c r="M345" s="270" t="str">
        <f>IFERROR(INDEX([1]Produtos!$C:$C,MATCH(L345,[1]Produtos!$B:$B,0)), "-")</f>
        <v>BODY SPLASH BIO BALM EUPHORIA PINK</v>
      </c>
      <c r="N345" s="510">
        <f>IFERROR(INDEX([1]Produtos!$E:$E,MATCH(L345,[1]Produtos!$B:$B,0)), "-")</f>
        <v>200</v>
      </c>
      <c r="O345" s="270" t="str">
        <f>IFERROR(INDEX([1]Produtos!$F:$F,MATCH(L345,[1]Produtos!$B:$B,0)), "-")</f>
        <v>ml</v>
      </c>
      <c r="P345" s="270" t="str">
        <f>IFERROR(INDEX([1]Produtos!$G:$G,MATCH(L345,[1]Produtos!$B:$B,0)), "-")</f>
        <v>BIOFLORA</v>
      </c>
      <c r="Q345" s="270" t="str">
        <f>IFERROR(INDEX([1]Produtos!$H:$H,MATCH(L345,[1]Produtos!$B:$B,0)), "-")</f>
        <v>PERFUMARIA</v>
      </c>
      <c r="R345" s="270" t="str">
        <f>IFERROR(INDEX([1]Produtos!$I:$I,MATCH(L345,[1]Produtos!$B:$B,0)), "-")</f>
        <v>BODY SPLASH</v>
      </c>
      <c r="S345" s="270" t="str">
        <f>IFERROR(INDEX([1]Produtos!$J:$J,MATCH(L345,[1]Produtos!$B:$B,0)), "-")</f>
        <v>LÍQUIDO</v>
      </c>
      <c r="T345" s="475"/>
      <c r="U345" s="270"/>
      <c r="V345" s="270"/>
      <c r="W345" s="270"/>
      <c r="X345" s="270"/>
      <c r="Y345" s="270"/>
      <c r="Z345" s="270"/>
      <c r="AA345" s="270"/>
      <c r="AB345" s="270"/>
      <c r="AC345" s="270"/>
      <c r="AD345" s="270"/>
      <c r="AE345" s="270"/>
      <c r="AF345" s="270"/>
      <c r="AG345" s="270"/>
      <c r="AH345" s="270"/>
      <c r="AI345" s="270"/>
      <c r="AJ345" s="270"/>
      <c r="AK345" s="270"/>
      <c r="AL345" s="270"/>
      <c r="AM345" s="663"/>
      <c r="AN345" s="663"/>
      <c r="AO345" s="708" t="str">
        <f>IF(OR(Table1[[#This Row],[Início Setup Envase]]="",Table1[[#This Row],[Final Setup Envase]]=""),"",Table1[[#This Row],[Final Setup Envase]]-Table1[[#This Row],[Início Setup Envase]])</f>
        <v/>
      </c>
      <c r="AP345" s="663"/>
      <c r="AQ345" s="663"/>
      <c r="AR345" s="270"/>
      <c r="AS345" s="270"/>
      <c r="AT345" s="270"/>
      <c r="AU345" s="270"/>
      <c r="AV345" s="270"/>
      <c r="AW345" s="270"/>
      <c r="AX345" s="270"/>
      <c r="AY345" s="270"/>
      <c r="AZ345" s="270"/>
      <c r="BA345" s="270">
        <f>IF(Table1[[#This Row],[Data de Início]]="","",YEAR(Table1[[#This Row],[Data de Início]]))</f>
        <v>2025</v>
      </c>
      <c r="BB345" s="270">
        <f>IF(Table1[[#This Row],[Data de Início]]="","",MONTH(Table1[[#This Row],[Data de Início]]))</f>
        <v>8</v>
      </c>
      <c r="BC345" s="270"/>
    </row>
    <row r="346" spans="2:55" ht="15" customHeight="1" x14ac:dyDescent="0.25">
      <c r="B346" s="470">
        <v>45882.694444444445</v>
      </c>
      <c r="C346" s="263">
        <v>45882.708333333336</v>
      </c>
      <c r="D346" s="264" cm="1">
        <f t="array" ref="D346">IFERROR(HorasUteisFabrica2Turnos(B346,C346), "")</f>
        <v>0.33333333337213844</v>
      </c>
      <c r="E346" s="265">
        <f t="shared" si="5"/>
        <v>565.33333331139556</v>
      </c>
      <c r="F346" s="266" t="s">
        <v>377</v>
      </c>
      <c r="G346" s="266" t="s">
        <v>565</v>
      </c>
      <c r="H346" s="266"/>
      <c r="I346" s="269" t="s">
        <v>626</v>
      </c>
      <c r="J346" s="267" t="s">
        <v>15</v>
      </c>
      <c r="K346" s="268">
        <v>188.44444445906967</v>
      </c>
      <c r="L346" s="269" t="s">
        <v>562</v>
      </c>
      <c r="M346" s="270" t="str">
        <f>IFERROR(INDEX([1]Produtos!$C:$C,MATCH(L346,[1]Produtos!$B:$B,0)), "-")</f>
        <v>BODY SPLASH BIO BALM EUPHORIA PINK</v>
      </c>
      <c r="N346" s="510">
        <f>IFERROR(INDEX([1]Produtos!$E:$E,MATCH(L346,[1]Produtos!$B:$B,0)), "-")</f>
        <v>200</v>
      </c>
      <c r="O346" s="270" t="str">
        <f>IFERROR(INDEX([1]Produtos!$F:$F,MATCH(L346,[1]Produtos!$B:$B,0)), "-")</f>
        <v>ml</v>
      </c>
      <c r="P346" s="270" t="str">
        <f>IFERROR(INDEX([1]Produtos!$G:$G,MATCH(L346,[1]Produtos!$B:$B,0)), "-")</f>
        <v>BIOFLORA</v>
      </c>
      <c r="Q346" s="270" t="str">
        <f>IFERROR(INDEX([1]Produtos!$H:$H,MATCH(L346,[1]Produtos!$B:$B,0)), "-")</f>
        <v>PERFUMARIA</v>
      </c>
      <c r="R346" s="270" t="str">
        <f>IFERROR(INDEX([1]Produtos!$I:$I,MATCH(L346,[1]Produtos!$B:$B,0)), "-")</f>
        <v>BODY SPLASH</v>
      </c>
      <c r="S346" s="270" t="str">
        <f>IFERROR(INDEX([1]Produtos!$J:$J,MATCH(L346,[1]Produtos!$B:$B,0)), "-")</f>
        <v>LÍQUIDO</v>
      </c>
      <c r="T346" s="475"/>
      <c r="U346" s="270"/>
      <c r="V346" s="270"/>
      <c r="W346" s="270"/>
      <c r="X346" s="270"/>
      <c r="Y346" s="270"/>
      <c r="Z346" s="270"/>
      <c r="AA346" s="270"/>
      <c r="AB346" s="270"/>
      <c r="AC346" s="270"/>
      <c r="AD346" s="270"/>
      <c r="AE346" s="270"/>
      <c r="AF346" s="270"/>
      <c r="AG346" s="270"/>
      <c r="AH346" s="270"/>
      <c r="AI346" s="270"/>
      <c r="AJ346" s="270"/>
      <c r="AK346" s="270"/>
      <c r="AL346" s="270"/>
      <c r="AM346" s="663"/>
      <c r="AN346" s="663"/>
      <c r="AO346" s="708" t="str">
        <f>IF(OR(Table1[[#This Row],[Início Setup Envase]]="",Table1[[#This Row],[Final Setup Envase]]=""),"",Table1[[#This Row],[Final Setup Envase]]-Table1[[#This Row],[Início Setup Envase]])</f>
        <v/>
      </c>
      <c r="AP346" s="663"/>
      <c r="AQ346" s="663"/>
      <c r="AR346" s="270"/>
      <c r="AS346" s="270"/>
      <c r="AT346" s="270"/>
      <c r="AU346" s="270"/>
      <c r="AV346" s="270"/>
      <c r="AW346" s="270"/>
      <c r="AX346" s="270"/>
      <c r="AY346" s="270"/>
      <c r="AZ346" s="270"/>
      <c r="BA346" s="270">
        <f>IF(Table1[[#This Row],[Data de Início]]="","",YEAR(Table1[[#This Row],[Data de Início]]))</f>
        <v>2025</v>
      </c>
      <c r="BB346" s="270">
        <f>IF(Table1[[#This Row],[Data de Início]]="","",MONTH(Table1[[#This Row],[Data de Início]]))</f>
        <v>8</v>
      </c>
      <c r="BC346" s="270"/>
    </row>
    <row r="347" spans="2:55" ht="15" customHeight="1" x14ac:dyDescent="0.25">
      <c r="B347" s="470">
        <v>45883.291666666664</v>
      </c>
      <c r="C347" s="263">
        <v>45883.465277777781</v>
      </c>
      <c r="D347" s="264" cm="1">
        <f t="array" ref="D347">IFERROR(HorasUteisFabrica2Turnos(B347,C347), "")</f>
        <v>4.1666666668024845</v>
      </c>
      <c r="E347" s="265">
        <f t="shared" si="5"/>
        <v>565.33333331139556</v>
      </c>
      <c r="F347" s="266" t="s">
        <v>377</v>
      </c>
      <c r="G347" s="266" t="s">
        <v>565</v>
      </c>
      <c r="H347" s="266"/>
      <c r="I347" s="269" t="s">
        <v>626</v>
      </c>
      <c r="J347" s="267" t="s">
        <v>15</v>
      </c>
      <c r="K347" s="268">
        <v>2355.5555555409305</v>
      </c>
      <c r="L347" s="269" t="s">
        <v>562</v>
      </c>
      <c r="M347" s="270" t="str">
        <f>IFERROR(INDEX([1]Produtos!$C:$C,MATCH(L347,[1]Produtos!$B:$B,0)), "-")</f>
        <v>BODY SPLASH BIO BALM EUPHORIA PINK</v>
      </c>
      <c r="N347" s="510">
        <f>IFERROR(INDEX([1]Produtos!$E:$E,MATCH(L347,[1]Produtos!$B:$B,0)), "-")</f>
        <v>200</v>
      </c>
      <c r="O347" s="270" t="str">
        <f>IFERROR(INDEX([1]Produtos!$F:$F,MATCH(L347,[1]Produtos!$B:$B,0)), "-")</f>
        <v>ml</v>
      </c>
      <c r="P347" s="270" t="str">
        <f>IFERROR(INDEX([1]Produtos!$G:$G,MATCH(L347,[1]Produtos!$B:$B,0)), "-")</f>
        <v>BIOFLORA</v>
      </c>
      <c r="Q347" s="270" t="str">
        <f>IFERROR(INDEX([1]Produtos!$H:$H,MATCH(L347,[1]Produtos!$B:$B,0)), "-")</f>
        <v>PERFUMARIA</v>
      </c>
      <c r="R347" s="270" t="str">
        <f>IFERROR(INDEX([1]Produtos!$I:$I,MATCH(L347,[1]Produtos!$B:$B,0)), "-")</f>
        <v>BODY SPLASH</v>
      </c>
      <c r="S347" s="270" t="str">
        <f>IFERROR(INDEX([1]Produtos!$J:$J,MATCH(L347,[1]Produtos!$B:$B,0)), "-")</f>
        <v>LÍQUIDO</v>
      </c>
      <c r="T347" s="475"/>
      <c r="U347" s="270"/>
      <c r="V347" s="270"/>
      <c r="W347" s="270"/>
      <c r="X347" s="270"/>
      <c r="Y347" s="270"/>
      <c r="Z347" s="270"/>
      <c r="AA347" s="270"/>
      <c r="AB347" s="270"/>
      <c r="AC347" s="270"/>
      <c r="AD347" s="270"/>
      <c r="AE347" s="270"/>
      <c r="AF347" s="270"/>
      <c r="AG347" s="270"/>
      <c r="AH347" s="270"/>
      <c r="AI347" s="270"/>
      <c r="AJ347" s="270"/>
      <c r="AK347" s="270"/>
      <c r="AL347" s="270"/>
      <c r="AM347" s="663"/>
      <c r="AN347" s="663"/>
      <c r="AO347" s="708" t="str">
        <f>IF(OR(Table1[[#This Row],[Início Setup Envase]]="",Table1[[#This Row],[Final Setup Envase]]=""),"",Table1[[#This Row],[Final Setup Envase]]-Table1[[#This Row],[Início Setup Envase]])</f>
        <v/>
      </c>
      <c r="AP347" s="663"/>
      <c r="AQ347" s="663"/>
      <c r="AR347" s="270"/>
      <c r="AS347" s="270"/>
      <c r="AT347" s="270"/>
      <c r="AU347" s="270"/>
      <c r="AV347" s="270"/>
      <c r="AW347" s="270"/>
      <c r="AX347" s="270"/>
      <c r="AY347" s="270"/>
      <c r="AZ347" s="270"/>
      <c r="BA347" s="270">
        <f>IF(Table1[[#This Row],[Data de Início]]="","",YEAR(Table1[[#This Row],[Data de Início]]))</f>
        <v>2025</v>
      </c>
      <c r="BB347" s="270">
        <f>IF(Table1[[#This Row],[Data de Início]]="","",MONTH(Table1[[#This Row],[Data de Início]]))</f>
        <v>8</v>
      </c>
      <c r="BC347" s="270"/>
    </row>
    <row r="348" spans="2:55" ht="15" customHeight="1" x14ac:dyDescent="0.25">
      <c r="B348" s="470">
        <v>45883.450694444444</v>
      </c>
      <c r="C348" s="263">
        <v>45883.625</v>
      </c>
      <c r="D348" s="264" cm="1">
        <f t="array" ref="D348">IFERROR(HorasUteisFabrica2Turnos(B348,C348), "")</f>
        <v>3.1833333333488554</v>
      </c>
      <c r="E348" s="265">
        <f t="shared" si="5"/>
        <v>799.16230366102468</v>
      </c>
      <c r="F348" s="266" t="s">
        <v>377</v>
      </c>
      <c r="G348" s="266" t="s">
        <v>565</v>
      </c>
      <c r="H348" s="266"/>
      <c r="I348" s="269" t="s">
        <v>621</v>
      </c>
      <c r="J348" s="267" t="s">
        <v>15</v>
      </c>
      <c r="K348" s="269">
        <v>2544</v>
      </c>
      <c r="L348" s="269" t="s">
        <v>563</v>
      </c>
      <c r="M348" s="270" t="str">
        <f>IFERROR(INDEX([1]Produtos!$C:$C,MATCH(L348,[1]Produtos!$B:$B,0)), "-")</f>
        <v>BODY SPLASH BIO BALM INFINITY ROUGE</v>
      </c>
      <c r="N348" s="510">
        <f>IFERROR(INDEX([1]Produtos!$E:$E,MATCH(L348,[1]Produtos!$B:$B,0)), "-")</f>
        <v>200</v>
      </c>
      <c r="O348" s="270" t="str">
        <f>IFERROR(INDEX([1]Produtos!$F:$F,MATCH(L348,[1]Produtos!$B:$B,0)), "-")</f>
        <v>ml</v>
      </c>
      <c r="P348" s="270" t="str">
        <f>IFERROR(INDEX([1]Produtos!$G:$G,MATCH(L348,[1]Produtos!$B:$B,0)), "-")</f>
        <v>BIOFLORA</v>
      </c>
      <c r="Q348" s="270" t="str">
        <f>IFERROR(INDEX([1]Produtos!$H:$H,MATCH(L348,[1]Produtos!$B:$B,0)), "-")</f>
        <v>PERFUMARIA</v>
      </c>
      <c r="R348" s="270" t="str">
        <f>IFERROR(INDEX([1]Produtos!$I:$I,MATCH(L348,[1]Produtos!$B:$B,0)), "-")</f>
        <v>BODY SPLASH</v>
      </c>
      <c r="S348" s="270" t="str">
        <f>IFERROR(INDEX([1]Produtos!$J:$J,MATCH(L348,[1]Produtos!$B:$B,0)), "-")</f>
        <v>LÍQUIDO</v>
      </c>
      <c r="T348" s="475"/>
      <c r="U348" s="270"/>
      <c r="V348" s="270"/>
      <c r="W348" s="270"/>
      <c r="X348" s="270"/>
      <c r="Y348" s="270"/>
      <c r="Z348" s="270"/>
      <c r="AA348" s="270"/>
      <c r="AB348" s="270"/>
      <c r="AC348" s="270"/>
      <c r="AD348" s="270"/>
      <c r="AE348" s="270"/>
      <c r="AF348" s="270"/>
      <c r="AG348" s="270"/>
      <c r="AH348" s="270"/>
      <c r="AI348" s="270"/>
      <c r="AJ348" s="270"/>
      <c r="AK348" s="270"/>
      <c r="AL348" s="270"/>
      <c r="AM348" s="663"/>
      <c r="AN348" s="663"/>
      <c r="AO348" s="708" t="str">
        <f>IF(OR(Table1[[#This Row],[Início Setup Envase]]="",Table1[[#This Row],[Final Setup Envase]]=""),"",Table1[[#This Row],[Final Setup Envase]]-Table1[[#This Row],[Início Setup Envase]])</f>
        <v/>
      </c>
      <c r="AP348" s="663"/>
      <c r="AQ348" s="663"/>
      <c r="AR348" s="270"/>
      <c r="AS348" s="270"/>
      <c r="AT348" s="270"/>
      <c r="AU348" s="270"/>
      <c r="AV348" s="270"/>
      <c r="AW348" s="270"/>
      <c r="AX348" s="270"/>
      <c r="AY348" s="270"/>
      <c r="AZ348" s="270"/>
      <c r="BA348" s="270">
        <f>IF(Table1[[#This Row],[Data de Início]]="","",YEAR(Table1[[#This Row],[Data de Início]]))</f>
        <v>2025</v>
      </c>
      <c r="BB348" s="270">
        <f>IF(Table1[[#This Row],[Data de Início]]="","",MONTH(Table1[[#This Row],[Data de Início]]))</f>
        <v>8</v>
      </c>
      <c r="BC348" s="270"/>
    </row>
    <row r="349" spans="2:55" ht="15" customHeight="1" x14ac:dyDescent="0.25">
      <c r="B349" s="470">
        <v>45883.625</v>
      </c>
      <c r="C349" s="263">
        <v>45883.708333333336</v>
      </c>
      <c r="D349" s="264" cm="1">
        <f t="array" ref="D349">IFERROR(HorasUteisFabrica2Turnos(B349,C349), "")</f>
        <v>2.0000000000582077</v>
      </c>
      <c r="E349" s="265">
        <f t="shared" si="5"/>
        <v>778.77551016337657</v>
      </c>
      <c r="F349" s="266" t="s">
        <v>377</v>
      </c>
      <c r="G349" s="266" t="s">
        <v>565</v>
      </c>
      <c r="H349" s="266"/>
      <c r="I349" s="269" t="s">
        <v>622</v>
      </c>
      <c r="J349" s="267" t="s">
        <v>15</v>
      </c>
      <c r="K349" s="268">
        <v>1557.5510203720839</v>
      </c>
      <c r="L349" s="269" t="s">
        <v>563</v>
      </c>
      <c r="M349" s="270" t="str">
        <f>IFERROR(INDEX([1]Produtos!$C:$C,MATCH(L349,[1]Produtos!$B:$B,0)), "-")</f>
        <v>BODY SPLASH BIO BALM INFINITY ROUGE</v>
      </c>
      <c r="N349" s="510">
        <f>IFERROR(INDEX([1]Produtos!$E:$E,MATCH(L349,[1]Produtos!$B:$B,0)), "-")</f>
        <v>200</v>
      </c>
      <c r="O349" s="270" t="str">
        <f>IFERROR(INDEX([1]Produtos!$F:$F,MATCH(L349,[1]Produtos!$B:$B,0)), "-")</f>
        <v>ml</v>
      </c>
      <c r="P349" s="270" t="str">
        <f>IFERROR(INDEX([1]Produtos!$G:$G,MATCH(L349,[1]Produtos!$B:$B,0)), "-")</f>
        <v>BIOFLORA</v>
      </c>
      <c r="Q349" s="270" t="str">
        <f>IFERROR(INDEX([1]Produtos!$H:$H,MATCH(L349,[1]Produtos!$B:$B,0)), "-")</f>
        <v>PERFUMARIA</v>
      </c>
      <c r="R349" s="270" t="str">
        <f>IFERROR(INDEX([1]Produtos!$I:$I,MATCH(L349,[1]Produtos!$B:$B,0)), "-")</f>
        <v>BODY SPLASH</v>
      </c>
      <c r="S349" s="270" t="str">
        <f>IFERROR(INDEX([1]Produtos!$J:$J,MATCH(L349,[1]Produtos!$B:$B,0)), "-")</f>
        <v>LÍQUIDO</v>
      </c>
      <c r="T349" s="475"/>
      <c r="U349" s="270"/>
      <c r="V349" s="270"/>
      <c r="W349" s="270"/>
      <c r="X349" s="270"/>
      <c r="Y349" s="270"/>
      <c r="Z349" s="270"/>
      <c r="AA349" s="270"/>
      <c r="AB349" s="270"/>
      <c r="AC349" s="270"/>
      <c r="AD349" s="270"/>
      <c r="AE349" s="270"/>
      <c r="AF349" s="270"/>
      <c r="AG349" s="270"/>
      <c r="AH349" s="270"/>
      <c r="AI349" s="270"/>
      <c r="AJ349" s="270"/>
      <c r="AK349" s="270"/>
      <c r="AL349" s="270"/>
      <c r="AM349" s="663"/>
      <c r="AN349" s="663"/>
      <c r="AO349" s="708" t="str">
        <f>IF(OR(Table1[[#This Row],[Início Setup Envase]]="",Table1[[#This Row],[Final Setup Envase]]=""),"",Table1[[#This Row],[Final Setup Envase]]-Table1[[#This Row],[Início Setup Envase]])</f>
        <v/>
      </c>
      <c r="AP349" s="663"/>
      <c r="AQ349" s="663"/>
      <c r="AR349" s="270"/>
      <c r="AS349" s="270"/>
      <c r="AT349" s="270"/>
      <c r="AU349" s="270"/>
      <c r="AV349" s="270"/>
      <c r="AW349" s="270"/>
      <c r="AX349" s="270"/>
      <c r="AY349" s="270"/>
      <c r="AZ349" s="270"/>
      <c r="BA349" s="270">
        <f>IF(Table1[[#This Row],[Data de Início]]="","",YEAR(Table1[[#This Row],[Data de Início]]))</f>
        <v>2025</v>
      </c>
      <c r="BB349" s="270">
        <f>IF(Table1[[#This Row],[Data de Início]]="","",MONTH(Table1[[#This Row],[Data de Início]]))</f>
        <v>8</v>
      </c>
      <c r="BC349" s="270"/>
    </row>
    <row r="350" spans="2:55" ht="15" customHeight="1" x14ac:dyDescent="0.25">
      <c r="B350" s="470">
        <v>45884.291666666664</v>
      </c>
      <c r="C350" s="263">
        <v>45884.344444444447</v>
      </c>
      <c r="D350" s="264" cm="1">
        <f t="array" ref="D350">IFERROR(HorasUteisFabrica2Turnos(B350,C350), "")</f>
        <v>1.2666666667792015</v>
      </c>
      <c r="E350" s="265">
        <f t="shared" si="5"/>
        <v>778.77551016337657</v>
      </c>
      <c r="F350" s="266" t="s">
        <v>377</v>
      </c>
      <c r="G350" s="266" t="s">
        <v>565</v>
      </c>
      <c r="H350" s="266"/>
      <c r="I350" s="269" t="s">
        <v>622</v>
      </c>
      <c r="J350" s="267" t="s">
        <v>15</v>
      </c>
      <c r="K350" s="268">
        <v>986.44897962791629</v>
      </c>
      <c r="L350" s="269" t="s">
        <v>563</v>
      </c>
      <c r="M350" s="270" t="str">
        <f>IFERROR(INDEX([1]Produtos!$C:$C,MATCH(L350,[1]Produtos!$B:$B,0)), "-")</f>
        <v>BODY SPLASH BIO BALM INFINITY ROUGE</v>
      </c>
      <c r="N350" s="510">
        <f>IFERROR(INDEX([1]Produtos!$E:$E,MATCH(L350,[1]Produtos!$B:$B,0)), "-")</f>
        <v>200</v>
      </c>
      <c r="O350" s="270" t="str">
        <f>IFERROR(INDEX([1]Produtos!$F:$F,MATCH(L350,[1]Produtos!$B:$B,0)), "-")</f>
        <v>ml</v>
      </c>
      <c r="P350" s="270" t="str">
        <f>IFERROR(INDEX([1]Produtos!$G:$G,MATCH(L350,[1]Produtos!$B:$B,0)), "-")</f>
        <v>BIOFLORA</v>
      </c>
      <c r="Q350" s="270" t="str">
        <f>IFERROR(INDEX([1]Produtos!$H:$H,MATCH(L350,[1]Produtos!$B:$B,0)), "-")</f>
        <v>PERFUMARIA</v>
      </c>
      <c r="R350" s="270" t="str">
        <f>IFERROR(INDEX([1]Produtos!$I:$I,MATCH(L350,[1]Produtos!$B:$B,0)), "-")</f>
        <v>BODY SPLASH</v>
      </c>
      <c r="S350" s="270" t="str">
        <f>IFERROR(INDEX([1]Produtos!$J:$J,MATCH(L350,[1]Produtos!$B:$B,0)), "-")</f>
        <v>LÍQUIDO</v>
      </c>
      <c r="T350" s="475"/>
      <c r="U350" s="270"/>
      <c r="V350" s="270"/>
      <c r="W350" s="270"/>
      <c r="X350" s="270"/>
      <c r="Y350" s="270"/>
      <c r="Z350" s="270"/>
      <c r="AA350" s="270"/>
      <c r="AB350" s="270"/>
      <c r="AC350" s="270"/>
      <c r="AD350" s="270"/>
      <c r="AE350" s="270"/>
      <c r="AF350" s="270"/>
      <c r="AG350" s="270"/>
      <c r="AH350" s="270"/>
      <c r="AI350" s="270"/>
      <c r="AJ350" s="270"/>
      <c r="AK350" s="270"/>
      <c r="AL350" s="270"/>
      <c r="AM350" s="663"/>
      <c r="AN350" s="663"/>
      <c r="AO350" s="708" t="str">
        <f>IF(OR(Table1[[#This Row],[Início Setup Envase]]="",Table1[[#This Row],[Final Setup Envase]]=""),"",Table1[[#This Row],[Final Setup Envase]]-Table1[[#This Row],[Início Setup Envase]])</f>
        <v/>
      </c>
      <c r="AP350" s="663"/>
      <c r="AQ350" s="663"/>
      <c r="AR350" s="270"/>
      <c r="AS350" s="270"/>
      <c r="AT350" s="270"/>
      <c r="AU350" s="270"/>
      <c r="AV350" s="270"/>
      <c r="AW350" s="270"/>
      <c r="AX350" s="270"/>
      <c r="AY350" s="270"/>
      <c r="AZ350" s="270"/>
      <c r="BA350" s="270">
        <f>IF(Table1[[#This Row],[Data de Início]]="","",YEAR(Table1[[#This Row],[Data de Início]]))</f>
        <v>2025</v>
      </c>
      <c r="BB350" s="270">
        <f>IF(Table1[[#This Row],[Data de Início]]="","",MONTH(Table1[[#This Row],[Data de Início]]))</f>
        <v>8</v>
      </c>
      <c r="BC350" s="270"/>
    </row>
    <row r="351" spans="2:55" ht="15" customHeight="1" x14ac:dyDescent="0.25">
      <c r="B351" s="470">
        <v>45884.344444444447</v>
      </c>
      <c r="C351" s="263">
        <v>45884.458333333336</v>
      </c>
      <c r="D351" s="264" cm="1">
        <f t="array" ref="D351">IFERROR(HorasUteisFabrica2Turnos(B351,C351), "")</f>
        <v>2.7333333333372138</v>
      </c>
      <c r="E351" s="265">
        <f t="shared" si="5"/>
        <v>930.73170731575181</v>
      </c>
      <c r="F351" s="266" t="s">
        <v>377</v>
      </c>
      <c r="G351" s="266" t="s">
        <v>565</v>
      </c>
      <c r="H351" s="266"/>
      <c r="I351" s="269" t="s">
        <v>623</v>
      </c>
      <c r="J351" s="267" t="s">
        <v>15</v>
      </c>
      <c r="K351" s="268">
        <v>2544</v>
      </c>
      <c r="L351" s="269" t="s">
        <v>563</v>
      </c>
      <c r="M351" s="270" t="str">
        <f>IFERROR(INDEX([1]Produtos!$C:$C,MATCH(L351,[1]Produtos!$B:$B,0)), "-")</f>
        <v>BODY SPLASH BIO BALM INFINITY ROUGE</v>
      </c>
      <c r="N351" s="510">
        <f>IFERROR(INDEX([1]Produtos!$E:$E,MATCH(L351,[1]Produtos!$B:$B,0)), "-")</f>
        <v>200</v>
      </c>
      <c r="O351" s="270" t="str">
        <f>IFERROR(INDEX([1]Produtos!$F:$F,MATCH(L351,[1]Produtos!$B:$B,0)), "-")</f>
        <v>ml</v>
      </c>
      <c r="P351" s="270" t="str">
        <f>IFERROR(INDEX([1]Produtos!$G:$G,MATCH(L351,[1]Produtos!$B:$B,0)), "-")</f>
        <v>BIOFLORA</v>
      </c>
      <c r="Q351" s="270" t="str">
        <f>IFERROR(INDEX([1]Produtos!$H:$H,MATCH(L351,[1]Produtos!$B:$B,0)), "-")</f>
        <v>PERFUMARIA</v>
      </c>
      <c r="R351" s="270" t="str">
        <f>IFERROR(INDEX([1]Produtos!$I:$I,MATCH(L351,[1]Produtos!$B:$B,0)), "-")</f>
        <v>BODY SPLASH</v>
      </c>
      <c r="S351" s="270" t="str">
        <f>IFERROR(INDEX([1]Produtos!$J:$J,MATCH(L351,[1]Produtos!$B:$B,0)), "-")</f>
        <v>LÍQUIDO</v>
      </c>
      <c r="T351" s="475"/>
      <c r="U351" s="270"/>
      <c r="V351" s="270"/>
      <c r="W351" s="270"/>
      <c r="X351" s="270"/>
      <c r="Y351" s="270"/>
      <c r="Z351" s="270"/>
      <c r="AA351" s="270"/>
      <c r="AB351" s="270"/>
      <c r="AC351" s="270"/>
      <c r="AD351" s="270"/>
      <c r="AE351" s="270"/>
      <c r="AF351" s="270"/>
      <c r="AG351" s="270"/>
      <c r="AH351" s="270"/>
      <c r="AI351" s="270"/>
      <c r="AJ351" s="270"/>
      <c r="AK351" s="270"/>
      <c r="AL351" s="270"/>
      <c r="AM351" s="663"/>
      <c r="AN351" s="663"/>
      <c r="AO351" s="708" t="str">
        <f>IF(OR(Table1[[#This Row],[Início Setup Envase]]="",Table1[[#This Row],[Final Setup Envase]]=""),"",Table1[[#This Row],[Final Setup Envase]]-Table1[[#This Row],[Início Setup Envase]])</f>
        <v/>
      </c>
      <c r="AP351" s="663"/>
      <c r="AQ351" s="663"/>
      <c r="AR351" s="270"/>
      <c r="AS351" s="270"/>
      <c r="AT351" s="270"/>
      <c r="AU351" s="270"/>
      <c r="AV351" s="270"/>
      <c r="AW351" s="270"/>
      <c r="AX351" s="270"/>
      <c r="AY351" s="270"/>
      <c r="AZ351" s="270"/>
      <c r="BA351" s="270">
        <f>IF(Table1[[#This Row],[Data de Início]]="","",YEAR(Table1[[#This Row],[Data de Início]]))</f>
        <v>2025</v>
      </c>
      <c r="BB351" s="270">
        <f>IF(Table1[[#This Row],[Data de Início]]="","",MONTH(Table1[[#This Row],[Data de Início]]))</f>
        <v>8</v>
      </c>
      <c r="BC351" s="270"/>
    </row>
    <row r="352" spans="2:55" ht="15" customHeight="1" x14ac:dyDescent="0.25">
      <c r="B352" s="470">
        <v>45884.479166666664</v>
      </c>
      <c r="C352" s="263">
        <v>45884.611111111109</v>
      </c>
      <c r="D352" s="264" cm="1">
        <f t="array" ref="D352">IFERROR(HorasUteisFabrica2Turnos(B352,C352), "")</f>
        <v>2.1666666666860692</v>
      </c>
      <c r="E352" s="265">
        <f t="shared" si="5"/>
        <v>1174.1538461433315</v>
      </c>
      <c r="F352" s="266" t="s">
        <v>377</v>
      </c>
      <c r="G352" s="266" t="s">
        <v>565</v>
      </c>
      <c r="H352" s="266"/>
      <c r="I352" s="269" t="s">
        <v>627</v>
      </c>
      <c r="J352" s="267" t="s">
        <v>15</v>
      </c>
      <c r="K352" s="269">
        <v>2544</v>
      </c>
      <c r="L352" s="269" t="s">
        <v>564</v>
      </c>
      <c r="M352" s="270" t="str">
        <f>IFERROR(INDEX([1]Produtos!$C:$C,MATCH(L352,[1]Produtos!$B:$B,0)), "-")</f>
        <v>BODY SPLASH BIO BALM SKINLIGHT</v>
      </c>
      <c r="N352" s="510">
        <f>IFERROR(INDEX([1]Produtos!$E:$E,MATCH(L352,[1]Produtos!$B:$B,0)), "-")</f>
        <v>200</v>
      </c>
      <c r="O352" s="270" t="str">
        <f>IFERROR(INDEX([1]Produtos!$F:$F,MATCH(L352,[1]Produtos!$B:$B,0)), "-")</f>
        <v>ml</v>
      </c>
      <c r="P352" s="270" t="str">
        <f>IFERROR(INDEX([1]Produtos!$G:$G,MATCH(L352,[1]Produtos!$B:$B,0)), "-")</f>
        <v>BIOFLORA</v>
      </c>
      <c r="Q352" s="270" t="str">
        <f>IFERROR(INDEX([1]Produtos!$H:$H,MATCH(L352,[1]Produtos!$B:$B,0)), "-")</f>
        <v>PERFUMARIA</v>
      </c>
      <c r="R352" s="270" t="str">
        <f>IFERROR(INDEX([1]Produtos!$I:$I,MATCH(L352,[1]Produtos!$B:$B,0)), "-")</f>
        <v>BODY SPLASH</v>
      </c>
      <c r="S352" s="270" t="str">
        <f>IFERROR(INDEX([1]Produtos!$J:$J,MATCH(L352,[1]Produtos!$B:$B,0)), "-")</f>
        <v>LÍQUIDO</v>
      </c>
      <c r="T352" s="475"/>
      <c r="U352" s="270"/>
      <c r="V352" s="270"/>
      <c r="W352" s="270"/>
      <c r="X352" s="270"/>
      <c r="Y352" s="270"/>
      <c r="Z352" s="270"/>
      <c r="AA352" s="270"/>
      <c r="AB352" s="270"/>
      <c r="AC352" s="270"/>
      <c r="AD352" s="270"/>
      <c r="AE352" s="270"/>
      <c r="AF352" s="270"/>
      <c r="AG352" s="270"/>
      <c r="AH352" s="270"/>
      <c r="AI352" s="270"/>
      <c r="AJ352" s="270"/>
      <c r="AK352" s="270"/>
      <c r="AL352" s="270"/>
      <c r="AM352" s="663"/>
      <c r="AN352" s="663"/>
      <c r="AO352" s="708" t="str">
        <f>IF(OR(Table1[[#This Row],[Início Setup Envase]]="",Table1[[#This Row],[Final Setup Envase]]=""),"",Table1[[#This Row],[Final Setup Envase]]-Table1[[#This Row],[Início Setup Envase]])</f>
        <v/>
      </c>
      <c r="AP352" s="663"/>
      <c r="AQ352" s="663"/>
      <c r="AR352" s="270"/>
      <c r="AS352" s="270"/>
      <c r="AT352" s="270"/>
      <c r="AU352" s="270"/>
      <c r="AV352" s="270"/>
      <c r="AW352" s="270"/>
      <c r="AX352" s="270"/>
      <c r="AY352" s="270"/>
      <c r="AZ352" s="270"/>
      <c r="BA352" s="270">
        <f>IF(Table1[[#This Row],[Data de Início]]="","",YEAR(Table1[[#This Row],[Data de Início]]))</f>
        <v>2025</v>
      </c>
      <c r="BB352" s="270">
        <f>IF(Table1[[#This Row],[Data de Início]]="","",MONTH(Table1[[#This Row],[Data de Início]]))</f>
        <v>8</v>
      </c>
      <c r="BC352" s="270"/>
    </row>
    <row r="353" spans="2:55" ht="15" customHeight="1" x14ac:dyDescent="0.25">
      <c r="B353" s="470">
        <v>45884.611111111109</v>
      </c>
      <c r="C353" s="263">
        <v>45884.666666666664</v>
      </c>
      <c r="D353" s="264" cm="1">
        <f t="array" ref="D353">IFERROR(HorasUteisFabrica2Turnos(B353,C353), "")</f>
        <v>1.3333333333139308</v>
      </c>
      <c r="E353" s="265">
        <f t="shared" si="5"/>
        <v>954.00000001388253</v>
      </c>
      <c r="F353" s="266" t="s">
        <v>377</v>
      </c>
      <c r="G353" s="266" t="s">
        <v>565</v>
      </c>
      <c r="H353" s="266"/>
      <c r="I353" s="269" t="s">
        <v>628</v>
      </c>
      <c r="J353" s="267" t="s">
        <v>15</v>
      </c>
      <c r="K353" s="268">
        <v>1272</v>
      </c>
      <c r="L353" s="269" t="s">
        <v>564</v>
      </c>
      <c r="M353" s="270" t="str">
        <f>IFERROR(INDEX([1]Produtos!$C:$C,MATCH(L353,[1]Produtos!$B:$B,0)), "-")</f>
        <v>BODY SPLASH BIO BALM SKINLIGHT</v>
      </c>
      <c r="N353" s="510">
        <f>IFERROR(INDEX([1]Produtos!$E:$E,MATCH(L353,[1]Produtos!$B:$B,0)), "-")</f>
        <v>200</v>
      </c>
      <c r="O353" s="270" t="str">
        <f>IFERROR(INDEX([1]Produtos!$F:$F,MATCH(L353,[1]Produtos!$B:$B,0)), "-")</f>
        <v>ml</v>
      </c>
      <c r="P353" s="270" t="str">
        <f>IFERROR(INDEX([1]Produtos!$G:$G,MATCH(L353,[1]Produtos!$B:$B,0)), "-")</f>
        <v>BIOFLORA</v>
      </c>
      <c r="Q353" s="270" t="str">
        <f>IFERROR(INDEX([1]Produtos!$H:$H,MATCH(L353,[1]Produtos!$B:$B,0)), "-")</f>
        <v>PERFUMARIA</v>
      </c>
      <c r="R353" s="270" t="str">
        <f>IFERROR(INDEX([1]Produtos!$I:$I,MATCH(L353,[1]Produtos!$B:$B,0)), "-")</f>
        <v>BODY SPLASH</v>
      </c>
      <c r="S353" s="270" t="str">
        <f>IFERROR(INDEX([1]Produtos!$J:$J,MATCH(L353,[1]Produtos!$B:$B,0)), "-")</f>
        <v>LÍQUIDO</v>
      </c>
      <c r="T353" s="475"/>
      <c r="U353" s="270"/>
      <c r="V353" s="270"/>
      <c r="W353" s="270"/>
      <c r="X353" s="270"/>
      <c r="Y353" s="270"/>
      <c r="Z353" s="270"/>
      <c r="AA353" s="270"/>
      <c r="AB353" s="270"/>
      <c r="AC353" s="270"/>
      <c r="AD353" s="270"/>
      <c r="AE353" s="270"/>
      <c r="AF353" s="270"/>
      <c r="AG353" s="270"/>
      <c r="AH353" s="270"/>
      <c r="AI353" s="270"/>
      <c r="AJ353" s="270"/>
      <c r="AK353" s="270"/>
      <c r="AL353" s="270"/>
      <c r="AM353" s="663"/>
      <c r="AN353" s="663"/>
      <c r="AO353" s="708" t="str">
        <f>IF(OR(Table1[[#This Row],[Início Setup Envase]]="",Table1[[#This Row],[Final Setup Envase]]=""),"",Table1[[#This Row],[Final Setup Envase]]-Table1[[#This Row],[Início Setup Envase]])</f>
        <v/>
      </c>
      <c r="AP353" s="663"/>
      <c r="AQ353" s="663"/>
      <c r="AR353" s="270"/>
      <c r="AS353" s="270"/>
      <c r="AT353" s="270"/>
      <c r="AU353" s="270"/>
      <c r="AV353" s="270"/>
      <c r="AW353" s="270"/>
      <c r="AX353" s="270"/>
      <c r="AY353" s="270"/>
      <c r="AZ353" s="270"/>
      <c r="BA353" s="270">
        <f>IF(Table1[[#This Row],[Data de Início]]="","",YEAR(Table1[[#This Row],[Data de Início]]))</f>
        <v>2025</v>
      </c>
      <c r="BB353" s="270">
        <f>IF(Table1[[#This Row],[Data de Início]]="","",MONTH(Table1[[#This Row],[Data de Início]]))</f>
        <v>8</v>
      </c>
      <c r="BC353" s="270"/>
    </row>
    <row r="354" spans="2:55" ht="15" customHeight="1" x14ac:dyDescent="0.25">
      <c r="B354" s="470">
        <v>45887.291666666664</v>
      </c>
      <c r="C354" s="263">
        <v>45887.677083333336</v>
      </c>
      <c r="D354" s="264" cm="1">
        <f t="array" ref="D354">IFERROR(HorasUteisFabrica2Turnos(B354,C354), "")</f>
        <v>8.2500000001164153</v>
      </c>
      <c r="E354" s="265">
        <f t="shared" si="5"/>
        <v>430.7142857071226</v>
      </c>
      <c r="F354" s="266" t="s">
        <v>378</v>
      </c>
      <c r="G354" s="266" t="s">
        <v>360</v>
      </c>
      <c r="H354" s="266"/>
      <c r="I354" s="269" t="s">
        <v>646</v>
      </c>
      <c r="J354" s="267" t="s">
        <v>15</v>
      </c>
      <c r="K354" s="268">
        <v>3553.3928571339034</v>
      </c>
      <c r="L354" s="269" t="s">
        <v>636</v>
      </c>
      <c r="M354" s="270" t="str">
        <f>IFERROR(INDEX([1]Produtos!$C:$C,MATCH(L354,[1]Produtos!$B:$B,0)), "-")</f>
        <v>HIDRATANTE MATTE DOCE SEDUÇÃO</v>
      </c>
      <c r="N354" s="510">
        <f>IFERROR(INDEX([1]Produtos!$E:$E,MATCH(L354,[1]Produtos!$B:$B,0)), "-")</f>
        <v>120</v>
      </c>
      <c r="O354" s="270" t="str">
        <f>IFERROR(INDEX([1]Produtos!$F:$F,MATCH(L354,[1]Produtos!$B:$B,0)), "-")</f>
        <v>ml</v>
      </c>
      <c r="P354" s="270" t="str">
        <f>IFERROR(INDEX([1]Produtos!$G:$G,MATCH(L354,[1]Produtos!$B:$B,0)), "-")</f>
        <v>DAPOP</v>
      </c>
      <c r="Q354" s="270" t="str">
        <f>IFERROR(INDEX([1]Produtos!$H:$H,MATCH(L354,[1]Produtos!$B:$B,0)), "-")</f>
        <v>CORPORAL</v>
      </c>
      <c r="R354" s="270" t="str">
        <f>IFERROR(INDEX([1]Produtos!$I:$I,MATCH(L354,[1]Produtos!$B:$B,0)), "-")</f>
        <v>CREME HIDRATANTE</v>
      </c>
      <c r="S354" s="270" t="str">
        <f>IFERROR(INDEX([1]Produtos!$J:$J,MATCH(L354,[1]Produtos!$B:$B,0)), "-")</f>
        <v>CREMOSO</v>
      </c>
      <c r="T354" s="474"/>
      <c r="U354" s="270"/>
      <c r="V354" s="270"/>
      <c r="W354" s="270"/>
      <c r="X354" s="270"/>
      <c r="Y354" s="270"/>
      <c r="Z354" s="270"/>
      <c r="AA354" s="270"/>
      <c r="AB354" s="270"/>
      <c r="AC354" s="270"/>
      <c r="AD354" s="270"/>
      <c r="AE354" s="270"/>
      <c r="AF354" s="270"/>
      <c r="AG354" s="270"/>
      <c r="AH354" s="270"/>
      <c r="AI354" s="270"/>
      <c r="AJ354" s="270"/>
      <c r="AK354" s="270"/>
      <c r="AL354" s="270"/>
      <c r="AM354" s="663"/>
      <c r="AN354" s="663"/>
      <c r="AO354" s="708" t="str">
        <f>IF(OR(Table1[[#This Row],[Início Setup Envase]]="",Table1[[#This Row],[Final Setup Envase]]=""),"",Table1[[#This Row],[Final Setup Envase]]-Table1[[#This Row],[Início Setup Envase]])</f>
        <v/>
      </c>
      <c r="AP354" s="663"/>
      <c r="AQ354" s="663"/>
      <c r="AR354" s="270"/>
      <c r="AS354" s="270"/>
      <c r="AT354" s="270"/>
      <c r="AU354" s="270"/>
      <c r="AV354" s="270"/>
      <c r="AW354" s="270"/>
      <c r="AX354" s="270"/>
      <c r="AY354" s="270"/>
      <c r="AZ354" s="270"/>
      <c r="BA354" s="270">
        <f>IF(Table1[[#This Row],[Data de Início]]="","",YEAR(Table1[[#This Row],[Data de Início]]))</f>
        <v>2025</v>
      </c>
      <c r="BB354" s="270">
        <f>IF(Table1[[#This Row],[Data de Início]]="","",MONTH(Table1[[#This Row],[Data de Início]]))</f>
        <v>8</v>
      </c>
      <c r="BC354" s="270"/>
    </row>
    <row r="355" spans="2:55" ht="15" customHeight="1" x14ac:dyDescent="0.25">
      <c r="B355" s="470">
        <v>45887.291666666664</v>
      </c>
      <c r="C355" s="263">
        <v>45887.347222222219</v>
      </c>
      <c r="D355" s="264" cm="1">
        <f t="array" ref="D355">IFERROR(HorasUteisFabrica2Turnos(B355,C355), "")</f>
        <v>1.3333333333139308</v>
      </c>
      <c r="E355" s="265">
        <f t="shared" si="5"/>
        <v>954.00000001388253</v>
      </c>
      <c r="F355" s="266" t="s">
        <v>377</v>
      </c>
      <c r="G355" s="266" t="s">
        <v>565</v>
      </c>
      <c r="H355" s="266"/>
      <c r="I355" s="269" t="s">
        <v>628</v>
      </c>
      <c r="J355" s="267" t="s">
        <v>15</v>
      </c>
      <c r="K355" s="268">
        <v>1272</v>
      </c>
      <c r="L355" s="269" t="s">
        <v>564</v>
      </c>
      <c r="M355" s="270" t="str">
        <f>IFERROR(INDEX([1]Produtos!$C:$C,MATCH(L355,[1]Produtos!$B:$B,0)), "-")</f>
        <v>BODY SPLASH BIO BALM SKINLIGHT</v>
      </c>
      <c r="N355" s="510">
        <f>IFERROR(INDEX([1]Produtos!$E:$E,MATCH(L355,[1]Produtos!$B:$B,0)), "-")</f>
        <v>200</v>
      </c>
      <c r="O355" s="270" t="str">
        <f>IFERROR(INDEX([1]Produtos!$F:$F,MATCH(L355,[1]Produtos!$B:$B,0)), "-")</f>
        <v>ml</v>
      </c>
      <c r="P355" s="270" t="str">
        <f>IFERROR(INDEX([1]Produtos!$G:$G,MATCH(L355,[1]Produtos!$B:$B,0)), "-")</f>
        <v>BIOFLORA</v>
      </c>
      <c r="Q355" s="270" t="str">
        <f>IFERROR(INDEX([1]Produtos!$H:$H,MATCH(L355,[1]Produtos!$B:$B,0)), "-")</f>
        <v>PERFUMARIA</v>
      </c>
      <c r="R355" s="270" t="str">
        <f>IFERROR(INDEX([1]Produtos!$I:$I,MATCH(L355,[1]Produtos!$B:$B,0)), "-")</f>
        <v>BODY SPLASH</v>
      </c>
      <c r="S355" s="270" t="str">
        <f>IFERROR(INDEX([1]Produtos!$J:$J,MATCH(L355,[1]Produtos!$B:$B,0)), "-")</f>
        <v>LÍQUIDO</v>
      </c>
      <c r="T355" s="475"/>
      <c r="U355" s="270"/>
      <c r="V355" s="270"/>
      <c r="W355" s="270"/>
      <c r="X355" s="270"/>
      <c r="Y355" s="270"/>
      <c r="Z355" s="270"/>
      <c r="AA355" s="270"/>
      <c r="AB355" s="270"/>
      <c r="AC355" s="270"/>
      <c r="AD355" s="270"/>
      <c r="AE355" s="270"/>
      <c r="AF355" s="270"/>
      <c r="AG355" s="270"/>
      <c r="AH355" s="270"/>
      <c r="AI355" s="270"/>
      <c r="AJ355" s="270"/>
      <c r="AK355" s="270"/>
      <c r="AL355" s="270"/>
      <c r="AM355" s="663"/>
      <c r="AN355" s="663"/>
      <c r="AO355" s="708" t="str">
        <f>IF(OR(Table1[[#This Row],[Início Setup Envase]]="",Table1[[#This Row],[Final Setup Envase]]=""),"",Table1[[#This Row],[Final Setup Envase]]-Table1[[#This Row],[Início Setup Envase]])</f>
        <v/>
      </c>
      <c r="AP355" s="663"/>
      <c r="AQ355" s="663"/>
      <c r="AR355" s="270"/>
      <c r="AS355" s="270"/>
      <c r="AT355" s="270"/>
      <c r="AU355" s="270"/>
      <c r="AV355" s="270"/>
      <c r="AW355" s="270"/>
      <c r="AX355" s="270"/>
      <c r="AY355" s="270"/>
      <c r="AZ355" s="270"/>
      <c r="BA355" s="270">
        <f>IF(Table1[[#This Row],[Data de Início]]="","",YEAR(Table1[[#This Row],[Data de Início]]))</f>
        <v>2025</v>
      </c>
      <c r="BB355" s="270">
        <f>IF(Table1[[#This Row],[Data de Início]]="","",MONTH(Table1[[#This Row],[Data de Início]]))</f>
        <v>8</v>
      </c>
      <c r="BC355" s="270"/>
    </row>
    <row r="356" spans="2:55" ht="15" customHeight="1" x14ac:dyDescent="0.25">
      <c r="B356" s="470">
        <v>45887.347222222219</v>
      </c>
      <c r="C356" s="263">
        <v>45887.449305555558</v>
      </c>
      <c r="D356" s="264" cm="1">
        <f t="array" ref="D356">IFERROR(HorasUteisFabrica2Turnos(B356,C356), "")</f>
        <v>2.4500000001280569</v>
      </c>
      <c r="E356" s="265">
        <f t="shared" si="5"/>
        <v>1038.367346884502</v>
      </c>
      <c r="F356" s="266" t="s">
        <v>377</v>
      </c>
      <c r="G356" s="266" t="s">
        <v>565</v>
      </c>
      <c r="H356" s="266"/>
      <c r="I356" s="269" t="s">
        <v>629</v>
      </c>
      <c r="J356" s="267" t="s">
        <v>15</v>
      </c>
      <c r="K356" s="268">
        <v>2544</v>
      </c>
      <c r="L356" s="269" t="s">
        <v>564</v>
      </c>
      <c r="M356" s="270" t="str">
        <f>IFERROR(INDEX([1]Produtos!$C:$C,MATCH(L356,[1]Produtos!$B:$B,0)), "-")</f>
        <v>BODY SPLASH BIO BALM SKINLIGHT</v>
      </c>
      <c r="N356" s="510">
        <f>IFERROR(INDEX([1]Produtos!$E:$E,MATCH(L356,[1]Produtos!$B:$B,0)), "-")</f>
        <v>200</v>
      </c>
      <c r="O356" s="270" t="str">
        <f>IFERROR(INDEX([1]Produtos!$F:$F,MATCH(L356,[1]Produtos!$B:$B,0)), "-")</f>
        <v>ml</v>
      </c>
      <c r="P356" s="270" t="str">
        <f>IFERROR(INDEX([1]Produtos!$G:$G,MATCH(L356,[1]Produtos!$B:$B,0)), "-")</f>
        <v>BIOFLORA</v>
      </c>
      <c r="Q356" s="270" t="str">
        <f>IFERROR(INDEX([1]Produtos!$H:$H,MATCH(L356,[1]Produtos!$B:$B,0)), "-")</f>
        <v>PERFUMARIA</v>
      </c>
      <c r="R356" s="270" t="str">
        <f>IFERROR(INDEX([1]Produtos!$I:$I,MATCH(L356,[1]Produtos!$B:$B,0)), "-")</f>
        <v>BODY SPLASH</v>
      </c>
      <c r="S356" s="270" t="str">
        <f>IFERROR(INDEX([1]Produtos!$J:$J,MATCH(L356,[1]Produtos!$B:$B,0)), "-")</f>
        <v>LÍQUIDO</v>
      </c>
      <c r="T356" s="475"/>
      <c r="U356" s="270"/>
      <c r="V356" s="270"/>
      <c r="W356" s="270"/>
      <c r="X356" s="270"/>
      <c r="Y356" s="270"/>
      <c r="Z356" s="270"/>
      <c r="AA356" s="270"/>
      <c r="AB356" s="270"/>
      <c r="AC356" s="270"/>
      <c r="AD356" s="270"/>
      <c r="AE356" s="270"/>
      <c r="AF356" s="270"/>
      <c r="AG356" s="270"/>
      <c r="AH356" s="270"/>
      <c r="AI356" s="270"/>
      <c r="AJ356" s="270"/>
      <c r="AK356" s="270"/>
      <c r="AL356" s="270"/>
      <c r="AM356" s="663"/>
      <c r="AN356" s="663"/>
      <c r="AO356" s="708" t="str">
        <f>IF(OR(Table1[[#This Row],[Início Setup Envase]]="",Table1[[#This Row],[Final Setup Envase]]=""),"",Table1[[#This Row],[Final Setup Envase]]-Table1[[#This Row],[Início Setup Envase]])</f>
        <v/>
      </c>
      <c r="AP356" s="663"/>
      <c r="AQ356" s="663"/>
      <c r="AR356" s="270"/>
      <c r="AS356" s="270"/>
      <c r="AT356" s="270"/>
      <c r="AU356" s="270"/>
      <c r="AV356" s="270"/>
      <c r="AW356" s="270"/>
      <c r="AX356" s="270"/>
      <c r="AY356" s="270"/>
      <c r="AZ356" s="270"/>
      <c r="BA356" s="270">
        <f>IF(Table1[[#This Row],[Data de Início]]="","",YEAR(Table1[[#This Row],[Data de Início]]))</f>
        <v>2025</v>
      </c>
      <c r="BB356" s="270">
        <f>IF(Table1[[#This Row],[Data de Início]]="","",MONTH(Table1[[#This Row],[Data de Início]]))</f>
        <v>8</v>
      </c>
      <c r="BC356" s="270"/>
    </row>
    <row r="357" spans="2:55" ht="15" customHeight="1" x14ac:dyDescent="0.25">
      <c r="B357" s="470">
        <v>45887.449305555558</v>
      </c>
      <c r="C357" s="263">
        <v>45887.612500000003</v>
      </c>
      <c r="D357" s="264" cm="1">
        <f t="array" ref="D357">IFERROR(HorasUteisFabrica2Turnos(B357,C357), "")</f>
        <v>2.9166666666860692</v>
      </c>
      <c r="E357" s="265">
        <f t="shared" si="5"/>
        <v>872.22857142276905</v>
      </c>
      <c r="F357" s="266" t="s">
        <v>377</v>
      </c>
      <c r="G357" s="266" t="s">
        <v>565</v>
      </c>
      <c r="H357" s="266"/>
      <c r="I357" s="269" t="s">
        <v>618</v>
      </c>
      <c r="J357" s="267" t="s">
        <v>15</v>
      </c>
      <c r="K357" s="268">
        <v>2544</v>
      </c>
      <c r="L357" s="269" t="s">
        <v>619</v>
      </c>
      <c r="M357" s="270" t="str">
        <f>IFERROR(INDEX([1]Produtos!$C:$C,MATCH(L357,[1]Produtos!$B:$B,0)), "-")</f>
        <v>BODY SPLASH BIO BALM SUNRISE MUSE</v>
      </c>
      <c r="N357" s="510">
        <f>IFERROR(INDEX([1]Produtos!$E:$E,MATCH(L357,[1]Produtos!$B:$B,0)), "-")</f>
        <v>200</v>
      </c>
      <c r="O357" s="270" t="str">
        <f>IFERROR(INDEX([1]Produtos!$F:$F,MATCH(L357,[1]Produtos!$B:$B,0)), "-")</f>
        <v>ml</v>
      </c>
      <c r="P357" s="270" t="str">
        <f>IFERROR(INDEX([1]Produtos!$G:$G,MATCH(L357,[1]Produtos!$B:$B,0)), "-")</f>
        <v>BIOFLORA</v>
      </c>
      <c r="Q357" s="270" t="str">
        <f>IFERROR(INDEX([1]Produtos!$H:$H,MATCH(L357,[1]Produtos!$B:$B,0)), "-")</f>
        <v>PERFUMARIA</v>
      </c>
      <c r="R357" s="270" t="str">
        <f>IFERROR(INDEX([1]Produtos!$I:$I,MATCH(L357,[1]Produtos!$B:$B,0)), "-")</f>
        <v>BODY SPLASH</v>
      </c>
      <c r="S357" s="270" t="str">
        <f>IFERROR(INDEX([1]Produtos!$J:$J,MATCH(L357,[1]Produtos!$B:$B,0)), "-")</f>
        <v>LÍQUIDO</v>
      </c>
      <c r="T357" s="475"/>
      <c r="U357" s="270"/>
      <c r="V357" s="270"/>
      <c r="W357" s="270"/>
      <c r="X357" s="270"/>
      <c r="Y357" s="270"/>
      <c r="Z357" s="270"/>
      <c r="AA357" s="270"/>
      <c r="AB357" s="270"/>
      <c r="AC357" s="270"/>
      <c r="AD357" s="270"/>
      <c r="AE357" s="270"/>
      <c r="AF357" s="270"/>
      <c r="AG357" s="270"/>
      <c r="AH357" s="270"/>
      <c r="AI357" s="270"/>
      <c r="AJ357" s="270"/>
      <c r="AK357" s="270"/>
      <c r="AL357" s="270"/>
      <c r="AM357" s="663"/>
      <c r="AN357" s="663"/>
      <c r="AO357" s="708" t="str">
        <f>IF(OR(Table1[[#This Row],[Início Setup Envase]]="",Table1[[#This Row],[Final Setup Envase]]=""),"",Table1[[#This Row],[Final Setup Envase]]-Table1[[#This Row],[Início Setup Envase]])</f>
        <v/>
      </c>
      <c r="AP357" s="663"/>
      <c r="AQ357" s="663"/>
      <c r="AR357" s="270"/>
      <c r="AS357" s="270"/>
      <c r="AT357" s="270"/>
      <c r="AU357" s="270"/>
      <c r="AV357" s="270"/>
      <c r="AW357" s="270"/>
      <c r="AX357" s="270"/>
      <c r="AY357" s="270"/>
      <c r="AZ357" s="270"/>
      <c r="BA357" s="270">
        <f>IF(Table1[[#This Row],[Data de Início]]="","",YEAR(Table1[[#This Row],[Data de Início]]))</f>
        <v>2025</v>
      </c>
      <c r="BB357" s="270">
        <f>IF(Table1[[#This Row],[Data de Início]]="","",MONTH(Table1[[#This Row],[Data de Início]]))</f>
        <v>8</v>
      </c>
      <c r="BC357" s="270"/>
    </row>
    <row r="358" spans="2:55" ht="15" customHeight="1" x14ac:dyDescent="0.25">
      <c r="B358" s="470">
        <v>45887.612500000003</v>
      </c>
      <c r="C358" s="263">
        <v>45887.708333333336</v>
      </c>
      <c r="D358" s="264" cm="1">
        <f t="array" ref="D358">IFERROR(HorasUteisFabrica2Turnos(B358,C358), "")</f>
        <v>2.2999999999883585</v>
      </c>
      <c r="E358" s="265">
        <f t="shared" si="5"/>
        <v>700.1834862445146</v>
      </c>
      <c r="F358" s="266" t="s">
        <v>377</v>
      </c>
      <c r="G358" s="266" t="s">
        <v>565</v>
      </c>
      <c r="H358" s="266"/>
      <c r="I358" s="269" t="s">
        <v>620</v>
      </c>
      <c r="J358" s="267" t="s">
        <v>15</v>
      </c>
      <c r="K358" s="268">
        <v>1610.4220183542325</v>
      </c>
      <c r="L358" s="269" t="s">
        <v>619</v>
      </c>
      <c r="M358" s="270" t="str">
        <f>IFERROR(INDEX([1]Produtos!$C:$C,MATCH(L358,[1]Produtos!$B:$B,0)), "-")</f>
        <v>BODY SPLASH BIO BALM SUNRISE MUSE</v>
      </c>
      <c r="N358" s="510">
        <f>IFERROR(INDEX([1]Produtos!$E:$E,MATCH(L358,[1]Produtos!$B:$B,0)), "-")</f>
        <v>200</v>
      </c>
      <c r="O358" s="270" t="str">
        <f>IFERROR(INDEX([1]Produtos!$F:$F,MATCH(L358,[1]Produtos!$B:$B,0)), "-")</f>
        <v>ml</v>
      </c>
      <c r="P358" s="270" t="str">
        <f>IFERROR(INDEX([1]Produtos!$G:$G,MATCH(L358,[1]Produtos!$B:$B,0)), "-")</f>
        <v>BIOFLORA</v>
      </c>
      <c r="Q358" s="270" t="str">
        <f>IFERROR(INDEX([1]Produtos!$H:$H,MATCH(L358,[1]Produtos!$B:$B,0)), "-")</f>
        <v>PERFUMARIA</v>
      </c>
      <c r="R358" s="270" t="str">
        <f>IFERROR(INDEX([1]Produtos!$I:$I,MATCH(L358,[1]Produtos!$B:$B,0)), "-")</f>
        <v>BODY SPLASH</v>
      </c>
      <c r="S358" s="270" t="str">
        <f>IFERROR(INDEX([1]Produtos!$J:$J,MATCH(L358,[1]Produtos!$B:$B,0)), "-")</f>
        <v>LÍQUIDO</v>
      </c>
      <c r="T358" s="475"/>
      <c r="U358" s="270"/>
      <c r="V358" s="270"/>
      <c r="W358" s="270"/>
      <c r="X358" s="270"/>
      <c r="Y358" s="270"/>
      <c r="Z358" s="270"/>
      <c r="AA358" s="270"/>
      <c r="AB358" s="270"/>
      <c r="AC358" s="270"/>
      <c r="AD358" s="270"/>
      <c r="AE358" s="270"/>
      <c r="AF358" s="270"/>
      <c r="AG358" s="270"/>
      <c r="AH358" s="270"/>
      <c r="AI358" s="270"/>
      <c r="AJ358" s="270"/>
      <c r="AK358" s="270"/>
      <c r="AL358" s="270"/>
      <c r="AM358" s="663"/>
      <c r="AN358" s="663"/>
      <c r="AO358" s="708" t="str">
        <f>IF(OR(Table1[[#This Row],[Início Setup Envase]]="",Table1[[#This Row],[Final Setup Envase]]=""),"",Table1[[#This Row],[Final Setup Envase]]-Table1[[#This Row],[Início Setup Envase]])</f>
        <v/>
      </c>
      <c r="AP358" s="663"/>
      <c r="AQ358" s="663"/>
      <c r="AR358" s="270"/>
      <c r="AS358" s="270"/>
      <c r="AT358" s="270"/>
      <c r="AU358" s="270"/>
      <c r="AV358" s="270"/>
      <c r="AW358" s="270"/>
      <c r="AX358" s="270"/>
      <c r="AY358" s="270"/>
      <c r="AZ358" s="270"/>
      <c r="BA358" s="270">
        <f>IF(Table1[[#This Row],[Data de Início]]="","",YEAR(Table1[[#This Row],[Data de Início]]))</f>
        <v>2025</v>
      </c>
      <c r="BB358" s="270">
        <f>IF(Table1[[#This Row],[Data de Início]]="","",MONTH(Table1[[#This Row],[Data de Início]]))</f>
        <v>8</v>
      </c>
      <c r="BC358" s="270"/>
    </row>
    <row r="359" spans="2:55" ht="15" customHeight="1" x14ac:dyDescent="0.25">
      <c r="B359" s="470">
        <v>45887.677083333336</v>
      </c>
      <c r="C359" s="263">
        <v>45887.708333333336</v>
      </c>
      <c r="D359" s="264" cm="1">
        <f t="array" ref="D359">IFERROR(HorasUteisFabrica2Turnos(B359,C359), "")</f>
        <v>0.75</v>
      </c>
      <c r="E359" s="265">
        <f t="shared" si="5"/>
        <v>742.15384615118774</v>
      </c>
      <c r="F359" s="266" t="s">
        <v>378</v>
      </c>
      <c r="G359" s="266" t="s">
        <v>360</v>
      </c>
      <c r="H359" s="266"/>
      <c r="I359" s="269" t="s">
        <v>647</v>
      </c>
      <c r="J359" s="267" t="s">
        <v>15</v>
      </c>
      <c r="K359" s="268">
        <v>556.6153846133908</v>
      </c>
      <c r="L359" s="269" t="s">
        <v>636</v>
      </c>
      <c r="M359" s="270" t="str">
        <f>IFERROR(INDEX([1]Produtos!$C:$C,MATCH(L359,[1]Produtos!$B:$B,0)), "-")</f>
        <v>HIDRATANTE MATTE DOCE SEDUÇÃO</v>
      </c>
      <c r="N359" s="510">
        <f>IFERROR(INDEX([1]Produtos!$E:$E,MATCH(L359,[1]Produtos!$B:$B,0)), "-")</f>
        <v>120</v>
      </c>
      <c r="O359" s="270" t="str">
        <f>IFERROR(INDEX([1]Produtos!$F:$F,MATCH(L359,[1]Produtos!$B:$B,0)), "-")</f>
        <v>ml</v>
      </c>
      <c r="P359" s="270" t="str">
        <f>IFERROR(INDEX([1]Produtos!$G:$G,MATCH(L359,[1]Produtos!$B:$B,0)), "-")</f>
        <v>DAPOP</v>
      </c>
      <c r="Q359" s="270" t="str">
        <f>IFERROR(INDEX([1]Produtos!$H:$H,MATCH(L359,[1]Produtos!$B:$B,0)), "-")</f>
        <v>CORPORAL</v>
      </c>
      <c r="R359" s="270" t="str">
        <f>IFERROR(INDEX([1]Produtos!$I:$I,MATCH(L359,[1]Produtos!$B:$B,0)), "-")</f>
        <v>CREME HIDRATANTE</v>
      </c>
      <c r="S359" s="270" t="str">
        <f>IFERROR(INDEX([1]Produtos!$J:$J,MATCH(L359,[1]Produtos!$B:$B,0)), "-")</f>
        <v>CREMOSO</v>
      </c>
      <c r="T359" s="475"/>
      <c r="U359" s="270"/>
      <c r="V359" s="270"/>
      <c r="W359" s="270"/>
      <c r="X359" s="270"/>
      <c r="Y359" s="270"/>
      <c r="Z359" s="270"/>
      <c r="AA359" s="270"/>
      <c r="AB359" s="270"/>
      <c r="AC359" s="270"/>
      <c r="AD359" s="270"/>
      <c r="AE359" s="270"/>
      <c r="AF359" s="270"/>
      <c r="AG359" s="270"/>
      <c r="AH359" s="270"/>
      <c r="AI359" s="270"/>
      <c r="AJ359" s="270"/>
      <c r="AK359" s="270"/>
      <c r="AL359" s="270"/>
      <c r="AM359" s="663"/>
      <c r="AN359" s="663"/>
      <c r="AO359" s="708" t="str">
        <f>IF(OR(Table1[[#This Row],[Início Setup Envase]]="",Table1[[#This Row],[Final Setup Envase]]=""),"",Table1[[#This Row],[Final Setup Envase]]-Table1[[#This Row],[Início Setup Envase]])</f>
        <v/>
      </c>
      <c r="AP359" s="663"/>
      <c r="AQ359" s="663"/>
      <c r="AR359" s="270"/>
      <c r="AS359" s="270"/>
      <c r="AT359" s="270"/>
      <c r="AU359" s="270"/>
      <c r="AV359" s="270"/>
      <c r="AW359" s="270"/>
      <c r="AX359" s="270"/>
      <c r="AY359" s="270"/>
      <c r="AZ359" s="270"/>
      <c r="BA359" s="270">
        <f>IF(Table1[[#This Row],[Data de Início]]="","",YEAR(Table1[[#This Row],[Data de Início]]))</f>
        <v>2025</v>
      </c>
      <c r="BB359" s="270">
        <f>IF(Table1[[#This Row],[Data de Início]]="","",MONTH(Table1[[#This Row],[Data de Início]]))</f>
        <v>8</v>
      </c>
      <c r="BC359" s="270"/>
    </row>
    <row r="360" spans="2:55" ht="15" customHeight="1" x14ac:dyDescent="0.25">
      <c r="B360" s="470">
        <v>45888.291666666664</v>
      </c>
      <c r="C360" s="263">
        <v>45888.486111111109</v>
      </c>
      <c r="D360" s="264" cm="1">
        <f t="array" ref="D360">IFERROR(HorasUteisFabrica2Turnos(B360,C360), "")</f>
        <v>4.6666666666860692</v>
      </c>
      <c r="E360" s="265">
        <f t="shared" si="5"/>
        <v>742.15384615118774</v>
      </c>
      <c r="F360" s="266" t="s">
        <v>378</v>
      </c>
      <c r="G360" s="266" t="s">
        <v>360</v>
      </c>
      <c r="H360" s="266"/>
      <c r="I360" s="269" t="s">
        <v>647</v>
      </c>
      <c r="J360" s="267" t="s">
        <v>15</v>
      </c>
      <c r="K360" s="268">
        <v>3463.3846153866093</v>
      </c>
      <c r="L360" s="269" t="s">
        <v>636</v>
      </c>
      <c r="M360" s="270" t="str">
        <f>IFERROR(INDEX([1]Produtos!$C:$C,MATCH(L360,[1]Produtos!$B:$B,0)), "-")</f>
        <v>HIDRATANTE MATTE DOCE SEDUÇÃO</v>
      </c>
      <c r="N360" s="510">
        <f>IFERROR(INDEX([1]Produtos!$E:$E,MATCH(L360,[1]Produtos!$B:$B,0)), "-")</f>
        <v>120</v>
      </c>
      <c r="O360" s="270" t="str">
        <f>IFERROR(INDEX([1]Produtos!$F:$F,MATCH(L360,[1]Produtos!$B:$B,0)), "-")</f>
        <v>ml</v>
      </c>
      <c r="P360" s="270" t="str">
        <f>IFERROR(INDEX([1]Produtos!$G:$G,MATCH(L360,[1]Produtos!$B:$B,0)), "-")</f>
        <v>DAPOP</v>
      </c>
      <c r="Q360" s="270" t="str">
        <f>IFERROR(INDEX([1]Produtos!$H:$H,MATCH(L360,[1]Produtos!$B:$B,0)), "-")</f>
        <v>CORPORAL</v>
      </c>
      <c r="R360" s="270" t="str">
        <f>IFERROR(INDEX([1]Produtos!$I:$I,MATCH(L360,[1]Produtos!$B:$B,0)), "-")</f>
        <v>CREME HIDRATANTE</v>
      </c>
      <c r="S360" s="270" t="str">
        <f>IFERROR(INDEX([1]Produtos!$J:$J,MATCH(L360,[1]Produtos!$B:$B,0)), "-")</f>
        <v>CREMOSO</v>
      </c>
      <c r="T360" s="475"/>
      <c r="U360" s="270"/>
      <c r="V360" s="270"/>
      <c r="W360" s="270"/>
      <c r="X360" s="270"/>
      <c r="Y360" s="270"/>
      <c r="Z360" s="270"/>
      <c r="AA360" s="270"/>
      <c r="AB360" s="270"/>
      <c r="AC360" s="270"/>
      <c r="AD360" s="270"/>
      <c r="AE360" s="270"/>
      <c r="AF360" s="270"/>
      <c r="AG360" s="270"/>
      <c r="AH360" s="270"/>
      <c r="AI360" s="270"/>
      <c r="AJ360" s="270"/>
      <c r="AK360" s="270"/>
      <c r="AL360" s="270"/>
      <c r="AM360" s="663"/>
      <c r="AN360" s="663"/>
      <c r="AO360" s="708" t="str">
        <f>IF(OR(Table1[[#This Row],[Início Setup Envase]]="",Table1[[#This Row],[Final Setup Envase]]=""),"",Table1[[#This Row],[Final Setup Envase]]-Table1[[#This Row],[Início Setup Envase]])</f>
        <v/>
      </c>
      <c r="AP360" s="663"/>
      <c r="AQ360" s="663"/>
      <c r="AR360" s="270"/>
      <c r="AS360" s="270"/>
      <c r="AT360" s="270"/>
      <c r="AU360" s="270"/>
      <c r="AV360" s="270"/>
      <c r="AW360" s="270"/>
      <c r="AX360" s="270"/>
      <c r="AY360" s="270"/>
      <c r="AZ360" s="270"/>
      <c r="BA360" s="270">
        <f>IF(Table1[[#This Row],[Data de Início]]="","",YEAR(Table1[[#This Row],[Data de Início]]))</f>
        <v>2025</v>
      </c>
      <c r="BB360" s="270">
        <f>IF(Table1[[#This Row],[Data de Início]]="","",MONTH(Table1[[#This Row],[Data de Início]]))</f>
        <v>8</v>
      </c>
      <c r="BC360" s="270"/>
    </row>
    <row r="361" spans="2:55" ht="15" customHeight="1" x14ac:dyDescent="0.25">
      <c r="B361" s="470">
        <v>45888.291666666664</v>
      </c>
      <c r="C361" s="263">
        <v>45888.347222222219</v>
      </c>
      <c r="D361" s="264" cm="1">
        <f t="array" ref="D361">IFERROR(HorasUteisFabrica2Turnos(B361,C361), "")</f>
        <v>1.3333333333139308</v>
      </c>
      <c r="E361" s="265">
        <f t="shared" si="5"/>
        <v>700.1834862445146</v>
      </c>
      <c r="F361" s="266" t="s">
        <v>377</v>
      </c>
      <c r="G361" s="266" t="s">
        <v>565</v>
      </c>
      <c r="H361" s="266"/>
      <c r="I361" s="269" t="s">
        <v>620</v>
      </c>
      <c r="J361" s="267" t="s">
        <v>15</v>
      </c>
      <c r="K361" s="268">
        <v>933.57798164576741</v>
      </c>
      <c r="L361" s="269" t="s">
        <v>619</v>
      </c>
      <c r="M361" s="270" t="str">
        <f>IFERROR(INDEX([1]Produtos!$C:$C,MATCH(L361,[1]Produtos!$B:$B,0)), "-")</f>
        <v>BODY SPLASH BIO BALM SUNRISE MUSE</v>
      </c>
      <c r="N361" s="510">
        <f>IFERROR(INDEX([1]Produtos!$E:$E,MATCH(L361,[1]Produtos!$B:$B,0)), "-")</f>
        <v>200</v>
      </c>
      <c r="O361" s="270" t="str">
        <f>IFERROR(INDEX([1]Produtos!$F:$F,MATCH(L361,[1]Produtos!$B:$B,0)), "-")</f>
        <v>ml</v>
      </c>
      <c r="P361" s="270" t="str">
        <f>IFERROR(INDEX([1]Produtos!$G:$G,MATCH(L361,[1]Produtos!$B:$B,0)), "-")</f>
        <v>BIOFLORA</v>
      </c>
      <c r="Q361" s="270" t="str">
        <f>IFERROR(INDEX([1]Produtos!$H:$H,MATCH(L361,[1]Produtos!$B:$B,0)), "-")</f>
        <v>PERFUMARIA</v>
      </c>
      <c r="R361" s="270" t="str">
        <f>IFERROR(INDEX([1]Produtos!$I:$I,MATCH(L361,[1]Produtos!$B:$B,0)), "-")</f>
        <v>BODY SPLASH</v>
      </c>
      <c r="S361" s="270" t="str">
        <f>IFERROR(INDEX([1]Produtos!$J:$J,MATCH(L361,[1]Produtos!$B:$B,0)), "-")</f>
        <v>LÍQUIDO</v>
      </c>
      <c r="T361" s="475"/>
      <c r="U361" s="270"/>
      <c r="V361" s="270"/>
      <c r="W361" s="270"/>
      <c r="X361" s="270"/>
      <c r="Y361" s="270"/>
      <c r="Z361" s="270"/>
      <c r="AA361" s="270"/>
      <c r="AB361" s="270"/>
      <c r="AC361" s="270"/>
      <c r="AD361" s="270"/>
      <c r="AE361" s="270"/>
      <c r="AF361" s="270"/>
      <c r="AG361" s="270"/>
      <c r="AH361" s="270"/>
      <c r="AI361" s="270"/>
      <c r="AJ361" s="270"/>
      <c r="AK361" s="270"/>
      <c r="AL361" s="270"/>
      <c r="AM361" s="663"/>
      <c r="AN361" s="663"/>
      <c r="AO361" s="708" t="str">
        <f>IF(OR(Table1[[#This Row],[Início Setup Envase]]="",Table1[[#This Row],[Final Setup Envase]]=""),"",Table1[[#This Row],[Final Setup Envase]]-Table1[[#This Row],[Início Setup Envase]])</f>
        <v/>
      </c>
      <c r="AP361" s="663"/>
      <c r="AQ361" s="663"/>
      <c r="AR361" s="270"/>
      <c r="AS361" s="270"/>
      <c r="AT361" s="270"/>
      <c r="AU361" s="270"/>
      <c r="AV361" s="270"/>
      <c r="AW361" s="270"/>
      <c r="AX361" s="270"/>
      <c r="AY361" s="270"/>
      <c r="AZ361" s="270"/>
      <c r="BA361" s="270">
        <f>IF(Table1[[#This Row],[Data de Início]]="","",YEAR(Table1[[#This Row],[Data de Início]]))</f>
        <v>2025</v>
      </c>
      <c r="BB361" s="270">
        <f>IF(Table1[[#This Row],[Data de Início]]="","",MONTH(Table1[[#This Row],[Data de Início]]))</f>
        <v>8</v>
      </c>
      <c r="BC361" s="270"/>
    </row>
    <row r="362" spans="2:55" ht="15" customHeight="1" x14ac:dyDescent="0.25">
      <c r="B362" s="470">
        <v>45888.347222222219</v>
      </c>
      <c r="C362" s="263">
        <v>45888.444444444445</v>
      </c>
      <c r="D362" s="264" cm="1">
        <f t="array" ref="D362">IFERROR(HorasUteisFabrica2Turnos(B362,C362), "")</f>
        <v>2.3333333334303461</v>
      </c>
      <c r="E362" s="265">
        <f t="shared" si="5"/>
        <v>1090.2857142403836</v>
      </c>
      <c r="F362" s="266" t="s">
        <v>377</v>
      </c>
      <c r="G362" s="266" t="s">
        <v>565</v>
      </c>
      <c r="H362" s="266"/>
      <c r="I362" s="269" t="s">
        <v>614</v>
      </c>
      <c r="J362" s="267" t="s">
        <v>15</v>
      </c>
      <c r="K362" s="268">
        <v>2544</v>
      </c>
      <c r="L362" s="269" t="s">
        <v>619</v>
      </c>
      <c r="M362" s="270" t="str">
        <f>IFERROR(INDEX([1]Produtos!$C:$C,MATCH(L362,[1]Produtos!$B:$B,0)), "-")</f>
        <v>BODY SPLASH BIO BALM SUNRISE MUSE</v>
      </c>
      <c r="N362" s="510">
        <f>IFERROR(INDEX([1]Produtos!$E:$E,MATCH(L362,[1]Produtos!$B:$B,0)), "-")</f>
        <v>200</v>
      </c>
      <c r="O362" s="270" t="str">
        <f>IFERROR(INDEX([1]Produtos!$F:$F,MATCH(L362,[1]Produtos!$B:$B,0)), "-")</f>
        <v>ml</v>
      </c>
      <c r="P362" s="270" t="str">
        <f>IFERROR(INDEX([1]Produtos!$G:$G,MATCH(L362,[1]Produtos!$B:$B,0)), "-")</f>
        <v>BIOFLORA</v>
      </c>
      <c r="Q362" s="270" t="str">
        <f>IFERROR(INDEX([1]Produtos!$H:$H,MATCH(L362,[1]Produtos!$B:$B,0)), "-")</f>
        <v>PERFUMARIA</v>
      </c>
      <c r="R362" s="270" t="str">
        <f>IFERROR(INDEX([1]Produtos!$I:$I,MATCH(L362,[1]Produtos!$B:$B,0)), "-")</f>
        <v>BODY SPLASH</v>
      </c>
      <c r="S362" s="270" t="str">
        <f>IFERROR(INDEX([1]Produtos!$J:$J,MATCH(L362,[1]Produtos!$B:$B,0)), "-")</f>
        <v>LÍQUIDO</v>
      </c>
      <c r="T362" s="475"/>
      <c r="U362" s="270"/>
      <c r="V362" s="270"/>
      <c r="W362" s="270"/>
      <c r="X362" s="270"/>
      <c r="Y362" s="270"/>
      <c r="Z362" s="270"/>
      <c r="AA362" s="270"/>
      <c r="AB362" s="270"/>
      <c r="AC362" s="270"/>
      <c r="AD362" s="270"/>
      <c r="AE362" s="270"/>
      <c r="AF362" s="270"/>
      <c r="AG362" s="270"/>
      <c r="AH362" s="270"/>
      <c r="AI362" s="270"/>
      <c r="AJ362" s="270"/>
      <c r="AK362" s="270"/>
      <c r="AL362" s="270"/>
      <c r="AM362" s="663"/>
      <c r="AN362" s="663"/>
      <c r="AO362" s="708" t="str">
        <f>IF(OR(Table1[[#This Row],[Início Setup Envase]]="",Table1[[#This Row],[Final Setup Envase]]=""),"",Table1[[#This Row],[Final Setup Envase]]-Table1[[#This Row],[Início Setup Envase]])</f>
        <v/>
      </c>
      <c r="AP362" s="663"/>
      <c r="AQ362" s="663"/>
      <c r="AR362" s="270"/>
      <c r="AS362" s="270"/>
      <c r="AT362" s="270"/>
      <c r="AU362" s="270"/>
      <c r="AV362" s="270"/>
      <c r="AW362" s="270"/>
      <c r="AX362" s="270"/>
      <c r="AY362" s="270"/>
      <c r="AZ362" s="270"/>
      <c r="BA362" s="270">
        <f>IF(Table1[[#This Row],[Data de Início]]="","",YEAR(Table1[[#This Row],[Data de Início]]))</f>
        <v>2025</v>
      </c>
      <c r="BB362" s="270">
        <f>IF(Table1[[#This Row],[Data de Início]]="","",MONTH(Table1[[#This Row],[Data de Início]]))</f>
        <v>8</v>
      </c>
      <c r="BC362" s="270"/>
    </row>
    <row r="363" spans="2:55" ht="15" customHeight="1" x14ac:dyDescent="0.25">
      <c r="B363" s="470">
        <v>45888.444444444445</v>
      </c>
      <c r="C363" s="263">
        <v>45888.558333333334</v>
      </c>
      <c r="D363" s="264" cm="1">
        <f t="array" ref="D363">IFERROR(HorasUteisFabrica2Turnos(B363,C363), "")</f>
        <v>1.7333333333372138</v>
      </c>
      <c r="E363" s="265">
        <f t="shared" si="5"/>
        <v>1467.6923076890218</v>
      </c>
      <c r="F363" s="266" t="s">
        <v>377</v>
      </c>
      <c r="G363" s="266" t="s">
        <v>565</v>
      </c>
      <c r="H363" s="266"/>
      <c r="I363" s="269" t="s">
        <v>615</v>
      </c>
      <c r="J363" s="267" t="s">
        <v>15</v>
      </c>
      <c r="K363" s="269">
        <v>2544</v>
      </c>
      <c r="L363" s="269" t="s">
        <v>613</v>
      </c>
      <c r="M363" s="270" t="str">
        <f>IFERROR(INDEX([1]Produtos!$C:$C,MATCH(L363,[1]Produtos!$B:$B,0)), "-")</f>
        <v>BODY SPLASH BIO BALM V DREAM</v>
      </c>
      <c r="N363" s="510">
        <f>IFERROR(INDEX([1]Produtos!$E:$E,MATCH(L363,[1]Produtos!$B:$B,0)), "-")</f>
        <v>200</v>
      </c>
      <c r="O363" s="270" t="str">
        <f>IFERROR(INDEX([1]Produtos!$F:$F,MATCH(L363,[1]Produtos!$B:$B,0)), "-")</f>
        <v>ml</v>
      </c>
      <c r="P363" s="270" t="str">
        <f>IFERROR(INDEX([1]Produtos!$G:$G,MATCH(L363,[1]Produtos!$B:$B,0)), "-")</f>
        <v>BIOFLORA</v>
      </c>
      <c r="Q363" s="270" t="str">
        <f>IFERROR(INDEX([1]Produtos!$H:$H,MATCH(L363,[1]Produtos!$B:$B,0)), "-")</f>
        <v>PERFUMARIA</v>
      </c>
      <c r="R363" s="270" t="str">
        <f>IFERROR(INDEX([1]Produtos!$I:$I,MATCH(L363,[1]Produtos!$B:$B,0)), "-")</f>
        <v>BODY SPLASH</v>
      </c>
      <c r="S363" s="270" t="str">
        <f>IFERROR(INDEX([1]Produtos!$J:$J,MATCH(L363,[1]Produtos!$B:$B,0)), "-")</f>
        <v>LÍQUIDO</v>
      </c>
      <c r="T363" s="475"/>
      <c r="U363" s="270"/>
      <c r="V363" s="270"/>
      <c r="W363" s="270"/>
      <c r="X363" s="270"/>
      <c r="Y363" s="270"/>
      <c r="Z363" s="270"/>
      <c r="AA363" s="270"/>
      <c r="AB363" s="270"/>
      <c r="AC363" s="270"/>
      <c r="AD363" s="270"/>
      <c r="AE363" s="270"/>
      <c r="AF363" s="270"/>
      <c r="AG363" s="270"/>
      <c r="AH363" s="270"/>
      <c r="AI363" s="270"/>
      <c r="AJ363" s="270"/>
      <c r="AK363" s="270"/>
      <c r="AL363" s="270"/>
      <c r="AM363" s="663"/>
      <c r="AN363" s="663"/>
      <c r="AO363" s="708" t="str">
        <f>IF(OR(Table1[[#This Row],[Início Setup Envase]]="",Table1[[#This Row],[Final Setup Envase]]=""),"",Table1[[#This Row],[Final Setup Envase]]-Table1[[#This Row],[Início Setup Envase]])</f>
        <v/>
      </c>
      <c r="AP363" s="663"/>
      <c r="AQ363" s="663"/>
      <c r="AR363" s="270"/>
      <c r="AS363" s="270"/>
      <c r="AT363" s="270"/>
      <c r="AU363" s="270"/>
      <c r="AV363" s="270"/>
      <c r="AW363" s="270"/>
      <c r="AX363" s="270"/>
      <c r="AY363" s="270"/>
      <c r="AZ363" s="270"/>
      <c r="BA363" s="270">
        <f>IF(Table1[[#This Row],[Data de Início]]="","",YEAR(Table1[[#This Row],[Data de Início]]))</f>
        <v>2025</v>
      </c>
      <c r="BB363" s="270">
        <f>IF(Table1[[#This Row],[Data de Início]]="","",MONTH(Table1[[#This Row],[Data de Início]]))</f>
        <v>8</v>
      </c>
      <c r="BC363" s="270"/>
    </row>
    <row r="364" spans="2:55" ht="15" customHeight="1" x14ac:dyDescent="0.25">
      <c r="B364" s="470">
        <v>45888.486111111109</v>
      </c>
      <c r="C364" s="263">
        <v>45888.708333333336</v>
      </c>
      <c r="D364" s="264" cm="1">
        <f t="array" ref="D364">IFERROR(HorasUteisFabrica2Turnos(B364,C364), "")</f>
        <v>4.3333333334303461</v>
      </c>
      <c r="E364" s="265">
        <f t="shared" si="5"/>
        <v>574.28571426661267</v>
      </c>
      <c r="F364" s="266" t="s">
        <v>378</v>
      </c>
      <c r="G364" s="266" t="s">
        <v>360</v>
      </c>
      <c r="H364" s="266"/>
      <c r="I364" s="269" t="s">
        <v>653</v>
      </c>
      <c r="J364" s="267" t="s">
        <v>15</v>
      </c>
      <c r="K364" s="268">
        <v>2488.5714285443678</v>
      </c>
      <c r="L364" s="269" t="s">
        <v>636</v>
      </c>
      <c r="M364" s="270" t="str">
        <f>IFERROR(INDEX([1]Produtos!$C:$C,MATCH(L364,[1]Produtos!$B:$B,0)), "-")</f>
        <v>HIDRATANTE MATTE DOCE SEDUÇÃO</v>
      </c>
      <c r="N364" s="510">
        <f>IFERROR(INDEX([1]Produtos!$E:$E,MATCH(L364,[1]Produtos!$B:$B,0)), "-")</f>
        <v>120</v>
      </c>
      <c r="O364" s="270" t="str">
        <f>IFERROR(INDEX([1]Produtos!$F:$F,MATCH(L364,[1]Produtos!$B:$B,0)), "-")</f>
        <v>ml</v>
      </c>
      <c r="P364" s="270" t="str">
        <f>IFERROR(INDEX([1]Produtos!$G:$G,MATCH(L364,[1]Produtos!$B:$B,0)), "-")</f>
        <v>DAPOP</v>
      </c>
      <c r="Q364" s="270" t="str">
        <f>IFERROR(INDEX([1]Produtos!$H:$H,MATCH(L364,[1]Produtos!$B:$B,0)), "-")</f>
        <v>CORPORAL</v>
      </c>
      <c r="R364" s="270" t="str">
        <f>IFERROR(INDEX([1]Produtos!$I:$I,MATCH(L364,[1]Produtos!$B:$B,0)), "-")</f>
        <v>CREME HIDRATANTE</v>
      </c>
      <c r="S364" s="270" t="str">
        <f>IFERROR(INDEX([1]Produtos!$J:$J,MATCH(L364,[1]Produtos!$B:$B,0)), "-")</f>
        <v>CREMOSO</v>
      </c>
      <c r="T364" s="475"/>
      <c r="U364" s="270"/>
      <c r="V364" s="270"/>
      <c r="W364" s="270"/>
      <c r="X364" s="270"/>
      <c r="Y364" s="270"/>
      <c r="Z364" s="270"/>
      <c r="AA364" s="270"/>
      <c r="AB364" s="270"/>
      <c r="AC364" s="270"/>
      <c r="AD364" s="270"/>
      <c r="AE364" s="270"/>
      <c r="AF364" s="270"/>
      <c r="AG364" s="270"/>
      <c r="AH364" s="270"/>
      <c r="AI364" s="270"/>
      <c r="AJ364" s="270"/>
      <c r="AK364" s="270"/>
      <c r="AL364" s="270"/>
      <c r="AM364" s="663"/>
      <c r="AN364" s="663"/>
      <c r="AO364" s="708" t="str">
        <f>IF(OR(Table1[[#This Row],[Início Setup Envase]]="",Table1[[#This Row],[Final Setup Envase]]=""),"",Table1[[#This Row],[Final Setup Envase]]-Table1[[#This Row],[Início Setup Envase]])</f>
        <v/>
      </c>
      <c r="AP364" s="663"/>
      <c r="AQ364" s="663"/>
      <c r="AR364" s="270"/>
      <c r="AS364" s="270"/>
      <c r="AT364" s="270"/>
      <c r="AU364" s="270"/>
      <c r="AV364" s="270"/>
      <c r="AW364" s="270"/>
      <c r="AX364" s="270"/>
      <c r="AY364" s="270"/>
      <c r="AZ364" s="270"/>
      <c r="BA364" s="270">
        <f>IF(Table1[[#This Row],[Data de Início]]="","",YEAR(Table1[[#This Row],[Data de Início]]))</f>
        <v>2025</v>
      </c>
      <c r="BB364" s="270">
        <f>IF(Table1[[#This Row],[Data de Início]]="","",MONTH(Table1[[#This Row],[Data de Início]]))</f>
        <v>8</v>
      </c>
      <c r="BC364" s="270"/>
    </row>
    <row r="365" spans="2:55" ht="15" customHeight="1" x14ac:dyDescent="0.25">
      <c r="B365" s="470">
        <v>45888.558333333334</v>
      </c>
      <c r="C365" s="263">
        <v>45888.676388888889</v>
      </c>
      <c r="D365" s="264" cm="1">
        <f t="array" ref="D365">IFERROR(HorasUteisFabrica2Turnos(B365,C365), "")</f>
        <v>2.8333333333139308</v>
      </c>
      <c r="E365" s="265">
        <f t="shared" si="5"/>
        <v>897.8823529473251</v>
      </c>
      <c r="F365" s="266" t="s">
        <v>377</v>
      </c>
      <c r="G365" s="266" t="s">
        <v>565</v>
      </c>
      <c r="H365" s="266"/>
      <c r="I365" s="269" t="s">
        <v>616</v>
      </c>
      <c r="J365" s="267" t="s">
        <v>15</v>
      </c>
      <c r="K365" s="269">
        <v>2544</v>
      </c>
      <c r="L365" s="269" t="s">
        <v>613</v>
      </c>
      <c r="M365" s="270" t="str">
        <f>IFERROR(INDEX([1]Produtos!$C:$C,MATCH(L365,[1]Produtos!$B:$B,0)), "-")</f>
        <v>BODY SPLASH BIO BALM V DREAM</v>
      </c>
      <c r="N365" s="510">
        <f>IFERROR(INDEX([1]Produtos!$E:$E,MATCH(L365,[1]Produtos!$B:$B,0)), "-")</f>
        <v>200</v>
      </c>
      <c r="O365" s="270" t="str">
        <f>IFERROR(INDEX([1]Produtos!$F:$F,MATCH(L365,[1]Produtos!$B:$B,0)), "-")</f>
        <v>ml</v>
      </c>
      <c r="P365" s="270" t="str">
        <f>IFERROR(INDEX([1]Produtos!$G:$G,MATCH(L365,[1]Produtos!$B:$B,0)), "-")</f>
        <v>BIOFLORA</v>
      </c>
      <c r="Q365" s="270" t="str">
        <f>IFERROR(INDEX([1]Produtos!$H:$H,MATCH(L365,[1]Produtos!$B:$B,0)), "-")</f>
        <v>PERFUMARIA</v>
      </c>
      <c r="R365" s="270" t="str">
        <f>IFERROR(INDEX([1]Produtos!$I:$I,MATCH(L365,[1]Produtos!$B:$B,0)), "-")</f>
        <v>BODY SPLASH</v>
      </c>
      <c r="S365" s="270" t="str">
        <f>IFERROR(INDEX([1]Produtos!$J:$J,MATCH(L365,[1]Produtos!$B:$B,0)), "-")</f>
        <v>LÍQUIDO</v>
      </c>
      <c r="T365" s="475"/>
      <c r="U365" s="270"/>
      <c r="V365" s="270"/>
      <c r="W365" s="270"/>
      <c r="X365" s="270"/>
      <c r="Y365" s="270"/>
      <c r="Z365" s="270"/>
      <c r="AA365" s="270"/>
      <c r="AB365" s="270"/>
      <c r="AC365" s="270"/>
      <c r="AD365" s="270"/>
      <c r="AE365" s="270"/>
      <c r="AF365" s="270"/>
      <c r="AG365" s="270"/>
      <c r="AH365" s="270"/>
      <c r="AI365" s="270"/>
      <c r="AJ365" s="270"/>
      <c r="AK365" s="270"/>
      <c r="AL365" s="270"/>
      <c r="AM365" s="663"/>
      <c r="AN365" s="663"/>
      <c r="AO365" s="708" t="str">
        <f>IF(OR(Table1[[#This Row],[Início Setup Envase]]="",Table1[[#This Row],[Final Setup Envase]]=""),"",Table1[[#This Row],[Final Setup Envase]]-Table1[[#This Row],[Início Setup Envase]])</f>
        <v/>
      </c>
      <c r="AP365" s="663"/>
      <c r="AQ365" s="663"/>
      <c r="AR365" s="270"/>
      <c r="AS365" s="270"/>
      <c r="AT365" s="270"/>
      <c r="AU365" s="270"/>
      <c r="AV365" s="270"/>
      <c r="AW365" s="270"/>
      <c r="AX365" s="270"/>
      <c r="AY365" s="270"/>
      <c r="AZ365" s="270"/>
      <c r="BA365" s="270">
        <f>IF(Table1[[#This Row],[Data de Início]]="","",YEAR(Table1[[#This Row],[Data de Início]]))</f>
        <v>2025</v>
      </c>
      <c r="BB365" s="270">
        <f>IF(Table1[[#This Row],[Data de Início]]="","",MONTH(Table1[[#This Row],[Data de Início]]))</f>
        <v>8</v>
      </c>
      <c r="BC365" s="270"/>
    </row>
    <row r="366" spans="2:55" ht="15" customHeight="1" x14ac:dyDescent="0.25">
      <c r="B366" s="470">
        <v>45888.676388888889</v>
      </c>
      <c r="C366" s="263">
        <v>45888.708333333336</v>
      </c>
      <c r="D366" s="264" cm="1">
        <f t="array" ref="D366">IFERROR(HorasUteisFabrica2Turnos(B366,C366), "")</f>
        <v>0.76666666672099382</v>
      </c>
      <c r="E366" s="265">
        <f t="shared" si="5"/>
        <v>2725.7142854989647</v>
      </c>
      <c r="F366" s="266" t="s">
        <v>377</v>
      </c>
      <c r="G366" s="266" t="s">
        <v>565</v>
      </c>
      <c r="H366" s="266"/>
      <c r="I366" s="269" t="s">
        <v>617</v>
      </c>
      <c r="J366" s="267" t="s">
        <v>15</v>
      </c>
      <c r="K366" s="268">
        <v>2089.7142856972864</v>
      </c>
      <c r="L366" s="269" t="s">
        <v>613</v>
      </c>
      <c r="M366" s="270" t="str">
        <f>IFERROR(INDEX([1]Produtos!$C:$C,MATCH(L366,[1]Produtos!$B:$B,0)), "-")</f>
        <v>BODY SPLASH BIO BALM V DREAM</v>
      </c>
      <c r="N366" s="510">
        <f>IFERROR(INDEX([1]Produtos!$E:$E,MATCH(L366,[1]Produtos!$B:$B,0)), "-")</f>
        <v>200</v>
      </c>
      <c r="O366" s="270" t="str">
        <f>IFERROR(INDEX([1]Produtos!$F:$F,MATCH(L366,[1]Produtos!$B:$B,0)), "-")</f>
        <v>ml</v>
      </c>
      <c r="P366" s="270" t="str">
        <f>IFERROR(INDEX([1]Produtos!$G:$G,MATCH(L366,[1]Produtos!$B:$B,0)), "-")</f>
        <v>BIOFLORA</v>
      </c>
      <c r="Q366" s="270" t="str">
        <f>IFERROR(INDEX([1]Produtos!$H:$H,MATCH(L366,[1]Produtos!$B:$B,0)), "-")</f>
        <v>PERFUMARIA</v>
      </c>
      <c r="R366" s="270" t="str">
        <f>IFERROR(INDEX([1]Produtos!$I:$I,MATCH(L366,[1]Produtos!$B:$B,0)), "-")</f>
        <v>BODY SPLASH</v>
      </c>
      <c r="S366" s="270" t="str">
        <f>IFERROR(INDEX([1]Produtos!$J:$J,MATCH(L366,[1]Produtos!$B:$B,0)), "-")</f>
        <v>LÍQUIDO</v>
      </c>
      <c r="T366" s="475"/>
      <c r="U366" s="270"/>
      <c r="V366" s="270"/>
      <c r="W366" s="270"/>
      <c r="X366" s="270"/>
      <c r="Y366" s="270"/>
      <c r="Z366" s="270"/>
      <c r="AA366" s="270"/>
      <c r="AB366" s="270"/>
      <c r="AC366" s="270"/>
      <c r="AD366" s="270"/>
      <c r="AE366" s="270"/>
      <c r="AF366" s="270"/>
      <c r="AG366" s="270"/>
      <c r="AH366" s="270"/>
      <c r="AI366" s="270"/>
      <c r="AJ366" s="270"/>
      <c r="AK366" s="270"/>
      <c r="AL366" s="270"/>
      <c r="AM366" s="663"/>
      <c r="AN366" s="663"/>
      <c r="AO366" s="708" t="str">
        <f>IF(OR(Table1[[#This Row],[Início Setup Envase]]="",Table1[[#This Row],[Final Setup Envase]]=""),"",Table1[[#This Row],[Final Setup Envase]]-Table1[[#This Row],[Início Setup Envase]])</f>
        <v/>
      </c>
      <c r="AP366" s="663"/>
      <c r="AQ366" s="663"/>
      <c r="AR366" s="270"/>
      <c r="AS366" s="270"/>
      <c r="AT366" s="270"/>
      <c r="AU366" s="270"/>
      <c r="AV366" s="270"/>
      <c r="AW366" s="270"/>
      <c r="AX366" s="270"/>
      <c r="AY366" s="270"/>
      <c r="AZ366" s="270"/>
      <c r="BA366" s="270">
        <f>IF(Table1[[#This Row],[Data de Início]]="","",YEAR(Table1[[#This Row],[Data de Início]]))</f>
        <v>2025</v>
      </c>
      <c r="BB366" s="270">
        <f>IF(Table1[[#This Row],[Data de Início]]="","",MONTH(Table1[[#This Row],[Data de Início]]))</f>
        <v>8</v>
      </c>
      <c r="BC366" s="270"/>
    </row>
    <row r="367" spans="2:55" ht="15" customHeight="1" x14ac:dyDescent="0.25">
      <c r="B367" s="470">
        <v>45889.291666666664</v>
      </c>
      <c r="C367" s="263">
        <v>45889.402777777781</v>
      </c>
      <c r="D367" s="264" cm="1">
        <f t="array" ref="D367">IFERROR(HorasUteisFabrica2Turnos(B367,C367), "")</f>
        <v>2.6666666668024845</v>
      </c>
      <c r="E367" s="265">
        <f t="shared" si="5"/>
        <v>574.28571426661267</v>
      </c>
      <c r="F367" s="266" t="s">
        <v>378</v>
      </c>
      <c r="G367" s="266" t="s">
        <v>360</v>
      </c>
      <c r="H367" s="266"/>
      <c r="I367" s="269" t="s">
        <v>653</v>
      </c>
      <c r="J367" s="267" t="s">
        <v>15</v>
      </c>
      <c r="K367" s="268">
        <v>1531.428571455632</v>
      </c>
      <c r="L367" s="269" t="s">
        <v>636</v>
      </c>
      <c r="M367" s="270" t="str">
        <f>IFERROR(INDEX([1]Produtos!$C:$C,MATCH(L367,[1]Produtos!$B:$B,0)), "-")</f>
        <v>HIDRATANTE MATTE DOCE SEDUÇÃO</v>
      </c>
      <c r="N367" s="510">
        <f>IFERROR(INDEX([1]Produtos!$E:$E,MATCH(L367,[1]Produtos!$B:$B,0)), "-")</f>
        <v>120</v>
      </c>
      <c r="O367" s="270" t="str">
        <f>IFERROR(INDEX([1]Produtos!$F:$F,MATCH(L367,[1]Produtos!$B:$B,0)), "-")</f>
        <v>ml</v>
      </c>
      <c r="P367" s="270" t="str">
        <f>IFERROR(INDEX([1]Produtos!$G:$G,MATCH(L367,[1]Produtos!$B:$B,0)), "-")</f>
        <v>DAPOP</v>
      </c>
      <c r="Q367" s="270" t="str">
        <f>IFERROR(INDEX([1]Produtos!$H:$H,MATCH(L367,[1]Produtos!$B:$B,0)), "-")</f>
        <v>CORPORAL</v>
      </c>
      <c r="R367" s="270" t="str">
        <f>IFERROR(INDEX([1]Produtos!$I:$I,MATCH(L367,[1]Produtos!$B:$B,0)), "-")</f>
        <v>CREME HIDRATANTE</v>
      </c>
      <c r="S367" s="270" t="str">
        <f>IFERROR(INDEX([1]Produtos!$J:$J,MATCH(L367,[1]Produtos!$B:$B,0)), "-")</f>
        <v>CREMOSO</v>
      </c>
      <c r="T367" s="475"/>
      <c r="U367" s="270"/>
      <c r="V367" s="270"/>
      <c r="W367" s="270"/>
      <c r="X367" s="270"/>
      <c r="Y367" s="270"/>
      <c r="Z367" s="270"/>
      <c r="AA367" s="270"/>
      <c r="AB367" s="270"/>
      <c r="AC367" s="270"/>
      <c r="AD367" s="270"/>
      <c r="AE367" s="270"/>
      <c r="AF367" s="270"/>
      <c r="AG367" s="270"/>
      <c r="AH367" s="270"/>
      <c r="AI367" s="270"/>
      <c r="AJ367" s="270"/>
      <c r="AK367" s="270"/>
      <c r="AL367" s="270"/>
      <c r="AM367" s="663"/>
      <c r="AN367" s="663"/>
      <c r="AO367" s="708" t="str">
        <f>IF(OR(Table1[[#This Row],[Início Setup Envase]]="",Table1[[#This Row],[Final Setup Envase]]=""),"",Table1[[#This Row],[Final Setup Envase]]-Table1[[#This Row],[Início Setup Envase]])</f>
        <v/>
      </c>
      <c r="AP367" s="663"/>
      <c r="AQ367" s="663"/>
      <c r="AR367" s="270"/>
      <c r="AS367" s="270"/>
      <c r="AT367" s="270"/>
      <c r="AU367" s="270"/>
      <c r="AV367" s="270"/>
      <c r="AW367" s="270"/>
      <c r="AX367" s="270"/>
      <c r="AY367" s="270"/>
      <c r="AZ367" s="270"/>
      <c r="BA367" s="270">
        <f>IF(Table1[[#This Row],[Data de Início]]="","",YEAR(Table1[[#This Row],[Data de Início]]))</f>
        <v>2025</v>
      </c>
      <c r="BB367" s="270">
        <f>IF(Table1[[#This Row],[Data de Início]]="","",MONTH(Table1[[#This Row],[Data de Início]]))</f>
        <v>8</v>
      </c>
      <c r="BC367" s="270"/>
    </row>
    <row r="368" spans="2:55" ht="15" customHeight="1" x14ac:dyDescent="0.25">
      <c r="B368" s="470">
        <v>45889.291666666664</v>
      </c>
      <c r="C368" s="263">
        <v>45889.298611111109</v>
      </c>
      <c r="D368" s="264" cm="1">
        <f t="array" ref="D368">IFERROR(HorasUteisFabrica2Turnos(B368,C368), "")</f>
        <v>0.16666666668606922</v>
      </c>
      <c r="E368" s="265">
        <f t="shared" si="5"/>
        <v>2725.7142854989647</v>
      </c>
      <c r="F368" s="266" t="s">
        <v>377</v>
      </c>
      <c r="G368" s="266" t="s">
        <v>565</v>
      </c>
      <c r="H368" s="266"/>
      <c r="I368" s="269" t="s">
        <v>617</v>
      </c>
      <c r="J368" s="267" t="s">
        <v>15</v>
      </c>
      <c r="K368" s="268">
        <v>454.28571430271325</v>
      </c>
      <c r="L368" s="269" t="s">
        <v>613</v>
      </c>
      <c r="M368" s="270" t="str">
        <f>IFERROR(INDEX([1]Produtos!$C:$C,MATCH(L368,[1]Produtos!$B:$B,0)), "-")</f>
        <v>BODY SPLASH BIO BALM V DREAM</v>
      </c>
      <c r="N368" s="510">
        <f>IFERROR(INDEX([1]Produtos!$E:$E,MATCH(L368,[1]Produtos!$B:$B,0)), "-")</f>
        <v>200</v>
      </c>
      <c r="O368" s="270" t="str">
        <f>IFERROR(INDEX([1]Produtos!$F:$F,MATCH(L368,[1]Produtos!$B:$B,0)), "-")</f>
        <v>ml</v>
      </c>
      <c r="P368" s="270" t="str">
        <f>IFERROR(INDEX([1]Produtos!$G:$G,MATCH(L368,[1]Produtos!$B:$B,0)), "-")</f>
        <v>BIOFLORA</v>
      </c>
      <c r="Q368" s="270" t="str">
        <f>IFERROR(INDEX([1]Produtos!$H:$H,MATCH(L368,[1]Produtos!$B:$B,0)), "-")</f>
        <v>PERFUMARIA</v>
      </c>
      <c r="R368" s="270" t="str">
        <f>IFERROR(INDEX([1]Produtos!$I:$I,MATCH(L368,[1]Produtos!$B:$B,0)), "-")</f>
        <v>BODY SPLASH</v>
      </c>
      <c r="S368" s="270" t="str">
        <f>IFERROR(INDEX([1]Produtos!$J:$J,MATCH(L368,[1]Produtos!$B:$B,0)), "-")</f>
        <v>LÍQUIDO</v>
      </c>
      <c r="T368" s="475"/>
      <c r="U368" s="270"/>
      <c r="V368" s="270"/>
      <c r="W368" s="270"/>
      <c r="X368" s="270"/>
      <c r="Y368" s="270"/>
      <c r="Z368" s="270"/>
      <c r="AA368" s="270"/>
      <c r="AB368" s="270"/>
      <c r="AC368" s="270"/>
      <c r="AD368" s="270"/>
      <c r="AE368" s="270"/>
      <c r="AF368" s="270"/>
      <c r="AG368" s="270"/>
      <c r="AH368" s="270"/>
      <c r="AI368" s="270"/>
      <c r="AJ368" s="270"/>
      <c r="AK368" s="270"/>
      <c r="AL368" s="270"/>
      <c r="AM368" s="663"/>
      <c r="AN368" s="663"/>
      <c r="AO368" s="708" t="str">
        <f>IF(OR(Table1[[#This Row],[Início Setup Envase]]="",Table1[[#This Row],[Final Setup Envase]]=""),"",Table1[[#This Row],[Final Setup Envase]]-Table1[[#This Row],[Início Setup Envase]])</f>
        <v/>
      </c>
      <c r="AP368" s="663"/>
      <c r="AQ368" s="663"/>
      <c r="AR368" s="270"/>
      <c r="AS368" s="270"/>
      <c r="AT368" s="270"/>
      <c r="AU368" s="270"/>
      <c r="AV368" s="270"/>
      <c r="AW368" s="270"/>
      <c r="AX368" s="270"/>
      <c r="AY368" s="270"/>
      <c r="AZ368" s="270"/>
      <c r="BA368" s="270">
        <f>IF(Table1[[#This Row],[Data de Início]]="","",YEAR(Table1[[#This Row],[Data de Início]]))</f>
        <v>2025</v>
      </c>
      <c r="BB368" s="270">
        <f>IF(Table1[[#This Row],[Data de Início]]="","",MONTH(Table1[[#This Row],[Data de Início]]))</f>
        <v>8</v>
      </c>
      <c r="BC368" s="270"/>
    </row>
    <row r="369" spans="2:55" ht="15" customHeight="1" x14ac:dyDescent="0.25">
      <c r="B369" s="470">
        <v>45889.298611111109</v>
      </c>
      <c r="C369" s="263">
        <v>45889.402777777781</v>
      </c>
      <c r="D369" s="264" cm="1">
        <f t="array" ref="D369">IFERROR(HorasUteisFabrica2Turnos(B369,C369), "")</f>
        <v>2.5000000001164153</v>
      </c>
      <c r="E369" s="265">
        <f t="shared" si="5"/>
        <v>1017.5999999526143</v>
      </c>
      <c r="F369" s="266" t="s">
        <v>377</v>
      </c>
      <c r="G369" s="266" t="s">
        <v>565</v>
      </c>
      <c r="H369" s="266"/>
      <c r="I369" s="269" t="s">
        <v>683</v>
      </c>
      <c r="J369" s="267" t="s">
        <v>15</v>
      </c>
      <c r="K369" s="268">
        <v>2544</v>
      </c>
      <c r="L369" s="269" t="s">
        <v>684</v>
      </c>
      <c r="M369" s="270" t="str">
        <f>IFERROR(INDEX([1]Produtos!$C:$C,MATCH(L369,[1]Produtos!$B:$B,0)), "-")</f>
        <v>BODY SPLASH BIO BALM ROSÉ ABSOLUT</v>
      </c>
      <c r="N369" s="510">
        <f>IFERROR(INDEX([1]Produtos!$E:$E,MATCH(L369,[1]Produtos!$B:$B,0)), "-")</f>
        <v>200</v>
      </c>
      <c r="O369" s="270" t="str">
        <f>IFERROR(INDEX([1]Produtos!$F:$F,MATCH(L369,[1]Produtos!$B:$B,0)), "-")</f>
        <v>ml</v>
      </c>
      <c r="P369" s="270" t="str">
        <f>IFERROR(INDEX([1]Produtos!$G:$G,MATCH(L369,[1]Produtos!$B:$B,0)), "-")</f>
        <v>BIOFLORA</v>
      </c>
      <c r="Q369" s="270" t="str">
        <f>IFERROR(INDEX([1]Produtos!$H:$H,MATCH(L369,[1]Produtos!$B:$B,0)), "-")</f>
        <v>PERFUMARIA</v>
      </c>
      <c r="R369" s="270" t="str">
        <f>IFERROR(INDEX([1]Produtos!$I:$I,MATCH(L369,[1]Produtos!$B:$B,0)), "-")</f>
        <v>BODY SPLASH</v>
      </c>
      <c r="S369" s="270" t="str">
        <f>IFERROR(INDEX([1]Produtos!$J:$J,MATCH(L369,[1]Produtos!$B:$B,0)), "-")</f>
        <v>LÍQUIDO</v>
      </c>
      <c r="T369" s="475"/>
      <c r="U369" s="270"/>
      <c r="V369" s="270"/>
      <c r="W369" s="270"/>
      <c r="X369" s="270"/>
      <c r="Y369" s="270"/>
      <c r="Z369" s="270"/>
      <c r="AA369" s="270"/>
      <c r="AB369" s="270"/>
      <c r="AC369" s="270"/>
      <c r="AD369" s="270"/>
      <c r="AE369" s="270"/>
      <c r="AF369" s="270"/>
      <c r="AG369" s="270"/>
      <c r="AH369" s="270"/>
      <c r="AI369" s="270"/>
      <c r="AJ369" s="270"/>
      <c r="AK369" s="270"/>
      <c r="AL369" s="270"/>
      <c r="AM369" s="663"/>
      <c r="AN369" s="663"/>
      <c r="AO369" s="708" t="str">
        <f>IF(OR(Table1[[#This Row],[Início Setup Envase]]="",Table1[[#This Row],[Final Setup Envase]]=""),"",Table1[[#This Row],[Final Setup Envase]]-Table1[[#This Row],[Início Setup Envase]])</f>
        <v/>
      </c>
      <c r="AP369" s="663"/>
      <c r="AQ369" s="663"/>
      <c r="AR369" s="270"/>
      <c r="AS369" s="270"/>
      <c r="AT369" s="270"/>
      <c r="AU369" s="270"/>
      <c r="AV369" s="270"/>
      <c r="AW369" s="270"/>
      <c r="AX369" s="270"/>
      <c r="AY369" s="270"/>
      <c r="AZ369" s="270"/>
      <c r="BA369" s="270">
        <f>IF(Table1[[#This Row],[Data de Início]]="","",YEAR(Table1[[#This Row],[Data de Início]]))</f>
        <v>2025</v>
      </c>
      <c r="BB369" s="270">
        <f>IF(Table1[[#This Row],[Data de Início]]="","",MONTH(Table1[[#This Row],[Data de Início]]))</f>
        <v>8</v>
      </c>
      <c r="BC369" s="270"/>
    </row>
    <row r="370" spans="2:55" ht="15" customHeight="1" x14ac:dyDescent="0.25">
      <c r="B370" s="470">
        <v>45889.398611111108</v>
      </c>
      <c r="C370" s="263">
        <v>45889.694444444445</v>
      </c>
      <c r="D370" s="264" cm="1">
        <f t="array" ref="D370">IFERROR(HorasUteisFabrica2Turnos(B370,C370), "")</f>
        <v>6.1000000000931323</v>
      </c>
      <c r="E370" s="265">
        <f t="shared" si="5"/>
        <v>659.01639343256136</v>
      </c>
      <c r="F370" s="266" t="s">
        <v>378</v>
      </c>
      <c r="G370" s="266" t="s">
        <v>360</v>
      </c>
      <c r="H370" s="266"/>
      <c r="I370" s="269" t="s">
        <v>654</v>
      </c>
      <c r="J370" s="267" t="s">
        <v>15</v>
      </c>
      <c r="K370" s="268">
        <v>4020</v>
      </c>
      <c r="L370" s="269" t="s">
        <v>636</v>
      </c>
      <c r="M370" s="270" t="str">
        <f>IFERROR(INDEX([1]Produtos!$C:$C,MATCH(L370,[1]Produtos!$B:$B,0)), "-")</f>
        <v>HIDRATANTE MATTE DOCE SEDUÇÃO</v>
      </c>
      <c r="N370" s="510">
        <f>IFERROR(INDEX([1]Produtos!$E:$E,MATCH(L370,[1]Produtos!$B:$B,0)), "-")</f>
        <v>120</v>
      </c>
      <c r="O370" s="270" t="str">
        <f>IFERROR(INDEX([1]Produtos!$F:$F,MATCH(L370,[1]Produtos!$B:$B,0)), "-")</f>
        <v>ml</v>
      </c>
      <c r="P370" s="270" t="str">
        <f>IFERROR(INDEX([1]Produtos!$G:$G,MATCH(L370,[1]Produtos!$B:$B,0)), "-")</f>
        <v>DAPOP</v>
      </c>
      <c r="Q370" s="270" t="str">
        <f>IFERROR(INDEX([1]Produtos!$H:$H,MATCH(L370,[1]Produtos!$B:$B,0)), "-")</f>
        <v>CORPORAL</v>
      </c>
      <c r="R370" s="270" t="str">
        <f>IFERROR(INDEX([1]Produtos!$I:$I,MATCH(L370,[1]Produtos!$B:$B,0)), "-")</f>
        <v>CREME HIDRATANTE</v>
      </c>
      <c r="S370" s="270" t="str">
        <f>IFERROR(INDEX([1]Produtos!$J:$J,MATCH(L370,[1]Produtos!$B:$B,0)), "-")</f>
        <v>CREMOSO</v>
      </c>
      <c r="T370" s="475"/>
      <c r="U370" s="270"/>
      <c r="V370" s="270"/>
      <c r="W370" s="270"/>
      <c r="X370" s="270"/>
      <c r="Y370" s="270"/>
      <c r="Z370" s="270"/>
      <c r="AA370" s="270"/>
      <c r="AB370" s="270"/>
      <c r="AC370" s="270"/>
      <c r="AD370" s="270"/>
      <c r="AE370" s="270"/>
      <c r="AF370" s="270"/>
      <c r="AG370" s="270"/>
      <c r="AH370" s="270"/>
      <c r="AI370" s="270"/>
      <c r="AJ370" s="270"/>
      <c r="AK370" s="270"/>
      <c r="AL370" s="270"/>
      <c r="AM370" s="663"/>
      <c r="AN370" s="663"/>
      <c r="AO370" s="708" t="str">
        <f>IF(OR(Table1[[#This Row],[Início Setup Envase]]="",Table1[[#This Row],[Final Setup Envase]]=""),"",Table1[[#This Row],[Final Setup Envase]]-Table1[[#This Row],[Início Setup Envase]])</f>
        <v/>
      </c>
      <c r="AP370" s="663"/>
      <c r="AQ370" s="663"/>
      <c r="AR370" s="270"/>
      <c r="AS370" s="270"/>
      <c r="AT370" s="270"/>
      <c r="AU370" s="270"/>
      <c r="AV370" s="270"/>
      <c r="AW370" s="270"/>
      <c r="AX370" s="270"/>
      <c r="AY370" s="270"/>
      <c r="AZ370" s="270"/>
      <c r="BA370" s="270">
        <f>IF(Table1[[#This Row],[Data de Início]]="","",YEAR(Table1[[#This Row],[Data de Início]]))</f>
        <v>2025</v>
      </c>
      <c r="BB370" s="270">
        <f>IF(Table1[[#This Row],[Data de Início]]="","",MONTH(Table1[[#This Row],[Data de Início]]))</f>
        <v>8</v>
      </c>
      <c r="BC370" s="270"/>
    </row>
    <row r="371" spans="2:55" ht="15" customHeight="1" x14ac:dyDescent="0.25">
      <c r="B371" s="470">
        <v>45889.402777777781</v>
      </c>
      <c r="C371" s="263">
        <v>45889.507638888892</v>
      </c>
      <c r="D371" s="264" cm="1">
        <f t="array" ref="D371">IFERROR(HorasUteisFabrica2Turnos(B371,C371), "")</f>
        <v>2.5166666666627862</v>
      </c>
      <c r="E371" s="265">
        <f t="shared" si="5"/>
        <v>1010.8609271538766</v>
      </c>
      <c r="F371" s="266" t="s">
        <v>377</v>
      </c>
      <c r="G371" s="266" t="s">
        <v>565</v>
      </c>
      <c r="H371" s="266"/>
      <c r="I371" s="269" t="s">
        <v>685</v>
      </c>
      <c r="J371" s="267" t="s">
        <v>15</v>
      </c>
      <c r="K371" s="268">
        <v>2544</v>
      </c>
      <c r="L371" s="269" t="s">
        <v>684</v>
      </c>
      <c r="M371" s="270" t="str">
        <f>IFERROR(INDEX([1]Produtos!$C:$C,MATCH(L371,[1]Produtos!$B:$B,0)), "-")</f>
        <v>BODY SPLASH BIO BALM ROSÉ ABSOLUT</v>
      </c>
      <c r="N371" s="510">
        <f>IFERROR(INDEX([1]Produtos!$E:$E,MATCH(L371,[1]Produtos!$B:$B,0)), "-")</f>
        <v>200</v>
      </c>
      <c r="O371" s="270" t="str">
        <f>IFERROR(INDEX([1]Produtos!$F:$F,MATCH(L371,[1]Produtos!$B:$B,0)), "-")</f>
        <v>ml</v>
      </c>
      <c r="P371" s="270" t="str">
        <f>IFERROR(INDEX([1]Produtos!$G:$G,MATCH(L371,[1]Produtos!$B:$B,0)), "-")</f>
        <v>BIOFLORA</v>
      </c>
      <c r="Q371" s="270" t="str">
        <f>IFERROR(INDEX([1]Produtos!$H:$H,MATCH(L371,[1]Produtos!$B:$B,0)), "-")</f>
        <v>PERFUMARIA</v>
      </c>
      <c r="R371" s="270" t="str">
        <f>IFERROR(INDEX([1]Produtos!$I:$I,MATCH(L371,[1]Produtos!$B:$B,0)), "-")</f>
        <v>BODY SPLASH</v>
      </c>
      <c r="S371" s="270" t="str">
        <f>IFERROR(INDEX([1]Produtos!$J:$J,MATCH(L371,[1]Produtos!$B:$B,0)), "-")</f>
        <v>LÍQUIDO</v>
      </c>
      <c r="T371" s="475"/>
      <c r="U371" s="270"/>
      <c r="V371" s="270"/>
      <c r="W371" s="270"/>
      <c r="X371" s="270"/>
      <c r="Y371" s="270"/>
      <c r="Z371" s="270"/>
      <c r="AA371" s="270"/>
      <c r="AB371" s="270"/>
      <c r="AC371" s="270"/>
      <c r="AD371" s="270"/>
      <c r="AE371" s="270"/>
      <c r="AF371" s="270"/>
      <c r="AG371" s="270"/>
      <c r="AH371" s="270"/>
      <c r="AI371" s="270"/>
      <c r="AJ371" s="270"/>
      <c r="AK371" s="270"/>
      <c r="AL371" s="270"/>
      <c r="AM371" s="663"/>
      <c r="AN371" s="663"/>
      <c r="AO371" s="708" t="str">
        <f>IF(OR(Table1[[#This Row],[Início Setup Envase]]="",Table1[[#This Row],[Final Setup Envase]]=""),"",Table1[[#This Row],[Final Setup Envase]]-Table1[[#This Row],[Início Setup Envase]])</f>
        <v/>
      </c>
      <c r="AP371" s="663"/>
      <c r="AQ371" s="663"/>
      <c r="AR371" s="270"/>
      <c r="AS371" s="270"/>
      <c r="AT371" s="270"/>
      <c r="AU371" s="270"/>
      <c r="AV371" s="270"/>
      <c r="AW371" s="270"/>
      <c r="AX371" s="270"/>
      <c r="AY371" s="270"/>
      <c r="AZ371" s="270"/>
      <c r="BA371" s="270">
        <f>IF(Table1[[#This Row],[Data de Início]]="","",YEAR(Table1[[#This Row],[Data de Início]]))</f>
        <v>2025</v>
      </c>
      <c r="BB371" s="270">
        <f>IF(Table1[[#This Row],[Data de Início]]="","",MONTH(Table1[[#This Row],[Data de Início]]))</f>
        <v>8</v>
      </c>
      <c r="BC371" s="270"/>
    </row>
    <row r="372" spans="2:55" ht="15" customHeight="1" x14ac:dyDescent="0.25">
      <c r="B372" s="470">
        <v>45889.506944444445</v>
      </c>
      <c r="C372" s="263">
        <v>45889.632638888892</v>
      </c>
      <c r="D372" s="264" cm="1">
        <f t="array" ref="D372">IFERROR(HorasUteisFabrica2Turnos(B372,C372), "")</f>
        <v>3.0166666667209938</v>
      </c>
      <c r="E372" s="265">
        <f t="shared" si="5"/>
        <v>867.18232042637192</v>
      </c>
      <c r="F372" s="266" t="s">
        <v>377</v>
      </c>
      <c r="G372" s="266" t="s">
        <v>565</v>
      </c>
      <c r="H372" s="266"/>
      <c r="I372" s="269" t="s">
        <v>686</v>
      </c>
      <c r="J372" s="267" t="s">
        <v>15</v>
      </c>
      <c r="K372" s="268">
        <v>2616</v>
      </c>
      <c r="L372" s="269" t="s">
        <v>684</v>
      </c>
      <c r="M372" s="270" t="str">
        <f>IFERROR(INDEX([1]Produtos!$C:$C,MATCH(L372,[1]Produtos!$B:$B,0)), "-")</f>
        <v>BODY SPLASH BIO BALM ROSÉ ABSOLUT</v>
      </c>
      <c r="N372" s="510">
        <f>IFERROR(INDEX([1]Produtos!$E:$E,MATCH(L372,[1]Produtos!$B:$B,0)), "-")</f>
        <v>200</v>
      </c>
      <c r="O372" s="270" t="str">
        <f>IFERROR(INDEX([1]Produtos!$F:$F,MATCH(L372,[1]Produtos!$B:$B,0)), "-")</f>
        <v>ml</v>
      </c>
      <c r="P372" s="270" t="str">
        <f>IFERROR(INDEX([1]Produtos!$G:$G,MATCH(L372,[1]Produtos!$B:$B,0)), "-")</f>
        <v>BIOFLORA</v>
      </c>
      <c r="Q372" s="270" t="str">
        <f>IFERROR(INDEX([1]Produtos!$H:$H,MATCH(L372,[1]Produtos!$B:$B,0)), "-")</f>
        <v>PERFUMARIA</v>
      </c>
      <c r="R372" s="270" t="str">
        <f>IFERROR(INDEX([1]Produtos!$I:$I,MATCH(L372,[1]Produtos!$B:$B,0)), "-")</f>
        <v>BODY SPLASH</v>
      </c>
      <c r="S372" s="270" t="str">
        <f>IFERROR(INDEX([1]Produtos!$J:$J,MATCH(L372,[1]Produtos!$B:$B,0)), "-")</f>
        <v>LÍQUIDO</v>
      </c>
      <c r="T372" s="475"/>
      <c r="U372" s="270"/>
      <c r="V372" s="270"/>
      <c r="W372" s="270"/>
      <c r="X372" s="270"/>
      <c r="Y372" s="270"/>
      <c r="Z372" s="270"/>
      <c r="AA372" s="270"/>
      <c r="AB372" s="270"/>
      <c r="AC372" s="270"/>
      <c r="AD372" s="270"/>
      <c r="AE372" s="270"/>
      <c r="AF372" s="270"/>
      <c r="AG372" s="270"/>
      <c r="AH372" s="270"/>
      <c r="AI372" s="270"/>
      <c r="AJ372" s="270"/>
      <c r="AK372" s="270"/>
      <c r="AL372" s="270"/>
      <c r="AM372" s="663"/>
      <c r="AN372" s="663"/>
      <c r="AO372" s="708" t="str">
        <f>IF(OR(Table1[[#This Row],[Início Setup Envase]]="",Table1[[#This Row],[Final Setup Envase]]=""),"",Table1[[#This Row],[Final Setup Envase]]-Table1[[#This Row],[Início Setup Envase]])</f>
        <v/>
      </c>
      <c r="AP372" s="663"/>
      <c r="AQ372" s="663"/>
      <c r="AR372" s="270"/>
      <c r="AS372" s="270"/>
      <c r="AT372" s="270"/>
      <c r="AU372" s="270"/>
      <c r="AV372" s="270"/>
      <c r="AW372" s="270"/>
      <c r="AX372" s="270"/>
      <c r="AY372" s="270"/>
      <c r="AZ372" s="270"/>
      <c r="BA372" s="270">
        <f>IF(Table1[[#This Row],[Data de Início]]="","",YEAR(Table1[[#This Row],[Data de Início]]))</f>
        <v>2025</v>
      </c>
      <c r="BB372" s="270">
        <f>IF(Table1[[#This Row],[Data de Início]]="","",MONTH(Table1[[#This Row],[Data de Início]]))</f>
        <v>8</v>
      </c>
      <c r="BC372" s="270"/>
    </row>
    <row r="373" spans="2:55" ht="15" customHeight="1" x14ac:dyDescent="0.25">
      <c r="B373" s="470">
        <v>45889.563888888886</v>
      </c>
      <c r="C373" s="263">
        <v>45889.635416666664</v>
      </c>
      <c r="D373" s="264" cm="1">
        <f t="array" ref="D373">IFERROR(HorasUteisFabrica2Turnos(B373,C373), "")</f>
        <v>1.7166666666744277</v>
      </c>
      <c r="E373" s="265">
        <f t="shared" si="5"/>
        <v>1481.9417475661157</v>
      </c>
      <c r="F373" s="266" t="s">
        <v>377</v>
      </c>
      <c r="G373" s="266" t="s">
        <v>470</v>
      </c>
      <c r="H373" s="266"/>
      <c r="I373" s="269" t="s">
        <v>687</v>
      </c>
      <c r="J373" s="267" t="s">
        <v>15</v>
      </c>
      <c r="K373" s="268">
        <v>2544</v>
      </c>
      <c r="L373" s="269" t="s">
        <v>211</v>
      </c>
      <c r="M373" s="270" t="str">
        <f>IFERROR(INDEX([1]Produtos!$C:$C,MATCH(L373,[1]Produtos!$B:$B,0)), "-")</f>
        <v>BODY SPLASH AURORA IMPERIAL</v>
      </c>
      <c r="N373" s="510">
        <f>IFERROR(INDEX([1]Produtos!$E:$E,MATCH(L373,[1]Produtos!$B:$B,0)), "-")</f>
        <v>220</v>
      </c>
      <c r="O373" s="270" t="str">
        <f>IFERROR(INDEX([1]Produtos!$F:$F,MATCH(L373,[1]Produtos!$B:$B,0)), "-")</f>
        <v>ml</v>
      </c>
      <c r="P373" s="270" t="str">
        <f>IFERROR(INDEX([1]Produtos!$G:$G,MATCH(L373,[1]Produtos!$B:$B,0)), "-")</f>
        <v>MISS RÔSE</v>
      </c>
      <c r="Q373" s="270" t="str">
        <f>IFERROR(INDEX([1]Produtos!$H:$H,MATCH(L373,[1]Produtos!$B:$B,0)), "-")</f>
        <v>PERFUMARIA</v>
      </c>
      <c r="R373" s="270" t="str">
        <f>IFERROR(INDEX([1]Produtos!$I:$I,MATCH(L373,[1]Produtos!$B:$B,0)), "-")</f>
        <v>BODY SPLASH</v>
      </c>
      <c r="S373" s="270" t="str">
        <f>IFERROR(INDEX([1]Produtos!$J:$J,MATCH(L373,[1]Produtos!$B:$B,0)), "-")</f>
        <v>LÍQUIDO</v>
      </c>
      <c r="T373" s="475"/>
      <c r="U373" s="270"/>
      <c r="V373" s="270"/>
      <c r="W373" s="270"/>
      <c r="X373" s="270"/>
      <c r="Y373" s="270"/>
      <c r="Z373" s="270"/>
      <c r="AA373" s="270"/>
      <c r="AB373" s="270"/>
      <c r="AC373" s="270"/>
      <c r="AD373" s="270"/>
      <c r="AE373" s="270"/>
      <c r="AF373" s="270"/>
      <c r="AG373" s="270"/>
      <c r="AH373" s="270"/>
      <c r="AI373" s="270"/>
      <c r="AJ373" s="270"/>
      <c r="AK373" s="270"/>
      <c r="AL373" s="270"/>
      <c r="AM373" s="663"/>
      <c r="AN373" s="663"/>
      <c r="AO373" s="708" t="str">
        <f>IF(OR(Table1[[#This Row],[Início Setup Envase]]="",Table1[[#This Row],[Final Setup Envase]]=""),"",Table1[[#This Row],[Final Setup Envase]]-Table1[[#This Row],[Início Setup Envase]])</f>
        <v/>
      </c>
      <c r="AP373" s="663"/>
      <c r="AQ373" s="663"/>
      <c r="AR373" s="270"/>
      <c r="AS373" s="270"/>
      <c r="AT373" s="270"/>
      <c r="AU373" s="270"/>
      <c r="AV373" s="270"/>
      <c r="AW373" s="270"/>
      <c r="AX373" s="270"/>
      <c r="AY373" s="270"/>
      <c r="AZ373" s="270"/>
      <c r="BA373" s="270">
        <f>IF(Table1[[#This Row],[Data de Início]]="","",YEAR(Table1[[#This Row],[Data de Início]]))</f>
        <v>2025</v>
      </c>
      <c r="BB373" s="270">
        <f>IF(Table1[[#This Row],[Data de Início]]="","",MONTH(Table1[[#This Row],[Data de Início]]))</f>
        <v>8</v>
      </c>
      <c r="BC373" s="270"/>
    </row>
    <row r="374" spans="2:55" ht="15" customHeight="1" x14ac:dyDescent="0.25">
      <c r="B374" s="470">
        <v>45889.635416666664</v>
      </c>
      <c r="C374" s="263">
        <v>45890.333333333336</v>
      </c>
      <c r="D374" s="264" cm="1">
        <f t="array" ref="D374">IFERROR(HorasUteisFabrica2Turnos(B374,C374), "")</f>
        <v>2.7500000002328306</v>
      </c>
      <c r="E374" s="265">
        <f t="shared" si="5"/>
        <v>925.0909090125856</v>
      </c>
      <c r="F374" s="266" t="s">
        <v>377</v>
      </c>
      <c r="G374" s="266" t="s">
        <v>470</v>
      </c>
      <c r="H374" s="266"/>
      <c r="I374" s="269" t="s">
        <v>688</v>
      </c>
      <c r="J374" s="267" t="s">
        <v>15</v>
      </c>
      <c r="K374" s="268">
        <v>2544</v>
      </c>
      <c r="L374" s="269" t="s">
        <v>211</v>
      </c>
      <c r="M374" s="270" t="str">
        <f>IFERROR(INDEX([1]Produtos!$C:$C,MATCH(L374,[1]Produtos!$B:$B,0)), "-")</f>
        <v>BODY SPLASH AURORA IMPERIAL</v>
      </c>
      <c r="N374" s="510">
        <f>IFERROR(INDEX([1]Produtos!$E:$E,MATCH(L374,[1]Produtos!$B:$B,0)), "-")</f>
        <v>220</v>
      </c>
      <c r="O374" s="270" t="str">
        <f>IFERROR(INDEX([1]Produtos!$F:$F,MATCH(L374,[1]Produtos!$B:$B,0)), "-")</f>
        <v>ml</v>
      </c>
      <c r="P374" s="270" t="str">
        <f>IFERROR(INDEX([1]Produtos!$G:$G,MATCH(L374,[1]Produtos!$B:$B,0)), "-")</f>
        <v>MISS RÔSE</v>
      </c>
      <c r="Q374" s="270" t="str">
        <f>IFERROR(INDEX([1]Produtos!$H:$H,MATCH(L374,[1]Produtos!$B:$B,0)), "-")</f>
        <v>PERFUMARIA</v>
      </c>
      <c r="R374" s="270" t="str">
        <f>IFERROR(INDEX([1]Produtos!$I:$I,MATCH(L374,[1]Produtos!$B:$B,0)), "-")</f>
        <v>BODY SPLASH</v>
      </c>
      <c r="S374" s="270" t="str">
        <f>IFERROR(INDEX([1]Produtos!$J:$J,MATCH(L374,[1]Produtos!$B:$B,0)), "-")</f>
        <v>LÍQUIDO</v>
      </c>
      <c r="T374" s="475"/>
      <c r="U374" s="270"/>
      <c r="V374" s="270"/>
      <c r="W374" s="270"/>
      <c r="X374" s="270"/>
      <c r="Y374" s="270"/>
      <c r="Z374" s="270"/>
      <c r="AA374" s="270"/>
      <c r="AB374" s="270"/>
      <c r="AC374" s="270"/>
      <c r="AD374" s="270"/>
      <c r="AE374" s="270"/>
      <c r="AF374" s="270"/>
      <c r="AG374" s="270"/>
      <c r="AH374" s="270"/>
      <c r="AI374" s="270"/>
      <c r="AJ374" s="270"/>
      <c r="AK374" s="270"/>
      <c r="AL374" s="270"/>
      <c r="AM374" s="663"/>
      <c r="AN374" s="663"/>
      <c r="AO374" s="708" t="str">
        <f>IF(OR(Table1[[#This Row],[Início Setup Envase]]="",Table1[[#This Row],[Final Setup Envase]]=""),"",Table1[[#This Row],[Final Setup Envase]]-Table1[[#This Row],[Início Setup Envase]])</f>
        <v/>
      </c>
      <c r="AP374" s="663"/>
      <c r="AQ374" s="663"/>
      <c r="AR374" s="270"/>
      <c r="AS374" s="270"/>
      <c r="AT374" s="270"/>
      <c r="AU374" s="270"/>
      <c r="AV374" s="270"/>
      <c r="AW374" s="270"/>
      <c r="AX374" s="270"/>
      <c r="AY374" s="270"/>
      <c r="AZ374" s="270"/>
      <c r="BA374" s="270">
        <f>IF(Table1[[#This Row],[Data de Início]]="","",YEAR(Table1[[#This Row],[Data de Início]]))</f>
        <v>2025</v>
      </c>
      <c r="BB374" s="270">
        <f>IF(Table1[[#This Row],[Data de Início]]="","",MONTH(Table1[[#This Row],[Data de Início]]))</f>
        <v>8</v>
      </c>
      <c r="BC374" s="270"/>
    </row>
    <row r="375" spans="2:55" ht="15" customHeight="1" x14ac:dyDescent="0.25">
      <c r="B375" s="470">
        <v>45889.694444444445</v>
      </c>
      <c r="C375" s="263">
        <v>45889.708333333336</v>
      </c>
      <c r="D375" s="264" cm="1">
        <f t="array" ref="D375">IFERROR(HorasUteisFabrica2Turnos(B375,C375), "")</f>
        <v>0.33333333337213844</v>
      </c>
      <c r="E375" s="265">
        <f t="shared" si="5"/>
        <v>634.73684208970667</v>
      </c>
      <c r="F375" s="266" t="s">
        <v>378</v>
      </c>
      <c r="G375" s="266" t="s">
        <v>360</v>
      </c>
      <c r="H375" s="266"/>
      <c r="I375" s="269" t="s">
        <v>655</v>
      </c>
      <c r="J375" s="267" t="s">
        <v>15</v>
      </c>
      <c r="K375" s="268">
        <v>211.57894738786658</v>
      </c>
      <c r="L375" s="269" t="s">
        <v>636</v>
      </c>
      <c r="M375" s="270" t="str">
        <f>IFERROR(INDEX([1]Produtos!$C:$C,MATCH(L375,[1]Produtos!$B:$B,0)), "-")</f>
        <v>HIDRATANTE MATTE DOCE SEDUÇÃO</v>
      </c>
      <c r="N375" s="510">
        <f>IFERROR(INDEX([1]Produtos!$E:$E,MATCH(L375,[1]Produtos!$B:$B,0)), "-")</f>
        <v>120</v>
      </c>
      <c r="O375" s="270" t="str">
        <f>IFERROR(INDEX([1]Produtos!$F:$F,MATCH(L375,[1]Produtos!$B:$B,0)), "-")</f>
        <v>ml</v>
      </c>
      <c r="P375" s="270" t="str">
        <f>IFERROR(INDEX([1]Produtos!$G:$G,MATCH(L375,[1]Produtos!$B:$B,0)), "-")</f>
        <v>DAPOP</v>
      </c>
      <c r="Q375" s="270" t="str">
        <f>IFERROR(INDEX([1]Produtos!$H:$H,MATCH(L375,[1]Produtos!$B:$B,0)), "-")</f>
        <v>CORPORAL</v>
      </c>
      <c r="R375" s="270" t="str">
        <f>IFERROR(INDEX([1]Produtos!$I:$I,MATCH(L375,[1]Produtos!$B:$B,0)), "-")</f>
        <v>CREME HIDRATANTE</v>
      </c>
      <c r="S375" s="270" t="str">
        <f>IFERROR(INDEX([1]Produtos!$J:$J,MATCH(L375,[1]Produtos!$B:$B,0)), "-")</f>
        <v>CREMOSO</v>
      </c>
      <c r="T375" s="475"/>
      <c r="U375" s="270"/>
      <c r="V375" s="270"/>
      <c r="W375" s="270"/>
      <c r="X375" s="270"/>
      <c r="Y375" s="270"/>
      <c r="Z375" s="270"/>
      <c r="AA375" s="270"/>
      <c r="AB375" s="270"/>
      <c r="AC375" s="270"/>
      <c r="AD375" s="270"/>
      <c r="AE375" s="270"/>
      <c r="AF375" s="270"/>
      <c r="AG375" s="270"/>
      <c r="AH375" s="270"/>
      <c r="AI375" s="270"/>
      <c r="AJ375" s="270"/>
      <c r="AK375" s="270"/>
      <c r="AL375" s="270"/>
      <c r="AM375" s="663"/>
      <c r="AN375" s="663"/>
      <c r="AO375" s="708" t="str">
        <f>IF(OR(Table1[[#This Row],[Início Setup Envase]]="",Table1[[#This Row],[Final Setup Envase]]=""),"",Table1[[#This Row],[Final Setup Envase]]-Table1[[#This Row],[Início Setup Envase]])</f>
        <v/>
      </c>
      <c r="AP375" s="663"/>
      <c r="AQ375" s="663"/>
      <c r="AR375" s="270"/>
      <c r="AS375" s="270"/>
      <c r="AT375" s="270"/>
      <c r="AU375" s="270"/>
      <c r="AV375" s="270"/>
      <c r="AW375" s="270"/>
      <c r="AX375" s="270"/>
      <c r="AY375" s="270"/>
      <c r="AZ375" s="270"/>
      <c r="BA375" s="270">
        <f>IF(Table1[[#This Row],[Data de Início]]="","",YEAR(Table1[[#This Row],[Data de Início]]))</f>
        <v>2025</v>
      </c>
      <c r="BB375" s="270">
        <f>IF(Table1[[#This Row],[Data de Início]]="","",MONTH(Table1[[#This Row],[Data de Início]]))</f>
        <v>8</v>
      </c>
      <c r="BC375" s="270"/>
    </row>
    <row r="376" spans="2:55" ht="15" customHeight="1" x14ac:dyDescent="0.25">
      <c r="B376" s="470">
        <v>45890.291666666664</v>
      </c>
      <c r="C376" s="263">
        <v>45890.583333333336</v>
      </c>
      <c r="D376" s="264" cm="1">
        <f t="array" ref="D376">IFERROR(HorasUteisFabrica2Turnos(B376,C376), "")</f>
        <v>6.0000000001164153</v>
      </c>
      <c r="E376" s="265">
        <f t="shared" si="5"/>
        <v>634.73684208970622</v>
      </c>
      <c r="F376" s="266" t="s">
        <v>378</v>
      </c>
      <c r="G376" s="266" t="s">
        <v>360</v>
      </c>
      <c r="H376" s="266"/>
      <c r="I376" s="269" t="s">
        <v>655</v>
      </c>
      <c r="J376" s="267" t="s">
        <v>15</v>
      </c>
      <c r="K376" s="268">
        <v>3808.4210526121301</v>
      </c>
      <c r="L376" s="269" t="s">
        <v>636</v>
      </c>
      <c r="M376" s="270" t="str">
        <f>IFERROR(INDEX([1]Produtos!$C:$C,MATCH(L376,[1]Produtos!$B:$B,0)), "-")</f>
        <v>HIDRATANTE MATTE DOCE SEDUÇÃO</v>
      </c>
      <c r="N376" s="510">
        <f>IFERROR(INDEX([1]Produtos!$E:$E,MATCH(L376,[1]Produtos!$B:$B,0)), "-")</f>
        <v>120</v>
      </c>
      <c r="O376" s="270" t="str">
        <f>IFERROR(INDEX([1]Produtos!$F:$F,MATCH(L376,[1]Produtos!$B:$B,0)), "-")</f>
        <v>ml</v>
      </c>
      <c r="P376" s="270" t="str">
        <f>IFERROR(INDEX([1]Produtos!$G:$G,MATCH(L376,[1]Produtos!$B:$B,0)), "-")</f>
        <v>DAPOP</v>
      </c>
      <c r="Q376" s="270" t="str">
        <f>IFERROR(INDEX([1]Produtos!$H:$H,MATCH(L376,[1]Produtos!$B:$B,0)), "-")</f>
        <v>CORPORAL</v>
      </c>
      <c r="R376" s="270" t="str">
        <f>IFERROR(INDEX([1]Produtos!$I:$I,MATCH(L376,[1]Produtos!$B:$B,0)), "-")</f>
        <v>CREME HIDRATANTE</v>
      </c>
      <c r="S376" s="270" t="str">
        <f>IFERROR(INDEX([1]Produtos!$J:$J,MATCH(L376,[1]Produtos!$B:$B,0)), "-")</f>
        <v>CREMOSO</v>
      </c>
      <c r="T376" s="475"/>
      <c r="U376" s="270"/>
      <c r="V376" s="270"/>
      <c r="W376" s="270"/>
      <c r="X376" s="270"/>
      <c r="Y376" s="270"/>
      <c r="Z376" s="270"/>
      <c r="AA376" s="270"/>
      <c r="AB376" s="270"/>
      <c r="AC376" s="270"/>
      <c r="AD376" s="270"/>
      <c r="AE376" s="270"/>
      <c r="AF376" s="270"/>
      <c r="AG376" s="270"/>
      <c r="AH376" s="270"/>
      <c r="AI376" s="270"/>
      <c r="AJ376" s="270"/>
      <c r="AK376" s="270"/>
      <c r="AL376" s="270"/>
      <c r="AM376" s="663"/>
      <c r="AN376" s="663"/>
      <c r="AO376" s="708" t="str">
        <f>IF(OR(Table1[[#This Row],[Início Setup Envase]]="",Table1[[#This Row],[Final Setup Envase]]=""),"",Table1[[#This Row],[Final Setup Envase]]-Table1[[#This Row],[Início Setup Envase]])</f>
        <v/>
      </c>
      <c r="AP376" s="663"/>
      <c r="AQ376" s="663"/>
      <c r="AR376" s="270"/>
      <c r="AS376" s="270"/>
      <c r="AT376" s="270"/>
      <c r="AU376" s="270"/>
      <c r="AV376" s="270"/>
      <c r="AW376" s="270"/>
      <c r="AX376" s="270"/>
      <c r="AY376" s="270"/>
      <c r="AZ376" s="270"/>
      <c r="BA376" s="270">
        <f>IF(Table1[[#This Row],[Data de Início]]="","",YEAR(Table1[[#This Row],[Data de Início]]))</f>
        <v>2025</v>
      </c>
      <c r="BB376" s="270">
        <f>IF(Table1[[#This Row],[Data de Início]]="","",MONTH(Table1[[#This Row],[Data de Início]]))</f>
        <v>8</v>
      </c>
      <c r="BC376" s="270"/>
    </row>
    <row r="377" spans="2:55" ht="15" customHeight="1" x14ac:dyDescent="0.25">
      <c r="B377" s="470">
        <v>45890.333333333336</v>
      </c>
      <c r="C377" s="263">
        <v>45890.420138888891</v>
      </c>
      <c r="D377" s="264" cm="1">
        <f t="array" ref="D377">IFERROR(HorasUteisFabrica2Turnos(B377,C377), "")</f>
        <v>2.0833333333139308</v>
      </c>
      <c r="E377" s="265">
        <f t="shared" si="5"/>
        <v>1221.1200000113727</v>
      </c>
      <c r="F377" s="266" t="s">
        <v>377</v>
      </c>
      <c r="G377" s="266" t="s">
        <v>470</v>
      </c>
      <c r="H377" s="266"/>
      <c r="I377" s="269" t="s">
        <v>689</v>
      </c>
      <c r="J377" s="267" t="s">
        <v>15</v>
      </c>
      <c r="K377" s="268">
        <v>2544</v>
      </c>
      <c r="L377" s="269" t="s">
        <v>211</v>
      </c>
      <c r="M377" s="270" t="str">
        <f>IFERROR(INDEX([1]Produtos!$C:$C,MATCH(L377,[1]Produtos!$B:$B,0)), "-")</f>
        <v>BODY SPLASH AURORA IMPERIAL</v>
      </c>
      <c r="N377" s="510">
        <f>IFERROR(INDEX([1]Produtos!$E:$E,MATCH(L377,[1]Produtos!$B:$B,0)), "-")</f>
        <v>220</v>
      </c>
      <c r="O377" s="270" t="str">
        <f>IFERROR(INDEX([1]Produtos!$F:$F,MATCH(L377,[1]Produtos!$B:$B,0)), "-")</f>
        <v>ml</v>
      </c>
      <c r="P377" s="270" t="str">
        <f>IFERROR(INDEX([1]Produtos!$G:$G,MATCH(L377,[1]Produtos!$B:$B,0)), "-")</f>
        <v>MISS RÔSE</v>
      </c>
      <c r="Q377" s="270" t="str">
        <f>IFERROR(INDEX([1]Produtos!$H:$H,MATCH(L377,[1]Produtos!$B:$B,0)), "-")</f>
        <v>PERFUMARIA</v>
      </c>
      <c r="R377" s="270" t="str">
        <f>IFERROR(INDEX([1]Produtos!$I:$I,MATCH(L377,[1]Produtos!$B:$B,0)), "-")</f>
        <v>BODY SPLASH</v>
      </c>
      <c r="S377" s="270" t="str">
        <f>IFERROR(INDEX([1]Produtos!$J:$J,MATCH(L377,[1]Produtos!$B:$B,0)), "-")</f>
        <v>LÍQUIDO</v>
      </c>
      <c r="T377" s="475"/>
      <c r="U377" s="270"/>
      <c r="V377" s="270"/>
      <c r="W377" s="270"/>
      <c r="X377" s="270"/>
      <c r="Y377" s="270"/>
      <c r="Z377" s="270"/>
      <c r="AA377" s="270"/>
      <c r="AB377" s="270"/>
      <c r="AC377" s="270"/>
      <c r="AD377" s="270"/>
      <c r="AE377" s="270"/>
      <c r="AF377" s="270"/>
      <c r="AG377" s="270"/>
      <c r="AH377" s="270"/>
      <c r="AI377" s="270"/>
      <c r="AJ377" s="270"/>
      <c r="AK377" s="270"/>
      <c r="AL377" s="270"/>
      <c r="AM377" s="663"/>
      <c r="AN377" s="663"/>
      <c r="AO377" s="708" t="str">
        <f>IF(OR(Table1[[#This Row],[Início Setup Envase]]="",Table1[[#This Row],[Final Setup Envase]]=""),"",Table1[[#This Row],[Final Setup Envase]]-Table1[[#This Row],[Início Setup Envase]])</f>
        <v/>
      </c>
      <c r="AP377" s="663"/>
      <c r="AQ377" s="663"/>
      <c r="AR377" s="270"/>
      <c r="AS377" s="270"/>
      <c r="AT377" s="270"/>
      <c r="AU377" s="270"/>
      <c r="AV377" s="270"/>
      <c r="AW377" s="270"/>
      <c r="AX377" s="270"/>
      <c r="AY377" s="270"/>
      <c r="AZ377" s="270"/>
      <c r="BA377" s="270">
        <f>IF(Table1[[#This Row],[Data de Início]]="","",YEAR(Table1[[#This Row],[Data de Início]]))</f>
        <v>2025</v>
      </c>
      <c r="BB377" s="270">
        <f>IF(Table1[[#This Row],[Data de Início]]="","",MONTH(Table1[[#This Row],[Data de Início]]))</f>
        <v>8</v>
      </c>
      <c r="BC377" s="270"/>
    </row>
    <row r="378" spans="2:55" ht="15" customHeight="1" x14ac:dyDescent="0.25">
      <c r="B378" s="470">
        <v>45890.420138888891</v>
      </c>
      <c r="C378" s="263">
        <v>45890.5625</v>
      </c>
      <c r="D378" s="264" cm="1">
        <f t="array" ref="D378">IFERROR(HorasUteisFabrica2Turnos(B378,C378), "")</f>
        <v>2.4166666666278616</v>
      </c>
      <c r="E378" s="265">
        <f t="shared" si="5"/>
        <v>1052.6896551893171</v>
      </c>
      <c r="F378" s="266" t="s">
        <v>377</v>
      </c>
      <c r="G378" s="266" t="s">
        <v>470</v>
      </c>
      <c r="H378" s="266"/>
      <c r="I378" s="269" t="s">
        <v>690</v>
      </c>
      <c r="J378" s="267" t="s">
        <v>15</v>
      </c>
      <c r="K378" s="268">
        <v>2544</v>
      </c>
      <c r="L378" s="269" t="s">
        <v>211</v>
      </c>
      <c r="M378" s="270" t="str">
        <f>IFERROR(INDEX([1]Produtos!$C:$C,MATCH(L378,[1]Produtos!$B:$B,0)), "-")</f>
        <v>BODY SPLASH AURORA IMPERIAL</v>
      </c>
      <c r="N378" s="510">
        <f>IFERROR(INDEX([1]Produtos!$E:$E,MATCH(L378,[1]Produtos!$B:$B,0)), "-")</f>
        <v>220</v>
      </c>
      <c r="O378" s="270" t="str">
        <f>IFERROR(INDEX([1]Produtos!$F:$F,MATCH(L378,[1]Produtos!$B:$B,0)), "-")</f>
        <v>ml</v>
      </c>
      <c r="P378" s="270" t="str">
        <f>IFERROR(INDEX([1]Produtos!$G:$G,MATCH(L378,[1]Produtos!$B:$B,0)), "-")</f>
        <v>MISS RÔSE</v>
      </c>
      <c r="Q378" s="270" t="str">
        <f>IFERROR(INDEX([1]Produtos!$H:$H,MATCH(L378,[1]Produtos!$B:$B,0)), "-")</f>
        <v>PERFUMARIA</v>
      </c>
      <c r="R378" s="270" t="str">
        <f>IFERROR(INDEX([1]Produtos!$I:$I,MATCH(L378,[1]Produtos!$B:$B,0)), "-")</f>
        <v>BODY SPLASH</v>
      </c>
      <c r="S378" s="270" t="str">
        <f>IFERROR(INDEX([1]Produtos!$J:$J,MATCH(L378,[1]Produtos!$B:$B,0)), "-")</f>
        <v>LÍQUIDO</v>
      </c>
      <c r="T378" s="475"/>
      <c r="U378" s="270"/>
      <c r="V378" s="270"/>
      <c r="W378" s="270"/>
      <c r="X378" s="270"/>
      <c r="Y378" s="270"/>
      <c r="Z378" s="270"/>
      <c r="AA378" s="270"/>
      <c r="AB378" s="270"/>
      <c r="AC378" s="270"/>
      <c r="AD378" s="270"/>
      <c r="AE378" s="270"/>
      <c r="AF378" s="270"/>
      <c r="AG378" s="270"/>
      <c r="AH378" s="270"/>
      <c r="AI378" s="270"/>
      <c r="AJ378" s="270"/>
      <c r="AK378" s="270"/>
      <c r="AL378" s="270"/>
      <c r="AM378" s="663"/>
      <c r="AN378" s="663"/>
      <c r="AO378" s="708" t="str">
        <f>IF(OR(Table1[[#This Row],[Início Setup Envase]]="",Table1[[#This Row],[Final Setup Envase]]=""),"",Table1[[#This Row],[Final Setup Envase]]-Table1[[#This Row],[Início Setup Envase]])</f>
        <v/>
      </c>
      <c r="AP378" s="663"/>
      <c r="AQ378" s="663"/>
      <c r="AR378" s="270"/>
      <c r="AS378" s="270"/>
      <c r="AT378" s="270"/>
      <c r="AU378" s="270"/>
      <c r="AV378" s="270"/>
      <c r="AW378" s="270"/>
      <c r="AX378" s="270"/>
      <c r="AY378" s="270"/>
      <c r="AZ378" s="270"/>
      <c r="BA378" s="270">
        <f>IF(Table1[[#This Row],[Data de Início]]="","",YEAR(Table1[[#This Row],[Data de Início]]))</f>
        <v>2025</v>
      </c>
      <c r="BB378" s="270">
        <f>IF(Table1[[#This Row],[Data de Início]]="","",MONTH(Table1[[#This Row],[Data de Início]]))</f>
        <v>8</v>
      </c>
      <c r="BC378" s="270"/>
    </row>
    <row r="379" spans="2:55" ht="15" customHeight="1" x14ac:dyDescent="0.25">
      <c r="B379" s="470">
        <v>45890.5625</v>
      </c>
      <c r="C379" s="263">
        <v>45891.404861111114</v>
      </c>
      <c r="D379" s="264" cm="1">
        <f t="array" ref="D379">IFERROR(HorasUteisFabrica2Turnos(B379,C379), "")</f>
        <v>6.2166666668490507</v>
      </c>
      <c r="E379" s="265">
        <f t="shared" si="5"/>
        <v>409.22252009523288</v>
      </c>
      <c r="F379" s="266" t="s">
        <v>377</v>
      </c>
      <c r="G379" s="266" t="s">
        <v>470</v>
      </c>
      <c r="H379" s="266"/>
      <c r="I379" s="269" t="s">
        <v>691</v>
      </c>
      <c r="J379" s="267" t="s">
        <v>15</v>
      </c>
      <c r="K379" s="268">
        <v>2544</v>
      </c>
      <c r="L379" s="269" t="s">
        <v>211</v>
      </c>
      <c r="M379" s="270" t="str">
        <f>IFERROR(INDEX([1]Produtos!$C:$C,MATCH(L379,[1]Produtos!$B:$B,0)), "-")</f>
        <v>BODY SPLASH AURORA IMPERIAL</v>
      </c>
      <c r="N379" s="510">
        <f>IFERROR(INDEX([1]Produtos!$E:$E,MATCH(L379,[1]Produtos!$B:$B,0)), "-")</f>
        <v>220</v>
      </c>
      <c r="O379" s="270" t="str">
        <f>IFERROR(INDEX([1]Produtos!$F:$F,MATCH(L379,[1]Produtos!$B:$B,0)), "-")</f>
        <v>ml</v>
      </c>
      <c r="P379" s="270" t="str">
        <f>IFERROR(INDEX([1]Produtos!$G:$G,MATCH(L379,[1]Produtos!$B:$B,0)), "-")</f>
        <v>MISS RÔSE</v>
      </c>
      <c r="Q379" s="270" t="str">
        <f>IFERROR(INDEX([1]Produtos!$H:$H,MATCH(L379,[1]Produtos!$B:$B,0)), "-")</f>
        <v>PERFUMARIA</v>
      </c>
      <c r="R379" s="270" t="str">
        <f>IFERROR(INDEX([1]Produtos!$I:$I,MATCH(L379,[1]Produtos!$B:$B,0)), "-")</f>
        <v>BODY SPLASH</v>
      </c>
      <c r="S379" s="270" t="str">
        <f>IFERROR(INDEX([1]Produtos!$J:$J,MATCH(L379,[1]Produtos!$B:$B,0)), "-")</f>
        <v>LÍQUIDO</v>
      </c>
      <c r="T379" s="475"/>
      <c r="U379" s="270"/>
      <c r="V379" s="270"/>
      <c r="W379" s="270"/>
      <c r="X379" s="270"/>
      <c r="Y379" s="270"/>
      <c r="Z379" s="270"/>
      <c r="AA379" s="270"/>
      <c r="AB379" s="270"/>
      <c r="AC379" s="270"/>
      <c r="AD379" s="270"/>
      <c r="AE379" s="270"/>
      <c r="AF379" s="270"/>
      <c r="AG379" s="270"/>
      <c r="AH379" s="270"/>
      <c r="AI379" s="270"/>
      <c r="AJ379" s="270"/>
      <c r="AK379" s="270"/>
      <c r="AL379" s="270"/>
      <c r="AM379" s="663"/>
      <c r="AN379" s="663"/>
      <c r="AO379" s="708" t="str">
        <f>IF(OR(Table1[[#This Row],[Início Setup Envase]]="",Table1[[#This Row],[Final Setup Envase]]=""),"",Table1[[#This Row],[Final Setup Envase]]-Table1[[#This Row],[Início Setup Envase]])</f>
        <v/>
      </c>
      <c r="AP379" s="663"/>
      <c r="AQ379" s="663"/>
      <c r="AR379" s="270"/>
      <c r="AS379" s="270"/>
      <c r="AT379" s="270"/>
      <c r="AU379" s="270"/>
      <c r="AV379" s="270"/>
      <c r="AW379" s="270"/>
      <c r="AX379" s="270"/>
      <c r="AY379" s="270"/>
      <c r="AZ379" s="270"/>
      <c r="BA379" s="270">
        <f>IF(Table1[[#This Row],[Data de Início]]="","",YEAR(Table1[[#This Row],[Data de Início]]))</f>
        <v>2025</v>
      </c>
      <c r="BB379" s="270">
        <f>IF(Table1[[#This Row],[Data de Início]]="","",MONTH(Table1[[#This Row],[Data de Início]]))</f>
        <v>8</v>
      </c>
      <c r="BC379" s="270"/>
    </row>
    <row r="380" spans="2:55" ht="15" customHeight="1" x14ac:dyDescent="0.25">
      <c r="B380" s="470">
        <v>45890.631944444445</v>
      </c>
      <c r="C380" s="263">
        <v>45891.5</v>
      </c>
      <c r="D380" s="264" cm="1">
        <f t="array" ref="D380">IFERROR(HorasUteisFabrica2Turnos(B380,C380), "")</f>
        <v>6.8333333334303461</v>
      </c>
      <c r="E380" s="265">
        <f t="shared" si="5"/>
        <v>737.56097559928492</v>
      </c>
      <c r="F380" s="266" t="s">
        <v>378</v>
      </c>
      <c r="G380" s="266" t="s">
        <v>360</v>
      </c>
      <c r="H380" s="266"/>
      <c r="I380" s="269" t="s">
        <v>693</v>
      </c>
      <c r="J380" s="267" t="s">
        <v>15</v>
      </c>
      <c r="K380" s="268">
        <v>5040</v>
      </c>
      <c r="L380" s="269" t="s">
        <v>694</v>
      </c>
      <c r="M380" s="270" t="str">
        <f>IFERROR(INDEX([1]Produtos!$C:$C,MATCH(L380,[1]Produtos!$B:$B,0)), "-")</f>
        <v>HIDRATANTE GLOW NOITE DE GLAMOUR</v>
      </c>
      <c r="N380" s="510">
        <f>IFERROR(INDEX([1]Produtos!$E:$E,MATCH(L380,[1]Produtos!$B:$B,0)), "-")</f>
        <v>120</v>
      </c>
      <c r="O380" s="270" t="str">
        <f>IFERROR(INDEX([1]Produtos!$F:$F,MATCH(L380,[1]Produtos!$B:$B,0)), "-")</f>
        <v>ml</v>
      </c>
      <c r="P380" s="270" t="str">
        <f>IFERROR(INDEX([1]Produtos!$G:$G,MATCH(L380,[1]Produtos!$B:$B,0)), "-")</f>
        <v>DAPOP</v>
      </c>
      <c r="Q380" s="270" t="str">
        <f>IFERROR(INDEX([1]Produtos!$H:$H,MATCH(L380,[1]Produtos!$B:$B,0)), "-")</f>
        <v>CORPORAL</v>
      </c>
      <c r="R380" s="270" t="str">
        <f>IFERROR(INDEX([1]Produtos!$I:$I,MATCH(L380,[1]Produtos!$B:$B,0)), "-")</f>
        <v>CREME HIDRATANTE</v>
      </c>
      <c r="S380" s="270" t="str">
        <f>IFERROR(INDEX([1]Produtos!$J:$J,MATCH(L380,[1]Produtos!$B:$B,0)), "-")</f>
        <v>CREMOSO</v>
      </c>
      <c r="T380" s="475"/>
      <c r="U380" s="270"/>
      <c r="V380" s="270"/>
      <c r="W380" s="270"/>
      <c r="X380" s="270"/>
      <c r="Y380" s="270"/>
      <c r="Z380" s="270"/>
      <c r="AA380" s="270"/>
      <c r="AB380" s="270"/>
      <c r="AC380" s="270"/>
      <c r="AD380" s="270"/>
      <c r="AE380" s="270"/>
      <c r="AF380" s="270"/>
      <c r="AG380" s="270"/>
      <c r="AH380" s="270"/>
      <c r="AI380" s="270"/>
      <c r="AJ380" s="270"/>
      <c r="AK380" s="270"/>
      <c r="AL380" s="270"/>
      <c r="AM380" s="663"/>
      <c r="AN380" s="663"/>
      <c r="AO380" s="708" t="str">
        <f>IF(OR(Table1[[#This Row],[Início Setup Envase]]="",Table1[[#This Row],[Final Setup Envase]]=""),"",Table1[[#This Row],[Final Setup Envase]]-Table1[[#This Row],[Início Setup Envase]])</f>
        <v/>
      </c>
      <c r="AP380" s="663"/>
      <c r="AQ380" s="663"/>
      <c r="AR380" s="270"/>
      <c r="AS380" s="270"/>
      <c r="AT380" s="270"/>
      <c r="AU380" s="270"/>
      <c r="AV380" s="270"/>
      <c r="AW380" s="270"/>
      <c r="AX380" s="270"/>
      <c r="AY380" s="270"/>
      <c r="AZ380" s="270"/>
      <c r="BA380" s="270">
        <f>IF(Table1[[#This Row],[Data de Início]]="","",YEAR(Table1[[#This Row],[Data de Início]]))</f>
        <v>2025</v>
      </c>
      <c r="BB380" s="270">
        <f>IF(Table1[[#This Row],[Data de Início]]="","",MONTH(Table1[[#This Row],[Data de Início]]))</f>
        <v>8</v>
      </c>
      <c r="BC380" s="270"/>
    </row>
    <row r="381" spans="2:55" ht="15" customHeight="1" x14ac:dyDescent="0.25">
      <c r="B381" s="470">
        <v>45891.402777777781</v>
      </c>
      <c r="C381" s="263">
        <v>45891.555555555555</v>
      </c>
      <c r="D381" s="264" cm="1">
        <f t="array" ref="D381">IFERROR(HorasUteisFabrica2Turnos(B381,C381), "")</f>
        <v>2.6666666665696539</v>
      </c>
      <c r="E381" s="265">
        <f t="shared" si="5"/>
        <v>954.00000003470632</v>
      </c>
      <c r="F381" s="266" t="s">
        <v>377</v>
      </c>
      <c r="G381" s="266" t="s">
        <v>470</v>
      </c>
      <c r="H381" s="266"/>
      <c r="I381" s="269" t="s">
        <v>692</v>
      </c>
      <c r="J381" s="267" t="s">
        <v>15</v>
      </c>
      <c r="K381" s="268">
        <v>2544</v>
      </c>
      <c r="L381" s="269" t="s">
        <v>211</v>
      </c>
      <c r="M381" s="270" t="str">
        <f>IFERROR(INDEX([1]Produtos!$C:$C,MATCH(L381,[1]Produtos!$B:$B,0)), "-")</f>
        <v>BODY SPLASH AURORA IMPERIAL</v>
      </c>
      <c r="N381" s="510">
        <f>IFERROR(INDEX([1]Produtos!$E:$E,MATCH(L381,[1]Produtos!$B:$B,0)), "-")</f>
        <v>220</v>
      </c>
      <c r="O381" s="270" t="str">
        <f>IFERROR(INDEX([1]Produtos!$F:$F,MATCH(L381,[1]Produtos!$B:$B,0)), "-")</f>
        <v>ml</v>
      </c>
      <c r="P381" s="270" t="str">
        <f>IFERROR(INDEX([1]Produtos!$G:$G,MATCH(L381,[1]Produtos!$B:$B,0)), "-")</f>
        <v>MISS RÔSE</v>
      </c>
      <c r="Q381" s="270" t="str">
        <f>IFERROR(INDEX([1]Produtos!$H:$H,MATCH(L381,[1]Produtos!$B:$B,0)), "-")</f>
        <v>PERFUMARIA</v>
      </c>
      <c r="R381" s="270" t="str">
        <f>IFERROR(INDEX([1]Produtos!$I:$I,MATCH(L381,[1]Produtos!$B:$B,0)), "-")</f>
        <v>BODY SPLASH</v>
      </c>
      <c r="S381" s="270" t="str">
        <f>IFERROR(INDEX([1]Produtos!$J:$J,MATCH(L381,[1]Produtos!$B:$B,0)), "-")</f>
        <v>LÍQUIDO</v>
      </c>
      <c r="T381" s="475"/>
      <c r="U381" s="270"/>
      <c r="V381" s="270"/>
      <c r="W381" s="270"/>
      <c r="X381" s="270"/>
      <c r="Y381" s="270"/>
      <c r="Z381" s="270"/>
      <c r="AA381" s="270"/>
      <c r="AB381" s="270"/>
      <c r="AC381" s="270"/>
      <c r="AD381" s="270"/>
      <c r="AE381" s="270"/>
      <c r="AF381" s="270"/>
      <c r="AG381" s="270"/>
      <c r="AH381" s="270"/>
      <c r="AI381" s="270"/>
      <c r="AJ381" s="270"/>
      <c r="AK381" s="270"/>
      <c r="AL381" s="270"/>
      <c r="AM381" s="663"/>
      <c r="AN381" s="663"/>
      <c r="AO381" s="708" t="str">
        <f>IF(OR(Table1[[#This Row],[Início Setup Envase]]="",Table1[[#This Row],[Final Setup Envase]]=""),"",Table1[[#This Row],[Final Setup Envase]]-Table1[[#This Row],[Início Setup Envase]])</f>
        <v/>
      </c>
      <c r="AP381" s="663"/>
      <c r="AQ381" s="663"/>
      <c r="AR381" s="270"/>
      <c r="AS381" s="270"/>
      <c r="AT381" s="270"/>
      <c r="AU381" s="270"/>
      <c r="AV381" s="270"/>
      <c r="AW381" s="270"/>
      <c r="AX381" s="270"/>
      <c r="AY381" s="270"/>
      <c r="AZ381" s="270"/>
      <c r="BA381" s="270">
        <f>IF(Table1[[#This Row],[Data de Início]]="","",YEAR(Table1[[#This Row],[Data de Início]]))</f>
        <v>2025</v>
      </c>
      <c r="BB381" s="270">
        <f>IF(Table1[[#This Row],[Data de Início]]="","",MONTH(Table1[[#This Row],[Data de Início]]))</f>
        <v>8</v>
      </c>
      <c r="BC381" s="270"/>
    </row>
    <row r="382" spans="2:55" ht="15" customHeight="1" x14ac:dyDescent="0.25">
      <c r="B382" s="470">
        <v>45891.5</v>
      </c>
      <c r="C382" s="263">
        <v>45892.625</v>
      </c>
      <c r="D382" s="440" cm="1">
        <f t="array" ref="D382">IFERROR(HorasUteisFabrica2Turnos(B382,C382), "")</f>
        <v>11</v>
      </c>
      <c r="E382" s="265">
        <f t="shared" si="5"/>
        <v>458.18181818181819</v>
      </c>
      <c r="F382" s="266" t="s">
        <v>378</v>
      </c>
      <c r="G382" s="266" t="s">
        <v>360</v>
      </c>
      <c r="H382" s="266"/>
      <c r="I382" s="269" t="s">
        <v>695</v>
      </c>
      <c r="J382" s="267" t="s">
        <v>15</v>
      </c>
      <c r="K382" s="268">
        <v>5040</v>
      </c>
      <c r="L382" s="269" t="s">
        <v>694</v>
      </c>
      <c r="M382" s="270" t="str">
        <f>IFERROR(INDEX([1]Produtos!$C:$C,MATCH(L382,[1]Produtos!$B:$B,0)), "-")</f>
        <v>HIDRATANTE GLOW NOITE DE GLAMOUR</v>
      </c>
      <c r="N382" s="510">
        <f>IFERROR(INDEX([1]Produtos!$E:$E,MATCH(L382,[1]Produtos!$B:$B,0)), "-")</f>
        <v>120</v>
      </c>
      <c r="O382" s="270" t="str">
        <f>IFERROR(INDEX([1]Produtos!$F:$F,MATCH(L382,[1]Produtos!$B:$B,0)), "-")</f>
        <v>ml</v>
      </c>
      <c r="P382" s="270" t="str">
        <f>IFERROR(INDEX([1]Produtos!$G:$G,MATCH(L382,[1]Produtos!$B:$B,0)), "-")</f>
        <v>DAPOP</v>
      </c>
      <c r="Q382" s="270" t="str">
        <f>IFERROR(INDEX([1]Produtos!$H:$H,MATCH(L382,[1]Produtos!$B:$B,0)), "-")</f>
        <v>CORPORAL</v>
      </c>
      <c r="R382" s="270" t="str">
        <f>IFERROR(INDEX([1]Produtos!$I:$I,MATCH(L382,[1]Produtos!$B:$B,0)), "-")</f>
        <v>CREME HIDRATANTE</v>
      </c>
      <c r="S382" s="270" t="str">
        <f>IFERROR(INDEX([1]Produtos!$J:$J,MATCH(L382,[1]Produtos!$B:$B,0)), "-")</f>
        <v>CREMOSO</v>
      </c>
      <c r="T382" s="475"/>
      <c r="U382" s="270"/>
      <c r="V382" s="270"/>
      <c r="W382" s="270"/>
      <c r="X382" s="270"/>
      <c r="Y382" s="270"/>
      <c r="Z382" s="270"/>
      <c r="AA382" s="270"/>
      <c r="AB382" s="270"/>
      <c r="AC382" s="270"/>
      <c r="AD382" s="270"/>
      <c r="AE382" s="270"/>
      <c r="AF382" s="270"/>
      <c r="AG382" s="270"/>
      <c r="AH382" s="270"/>
      <c r="AI382" s="270"/>
      <c r="AJ382" s="270"/>
      <c r="AK382" s="270"/>
      <c r="AL382" s="270"/>
      <c r="AM382" s="663"/>
      <c r="AN382" s="663"/>
      <c r="AO382" s="708" t="str">
        <f>IF(OR(Table1[[#This Row],[Início Setup Envase]]="",Table1[[#This Row],[Final Setup Envase]]=""),"",Table1[[#This Row],[Final Setup Envase]]-Table1[[#This Row],[Início Setup Envase]])</f>
        <v/>
      </c>
      <c r="AP382" s="663"/>
      <c r="AQ382" s="663"/>
      <c r="AR382" s="270"/>
      <c r="AS382" s="270"/>
      <c r="AT382" s="270"/>
      <c r="AU382" s="270"/>
      <c r="AV382" s="270"/>
      <c r="AW382" s="270"/>
      <c r="AX382" s="270"/>
      <c r="AY382" s="270"/>
      <c r="AZ382" s="270"/>
      <c r="BA382" s="270">
        <f>IF(Table1[[#This Row],[Data de Início]]="","",YEAR(Table1[[#This Row],[Data de Início]]))</f>
        <v>2025</v>
      </c>
      <c r="BB382" s="270">
        <f>IF(Table1[[#This Row],[Data de Início]]="","",MONTH(Table1[[#This Row],[Data de Início]]))</f>
        <v>8</v>
      </c>
      <c r="BC382" s="270"/>
    </row>
    <row r="383" spans="2:55" ht="15" customHeight="1" x14ac:dyDescent="0.25">
      <c r="B383" s="470">
        <v>45891.555555555555</v>
      </c>
      <c r="C383" s="263">
        <v>45894.299305555556</v>
      </c>
      <c r="D383" s="440" cm="1">
        <f t="array" ref="D383">IFERROR(HorasUteisFabrica2Turnos(B383,C383), "")</f>
        <v>2.8500000000349246</v>
      </c>
      <c r="E383" s="265">
        <f t="shared" si="5"/>
        <v>909.47368419938141</v>
      </c>
      <c r="F383" s="266" t="s">
        <v>377</v>
      </c>
      <c r="G383" s="266" t="s">
        <v>470</v>
      </c>
      <c r="H383" s="266"/>
      <c r="I383" s="269" t="s">
        <v>698</v>
      </c>
      <c r="J383" s="267" t="s">
        <v>15</v>
      </c>
      <c r="K383" s="268">
        <v>2592</v>
      </c>
      <c r="L383" s="269" t="s">
        <v>211</v>
      </c>
      <c r="M383" s="270" t="str">
        <f>IFERROR(INDEX([1]Produtos!$C:$C,MATCH(L383,[1]Produtos!$B:$B,0)), "-")</f>
        <v>BODY SPLASH AURORA IMPERIAL</v>
      </c>
      <c r="N383" s="510">
        <f>IFERROR(INDEX([1]Produtos!$E:$E,MATCH(L383,[1]Produtos!$B:$B,0)), "-")</f>
        <v>220</v>
      </c>
      <c r="O383" s="270" t="str">
        <f>IFERROR(INDEX([1]Produtos!$F:$F,MATCH(L383,[1]Produtos!$B:$B,0)), "-")</f>
        <v>ml</v>
      </c>
      <c r="P383" s="270" t="str">
        <f>IFERROR(INDEX([1]Produtos!$G:$G,MATCH(L383,[1]Produtos!$B:$B,0)), "-")</f>
        <v>MISS RÔSE</v>
      </c>
      <c r="Q383" s="270" t="str">
        <f>IFERROR(INDEX([1]Produtos!$H:$H,MATCH(L383,[1]Produtos!$B:$B,0)), "-")</f>
        <v>PERFUMARIA</v>
      </c>
      <c r="R383" s="270" t="str">
        <f>IFERROR(INDEX([1]Produtos!$I:$I,MATCH(L383,[1]Produtos!$B:$B,0)), "-")</f>
        <v>BODY SPLASH</v>
      </c>
      <c r="S383" s="270" t="str">
        <f>IFERROR(INDEX([1]Produtos!$J:$J,MATCH(L383,[1]Produtos!$B:$B,0)), "-")</f>
        <v>LÍQUIDO</v>
      </c>
      <c r="T383" s="475"/>
      <c r="U383" s="270"/>
      <c r="V383" s="270"/>
      <c r="W383" s="270"/>
      <c r="X383" s="270"/>
      <c r="Y383" s="270"/>
      <c r="Z383" s="270"/>
      <c r="AA383" s="270"/>
      <c r="AB383" s="270"/>
      <c r="AC383" s="270"/>
      <c r="AD383" s="270"/>
      <c r="AE383" s="270"/>
      <c r="AF383" s="270"/>
      <c r="AG383" s="270"/>
      <c r="AH383" s="270"/>
      <c r="AI383" s="270"/>
      <c r="AJ383" s="270"/>
      <c r="AK383" s="270"/>
      <c r="AL383" s="270"/>
      <c r="AM383" s="663"/>
      <c r="AN383" s="663"/>
      <c r="AO383" s="708" t="str">
        <f>IF(OR(Table1[[#This Row],[Início Setup Envase]]="",Table1[[#This Row],[Final Setup Envase]]=""),"",Table1[[#This Row],[Final Setup Envase]]-Table1[[#This Row],[Início Setup Envase]])</f>
        <v/>
      </c>
      <c r="AP383" s="663"/>
      <c r="AQ383" s="663"/>
      <c r="AR383" s="270"/>
      <c r="AS383" s="270"/>
      <c r="AT383" s="270"/>
      <c r="AU383" s="270"/>
      <c r="AV383" s="270"/>
      <c r="AW383" s="270"/>
      <c r="AX383" s="270"/>
      <c r="AY383" s="270"/>
      <c r="AZ383" s="270"/>
      <c r="BA383" s="270">
        <f>IF(Table1[[#This Row],[Data de Início]]="","",YEAR(Table1[[#This Row],[Data de Início]]))</f>
        <v>2025</v>
      </c>
      <c r="BB383" s="270">
        <f>IF(Table1[[#This Row],[Data de Início]]="","",MONTH(Table1[[#This Row],[Data de Início]]))</f>
        <v>8</v>
      </c>
      <c r="BC383" s="270"/>
    </row>
    <row r="384" spans="2:55" ht="15" customHeight="1" x14ac:dyDescent="0.25">
      <c r="B384" s="471">
        <v>45893.398611111108</v>
      </c>
      <c r="C384" s="439">
        <v>45901.375</v>
      </c>
      <c r="D384" s="441" cm="1">
        <f t="array" ref="D384">IFERROR(HorasUteisFabrica2Turnos(B384,C384), "")</f>
        <v>46.000000000523869</v>
      </c>
      <c r="E384" s="265">
        <f t="shared" si="5"/>
        <v>21.739130434535035</v>
      </c>
      <c r="F384" s="266" t="s">
        <v>378</v>
      </c>
      <c r="G384" s="266" t="s">
        <v>712</v>
      </c>
      <c r="H384" s="266"/>
      <c r="I384" s="269" t="s">
        <v>734</v>
      </c>
      <c r="J384" s="267" t="s">
        <v>15</v>
      </c>
      <c r="K384" s="268">
        <v>1000</v>
      </c>
      <c r="L384" s="269" t="s">
        <v>726</v>
      </c>
      <c r="M384" s="270" t="str">
        <f>IFERROR(INDEX([1]Produtos!$C:$C,MATCH(L384,[1]Produtos!$B:$B,0)), "-")</f>
        <v>GELATINA CAPILAR CHEIRINHO DE TUTTI-FRUTTI</v>
      </c>
      <c r="N384" s="510">
        <f>IFERROR(INDEX([1]Produtos!$E:$E,MATCH(L384,[1]Produtos!$B:$B,0)), "-")</f>
        <v>500</v>
      </c>
      <c r="O384" s="270" t="str">
        <f>IFERROR(INDEX([1]Produtos!$F:$F,MATCH(L384,[1]Produtos!$B:$B,0)), "-")</f>
        <v>ml</v>
      </c>
      <c r="P384" s="270" t="str">
        <f>IFERROR(INDEX([1]Produtos!$G:$G,MATCH(L384,[1]Produtos!$B:$B,0)), "-")</f>
        <v>ISA BEAUTY</v>
      </c>
      <c r="Q384" s="270" t="str">
        <f>IFERROR(INDEX([1]Produtos!$H:$H,MATCH(L384,[1]Produtos!$B:$B,0)), "-")</f>
        <v>CAPILAR</v>
      </c>
      <c r="R384" s="270" t="str">
        <f>IFERROR(INDEX([1]Produtos!$I:$I,MATCH(L384,[1]Produtos!$B:$B,0)), "-")</f>
        <v>GEL</v>
      </c>
      <c r="S384" s="270" t="str">
        <f>IFERROR(INDEX([1]Produtos!$J:$J,MATCH(L384,[1]Produtos!$B:$B,0)), "-")</f>
        <v>CREMOSO</v>
      </c>
      <c r="T384" s="475"/>
      <c r="U384" s="270"/>
      <c r="V384" s="270"/>
      <c r="W384" s="270"/>
      <c r="X384" s="270"/>
      <c r="Y384" s="270"/>
      <c r="Z384" s="270"/>
      <c r="AA384" s="270"/>
      <c r="AB384" s="270"/>
      <c r="AC384" s="270"/>
      <c r="AD384" s="270"/>
      <c r="AE384" s="270"/>
      <c r="AF384" s="270"/>
      <c r="AG384" s="270"/>
      <c r="AH384" s="270"/>
      <c r="AI384" s="270"/>
      <c r="AJ384" s="270"/>
      <c r="AK384" s="270"/>
      <c r="AL384" s="270"/>
      <c r="AM384" s="663"/>
      <c r="AN384" s="663"/>
      <c r="AO384" s="708" t="str">
        <f>IF(OR(Table1[[#This Row],[Início Setup Envase]]="",Table1[[#This Row],[Final Setup Envase]]=""),"",Table1[[#This Row],[Final Setup Envase]]-Table1[[#This Row],[Início Setup Envase]])</f>
        <v/>
      </c>
      <c r="AP384" s="663"/>
      <c r="AQ384" s="663"/>
      <c r="AR384" s="270"/>
      <c r="AS384" s="270"/>
      <c r="AT384" s="270"/>
      <c r="AU384" s="270"/>
      <c r="AV384" s="270"/>
      <c r="AW384" s="270"/>
      <c r="AX384" s="270"/>
      <c r="AY384" s="270"/>
      <c r="AZ384" s="270"/>
      <c r="BA384" s="270">
        <f>IF(Table1[[#This Row],[Data de Início]]="","",YEAR(Table1[[#This Row],[Data de Início]]))</f>
        <v>2025</v>
      </c>
      <c r="BB384" s="270">
        <f>IF(Table1[[#This Row],[Data de Início]]="","",MONTH(Table1[[#This Row],[Data de Início]]))</f>
        <v>8</v>
      </c>
      <c r="BC384" s="270"/>
    </row>
    <row r="385" spans="2:55" ht="15" customHeight="1" x14ac:dyDescent="0.25">
      <c r="B385" s="470">
        <v>45894.299305555556</v>
      </c>
      <c r="C385" s="263">
        <v>45894.423611111109</v>
      </c>
      <c r="D385" s="264" cm="1">
        <f t="array" ref="D385">IFERROR(HorasUteisFabrica2Turnos(B385,C385), "")</f>
        <v>2.9833333332790062</v>
      </c>
      <c r="E385" s="265">
        <f t="shared" si="5"/>
        <v>901.00558660858633</v>
      </c>
      <c r="F385" s="266" t="s">
        <v>377</v>
      </c>
      <c r="G385" s="266" t="s">
        <v>470</v>
      </c>
      <c r="H385" s="266"/>
      <c r="I385" s="269" t="s">
        <v>699</v>
      </c>
      <c r="J385" s="267" t="s">
        <v>15</v>
      </c>
      <c r="K385" s="268">
        <v>2688</v>
      </c>
      <c r="L385" s="269" t="s">
        <v>211</v>
      </c>
      <c r="M385" s="270" t="str">
        <f>IFERROR(INDEX([1]Produtos!$C:$C,MATCH(L385,[1]Produtos!$B:$B,0)), "-")</f>
        <v>BODY SPLASH AURORA IMPERIAL</v>
      </c>
      <c r="N385" s="510">
        <f>IFERROR(INDEX([1]Produtos!$E:$E,MATCH(L385,[1]Produtos!$B:$B,0)), "-")</f>
        <v>220</v>
      </c>
      <c r="O385" s="270" t="str">
        <f>IFERROR(INDEX([1]Produtos!$F:$F,MATCH(L385,[1]Produtos!$B:$B,0)), "-")</f>
        <v>ml</v>
      </c>
      <c r="P385" s="270" t="str">
        <f>IFERROR(INDEX([1]Produtos!$G:$G,MATCH(L385,[1]Produtos!$B:$B,0)), "-")</f>
        <v>MISS RÔSE</v>
      </c>
      <c r="Q385" s="270" t="str">
        <f>IFERROR(INDEX([1]Produtos!$H:$H,MATCH(L385,[1]Produtos!$B:$B,0)), "-")</f>
        <v>PERFUMARIA</v>
      </c>
      <c r="R385" s="270" t="str">
        <f>IFERROR(INDEX([1]Produtos!$I:$I,MATCH(L385,[1]Produtos!$B:$B,0)), "-")</f>
        <v>BODY SPLASH</v>
      </c>
      <c r="S385" s="270" t="str">
        <f>IFERROR(INDEX([1]Produtos!$J:$J,MATCH(L385,[1]Produtos!$B:$B,0)), "-")</f>
        <v>LÍQUIDO</v>
      </c>
      <c r="T385" s="475"/>
      <c r="U385" s="270"/>
      <c r="V385" s="270"/>
      <c r="W385" s="270"/>
      <c r="X385" s="270"/>
      <c r="Y385" s="270"/>
      <c r="Z385" s="270"/>
      <c r="AA385" s="270"/>
      <c r="AB385" s="270"/>
      <c r="AC385" s="270"/>
      <c r="AD385" s="270"/>
      <c r="AE385" s="270"/>
      <c r="AF385" s="270"/>
      <c r="AG385" s="270"/>
      <c r="AH385" s="270"/>
      <c r="AI385" s="270"/>
      <c r="AJ385" s="270"/>
      <c r="AK385" s="270"/>
      <c r="AL385" s="270"/>
      <c r="AM385" s="663"/>
      <c r="AN385" s="663"/>
      <c r="AO385" s="708" t="str">
        <f>IF(OR(Table1[[#This Row],[Início Setup Envase]]="",Table1[[#This Row],[Final Setup Envase]]=""),"",Table1[[#This Row],[Final Setup Envase]]-Table1[[#This Row],[Início Setup Envase]])</f>
        <v/>
      </c>
      <c r="AP385" s="663"/>
      <c r="AQ385" s="663"/>
      <c r="AR385" s="270"/>
      <c r="AS385" s="270"/>
      <c r="AT385" s="270"/>
      <c r="AU385" s="270"/>
      <c r="AV385" s="270"/>
      <c r="AW385" s="270"/>
      <c r="AX385" s="270"/>
      <c r="AY385" s="270"/>
      <c r="AZ385" s="270"/>
      <c r="BA385" s="270">
        <f>IF(Table1[[#This Row],[Data de Início]]="","",YEAR(Table1[[#This Row],[Data de Início]]))</f>
        <v>2025</v>
      </c>
      <c r="BB385" s="270">
        <f>IF(Table1[[#This Row],[Data de Início]]="","",MONTH(Table1[[#This Row],[Data de Início]]))</f>
        <v>8</v>
      </c>
      <c r="BC385" s="270"/>
    </row>
    <row r="386" spans="2:55" ht="15" customHeight="1" x14ac:dyDescent="0.25">
      <c r="B386" s="470">
        <v>45894.511805555558</v>
      </c>
      <c r="C386" s="263">
        <v>45894.597222222219</v>
      </c>
      <c r="D386" s="264" cm="1">
        <f t="array" ref="D386">IFERROR(HorasUteisFabrica2Turnos(B386,C386), "")</f>
        <v>2.0499999998719431</v>
      </c>
      <c r="E386" s="265">
        <f t="shared" si="5"/>
        <v>1240.9756098336172</v>
      </c>
      <c r="F386" s="266" t="s">
        <v>377</v>
      </c>
      <c r="G386" s="266" t="s">
        <v>470</v>
      </c>
      <c r="H386" s="266"/>
      <c r="I386" s="269" t="s">
        <v>700</v>
      </c>
      <c r="J386" s="267" t="s">
        <v>15</v>
      </c>
      <c r="K386" s="268">
        <v>2544</v>
      </c>
      <c r="L386" s="269" t="s">
        <v>214</v>
      </c>
      <c r="M386" s="270" t="str">
        <f>IFERROR(INDEX([1]Produtos!$C:$C,MATCH(L386,[1]Produtos!$B:$B,0)), "-")</f>
        <v>BODY SPLASH ECLIPSE DOURADO</v>
      </c>
      <c r="N386" s="510">
        <f>IFERROR(INDEX([1]Produtos!$E:$E,MATCH(L386,[1]Produtos!$B:$B,0)), "-")</f>
        <v>220</v>
      </c>
      <c r="O386" s="270" t="str">
        <f>IFERROR(INDEX([1]Produtos!$F:$F,MATCH(L386,[1]Produtos!$B:$B,0)), "-")</f>
        <v>ml</v>
      </c>
      <c r="P386" s="270" t="str">
        <f>IFERROR(INDEX([1]Produtos!$G:$G,MATCH(L386,[1]Produtos!$B:$B,0)), "-")</f>
        <v>MISS RÔSE</v>
      </c>
      <c r="Q386" s="270" t="str">
        <f>IFERROR(INDEX([1]Produtos!$H:$H,MATCH(L386,[1]Produtos!$B:$B,0)), "-")</f>
        <v>PERFUMARIA</v>
      </c>
      <c r="R386" s="270" t="str">
        <f>IFERROR(INDEX([1]Produtos!$I:$I,MATCH(L386,[1]Produtos!$B:$B,0)), "-")</f>
        <v>BODY SPLASH</v>
      </c>
      <c r="S386" s="270" t="str">
        <f>IFERROR(INDEX([1]Produtos!$J:$J,MATCH(L386,[1]Produtos!$B:$B,0)), "-")</f>
        <v>LÍQUIDO</v>
      </c>
      <c r="T386" s="475"/>
      <c r="U386" s="270"/>
      <c r="V386" s="270"/>
      <c r="W386" s="270"/>
      <c r="X386" s="270"/>
      <c r="Y386" s="270"/>
      <c r="Z386" s="270"/>
      <c r="AA386" s="270"/>
      <c r="AB386" s="270"/>
      <c r="AC386" s="270"/>
      <c r="AD386" s="270"/>
      <c r="AE386" s="270"/>
      <c r="AF386" s="270"/>
      <c r="AG386" s="270"/>
      <c r="AH386" s="270"/>
      <c r="AI386" s="270"/>
      <c r="AJ386" s="270"/>
      <c r="AK386" s="270"/>
      <c r="AL386" s="270"/>
      <c r="AM386" s="663"/>
      <c r="AN386" s="663"/>
      <c r="AO386" s="708" t="str">
        <f>IF(OR(Table1[[#This Row],[Início Setup Envase]]="",Table1[[#This Row],[Final Setup Envase]]=""),"",Table1[[#This Row],[Final Setup Envase]]-Table1[[#This Row],[Início Setup Envase]])</f>
        <v/>
      </c>
      <c r="AP386" s="663"/>
      <c r="AQ386" s="663"/>
      <c r="AR386" s="270"/>
      <c r="AS386" s="270"/>
      <c r="AT386" s="270"/>
      <c r="AU386" s="270"/>
      <c r="AV386" s="270"/>
      <c r="AW386" s="270"/>
      <c r="AX386" s="270"/>
      <c r="AY386" s="270"/>
      <c r="AZ386" s="270"/>
      <c r="BA386" s="270">
        <f>IF(Table1[[#This Row],[Data de Início]]="","",YEAR(Table1[[#This Row],[Data de Início]]))</f>
        <v>2025</v>
      </c>
      <c r="BB386" s="270">
        <f>IF(Table1[[#This Row],[Data de Início]]="","",MONTH(Table1[[#This Row],[Data de Início]]))</f>
        <v>8</v>
      </c>
      <c r="BC386" s="270"/>
    </row>
    <row r="387" spans="2:55" ht="15" customHeight="1" x14ac:dyDescent="0.25">
      <c r="B387" s="470">
        <v>45894.597222222219</v>
      </c>
      <c r="C387" s="263">
        <v>45894.6875</v>
      </c>
      <c r="D387" s="264" cm="1">
        <f t="array" ref="D387">IFERROR(HorasUteisFabrica2Turnos(B387,C387), "")</f>
        <v>2.1666666667442769</v>
      </c>
      <c r="E387" s="265">
        <f t="shared" ref="E387:E450" si="6">IFERROR(K387/D387, "")</f>
        <v>1174.1538461117877</v>
      </c>
      <c r="F387" s="266" t="s">
        <v>377</v>
      </c>
      <c r="G387" s="266" t="s">
        <v>470</v>
      </c>
      <c r="H387" s="266"/>
      <c r="I387" s="269" t="s">
        <v>701</v>
      </c>
      <c r="J387" s="267" t="s">
        <v>15</v>
      </c>
      <c r="K387" s="268">
        <v>2544</v>
      </c>
      <c r="L387" s="269" t="s">
        <v>214</v>
      </c>
      <c r="M387" s="270" t="str">
        <f>IFERROR(INDEX([1]Produtos!$C:$C,MATCH(L387,[1]Produtos!$B:$B,0)), "-")</f>
        <v>BODY SPLASH ECLIPSE DOURADO</v>
      </c>
      <c r="N387" s="510">
        <f>IFERROR(INDEX([1]Produtos!$E:$E,MATCH(L387,[1]Produtos!$B:$B,0)), "-")</f>
        <v>220</v>
      </c>
      <c r="O387" s="270" t="str">
        <f>IFERROR(INDEX([1]Produtos!$F:$F,MATCH(L387,[1]Produtos!$B:$B,0)), "-")</f>
        <v>ml</v>
      </c>
      <c r="P387" s="270" t="str">
        <f>IFERROR(INDEX([1]Produtos!$G:$G,MATCH(L387,[1]Produtos!$B:$B,0)), "-")</f>
        <v>MISS RÔSE</v>
      </c>
      <c r="Q387" s="270" t="str">
        <f>IFERROR(INDEX([1]Produtos!$H:$H,MATCH(L387,[1]Produtos!$B:$B,0)), "-")</f>
        <v>PERFUMARIA</v>
      </c>
      <c r="R387" s="270" t="str">
        <f>IFERROR(INDEX([1]Produtos!$I:$I,MATCH(L387,[1]Produtos!$B:$B,0)), "-")</f>
        <v>BODY SPLASH</v>
      </c>
      <c r="S387" s="270" t="str">
        <f>IFERROR(INDEX([1]Produtos!$J:$J,MATCH(L387,[1]Produtos!$B:$B,0)), "-")</f>
        <v>LÍQUIDO</v>
      </c>
      <c r="T387" s="475"/>
      <c r="U387" s="270"/>
      <c r="V387" s="270"/>
      <c r="W387" s="270"/>
      <c r="X387" s="270"/>
      <c r="Y387" s="270"/>
      <c r="Z387" s="270"/>
      <c r="AA387" s="270"/>
      <c r="AB387" s="270"/>
      <c r="AC387" s="270"/>
      <c r="AD387" s="270"/>
      <c r="AE387" s="270"/>
      <c r="AF387" s="270"/>
      <c r="AG387" s="270"/>
      <c r="AH387" s="270"/>
      <c r="AI387" s="270"/>
      <c r="AJ387" s="270"/>
      <c r="AK387" s="270"/>
      <c r="AL387" s="270"/>
      <c r="AM387" s="663"/>
      <c r="AN387" s="663"/>
      <c r="AO387" s="708" t="str">
        <f>IF(OR(Table1[[#This Row],[Início Setup Envase]]="",Table1[[#This Row],[Final Setup Envase]]=""),"",Table1[[#This Row],[Final Setup Envase]]-Table1[[#This Row],[Início Setup Envase]])</f>
        <v/>
      </c>
      <c r="AP387" s="663"/>
      <c r="AQ387" s="663"/>
      <c r="AR387" s="270"/>
      <c r="AS387" s="270"/>
      <c r="AT387" s="270"/>
      <c r="AU387" s="270"/>
      <c r="AV387" s="270"/>
      <c r="AW387" s="270"/>
      <c r="AX387" s="270"/>
      <c r="AY387" s="270"/>
      <c r="AZ387" s="270"/>
      <c r="BA387" s="270">
        <f>IF(Table1[[#This Row],[Data de Início]]="","",YEAR(Table1[[#This Row],[Data de Início]]))</f>
        <v>2025</v>
      </c>
      <c r="BB387" s="270">
        <f>IF(Table1[[#This Row],[Data de Início]]="","",MONTH(Table1[[#This Row],[Data de Início]]))</f>
        <v>8</v>
      </c>
      <c r="BC387" s="270"/>
    </row>
    <row r="388" spans="2:55" ht="15" customHeight="1" x14ac:dyDescent="0.25">
      <c r="B388" s="470">
        <v>45894.625</v>
      </c>
      <c r="C388" s="263">
        <v>45895.572222222225</v>
      </c>
      <c r="D388" s="264" cm="1">
        <f t="array" ref="D388">IFERROR(HorasUteisFabrica2Turnos(B388,C388), "")</f>
        <v>7.7333333335118368</v>
      </c>
      <c r="E388" s="265">
        <f t="shared" si="6"/>
        <v>651.72413791599115</v>
      </c>
      <c r="F388" s="266" t="s">
        <v>378</v>
      </c>
      <c r="G388" s="266" t="s">
        <v>360</v>
      </c>
      <c r="H388" s="266"/>
      <c r="I388" s="269" t="s">
        <v>696</v>
      </c>
      <c r="J388" s="267" t="s">
        <v>15</v>
      </c>
      <c r="K388" s="268">
        <v>5040</v>
      </c>
      <c r="L388" s="269" t="s">
        <v>694</v>
      </c>
      <c r="M388" s="270" t="str">
        <f>IFERROR(INDEX([1]Produtos!$C:$C,MATCH(L388,[1]Produtos!$B:$B,0)), "-")</f>
        <v>HIDRATANTE GLOW NOITE DE GLAMOUR</v>
      </c>
      <c r="N388" s="510">
        <f>IFERROR(INDEX([1]Produtos!$E:$E,MATCH(L388,[1]Produtos!$B:$B,0)), "-")</f>
        <v>120</v>
      </c>
      <c r="O388" s="270" t="str">
        <f>IFERROR(INDEX([1]Produtos!$F:$F,MATCH(L388,[1]Produtos!$B:$B,0)), "-")</f>
        <v>ml</v>
      </c>
      <c r="P388" s="270" t="str">
        <f>IFERROR(INDEX([1]Produtos!$G:$G,MATCH(L388,[1]Produtos!$B:$B,0)), "-")</f>
        <v>DAPOP</v>
      </c>
      <c r="Q388" s="270" t="str">
        <f>IFERROR(INDEX([1]Produtos!$H:$H,MATCH(L388,[1]Produtos!$B:$B,0)), "-")</f>
        <v>CORPORAL</v>
      </c>
      <c r="R388" s="270" t="str">
        <f>IFERROR(INDEX([1]Produtos!$I:$I,MATCH(L388,[1]Produtos!$B:$B,0)), "-")</f>
        <v>CREME HIDRATANTE</v>
      </c>
      <c r="S388" s="270" t="str">
        <f>IFERROR(INDEX([1]Produtos!$J:$J,MATCH(L388,[1]Produtos!$B:$B,0)), "-")</f>
        <v>CREMOSO</v>
      </c>
      <c r="T388" s="475"/>
      <c r="U388" s="270"/>
      <c r="V388" s="270"/>
      <c r="W388" s="270"/>
      <c r="X388" s="270"/>
      <c r="Y388" s="270"/>
      <c r="Z388" s="270"/>
      <c r="AA388" s="270"/>
      <c r="AB388" s="270"/>
      <c r="AC388" s="270"/>
      <c r="AD388" s="270"/>
      <c r="AE388" s="270"/>
      <c r="AF388" s="270"/>
      <c r="AG388" s="270"/>
      <c r="AH388" s="270"/>
      <c r="AI388" s="270"/>
      <c r="AJ388" s="270"/>
      <c r="AK388" s="270"/>
      <c r="AL388" s="270"/>
      <c r="AM388" s="663"/>
      <c r="AN388" s="663"/>
      <c r="AO388" s="708" t="str">
        <f>IF(OR(Table1[[#This Row],[Início Setup Envase]]="",Table1[[#This Row],[Final Setup Envase]]=""),"",Table1[[#This Row],[Final Setup Envase]]-Table1[[#This Row],[Início Setup Envase]])</f>
        <v/>
      </c>
      <c r="AP388" s="663"/>
      <c r="AQ388" s="663"/>
      <c r="AR388" s="270"/>
      <c r="AS388" s="270"/>
      <c r="AT388" s="270"/>
      <c r="AU388" s="270"/>
      <c r="AV388" s="270"/>
      <c r="AW388" s="270"/>
      <c r="AX388" s="270"/>
      <c r="AY388" s="270"/>
      <c r="AZ388" s="270"/>
      <c r="BA388" s="270">
        <f>IF(Table1[[#This Row],[Data de Início]]="","",YEAR(Table1[[#This Row],[Data de Início]]))</f>
        <v>2025</v>
      </c>
      <c r="BB388" s="270">
        <f>IF(Table1[[#This Row],[Data de Início]]="","",MONTH(Table1[[#This Row],[Data de Início]]))</f>
        <v>8</v>
      </c>
      <c r="BC388" s="270"/>
    </row>
    <row r="389" spans="2:55" ht="15" customHeight="1" x14ac:dyDescent="0.25">
      <c r="B389" s="470">
        <v>45894.6875</v>
      </c>
      <c r="C389" s="263">
        <v>45895.375</v>
      </c>
      <c r="D389" s="264" cm="1">
        <f t="array" ref="D389">IFERROR(HorasUteisFabrica2Turnos(B389,C389), "")</f>
        <v>2.5000000001164153</v>
      </c>
      <c r="E389" s="265">
        <f t="shared" si="6"/>
        <v>1017.5999999526143</v>
      </c>
      <c r="F389" s="266" t="s">
        <v>377</v>
      </c>
      <c r="G389" s="266" t="s">
        <v>470</v>
      </c>
      <c r="H389" s="266"/>
      <c r="I389" s="269" t="s">
        <v>702</v>
      </c>
      <c r="J389" s="267" t="s">
        <v>15</v>
      </c>
      <c r="K389" s="268">
        <v>2544</v>
      </c>
      <c r="L389" s="269" t="s">
        <v>214</v>
      </c>
      <c r="M389" s="270" t="str">
        <f>IFERROR(INDEX([1]Produtos!$C:$C,MATCH(L389,[1]Produtos!$B:$B,0)), "-")</f>
        <v>BODY SPLASH ECLIPSE DOURADO</v>
      </c>
      <c r="N389" s="510">
        <f>IFERROR(INDEX([1]Produtos!$E:$E,MATCH(L389,[1]Produtos!$B:$B,0)), "-")</f>
        <v>220</v>
      </c>
      <c r="O389" s="270" t="str">
        <f>IFERROR(INDEX([1]Produtos!$F:$F,MATCH(L389,[1]Produtos!$B:$B,0)), "-")</f>
        <v>ml</v>
      </c>
      <c r="P389" s="270" t="str">
        <f>IFERROR(INDEX([1]Produtos!$G:$G,MATCH(L389,[1]Produtos!$B:$B,0)), "-")</f>
        <v>MISS RÔSE</v>
      </c>
      <c r="Q389" s="270" t="str">
        <f>IFERROR(INDEX([1]Produtos!$H:$H,MATCH(L389,[1]Produtos!$B:$B,0)), "-")</f>
        <v>PERFUMARIA</v>
      </c>
      <c r="R389" s="270" t="str">
        <f>IFERROR(INDEX([1]Produtos!$I:$I,MATCH(L389,[1]Produtos!$B:$B,0)), "-")</f>
        <v>BODY SPLASH</v>
      </c>
      <c r="S389" s="270" t="str">
        <f>IFERROR(INDEX([1]Produtos!$J:$J,MATCH(L389,[1]Produtos!$B:$B,0)), "-")</f>
        <v>LÍQUIDO</v>
      </c>
      <c r="T389" s="475"/>
      <c r="U389" s="270"/>
      <c r="V389" s="270"/>
      <c r="W389" s="270"/>
      <c r="X389" s="270"/>
      <c r="Y389" s="270"/>
      <c r="Z389" s="270"/>
      <c r="AA389" s="270"/>
      <c r="AB389" s="270"/>
      <c r="AC389" s="270"/>
      <c r="AD389" s="270"/>
      <c r="AE389" s="270"/>
      <c r="AF389" s="270"/>
      <c r="AG389" s="270"/>
      <c r="AH389" s="270"/>
      <c r="AI389" s="270"/>
      <c r="AJ389" s="270"/>
      <c r="AK389" s="270"/>
      <c r="AL389" s="270"/>
      <c r="AM389" s="663"/>
      <c r="AN389" s="663"/>
      <c r="AO389" s="708" t="str">
        <f>IF(OR(Table1[[#This Row],[Início Setup Envase]]="",Table1[[#This Row],[Final Setup Envase]]=""),"",Table1[[#This Row],[Final Setup Envase]]-Table1[[#This Row],[Início Setup Envase]])</f>
        <v/>
      </c>
      <c r="AP389" s="663"/>
      <c r="AQ389" s="663"/>
      <c r="AR389" s="270"/>
      <c r="AS389" s="270"/>
      <c r="AT389" s="270"/>
      <c r="AU389" s="270"/>
      <c r="AV389" s="270"/>
      <c r="AW389" s="270"/>
      <c r="AX389" s="270"/>
      <c r="AY389" s="270"/>
      <c r="AZ389" s="270"/>
      <c r="BA389" s="270">
        <f>IF(Table1[[#This Row],[Data de Início]]="","",YEAR(Table1[[#This Row],[Data de Início]]))</f>
        <v>2025</v>
      </c>
      <c r="BB389" s="270">
        <f>IF(Table1[[#This Row],[Data de Início]]="","",MONTH(Table1[[#This Row],[Data de Início]]))</f>
        <v>8</v>
      </c>
      <c r="BC389" s="270"/>
    </row>
    <row r="390" spans="2:55" ht="15" customHeight="1" x14ac:dyDescent="0.25">
      <c r="B390" s="470">
        <v>45895.375</v>
      </c>
      <c r="C390" s="263">
        <v>45895.698611111111</v>
      </c>
      <c r="D390" s="264" cm="1">
        <f t="array" ref="D390">IFERROR(HorasUteisFabrica2Turnos(B390,C390), "")</f>
        <v>6.7666666666627862</v>
      </c>
      <c r="E390" s="265">
        <f t="shared" si="6"/>
        <v>375.96059113322053</v>
      </c>
      <c r="F390" s="266" t="s">
        <v>377</v>
      </c>
      <c r="G390" s="266" t="s">
        <v>470</v>
      </c>
      <c r="H390" s="266"/>
      <c r="I390" s="269" t="s">
        <v>703</v>
      </c>
      <c r="J390" s="267" t="s">
        <v>15</v>
      </c>
      <c r="K390" s="268">
        <v>2544</v>
      </c>
      <c r="L390" s="269" t="s">
        <v>214</v>
      </c>
      <c r="M390" s="270" t="str">
        <f>IFERROR(INDEX([1]Produtos!$C:$C,MATCH(L390,[1]Produtos!$B:$B,0)), "-")</f>
        <v>BODY SPLASH ECLIPSE DOURADO</v>
      </c>
      <c r="N390" s="510">
        <f>IFERROR(INDEX([1]Produtos!$E:$E,MATCH(L390,[1]Produtos!$B:$B,0)), "-")</f>
        <v>220</v>
      </c>
      <c r="O390" s="270" t="str">
        <f>IFERROR(INDEX([1]Produtos!$F:$F,MATCH(L390,[1]Produtos!$B:$B,0)), "-")</f>
        <v>ml</v>
      </c>
      <c r="P390" s="270" t="str">
        <f>IFERROR(INDEX([1]Produtos!$G:$G,MATCH(L390,[1]Produtos!$B:$B,0)), "-")</f>
        <v>MISS RÔSE</v>
      </c>
      <c r="Q390" s="270" t="str">
        <f>IFERROR(INDEX([1]Produtos!$H:$H,MATCH(L390,[1]Produtos!$B:$B,0)), "-")</f>
        <v>PERFUMARIA</v>
      </c>
      <c r="R390" s="270" t="str">
        <f>IFERROR(INDEX([1]Produtos!$I:$I,MATCH(L390,[1]Produtos!$B:$B,0)), "-")</f>
        <v>BODY SPLASH</v>
      </c>
      <c r="S390" s="270" t="str">
        <f>IFERROR(INDEX([1]Produtos!$J:$J,MATCH(L390,[1]Produtos!$B:$B,0)), "-")</f>
        <v>LÍQUIDO</v>
      </c>
      <c r="T390" s="475"/>
      <c r="U390" s="270"/>
      <c r="V390" s="270"/>
      <c r="W390" s="270"/>
      <c r="X390" s="270"/>
      <c r="Y390" s="270"/>
      <c r="Z390" s="270"/>
      <c r="AA390" s="270"/>
      <c r="AB390" s="270"/>
      <c r="AC390" s="270"/>
      <c r="AD390" s="270"/>
      <c r="AE390" s="270"/>
      <c r="AF390" s="270"/>
      <c r="AG390" s="270"/>
      <c r="AH390" s="270"/>
      <c r="AI390" s="270"/>
      <c r="AJ390" s="270"/>
      <c r="AK390" s="270"/>
      <c r="AL390" s="270"/>
      <c r="AM390" s="663"/>
      <c r="AN390" s="663"/>
      <c r="AO390" s="708" t="str">
        <f>IF(OR(Table1[[#This Row],[Início Setup Envase]]="",Table1[[#This Row],[Final Setup Envase]]=""),"",Table1[[#This Row],[Final Setup Envase]]-Table1[[#This Row],[Início Setup Envase]])</f>
        <v/>
      </c>
      <c r="AP390" s="663"/>
      <c r="AQ390" s="663"/>
      <c r="AR390" s="270"/>
      <c r="AS390" s="270"/>
      <c r="AT390" s="270"/>
      <c r="AU390" s="270"/>
      <c r="AV390" s="270"/>
      <c r="AW390" s="270"/>
      <c r="AX390" s="270"/>
      <c r="AY390" s="270"/>
      <c r="AZ390" s="270"/>
      <c r="BA390" s="270">
        <f>IF(Table1[[#This Row],[Data de Início]]="","",YEAR(Table1[[#This Row],[Data de Início]]))</f>
        <v>2025</v>
      </c>
      <c r="BB390" s="270">
        <f>IF(Table1[[#This Row],[Data de Início]]="","",MONTH(Table1[[#This Row],[Data de Início]]))</f>
        <v>8</v>
      </c>
      <c r="BC390" s="270"/>
    </row>
    <row r="391" spans="2:55" ht="15" customHeight="1" x14ac:dyDescent="0.25">
      <c r="B391" s="470">
        <v>45895.572222222225</v>
      </c>
      <c r="C391" s="263">
        <v>45896.493055555555</v>
      </c>
      <c r="D391" s="264" cm="1">
        <f t="array" ref="D391">IFERROR(HorasUteisFabrica2Turnos(B391,C391), "")</f>
        <v>8.1000000000349246</v>
      </c>
      <c r="E391" s="265">
        <f t="shared" si="6"/>
        <v>622.22222221953939</v>
      </c>
      <c r="F391" s="266" t="s">
        <v>378</v>
      </c>
      <c r="G391" s="266" t="s">
        <v>360</v>
      </c>
      <c r="H391" s="266"/>
      <c r="I391" s="269" t="s">
        <v>697</v>
      </c>
      <c r="J391" s="267" t="s">
        <v>15</v>
      </c>
      <c r="K391" s="268">
        <v>5040</v>
      </c>
      <c r="L391" s="269" t="s">
        <v>694</v>
      </c>
      <c r="M391" s="270" t="str">
        <f>IFERROR(INDEX([1]Produtos!$C:$C,MATCH(L391,[1]Produtos!$B:$B,0)), "-")</f>
        <v>HIDRATANTE GLOW NOITE DE GLAMOUR</v>
      </c>
      <c r="N391" s="510">
        <f>IFERROR(INDEX([1]Produtos!$E:$E,MATCH(L391,[1]Produtos!$B:$B,0)), "-")</f>
        <v>120</v>
      </c>
      <c r="O391" s="270" t="str">
        <f>IFERROR(INDEX([1]Produtos!$F:$F,MATCH(L391,[1]Produtos!$B:$B,0)), "-")</f>
        <v>ml</v>
      </c>
      <c r="P391" s="270" t="str">
        <f>IFERROR(INDEX([1]Produtos!$G:$G,MATCH(L391,[1]Produtos!$B:$B,0)), "-")</f>
        <v>DAPOP</v>
      </c>
      <c r="Q391" s="270" t="str">
        <f>IFERROR(INDEX([1]Produtos!$H:$H,MATCH(L391,[1]Produtos!$B:$B,0)), "-")</f>
        <v>CORPORAL</v>
      </c>
      <c r="R391" s="270" t="str">
        <f>IFERROR(INDEX([1]Produtos!$I:$I,MATCH(L391,[1]Produtos!$B:$B,0)), "-")</f>
        <v>CREME HIDRATANTE</v>
      </c>
      <c r="S391" s="270" t="str">
        <f>IFERROR(INDEX([1]Produtos!$J:$J,MATCH(L391,[1]Produtos!$B:$B,0)), "-")</f>
        <v>CREMOSO</v>
      </c>
      <c r="T391" s="475"/>
      <c r="U391" s="270"/>
      <c r="V391" s="270"/>
      <c r="W391" s="270"/>
      <c r="X391" s="270"/>
      <c r="Y391" s="270"/>
      <c r="Z391" s="270"/>
      <c r="AA391" s="270"/>
      <c r="AB391" s="270"/>
      <c r="AC391" s="270"/>
      <c r="AD391" s="270"/>
      <c r="AE391" s="270"/>
      <c r="AF391" s="270"/>
      <c r="AG391" s="270"/>
      <c r="AH391" s="270"/>
      <c r="AI391" s="270"/>
      <c r="AJ391" s="270"/>
      <c r="AK391" s="270"/>
      <c r="AL391" s="270"/>
      <c r="AM391" s="663"/>
      <c r="AN391" s="663"/>
      <c r="AO391" s="708" t="str">
        <f>IF(OR(Table1[[#This Row],[Início Setup Envase]]="",Table1[[#This Row],[Final Setup Envase]]=""),"",Table1[[#This Row],[Final Setup Envase]]-Table1[[#This Row],[Início Setup Envase]])</f>
        <v/>
      </c>
      <c r="AP391" s="663"/>
      <c r="AQ391" s="663"/>
      <c r="AR391" s="270"/>
      <c r="AS391" s="270"/>
      <c r="AT391" s="270"/>
      <c r="AU391" s="270"/>
      <c r="AV391" s="270"/>
      <c r="AW391" s="270"/>
      <c r="AX391" s="270"/>
      <c r="AY391" s="270"/>
      <c r="AZ391" s="270"/>
      <c r="BA391" s="270">
        <f>IF(Table1[[#This Row],[Data de Início]]="","",YEAR(Table1[[#This Row],[Data de Início]]))</f>
        <v>2025</v>
      </c>
      <c r="BB391" s="270">
        <f>IF(Table1[[#This Row],[Data de Início]]="","",MONTH(Table1[[#This Row],[Data de Início]]))</f>
        <v>8</v>
      </c>
      <c r="BC391" s="270"/>
    </row>
    <row r="392" spans="2:55" ht="15" customHeight="1" x14ac:dyDescent="0.25">
      <c r="B392" s="470">
        <v>45895.698611111111</v>
      </c>
      <c r="C392" s="263">
        <v>45896.340277777781</v>
      </c>
      <c r="D392" s="264" cm="1">
        <f t="array" ref="D392">IFERROR(HorasUteisFabrica2Turnos(B392,C392), "")</f>
        <v>1.400000000197906</v>
      </c>
      <c r="E392" s="265">
        <f t="shared" si="6"/>
        <v>1817.1428568859831</v>
      </c>
      <c r="F392" s="266" t="s">
        <v>377</v>
      </c>
      <c r="G392" s="266" t="s">
        <v>470</v>
      </c>
      <c r="H392" s="266"/>
      <c r="I392" s="269" t="s">
        <v>704</v>
      </c>
      <c r="J392" s="267" t="s">
        <v>15</v>
      </c>
      <c r="K392" s="268">
        <v>2544</v>
      </c>
      <c r="L392" s="269" t="s">
        <v>214</v>
      </c>
      <c r="M392" s="270" t="str">
        <f>IFERROR(INDEX([1]Produtos!$C:$C,MATCH(L392,[1]Produtos!$B:$B,0)), "-")</f>
        <v>BODY SPLASH ECLIPSE DOURADO</v>
      </c>
      <c r="N392" s="510">
        <f>IFERROR(INDEX([1]Produtos!$E:$E,MATCH(L392,[1]Produtos!$B:$B,0)), "-")</f>
        <v>220</v>
      </c>
      <c r="O392" s="270" t="str">
        <f>IFERROR(INDEX([1]Produtos!$F:$F,MATCH(L392,[1]Produtos!$B:$B,0)), "-")</f>
        <v>ml</v>
      </c>
      <c r="P392" s="270" t="str">
        <f>IFERROR(INDEX([1]Produtos!$G:$G,MATCH(L392,[1]Produtos!$B:$B,0)), "-")</f>
        <v>MISS RÔSE</v>
      </c>
      <c r="Q392" s="270" t="str">
        <f>IFERROR(INDEX([1]Produtos!$H:$H,MATCH(L392,[1]Produtos!$B:$B,0)), "-")</f>
        <v>PERFUMARIA</v>
      </c>
      <c r="R392" s="270" t="str">
        <f>IFERROR(INDEX([1]Produtos!$I:$I,MATCH(L392,[1]Produtos!$B:$B,0)), "-")</f>
        <v>BODY SPLASH</v>
      </c>
      <c r="S392" s="270" t="str">
        <f>IFERROR(INDEX([1]Produtos!$J:$J,MATCH(L392,[1]Produtos!$B:$B,0)), "-")</f>
        <v>LÍQUIDO</v>
      </c>
      <c r="T392" s="475"/>
      <c r="U392" s="270"/>
      <c r="V392" s="270"/>
      <c r="W392" s="270"/>
      <c r="X392" s="270"/>
      <c r="Y392" s="270"/>
      <c r="Z392" s="270"/>
      <c r="AA392" s="270"/>
      <c r="AB392" s="270"/>
      <c r="AC392" s="270"/>
      <c r="AD392" s="270"/>
      <c r="AE392" s="270"/>
      <c r="AF392" s="270"/>
      <c r="AG392" s="270"/>
      <c r="AH392" s="270"/>
      <c r="AI392" s="270"/>
      <c r="AJ392" s="270"/>
      <c r="AK392" s="270"/>
      <c r="AL392" s="270"/>
      <c r="AM392" s="663"/>
      <c r="AN392" s="663"/>
      <c r="AO392" s="708" t="str">
        <f>IF(OR(Table1[[#This Row],[Início Setup Envase]]="",Table1[[#This Row],[Final Setup Envase]]=""),"",Table1[[#This Row],[Final Setup Envase]]-Table1[[#This Row],[Início Setup Envase]])</f>
        <v/>
      </c>
      <c r="AP392" s="663"/>
      <c r="AQ392" s="663"/>
      <c r="AR392" s="270"/>
      <c r="AS392" s="270"/>
      <c r="AT392" s="270"/>
      <c r="AU392" s="270"/>
      <c r="AV392" s="270"/>
      <c r="AW392" s="270"/>
      <c r="AX392" s="270"/>
      <c r="AY392" s="270"/>
      <c r="AZ392" s="270"/>
      <c r="BA392" s="270">
        <f>IF(Table1[[#This Row],[Data de Início]]="","",YEAR(Table1[[#This Row],[Data de Início]]))</f>
        <v>2025</v>
      </c>
      <c r="BB392" s="270">
        <f>IF(Table1[[#This Row],[Data de Início]]="","",MONTH(Table1[[#This Row],[Data de Início]]))</f>
        <v>8</v>
      </c>
      <c r="BC392" s="270"/>
    </row>
    <row r="393" spans="2:55" ht="15" customHeight="1" x14ac:dyDescent="0.25">
      <c r="B393" s="470">
        <v>45896.340277777781</v>
      </c>
      <c r="C393" s="263">
        <v>45896.493055555555</v>
      </c>
      <c r="D393" s="264" cm="1">
        <f t="array" ref="D393">IFERROR(HorasUteisFabrica2Turnos(B393,C393), "")</f>
        <v>3.6666666665696539</v>
      </c>
      <c r="E393" s="265">
        <f t="shared" si="6"/>
        <v>733.09090911030523</v>
      </c>
      <c r="F393" s="266" t="s">
        <v>377</v>
      </c>
      <c r="G393" s="266" t="s">
        <v>470</v>
      </c>
      <c r="H393" s="266"/>
      <c r="I393" s="269" t="s">
        <v>705</v>
      </c>
      <c r="J393" s="267" t="s">
        <v>15</v>
      </c>
      <c r="K393" s="268">
        <v>2688</v>
      </c>
      <c r="L393" s="269" t="s">
        <v>214</v>
      </c>
      <c r="M393" s="270" t="str">
        <f>IFERROR(INDEX([1]Produtos!$C:$C,MATCH(L393,[1]Produtos!$B:$B,0)), "-")</f>
        <v>BODY SPLASH ECLIPSE DOURADO</v>
      </c>
      <c r="N393" s="510">
        <f>IFERROR(INDEX([1]Produtos!$E:$E,MATCH(L393,[1]Produtos!$B:$B,0)), "-")</f>
        <v>220</v>
      </c>
      <c r="O393" s="270" t="str">
        <f>IFERROR(INDEX([1]Produtos!$F:$F,MATCH(L393,[1]Produtos!$B:$B,0)), "-")</f>
        <v>ml</v>
      </c>
      <c r="P393" s="270" t="str">
        <f>IFERROR(INDEX([1]Produtos!$G:$G,MATCH(L393,[1]Produtos!$B:$B,0)), "-")</f>
        <v>MISS RÔSE</v>
      </c>
      <c r="Q393" s="270" t="str">
        <f>IFERROR(INDEX([1]Produtos!$H:$H,MATCH(L393,[1]Produtos!$B:$B,0)), "-")</f>
        <v>PERFUMARIA</v>
      </c>
      <c r="R393" s="270" t="str">
        <f>IFERROR(INDEX([1]Produtos!$I:$I,MATCH(L393,[1]Produtos!$B:$B,0)), "-")</f>
        <v>BODY SPLASH</v>
      </c>
      <c r="S393" s="270" t="str">
        <f>IFERROR(INDEX([1]Produtos!$J:$J,MATCH(L393,[1]Produtos!$B:$B,0)), "-")</f>
        <v>LÍQUIDO</v>
      </c>
      <c r="T393" s="475"/>
      <c r="U393" s="270"/>
      <c r="V393" s="270"/>
      <c r="W393" s="270"/>
      <c r="X393" s="270"/>
      <c r="Y393" s="270"/>
      <c r="Z393" s="270"/>
      <c r="AA393" s="270"/>
      <c r="AB393" s="270"/>
      <c r="AC393" s="270"/>
      <c r="AD393" s="270"/>
      <c r="AE393" s="270"/>
      <c r="AF393" s="270"/>
      <c r="AG393" s="270"/>
      <c r="AH393" s="270"/>
      <c r="AI393" s="270"/>
      <c r="AJ393" s="270"/>
      <c r="AK393" s="270"/>
      <c r="AL393" s="270"/>
      <c r="AM393" s="663"/>
      <c r="AN393" s="663"/>
      <c r="AO393" s="708" t="str">
        <f>IF(OR(Table1[[#This Row],[Início Setup Envase]]="",Table1[[#This Row],[Final Setup Envase]]=""),"",Table1[[#This Row],[Final Setup Envase]]-Table1[[#This Row],[Início Setup Envase]])</f>
        <v/>
      </c>
      <c r="AP393" s="663"/>
      <c r="AQ393" s="663"/>
      <c r="AR393" s="270"/>
      <c r="AS393" s="270"/>
      <c r="AT393" s="270"/>
      <c r="AU393" s="270"/>
      <c r="AV393" s="270"/>
      <c r="AW393" s="270"/>
      <c r="AX393" s="270"/>
      <c r="AY393" s="270"/>
      <c r="AZ393" s="270"/>
      <c r="BA393" s="270">
        <f>IF(Table1[[#This Row],[Data de Início]]="","",YEAR(Table1[[#This Row],[Data de Início]]))</f>
        <v>2025</v>
      </c>
      <c r="BB393" s="270">
        <f>IF(Table1[[#This Row],[Data de Início]]="","",MONTH(Table1[[#This Row],[Data de Início]]))</f>
        <v>8</v>
      </c>
      <c r="BC393" s="270"/>
    </row>
    <row r="394" spans="2:55" ht="15" customHeight="1" x14ac:dyDescent="0.25">
      <c r="B394" s="470">
        <v>45896.463888888888</v>
      </c>
      <c r="C394" s="263">
        <v>45896.604166666664</v>
      </c>
      <c r="D394" s="264" cm="1">
        <f t="array" ref="D394">IFERROR(HorasUteisFabrica2Turnos(B394,C394), "")</f>
        <v>2.3666666666395031</v>
      </c>
      <c r="E394" s="265">
        <f t="shared" si="6"/>
        <v>709.85915493772495</v>
      </c>
      <c r="F394" s="266" t="s">
        <v>377</v>
      </c>
      <c r="G394" s="266" t="s">
        <v>475</v>
      </c>
      <c r="H394" s="266"/>
      <c r="I394" s="269" t="s">
        <v>678</v>
      </c>
      <c r="J394" s="267" t="s">
        <v>15</v>
      </c>
      <c r="K394" s="268">
        <v>1680</v>
      </c>
      <c r="L394" s="269" t="s">
        <v>474</v>
      </c>
      <c r="M394" s="270" t="str">
        <f>IFERROR(INDEX([1]Produtos!$C:$C,MATCH(L394,[1]Produtos!$B:$B,0)), "-")</f>
        <v>ÁGUA MICELAR ÁCIDO HIAULURÔNICO</v>
      </c>
      <c r="N394" s="510">
        <f>IFERROR(INDEX([1]Produtos!$E:$E,MATCH(L394,[1]Produtos!$B:$B,0)), "-")</f>
        <v>325</v>
      </c>
      <c r="O394" s="270" t="str">
        <f>IFERROR(INDEX([1]Produtos!$F:$F,MATCH(L394,[1]Produtos!$B:$B,0)), "-")</f>
        <v>ml</v>
      </c>
      <c r="P394" s="270" t="str">
        <f>IFERROR(INDEX([1]Produtos!$G:$G,MATCH(L394,[1]Produtos!$B:$B,0)), "-")</f>
        <v>GLOW MAKE UP</v>
      </c>
      <c r="Q394" s="270" t="str">
        <f>IFERROR(INDEX([1]Produtos!$H:$H,MATCH(L394,[1]Produtos!$B:$B,0)), "-")</f>
        <v>MAQUIAGEM</v>
      </c>
      <c r="R394" s="270" t="str">
        <f>IFERROR(INDEX([1]Produtos!$I:$I,MATCH(L394,[1]Produtos!$B:$B,0)), "-")</f>
        <v>ÁGUA MICELAR</v>
      </c>
      <c r="S394" s="270" t="str">
        <f>IFERROR(INDEX([1]Produtos!$J:$J,MATCH(L394,[1]Produtos!$B:$B,0)), "-")</f>
        <v>LÍQUIDO</v>
      </c>
      <c r="T394" s="475"/>
      <c r="U394" s="270"/>
      <c r="V394" s="270"/>
      <c r="W394" s="270"/>
      <c r="X394" s="270"/>
      <c r="Y394" s="270"/>
      <c r="Z394" s="270"/>
      <c r="AA394" s="270"/>
      <c r="AB394" s="270"/>
      <c r="AC394" s="270"/>
      <c r="AD394" s="270"/>
      <c r="AE394" s="270"/>
      <c r="AF394" s="270"/>
      <c r="AG394" s="270"/>
      <c r="AH394" s="270"/>
      <c r="AI394" s="270"/>
      <c r="AJ394" s="270"/>
      <c r="AK394" s="270"/>
      <c r="AL394" s="270"/>
      <c r="AM394" s="663"/>
      <c r="AN394" s="663"/>
      <c r="AO394" s="708" t="str">
        <f>IF(OR(Table1[[#This Row],[Início Setup Envase]]="",Table1[[#This Row],[Final Setup Envase]]=""),"",Table1[[#This Row],[Final Setup Envase]]-Table1[[#This Row],[Início Setup Envase]])</f>
        <v/>
      </c>
      <c r="AP394" s="663"/>
      <c r="AQ394" s="663"/>
      <c r="AR394" s="270"/>
      <c r="AS394" s="270"/>
      <c r="AT394" s="270"/>
      <c r="AU394" s="270"/>
      <c r="AV394" s="270"/>
      <c r="AW394" s="270"/>
      <c r="AX394" s="270"/>
      <c r="AY394" s="270"/>
      <c r="AZ394" s="270"/>
      <c r="BA394" s="270">
        <f>IF(Table1[[#This Row],[Data de Início]]="","",YEAR(Table1[[#This Row],[Data de Início]]))</f>
        <v>2025</v>
      </c>
      <c r="BB394" s="270">
        <f>IF(Table1[[#This Row],[Data de Início]]="","",MONTH(Table1[[#This Row],[Data de Início]]))</f>
        <v>8</v>
      </c>
      <c r="BC394" s="270"/>
    </row>
    <row r="395" spans="2:55" ht="15" customHeight="1" x14ac:dyDescent="0.25">
      <c r="B395" s="470">
        <v>45896.493055555555</v>
      </c>
      <c r="C395" s="263">
        <v>45897.319444444445</v>
      </c>
      <c r="D395" s="441" cm="1">
        <f t="array" ref="D395">IFERROR(HorasUteisFabrica2Turnos(B395,C395), "")</f>
        <v>4.8333333334885538</v>
      </c>
      <c r="E395" s="265">
        <f t="shared" si="6"/>
        <v>863.58620686881807</v>
      </c>
      <c r="F395" s="266" t="s">
        <v>378</v>
      </c>
      <c r="G395" s="266" t="s">
        <v>360</v>
      </c>
      <c r="H395" s="266"/>
      <c r="I395" s="269" t="s">
        <v>753</v>
      </c>
      <c r="J395" s="267" t="s">
        <v>15</v>
      </c>
      <c r="K395" s="268">
        <v>4174</v>
      </c>
      <c r="L395" s="269" t="s">
        <v>754</v>
      </c>
      <c r="M395" s="270" t="str">
        <f>IFERROR(INDEX([1]Produtos!$C:$C,MATCH(L395,[1]Produtos!$B:$B,0)), "-")</f>
        <v>HIDRATANTE GLOW PAIXÃO IRRESISTÍVEL</v>
      </c>
      <c r="N395" s="510">
        <f>IFERROR(INDEX([1]Produtos!$E:$E,MATCH(L395,[1]Produtos!$B:$B,0)), "-")</f>
        <v>120</v>
      </c>
      <c r="O395" s="270" t="str">
        <f>IFERROR(INDEX([1]Produtos!$F:$F,MATCH(L395,[1]Produtos!$B:$B,0)), "-")</f>
        <v>ml</v>
      </c>
      <c r="P395" s="270" t="str">
        <f>IFERROR(INDEX([1]Produtos!$G:$G,MATCH(L395,[1]Produtos!$B:$B,0)), "-")</f>
        <v>DAPOP</v>
      </c>
      <c r="Q395" s="270" t="str">
        <f>IFERROR(INDEX([1]Produtos!$H:$H,MATCH(L395,[1]Produtos!$B:$B,0)), "-")</f>
        <v>CORPORAL</v>
      </c>
      <c r="R395" s="270" t="str">
        <f>IFERROR(INDEX([1]Produtos!$I:$I,MATCH(L395,[1]Produtos!$B:$B,0)), "-")</f>
        <v>CREME HIDRATANTE</v>
      </c>
      <c r="S395" s="270" t="str">
        <f>IFERROR(INDEX([1]Produtos!$J:$J,MATCH(L395,[1]Produtos!$B:$B,0)), "-")</f>
        <v>CREMOSO</v>
      </c>
      <c r="T395" s="475"/>
      <c r="U395" s="270"/>
      <c r="V395" s="270"/>
      <c r="W395" s="270"/>
      <c r="X395" s="270"/>
      <c r="Y395" s="270"/>
      <c r="Z395" s="270"/>
      <c r="AA395" s="270"/>
      <c r="AB395" s="270"/>
      <c r="AC395" s="270"/>
      <c r="AD395" s="270"/>
      <c r="AE395" s="270"/>
      <c r="AF395" s="270"/>
      <c r="AG395" s="270"/>
      <c r="AH395" s="270"/>
      <c r="AI395" s="270"/>
      <c r="AJ395" s="270"/>
      <c r="AK395" s="270"/>
      <c r="AL395" s="270"/>
      <c r="AM395" s="663"/>
      <c r="AN395" s="663"/>
      <c r="AO395" s="708" t="str">
        <f>IF(OR(Table1[[#This Row],[Início Setup Envase]]="",Table1[[#This Row],[Final Setup Envase]]=""),"",Table1[[#This Row],[Final Setup Envase]]-Table1[[#This Row],[Início Setup Envase]])</f>
        <v/>
      </c>
      <c r="AP395" s="663"/>
      <c r="AQ395" s="663"/>
      <c r="AR395" s="270"/>
      <c r="AS395" s="270"/>
      <c r="AT395" s="270"/>
      <c r="AU395" s="270"/>
      <c r="AV395" s="270"/>
      <c r="AW395" s="270"/>
      <c r="AX395" s="270"/>
      <c r="AY395" s="270"/>
      <c r="AZ395" s="270"/>
      <c r="BA395" s="270">
        <f>IF(Table1[[#This Row],[Data de Início]]="","",YEAR(Table1[[#This Row],[Data de Início]]))</f>
        <v>2025</v>
      </c>
      <c r="BB395" s="270">
        <f>IF(Table1[[#This Row],[Data de Início]]="","",MONTH(Table1[[#This Row],[Data de Início]]))</f>
        <v>8</v>
      </c>
      <c r="BC395" s="270"/>
    </row>
    <row r="396" spans="2:55" ht="15" customHeight="1" x14ac:dyDescent="0.25">
      <c r="B396" s="470">
        <v>45896.604166666664</v>
      </c>
      <c r="C396" s="263">
        <v>45896.693055555559</v>
      </c>
      <c r="D396" s="264" cm="1">
        <f t="array" ref="D396">IFERROR(HorasUteisFabrica2Turnos(B396,C396), "")</f>
        <v>2.1333333334769122</v>
      </c>
      <c r="E396" s="265">
        <f t="shared" si="6"/>
        <v>787.4999999469992</v>
      </c>
      <c r="F396" s="266" t="s">
        <v>377</v>
      </c>
      <c r="G396" s="266" t="s">
        <v>475</v>
      </c>
      <c r="H396" s="266"/>
      <c r="I396" s="269" t="s">
        <v>677</v>
      </c>
      <c r="J396" s="267" t="s">
        <v>15</v>
      </c>
      <c r="K396" s="268">
        <v>1680</v>
      </c>
      <c r="L396" s="269" t="s">
        <v>474</v>
      </c>
      <c r="M396" s="270" t="str">
        <f>IFERROR(INDEX([1]Produtos!$C:$C,MATCH(L396,[1]Produtos!$B:$B,0)), "-")</f>
        <v>ÁGUA MICELAR ÁCIDO HIAULURÔNICO</v>
      </c>
      <c r="N396" s="510">
        <f>IFERROR(INDEX([1]Produtos!$E:$E,MATCH(L396,[1]Produtos!$B:$B,0)), "-")</f>
        <v>325</v>
      </c>
      <c r="O396" s="270" t="str">
        <f>IFERROR(INDEX([1]Produtos!$F:$F,MATCH(L396,[1]Produtos!$B:$B,0)), "-")</f>
        <v>ml</v>
      </c>
      <c r="P396" s="270" t="str">
        <f>IFERROR(INDEX([1]Produtos!$G:$G,MATCH(L396,[1]Produtos!$B:$B,0)), "-")</f>
        <v>GLOW MAKE UP</v>
      </c>
      <c r="Q396" s="270" t="str">
        <f>IFERROR(INDEX([1]Produtos!$H:$H,MATCH(L396,[1]Produtos!$B:$B,0)), "-")</f>
        <v>MAQUIAGEM</v>
      </c>
      <c r="R396" s="270" t="str">
        <f>IFERROR(INDEX([1]Produtos!$I:$I,MATCH(L396,[1]Produtos!$B:$B,0)), "-")</f>
        <v>ÁGUA MICELAR</v>
      </c>
      <c r="S396" s="270" t="str">
        <f>IFERROR(INDEX([1]Produtos!$J:$J,MATCH(L396,[1]Produtos!$B:$B,0)), "-")</f>
        <v>LÍQUIDO</v>
      </c>
      <c r="T396" s="475"/>
      <c r="U396" s="270"/>
      <c r="V396" s="270"/>
      <c r="W396" s="270"/>
      <c r="X396" s="270"/>
      <c r="Y396" s="270"/>
      <c r="Z396" s="270"/>
      <c r="AA396" s="270"/>
      <c r="AB396" s="270"/>
      <c r="AC396" s="270"/>
      <c r="AD396" s="270"/>
      <c r="AE396" s="270"/>
      <c r="AF396" s="270"/>
      <c r="AG396" s="270"/>
      <c r="AH396" s="270"/>
      <c r="AI396" s="270"/>
      <c r="AJ396" s="270"/>
      <c r="AK396" s="270"/>
      <c r="AL396" s="270"/>
      <c r="AM396" s="663"/>
      <c r="AN396" s="663"/>
      <c r="AO396" s="708" t="str">
        <f>IF(OR(Table1[[#This Row],[Início Setup Envase]]="",Table1[[#This Row],[Final Setup Envase]]=""),"",Table1[[#This Row],[Final Setup Envase]]-Table1[[#This Row],[Início Setup Envase]])</f>
        <v/>
      </c>
      <c r="AP396" s="663"/>
      <c r="AQ396" s="663"/>
      <c r="AR396" s="270"/>
      <c r="AS396" s="270"/>
      <c r="AT396" s="270"/>
      <c r="AU396" s="270"/>
      <c r="AV396" s="270"/>
      <c r="AW396" s="270"/>
      <c r="AX396" s="270"/>
      <c r="AY396" s="270"/>
      <c r="AZ396" s="270"/>
      <c r="BA396" s="270">
        <f>IF(Table1[[#This Row],[Data de Início]]="","",YEAR(Table1[[#This Row],[Data de Início]]))</f>
        <v>2025</v>
      </c>
      <c r="BB396" s="270">
        <f>IF(Table1[[#This Row],[Data de Início]]="","",MONTH(Table1[[#This Row],[Data de Início]]))</f>
        <v>8</v>
      </c>
      <c r="BC396" s="270"/>
    </row>
    <row r="397" spans="2:55" ht="15" customHeight="1" x14ac:dyDescent="0.25">
      <c r="B397" s="470">
        <v>45896.693749999999</v>
      </c>
      <c r="C397" s="263">
        <v>45897.361111111109</v>
      </c>
      <c r="D397" s="264" cm="1">
        <f t="array" ref="D397">IFERROR(HorasUteisFabrica2Turnos(B397,C397), "")</f>
        <v>2.0166666667792015</v>
      </c>
      <c r="E397" s="265">
        <f t="shared" si="6"/>
        <v>833.05785119318284</v>
      </c>
      <c r="F397" s="266" t="s">
        <v>377</v>
      </c>
      <c r="G397" s="266" t="s">
        <v>475</v>
      </c>
      <c r="H397" s="266"/>
      <c r="I397" s="269" t="s">
        <v>679</v>
      </c>
      <c r="J397" s="267" t="s">
        <v>15</v>
      </c>
      <c r="K397" s="268">
        <v>1680</v>
      </c>
      <c r="L397" s="269" t="s">
        <v>474</v>
      </c>
      <c r="M397" s="270" t="str">
        <f>IFERROR(INDEX([1]Produtos!$C:$C,MATCH(L397,[1]Produtos!$B:$B,0)), "-")</f>
        <v>ÁGUA MICELAR ÁCIDO HIAULURÔNICO</v>
      </c>
      <c r="N397" s="510">
        <f>IFERROR(INDEX([1]Produtos!$E:$E,MATCH(L397,[1]Produtos!$B:$B,0)), "-")</f>
        <v>325</v>
      </c>
      <c r="O397" s="270" t="str">
        <f>IFERROR(INDEX([1]Produtos!$F:$F,MATCH(L397,[1]Produtos!$B:$B,0)), "-")</f>
        <v>ml</v>
      </c>
      <c r="P397" s="270" t="str">
        <f>IFERROR(INDEX([1]Produtos!$G:$G,MATCH(L397,[1]Produtos!$B:$B,0)), "-")</f>
        <v>GLOW MAKE UP</v>
      </c>
      <c r="Q397" s="270" t="str">
        <f>IFERROR(INDEX([1]Produtos!$H:$H,MATCH(L397,[1]Produtos!$B:$B,0)), "-")</f>
        <v>MAQUIAGEM</v>
      </c>
      <c r="R397" s="270" t="str">
        <f>IFERROR(INDEX([1]Produtos!$I:$I,MATCH(L397,[1]Produtos!$B:$B,0)), "-")</f>
        <v>ÁGUA MICELAR</v>
      </c>
      <c r="S397" s="270" t="str">
        <f>IFERROR(INDEX([1]Produtos!$J:$J,MATCH(L397,[1]Produtos!$B:$B,0)), "-")</f>
        <v>LÍQUIDO</v>
      </c>
      <c r="T397" s="475"/>
      <c r="U397" s="270"/>
      <c r="V397" s="270"/>
      <c r="W397" s="270"/>
      <c r="X397" s="270"/>
      <c r="Y397" s="270"/>
      <c r="Z397" s="270"/>
      <c r="AA397" s="270"/>
      <c r="AB397" s="270"/>
      <c r="AC397" s="270"/>
      <c r="AD397" s="270"/>
      <c r="AE397" s="270"/>
      <c r="AF397" s="270"/>
      <c r="AG397" s="270"/>
      <c r="AH397" s="270"/>
      <c r="AI397" s="270"/>
      <c r="AJ397" s="270"/>
      <c r="AK397" s="270"/>
      <c r="AL397" s="270"/>
      <c r="AM397" s="663"/>
      <c r="AN397" s="663"/>
      <c r="AO397" s="708" t="str">
        <f>IF(OR(Table1[[#This Row],[Início Setup Envase]]="",Table1[[#This Row],[Final Setup Envase]]=""),"",Table1[[#This Row],[Final Setup Envase]]-Table1[[#This Row],[Início Setup Envase]])</f>
        <v/>
      </c>
      <c r="AP397" s="663"/>
      <c r="AQ397" s="663"/>
      <c r="AR397" s="270"/>
      <c r="AS397" s="270"/>
      <c r="AT397" s="270"/>
      <c r="AU397" s="270"/>
      <c r="AV397" s="270"/>
      <c r="AW397" s="270"/>
      <c r="AX397" s="270"/>
      <c r="AY397" s="270"/>
      <c r="AZ397" s="270"/>
      <c r="BA397" s="270">
        <f>IF(Table1[[#This Row],[Data de Início]]="","",YEAR(Table1[[#This Row],[Data de Início]]))</f>
        <v>2025</v>
      </c>
      <c r="BB397" s="270">
        <f>IF(Table1[[#This Row],[Data de Início]]="","",MONTH(Table1[[#This Row],[Data de Início]]))</f>
        <v>8</v>
      </c>
      <c r="BC397" s="270"/>
    </row>
    <row r="398" spans="2:55" ht="15" customHeight="1" x14ac:dyDescent="0.25">
      <c r="B398" s="470">
        <v>45897.319444444445</v>
      </c>
      <c r="C398" s="263">
        <v>45897.552083333336</v>
      </c>
      <c r="D398" s="441" cm="1">
        <f t="array" ref="D398">IFERROR(HorasUteisFabrica2Turnos(B398,C398), "")</f>
        <v>4.5833333333721384</v>
      </c>
      <c r="E398" s="265">
        <f t="shared" si="6"/>
        <v>877.0909090834831</v>
      </c>
      <c r="F398" s="266" t="s">
        <v>378</v>
      </c>
      <c r="G398" s="266" t="s">
        <v>360</v>
      </c>
      <c r="H398" s="266"/>
      <c r="I398" s="269" t="s">
        <v>752</v>
      </c>
      <c r="J398" s="267" t="s">
        <v>15</v>
      </c>
      <c r="K398" s="268">
        <v>4020</v>
      </c>
      <c r="L398" s="269" t="s">
        <v>745</v>
      </c>
      <c r="M398" s="270" t="str">
        <f>IFERROR(INDEX([1]Produtos!$C:$C,MATCH(L398,[1]Produtos!$B:$B,0)), "-")</f>
        <v>HIDRATANTE GLOW TAÇA DE CHAMPAGNE</v>
      </c>
      <c r="N398" s="510">
        <f>IFERROR(INDEX([1]Produtos!$E:$E,MATCH(L398,[1]Produtos!$B:$B,0)), "-")</f>
        <v>120</v>
      </c>
      <c r="O398" s="270" t="str">
        <f>IFERROR(INDEX([1]Produtos!$F:$F,MATCH(L398,[1]Produtos!$B:$B,0)), "-")</f>
        <v>ml</v>
      </c>
      <c r="P398" s="270" t="str">
        <f>IFERROR(INDEX([1]Produtos!$G:$G,MATCH(L398,[1]Produtos!$B:$B,0)), "-")</f>
        <v>DAPOP</v>
      </c>
      <c r="Q398" s="270" t="str">
        <f>IFERROR(INDEX([1]Produtos!$H:$H,MATCH(L398,[1]Produtos!$B:$B,0)), "-")</f>
        <v>CORPORAL</v>
      </c>
      <c r="R398" s="270" t="str">
        <f>IFERROR(INDEX([1]Produtos!$I:$I,MATCH(L398,[1]Produtos!$B:$B,0)), "-")</f>
        <v>CREME HIDRATANTE</v>
      </c>
      <c r="S398" s="270" t="str">
        <f>IFERROR(INDEX([1]Produtos!$J:$J,MATCH(L398,[1]Produtos!$B:$B,0)), "-")</f>
        <v>CREMOSO</v>
      </c>
      <c r="T398" s="475"/>
      <c r="U398" s="270"/>
      <c r="V398" s="270"/>
      <c r="W398" s="270"/>
      <c r="X398" s="270"/>
      <c r="Y398" s="270"/>
      <c r="Z398" s="270"/>
      <c r="AA398" s="270"/>
      <c r="AB398" s="270"/>
      <c r="AC398" s="270"/>
      <c r="AD398" s="270"/>
      <c r="AE398" s="270"/>
      <c r="AF398" s="270"/>
      <c r="AG398" s="270"/>
      <c r="AH398" s="270"/>
      <c r="AI398" s="270"/>
      <c r="AJ398" s="270"/>
      <c r="AK398" s="270"/>
      <c r="AL398" s="270"/>
      <c r="AM398" s="663"/>
      <c r="AN398" s="663"/>
      <c r="AO398" s="708" t="str">
        <f>IF(OR(Table1[[#This Row],[Início Setup Envase]]="",Table1[[#This Row],[Final Setup Envase]]=""),"",Table1[[#This Row],[Final Setup Envase]]-Table1[[#This Row],[Início Setup Envase]])</f>
        <v/>
      </c>
      <c r="AP398" s="663"/>
      <c r="AQ398" s="663"/>
      <c r="AR398" s="270"/>
      <c r="AS398" s="270"/>
      <c r="AT398" s="270"/>
      <c r="AU398" s="270"/>
      <c r="AV398" s="270"/>
      <c r="AW398" s="270"/>
      <c r="AX398" s="270"/>
      <c r="AY398" s="270"/>
      <c r="AZ398" s="270"/>
      <c r="BA398" s="270">
        <f>IF(Table1[[#This Row],[Data de Início]]="","",YEAR(Table1[[#This Row],[Data de Início]]))</f>
        <v>2025</v>
      </c>
      <c r="BB398" s="270">
        <f>IF(Table1[[#This Row],[Data de Início]]="","",MONTH(Table1[[#This Row],[Data de Início]]))</f>
        <v>8</v>
      </c>
      <c r="BC398" s="270"/>
    </row>
    <row r="399" spans="2:55" ht="15" customHeight="1" x14ac:dyDescent="0.25">
      <c r="B399" s="470">
        <v>45897.361111111109</v>
      </c>
      <c r="C399" s="263">
        <v>45897.465277777781</v>
      </c>
      <c r="D399" s="264" cm="1">
        <f t="array" ref="D399">IFERROR(HorasUteisFabrica2Turnos(B399,C399), "")</f>
        <v>2.5000000001164153</v>
      </c>
      <c r="E399" s="265">
        <f t="shared" si="6"/>
        <v>671.99999996870758</v>
      </c>
      <c r="F399" s="266" t="s">
        <v>377</v>
      </c>
      <c r="G399" s="266" t="s">
        <v>475</v>
      </c>
      <c r="H399" s="266"/>
      <c r="I399" s="269" t="s">
        <v>658</v>
      </c>
      <c r="J399" s="267" t="s">
        <v>15</v>
      </c>
      <c r="K399" s="268">
        <v>1680</v>
      </c>
      <c r="L399" s="269" t="s">
        <v>478</v>
      </c>
      <c r="M399" s="270" t="str">
        <f>IFERROR(INDEX([1]Produtos!$C:$C,MATCH(L399,[1]Produtos!$B:$B,0)), "-")</f>
        <v>ÁGUA MICELAR 3 EM 1</v>
      </c>
      <c r="N399" s="510">
        <f>IFERROR(INDEX([1]Produtos!$E:$E,MATCH(L399,[1]Produtos!$B:$B,0)), "-")</f>
        <v>325</v>
      </c>
      <c r="O399" s="270" t="str">
        <f>IFERROR(INDEX([1]Produtos!$F:$F,MATCH(L399,[1]Produtos!$B:$B,0)), "-")</f>
        <v>ml</v>
      </c>
      <c r="P399" s="270" t="str">
        <f>IFERROR(INDEX([1]Produtos!$G:$G,MATCH(L399,[1]Produtos!$B:$B,0)), "-")</f>
        <v>GLOW MAKE UP</v>
      </c>
      <c r="Q399" s="270" t="str">
        <f>IFERROR(INDEX([1]Produtos!$H:$H,MATCH(L399,[1]Produtos!$B:$B,0)), "-")</f>
        <v>MAQUIAGEM</v>
      </c>
      <c r="R399" s="270" t="str">
        <f>IFERROR(INDEX([1]Produtos!$I:$I,MATCH(L399,[1]Produtos!$B:$B,0)), "-")</f>
        <v>ÁGUA MICELAR</v>
      </c>
      <c r="S399" s="270" t="str">
        <f>IFERROR(INDEX([1]Produtos!$J:$J,MATCH(L399,[1]Produtos!$B:$B,0)), "-")</f>
        <v>LÍQUIDO</v>
      </c>
      <c r="T399" s="475"/>
      <c r="U399" s="270"/>
      <c r="V399" s="270"/>
      <c r="W399" s="270"/>
      <c r="X399" s="270"/>
      <c r="Y399" s="270"/>
      <c r="Z399" s="270"/>
      <c r="AA399" s="270"/>
      <c r="AB399" s="270"/>
      <c r="AC399" s="270"/>
      <c r="AD399" s="270"/>
      <c r="AE399" s="270"/>
      <c r="AF399" s="270"/>
      <c r="AG399" s="270"/>
      <c r="AH399" s="270"/>
      <c r="AI399" s="270"/>
      <c r="AJ399" s="270"/>
      <c r="AK399" s="270"/>
      <c r="AL399" s="270"/>
      <c r="AM399" s="663"/>
      <c r="AN399" s="663"/>
      <c r="AO399" s="708" t="str">
        <f>IF(OR(Table1[[#This Row],[Início Setup Envase]]="",Table1[[#This Row],[Final Setup Envase]]=""),"",Table1[[#This Row],[Final Setup Envase]]-Table1[[#This Row],[Início Setup Envase]])</f>
        <v/>
      </c>
      <c r="AP399" s="663"/>
      <c r="AQ399" s="663"/>
      <c r="AR399" s="270"/>
      <c r="AS399" s="270"/>
      <c r="AT399" s="270"/>
      <c r="AU399" s="270"/>
      <c r="AV399" s="270"/>
      <c r="AW399" s="270"/>
      <c r="AX399" s="270"/>
      <c r="AY399" s="270"/>
      <c r="AZ399" s="270"/>
      <c r="BA399" s="270">
        <f>IF(Table1[[#This Row],[Data de Início]]="","",YEAR(Table1[[#This Row],[Data de Início]]))</f>
        <v>2025</v>
      </c>
      <c r="BB399" s="270">
        <f>IF(Table1[[#This Row],[Data de Início]]="","",MONTH(Table1[[#This Row],[Data de Início]]))</f>
        <v>8</v>
      </c>
      <c r="BC399" s="270"/>
    </row>
    <row r="400" spans="2:55" ht="15" customHeight="1" x14ac:dyDescent="0.25">
      <c r="B400" s="470">
        <v>45897.465277777781</v>
      </c>
      <c r="C400" s="263">
        <v>45897.631944444445</v>
      </c>
      <c r="D400" s="264" cm="1">
        <f t="array" ref="D400">IFERROR(HorasUteisFabrica2Turnos(B400,C400), "")</f>
        <v>2.9999999999417923</v>
      </c>
      <c r="E400" s="265">
        <f t="shared" si="6"/>
        <v>560.00000001086539</v>
      </c>
      <c r="F400" s="266" t="s">
        <v>377</v>
      </c>
      <c r="G400" s="266" t="s">
        <v>475</v>
      </c>
      <c r="H400" s="266"/>
      <c r="I400" s="269" t="s">
        <v>665</v>
      </c>
      <c r="J400" s="267" t="s">
        <v>15</v>
      </c>
      <c r="K400" s="268">
        <v>1680</v>
      </c>
      <c r="L400" s="269" t="s">
        <v>478</v>
      </c>
      <c r="M400" s="270" t="str">
        <f>IFERROR(INDEX([1]Produtos!$C:$C,MATCH(L400,[1]Produtos!$B:$B,0)), "-")</f>
        <v>ÁGUA MICELAR 3 EM 1</v>
      </c>
      <c r="N400" s="510">
        <f>IFERROR(INDEX([1]Produtos!$E:$E,MATCH(L400,[1]Produtos!$B:$B,0)), "-")</f>
        <v>325</v>
      </c>
      <c r="O400" s="270" t="str">
        <f>IFERROR(INDEX([1]Produtos!$F:$F,MATCH(L400,[1]Produtos!$B:$B,0)), "-")</f>
        <v>ml</v>
      </c>
      <c r="P400" s="270" t="str">
        <f>IFERROR(INDEX([1]Produtos!$G:$G,MATCH(L400,[1]Produtos!$B:$B,0)), "-")</f>
        <v>GLOW MAKE UP</v>
      </c>
      <c r="Q400" s="270" t="str">
        <f>IFERROR(INDEX([1]Produtos!$H:$H,MATCH(L400,[1]Produtos!$B:$B,0)), "-")</f>
        <v>MAQUIAGEM</v>
      </c>
      <c r="R400" s="270" t="str">
        <f>IFERROR(INDEX([1]Produtos!$I:$I,MATCH(L400,[1]Produtos!$B:$B,0)), "-")</f>
        <v>ÁGUA MICELAR</v>
      </c>
      <c r="S400" s="270" t="str">
        <f>IFERROR(INDEX([1]Produtos!$J:$J,MATCH(L400,[1]Produtos!$B:$B,0)), "-")</f>
        <v>LÍQUIDO</v>
      </c>
      <c r="T400" s="475"/>
      <c r="U400" s="270"/>
      <c r="V400" s="270"/>
      <c r="W400" s="270"/>
      <c r="X400" s="270"/>
      <c r="Y400" s="270"/>
      <c r="Z400" s="270"/>
      <c r="AA400" s="270"/>
      <c r="AB400" s="270"/>
      <c r="AC400" s="270"/>
      <c r="AD400" s="270"/>
      <c r="AE400" s="270"/>
      <c r="AF400" s="270"/>
      <c r="AG400" s="270"/>
      <c r="AH400" s="270"/>
      <c r="AI400" s="270"/>
      <c r="AJ400" s="270"/>
      <c r="AK400" s="270"/>
      <c r="AL400" s="270"/>
      <c r="AM400" s="663"/>
      <c r="AN400" s="663"/>
      <c r="AO400" s="708" t="str">
        <f>IF(OR(Table1[[#This Row],[Início Setup Envase]]="",Table1[[#This Row],[Final Setup Envase]]=""),"",Table1[[#This Row],[Final Setup Envase]]-Table1[[#This Row],[Início Setup Envase]])</f>
        <v/>
      </c>
      <c r="AP400" s="663"/>
      <c r="AQ400" s="663"/>
      <c r="AR400" s="270"/>
      <c r="AS400" s="270"/>
      <c r="AT400" s="270"/>
      <c r="AU400" s="270"/>
      <c r="AV400" s="270"/>
      <c r="AW400" s="270"/>
      <c r="AX400" s="270"/>
      <c r="AY400" s="270"/>
      <c r="AZ400" s="270"/>
      <c r="BA400" s="270">
        <f>IF(Table1[[#This Row],[Data de Início]]="","",YEAR(Table1[[#This Row],[Data de Início]]))</f>
        <v>2025</v>
      </c>
      <c r="BB400" s="270">
        <f>IF(Table1[[#This Row],[Data de Início]]="","",MONTH(Table1[[#This Row],[Data de Início]]))</f>
        <v>8</v>
      </c>
      <c r="BC400" s="270"/>
    </row>
    <row r="401" spans="2:55" ht="15" customHeight="1" x14ac:dyDescent="0.25">
      <c r="B401" s="470">
        <v>45897.545138888891</v>
      </c>
      <c r="C401" s="263">
        <v>45897.670138888891</v>
      </c>
      <c r="D401" s="264" cm="1">
        <f t="array" ref="D401">IFERROR(HorasUteisFabrica2Turnos(B401,C401), "")</f>
        <v>3</v>
      </c>
      <c r="E401" s="265">
        <f t="shared" si="6"/>
        <v>560</v>
      </c>
      <c r="F401" s="266" t="s">
        <v>377</v>
      </c>
      <c r="G401" s="266" t="s">
        <v>475</v>
      </c>
      <c r="H401" s="266"/>
      <c r="I401" s="269" t="s">
        <v>662</v>
      </c>
      <c r="J401" s="267" t="s">
        <v>15</v>
      </c>
      <c r="K401" s="268">
        <v>1680</v>
      </c>
      <c r="L401" s="269" t="s">
        <v>478</v>
      </c>
      <c r="M401" s="270" t="str">
        <f>IFERROR(INDEX([1]Produtos!$C:$C,MATCH(L401,[1]Produtos!$B:$B,0)), "-")</f>
        <v>ÁGUA MICELAR 3 EM 1</v>
      </c>
      <c r="N401" s="510">
        <f>IFERROR(INDEX([1]Produtos!$E:$E,MATCH(L401,[1]Produtos!$B:$B,0)), "-")</f>
        <v>325</v>
      </c>
      <c r="O401" s="270" t="str">
        <f>IFERROR(INDEX([1]Produtos!$F:$F,MATCH(L401,[1]Produtos!$B:$B,0)), "-")</f>
        <v>ml</v>
      </c>
      <c r="P401" s="270" t="str">
        <f>IFERROR(INDEX([1]Produtos!$G:$G,MATCH(L401,[1]Produtos!$B:$B,0)), "-")</f>
        <v>GLOW MAKE UP</v>
      </c>
      <c r="Q401" s="270" t="str">
        <f>IFERROR(INDEX([1]Produtos!$H:$H,MATCH(L401,[1]Produtos!$B:$B,0)), "-")</f>
        <v>MAQUIAGEM</v>
      </c>
      <c r="R401" s="270" t="str">
        <f>IFERROR(INDEX([1]Produtos!$I:$I,MATCH(L401,[1]Produtos!$B:$B,0)), "-")</f>
        <v>ÁGUA MICELAR</v>
      </c>
      <c r="S401" s="270" t="str">
        <f>IFERROR(INDEX([1]Produtos!$J:$J,MATCH(L401,[1]Produtos!$B:$B,0)), "-")</f>
        <v>LÍQUIDO</v>
      </c>
      <c r="T401" s="475"/>
      <c r="U401" s="270"/>
      <c r="V401" s="270"/>
      <c r="W401" s="270"/>
      <c r="X401" s="270"/>
      <c r="Y401" s="270"/>
      <c r="Z401" s="270"/>
      <c r="AA401" s="270"/>
      <c r="AB401" s="270"/>
      <c r="AC401" s="270"/>
      <c r="AD401" s="270"/>
      <c r="AE401" s="270"/>
      <c r="AF401" s="270"/>
      <c r="AG401" s="270"/>
      <c r="AH401" s="270"/>
      <c r="AI401" s="270"/>
      <c r="AJ401" s="270"/>
      <c r="AK401" s="270"/>
      <c r="AL401" s="270"/>
      <c r="AM401" s="663"/>
      <c r="AN401" s="663"/>
      <c r="AO401" s="708" t="str">
        <f>IF(OR(Table1[[#This Row],[Início Setup Envase]]="",Table1[[#This Row],[Final Setup Envase]]=""),"",Table1[[#This Row],[Final Setup Envase]]-Table1[[#This Row],[Início Setup Envase]])</f>
        <v/>
      </c>
      <c r="AP401" s="663"/>
      <c r="AQ401" s="663"/>
      <c r="AR401" s="270"/>
      <c r="AS401" s="270"/>
      <c r="AT401" s="270"/>
      <c r="AU401" s="270"/>
      <c r="AV401" s="270"/>
      <c r="AW401" s="270"/>
      <c r="AX401" s="270"/>
      <c r="AY401" s="270"/>
      <c r="AZ401" s="270"/>
      <c r="BA401" s="270">
        <f>IF(Table1[[#This Row],[Data de Início]]="","",YEAR(Table1[[#This Row],[Data de Início]]))</f>
        <v>2025</v>
      </c>
      <c r="BB401" s="270">
        <f>IF(Table1[[#This Row],[Data de Início]]="","",MONTH(Table1[[#This Row],[Data de Início]]))</f>
        <v>8</v>
      </c>
      <c r="BC401" s="270"/>
    </row>
    <row r="402" spans="2:55" ht="15" customHeight="1" x14ac:dyDescent="0.25">
      <c r="B402" s="470">
        <v>45897.597222222219</v>
      </c>
      <c r="C402" s="263">
        <v>45897.708333333336</v>
      </c>
      <c r="D402" s="264" cm="1">
        <f t="array" ref="D402">IFERROR(HorasUteisFabrica2Turnos(B402,C402), "")</f>
        <v>2.6666666668024845</v>
      </c>
      <c r="E402" s="265">
        <f t="shared" si="6"/>
        <v>374.99999998090061</v>
      </c>
      <c r="F402" s="266" t="s">
        <v>378</v>
      </c>
      <c r="G402" s="266" t="s">
        <v>712</v>
      </c>
      <c r="H402" s="266"/>
      <c r="I402" s="269" t="s">
        <v>708</v>
      </c>
      <c r="J402" s="267" t="s">
        <v>15</v>
      </c>
      <c r="K402" s="268">
        <v>1000</v>
      </c>
      <c r="L402" s="269" t="s">
        <v>707</v>
      </c>
      <c r="M402" s="270" t="str">
        <f>IFERROR(INDEX([1]Produtos!$C:$C,MATCH(L402,[1]Produtos!$B:$B,0)), "-")</f>
        <v>GELATINA CAPILAR CHEIRINHO DE PISTACHE</v>
      </c>
      <c r="N402" s="510">
        <f>IFERROR(INDEX([1]Produtos!$E:$E,MATCH(L402,[1]Produtos!$B:$B,0)), "-")</f>
        <v>500</v>
      </c>
      <c r="O402" s="270" t="str">
        <f>IFERROR(INDEX([1]Produtos!$F:$F,MATCH(L402,[1]Produtos!$B:$B,0)), "-")</f>
        <v>ml</v>
      </c>
      <c r="P402" s="270" t="str">
        <f>IFERROR(INDEX([1]Produtos!$G:$G,MATCH(L402,[1]Produtos!$B:$B,0)), "-")</f>
        <v>ISA BEAUTY</v>
      </c>
      <c r="Q402" s="270" t="str">
        <f>IFERROR(INDEX([1]Produtos!$H:$H,MATCH(L402,[1]Produtos!$B:$B,0)), "-")</f>
        <v>CAPILAR</v>
      </c>
      <c r="R402" s="270" t="str">
        <f>IFERROR(INDEX([1]Produtos!$I:$I,MATCH(L402,[1]Produtos!$B:$B,0)), "-")</f>
        <v>GEL</v>
      </c>
      <c r="S402" s="270" t="str">
        <f>IFERROR(INDEX([1]Produtos!$J:$J,MATCH(L402,[1]Produtos!$B:$B,0)), "-")</f>
        <v>CREMOSO</v>
      </c>
      <c r="T402" s="475"/>
      <c r="U402" s="270"/>
      <c r="V402" s="270"/>
      <c r="W402" s="270"/>
      <c r="X402" s="270"/>
      <c r="Y402" s="270"/>
      <c r="Z402" s="270"/>
      <c r="AA402" s="270"/>
      <c r="AB402" s="270"/>
      <c r="AC402" s="270"/>
      <c r="AD402" s="270"/>
      <c r="AE402" s="270"/>
      <c r="AF402" s="270"/>
      <c r="AG402" s="270"/>
      <c r="AH402" s="270"/>
      <c r="AI402" s="270"/>
      <c r="AJ402" s="270"/>
      <c r="AK402" s="270"/>
      <c r="AL402" s="270"/>
      <c r="AM402" s="663"/>
      <c r="AN402" s="663"/>
      <c r="AO402" s="708" t="str">
        <f>IF(OR(Table1[[#This Row],[Início Setup Envase]]="",Table1[[#This Row],[Final Setup Envase]]=""),"",Table1[[#This Row],[Final Setup Envase]]-Table1[[#This Row],[Início Setup Envase]])</f>
        <v/>
      </c>
      <c r="AP402" s="663"/>
      <c r="AQ402" s="663"/>
      <c r="AR402" s="270"/>
      <c r="AS402" s="270"/>
      <c r="AT402" s="270"/>
      <c r="AU402" s="270"/>
      <c r="AV402" s="270"/>
      <c r="AW402" s="270"/>
      <c r="AX402" s="270"/>
      <c r="AY402" s="270"/>
      <c r="AZ402" s="270"/>
      <c r="BA402" s="270">
        <f>IF(Table1[[#This Row],[Data de Início]]="","",YEAR(Table1[[#This Row],[Data de Início]]))</f>
        <v>2025</v>
      </c>
      <c r="BB402" s="270">
        <f>IF(Table1[[#This Row],[Data de Início]]="","",MONTH(Table1[[#This Row],[Data de Início]]))</f>
        <v>8</v>
      </c>
      <c r="BC402" s="270"/>
    </row>
    <row r="403" spans="2:55" ht="15" customHeight="1" x14ac:dyDescent="0.25">
      <c r="B403" s="470">
        <v>45897.715277777781</v>
      </c>
      <c r="C403" s="263">
        <v>45897.798611111109</v>
      </c>
      <c r="D403" s="264" cm="1">
        <f t="array" ref="D403">IFERROR(HorasUteisFabrica2Turnos(B403,C403), "")</f>
        <v>1.9999999998835847</v>
      </c>
      <c r="E403" s="265">
        <f t="shared" si="6"/>
        <v>840.00000004889444</v>
      </c>
      <c r="F403" s="266" t="s">
        <v>377</v>
      </c>
      <c r="G403" s="266" t="s">
        <v>475</v>
      </c>
      <c r="H403" s="266"/>
      <c r="I403" s="269" t="s">
        <v>657</v>
      </c>
      <c r="J403" s="267" t="s">
        <v>15</v>
      </c>
      <c r="K403" s="268">
        <v>1680</v>
      </c>
      <c r="L403" s="269" t="s">
        <v>504</v>
      </c>
      <c r="M403" s="270" t="str">
        <f>IFERROR(INDEX([1]Produtos!$C:$C,MATCH(L403,[1]Produtos!$B:$B,0)), "-")</f>
        <v>ÁGUA MICELAR BABA GLOW</v>
      </c>
      <c r="N403" s="510">
        <f>IFERROR(INDEX([1]Produtos!$E:$E,MATCH(L403,[1]Produtos!$B:$B,0)), "-")</f>
        <v>325</v>
      </c>
      <c r="O403" s="270" t="str">
        <f>IFERROR(INDEX([1]Produtos!$F:$F,MATCH(L403,[1]Produtos!$B:$B,0)), "-")</f>
        <v>ml</v>
      </c>
      <c r="P403" s="270" t="str">
        <f>IFERROR(INDEX([1]Produtos!$G:$G,MATCH(L403,[1]Produtos!$B:$B,0)), "-")</f>
        <v>GLOW MAKE UP</v>
      </c>
      <c r="Q403" s="270" t="str">
        <f>IFERROR(INDEX([1]Produtos!$H:$H,MATCH(L403,[1]Produtos!$B:$B,0)), "-")</f>
        <v>MAQUIAGEM</v>
      </c>
      <c r="R403" s="270" t="str">
        <f>IFERROR(INDEX([1]Produtos!$I:$I,MATCH(L403,[1]Produtos!$B:$B,0)), "-")</f>
        <v>ÁGUA MICELAR</v>
      </c>
      <c r="S403" s="270" t="str">
        <f>IFERROR(INDEX([1]Produtos!$J:$J,MATCH(L403,[1]Produtos!$B:$B,0)), "-")</f>
        <v>LÍQUIDO</v>
      </c>
      <c r="T403" s="475"/>
      <c r="U403" s="270"/>
      <c r="V403" s="270"/>
      <c r="W403" s="270"/>
      <c r="X403" s="270"/>
      <c r="Y403" s="270"/>
      <c r="Z403" s="270"/>
      <c r="AA403" s="270"/>
      <c r="AB403" s="270"/>
      <c r="AC403" s="270"/>
      <c r="AD403" s="270"/>
      <c r="AE403" s="270"/>
      <c r="AF403" s="270"/>
      <c r="AG403" s="270"/>
      <c r="AH403" s="270"/>
      <c r="AI403" s="270"/>
      <c r="AJ403" s="270"/>
      <c r="AK403" s="270"/>
      <c r="AL403" s="270"/>
      <c r="AM403" s="663"/>
      <c r="AN403" s="663"/>
      <c r="AO403" s="708" t="str">
        <f>IF(OR(Table1[[#This Row],[Início Setup Envase]]="",Table1[[#This Row],[Final Setup Envase]]=""),"",Table1[[#This Row],[Final Setup Envase]]-Table1[[#This Row],[Início Setup Envase]])</f>
        <v/>
      </c>
      <c r="AP403" s="663"/>
      <c r="AQ403" s="663"/>
      <c r="AR403" s="270"/>
      <c r="AS403" s="270"/>
      <c r="AT403" s="270"/>
      <c r="AU403" s="270"/>
      <c r="AV403" s="270"/>
      <c r="AW403" s="270"/>
      <c r="AX403" s="270"/>
      <c r="AY403" s="270"/>
      <c r="AZ403" s="270"/>
      <c r="BA403" s="270">
        <f>IF(Table1[[#This Row],[Data de Início]]="","",YEAR(Table1[[#This Row],[Data de Início]]))</f>
        <v>2025</v>
      </c>
      <c r="BB403" s="270">
        <f>IF(Table1[[#This Row],[Data de Início]]="","",MONTH(Table1[[#This Row],[Data de Início]]))</f>
        <v>8</v>
      </c>
      <c r="BC403" s="270"/>
    </row>
    <row r="404" spans="2:55" ht="15" customHeight="1" x14ac:dyDescent="0.25">
      <c r="B404" s="470">
        <v>45897.798611111109</v>
      </c>
      <c r="C404" s="263">
        <v>45897.909722222219</v>
      </c>
      <c r="D404" s="264" cm="1">
        <f t="array" ref="D404">IFERROR(HorasUteisFabrica2Turnos(B404,C404), "")</f>
        <v>2.6666666666278616</v>
      </c>
      <c r="E404" s="265">
        <f t="shared" si="6"/>
        <v>432.00000000628643</v>
      </c>
      <c r="F404" s="266" t="s">
        <v>377</v>
      </c>
      <c r="G404" s="266" t="s">
        <v>475</v>
      </c>
      <c r="H404" s="266"/>
      <c r="I404" s="269" t="s">
        <v>656</v>
      </c>
      <c r="J404" s="267" t="s">
        <v>15</v>
      </c>
      <c r="K404" s="268">
        <v>1152</v>
      </c>
      <c r="L404" s="269" t="s">
        <v>504</v>
      </c>
      <c r="M404" s="270" t="str">
        <f>IFERROR(INDEX([1]Produtos!$C:$C,MATCH(L404,[1]Produtos!$B:$B,0)), "-")</f>
        <v>ÁGUA MICELAR BABA GLOW</v>
      </c>
      <c r="N404" s="510">
        <f>IFERROR(INDEX([1]Produtos!$E:$E,MATCH(L404,[1]Produtos!$B:$B,0)), "-")</f>
        <v>325</v>
      </c>
      <c r="O404" s="270" t="str">
        <f>IFERROR(INDEX([1]Produtos!$F:$F,MATCH(L404,[1]Produtos!$B:$B,0)), "-")</f>
        <v>ml</v>
      </c>
      <c r="P404" s="270" t="str">
        <f>IFERROR(INDEX([1]Produtos!$G:$G,MATCH(L404,[1]Produtos!$B:$B,0)), "-")</f>
        <v>GLOW MAKE UP</v>
      </c>
      <c r="Q404" s="270" t="str">
        <f>IFERROR(INDEX([1]Produtos!$H:$H,MATCH(L404,[1]Produtos!$B:$B,0)), "-")</f>
        <v>MAQUIAGEM</v>
      </c>
      <c r="R404" s="270" t="str">
        <f>IFERROR(INDEX([1]Produtos!$I:$I,MATCH(L404,[1]Produtos!$B:$B,0)), "-")</f>
        <v>ÁGUA MICELAR</v>
      </c>
      <c r="S404" s="270" t="str">
        <f>IFERROR(INDEX([1]Produtos!$J:$J,MATCH(L404,[1]Produtos!$B:$B,0)), "-")</f>
        <v>LÍQUIDO</v>
      </c>
      <c r="T404" s="475"/>
      <c r="U404" s="270"/>
      <c r="V404" s="270"/>
      <c r="W404" s="270"/>
      <c r="X404" s="270"/>
      <c r="Y404" s="270"/>
      <c r="Z404" s="270"/>
      <c r="AA404" s="270"/>
      <c r="AB404" s="270"/>
      <c r="AC404" s="270"/>
      <c r="AD404" s="270"/>
      <c r="AE404" s="270"/>
      <c r="AF404" s="270"/>
      <c r="AG404" s="270"/>
      <c r="AH404" s="270"/>
      <c r="AI404" s="270"/>
      <c r="AJ404" s="270"/>
      <c r="AK404" s="270"/>
      <c r="AL404" s="270"/>
      <c r="AM404" s="663"/>
      <c r="AN404" s="663"/>
      <c r="AO404" s="708" t="str">
        <f>IF(OR(Table1[[#This Row],[Início Setup Envase]]="",Table1[[#This Row],[Final Setup Envase]]=""),"",Table1[[#This Row],[Final Setup Envase]]-Table1[[#This Row],[Início Setup Envase]])</f>
        <v/>
      </c>
      <c r="AP404" s="663"/>
      <c r="AQ404" s="663"/>
      <c r="AR404" s="270"/>
      <c r="AS404" s="270"/>
      <c r="AT404" s="270"/>
      <c r="AU404" s="270"/>
      <c r="AV404" s="270"/>
      <c r="AW404" s="270"/>
      <c r="AX404" s="270"/>
      <c r="AY404" s="270"/>
      <c r="AZ404" s="270"/>
      <c r="BA404" s="270">
        <f>IF(Table1[[#This Row],[Data de Início]]="","",YEAR(Table1[[#This Row],[Data de Início]]))</f>
        <v>2025</v>
      </c>
      <c r="BB404" s="270">
        <f>IF(Table1[[#This Row],[Data de Início]]="","",MONTH(Table1[[#This Row],[Data de Início]]))</f>
        <v>8</v>
      </c>
      <c r="BC404" s="270"/>
    </row>
    <row r="405" spans="2:55" ht="15" customHeight="1" x14ac:dyDescent="0.25">
      <c r="B405" s="470">
        <v>45897.833333333336</v>
      </c>
      <c r="C405" s="263">
        <v>45898.270833333336</v>
      </c>
      <c r="D405" s="264" cm="1">
        <f t="array" ref="D405">IFERROR(HorasUteisFabrica2Turnos(B405,C405), "")</f>
        <v>1.9999999998835847</v>
      </c>
      <c r="E405" s="265">
        <f t="shared" si="6"/>
        <v>840.00000004889444</v>
      </c>
      <c r="F405" s="266" t="s">
        <v>377</v>
      </c>
      <c r="G405" s="266" t="s">
        <v>475</v>
      </c>
      <c r="H405" s="266"/>
      <c r="I405" s="269" t="s">
        <v>661</v>
      </c>
      <c r="J405" s="267" t="s">
        <v>15</v>
      </c>
      <c r="K405" s="268">
        <v>1680</v>
      </c>
      <c r="L405" s="269" t="s">
        <v>478</v>
      </c>
      <c r="M405" s="270" t="str">
        <f>IFERROR(INDEX([1]Produtos!$C:$C,MATCH(L405,[1]Produtos!$B:$B,0)), "-")</f>
        <v>ÁGUA MICELAR 3 EM 1</v>
      </c>
      <c r="N405" s="510">
        <f>IFERROR(INDEX([1]Produtos!$E:$E,MATCH(L405,[1]Produtos!$B:$B,0)), "-")</f>
        <v>325</v>
      </c>
      <c r="O405" s="270" t="str">
        <f>IFERROR(INDEX([1]Produtos!$F:$F,MATCH(L405,[1]Produtos!$B:$B,0)), "-")</f>
        <v>ml</v>
      </c>
      <c r="P405" s="270" t="str">
        <f>IFERROR(INDEX([1]Produtos!$G:$G,MATCH(L405,[1]Produtos!$B:$B,0)), "-")</f>
        <v>GLOW MAKE UP</v>
      </c>
      <c r="Q405" s="270" t="str">
        <f>IFERROR(INDEX([1]Produtos!$H:$H,MATCH(L405,[1]Produtos!$B:$B,0)), "-")</f>
        <v>MAQUIAGEM</v>
      </c>
      <c r="R405" s="270" t="str">
        <f>IFERROR(INDEX([1]Produtos!$I:$I,MATCH(L405,[1]Produtos!$B:$B,0)), "-")</f>
        <v>ÁGUA MICELAR</v>
      </c>
      <c r="S405" s="270" t="str">
        <f>IFERROR(INDEX([1]Produtos!$J:$J,MATCH(L405,[1]Produtos!$B:$B,0)), "-")</f>
        <v>LÍQUIDO</v>
      </c>
      <c r="T405" s="475"/>
      <c r="U405" s="270"/>
      <c r="V405" s="270"/>
      <c r="W405" s="270"/>
      <c r="X405" s="270"/>
      <c r="Y405" s="270"/>
      <c r="Z405" s="270"/>
      <c r="AA405" s="270"/>
      <c r="AB405" s="270"/>
      <c r="AC405" s="270"/>
      <c r="AD405" s="270"/>
      <c r="AE405" s="270"/>
      <c r="AF405" s="270"/>
      <c r="AG405" s="270"/>
      <c r="AH405" s="270"/>
      <c r="AI405" s="270"/>
      <c r="AJ405" s="270"/>
      <c r="AK405" s="270"/>
      <c r="AL405" s="270"/>
      <c r="AM405" s="663"/>
      <c r="AN405" s="663"/>
      <c r="AO405" s="708" t="str">
        <f>IF(OR(Table1[[#This Row],[Início Setup Envase]]="",Table1[[#This Row],[Final Setup Envase]]=""),"",Table1[[#This Row],[Final Setup Envase]]-Table1[[#This Row],[Início Setup Envase]])</f>
        <v/>
      </c>
      <c r="AP405" s="663"/>
      <c r="AQ405" s="663"/>
      <c r="AR405" s="270"/>
      <c r="AS405" s="270"/>
      <c r="AT405" s="270"/>
      <c r="AU405" s="270"/>
      <c r="AV405" s="270"/>
      <c r="AW405" s="270"/>
      <c r="AX405" s="270"/>
      <c r="AY405" s="270"/>
      <c r="AZ405" s="270"/>
      <c r="BA405" s="270">
        <f>IF(Table1[[#This Row],[Data de Início]]="","",YEAR(Table1[[#This Row],[Data de Início]]))</f>
        <v>2025</v>
      </c>
      <c r="BB405" s="270">
        <f>IF(Table1[[#This Row],[Data de Início]]="","",MONTH(Table1[[#This Row],[Data de Início]]))</f>
        <v>8</v>
      </c>
      <c r="BC405" s="270"/>
    </row>
    <row r="406" spans="2:55" ht="15" customHeight="1" x14ac:dyDescent="0.25">
      <c r="B406" s="470">
        <v>45898.270833333336</v>
      </c>
      <c r="C406" s="263">
        <v>45898.333333333336</v>
      </c>
      <c r="D406" s="440" cm="1">
        <f t="array" ref="D406">IFERROR(HorasUteisFabrica2Turnos(B406,C406), "")</f>
        <v>1.0000000001164153</v>
      </c>
      <c r="E406" s="265">
        <f t="shared" si="6"/>
        <v>999.99999988358468</v>
      </c>
      <c r="F406" s="266" t="s">
        <v>378</v>
      </c>
      <c r="G406" s="266" t="s">
        <v>712</v>
      </c>
      <c r="H406" s="266"/>
      <c r="I406" s="269" t="s">
        <v>713</v>
      </c>
      <c r="J406" s="267" t="s">
        <v>15</v>
      </c>
      <c r="K406" s="268">
        <v>1000</v>
      </c>
      <c r="L406" s="269" t="s">
        <v>707</v>
      </c>
      <c r="M406" s="270" t="str">
        <f>IFERROR(INDEX([1]Produtos!$C:$C,MATCH(L406,[1]Produtos!$B:$B,0)), "-")</f>
        <v>GELATINA CAPILAR CHEIRINHO DE PISTACHE</v>
      </c>
      <c r="N406" s="510">
        <f>IFERROR(INDEX([1]Produtos!$E:$E,MATCH(L406,[1]Produtos!$B:$B,0)), "-")</f>
        <v>500</v>
      </c>
      <c r="O406" s="270" t="str">
        <f>IFERROR(INDEX([1]Produtos!$F:$F,MATCH(L406,[1]Produtos!$B:$B,0)), "-")</f>
        <v>ml</v>
      </c>
      <c r="P406" s="270" t="str">
        <f>IFERROR(INDEX([1]Produtos!$G:$G,MATCH(L406,[1]Produtos!$B:$B,0)), "-")</f>
        <v>ISA BEAUTY</v>
      </c>
      <c r="Q406" s="270" t="str">
        <f>IFERROR(INDEX([1]Produtos!$H:$H,MATCH(L406,[1]Produtos!$B:$B,0)), "-")</f>
        <v>CAPILAR</v>
      </c>
      <c r="R406" s="270" t="str">
        <f>IFERROR(INDEX([1]Produtos!$I:$I,MATCH(L406,[1]Produtos!$B:$B,0)), "-")</f>
        <v>GEL</v>
      </c>
      <c r="S406" s="270" t="str">
        <f>IFERROR(INDEX([1]Produtos!$J:$J,MATCH(L406,[1]Produtos!$B:$B,0)), "-")</f>
        <v>CREMOSO</v>
      </c>
      <c r="T406" s="475"/>
      <c r="U406" s="270"/>
      <c r="V406" s="270"/>
      <c r="W406" s="270"/>
      <c r="X406" s="270"/>
      <c r="Y406" s="270"/>
      <c r="Z406" s="270"/>
      <c r="AA406" s="270"/>
      <c r="AB406" s="270"/>
      <c r="AC406" s="270"/>
      <c r="AD406" s="270"/>
      <c r="AE406" s="270"/>
      <c r="AF406" s="270"/>
      <c r="AG406" s="270"/>
      <c r="AH406" s="270"/>
      <c r="AI406" s="270"/>
      <c r="AJ406" s="270"/>
      <c r="AK406" s="270"/>
      <c r="AL406" s="270"/>
      <c r="AM406" s="663"/>
      <c r="AN406" s="663"/>
      <c r="AO406" s="708" t="str">
        <f>IF(OR(Table1[[#This Row],[Início Setup Envase]]="",Table1[[#This Row],[Final Setup Envase]]=""),"",Table1[[#This Row],[Final Setup Envase]]-Table1[[#This Row],[Início Setup Envase]])</f>
        <v/>
      </c>
      <c r="AP406" s="663"/>
      <c r="AQ406" s="663"/>
      <c r="AR406" s="270"/>
      <c r="AS406" s="270"/>
      <c r="AT406" s="270"/>
      <c r="AU406" s="270"/>
      <c r="AV406" s="270"/>
      <c r="AW406" s="270"/>
      <c r="AX406" s="270"/>
      <c r="AY406" s="270"/>
      <c r="AZ406" s="270"/>
      <c r="BA406" s="270">
        <f>IF(Table1[[#This Row],[Data de Início]]="","",YEAR(Table1[[#This Row],[Data de Início]]))</f>
        <v>2025</v>
      </c>
      <c r="BB406" s="270">
        <f>IF(Table1[[#This Row],[Data de Início]]="","",MONTH(Table1[[#This Row],[Data de Início]]))</f>
        <v>8</v>
      </c>
      <c r="BC406" s="270"/>
    </row>
    <row r="407" spans="2:55" ht="15" customHeight="1" x14ac:dyDescent="0.25">
      <c r="B407" s="470">
        <v>45898.270833333336</v>
      </c>
      <c r="C407" s="263">
        <v>45898.354166666664</v>
      </c>
      <c r="D407" s="440" cm="1">
        <f t="array" ref="D407">IFERROR(HorasUteisFabrica2Turnos(B407,C407), "")</f>
        <v>1.5</v>
      </c>
      <c r="E407" s="265">
        <f t="shared" si="6"/>
        <v>1120</v>
      </c>
      <c r="F407" s="266" t="s">
        <v>377</v>
      </c>
      <c r="G407" s="266" t="s">
        <v>475</v>
      </c>
      <c r="H407" s="266"/>
      <c r="I407" s="269" t="s">
        <v>660</v>
      </c>
      <c r="J407" s="267" t="s">
        <v>15</v>
      </c>
      <c r="K407" s="268">
        <v>1680</v>
      </c>
      <c r="L407" s="269" t="s">
        <v>478</v>
      </c>
      <c r="M407" s="270" t="str">
        <f>IFERROR(INDEX([1]Produtos!$C:$C,MATCH(L407,[1]Produtos!$B:$B,0)), "-")</f>
        <v>ÁGUA MICELAR 3 EM 1</v>
      </c>
      <c r="N407" s="510">
        <f>IFERROR(INDEX([1]Produtos!$E:$E,MATCH(L407,[1]Produtos!$B:$B,0)), "-")</f>
        <v>325</v>
      </c>
      <c r="O407" s="270" t="str">
        <f>IFERROR(INDEX([1]Produtos!$F:$F,MATCH(L407,[1]Produtos!$B:$B,0)), "-")</f>
        <v>ml</v>
      </c>
      <c r="P407" s="270" t="str">
        <f>IFERROR(INDEX([1]Produtos!$G:$G,MATCH(L407,[1]Produtos!$B:$B,0)), "-")</f>
        <v>GLOW MAKE UP</v>
      </c>
      <c r="Q407" s="270" t="str">
        <f>IFERROR(INDEX([1]Produtos!$H:$H,MATCH(L407,[1]Produtos!$B:$B,0)), "-")</f>
        <v>MAQUIAGEM</v>
      </c>
      <c r="R407" s="270" t="str">
        <f>IFERROR(INDEX([1]Produtos!$I:$I,MATCH(L407,[1]Produtos!$B:$B,0)), "-")</f>
        <v>ÁGUA MICELAR</v>
      </c>
      <c r="S407" s="270" t="str">
        <f>IFERROR(INDEX([1]Produtos!$J:$J,MATCH(L407,[1]Produtos!$B:$B,0)), "-")</f>
        <v>LÍQUIDO</v>
      </c>
      <c r="T407" s="475"/>
      <c r="U407" s="270"/>
      <c r="V407" s="270"/>
      <c r="W407" s="270"/>
      <c r="X407" s="270"/>
      <c r="Y407" s="270"/>
      <c r="Z407" s="270"/>
      <c r="AA407" s="270"/>
      <c r="AB407" s="270"/>
      <c r="AC407" s="270"/>
      <c r="AD407" s="270"/>
      <c r="AE407" s="270"/>
      <c r="AF407" s="270"/>
      <c r="AG407" s="270"/>
      <c r="AH407" s="270"/>
      <c r="AI407" s="270"/>
      <c r="AJ407" s="270"/>
      <c r="AK407" s="270"/>
      <c r="AL407" s="270"/>
      <c r="AM407" s="663"/>
      <c r="AN407" s="663"/>
      <c r="AO407" s="708" t="str">
        <f>IF(OR(Table1[[#This Row],[Início Setup Envase]]="",Table1[[#This Row],[Final Setup Envase]]=""),"",Table1[[#This Row],[Final Setup Envase]]-Table1[[#This Row],[Início Setup Envase]])</f>
        <v/>
      </c>
      <c r="AP407" s="663"/>
      <c r="AQ407" s="663"/>
      <c r="AR407" s="270"/>
      <c r="AS407" s="270"/>
      <c r="AT407" s="270"/>
      <c r="AU407" s="270"/>
      <c r="AV407" s="270"/>
      <c r="AW407" s="270"/>
      <c r="AX407" s="270"/>
      <c r="AY407" s="270"/>
      <c r="AZ407" s="270"/>
      <c r="BA407" s="270">
        <f>IF(Table1[[#This Row],[Data de Início]]="","",YEAR(Table1[[#This Row],[Data de Início]]))</f>
        <v>2025</v>
      </c>
      <c r="BB407" s="270">
        <f>IF(Table1[[#This Row],[Data de Início]]="","",MONTH(Table1[[#This Row],[Data de Início]]))</f>
        <v>8</v>
      </c>
      <c r="BC407" s="270"/>
    </row>
    <row r="408" spans="2:55" ht="15" customHeight="1" x14ac:dyDescent="0.25">
      <c r="B408" s="470">
        <v>45898.340277777781</v>
      </c>
      <c r="C408" s="470">
        <v>45898.416666666664</v>
      </c>
      <c r="D408" s="441" cm="1">
        <f t="array" ref="D408">IFERROR(HorasUteisFabrica2Turnos(B408,C408), "")</f>
        <v>1.8333333331975155</v>
      </c>
      <c r="E408" s="265">
        <f t="shared" si="6"/>
        <v>545.45454549495412</v>
      </c>
      <c r="F408" s="266" t="s">
        <v>378</v>
      </c>
      <c r="G408" s="266" t="s">
        <v>712</v>
      </c>
      <c r="H408" s="266"/>
      <c r="I408" s="269" t="s">
        <v>714</v>
      </c>
      <c r="J408" s="267" t="s">
        <v>15</v>
      </c>
      <c r="K408" s="268">
        <v>1000</v>
      </c>
      <c r="L408" s="269" t="s">
        <v>707</v>
      </c>
      <c r="M408" s="270" t="str">
        <f>IFERROR(INDEX([1]Produtos!$C:$C,MATCH(L408,[1]Produtos!$B:$B,0)), "-")</f>
        <v>GELATINA CAPILAR CHEIRINHO DE PISTACHE</v>
      </c>
      <c r="N408" s="510">
        <f>IFERROR(INDEX([1]Produtos!$E:$E,MATCH(L408,[1]Produtos!$B:$B,0)), "-")</f>
        <v>500</v>
      </c>
      <c r="O408" s="270" t="str">
        <f>IFERROR(INDEX([1]Produtos!$F:$F,MATCH(L408,[1]Produtos!$B:$B,0)), "-")</f>
        <v>ml</v>
      </c>
      <c r="P408" s="270" t="str">
        <f>IFERROR(INDEX([1]Produtos!$G:$G,MATCH(L408,[1]Produtos!$B:$B,0)), "-")</f>
        <v>ISA BEAUTY</v>
      </c>
      <c r="Q408" s="270" t="str">
        <f>IFERROR(INDEX([1]Produtos!$H:$H,MATCH(L408,[1]Produtos!$B:$B,0)), "-")</f>
        <v>CAPILAR</v>
      </c>
      <c r="R408" s="270" t="str">
        <f>IFERROR(INDEX([1]Produtos!$I:$I,MATCH(L408,[1]Produtos!$B:$B,0)), "-")</f>
        <v>GEL</v>
      </c>
      <c r="S408" s="270" t="str">
        <f>IFERROR(INDEX([1]Produtos!$J:$J,MATCH(L408,[1]Produtos!$B:$B,0)), "-")</f>
        <v>CREMOSO</v>
      </c>
      <c r="T408" s="475"/>
      <c r="U408" s="270"/>
      <c r="V408" s="270"/>
      <c r="W408" s="270"/>
      <c r="X408" s="270"/>
      <c r="Y408" s="270"/>
      <c r="Z408" s="270"/>
      <c r="AA408" s="270"/>
      <c r="AB408" s="270"/>
      <c r="AC408" s="270"/>
      <c r="AD408" s="270"/>
      <c r="AE408" s="270"/>
      <c r="AF408" s="270"/>
      <c r="AG408" s="270"/>
      <c r="AH408" s="270"/>
      <c r="AI408" s="270"/>
      <c r="AJ408" s="270"/>
      <c r="AK408" s="270"/>
      <c r="AL408" s="270"/>
      <c r="AM408" s="663"/>
      <c r="AN408" s="663"/>
      <c r="AO408" s="708" t="str">
        <f>IF(OR(Table1[[#This Row],[Início Setup Envase]]="",Table1[[#This Row],[Final Setup Envase]]=""),"",Table1[[#This Row],[Final Setup Envase]]-Table1[[#This Row],[Início Setup Envase]])</f>
        <v/>
      </c>
      <c r="AP408" s="663"/>
      <c r="AQ408" s="663"/>
      <c r="AR408" s="270"/>
      <c r="AS408" s="270"/>
      <c r="AT408" s="270"/>
      <c r="AU408" s="270"/>
      <c r="AV408" s="270"/>
      <c r="AW408" s="270"/>
      <c r="AX408" s="270"/>
      <c r="AY408" s="270"/>
      <c r="AZ408" s="270"/>
      <c r="BA408" s="270">
        <f>IF(Table1[[#This Row],[Data de Início]]="","",YEAR(Table1[[#This Row],[Data de Início]]))</f>
        <v>2025</v>
      </c>
      <c r="BB408" s="270">
        <f>IF(Table1[[#This Row],[Data de Início]]="","",MONTH(Table1[[#This Row],[Data de Início]]))</f>
        <v>8</v>
      </c>
      <c r="BC408" s="270"/>
    </row>
    <row r="409" spans="2:55" ht="15" customHeight="1" x14ac:dyDescent="0.25">
      <c r="B409" s="470">
        <v>45898.354166666664</v>
      </c>
      <c r="C409" s="263">
        <v>45898.4375</v>
      </c>
      <c r="D409" s="264" cm="1">
        <f t="array" ref="D409">IFERROR(HorasUteisFabrica2Turnos(B409,C409), "")</f>
        <v>2.0000000000582077</v>
      </c>
      <c r="E409" s="265">
        <f t="shared" si="6"/>
        <v>839.99999997555278</v>
      </c>
      <c r="F409" s="266" t="s">
        <v>377</v>
      </c>
      <c r="G409" s="266" t="s">
        <v>475</v>
      </c>
      <c r="H409" s="266"/>
      <c r="I409" s="269" t="s">
        <v>659</v>
      </c>
      <c r="J409" s="267" t="s">
        <v>15</v>
      </c>
      <c r="K409" s="268">
        <v>1680</v>
      </c>
      <c r="L409" s="269" t="s">
        <v>478</v>
      </c>
      <c r="M409" s="270" t="str">
        <f>IFERROR(INDEX([1]Produtos!$C:$C,MATCH(L409,[1]Produtos!$B:$B,0)), "-")</f>
        <v>ÁGUA MICELAR 3 EM 1</v>
      </c>
      <c r="N409" s="510">
        <f>IFERROR(INDEX([1]Produtos!$E:$E,MATCH(L409,[1]Produtos!$B:$B,0)), "-")</f>
        <v>325</v>
      </c>
      <c r="O409" s="270" t="str">
        <f>IFERROR(INDEX([1]Produtos!$F:$F,MATCH(L409,[1]Produtos!$B:$B,0)), "-")</f>
        <v>ml</v>
      </c>
      <c r="P409" s="270" t="str">
        <f>IFERROR(INDEX([1]Produtos!$G:$G,MATCH(L409,[1]Produtos!$B:$B,0)), "-")</f>
        <v>GLOW MAKE UP</v>
      </c>
      <c r="Q409" s="270" t="str">
        <f>IFERROR(INDEX([1]Produtos!$H:$H,MATCH(L409,[1]Produtos!$B:$B,0)), "-")</f>
        <v>MAQUIAGEM</v>
      </c>
      <c r="R409" s="270" t="str">
        <f>IFERROR(INDEX([1]Produtos!$I:$I,MATCH(L409,[1]Produtos!$B:$B,0)), "-")</f>
        <v>ÁGUA MICELAR</v>
      </c>
      <c r="S409" s="270" t="str">
        <f>IFERROR(INDEX([1]Produtos!$J:$J,MATCH(L409,[1]Produtos!$B:$B,0)), "-")</f>
        <v>LÍQUIDO</v>
      </c>
      <c r="T409" s="475"/>
      <c r="U409" s="270"/>
      <c r="V409" s="270"/>
      <c r="W409" s="270"/>
      <c r="X409" s="270"/>
      <c r="Y409" s="270"/>
      <c r="Z409" s="270"/>
      <c r="AA409" s="270"/>
      <c r="AB409" s="270"/>
      <c r="AC409" s="270"/>
      <c r="AD409" s="270"/>
      <c r="AE409" s="270"/>
      <c r="AF409" s="270"/>
      <c r="AG409" s="270"/>
      <c r="AH409" s="270"/>
      <c r="AI409" s="270"/>
      <c r="AJ409" s="270"/>
      <c r="AK409" s="270"/>
      <c r="AL409" s="270"/>
      <c r="AM409" s="663"/>
      <c r="AN409" s="663"/>
      <c r="AO409" s="708" t="str">
        <f>IF(OR(Table1[[#This Row],[Início Setup Envase]]="",Table1[[#This Row],[Final Setup Envase]]=""),"",Table1[[#This Row],[Final Setup Envase]]-Table1[[#This Row],[Início Setup Envase]])</f>
        <v/>
      </c>
      <c r="AP409" s="663"/>
      <c r="AQ409" s="663"/>
      <c r="AR409" s="270"/>
      <c r="AS409" s="270"/>
      <c r="AT409" s="270"/>
      <c r="AU409" s="270"/>
      <c r="AV409" s="270"/>
      <c r="AW409" s="270"/>
      <c r="AX409" s="270"/>
      <c r="AY409" s="270"/>
      <c r="AZ409" s="270"/>
      <c r="BA409" s="270">
        <f>IF(Table1[[#This Row],[Data de Início]]="","",YEAR(Table1[[#This Row],[Data de Início]]))</f>
        <v>2025</v>
      </c>
      <c r="BB409" s="270">
        <f>IF(Table1[[#This Row],[Data de Início]]="","",MONTH(Table1[[#This Row],[Data de Início]]))</f>
        <v>8</v>
      </c>
      <c r="BC409" s="270"/>
    </row>
    <row r="410" spans="2:55" ht="15" customHeight="1" x14ac:dyDescent="0.25">
      <c r="B410" s="470">
        <v>45898.398611111108</v>
      </c>
      <c r="C410" s="263">
        <v>45901.375</v>
      </c>
      <c r="D410" s="264" cm="1">
        <f t="array" ref="D410">IFERROR(HorasUteisFabrica2Turnos(B410,C410), "")</f>
        <v>7.433333333407063</v>
      </c>
      <c r="E410" s="265">
        <f t="shared" si="6"/>
        <v>134.52914798072842</v>
      </c>
      <c r="F410" s="266" t="s">
        <v>378</v>
      </c>
      <c r="G410" s="266" t="s">
        <v>712</v>
      </c>
      <c r="H410" s="266"/>
      <c r="I410" s="269" t="s">
        <v>734</v>
      </c>
      <c r="J410" s="267" t="s">
        <v>15</v>
      </c>
      <c r="K410" s="268">
        <v>1000</v>
      </c>
      <c r="L410" s="269" t="s">
        <v>707</v>
      </c>
      <c r="M410" s="270" t="str">
        <f>IFERROR(INDEX([1]Produtos!$C:$C,MATCH(L410,[1]Produtos!$B:$B,0)), "-")</f>
        <v>GELATINA CAPILAR CHEIRINHO DE PISTACHE</v>
      </c>
      <c r="N410" s="510">
        <f>IFERROR(INDEX([1]Produtos!$E:$E,MATCH(L410,[1]Produtos!$B:$B,0)), "-")</f>
        <v>500</v>
      </c>
      <c r="O410" s="270" t="str">
        <f>IFERROR(INDEX([1]Produtos!$F:$F,MATCH(L410,[1]Produtos!$B:$B,0)), "-")</f>
        <v>ml</v>
      </c>
      <c r="P410" s="270" t="str">
        <f>IFERROR(INDEX([1]Produtos!$G:$G,MATCH(L410,[1]Produtos!$B:$B,0)), "-")</f>
        <v>ISA BEAUTY</v>
      </c>
      <c r="Q410" s="270" t="str">
        <f>IFERROR(INDEX([1]Produtos!$H:$H,MATCH(L410,[1]Produtos!$B:$B,0)), "-")</f>
        <v>CAPILAR</v>
      </c>
      <c r="R410" s="270" t="str">
        <f>IFERROR(INDEX([1]Produtos!$I:$I,MATCH(L410,[1]Produtos!$B:$B,0)), "-")</f>
        <v>GEL</v>
      </c>
      <c r="S410" s="270" t="str">
        <f>IFERROR(INDEX([1]Produtos!$J:$J,MATCH(L410,[1]Produtos!$B:$B,0)), "-")</f>
        <v>CREMOSO</v>
      </c>
      <c r="T410" s="475"/>
      <c r="U410" s="270"/>
      <c r="V410" s="270"/>
      <c r="W410" s="270"/>
      <c r="X410" s="270"/>
      <c r="Y410" s="270"/>
      <c r="Z410" s="270"/>
      <c r="AA410" s="270"/>
      <c r="AB410" s="270"/>
      <c r="AC410" s="270"/>
      <c r="AD410" s="270"/>
      <c r="AE410" s="270"/>
      <c r="AF410" s="270"/>
      <c r="AG410" s="270"/>
      <c r="AH410" s="270"/>
      <c r="AI410" s="270"/>
      <c r="AJ410" s="270"/>
      <c r="AK410" s="270"/>
      <c r="AL410" s="270"/>
      <c r="AM410" s="663"/>
      <c r="AN410" s="663"/>
      <c r="AO410" s="708" t="str">
        <f>IF(OR(Table1[[#This Row],[Início Setup Envase]]="",Table1[[#This Row],[Final Setup Envase]]=""),"",Table1[[#This Row],[Final Setup Envase]]-Table1[[#This Row],[Início Setup Envase]])</f>
        <v/>
      </c>
      <c r="AP410" s="663"/>
      <c r="AQ410" s="663"/>
      <c r="AR410" s="270"/>
      <c r="AS410" s="270"/>
      <c r="AT410" s="270"/>
      <c r="AU410" s="270"/>
      <c r="AV410" s="270"/>
      <c r="AW410" s="270"/>
      <c r="AX410" s="270"/>
      <c r="AY410" s="270"/>
      <c r="AZ410" s="270"/>
      <c r="BA410" s="270">
        <f>IF(Table1[[#This Row],[Data de Início]]="","",YEAR(Table1[[#This Row],[Data de Início]]))</f>
        <v>2025</v>
      </c>
      <c r="BB410" s="270">
        <f>IF(Table1[[#This Row],[Data de Início]]="","",MONTH(Table1[[#This Row],[Data de Início]]))</f>
        <v>8</v>
      </c>
      <c r="BC410" s="270"/>
    </row>
    <row r="411" spans="2:55" ht="15" customHeight="1" x14ac:dyDescent="0.25">
      <c r="B411" s="470">
        <v>45898.416666666664</v>
      </c>
      <c r="C411" s="263">
        <v>45898.5</v>
      </c>
      <c r="D411" s="264" cm="1">
        <f t="array" ref="D411">IFERROR(HorasUteisFabrica2Turnos(B411,C411), "")</f>
        <v>2.0000000000582077</v>
      </c>
      <c r="E411" s="265">
        <f t="shared" si="6"/>
        <v>499.99999998544808</v>
      </c>
      <c r="F411" s="266" t="s">
        <v>378</v>
      </c>
      <c r="G411" s="266" t="s">
        <v>712</v>
      </c>
      <c r="H411" s="266"/>
      <c r="I411" s="269" t="s">
        <v>706</v>
      </c>
      <c r="J411" s="267" t="s">
        <v>15</v>
      </c>
      <c r="K411" s="268">
        <v>1000</v>
      </c>
      <c r="L411" s="269" t="s">
        <v>707</v>
      </c>
      <c r="M411" s="270" t="str">
        <f>IFERROR(INDEX([1]Produtos!$C:$C,MATCH(L411,[1]Produtos!$B:$B,0)), "-")</f>
        <v>GELATINA CAPILAR CHEIRINHO DE PISTACHE</v>
      </c>
      <c r="N411" s="510">
        <f>IFERROR(INDEX([1]Produtos!$E:$E,MATCH(L411,[1]Produtos!$B:$B,0)), "-")</f>
        <v>500</v>
      </c>
      <c r="O411" s="270" t="str">
        <f>IFERROR(INDEX([1]Produtos!$F:$F,MATCH(L411,[1]Produtos!$B:$B,0)), "-")</f>
        <v>ml</v>
      </c>
      <c r="P411" s="270" t="str">
        <f>IFERROR(INDEX([1]Produtos!$G:$G,MATCH(L411,[1]Produtos!$B:$B,0)), "-")</f>
        <v>ISA BEAUTY</v>
      </c>
      <c r="Q411" s="270" t="str">
        <f>IFERROR(INDEX([1]Produtos!$H:$H,MATCH(L411,[1]Produtos!$B:$B,0)), "-")</f>
        <v>CAPILAR</v>
      </c>
      <c r="R411" s="270" t="str">
        <f>IFERROR(INDEX([1]Produtos!$I:$I,MATCH(L411,[1]Produtos!$B:$B,0)), "-")</f>
        <v>GEL</v>
      </c>
      <c r="S411" s="270" t="str">
        <f>IFERROR(INDEX([1]Produtos!$J:$J,MATCH(L411,[1]Produtos!$B:$B,0)), "-")</f>
        <v>CREMOSO</v>
      </c>
      <c r="T411" s="475"/>
      <c r="U411" s="270"/>
      <c r="V411" s="270"/>
      <c r="W411" s="270"/>
      <c r="X411" s="270"/>
      <c r="Y411" s="270"/>
      <c r="Z411" s="270"/>
      <c r="AA411" s="270"/>
      <c r="AB411" s="270"/>
      <c r="AC411" s="270"/>
      <c r="AD411" s="270"/>
      <c r="AE411" s="270"/>
      <c r="AF411" s="270"/>
      <c r="AG411" s="270"/>
      <c r="AH411" s="270"/>
      <c r="AI411" s="270"/>
      <c r="AJ411" s="270"/>
      <c r="AK411" s="270"/>
      <c r="AL411" s="270"/>
      <c r="AM411" s="663"/>
      <c r="AN411" s="663"/>
      <c r="AO411" s="708" t="str">
        <f>IF(OR(Table1[[#This Row],[Início Setup Envase]]="",Table1[[#This Row],[Final Setup Envase]]=""),"",Table1[[#This Row],[Final Setup Envase]]-Table1[[#This Row],[Início Setup Envase]])</f>
        <v/>
      </c>
      <c r="AP411" s="663"/>
      <c r="AQ411" s="663"/>
      <c r="AR411" s="270"/>
      <c r="AS411" s="270"/>
      <c r="AT411" s="270"/>
      <c r="AU411" s="270"/>
      <c r="AV411" s="270"/>
      <c r="AW411" s="270"/>
      <c r="AX411" s="270"/>
      <c r="AY411" s="270"/>
      <c r="AZ411" s="270"/>
      <c r="BA411" s="270">
        <f>IF(Table1[[#This Row],[Data de Início]]="","",YEAR(Table1[[#This Row],[Data de Início]]))</f>
        <v>2025</v>
      </c>
      <c r="BB411" s="270">
        <f>IF(Table1[[#This Row],[Data de Início]]="","",MONTH(Table1[[#This Row],[Data de Início]]))</f>
        <v>8</v>
      </c>
      <c r="BC411" s="270"/>
    </row>
    <row r="412" spans="2:55" ht="15" customHeight="1" x14ac:dyDescent="0.25">
      <c r="B412" s="470">
        <v>45898.444444444445</v>
      </c>
      <c r="C412" s="263">
        <v>45898.527777777781</v>
      </c>
      <c r="D412" s="264" cm="1">
        <f t="array" ref="D412">IFERROR(HorasUteisFabrica2Turnos(B412,C412), "")</f>
        <v>2.0000000000582077</v>
      </c>
      <c r="E412" s="265">
        <f t="shared" si="6"/>
        <v>839.99999997555278</v>
      </c>
      <c r="F412" s="266" t="s">
        <v>377</v>
      </c>
      <c r="G412" s="266" t="s">
        <v>475</v>
      </c>
      <c r="H412" s="266"/>
      <c r="I412" s="269" t="s">
        <v>663</v>
      </c>
      <c r="J412" s="267" t="s">
        <v>15</v>
      </c>
      <c r="K412" s="268">
        <v>1680</v>
      </c>
      <c r="L412" s="269" t="s">
        <v>478</v>
      </c>
      <c r="M412" s="270" t="str">
        <f>IFERROR(INDEX([1]Produtos!$C:$C,MATCH(L412,[1]Produtos!$B:$B,0)), "-")</f>
        <v>ÁGUA MICELAR 3 EM 1</v>
      </c>
      <c r="N412" s="510">
        <f>IFERROR(INDEX([1]Produtos!$E:$E,MATCH(L412,[1]Produtos!$B:$B,0)), "-")</f>
        <v>325</v>
      </c>
      <c r="O412" s="270" t="str">
        <f>IFERROR(INDEX([1]Produtos!$F:$F,MATCH(L412,[1]Produtos!$B:$B,0)), "-")</f>
        <v>ml</v>
      </c>
      <c r="P412" s="270" t="str">
        <f>IFERROR(INDEX([1]Produtos!$G:$G,MATCH(L412,[1]Produtos!$B:$B,0)), "-")</f>
        <v>GLOW MAKE UP</v>
      </c>
      <c r="Q412" s="270" t="str">
        <f>IFERROR(INDEX([1]Produtos!$H:$H,MATCH(L412,[1]Produtos!$B:$B,0)), "-")</f>
        <v>MAQUIAGEM</v>
      </c>
      <c r="R412" s="270" t="str">
        <f>IFERROR(INDEX([1]Produtos!$I:$I,MATCH(L412,[1]Produtos!$B:$B,0)), "-")</f>
        <v>ÁGUA MICELAR</v>
      </c>
      <c r="S412" s="270" t="str">
        <f>IFERROR(INDEX([1]Produtos!$J:$J,MATCH(L412,[1]Produtos!$B:$B,0)), "-")</f>
        <v>LÍQUIDO</v>
      </c>
      <c r="T412" s="475"/>
      <c r="U412" s="270"/>
      <c r="V412" s="270"/>
      <c r="W412" s="270"/>
      <c r="X412" s="270"/>
      <c r="Y412" s="270"/>
      <c r="Z412" s="270"/>
      <c r="AA412" s="270"/>
      <c r="AB412" s="270"/>
      <c r="AC412" s="270"/>
      <c r="AD412" s="270"/>
      <c r="AE412" s="270"/>
      <c r="AF412" s="270"/>
      <c r="AG412" s="270"/>
      <c r="AH412" s="270"/>
      <c r="AI412" s="270"/>
      <c r="AJ412" s="270"/>
      <c r="AK412" s="270"/>
      <c r="AL412" s="270"/>
      <c r="AM412" s="663"/>
      <c r="AN412" s="663"/>
      <c r="AO412" s="708" t="str">
        <f>IF(OR(Table1[[#This Row],[Início Setup Envase]]="",Table1[[#This Row],[Final Setup Envase]]=""),"",Table1[[#This Row],[Final Setup Envase]]-Table1[[#This Row],[Início Setup Envase]])</f>
        <v/>
      </c>
      <c r="AP412" s="663"/>
      <c r="AQ412" s="663"/>
      <c r="AR412" s="270"/>
      <c r="AS412" s="270"/>
      <c r="AT412" s="270"/>
      <c r="AU412" s="270"/>
      <c r="AV412" s="270"/>
      <c r="AW412" s="270"/>
      <c r="AX412" s="270"/>
      <c r="AY412" s="270"/>
      <c r="AZ412" s="270"/>
      <c r="BA412" s="270">
        <f>IF(Table1[[#This Row],[Data de Início]]="","",YEAR(Table1[[#This Row],[Data de Início]]))</f>
        <v>2025</v>
      </c>
      <c r="BB412" s="270">
        <f>IF(Table1[[#This Row],[Data de Início]]="","",MONTH(Table1[[#This Row],[Data de Início]]))</f>
        <v>8</v>
      </c>
      <c r="BC412" s="270"/>
    </row>
    <row r="413" spans="2:55" ht="15" customHeight="1" x14ac:dyDescent="0.25">
      <c r="B413" s="470">
        <v>45898.506944444445</v>
      </c>
      <c r="C413" s="263">
        <v>45898.625</v>
      </c>
      <c r="D413" s="264" cm="1">
        <f t="array" ref="D413">IFERROR(HorasUteisFabrica2Turnos(B413,C413), "")</f>
        <v>2.8333333333139308</v>
      </c>
      <c r="E413" s="265">
        <f t="shared" si="6"/>
        <v>592.94117647464873</v>
      </c>
      <c r="F413" s="266" t="s">
        <v>377</v>
      </c>
      <c r="G413" s="266" t="s">
        <v>475</v>
      </c>
      <c r="H413" s="266"/>
      <c r="I413" s="269" t="s">
        <v>664</v>
      </c>
      <c r="J413" s="267" t="s">
        <v>15</v>
      </c>
      <c r="K413" s="268">
        <v>1680</v>
      </c>
      <c r="L413" s="269" t="s">
        <v>478</v>
      </c>
      <c r="M413" s="270" t="str">
        <f>IFERROR(INDEX([1]Produtos!$C:$C,MATCH(L413,[1]Produtos!$B:$B,0)), "-")</f>
        <v>ÁGUA MICELAR 3 EM 1</v>
      </c>
      <c r="N413" s="510">
        <f>IFERROR(INDEX([1]Produtos!$E:$E,MATCH(L413,[1]Produtos!$B:$B,0)), "-")</f>
        <v>325</v>
      </c>
      <c r="O413" s="270" t="str">
        <f>IFERROR(INDEX([1]Produtos!$F:$F,MATCH(L413,[1]Produtos!$B:$B,0)), "-")</f>
        <v>ml</v>
      </c>
      <c r="P413" s="270" t="str">
        <f>IFERROR(INDEX([1]Produtos!$G:$G,MATCH(L413,[1]Produtos!$B:$B,0)), "-")</f>
        <v>GLOW MAKE UP</v>
      </c>
      <c r="Q413" s="270" t="str">
        <f>IFERROR(INDEX([1]Produtos!$H:$H,MATCH(L413,[1]Produtos!$B:$B,0)), "-")</f>
        <v>MAQUIAGEM</v>
      </c>
      <c r="R413" s="270" t="str">
        <f>IFERROR(INDEX([1]Produtos!$I:$I,MATCH(L413,[1]Produtos!$B:$B,0)), "-")</f>
        <v>ÁGUA MICELAR</v>
      </c>
      <c r="S413" s="270" t="str">
        <f>IFERROR(INDEX([1]Produtos!$J:$J,MATCH(L413,[1]Produtos!$B:$B,0)), "-")</f>
        <v>LÍQUIDO</v>
      </c>
      <c r="T413" s="475"/>
      <c r="U413" s="270"/>
      <c r="V413" s="270"/>
      <c r="W413" s="270"/>
      <c r="X413" s="270"/>
      <c r="Y413" s="270"/>
      <c r="Z413" s="270"/>
      <c r="AA413" s="270"/>
      <c r="AB413" s="270"/>
      <c r="AC413" s="270"/>
      <c r="AD413" s="270"/>
      <c r="AE413" s="270"/>
      <c r="AF413" s="270"/>
      <c r="AG413" s="270"/>
      <c r="AH413" s="270"/>
      <c r="AI413" s="270"/>
      <c r="AJ413" s="270"/>
      <c r="AK413" s="270"/>
      <c r="AL413" s="270"/>
      <c r="AM413" s="663"/>
      <c r="AN413" s="663"/>
      <c r="AO413" s="708" t="str">
        <f>IF(OR(Table1[[#This Row],[Início Setup Envase]]="",Table1[[#This Row],[Final Setup Envase]]=""),"",Table1[[#This Row],[Final Setup Envase]]-Table1[[#This Row],[Início Setup Envase]])</f>
        <v/>
      </c>
      <c r="AP413" s="663"/>
      <c r="AQ413" s="663"/>
      <c r="AR413" s="270"/>
      <c r="AS413" s="270"/>
      <c r="AT413" s="270"/>
      <c r="AU413" s="270"/>
      <c r="AV413" s="270"/>
      <c r="AW413" s="270"/>
      <c r="AX413" s="270"/>
      <c r="AY413" s="270"/>
      <c r="AZ413" s="270"/>
      <c r="BA413" s="270">
        <f>IF(Table1[[#This Row],[Data de Início]]="","",YEAR(Table1[[#This Row],[Data de Início]]))</f>
        <v>2025</v>
      </c>
      <c r="BB413" s="270">
        <f>IF(Table1[[#This Row],[Data de Início]]="","",MONTH(Table1[[#This Row],[Data de Início]]))</f>
        <v>8</v>
      </c>
      <c r="BC413" s="270"/>
    </row>
    <row r="414" spans="2:55" ht="15" customHeight="1" x14ac:dyDescent="0.25">
      <c r="B414" s="470">
        <v>45898.541666666664</v>
      </c>
      <c r="C414" s="263">
        <v>45898.680555555555</v>
      </c>
      <c r="D414" s="264" cm="1">
        <f t="array" ref="D414">IFERROR(HorasUteisFabrica2Turnos(B414,C414), "")</f>
        <v>3</v>
      </c>
      <c r="E414" s="265">
        <f t="shared" si="6"/>
        <v>333.33333333333331</v>
      </c>
      <c r="F414" s="266" t="s">
        <v>378</v>
      </c>
      <c r="G414" s="266" t="s">
        <v>712</v>
      </c>
      <c r="H414" s="266"/>
      <c r="I414" s="269" t="s">
        <v>711</v>
      </c>
      <c r="J414" s="267" t="s">
        <v>15</v>
      </c>
      <c r="K414" s="268">
        <v>1000</v>
      </c>
      <c r="L414" s="269" t="s">
        <v>707</v>
      </c>
      <c r="M414" s="270" t="str">
        <f>IFERROR(INDEX([1]Produtos!$C:$C,MATCH(L414,[1]Produtos!$B:$B,0)), "-")</f>
        <v>GELATINA CAPILAR CHEIRINHO DE PISTACHE</v>
      </c>
      <c r="N414" s="510">
        <f>IFERROR(INDEX([1]Produtos!$E:$E,MATCH(L414,[1]Produtos!$B:$B,0)), "-")</f>
        <v>500</v>
      </c>
      <c r="O414" s="270" t="str">
        <f>IFERROR(INDEX([1]Produtos!$F:$F,MATCH(L414,[1]Produtos!$B:$B,0)), "-")</f>
        <v>ml</v>
      </c>
      <c r="P414" s="270" t="str">
        <f>IFERROR(INDEX([1]Produtos!$G:$G,MATCH(L414,[1]Produtos!$B:$B,0)), "-")</f>
        <v>ISA BEAUTY</v>
      </c>
      <c r="Q414" s="270" t="str">
        <f>IFERROR(INDEX([1]Produtos!$H:$H,MATCH(L414,[1]Produtos!$B:$B,0)), "-")</f>
        <v>CAPILAR</v>
      </c>
      <c r="R414" s="270" t="str">
        <f>IFERROR(INDEX([1]Produtos!$I:$I,MATCH(L414,[1]Produtos!$B:$B,0)), "-")</f>
        <v>GEL</v>
      </c>
      <c r="S414" s="270" t="str">
        <f>IFERROR(INDEX([1]Produtos!$J:$J,MATCH(L414,[1]Produtos!$B:$B,0)), "-")</f>
        <v>CREMOSO</v>
      </c>
      <c r="T414" s="475"/>
      <c r="U414" s="270"/>
      <c r="V414" s="270"/>
      <c r="W414" s="270"/>
      <c r="X414" s="270"/>
      <c r="Y414" s="270"/>
      <c r="Z414" s="270"/>
      <c r="AA414" s="270"/>
      <c r="AB414" s="270"/>
      <c r="AC414" s="270"/>
      <c r="AD414" s="270"/>
      <c r="AE414" s="270"/>
      <c r="AF414" s="270"/>
      <c r="AG414" s="270"/>
      <c r="AH414" s="270"/>
      <c r="AI414" s="270"/>
      <c r="AJ414" s="270"/>
      <c r="AK414" s="270"/>
      <c r="AL414" s="270"/>
      <c r="AM414" s="663"/>
      <c r="AN414" s="663"/>
      <c r="AO414" s="708" t="str">
        <f>IF(OR(Table1[[#This Row],[Início Setup Envase]]="",Table1[[#This Row],[Final Setup Envase]]=""),"",Table1[[#This Row],[Final Setup Envase]]-Table1[[#This Row],[Início Setup Envase]])</f>
        <v/>
      </c>
      <c r="AP414" s="663"/>
      <c r="AQ414" s="663"/>
      <c r="AR414" s="270"/>
      <c r="AS414" s="270"/>
      <c r="AT414" s="270"/>
      <c r="AU414" s="270"/>
      <c r="AV414" s="270"/>
      <c r="AW414" s="270"/>
      <c r="AX414" s="270"/>
      <c r="AY414" s="270"/>
      <c r="AZ414" s="270"/>
      <c r="BA414" s="270">
        <f>IF(Table1[[#This Row],[Data de Início]]="","",YEAR(Table1[[#This Row],[Data de Início]]))</f>
        <v>2025</v>
      </c>
      <c r="BB414" s="270">
        <f>IF(Table1[[#This Row],[Data de Início]]="","",MONTH(Table1[[#This Row],[Data de Início]]))</f>
        <v>8</v>
      </c>
      <c r="BC414" s="270"/>
    </row>
    <row r="415" spans="2:55" ht="15" customHeight="1" x14ac:dyDescent="0.25">
      <c r="B415" s="470">
        <v>45898.611111111109</v>
      </c>
      <c r="C415" s="263">
        <v>45898.693749999999</v>
      </c>
      <c r="D415" s="264" cm="1">
        <f t="array" ref="D415">IFERROR(HorasUteisFabrica2Turnos(B415,C415), "")</f>
        <v>1.3333333333139308</v>
      </c>
      <c r="E415" s="265">
        <f t="shared" si="6"/>
        <v>1260.0000000183354</v>
      </c>
      <c r="F415" s="266" t="s">
        <v>377</v>
      </c>
      <c r="G415" s="266" t="s">
        <v>475</v>
      </c>
      <c r="H415" s="266"/>
      <c r="I415" s="269" t="s">
        <v>680</v>
      </c>
      <c r="J415" s="267" t="s">
        <v>15</v>
      </c>
      <c r="K415" s="268">
        <v>1680</v>
      </c>
      <c r="L415" s="269" t="s">
        <v>474</v>
      </c>
      <c r="M415" s="270" t="str">
        <f>IFERROR(INDEX([1]Produtos!$C:$C,MATCH(L415,[1]Produtos!$B:$B,0)), "-")</f>
        <v>ÁGUA MICELAR ÁCIDO HIAULURÔNICO</v>
      </c>
      <c r="N415" s="510">
        <f>IFERROR(INDEX([1]Produtos!$E:$E,MATCH(L415,[1]Produtos!$B:$B,0)), "-")</f>
        <v>325</v>
      </c>
      <c r="O415" s="270" t="str">
        <f>IFERROR(INDEX([1]Produtos!$F:$F,MATCH(L415,[1]Produtos!$B:$B,0)), "-")</f>
        <v>ml</v>
      </c>
      <c r="P415" s="270" t="str">
        <f>IFERROR(INDEX([1]Produtos!$G:$G,MATCH(L415,[1]Produtos!$B:$B,0)), "-")</f>
        <v>GLOW MAKE UP</v>
      </c>
      <c r="Q415" s="270" t="str">
        <f>IFERROR(INDEX([1]Produtos!$H:$H,MATCH(L415,[1]Produtos!$B:$B,0)), "-")</f>
        <v>MAQUIAGEM</v>
      </c>
      <c r="R415" s="270" t="str">
        <f>IFERROR(INDEX([1]Produtos!$I:$I,MATCH(L415,[1]Produtos!$B:$B,0)), "-")</f>
        <v>ÁGUA MICELAR</v>
      </c>
      <c r="S415" s="270" t="str">
        <f>IFERROR(INDEX([1]Produtos!$J:$J,MATCH(L415,[1]Produtos!$B:$B,0)), "-")</f>
        <v>LÍQUIDO</v>
      </c>
      <c r="T415" s="475"/>
      <c r="U415" s="270"/>
      <c r="V415" s="270"/>
      <c r="W415" s="270"/>
      <c r="X415" s="270"/>
      <c r="Y415" s="270"/>
      <c r="Z415" s="270"/>
      <c r="AA415" s="270"/>
      <c r="AB415" s="270"/>
      <c r="AC415" s="270"/>
      <c r="AD415" s="270"/>
      <c r="AE415" s="270"/>
      <c r="AF415" s="270"/>
      <c r="AG415" s="270"/>
      <c r="AH415" s="270"/>
      <c r="AI415" s="270"/>
      <c r="AJ415" s="270"/>
      <c r="AK415" s="270"/>
      <c r="AL415" s="270"/>
      <c r="AM415" s="663"/>
      <c r="AN415" s="663"/>
      <c r="AO415" s="708" t="str">
        <f>IF(OR(Table1[[#This Row],[Início Setup Envase]]="",Table1[[#This Row],[Final Setup Envase]]=""),"",Table1[[#This Row],[Final Setup Envase]]-Table1[[#This Row],[Início Setup Envase]])</f>
        <v/>
      </c>
      <c r="AP415" s="663"/>
      <c r="AQ415" s="663"/>
      <c r="AR415" s="270"/>
      <c r="AS415" s="270"/>
      <c r="AT415" s="270"/>
      <c r="AU415" s="270"/>
      <c r="AV415" s="270"/>
      <c r="AW415" s="270"/>
      <c r="AX415" s="270"/>
      <c r="AY415" s="270"/>
      <c r="AZ415" s="270"/>
      <c r="BA415" s="270">
        <f>IF(Table1[[#This Row],[Data de Início]]="","",YEAR(Table1[[#This Row],[Data de Início]]))</f>
        <v>2025</v>
      </c>
      <c r="BB415" s="270">
        <f>IF(Table1[[#This Row],[Data de Início]]="","",MONTH(Table1[[#This Row],[Data de Início]]))</f>
        <v>8</v>
      </c>
      <c r="BC415" s="270"/>
    </row>
    <row r="416" spans="2:55" ht="15" customHeight="1" x14ac:dyDescent="0.25">
      <c r="B416" s="470">
        <v>45898.680555555555</v>
      </c>
      <c r="C416" s="263">
        <v>45898.815972222219</v>
      </c>
      <c r="D416" s="264" cm="1">
        <f t="array" ref="D416">IFERROR(HorasUteisFabrica2Turnos(B416,C416), "")</f>
        <v>3.2499999999417923</v>
      </c>
      <c r="E416" s="265">
        <f t="shared" si="6"/>
        <v>307.69230769781848</v>
      </c>
      <c r="F416" s="266" t="s">
        <v>378</v>
      </c>
      <c r="G416" s="266" t="s">
        <v>712</v>
      </c>
      <c r="H416" s="266"/>
      <c r="I416" s="269" t="s">
        <v>710</v>
      </c>
      <c r="J416" s="267" t="s">
        <v>15</v>
      </c>
      <c r="K416" s="268">
        <v>1000</v>
      </c>
      <c r="L416" s="269" t="s">
        <v>707</v>
      </c>
      <c r="M416" s="270" t="str">
        <f>IFERROR(INDEX([1]Produtos!$C:$C,MATCH(L416,[1]Produtos!$B:$B,0)), "-")</f>
        <v>GELATINA CAPILAR CHEIRINHO DE PISTACHE</v>
      </c>
      <c r="N416" s="510">
        <f>IFERROR(INDEX([1]Produtos!$E:$E,MATCH(L416,[1]Produtos!$B:$B,0)), "-")</f>
        <v>500</v>
      </c>
      <c r="O416" s="270" t="str">
        <f>IFERROR(INDEX([1]Produtos!$F:$F,MATCH(L416,[1]Produtos!$B:$B,0)), "-")</f>
        <v>ml</v>
      </c>
      <c r="P416" s="270" t="str">
        <f>IFERROR(INDEX([1]Produtos!$G:$G,MATCH(L416,[1]Produtos!$B:$B,0)), "-")</f>
        <v>ISA BEAUTY</v>
      </c>
      <c r="Q416" s="270" t="str">
        <f>IFERROR(INDEX([1]Produtos!$H:$H,MATCH(L416,[1]Produtos!$B:$B,0)), "-")</f>
        <v>CAPILAR</v>
      </c>
      <c r="R416" s="270" t="str">
        <f>IFERROR(INDEX([1]Produtos!$I:$I,MATCH(L416,[1]Produtos!$B:$B,0)), "-")</f>
        <v>GEL</v>
      </c>
      <c r="S416" s="270" t="str">
        <f>IFERROR(INDEX([1]Produtos!$J:$J,MATCH(L416,[1]Produtos!$B:$B,0)), "-")</f>
        <v>CREMOSO</v>
      </c>
      <c r="T416" s="475"/>
      <c r="U416" s="270"/>
      <c r="V416" s="270"/>
      <c r="W416" s="270"/>
      <c r="X416" s="270"/>
      <c r="Y416" s="270"/>
      <c r="Z416" s="270"/>
      <c r="AA416" s="270"/>
      <c r="AB416" s="270"/>
      <c r="AC416" s="270"/>
      <c r="AD416" s="270"/>
      <c r="AE416" s="270"/>
      <c r="AF416" s="270"/>
      <c r="AG416" s="270"/>
      <c r="AH416" s="270"/>
      <c r="AI416" s="270"/>
      <c r="AJ416" s="270"/>
      <c r="AK416" s="270"/>
      <c r="AL416" s="270"/>
      <c r="AM416" s="663"/>
      <c r="AN416" s="663"/>
      <c r="AO416" s="708" t="str">
        <f>IF(OR(Table1[[#This Row],[Início Setup Envase]]="",Table1[[#This Row],[Final Setup Envase]]=""),"",Table1[[#This Row],[Final Setup Envase]]-Table1[[#This Row],[Início Setup Envase]])</f>
        <v/>
      </c>
      <c r="AP416" s="663"/>
      <c r="AQ416" s="663"/>
      <c r="AR416" s="270"/>
      <c r="AS416" s="270"/>
      <c r="AT416" s="270"/>
      <c r="AU416" s="270"/>
      <c r="AV416" s="270"/>
      <c r="AW416" s="270"/>
      <c r="AX416" s="270"/>
      <c r="AY416" s="270"/>
      <c r="AZ416" s="270"/>
      <c r="BA416" s="270">
        <f>IF(Table1[[#This Row],[Data de Início]]="","",YEAR(Table1[[#This Row],[Data de Início]]))</f>
        <v>2025</v>
      </c>
      <c r="BB416" s="270">
        <f>IF(Table1[[#This Row],[Data de Início]]="","",MONTH(Table1[[#This Row],[Data de Início]]))</f>
        <v>8</v>
      </c>
      <c r="BC416" s="270"/>
    </row>
    <row r="417" spans="2:55" ht="15" customHeight="1" x14ac:dyDescent="0.25">
      <c r="B417" s="470">
        <v>45898.693749999999</v>
      </c>
      <c r="C417" s="263">
        <v>45898.755555555559</v>
      </c>
      <c r="D417" s="264" cm="1">
        <f t="array" ref="D417">IFERROR(HorasUteisFabrica2Turnos(B417,C417), "")</f>
        <v>1.4833333334536292</v>
      </c>
      <c r="E417" s="265">
        <f t="shared" si="6"/>
        <v>1132.5842695710708</v>
      </c>
      <c r="F417" s="266" t="s">
        <v>377</v>
      </c>
      <c r="G417" s="266" t="s">
        <v>475</v>
      </c>
      <c r="H417" s="266"/>
      <c r="I417" s="269" t="s">
        <v>682</v>
      </c>
      <c r="J417" s="267" t="s">
        <v>15</v>
      </c>
      <c r="K417" s="268">
        <v>1680</v>
      </c>
      <c r="L417" s="269" t="s">
        <v>474</v>
      </c>
      <c r="M417" s="270" t="str">
        <f>IFERROR(INDEX([1]Produtos!$C:$C,MATCH(L417,[1]Produtos!$B:$B,0)), "-")</f>
        <v>ÁGUA MICELAR ÁCIDO HIAULURÔNICO</v>
      </c>
      <c r="N417" s="510">
        <f>IFERROR(INDEX([1]Produtos!$E:$E,MATCH(L417,[1]Produtos!$B:$B,0)), "-")</f>
        <v>325</v>
      </c>
      <c r="O417" s="270" t="str">
        <f>IFERROR(INDEX([1]Produtos!$F:$F,MATCH(L417,[1]Produtos!$B:$B,0)), "-")</f>
        <v>ml</v>
      </c>
      <c r="P417" s="270" t="str">
        <f>IFERROR(INDEX([1]Produtos!$G:$G,MATCH(L417,[1]Produtos!$B:$B,0)), "-")</f>
        <v>GLOW MAKE UP</v>
      </c>
      <c r="Q417" s="270" t="str">
        <f>IFERROR(INDEX([1]Produtos!$H:$H,MATCH(L417,[1]Produtos!$B:$B,0)), "-")</f>
        <v>MAQUIAGEM</v>
      </c>
      <c r="R417" s="270" t="str">
        <f>IFERROR(INDEX([1]Produtos!$I:$I,MATCH(L417,[1]Produtos!$B:$B,0)), "-")</f>
        <v>ÁGUA MICELAR</v>
      </c>
      <c r="S417" s="270" t="str">
        <f>IFERROR(INDEX([1]Produtos!$J:$J,MATCH(L417,[1]Produtos!$B:$B,0)), "-")</f>
        <v>LÍQUIDO</v>
      </c>
      <c r="T417" s="475"/>
      <c r="U417" s="270"/>
      <c r="V417" s="270"/>
      <c r="W417" s="270"/>
      <c r="X417" s="270"/>
      <c r="Y417" s="270"/>
      <c r="Z417" s="270"/>
      <c r="AA417" s="270"/>
      <c r="AB417" s="270"/>
      <c r="AC417" s="270"/>
      <c r="AD417" s="270"/>
      <c r="AE417" s="270"/>
      <c r="AF417" s="270"/>
      <c r="AG417" s="270"/>
      <c r="AH417" s="270"/>
      <c r="AI417" s="270"/>
      <c r="AJ417" s="270"/>
      <c r="AK417" s="270"/>
      <c r="AL417" s="270"/>
      <c r="AM417" s="663"/>
      <c r="AN417" s="663"/>
      <c r="AO417" s="708" t="str">
        <f>IF(OR(Table1[[#This Row],[Início Setup Envase]]="",Table1[[#This Row],[Final Setup Envase]]=""),"",Table1[[#This Row],[Final Setup Envase]]-Table1[[#This Row],[Início Setup Envase]])</f>
        <v/>
      </c>
      <c r="AP417" s="663"/>
      <c r="AQ417" s="663"/>
      <c r="AR417" s="270"/>
      <c r="AS417" s="270"/>
      <c r="AT417" s="270"/>
      <c r="AU417" s="270"/>
      <c r="AV417" s="270"/>
      <c r="AW417" s="270"/>
      <c r="AX417" s="270"/>
      <c r="AY417" s="270"/>
      <c r="AZ417" s="270"/>
      <c r="BA417" s="270">
        <f>IF(Table1[[#This Row],[Data de Início]]="","",YEAR(Table1[[#This Row],[Data de Início]]))</f>
        <v>2025</v>
      </c>
      <c r="BB417" s="270">
        <f>IF(Table1[[#This Row],[Data de Início]]="","",MONTH(Table1[[#This Row],[Data de Início]]))</f>
        <v>8</v>
      </c>
      <c r="BC417" s="270"/>
    </row>
    <row r="418" spans="2:55" ht="15" customHeight="1" x14ac:dyDescent="0.25">
      <c r="B418" s="470">
        <v>45898.753472222219</v>
      </c>
      <c r="C418" s="263">
        <v>45898.820138888892</v>
      </c>
      <c r="D418" s="264" cm="1">
        <f t="array" ref="D418">IFERROR(HorasUteisFabrica2Turnos(B418,C418), "")</f>
        <v>1.6000000001513399</v>
      </c>
      <c r="E418" s="265">
        <f t="shared" si="6"/>
        <v>1049.9999999006832</v>
      </c>
      <c r="F418" s="266" t="s">
        <v>377</v>
      </c>
      <c r="G418" s="266" t="s">
        <v>475</v>
      </c>
      <c r="H418" s="266"/>
      <c r="I418" s="269" t="s">
        <v>681</v>
      </c>
      <c r="J418" s="267" t="s">
        <v>15</v>
      </c>
      <c r="K418" s="268">
        <v>1680</v>
      </c>
      <c r="L418" s="269" t="s">
        <v>474</v>
      </c>
      <c r="M418" s="270" t="str">
        <f>IFERROR(INDEX([1]Produtos!$C:$C,MATCH(L418,[1]Produtos!$B:$B,0)), "-")</f>
        <v>ÁGUA MICELAR ÁCIDO HIAULURÔNICO</v>
      </c>
      <c r="N418" s="510">
        <f>IFERROR(INDEX([1]Produtos!$E:$E,MATCH(L418,[1]Produtos!$B:$B,0)), "-")</f>
        <v>325</v>
      </c>
      <c r="O418" s="270" t="str">
        <f>IFERROR(INDEX([1]Produtos!$F:$F,MATCH(L418,[1]Produtos!$B:$B,0)), "-")</f>
        <v>ml</v>
      </c>
      <c r="P418" s="270" t="str">
        <f>IFERROR(INDEX([1]Produtos!$G:$G,MATCH(L418,[1]Produtos!$B:$B,0)), "-")</f>
        <v>GLOW MAKE UP</v>
      </c>
      <c r="Q418" s="270" t="str">
        <f>IFERROR(INDEX([1]Produtos!$H:$H,MATCH(L418,[1]Produtos!$B:$B,0)), "-")</f>
        <v>MAQUIAGEM</v>
      </c>
      <c r="R418" s="270" t="str">
        <f>IFERROR(INDEX([1]Produtos!$I:$I,MATCH(L418,[1]Produtos!$B:$B,0)), "-")</f>
        <v>ÁGUA MICELAR</v>
      </c>
      <c r="S418" s="270" t="str">
        <f>IFERROR(INDEX([1]Produtos!$J:$J,MATCH(L418,[1]Produtos!$B:$B,0)), "-")</f>
        <v>LÍQUIDO</v>
      </c>
      <c r="T418" s="475"/>
      <c r="U418" s="270"/>
      <c r="V418" s="270"/>
      <c r="W418" s="270"/>
      <c r="X418" s="270"/>
      <c r="Y418" s="270"/>
      <c r="Z418" s="270"/>
      <c r="AA418" s="270"/>
      <c r="AB418" s="270"/>
      <c r="AC418" s="270"/>
      <c r="AD418" s="270"/>
      <c r="AE418" s="270"/>
      <c r="AF418" s="270"/>
      <c r="AG418" s="270"/>
      <c r="AH418" s="270"/>
      <c r="AI418" s="270"/>
      <c r="AJ418" s="270"/>
      <c r="AK418" s="270"/>
      <c r="AL418" s="270"/>
      <c r="AM418" s="663"/>
      <c r="AN418" s="663"/>
      <c r="AO418" s="708" t="str">
        <f>IF(OR(Table1[[#This Row],[Início Setup Envase]]="",Table1[[#This Row],[Final Setup Envase]]=""),"",Table1[[#This Row],[Final Setup Envase]]-Table1[[#This Row],[Início Setup Envase]])</f>
        <v/>
      </c>
      <c r="AP418" s="663"/>
      <c r="AQ418" s="663"/>
      <c r="AR418" s="270"/>
      <c r="AS418" s="270"/>
      <c r="AT418" s="270"/>
      <c r="AU418" s="270"/>
      <c r="AV418" s="270"/>
      <c r="AW418" s="270"/>
      <c r="AX418" s="270"/>
      <c r="AY418" s="270"/>
      <c r="AZ418" s="270"/>
      <c r="BA418" s="270">
        <f>IF(Table1[[#This Row],[Data de Início]]="","",YEAR(Table1[[#This Row],[Data de Início]]))</f>
        <v>2025</v>
      </c>
      <c r="BB418" s="270">
        <f>IF(Table1[[#This Row],[Data de Início]]="","",MONTH(Table1[[#This Row],[Data de Início]]))</f>
        <v>8</v>
      </c>
      <c r="BC418" s="270"/>
    </row>
    <row r="419" spans="2:55" ht="15" customHeight="1" x14ac:dyDescent="0.25">
      <c r="B419" s="470">
        <v>45898.815972222219</v>
      </c>
      <c r="C419" s="263">
        <v>45898.899305555555</v>
      </c>
      <c r="D419" s="264" cm="1">
        <f t="array" ref="D419">IFERROR(HorasUteisFabrica2Turnos(B419,C419), "")</f>
        <v>2.0000000000582077</v>
      </c>
      <c r="E419" s="265">
        <f t="shared" si="6"/>
        <v>499.99999998544808</v>
      </c>
      <c r="F419" s="266" t="s">
        <v>378</v>
      </c>
      <c r="G419" s="266" t="s">
        <v>712</v>
      </c>
      <c r="H419" s="266"/>
      <c r="I419" s="269" t="s">
        <v>709</v>
      </c>
      <c r="J419" s="267" t="s">
        <v>15</v>
      </c>
      <c r="K419" s="268">
        <v>1000</v>
      </c>
      <c r="L419" s="269" t="s">
        <v>707</v>
      </c>
      <c r="M419" s="270" t="str">
        <f>IFERROR(INDEX([1]Produtos!$C:$C,MATCH(L419,[1]Produtos!$B:$B,0)), "-")</f>
        <v>GELATINA CAPILAR CHEIRINHO DE PISTACHE</v>
      </c>
      <c r="N419" s="510">
        <f>IFERROR(INDEX([1]Produtos!$E:$E,MATCH(L419,[1]Produtos!$B:$B,0)), "-")</f>
        <v>500</v>
      </c>
      <c r="O419" s="270" t="str">
        <f>IFERROR(INDEX([1]Produtos!$F:$F,MATCH(L419,[1]Produtos!$B:$B,0)), "-")</f>
        <v>ml</v>
      </c>
      <c r="P419" s="270" t="str">
        <f>IFERROR(INDEX([1]Produtos!$G:$G,MATCH(L419,[1]Produtos!$B:$B,0)), "-")</f>
        <v>ISA BEAUTY</v>
      </c>
      <c r="Q419" s="270" t="str">
        <f>IFERROR(INDEX([1]Produtos!$H:$H,MATCH(L419,[1]Produtos!$B:$B,0)), "-")</f>
        <v>CAPILAR</v>
      </c>
      <c r="R419" s="270" t="str">
        <f>IFERROR(INDEX([1]Produtos!$I:$I,MATCH(L419,[1]Produtos!$B:$B,0)), "-")</f>
        <v>GEL</v>
      </c>
      <c r="S419" s="270" t="str">
        <f>IFERROR(INDEX([1]Produtos!$J:$J,MATCH(L419,[1]Produtos!$B:$B,0)), "-")</f>
        <v>CREMOSO</v>
      </c>
      <c r="T419" s="475"/>
      <c r="U419" s="270"/>
      <c r="V419" s="270"/>
      <c r="W419" s="270"/>
      <c r="X419" s="270"/>
      <c r="Y419" s="270"/>
      <c r="Z419" s="270"/>
      <c r="AA419" s="270"/>
      <c r="AB419" s="270"/>
      <c r="AC419" s="270"/>
      <c r="AD419" s="270"/>
      <c r="AE419" s="270"/>
      <c r="AF419" s="270"/>
      <c r="AG419" s="270"/>
      <c r="AH419" s="270"/>
      <c r="AI419" s="270"/>
      <c r="AJ419" s="270"/>
      <c r="AK419" s="270"/>
      <c r="AL419" s="270"/>
      <c r="AM419" s="663"/>
      <c r="AN419" s="663"/>
      <c r="AO419" s="708" t="str">
        <f>IF(OR(Table1[[#This Row],[Início Setup Envase]]="",Table1[[#This Row],[Final Setup Envase]]=""),"",Table1[[#This Row],[Final Setup Envase]]-Table1[[#This Row],[Início Setup Envase]])</f>
        <v/>
      </c>
      <c r="AP419" s="663"/>
      <c r="AQ419" s="663"/>
      <c r="AR419" s="270"/>
      <c r="AS419" s="270"/>
      <c r="AT419" s="270"/>
      <c r="AU419" s="270"/>
      <c r="AV419" s="270"/>
      <c r="AW419" s="270"/>
      <c r="AX419" s="270"/>
      <c r="AY419" s="270"/>
      <c r="AZ419" s="270"/>
      <c r="BA419" s="270">
        <f>IF(Table1[[#This Row],[Data de Início]]="","",YEAR(Table1[[#This Row],[Data de Início]]))</f>
        <v>2025</v>
      </c>
      <c r="BB419" s="270">
        <f>IF(Table1[[#This Row],[Data de Início]]="","",MONTH(Table1[[#This Row],[Data de Início]]))</f>
        <v>8</v>
      </c>
      <c r="BC419" s="270"/>
    </row>
    <row r="420" spans="2:55" ht="15" customHeight="1" x14ac:dyDescent="0.25">
      <c r="B420" s="470">
        <v>45898.820138888892</v>
      </c>
      <c r="C420" s="263">
        <v>45898.885416666664</v>
      </c>
      <c r="D420" s="264" cm="1">
        <f t="array" ref="D420">IFERROR(HorasUteisFabrica2Turnos(B420,C420), "")</f>
        <v>1.5666666665347293</v>
      </c>
      <c r="E420" s="265">
        <f t="shared" si="6"/>
        <v>1072.3404256222225</v>
      </c>
      <c r="F420" s="266" t="s">
        <v>377</v>
      </c>
      <c r="G420" s="266" t="s">
        <v>475</v>
      </c>
      <c r="H420" s="266"/>
      <c r="I420" s="269" t="s">
        <v>675</v>
      </c>
      <c r="J420" s="267" t="s">
        <v>15</v>
      </c>
      <c r="K420" s="268">
        <v>1680</v>
      </c>
      <c r="L420" s="269" t="s">
        <v>474</v>
      </c>
      <c r="M420" s="270" t="str">
        <f>IFERROR(INDEX([1]Produtos!$C:$C,MATCH(L420,[1]Produtos!$B:$B,0)), "-")</f>
        <v>ÁGUA MICELAR ÁCIDO HIAULURÔNICO</v>
      </c>
      <c r="N420" s="510">
        <f>IFERROR(INDEX([1]Produtos!$E:$E,MATCH(L420,[1]Produtos!$B:$B,0)), "-")</f>
        <v>325</v>
      </c>
      <c r="O420" s="270" t="str">
        <f>IFERROR(INDEX([1]Produtos!$F:$F,MATCH(L420,[1]Produtos!$B:$B,0)), "-")</f>
        <v>ml</v>
      </c>
      <c r="P420" s="270" t="str">
        <f>IFERROR(INDEX([1]Produtos!$G:$G,MATCH(L420,[1]Produtos!$B:$B,0)), "-")</f>
        <v>GLOW MAKE UP</v>
      </c>
      <c r="Q420" s="270" t="str">
        <f>IFERROR(INDEX([1]Produtos!$H:$H,MATCH(L420,[1]Produtos!$B:$B,0)), "-")</f>
        <v>MAQUIAGEM</v>
      </c>
      <c r="R420" s="270" t="str">
        <f>IFERROR(INDEX([1]Produtos!$I:$I,MATCH(L420,[1]Produtos!$B:$B,0)), "-")</f>
        <v>ÁGUA MICELAR</v>
      </c>
      <c r="S420" s="270" t="str">
        <f>IFERROR(INDEX([1]Produtos!$J:$J,MATCH(L420,[1]Produtos!$B:$B,0)), "-")</f>
        <v>LÍQUIDO</v>
      </c>
      <c r="T420" s="475"/>
      <c r="U420" s="270"/>
      <c r="V420" s="270"/>
      <c r="W420" s="270"/>
      <c r="X420" s="270"/>
      <c r="Y420" s="270"/>
      <c r="Z420" s="270"/>
      <c r="AA420" s="270"/>
      <c r="AB420" s="270"/>
      <c r="AC420" s="270"/>
      <c r="AD420" s="270"/>
      <c r="AE420" s="270"/>
      <c r="AF420" s="270"/>
      <c r="AG420" s="270"/>
      <c r="AH420" s="270"/>
      <c r="AI420" s="270"/>
      <c r="AJ420" s="270"/>
      <c r="AK420" s="270"/>
      <c r="AL420" s="270"/>
      <c r="AM420" s="663"/>
      <c r="AN420" s="663"/>
      <c r="AO420" s="708" t="str">
        <f>IF(OR(Table1[[#This Row],[Início Setup Envase]]="",Table1[[#This Row],[Final Setup Envase]]=""),"",Table1[[#This Row],[Final Setup Envase]]-Table1[[#This Row],[Início Setup Envase]])</f>
        <v/>
      </c>
      <c r="AP420" s="663"/>
      <c r="AQ420" s="663"/>
      <c r="AR420" s="270"/>
      <c r="AS420" s="270"/>
      <c r="AT420" s="270"/>
      <c r="AU420" s="270"/>
      <c r="AV420" s="270"/>
      <c r="AW420" s="270"/>
      <c r="AX420" s="270"/>
      <c r="AY420" s="270"/>
      <c r="AZ420" s="270"/>
      <c r="BA420" s="270">
        <f>IF(Table1[[#This Row],[Data de Início]]="","",YEAR(Table1[[#This Row],[Data de Início]]))</f>
        <v>2025</v>
      </c>
      <c r="BB420" s="270">
        <f>IF(Table1[[#This Row],[Data de Início]]="","",MONTH(Table1[[#This Row],[Data de Início]]))</f>
        <v>8</v>
      </c>
      <c r="BC420" s="270"/>
    </row>
    <row r="421" spans="2:55" ht="15" customHeight="1" x14ac:dyDescent="0.25">
      <c r="B421" s="470">
        <v>45898.885416666664</v>
      </c>
      <c r="C421" s="263">
        <v>45901.375</v>
      </c>
      <c r="D421" s="440" cm="1">
        <f t="array" ref="D421">IFERROR(HorasUteisFabrica2Turnos(B421,C421), "")</f>
        <v>2.7500000000582077</v>
      </c>
      <c r="E421" s="265">
        <f t="shared" si="6"/>
        <v>541.09090907945608</v>
      </c>
      <c r="F421" s="266" t="s">
        <v>377</v>
      </c>
      <c r="G421" s="266" t="s">
        <v>475</v>
      </c>
      <c r="H421" s="266"/>
      <c r="I421" s="269" t="s">
        <v>676</v>
      </c>
      <c r="J421" s="267" t="s">
        <v>15</v>
      </c>
      <c r="K421" s="268">
        <v>1488</v>
      </c>
      <c r="L421" s="269" t="s">
        <v>474</v>
      </c>
      <c r="M421" s="270" t="str">
        <f>IFERROR(INDEX([1]Produtos!$C:$C,MATCH(L421,[1]Produtos!$B:$B,0)), "-")</f>
        <v>ÁGUA MICELAR ÁCIDO HIAULURÔNICO</v>
      </c>
      <c r="N421" s="510">
        <f>IFERROR(INDEX([1]Produtos!$E:$E,MATCH(L421,[1]Produtos!$B:$B,0)), "-")</f>
        <v>325</v>
      </c>
      <c r="O421" s="270" t="str">
        <f>IFERROR(INDEX([1]Produtos!$F:$F,MATCH(L421,[1]Produtos!$B:$B,0)), "-")</f>
        <v>ml</v>
      </c>
      <c r="P421" s="270" t="str">
        <f>IFERROR(INDEX([1]Produtos!$G:$G,MATCH(L421,[1]Produtos!$B:$B,0)), "-")</f>
        <v>GLOW MAKE UP</v>
      </c>
      <c r="Q421" s="270" t="str">
        <f>IFERROR(INDEX([1]Produtos!$H:$H,MATCH(L421,[1]Produtos!$B:$B,0)), "-")</f>
        <v>MAQUIAGEM</v>
      </c>
      <c r="R421" s="270" t="str">
        <f>IFERROR(INDEX([1]Produtos!$I:$I,MATCH(L421,[1]Produtos!$B:$B,0)), "-")</f>
        <v>ÁGUA MICELAR</v>
      </c>
      <c r="S421" s="270" t="str">
        <f>IFERROR(INDEX([1]Produtos!$J:$J,MATCH(L421,[1]Produtos!$B:$B,0)), "-")</f>
        <v>LÍQUIDO</v>
      </c>
      <c r="T421" s="475"/>
      <c r="U421" s="270"/>
      <c r="V421" s="270"/>
      <c r="W421" s="270"/>
      <c r="X421" s="270"/>
      <c r="Y421" s="270"/>
      <c r="Z421" s="270"/>
      <c r="AA421" s="270"/>
      <c r="AB421" s="270"/>
      <c r="AC421" s="270"/>
      <c r="AD421" s="270"/>
      <c r="AE421" s="270"/>
      <c r="AF421" s="270"/>
      <c r="AG421" s="270"/>
      <c r="AH421" s="270"/>
      <c r="AI421" s="270"/>
      <c r="AJ421" s="270"/>
      <c r="AK421" s="270"/>
      <c r="AL421" s="270"/>
      <c r="AM421" s="663"/>
      <c r="AN421" s="663"/>
      <c r="AO421" s="708" t="str">
        <f>IF(OR(Table1[[#This Row],[Início Setup Envase]]="",Table1[[#This Row],[Final Setup Envase]]=""),"",Table1[[#This Row],[Final Setup Envase]]-Table1[[#This Row],[Início Setup Envase]])</f>
        <v/>
      </c>
      <c r="AP421" s="663"/>
      <c r="AQ421" s="663"/>
      <c r="AR421" s="270"/>
      <c r="AS421" s="270"/>
      <c r="AT421" s="270"/>
      <c r="AU421" s="270"/>
      <c r="AV421" s="270"/>
      <c r="AW421" s="270"/>
      <c r="AX421" s="270"/>
      <c r="AY421" s="270"/>
      <c r="AZ421" s="270"/>
      <c r="BA421" s="270">
        <f>IF(Table1[[#This Row],[Data de Início]]="","",YEAR(Table1[[#This Row],[Data de Início]]))</f>
        <v>2025</v>
      </c>
      <c r="BB421" s="270">
        <f>IF(Table1[[#This Row],[Data de Início]]="","",MONTH(Table1[[#This Row],[Data de Início]]))</f>
        <v>8</v>
      </c>
      <c r="BC421" s="270"/>
    </row>
    <row r="422" spans="2:55" ht="15" customHeight="1" x14ac:dyDescent="0.25">
      <c r="B422" s="470">
        <v>45901.333333333336</v>
      </c>
      <c r="C422" s="263">
        <v>45901.46875</v>
      </c>
      <c r="D422" s="264" cm="1">
        <f t="array" ref="D422">IFERROR(HorasUteisFabrica2Turnos(B422,C422), "")</f>
        <v>3.2499999999417923</v>
      </c>
      <c r="E422" s="265">
        <f t="shared" si="6"/>
        <v>307.69230769781848</v>
      </c>
      <c r="F422" s="266" t="s">
        <v>378</v>
      </c>
      <c r="G422" s="266" t="s">
        <v>712</v>
      </c>
      <c r="H422" s="269" t="s">
        <v>734</v>
      </c>
      <c r="I422" s="269" t="s">
        <v>735</v>
      </c>
      <c r="J422" s="267" t="s">
        <v>15</v>
      </c>
      <c r="K422" s="268">
        <v>1000</v>
      </c>
      <c r="L422" s="269" t="s">
        <v>707</v>
      </c>
      <c r="M422" s="270" t="str">
        <f>IFERROR(INDEX([1]Produtos!$C:$C,MATCH(L422,[1]Produtos!$B:$B,0)), "-")</f>
        <v>GELATINA CAPILAR CHEIRINHO DE PISTACHE</v>
      </c>
      <c r="N422" s="510">
        <f>IFERROR(INDEX([1]Produtos!$E:$E,MATCH(L422,[1]Produtos!$B:$B,0)), "-")</f>
        <v>500</v>
      </c>
      <c r="O422" s="270" t="str">
        <f>IFERROR(INDEX([1]Produtos!$F:$F,MATCH(L422,[1]Produtos!$B:$B,0)), "-")</f>
        <v>ml</v>
      </c>
      <c r="P422" s="270" t="str">
        <f>IFERROR(INDEX([1]Produtos!$G:$G,MATCH(L422,[1]Produtos!$B:$B,0)), "-")</f>
        <v>ISA BEAUTY</v>
      </c>
      <c r="Q422" s="270" t="str">
        <f>IFERROR(INDEX([1]Produtos!$H:$H,MATCH(L422,[1]Produtos!$B:$B,0)), "-")</f>
        <v>CAPILAR</v>
      </c>
      <c r="R422" s="270" t="str">
        <f>IFERROR(INDEX([1]Produtos!$I:$I,MATCH(L422,[1]Produtos!$B:$B,0)), "-")</f>
        <v>GEL</v>
      </c>
      <c r="S422" s="270" t="str">
        <f>IFERROR(INDEX([1]Produtos!$J:$J,MATCH(L422,[1]Produtos!$B:$B,0)), "-")</f>
        <v>CREMOSO</v>
      </c>
      <c r="T422" s="475"/>
      <c r="U422" s="270"/>
      <c r="V422" s="270"/>
      <c r="W422" s="270"/>
      <c r="X422" s="270"/>
      <c r="Y422" s="270"/>
      <c r="Z422" s="270"/>
      <c r="AA422" s="270"/>
      <c r="AB422" s="270"/>
      <c r="AC422" s="270"/>
      <c r="AD422" s="270"/>
      <c r="AE422" s="270"/>
      <c r="AF422" s="270"/>
      <c r="AG422" s="270"/>
      <c r="AH422" s="270"/>
      <c r="AI422" s="270"/>
      <c r="AJ422" s="270"/>
      <c r="AK422" s="270"/>
      <c r="AL422" s="270"/>
      <c r="AM422" s="663"/>
      <c r="AN422" s="663"/>
      <c r="AO422" s="708" t="str">
        <f>IF(OR(Table1[[#This Row],[Início Setup Envase]]="",Table1[[#This Row],[Final Setup Envase]]=""),"",Table1[[#This Row],[Final Setup Envase]]-Table1[[#This Row],[Início Setup Envase]])</f>
        <v/>
      </c>
      <c r="AP422" s="663"/>
      <c r="AQ422" s="663"/>
      <c r="AR422" s="270"/>
      <c r="AS422" s="270"/>
      <c r="AT422" s="270"/>
      <c r="AU422" s="270"/>
      <c r="AV422" s="270"/>
      <c r="AW422" s="270"/>
      <c r="AX422" s="270"/>
      <c r="AY422" s="270"/>
      <c r="AZ422" s="270"/>
      <c r="BA422" s="270">
        <f>IF(Table1[[#This Row],[Data de Início]]="","",YEAR(Table1[[#This Row],[Data de Início]]))</f>
        <v>2025</v>
      </c>
      <c r="BB422" s="270">
        <f>IF(Table1[[#This Row],[Data de Início]]="","",MONTH(Table1[[#This Row],[Data de Início]]))</f>
        <v>9</v>
      </c>
      <c r="BC422" s="270"/>
    </row>
    <row r="423" spans="2:55" ht="15" customHeight="1" x14ac:dyDescent="0.25">
      <c r="B423" s="470">
        <v>45901.333333333336</v>
      </c>
      <c r="C423" s="263">
        <v>45901.46875</v>
      </c>
      <c r="D423" s="441" cm="1">
        <f t="array" ref="D423">IFERROR(HorasUteisFabrica2Turnos(B423,C423), "")</f>
        <v>3.2499999999417923</v>
      </c>
      <c r="E423" s="265">
        <f t="shared" si="6"/>
        <v>307.69230769781848</v>
      </c>
      <c r="F423" s="266" t="s">
        <v>378</v>
      </c>
      <c r="G423" s="266" t="s">
        <v>712</v>
      </c>
      <c r="H423" s="266"/>
      <c r="I423" s="269" t="s">
        <v>735</v>
      </c>
      <c r="J423" s="267" t="s">
        <v>15</v>
      </c>
      <c r="K423" s="268">
        <v>1000</v>
      </c>
      <c r="L423" s="269" t="s">
        <v>726</v>
      </c>
      <c r="M423" s="270" t="str">
        <f>IFERROR(INDEX([1]Produtos!$C:$C,MATCH(L423,[1]Produtos!$B:$B,0)), "-")</f>
        <v>GELATINA CAPILAR CHEIRINHO DE TUTTI-FRUTTI</v>
      </c>
      <c r="N423" s="510">
        <f>IFERROR(INDEX([1]Produtos!$E:$E,MATCH(L423,[1]Produtos!$B:$B,0)), "-")</f>
        <v>500</v>
      </c>
      <c r="O423" s="270" t="str">
        <f>IFERROR(INDEX([1]Produtos!$F:$F,MATCH(L423,[1]Produtos!$B:$B,0)), "-")</f>
        <v>ml</v>
      </c>
      <c r="P423" s="270" t="str">
        <f>IFERROR(INDEX([1]Produtos!$G:$G,MATCH(L423,[1]Produtos!$B:$B,0)), "-")</f>
        <v>ISA BEAUTY</v>
      </c>
      <c r="Q423" s="270" t="str">
        <f>IFERROR(INDEX([1]Produtos!$H:$H,MATCH(L423,[1]Produtos!$B:$B,0)), "-")</f>
        <v>CAPILAR</v>
      </c>
      <c r="R423" s="270" t="str">
        <f>IFERROR(INDEX([1]Produtos!$I:$I,MATCH(L423,[1]Produtos!$B:$B,0)), "-")</f>
        <v>GEL</v>
      </c>
      <c r="S423" s="270" t="str">
        <f>IFERROR(INDEX([1]Produtos!$J:$J,MATCH(L423,[1]Produtos!$B:$B,0)), "-")</f>
        <v>CREMOSO</v>
      </c>
      <c r="T423" s="475"/>
      <c r="U423" s="270"/>
      <c r="V423" s="270"/>
      <c r="W423" s="270"/>
      <c r="X423" s="270"/>
      <c r="Y423" s="270"/>
      <c r="Z423" s="270"/>
      <c r="AA423" s="270"/>
      <c r="AB423" s="270"/>
      <c r="AC423" s="270"/>
      <c r="AD423" s="270"/>
      <c r="AE423" s="270"/>
      <c r="AF423" s="270"/>
      <c r="AG423" s="270"/>
      <c r="AH423" s="270"/>
      <c r="AI423" s="270"/>
      <c r="AJ423" s="270"/>
      <c r="AK423" s="270"/>
      <c r="AL423" s="270"/>
      <c r="AM423" s="663"/>
      <c r="AN423" s="663"/>
      <c r="AO423" s="708" t="str">
        <f>IF(OR(Table1[[#This Row],[Início Setup Envase]]="",Table1[[#This Row],[Final Setup Envase]]=""),"",Table1[[#This Row],[Final Setup Envase]]-Table1[[#This Row],[Início Setup Envase]])</f>
        <v/>
      </c>
      <c r="AP423" s="663"/>
      <c r="AQ423" s="663"/>
      <c r="AR423" s="270"/>
      <c r="AS423" s="270"/>
      <c r="AT423" s="270"/>
      <c r="AU423" s="270"/>
      <c r="AV423" s="270"/>
      <c r="AW423" s="270"/>
      <c r="AX423" s="270"/>
      <c r="AY423" s="270"/>
      <c r="AZ423" s="270"/>
      <c r="BA423" s="270">
        <f>IF(Table1[[#This Row],[Data de Início]]="","",YEAR(Table1[[#This Row],[Data de Início]]))</f>
        <v>2025</v>
      </c>
      <c r="BB423" s="270">
        <f>IF(Table1[[#This Row],[Data de Início]]="","",MONTH(Table1[[#This Row],[Data de Início]]))</f>
        <v>9</v>
      </c>
      <c r="BC423" s="270"/>
    </row>
    <row r="424" spans="2:55" ht="15" customHeight="1" x14ac:dyDescent="0.25">
      <c r="B424" s="470">
        <v>45901.333333333336</v>
      </c>
      <c r="C424" s="263">
        <v>45901.427083333336</v>
      </c>
      <c r="D424" s="441" cm="1">
        <f t="array" ref="D424">IFERROR(HorasUteisFabrica2Turnos(B424,C424), "")</f>
        <v>2.25</v>
      </c>
      <c r="E424" s="265">
        <f t="shared" si="6"/>
        <v>400.44444444444446</v>
      </c>
      <c r="F424" s="266" t="s">
        <v>378</v>
      </c>
      <c r="G424" s="266" t="s">
        <v>712</v>
      </c>
      <c r="H424" s="266"/>
      <c r="I424" s="269" t="s">
        <v>736</v>
      </c>
      <c r="J424" s="267" t="s">
        <v>15</v>
      </c>
      <c r="K424" s="268">
        <v>901</v>
      </c>
      <c r="L424" s="269" t="s">
        <v>707</v>
      </c>
      <c r="M424" s="270" t="str">
        <f>IFERROR(INDEX([1]Produtos!$C:$C,MATCH(L424,[1]Produtos!$B:$B,0)), "-")</f>
        <v>GELATINA CAPILAR CHEIRINHO DE PISTACHE</v>
      </c>
      <c r="N424" s="510">
        <f>IFERROR(INDEX([1]Produtos!$E:$E,MATCH(L424,[1]Produtos!$B:$B,0)), "-")</f>
        <v>500</v>
      </c>
      <c r="O424" s="270" t="str">
        <f>IFERROR(INDEX([1]Produtos!$F:$F,MATCH(L424,[1]Produtos!$B:$B,0)), "-")</f>
        <v>ml</v>
      </c>
      <c r="P424" s="270" t="str">
        <f>IFERROR(INDEX([1]Produtos!$G:$G,MATCH(L424,[1]Produtos!$B:$B,0)), "-")</f>
        <v>ISA BEAUTY</v>
      </c>
      <c r="Q424" s="270" t="str">
        <f>IFERROR(INDEX([1]Produtos!$H:$H,MATCH(L424,[1]Produtos!$B:$B,0)), "-")</f>
        <v>CAPILAR</v>
      </c>
      <c r="R424" s="270" t="str">
        <f>IFERROR(INDEX([1]Produtos!$I:$I,MATCH(L424,[1]Produtos!$B:$B,0)), "-")</f>
        <v>GEL</v>
      </c>
      <c r="S424" s="270" t="str">
        <f>IFERROR(INDEX([1]Produtos!$J:$J,MATCH(L424,[1]Produtos!$B:$B,0)), "-")</f>
        <v>CREMOSO</v>
      </c>
      <c r="T424" s="475"/>
      <c r="U424" s="270"/>
      <c r="V424" s="270"/>
      <c r="W424" s="270"/>
      <c r="X424" s="270"/>
      <c r="Y424" s="270"/>
      <c r="Z424" s="270"/>
      <c r="AA424" s="270"/>
      <c r="AB424" s="270"/>
      <c r="AC424" s="270"/>
      <c r="AD424" s="270"/>
      <c r="AE424" s="270"/>
      <c r="AF424" s="270"/>
      <c r="AG424" s="270"/>
      <c r="AH424" s="270"/>
      <c r="AI424" s="270"/>
      <c r="AJ424" s="270"/>
      <c r="AK424" s="270"/>
      <c r="AL424" s="270"/>
      <c r="AM424" s="663"/>
      <c r="AN424" s="663"/>
      <c r="AO424" s="708" t="str">
        <f>IF(OR(Table1[[#This Row],[Início Setup Envase]]="",Table1[[#This Row],[Final Setup Envase]]=""),"",Table1[[#This Row],[Final Setup Envase]]-Table1[[#This Row],[Início Setup Envase]])</f>
        <v/>
      </c>
      <c r="AP424" s="663"/>
      <c r="AQ424" s="663"/>
      <c r="AR424" s="270"/>
      <c r="AS424" s="270"/>
      <c r="AT424" s="270"/>
      <c r="AU424" s="270"/>
      <c r="AV424" s="270"/>
      <c r="AW424" s="270"/>
      <c r="AX424" s="270"/>
      <c r="AY424" s="270"/>
      <c r="AZ424" s="270"/>
      <c r="BA424" s="270">
        <f>IF(Table1[[#This Row],[Data de Início]]="","",YEAR(Table1[[#This Row],[Data de Início]]))</f>
        <v>2025</v>
      </c>
      <c r="BB424" s="270">
        <f>IF(Table1[[#This Row],[Data de Início]]="","",MONTH(Table1[[#This Row],[Data de Início]]))</f>
        <v>9</v>
      </c>
      <c r="BC424" s="270"/>
    </row>
    <row r="425" spans="2:55" ht="15" customHeight="1" x14ac:dyDescent="0.25">
      <c r="B425" s="470">
        <v>45901.347916666666</v>
      </c>
      <c r="C425" s="263">
        <v>45901.527777777781</v>
      </c>
      <c r="D425" s="441" cm="1">
        <f t="array" ref="D425">IFERROR(HorasUteisFabrica2Turnos(B425,C425), "")</f>
        <v>4.3166666667675599</v>
      </c>
      <c r="E425" s="265">
        <f t="shared" si="6"/>
        <v>231.66023165481707</v>
      </c>
      <c r="F425" s="266" t="s">
        <v>378</v>
      </c>
      <c r="G425" s="266" t="s">
        <v>712</v>
      </c>
      <c r="H425" s="266"/>
      <c r="I425" s="269" t="s">
        <v>882</v>
      </c>
      <c r="J425" s="267" t="s">
        <v>15</v>
      </c>
      <c r="K425" s="268">
        <v>1000</v>
      </c>
      <c r="L425" s="269" t="s">
        <v>716</v>
      </c>
      <c r="M425" s="270" t="str">
        <f>IFERROR(INDEX([1]Produtos!$C:$C,MATCH(L425,[1]Produtos!$B:$B,0)), "-")</f>
        <v>GELATINA CAPILAR CHEIRINHO DE MELÂNCIA</v>
      </c>
      <c r="N425" s="510">
        <f>IFERROR(INDEX([1]Produtos!$E:$E,MATCH(L425,[1]Produtos!$B:$B,0)), "-")</f>
        <v>500</v>
      </c>
      <c r="O425" s="270" t="str">
        <f>IFERROR(INDEX([1]Produtos!$F:$F,MATCH(L425,[1]Produtos!$B:$B,0)), "-")</f>
        <v>ml</v>
      </c>
      <c r="P425" s="270" t="str">
        <f>IFERROR(INDEX([1]Produtos!$G:$G,MATCH(L425,[1]Produtos!$B:$B,0)), "-")</f>
        <v>ISA BEAUTY</v>
      </c>
      <c r="Q425" s="270" t="str">
        <f>IFERROR(INDEX([1]Produtos!$H:$H,MATCH(L425,[1]Produtos!$B:$B,0)), "-")</f>
        <v>CAPILAR</v>
      </c>
      <c r="R425" s="270" t="str">
        <f>IFERROR(INDEX([1]Produtos!$I:$I,MATCH(L425,[1]Produtos!$B:$B,0)), "-")</f>
        <v>GEL</v>
      </c>
      <c r="S425" s="270" t="str">
        <f>IFERROR(INDEX([1]Produtos!$J:$J,MATCH(L425,[1]Produtos!$B:$B,0)), "-")</f>
        <v>CREMOSO</v>
      </c>
      <c r="T425" s="475"/>
      <c r="U425" s="270"/>
      <c r="V425" s="270"/>
      <c r="W425" s="270"/>
      <c r="X425" s="270"/>
      <c r="Y425" s="270"/>
      <c r="Z425" s="270"/>
      <c r="AA425" s="270"/>
      <c r="AB425" s="270"/>
      <c r="AC425" s="270"/>
      <c r="AD425" s="270"/>
      <c r="AE425" s="270"/>
      <c r="AF425" s="270"/>
      <c r="AG425" s="270"/>
      <c r="AH425" s="270"/>
      <c r="AI425" s="270"/>
      <c r="AJ425" s="270"/>
      <c r="AK425" s="270"/>
      <c r="AL425" s="270"/>
      <c r="AM425" s="663"/>
      <c r="AN425" s="663"/>
      <c r="AO425" s="708" t="str">
        <f>IF(OR(Table1[[#This Row],[Início Setup Envase]]="",Table1[[#This Row],[Final Setup Envase]]=""),"",Table1[[#This Row],[Final Setup Envase]]-Table1[[#This Row],[Início Setup Envase]])</f>
        <v/>
      </c>
      <c r="AP425" s="663"/>
      <c r="AQ425" s="663"/>
      <c r="AR425" s="270"/>
      <c r="AS425" s="270"/>
      <c r="AT425" s="270"/>
      <c r="AU425" s="270"/>
      <c r="AV425" s="270"/>
      <c r="AW425" s="270"/>
      <c r="AX425" s="270"/>
      <c r="AY425" s="270"/>
      <c r="AZ425" s="270"/>
      <c r="BA425" s="270">
        <f>IF(Table1[[#This Row],[Data de Início]]="","",YEAR(Table1[[#This Row],[Data de Início]]))</f>
        <v>2025</v>
      </c>
      <c r="BB425" s="270">
        <f>IF(Table1[[#This Row],[Data de Início]]="","",MONTH(Table1[[#This Row],[Data de Início]]))</f>
        <v>9</v>
      </c>
      <c r="BC425" s="270"/>
    </row>
    <row r="426" spans="2:55" ht="15" customHeight="1" x14ac:dyDescent="0.25">
      <c r="B426" s="470">
        <v>45901.427083333336</v>
      </c>
      <c r="C426" s="263">
        <v>45901.545138888891</v>
      </c>
      <c r="D426" s="264" cm="1">
        <f t="array" ref="D426">IFERROR(HorasUteisFabrica2Turnos(B426,C426), "")</f>
        <v>1.8333333333139308</v>
      </c>
      <c r="E426" s="265">
        <f t="shared" si="6"/>
        <v>916.36363637333443</v>
      </c>
      <c r="F426" s="266" t="s">
        <v>377</v>
      </c>
      <c r="G426" s="266" t="s">
        <v>475</v>
      </c>
      <c r="H426" s="266"/>
      <c r="I426" s="269" t="s">
        <v>668</v>
      </c>
      <c r="J426" s="267" t="s">
        <v>15</v>
      </c>
      <c r="K426" s="268">
        <v>1680</v>
      </c>
      <c r="L426" s="269" t="s">
        <v>479</v>
      </c>
      <c r="M426" s="270" t="str">
        <f>IFERROR(INDEX([1]Produtos!$C:$C,MATCH(L426,[1]Produtos!$B:$B,0)), "-")</f>
        <v>ÁGUA MICELAR CARVÃO ATIVADO</v>
      </c>
      <c r="N426" s="510">
        <f>IFERROR(INDEX([1]Produtos!$E:$E,MATCH(L426,[1]Produtos!$B:$B,0)), "-")</f>
        <v>325</v>
      </c>
      <c r="O426" s="270" t="str">
        <f>IFERROR(INDEX([1]Produtos!$F:$F,MATCH(L426,[1]Produtos!$B:$B,0)), "-")</f>
        <v>ml</v>
      </c>
      <c r="P426" s="270" t="str">
        <f>IFERROR(INDEX([1]Produtos!$G:$G,MATCH(L426,[1]Produtos!$B:$B,0)), "-")</f>
        <v>GLOW MAKE UP</v>
      </c>
      <c r="Q426" s="270" t="str">
        <f>IFERROR(INDEX([1]Produtos!$H:$H,MATCH(L426,[1]Produtos!$B:$B,0)), "-")</f>
        <v>MAQUIAGEM</v>
      </c>
      <c r="R426" s="270" t="str">
        <f>IFERROR(INDEX([1]Produtos!$I:$I,MATCH(L426,[1]Produtos!$B:$B,0)), "-")</f>
        <v>ÁGUA MICELAR</v>
      </c>
      <c r="S426" s="270" t="str">
        <f>IFERROR(INDEX([1]Produtos!$J:$J,MATCH(L426,[1]Produtos!$B:$B,0)), "-")</f>
        <v>LÍQUIDO</v>
      </c>
      <c r="T426" s="475"/>
      <c r="U426" s="270"/>
      <c r="V426" s="270"/>
      <c r="W426" s="270"/>
      <c r="X426" s="270"/>
      <c r="Y426" s="270"/>
      <c r="Z426" s="270"/>
      <c r="AA426" s="270"/>
      <c r="AB426" s="270"/>
      <c r="AC426" s="270"/>
      <c r="AD426" s="270"/>
      <c r="AE426" s="270"/>
      <c r="AF426" s="270"/>
      <c r="AG426" s="270"/>
      <c r="AH426" s="270"/>
      <c r="AI426" s="270"/>
      <c r="AJ426" s="270"/>
      <c r="AK426" s="270"/>
      <c r="AL426" s="270"/>
      <c r="AM426" s="663"/>
      <c r="AN426" s="663"/>
      <c r="AO426" s="708" t="str">
        <f>IF(OR(Table1[[#This Row],[Início Setup Envase]]="",Table1[[#This Row],[Final Setup Envase]]=""),"",Table1[[#This Row],[Final Setup Envase]]-Table1[[#This Row],[Início Setup Envase]])</f>
        <v/>
      </c>
      <c r="AP426" s="663"/>
      <c r="AQ426" s="663"/>
      <c r="AR426" s="270"/>
      <c r="AS426" s="270"/>
      <c r="AT426" s="270"/>
      <c r="AU426" s="270"/>
      <c r="AV426" s="270"/>
      <c r="AW426" s="270"/>
      <c r="AX426" s="270"/>
      <c r="AY426" s="270"/>
      <c r="AZ426" s="270"/>
      <c r="BA426" s="270">
        <f>IF(Table1[[#This Row],[Data de Início]]="","",YEAR(Table1[[#This Row],[Data de Início]]))</f>
        <v>2025</v>
      </c>
      <c r="BB426" s="270">
        <f>IF(Table1[[#This Row],[Data de Início]]="","",MONTH(Table1[[#This Row],[Data de Início]]))</f>
        <v>9</v>
      </c>
      <c r="BC426" s="270"/>
    </row>
    <row r="427" spans="2:55" ht="15" customHeight="1" x14ac:dyDescent="0.25">
      <c r="B427" s="470">
        <v>45901.5</v>
      </c>
      <c r="C427" s="263">
        <v>45901.5625</v>
      </c>
      <c r="D427" s="264" cm="1">
        <f t="array" ref="D427">IFERROR(HorasUteisFabrica2Turnos(B427,C427), "")</f>
        <v>1.5</v>
      </c>
      <c r="E427" s="265">
        <f t="shared" si="6"/>
        <v>1120</v>
      </c>
      <c r="F427" s="266" t="s">
        <v>377</v>
      </c>
      <c r="G427" s="266" t="s">
        <v>475</v>
      </c>
      <c r="H427" s="266"/>
      <c r="I427" s="269" t="s">
        <v>670</v>
      </c>
      <c r="J427" s="267" t="s">
        <v>15</v>
      </c>
      <c r="K427" s="268">
        <v>1680</v>
      </c>
      <c r="L427" s="269" t="s">
        <v>479</v>
      </c>
      <c r="M427" s="270" t="str">
        <f>IFERROR(INDEX([1]Produtos!$C:$C,MATCH(L427,[1]Produtos!$B:$B,0)), "-")</f>
        <v>ÁGUA MICELAR CARVÃO ATIVADO</v>
      </c>
      <c r="N427" s="510">
        <f>IFERROR(INDEX([1]Produtos!$E:$E,MATCH(L427,[1]Produtos!$B:$B,0)), "-")</f>
        <v>325</v>
      </c>
      <c r="O427" s="270" t="str">
        <f>IFERROR(INDEX([1]Produtos!$F:$F,MATCH(L427,[1]Produtos!$B:$B,0)), "-")</f>
        <v>ml</v>
      </c>
      <c r="P427" s="270" t="str">
        <f>IFERROR(INDEX([1]Produtos!$G:$G,MATCH(L427,[1]Produtos!$B:$B,0)), "-")</f>
        <v>GLOW MAKE UP</v>
      </c>
      <c r="Q427" s="270" t="str">
        <f>IFERROR(INDEX([1]Produtos!$H:$H,MATCH(L427,[1]Produtos!$B:$B,0)), "-")</f>
        <v>MAQUIAGEM</v>
      </c>
      <c r="R427" s="270" t="str">
        <f>IFERROR(INDEX([1]Produtos!$I:$I,MATCH(L427,[1]Produtos!$B:$B,0)), "-")</f>
        <v>ÁGUA MICELAR</v>
      </c>
      <c r="S427" s="270" t="str">
        <f>IFERROR(INDEX([1]Produtos!$J:$J,MATCH(L427,[1]Produtos!$B:$B,0)), "-")</f>
        <v>LÍQUIDO</v>
      </c>
      <c r="T427" s="475"/>
      <c r="U427" s="270"/>
      <c r="V427" s="270"/>
      <c r="W427" s="270"/>
      <c r="X427" s="270"/>
      <c r="Y427" s="270"/>
      <c r="Z427" s="270"/>
      <c r="AA427" s="270"/>
      <c r="AB427" s="270"/>
      <c r="AC427" s="270"/>
      <c r="AD427" s="270"/>
      <c r="AE427" s="270"/>
      <c r="AF427" s="270"/>
      <c r="AG427" s="270"/>
      <c r="AH427" s="270"/>
      <c r="AI427" s="270"/>
      <c r="AJ427" s="270"/>
      <c r="AK427" s="270"/>
      <c r="AL427" s="270"/>
      <c r="AM427" s="663"/>
      <c r="AN427" s="663"/>
      <c r="AO427" s="708" t="str">
        <f>IF(OR(Table1[[#This Row],[Início Setup Envase]]="",Table1[[#This Row],[Final Setup Envase]]=""),"",Table1[[#This Row],[Final Setup Envase]]-Table1[[#This Row],[Início Setup Envase]])</f>
        <v/>
      </c>
      <c r="AP427" s="663"/>
      <c r="AQ427" s="663"/>
      <c r="AR427" s="270"/>
      <c r="AS427" s="270"/>
      <c r="AT427" s="270"/>
      <c r="AU427" s="270"/>
      <c r="AV427" s="270"/>
      <c r="AW427" s="270"/>
      <c r="AX427" s="270"/>
      <c r="AY427" s="270"/>
      <c r="AZ427" s="270"/>
      <c r="BA427" s="270">
        <f>IF(Table1[[#This Row],[Data de Início]]="","",YEAR(Table1[[#This Row],[Data de Início]]))</f>
        <v>2025</v>
      </c>
      <c r="BB427" s="270">
        <f>IF(Table1[[#This Row],[Data de Início]]="","",MONTH(Table1[[#This Row],[Data de Início]]))</f>
        <v>9</v>
      </c>
      <c r="BC427" s="270"/>
    </row>
    <row r="428" spans="2:55" ht="15" customHeight="1" x14ac:dyDescent="0.25">
      <c r="B428" s="470">
        <v>45901.527777777781</v>
      </c>
      <c r="C428" s="263">
        <v>45901.604166666664</v>
      </c>
      <c r="D428" s="441" cm="1">
        <f t="array" ref="D428">IFERROR(HorasUteisFabrica2Turnos(B428,C428), "")</f>
        <v>1.8333333331975155</v>
      </c>
      <c r="E428" s="265">
        <f t="shared" si="6"/>
        <v>517.63636367471145</v>
      </c>
      <c r="F428" s="266" t="s">
        <v>378</v>
      </c>
      <c r="G428" s="266" t="s">
        <v>712</v>
      </c>
      <c r="H428" s="266"/>
      <c r="I428" s="269" t="s">
        <v>719</v>
      </c>
      <c r="J428" s="267" t="s">
        <v>15</v>
      </c>
      <c r="K428" s="268">
        <v>949</v>
      </c>
      <c r="L428" s="269" t="s">
        <v>716</v>
      </c>
      <c r="M428" s="270" t="str">
        <f>IFERROR(INDEX([1]Produtos!$C:$C,MATCH(L428,[1]Produtos!$B:$B,0)), "-")</f>
        <v>GELATINA CAPILAR CHEIRINHO DE MELÂNCIA</v>
      </c>
      <c r="N428" s="510">
        <f>IFERROR(INDEX([1]Produtos!$E:$E,MATCH(L428,[1]Produtos!$B:$B,0)), "-")</f>
        <v>500</v>
      </c>
      <c r="O428" s="270" t="str">
        <f>IFERROR(INDEX([1]Produtos!$F:$F,MATCH(L428,[1]Produtos!$B:$B,0)), "-")</f>
        <v>ml</v>
      </c>
      <c r="P428" s="270" t="str">
        <f>IFERROR(INDEX([1]Produtos!$G:$G,MATCH(L428,[1]Produtos!$B:$B,0)), "-")</f>
        <v>ISA BEAUTY</v>
      </c>
      <c r="Q428" s="270" t="str">
        <f>IFERROR(INDEX([1]Produtos!$H:$H,MATCH(L428,[1]Produtos!$B:$B,0)), "-")</f>
        <v>CAPILAR</v>
      </c>
      <c r="R428" s="270" t="str">
        <f>IFERROR(INDEX([1]Produtos!$I:$I,MATCH(L428,[1]Produtos!$B:$B,0)), "-")</f>
        <v>GEL</v>
      </c>
      <c r="S428" s="270" t="str">
        <f>IFERROR(INDEX([1]Produtos!$J:$J,MATCH(L428,[1]Produtos!$B:$B,0)), "-")</f>
        <v>CREMOSO</v>
      </c>
      <c r="T428" s="475"/>
      <c r="U428" s="270"/>
      <c r="V428" s="270"/>
      <c r="W428" s="270"/>
      <c r="X428" s="270"/>
      <c r="Y428" s="270"/>
      <c r="Z428" s="270"/>
      <c r="AA428" s="270"/>
      <c r="AB428" s="270"/>
      <c r="AC428" s="270"/>
      <c r="AD428" s="270"/>
      <c r="AE428" s="270"/>
      <c r="AF428" s="270"/>
      <c r="AG428" s="270"/>
      <c r="AH428" s="270"/>
      <c r="AI428" s="270"/>
      <c r="AJ428" s="270"/>
      <c r="AK428" s="270"/>
      <c r="AL428" s="270"/>
      <c r="AM428" s="663"/>
      <c r="AN428" s="663"/>
      <c r="AO428" s="708" t="str">
        <f>IF(OR(Table1[[#This Row],[Início Setup Envase]]="",Table1[[#This Row],[Final Setup Envase]]=""),"",Table1[[#This Row],[Final Setup Envase]]-Table1[[#This Row],[Início Setup Envase]])</f>
        <v/>
      </c>
      <c r="AP428" s="663"/>
      <c r="AQ428" s="663"/>
      <c r="AR428" s="270"/>
      <c r="AS428" s="270"/>
      <c r="AT428" s="270"/>
      <c r="AU428" s="270"/>
      <c r="AV428" s="270"/>
      <c r="AW428" s="270"/>
      <c r="AX428" s="270"/>
      <c r="AY428" s="270"/>
      <c r="AZ428" s="270"/>
      <c r="BA428" s="270">
        <f>IF(Table1[[#This Row],[Data de Início]]="","",YEAR(Table1[[#This Row],[Data de Início]]))</f>
        <v>2025</v>
      </c>
      <c r="BB428" s="270">
        <f>IF(Table1[[#This Row],[Data de Início]]="","",MONTH(Table1[[#This Row],[Data de Início]]))</f>
        <v>9</v>
      </c>
      <c r="BC428" s="270"/>
    </row>
    <row r="429" spans="2:55" ht="15" customHeight="1" x14ac:dyDescent="0.25">
      <c r="B429" s="470">
        <v>45901.547222222223</v>
      </c>
      <c r="C429" s="263">
        <v>45901.618055555555</v>
      </c>
      <c r="D429" s="441" cm="1">
        <f t="array" ref="D429">IFERROR(HorasUteisFabrica2Turnos(B429,C429), "")</f>
        <v>1.6999999999534339</v>
      </c>
      <c r="E429" s="265">
        <f t="shared" si="6"/>
        <v>588.23529413375991</v>
      </c>
      <c r="F429" s="266" t="s">
        <v>378</v>
      </c>
      <c r="G429" s="266" t="s">
        <v>712</v>
      </c>
      <c r="H429" s="266"/>
      <c r="I429" s="269" t="s">
        <v>718</v>
      </c>
      <c r="J429" s="267" t="s">
        <v>15</v>
      </c>
      <c r="K429" s="268">
        <v>1000</v>
      </c>
      <c r="L429" s="269" t="s">
        <v>716</v>
      </c>
      <c r="M429" s="270" t="str">
        <f>IFERROR(INDEX([1]Produtos!$C:$C,MATCH(L429,[1]Produtos!$B:$B,0)), "-")</f>
        <v>GELATINA CAPILAR CHEIRINHO DE MELÂNCIA</v>
      </c>
      <c r="N429" s="510">
        <f>IFERROR(INDEX([1]Produtos!$E:$E,MATCH(L429,[1]Produtos!$B:$B,0)), "-")</f>
        <v>500</v>
      </c>
      <c r="O429" s="270" t="str">
        <f>IFERROR(INDEX([1]Produtos!$F:$F,MATCH(L429,[1]Produtos!$B:$B,0)), "-")</f>
        <v>ml</v>
      </c>
      <c r="P429" s="270" t="str">
        <f>IFERROR(INDEX([1]Produtos!$G:$G,MATCH(L429,[1]Produtos!$B:$B,0)), "-")</f>
        <v>ISA BEAUTY</v>
      </c>
      <c r="Q429" s="270" t="str">
        <f>IFERROR(INDEX([1]Produtos!$H:$H,MATCH(L429,[1]Produtos!$B:$B,0)), "-")</f>
        <v>CAPILAR</v>
      </c>
      <c r="R429" s="270" t="str">
        <f>IFERROR(INDEX([1]Produtos!$I:$I,MATCH(L429,[1]Produtos!$B:$B,0)), "-")</f>
        <v>GEL</v>
      </c>
      <c r="S429" s="270" t="str">
        <f>IFERROR(INDEX([1]Produtos!$J:$J,MATCH(L429,[1]Produtos!$B:$B,0)), "-")</f>
        <v>CREMOSO</v>
      </c>
      <c r="T429" s="475"/>
      <c r="U429" s="270"/>
      <c r="V429" s="270"/>
      <c r="W429" s="270"/>
      <c r="X429" s="270"/>
      <c r="Y429" s="270"/>
      <c r="Z429" s="270"/>
      <c r="AA429" s="270"/>
      <c r="AB429" s="270"/>
      <c r="AC429" s="270"/>
      <c r="AD429" s="270"/>
      <c r="AE429" s="270"/>
      <c r="AF429" s="270"/>
      <c r="AG429" s="270"/>
      <c r="AH429" s="270"/>
      <c r="AI429" s="270"/>
      <c r="AJ429" s="270"/>
      <c r="AK429" s="270"/>
      <c r="AL429" s="270"/>
      <c r="AM429" s="663"/>
      <c r="AN429" s="663"/>
      <c r="AO429" s="708" t="str">
        <f>IF(OR(Table1[[#This Row],[Início Setup Envase]]="",Table1[[#This Row],[Final Setup Envase]]=""),"",Table1[[#This Row],[Final Setup Envase]]-Table1[[#This Row],[Início Setup Envase]])</f>
        <v/>
      </c>
      <c r="AP429" s="663"/>
      <c r="AQ429" s="663"/>
      <c r="AR429" s="270"/>
      <c r="AS429" s="270"/>
      <c r="AT429" s="270"/>
      <c r="AU429" s="270"/>
      <c r="AV429" s="270"/>
      <c r="AW429" s="270"/>
      <c r="AX429" s="270"/>
      <c r="AY429" s="270"/>
      <c r="AZ429" s="270"/>
      <c r="BA429" s="270">
        <f>IF(Table1[[#This Row],[Data de Início]]="","",YEAR(Table1[[#This Row],[Data de Início]]))</f>
        <v>2025</v>
      </c>
      <c r="BB429" s="270">
        <f>IF(Table1[[#This Row],[Data de Início]]="","",MONTH(Table1[[#This Row],[Data de Início]]))</f>
        <v>9</v>
      </c>
      <c r="BC429" s="270"/>
    </row>
    <row r="430" spans="2:55" ht="15" customHeight="1" x14ac:dyDescent="0.25">
      <c r="B430" s="470">
        <v>45901.618055555555</v>
      </c>
      <c r="C430" s="263">
        <v>45901.680555555555</v>
      </c>
      <c r="D430" s="441" cm="1">
        <f t="array" ref="D430">IFERROR(HorasUteisFabrica2Turnos(B430,C430), "")</f>
        <v>1.5</v>
      </c>
      <c r="E430" s="265">
        <f t="shared" si="6"/>
        <v>666.66666666666663</v>
      </c>
      <c r="F430" s="266" t="s">
        <v>378</v>
      </c>
      <c r="G430" s="266" t="s">
        <v>712</v>
      </c>
      <c r="H430" s="266"/>
      <c r="I430" s="269" t="s">
        <v>724</v>
      </c>
      <c r="J430" s="267" t="s">
        <v>15</v>
      </c>
      <c r="K430" s="268">
        <v>1000</v>
      </c>
      <c r="L430" s="269" t="s">
        <v>716</v>
      </c>
      <c r="M430" s="270" t="str">
        <f>IFERROR(INDEX([1]Produtos!$C:$C,MATCH(L430,[1]Produtos!$B:$B,0)), "-")</f>
        <v>GELATINA CAPILAR CHEIRINHO DE MELÂNCIA</v>
      </c>
      <c r="N430" s="510">
        <f>IFERROR(INDEX([1]Produtos!$E:$E,MATCH(L430,[1]Produtos!$B:$B,0)), "-")</f>
        <v>500</v>
      </c>
      <c r="O430" s="270" t="str">
        <f>IFERROR(INDEX([1]Produtos!$F:$F,MATCH(L430,[1]Produtos!$B:$B,0)), "-")</f>
        <v>ml</v>
      </c>
      <c r="P430" s="270" t="str">
        <f>IFERROR(INDEX([1]Produtos!$G:$G,MATCH(L430,[1]Produtos!$B:$B,0)), "-")</f>
        <v>ISA BEAUTY</v>
      </c>
      <c r="Q430" s="270" t="str">
        <f>IFERROR(INDEX([1]Produtos!$H:$H,MATCH(L430,[1]Produtos!$B:$B,0)), "-")</f>
        <v>CAPILAR</v>
      </c>
      <c r="R430" s="270" t="str">
        <f>IFERROR(INDEX([1]Produtos!$I:$I,MATCH(L430,[1]Produtos!$B:$B,0)), "-")</f>
        <v>GEL</v>
      </c>
      <c r="S430" s="270" t="str">
        <f>IFERROR(INDEX([1]Produtos!$J:$J,MATCH(L430,[1]Produtos!$B:$B,0)), "-")</f>
        <v>CREMOSO</v>
      </c>
      <c r="T430" s="475"/>
      <c r="U430" s="270"/>
      <c r="V430" s="270"/>
      <c r="W430" s="270"/>
      <c r="X430" s="270"/>
      <c r="Y430" s="270"/>
      <c r="Z430" s="270"/>
      <c r="AA430" s="270"/>
      <c r="AB430" s="270"/>
      <c r="AC430" s="270"/>
      <c r="AD430" s="270"/>
      <c r="AE430" s="270"/>
      <c r="AF430" s="270"/>
      <c r="AG430" s="270"/>
      <c r="AH430" s="270"/>
      <c r="AI430" s="270"/>
      <c r="AJ430" s="270"/>
      <c r="AK430" s="270"/>
      <c r="AL430" s="270"/>
      <c r="AM430" s="663"/>
      <c r="AN430" s="663"/>
      <c r="AO430" s="708" t="str">
        <f>IF(OR(Table1[[#This Row],[Início Setup Envase]]="",Table1[[#This Row],[Final Setup Envase]]=""),"",Table1[[#This Row],[Final Setup Envase]]-Table1[[#This Row],[Início Setup Envase]])</f>
        <v/>
      </c>
      <c r="AP430" s="663"/>
      <c r="AQ430" s="663"/>
      <c r="AR430" s="270"/>
      <c r="AS430" s="270"/>
      <c r="AT430" s="270"/>
      <c r="AU430" s="270"/>
      <c r="AV430" s="270"/>
      <c r="AW430" s="270"/>
      <c r="AX430" s="270"/>
      <c r="AY430" s="270"/>
      <c r="AZ430" s="270"/>
      <c r="BA430" s="270">
        <f>IF(Table1[[#This Row],[Data de Início]]="","",YEAR(Table1[[#This Row],[Data de Início]]))</f>
        <v>2025</v>
      </c>
      <c r="BB430" s="270">
        <f>IF(Table1[[#This Row],[Data de Início]]="","",MONTH(Table1[[#This Row],[Data de Início]]))</f>
        <v>9</v>
      </c>
      <c r="BC430" s="270"/>
    </row>
    <row r="431" spans="2:55" ht="15" customHeight="1" x14ac:dyDescent="0.25">
      <c r="B431" s="470">
        <v>45901.645833333336</v>
      </c>
      <c r="C431" s="263">
        <v>45901.708333333336</v>
      </c>
      <c r="D431" s="264" cm="1">
        <f t="array" ref="D431">IFERROR(HorasUteisFabrica2Turnos(B431,C431), "")</f>
        <v>1.5</v>
      </c>
      <c r="E431" s="265">
        <f t="shared" si="6"/>
        <v>1120</v>
      </c>
      <c r="F431" s="266" t="s">
        <v>377</v>
      </c>
      <c r="G431" s="266" t="s">
        <v>475</v>
      </c>
      <c r="H431" s="266"/>
      <c r="I431" s="269" t="s">
        <v>669</v>
      </c>
      <c r="J431" s="267" t="s">
        <v>15</v>
      </c>
      <c r="K431" s="268">
        <v>1680</v>
      </c>
      <c r="L431" s="269" t="s">
        <v>479</v>
      </c>
      <c r="M431" s="270" t="str">
        <f>IFERROR(INDEX([1]Produtos!$C:$C,MATCH(L431,[1]Produtos!$B:$B,0)), "-")</f>
        <v>ÁGUA MICELAR CARVÃO ATIVADO</v>
      </c>
      <c r="N431" s="510">
        <f>IFERROR(INDEX([1]Produtos!$E:$E,MATCH(L431,[1]Produtos!$B:$B,0)), "-")</f>
        <v>325</v>
      </c>
      <c r="O431" s="270" t="str">
        <f>IFERROR(INDEX([1]Produtos!$F:$F,MATCH(L431,[1]Produtos!$B:$B,0)), "-")</f>
        <v>ml</v>
      </c>
      <c r="P431" s="270" t="str">
        <f>IFERROR(INDEX([1]Produtos!$G:$G,MATCH(L431,[1]Produtos!$B:$B,0)), "-")</f>
        <v>GLOW MAKE UP</v>
      </c>
      <c r="Q431" s="270" t="str">
        <f>IFERROR(INDEX([1]Produtos!$H:$H,MATCH(L431,[1]Produtos!$B:$B,0)), "-")</f>
        <v>MAQUIAGEM</v>
      </c>
      <c r="R431" s="270" t="str">
        <f>IFERROR(INDEX([1]Produtos!$I:$I,MATCH(L431,[1]Produtos!$B:$B,0)), "-")</f>
        <v>ÁGUA MICELAR</v>
      </c>
      <c r="S431" s="270" t="str">
        <f>IFERROR(INDEX([1]Produtos!$J:$J,MATCH(L431,[1]Produtos!$B:$B,0)), "-")</f>
        <v>LÍQUIDO</v>
      </c>
      <c r="T431" s="475"/>
      <c r="U431" s="270"/>
      <c r="V431" s="270"/>
      <c r="W431" s="270"/>
      <c r="X431" s="270"/>
      <c r="Y431" s="270"/>
      <c r="Z431" s="270"/>
      <c r="AA431" s="270"/>
      <c r="AB431" s="270"/>
      <c r="AC431" s="270"/>
      <c r="AD431" s="270"/>
      <c r="AE431" s="270"/>
      <c r="AF431" s="270"/>
      <c r="AG431" s="270"/>
      <c r="AH431" s="270"/>
      <c r="AI431" s="270"/>
      <c r="AJ431" s="270"/>
      <c r="AK431" s="270"/>
      <c r="AL431" s="270"/>
      <c r="AM431" s="663"/>
      <c r="AN431" s="663"/>
      <c r="AO431" s="708" t="str">
        <f>IF(OR(Table1[[#This Row],[Início Setup Envase]]="",Table1[[#This Row],[Final Setup Envase]]=""),"",Table1[[#This Row],[Final Setup Envase]]-Table1[[#This Row],[Início Setup Envase]])</f>
        <v/>
      </c>
      <c r="AP431" s="663"/>
      <c r="AQ431" s="663"/>
      <c r="AR431" s="270"/>
      <c r="AS431" s="270"/>
      <c r="AT431" s="270"/>
      <c r="AU431" s="270"/>
      <c r="AV431" s="270"/>
      <c r="AW431" s="270"/>
      <c r="AX431" s="270"/>
      <c r="AY431" s="270"/>
      <c r="AZ431" s="270"/>
      <c r="BA431" s="270">
        <f>IF(Table1[[#This Row],[Data de Início]]="","",YEAR(Table1[[#This Row],[Data de Início]]))</f>
        <v>2025</v>
      </c>
      <c r="BB431" s="270">
        <f>IF(Table1[[#This Row],[Data de Início]]="","",MONTH(Table1[[#This Row],[Data de Início]]))</f>
        <v>9</v>
      </c>
      <c r="BC431" s="270"/>
    </row>
    <row r="432" spans="2:55" ht="15" customHeight="1" x14ac:dyDescent="0.25">
      <c r="B432" s="470">
        <v>45901.680555555555</v>
      </c>
      <c r="C432" s="263">
        <v>45901.75</v>
      </c>
      <c r="D432" s="440" cm="1">
        <f t="array" ref="D432">IFERROR(HorasUteisFabrica2Turnos(B432,C432), "")</f>
        <v>1.6666666666860692</v>
      </c>
      <c r="E432" s="265">
        <f t="shared" si="6"/>
        <v>599.99999999301508</v>
      </c>
      <c r="F432" s="266" t="s">
        <v>378</v>
      </c>
      <c r="G432" s="266" t="s">
        <v>712</v>
      </c>
      <c r="H432" s="266"/>
      <c r="I432" s="269" t="s">
        <v>715</v>
      </c>
      <c r="J432" s="267" t="s">
        <v>15</v>
      </c>
      <c r="K432" s="268">
        <v>1000</v>
      </c>
      <c r="L432" s="269" t="s">
        <v>716</v>
      </c>
      <c r="M432" s="270" t="str">
        <f>IFERROR(INDEX([1]Produtos!$C:$C,MATCH(L432,[1]Produtos!$B:$B,0)), "-")</f>
        <v>GELATINA CAPILAR CHEIRINHO DE MELÂNCIA</v>
      </c>
      <c r="N432" s="510">
        <f>IFERROR(INDEX([1]Produtos!$E:$E,MATCH(L432,[1]Produtos!$B:$B,0)), "-")</f>
        <v>500</v>
      </c>
      <c r="O432" s="270" t="str">
        <f>IFERROR(INDEX([1]Produtos!$F:$F,MATCH(L432,[1]Produtos!$B:$B,0)), "-")</f>
        <v>ml</v>
      </c>
      <c r="P432" s="270" t="str">
        <f>IFERROR(INDEX([1]Produtos!$G:$G,MATCH(L432,[1]Produtos!$B:$B,0)), "-")</f>
        <v>ISA BEAUTY</v>
      </c>
      <c r="Q432" s="270" t="str">
        <f>IFERROR(INDEX([1]Produtos!$H:$H,MATCH(L432,[1]Produtos!$B:$B,0)), "-")</f>
        <v>CAPILAR</v>
      </c>
      <c r="R432" s="270" t="str">
        <f>IFERROR(INDEX([1]Produtos!$I:$I,MATCH(L432,[1]Produtos!$B:$B,0)), "-")</f>
        <v>GEL</v>
      </c>
      <c r="S432" s="270" t="str">
        <f>IFERROR(INDEX([1]Produtos!$J:$J,MATCH(L432,[1]Produtos!$B:$B,0)), "-")</f>
        <v>CREMOSO</v>
      </c>
      <c r="T432" s="475"/>
      <c r="U432" s="270"/>
      <c r="V432" s="270"/>
      <c r="W432" s="270"/>
      <c r="X432" s="270"/>
      <c r="Y432" s="270"/>
      <c r="Z432" s="270"/>
      <c r="AA432" s="270"/>
      <c r="AB432" s="270"/>
      <c r="AC432" s="270"/>
      <c r="AD432" s="270"/>
      <c r="AE432" s="270"/>
      <c r="AF432" s="270"/>
      <c r="AG432" s="270"/>
      <c r="AH432" s="270"/>
      <c r="AI432" s="270"/>
      <c r="AJ432" s="270"/>
      <c r="AK432" s="270"/>
      <c r="AL432" s="270"/>
      <c r="AM432" s="663"/>
      <c r="AN432" s="663"/>
      <c r="AO432" s="708" t="str">
        <f>IF(OR(Table1[[#This Row],[Início Setup Envase]]="",Table1[[#This Row],[Final Setup Envase]]=""),"",Table1[[#This Row],[Final Setup Envase]]-Table1[[#This Row],[Início Setup Envase]])</f>
        <v/>
      </c>
      <c r="AP432" s="663"/>
      <c r="AQ432" s="663"/>
      <c r="AR432" s="270"/>
      <c r="AS432" s="270"/>
      <c r="AT432" s="270"/>
      <c r="AU432" s="270"/>
      <c r="AV432" s="270"/>
      <c r="AW432" s="270"/>
      <c r="AX432" s="270"/>
      <c r="AY432" s="270"/>
      <c r="AZ432" s="270"/>
      <c r="BA432" s="270">
        <f>IF(Table1[[#This Row],[Data de Início]]="","",YEAR(Table1[[#This Row],[Data de Início]]))</f>
        <v>2025</v>
      </c>
      <c r="BB432" s="270">
        <f>IF(Table1[[#This Row],[Data de Início]]="","",MONTH(Table1[[#This Row],[Data de Início]]))</f>
        <v>9</v>
      </c>
      <c r="BC432" s="270"/>
    </row>
    <row r="433" spans="2:55" ht="15" customHeight="1" x14ac:dyDescent="0.25">
      <c r="B433" s="470">
        <v>45901.708333333336</v>
      </c>
      <c r="C433" s="263">
        <v>45901.817361111112</v>
      </c>
      <c r="D433" s="264" cm="1">
        <f t="array" ref="D433">IFERROR(HorasUteisFabrica2Turnos(B433,C433), "")</f>
        <v>2.6166666666395031</v>
      </c>
      <c r="E433" s="265">
        <f t="shared" si="6"/>
        <v>642.03821656717457</v>
      </c>
      <c r="F433" s="266" t="s">
        <v>377</v>
      </c>
      <c r="G433" s="266" t="s">
        <v>475</v>
      </c>
      <c r="H433" s="266"/>
      <c r="I433" s="269" t="s">
        <v>667</v>
      </c>
      <c r="J433" s="267" t="s">
        <v>15</v>
      </c>
      <c r="K433" s="268">
        <v>1680</v>
      </c>
      <c r="L433" s="269" t="s">
        <v>479</v>
      </c>
      <c r="M433" s="270" t="str">
        <f>IFERROR(INDEX([1]Produtos!$C:$C,MATCH(L433,[1]Produtos!$B:$B,0)), "-")</f>
        <v>ÁGUA MICELAR CARVÃO ATIVADO</v>
      </c>
      <c r="N433" s="510">
        <f>IFERROR(INDEX([1]Produtos!$E:$E,MATCH(L433,[1]Produtos!$B:$B,0)), "-")</f>
        <v>325</v>
      </c>
      <c r="O433" s="270" t="str">
        <f>IFERROR(INDEX([1]Produtos!$F:$F,MATCH(L433,[1]Produtos!$B:$B,0)), "-")</f>
        <v>ml</v>
      </c>
      <c r="P433" s="270" t="str">
        <f>IFERROR(INDEX([1]Produtos!$G:$G,MATCH(L433,[1]Produtos!$B:$B,0)), "-")</f>
        <v>GLOW MAKE UP</v>
      </c>
      <c r="Q433" s="270" t="str">
        <f>IFERROR(INDEX([1]Produtos!$H:$H,MATCH(L433,[1]Produtos!$B:$B,0)), "-")</f>
        <v>MAQUIAGEM</v>
      </c>
      <c r="R433" s="270" t="str">
        <f>IFERROR(INDEX([1]Produtos!$I:$I,MATCH(L433,[1]Produtos!$B:$B,0)), "-")</f>
        <v>ÁGUA MICELAR</v>
      </c>
      <c r="S433" s="270" t="str">
        <f>IFERROR(INDEX([1]Produtos!$J:$J,MATCH(L433,[1]Produtos!$B:$B,0)), "-")</f>
        <v>LÍQUIDO</v>
      </c>
      <c r="T433" s="475"/>
      <c r="U433" s="270"/>
      <c r="V433" s="270"/>
      <c r="W433" s="270"/>
      <c r="X433" s="270"/>
      <c r="Y433" s="270"/>
      <c r="Z433" s="270"/>
      <c r="AA433" s="270"/>
      <c r="AB433" s="270"/>
      <c r="AC433" s="270"/>
      <c r="AD433" s="270"/>
      <c r="AE433" s="270"/>
      <c r="AF433" s="270"/>
      <c r="AG433" s="270"/>
      <c r="AH433" s="270"/>
      <c r="AI433" s="270"/>
      <c r="AJ433" s="270"/>
      <c r="AK433" s="270"/>
      <c r="AL433" s="270"/>
      <c r="AM433" s="663"/>
      <c r="AN433" s="663"/>
      <c r="AO433" s="708" t="str">
        <f>IF(OR(Table1[[#This Row],[Início Setup Envase]]="",Table1[[#This Row],[Final Setup Envase]]=""),"",Table1[[#This Row],[Final Setup Envase]]-Table1[[#This Row],[Início Setup Envase]])</f>
        <v/>
      </c>
      <c r="AP433" s="663"/>
      <c r="AQ433" s="663"/>
      <c r="AR433" s="270"/>
      <c r="AS433" s="270"/>
      <c r="AT433" s="270"/>
      <c r="AU433" s="270"/>
      <c r="AV433" s="270"/>
      <c r="AW433" s="270"/>
      <c r="AX433" s="270"/>
      <c r="AY433" s="270"/>
      <c r="AZ433" s="270"/>
      <c r="BA433" s="270">
        <f>IF(Table1[[#This Row],[Data de Início]]="","",YEAR(Table1[[#This Row],[Data de Início]]))</f>
        <v>2025</v>
      </c>
      <c r="BB433" s="270">
        <f>IF(Table1[[#This Row],[Data de Início]]="","",MONTH(Table1[[#This Row],[Data de Início]]))</f>
        <v>9</v>
      </c>
      <c r="BC433" s="270"/>
    </row>
    <row r="434" spans="2:55" ht="15" customHeight="1" x14ac:dyDescent="0.25">
      <c r="B434" s="470">
        <v>45901.75</v>
      </c>
      <c r="C434" s="263">
        <v>45901.916666666664</v>
      </c>
      <c r="D434" s="441" cm="1">
        <f t="array" ref="D434">IFERROR(HorasUteisFabrica2Turnos(B434,C434), "")</f>
        <v>3.9999999999417923</v>
      </c>
      <c r="E434" s="265">
        <f t="shared" si="6"/>
        <v>250.00000000363798</v>
      </c>
      <c r="F434" s="266" t="s">
        <v>378</v>
      </c>
      <c r="G434" s="266" t="s">
        <v>712</v>
      </c>
      <c r="H434" s="266"/>
      <c r="I434" s="269" t="s">
        <v>717</v>
      </c>
      <c r="J434" s="267" t="s">
        <v>15</v>
      </c>
      <c r="K434" s="268">
        <v>1000</v>
      </c>
      <c r="L434" s="269" t="s">
        <v>716</v>
      </c>
      <c r="M434" s="270" t="str">
        <f>IFERROR(INDEX([1]Produtos!$C:$C,MATCH(L434,[1]Produtos!$B:$B,0)), "-")</f>
        <v>GELATINA CAPILAR CHEIRINHO DE MELÂNCIA</v>
      </c>
      <c r="N434" s="510">
        <f>IFERROR(INDEX([1]Produtos!$E:$E,MATCH(L434,[1]Produtos!$B:$B,0)), "-")</f>
        <v>500</v>
      </c>
      <c r="O434" s="270" t="str">
        <f>IFERROR(INDEX([1]Produtos!$F:$F,MATCH(L434,[1]Produtos!$B:$B,0)), "-")</f>
        <v>ml</v>
      </c>
      <c r="P434" s="270" t="str">
        <f>IFERROR(INDEX([1]Produtos!$G:$G,MATCH(L434,[1]Produtos!$B:$B,0)), "-")</f>
        <v>ISA BEAUTY</v>
      </c>
      <c r="Q434" s="270" t="str">
        <f>IFERROR(INDEX([1]Produtos!$H:$H,MATCH(L434,[1]Produtos!$B:$B,0)), "-")</f>
        <v>CAPILAR</v>
      </c>
      <c r="R434" s="270" t="str">
        <f>IFERROR(INDEX([1]Produtos!$I:$I,MATCH(L434,[1]Produtos!$B:$B,0)), "-")</f>
        <v>GEL</v>
      </c>
      <c r="S434" s="270" t="str">
        <f>IFERROR(INDEX([1]Produtos!$J:$J,MATCH(L434,[1]Produtos!$B:$B,0)), "-")</f>
        <v>CREMOSO</v>
      </c>
      <c r="T434" s="475"/>
      <c r="U434" s="270"/>
      <c r="V434" s="270"/>
      <c r="W434" s="270"/>
      <c r="X434" s="270"/>
      <c r="Y434" s="270"/>
      <c r="Z434" s="270"/>
      <c r="AA434" s="270"/>
      <c r="AB434" s="270"/>
      <c r="AC434" s="270"/>
      <c r="AD434" s="270"/>
      <c r="AE434" s="270"/>
      <c r="AF434" s="270"/>
      <c r="AG434" s="270"/>
      <c r="AH434" s="270"/>
      <c r="AI434" s="270"/>
      <c r="AJ434" s="270"/>
      <c r="AK434" s="270"/>
      <c r="AL434" s="270"/>
      <c r="AM434" s="663"/>
      <c r="AN434" s="663"/>
      <c r="AO434" s="708" t="str">
        <f>IF(OR(Table1[[#This Row],[Início Setup Envase]]="",Table1[[#This Row],[Final Setup Envase]]=""),"",Table1[[#This Row],[Final Setup Envase]]-Table1[[#This Row],[Início Setup Envase]])</f>
        <v/>
      </c>
      <c r="AP434" s="663"/>
      <c r="AQ434" s="663"/>
      <c r="AR434" s="270"/>
      <c r="AS434" s="270"/>
      <c r="AT434" s="270"/>
      <c r="AU434" s="270"/>
      <c r="AV434" s="270"/>
      <c r="AW434" s="270"/>
      <c r="AX434" s="270"/>
      <c r="AY434" s="270"/>
      <c r="AZ434" s="270"/>
      <c r="BA434" s="270">
        <f>IF(Table1[[#This Row],[Data de Início]]="","",YEAR(Table1[[#This Row],[Data de Início]]))</f>
        <v>2025</v>
      </c>
      <c r="BB434" s="270">
        <f>IF(Table1[[#This Row],[Data de Início]]="","",MONTH(Table1[[#This Row],[Data de Início]]))</f>
        <v>9</v>
      </c>
      <c r="BC434" s="270"/>
    </row>
    <row r="435" spans="2:55" ht="15" customHeight="1" x14ac:dyDescent="0.25">
      <c r="B435" s="470">
        <v>45901.817361111112</v>
      </c>
      <c r="C435" s="263">
        <v>45901.884027777778</v>
      </c>
      <c r="D435" s="264" cm="1">
        <f t="array" ref="D435">IFERROR(HorasUteisFabrica2Turnos(B435,C435), "")</f>
        <v>1.5999999999767169</v>
      </c>
      <c r="E435" s="265">
        <f t="shared" si="6"/>
        <v>1050.0000000152795</v>
      </c>
      <c r="F435" s="266" t="s">
        <v>377</v>
      </c>
      <c r="G435" s="266" t="s">
        <v>475</v>
      </c>
      <c r="H435" s="266"/>
      <c r="I435" s="269" t="s">
        <v>666</v>
      </c>
      <c r="J435" s="267" t="s">
        <v>15</v>
      </c>
      <c r="K435" s="268">
        <v>1680</v>
      </c>
      <c r="L435" s="269" t="s">
        <v>479</v>
      </c>
      <c r="M435" s="270" t="str">
        <f>IFERROR(INDEX([1]Produtos!$C:$C,MATCH(L435,[1]Produtos!$B:$B,0)), "-")</f>
        <v>ÁGUA MICELAR CARVÃO ATIVADO</v>
      </c>
      <c r="N435" s="510">
        <f>IFERROR(INDEX([1]Produtos!$E:$E,MATCH(L435,[1]Produtos!$B:$B,0)), "-")</f>
        <v>325</v>
      </c>
      <c r="O435" s="270" t="str">
        <f>IFERROR(INDEX([1]Produtos!$F:$F,MATCH(L435,[1]Produtos!$B:$B,0)), "-")</f>
        <v>ml</v>
      </c>
      <c r="P435" s="270" t="str">
        <f>IFERROR(INDEX([1]Produtos!$G:$G,MATCH(L435,[1]Produtos!$B:$B,0)), "-")</f>
        <v>GLOW MAKE UP</v>
      </c>
      <c r="Q435" s="270" t="str">
        <f>IFERROR(INDEX([1]Produtos!$H:$H,MATCH(L435,[1]Produtos!$B:$B,0)), "-")</f>
        <v>MAQUIAGEM</v>
      </c>
      <c r="R435" s="270" t="str">
        <f>IFERROR(INDEX([1]Produtos!$I:$I,MATCH(L435,[1]Produtos!$B:$B,0)), "-")</f>
        <v>ÁGUA MICELAR</v>
      </c>
      <c r="S435" s="270" t="str">
        <f>IFERROR(INDEX([1]Produtos!$J:$J,MATCH(L435,[1]Produtos!$B:$B,0)), "-")</f>
        <v>LÍQUIDO</v>
      </c>
      <c r="T435" s="475"/>
      <c r="U435" s="270"/>
      <c r="V435" s="270"/>
      <c r="W435" s="270"/>
      <c r="X435" s="270"/>
      <c r="Y435" s="270"/>
      <c r="Z435" s="270"/>
      <c r="AA435" s="270"/>
      <c r="AB435" s="270"/>
      <c r="AC435" s="270"/>
      <c r="AD435" s="270"/>
      <c r="AE435" s="270"/>
      <c r="AF435" s="270"/>
      <c r="AG435" s="270"/>
      <c r="AH435" s="270"/>
      <c r="AI435" s="270"/>
      <c r="AJ435" s="270"/>
      <c r="AK435" s="270"/>
      <c r="AL435" s="270"/>
      <c r="AM435" s="663"/>
      <c r="AN435" s="663"/>
      <c r="AO435" s="708" t="str">
        <f>IF(OR(Table1[[#This Row],[Início Setup Envase]]="",Table1[[#This Row],[Final Setup Envase]]=""),"",Table1[[#This Row],[Final Setup Envase]]-Table1[[#This Row],[Início Setup Envase]])</f>
        <v/>
      </c>
      <c r="AP435" s="663"/>
      <c r="AQ435" s="663"/>
      <c r="AR435" s="270"/>
      <c r="AS435" s="270"/>
      <c r="AT435" s="270"/>
      <c r="AU435" s="270"/>
      <c r="AV435" s="270"/>
      <c r="AW435" s="270"/>
      <c r="AX435" s="270"/>
      <c r="AY435" s="270"/>
      <c r="AZ435" s="270"/>
      <c r="BA435" s="270">
        <f>IF(Table1[[#This Row],[Data de Início]]="","",YEAR(Table1[[#This Row],[Data de Início]]))</f>
        <v>2025</v>
      </c>
      <c r="BB435" s="270">
        <f>IF(Table1[[#This Row],[Data de Início]]="","",MONTH(Table1[[#This Row],[Data de Início]]))</f>
        <v>9</v>
      </c>
      <c r="BC435" s="270"/>
    </row>
    <row r="436" spans="2:55" ht="15" customHeight="1" x14ac:dyDescent="0.25">
      <c r="B436" s="471">
        <v>45901.884027777778</v>
      </c>
      <c r="C436" s="439">
        <v>45901.916666666664</v>
      </c>
      <c r="D436" s="264" cm="1">
        <f t="array" ref="D436">IFERROR(HorasUteisFabrica2Turnos(B436,C436), "")</f>
        <v>0.78333333326736465</v>
      </c>
      <c r="E436" s="265">
        <f t="shared" si="6"/>
        <v>2144.680851244445</v>
      </c>
      <c r="F436" s="266" t="s">
        <v>377</v>
      </c>
      <c r="G436" s="266" t="s">
        <v>475</v>
      </c>
      <c r="H436" s="266"/>
      <c r="I436" s="269" t="s">
        <v>671</v>
      </c>
      <c r="J436" s="267" t="s">
        <v>15</v>
      </c>
      <c r="K436" s="268">
        <v>1680</v>
      </c>
      <c r="L436" s="269" t="s">
        <v>479</v>
      </c>
      <c r="M436" s="270" t="str">
        <f>IFERROR(INDEX([1]Produtos!$C:$C,MATCH(L436,[1]Produtos!$B:$B,0)), "-")</f>
        <v>ÁGUA MICELAR CARVÃO ATIVADO</v>
      </c>
      <c r="N436" s="510">
        <f>IFERROR(INDEX([1]Produtos!$E:$E,MATCH(L436,[1]Produtos!$B:$B,0)), "-")</f>
        <v>325</v>
      </c>
      <c r="O436" s="270" t="str">
        <f>IFERROR(INDEX([1]Produtos!$F:$F,MATCH(L436,[1]Produtos!$B:$B,0)), "-")</f>
        <v>ml</v>
      </c>
      <c r="P436" s="270" t="str">
        <f>IFERROR(INDEX([1]Produtos!$G:$G,MATCH(L436,[1]Produtos!$B:$B,0)), "-")</f>
        <v>GLOW MAKE UP</v>
      </c>
      <c r="Q436" s="270" t="str">
        <f>IFERROR(INDEX([1]Produtos!$H:$H,MATCH(L436,[1]Produtos!$B:$B,0)), "-")</f>
        <v>MAQUIAGEM</v>
      </c>
      <c r="R436" s="270" t="str">
        <f>IFERROR(INDEX([1]Produtos!$I:$I,MATCH(L436,[1]Produtos!$B:$B,0)), "-")</f>
        <v>ÁGUA MICELAR</v>
      </c>
      <c r="S436" s="270" t="str">
        <f>IFERROR(INDEX([1]Produtos!$J:$J,MATCH(L436,[1]Produtos!$B:$B,0)), "-")</f>
        <v>LÍQUIDO</v>
      </c>
      <c r="T436" s="475"/>
      <c r="U436" s="270"/>
      <c r="V436" s="270"/>
      <c r="W436" s="270"/>
      <c r="X436" s="270"/>
      <c r="Y436" s="270"/>
      <c r="Z436" s="270"/>
      <c r="AA436" s="270"/>
      <c r="AB436" s="270"/>
      <c r="AC436" s="270"/>
      <c r="AD436" s="270"/>
      <c r="AE436" s="270"/>
      <c r="AF436" s="270"/>
      <c r="AG436" s="270"/>
      <c r="AH436" s="270"/>
      <c r="AI436" s="270"/>
      <c r="AJ436" s="270"/>
      <c r="AK436" s="270"/>
      <c r="AL436" s="270"/>
      <c r="AM436" s="663"/>
      <c r="AN436" s="663"/>
      <c r="AO436" s="708" t="str">
        <f>IF(OR(Table1[[#This Row],[Início Setup Envase]]="",Table1[[#This Row],[Final Setup Envase]]=""),"",Table1[[#This Row],[Final Setup Envase]]-Table1[[#This Row],[Início Setup Envase]])</f>
        <v/>
      </c>
      <c r="AP436" s="663"/>
      <c r="AQ436" s="663"/>
      <c r="AR436" s="270"/>
      <c r="AS436" s="270"/>
      <c r="AT436" s="270"/>
      <c r="AU436" s="270"/>
      <c r="AV436" s="270"/>
      <c r="AW436" s="270"/>
      <c r="AX436" s="270"/>
      <c r="AY436" s="270"/>
      <c r="AZ436" s="270"/>
      <c r="BA436" s="270">
        <f>IF(Table1[[#This Row],[Data de Início]]="","",YEAR(Table1[[#This Row],[Data de Início]]))</f>
        <v>2025</v>
      </c>
      <c r="BB436" s="270">
        <f>IF(Table1[[#This Row],[Data de Início]]="","",MONTH(Table1[[#This Row],[Data de Início]]))</f>
        <v>9</v>
      </c>
      <c r="BC436" s="270"/>
    </row>
    <row r="437" spans="2:55" ht="15" customHeight="1" x14ac:dyDescent="0.25">
      <c r="B437" s="470">
        <v>45902.263888888891</v>
      </c>
      <c r="C437" s="263">
        <v>45902.326388888891</v>
      </c>
      <c r="D437" s="440" cm="1">
        <f t="array" ref="D437">IFERROR(HorasUteisFabrica2Turnos(B437,C437), "")</f>
        <v>0.8333333334303461</v>
      </c>
      <c r="E437" s="265">
        <f t="shared" si="6"/>
        <v>1199.9999998603016</v>
      </c>
      <c r="F437" s="266" t="s">
        <v>378</v>
      </c>
      <c r="G437" s="266" t="s">
        <v>712</v>
      </c>
      <c r="H437" s="266"/>
      <c r="I437" s="269" t="s">
        <v>723</v>
      </c>
      <c r="J437" s="267" t="s">
        <v>15</v>
      </c>
      <c r="K437" s="268">
        <v>1000</v>
      </c>
      <c r="L437" s="269" t="s">
        <v>716</v>
      </c>
      <c r="M437" s="270" t="str">
        <f>IFERROR(INDEX([1]Produtos!$C:$C,MATCH(L437,[1]Produtos!$B:$B,0)), "-")</f>
        <v>GELATINA CAPILAR CHEIRINHO DE MELÂNCIA</v>
      </c>
      <c r="N437" s="510">
        <f>IFERROR(INDEX([1]Produtos!$E:$E,MATCH(L437,[1]Produtos!$B:$B,0)), "-")</f>
        <v>500</v>
      </c>
      <c r="O437" s="270" t="str">
        <f>IFERROR(INDEX([1]Produtos!$F:$F,MATCH(L437,[1]Produtos!$B:$B,0)), "-")</f>
        <v>ml</v>
      </c>
      <c r="P437" s="270" t="str">
        <f>IFERROR(INDEX([1]Produtos!$G:$G,MATCH(L437,[1]Produtos!$B:$B,0)), "-")</f>
        <v>ISA BEAUTY</v>
      </c>
      <c r="Q437" s="270" t="str">
        <f>IFERROR(INDEX([1]Produtos!$H:$H,MATCH(L437,[1]Produtos!$B:$B,0)), "-")</f>
        <v>CAPILAR</v>
      </c>
      <c r="R437" s="270" t="str">
        <f>IFERROR(INDEX([1]Produtos!$I:$I,MATCH(L437,[1]Produtos!$B:$B,0)), "-")</f>
        <v>GEL</v>
      </c>
      <c r="S437" s="270" t="str">
        <f>IFERROR(INDEX([1]Produtos!$J:$J,MATCH(L437,[1]Produtos!$B:$B,0)), "-")</f>
        <v>CREMOSO</v>
      </c>
      <c r="T437" s="475"/>
      <c r="U437" s="270"/>
      <c r="V437" s="270"/>
      <c r="W437" s="270"/>
      <c r="X437" s="270"/>
      <c r="Y437" s="270"/>
      <c r="Z437" s="270"/>
      <c r="AA437" s="270"/>
      <c r="AB437" s="270"/>
      <c r="AC437" s="270"/>
      <c r="AD437" s="270"/>
      <c r="AE437" s="270"/>
      <c r="AF437" s="270"/>
      <c r="AG437" s="270"/>
      <c r="AH437" s="270"/>
      <c r="AI437" s="270"/>
      <c r="AJ437" s="270"/>
      <c r="AK437" s="270"/>
      <c r="AL437" s="270"/>
      <c r="AM437" s="663"/>
      <c r="AN437" s="663"/>
      <c r="AO437" s="708" t="str">
        <f>IF(OR(Table1[[#This Row],[Início Setup Envase]]="",Table1[[#This Row],[Final Setup Envase]]=""),"",Table1[[#This Row],[Final Setup Envase]]-Table1[[#This Row],[Início Setup Envase]])</f>
        <v/>
      </c>
      <c r="AP437" s="663"/>
      <c r="AQ437" s="663"/>
      <c r="AR437" s="270"/>
      <c r="AS437" s="270"/>
      <c r="AT437" s="270"/>
      <c r="AU437" s="270"/>
      <c r="AV437" s="270"/>
      <c r="AW437" s="270"/>
      <c r="AX437" s="270"/>
      <c r="AY437" s="270"/>
      <c r="AZ437" s="270"/>
      <c r="BA437" s="270">
        <f>IF(Table1[[#This Row],[Data de Início]]="","",YEAR(Table1[[#This Row],[Data de Início]]))</f>
        <v>2025</v>
      </c>
      <c r="BB437" s="270">
        <f>IF(Table1[[#This Row],[Data de Início]]="","",MONTH(Table1[[#This Row],[Data de Início]]))</f>
        <v>9</v>
      </c>
      <c r="BC437" s="270"/>
    </row>
    <row r="438" spans="2:55" ht="15" customHeight="1" x14ac:dyDescent="0.25">
      <c r="B438" s="471">
        <v>45902.319444444445</v>
      </c>
      <c r="C438" s="439">
        <v>45902.347222222219</v>
      </c>
      <c r="D438" s="264" cm="1">
        <f t="array" ref="D438">IFERROR(HorasUteisFabrica2Turnos(B438,C438), "")</f>
        <v>0.6666666665696539</v>
      </c>
      <c r="E438" s="265">
        <f t="shared" si="6"/>
        <v>2520.0000003667083</v>
      </c>
      <c r="F438" s="266" t="s">
        <v>377</v>
      </c>
      <c r="G438" s="266" t="s">
        <v>475</v>
      </c>
      <c r="H438" s="266"/>
      <c r="I438" s="269" t="s">
        <v>672</v>
      </c>
      <c r="J438" s="267" t="s">
        <v>15</v>
      </c>
      <c r="K438" s="268">
        <v>1680</v>
      </c>
      <c r="L438" s="269" t="s">
        <v>479</v>
      </c>
      <c r="M438" s="270" t="str">
        <f>IFERROR(INDEX([1]Produtos!$C:$C,MATCH(L438,[1]Produtos!$B:$B,0)), "-")</f>
        <v>ÁGUA MICELAR CARVÃO ATIVADO</v>
      </c>
      <c r="N438" s="510">
        <f>IFERROR(INDEX([1]Produtos!$E:$E,MATCH(L438,[1]Produtos!$B:$B,0)), "-")</f>
        <v>325</v>
      </c>
      <c r="O438" s="270" t="str">
        <f>IFERROR(INDEX([1]Produtos!$F:$F,MATCH(L438,[1]Produtos!$B:$B,0)), "-")</f>
        <v>ml</v>
      </c>
      <c r="P438" s="270" t="str">
        <f>IFERROR(INDEX([1]Produtos!$G:$G,MATCH(L438,[1]Produtos!$B:$B,0)), "-")</f>
        <v>GLOW MAKE UP</v>
      </c>
      <c r="Q438" s="270" t="str">
        <f>IFERROR(INDEX([1]Produtos!$H:$H,MATCH(L438,[1]Produtos!$B:$B,0)), "-")</f>
        <v>MAQUIAGEM</v>
      </c>
      <c r="R438" s="270" t="str">
        <f>IFERROR(INDEX([1]Produtos!$I:$I,MATCH(L438,[1]Produtos!$B:$B,0)), "-")</f>
        <v>ÁGUA MICELAR</v>
      </c>
      <c r="S438" s="270" t="str">
        <f>IFERROR(INDEX([1]Produtos!$J:$J,MATCH(L438,[1]Produtos!$B:$B,0)), "-")</f>
        <v>LÍQUIDO</v>
      </c>
      <c r="T438" s="475"/>
      <c r="U438" s="270"/>
      <c r="V438" s="270"/>
      <c r="W438" s="270"/>
      <c r="X438" s="270"/>
      <c r="Y438" s="270"/>
      <c r="Z438" s="270"/>
      <c r="AA438" s="270"/>
      <c r="AB438" s="270"/>
      <c r="AC438" s="270"/>
      <c r="AD438" s="270"/>
      <c r="AE438" s="270"/>
      <c r="AF438" s="270"/>
      <c r="AG438" s="270"/>
      <c r="AH438" s="270"/>
      <c r="AI438" s="270"/>
      <c r="AJ438" s="270"/>
      <c r="AK438" s="270"/>
      <c r="AL438" s="270"/>
      <c r="AM438" s="663"/>
      <c r="AN438" s="663"/>
      <c r="AO438" s="708" t="str">
        <f>IF(OR(Table1[[#This Row],[Início Setup Envase]]="",Table1[[#This Row],[Final Setup Envase]]=""),"",Table1[[#This Row],[Final Setup Envase]]-Table1[[#This Row],[Início Setup Envase]])</f>
        <v/>
      </c>
      <c r="AP438" s="663"/>
      <c r="AQ438" s="663"/>
      <c r="AR438" s="270"/>
      <c r="AS438" s="270"/>
      <c r="AT438" s="270"/>
      <c r="AU438" s="270"/>
      <c r="AV438" s="270"/>
      <c r="AW438" s="270"/>
      <c r="AX438" s="270"/>
      <c r="AY438" s="270"/>
      <c r="AZ438" s="270"/>
      <c r="BA438" s="270">
        <f>IF(Table1[[#This Row],[Data de Início]]="","",YEAR(Table1[[#This Row],[Data de Início]]))</f>
        <v>2025</v>
      </c>
      <c r="BB438" s="270">
        <f>IF(Table1[[#This Row],[Data de Início]]="","",MONTH(Table1[[#This Row],[Data de Início]]))</f>
        <v>9</v>
      </c>
      <c r="BC438" s="270"/>
    </row>
    <row r="439" spans="2:55" ht="15" customHeight="1" x14ac:dyDescent="0.25">
      <c r="B439" s="470">
        <v>45902.333333333336</v>
      </c>
      <c r="C439" s="263">
        <v>45902.395833333336</v>
      </c>
      <c r="D439" s="441" cm="1">
        <f t="array" ref="D439">IFERROR(HorasUteisFabrica2Turnos(B439,C439), "")</f>
        <v>1.5</v>
      </c>
      <c r="E439" s="265">
        <f t="shared" si="6"/>
        <v>666.66666666666663</v>
      </c>
      <c r="F439" s="266" t="s">
        <v>378</v>
      </c>
      <c r="G439" s="266" t="s">
        <v>712</v>
      </c>
      <c r="H439" s="266"/>
      <c r="I439" s="269" t="s">
        <v>722</v>
      </c>
      <c r="J439" s="267" t="s">
        <v>15</v>
      </c>
      <c r="K439" s="268">
        <v>1000</v>
      </c>
      <c r="L439" s="269" t="s">
        <v>716</v>
      </c>
      <c r="M439" s="270" t="str">
        <f>IFERROR(INDEX([1]Produtos!$C:$C,MATCH(L439,[1]Produtos!$B:$B,0)), "-")</f>
        <v>GELATINA CAPILAR CHEIRINHO DE MELÂNCIA</v>
      </c>
      <c r="N439" s="510">
        <f>IFERROR(INDEX([1]Produtos!$E:$E,MATCH(L439,[1]Produtos!$B:$B,0)), "-")</f>
        <v>500</v>
      </c>
      <c r="O439" s="270" t="str">
        <f>IFERROR(INDEX([1]Produtos!$F:$F,MATCH(L439,[1]Produtos!$B:$B,0)), "-")</f>
        <v>ml</v>
      </c>
      <c r="P439" s="270" t="str">
        <f>IFERROR(INDEX([1]Produtos!$G:$G,MATCH(L439,[1]Produtos!$B:$B,0)), "-")</f>
        <v>ISA BEAUTY</v>
      </c>
      <c r="Q439" s="270" t="str">
        <f>IFERROR(INDEX([1]Produtos!$H:$H,MATCH(L439,[1]Produtos!$B:$B,0)), "-")</f>
        <v>CAPILAR</v>
      </c>
      <c r="R439" s="270" t="str">
        <f>IFERROR(INDEX([1]Produtos!$I:$I,MATCH(L439,[1]Produtos!$B:$B,0)), "-")</f>
        <v>GEL</v>
      </c>
      <c r="S439" s="270" t="str">
        <f>IFERROR(INDEX([1]Produtos!$J:$J,MATCH(L439,[1]Produtos!$B:$B,0)), "-")</f>
        <v>CREMOSO</v>
      </c>
      <c r="T439" s="475"/>
      <c r="U439" s="270"/>
      <c r="V439" s="270"/>
      <c r="W439" s="270"/>
      <c r="X439" s="270"/>
      <c r="Y439" s="270"/>
      <c r="Z439" s="270"/>
      <c r="AA439" s="270"/>
      <c r="AB439" s="270"/>
      <c r="AC439" s="270"/>
      <c r="AD439" s="270"/>
      <c r="AE439" s="270"/>
      <c r="AF439" s="270"/>
      <c r="AG439" s="270"/>
      <c r="AH439" s="270"/>
      <c r="AI439" s="270"/>
      <c r="AJ439" s="270"/>
      <c r="AK439" s="270"/>
      <c r="AL439" s="270"/>
      <c r="AM439" s="663"/>
      <c r="AN439" s="663"/>
      <c r="AO439" s="708" t="str">
        <f>IF(OR(Table1[[#This Row],[Início Setup Envase]]="",Table1[[#This Row],[Final Setup Envase]]=""),"",Table1[[#This Row],[Final Setup Envase]]-Table1[[#This Row],[Início Setup Envase]])</f>
        <v/>
      </c>
      <c r="AP439" s="663"/>
      <c r="AQ439" s="663"/>
      <c r="AR439" s="270"/>
      <c r="AS439" s="270"/>
      <c r="AT439" s="270"/>
      <c r="AU439" s="270"/>
      <c r="AV439" s="270"/>
      <c r="AW439" s="270"/>
      <c r="AX439" s="270"/>
      <c r="AY439" s="270"/>
      <c r="AZ439" s="270"/>
      <c r="BA439" s="270">
        <f>IF(Table1[[#This Row],[Data de Início]]="","",YEAR(Table1[[#This Row],[Data de Início]]))</f>
        <v>2025</v>
      </c>
      <c r="BB439" s="270">
        <f>IF(Table1[[#This Row],[Data de Início]]="","",MONTH(Table1[[#This Row],[Data de Início]]))</f>
        <v>9</v>
      </c>
      <c r="BC439" s="270"/>
    </row>
    <row r="440" spans="2:55" ht="15" customHeight="1" x14ac:dyDescent="0.25">
      <c r="B440" s="470">
        <v>45902.395833333336</v>
      </c>
      <c r="C440" s="263">
        <v>45902.472222222219</v>
      </c>
      <c r="D440" s="441" cm="1">
        <f t="array" ref="D440">IFERROR(HorasUteisFabrica2Turnos(B440,C440), "")</f>
        <v>1.8333333331975155</v>
      </c>
      <c r="E440" s="265">
        <f t="shared" si="6"/>
        <v>545.45454549495412</v>
      </c>
      <c r="F440" s="266" t="s">
        <v>378</v>
      </c>
      <c r="G440" s="266" t="s">
        <v>712</v>
      </c>
      <c r="H440" s="266"/>
      <c r="I440" s="269" t="s">
        <v>721</v>
      </c>
      <c r="J440" s="267" t="s">
        <v>15</v>
      </c>
      <c r="K440" s="268">
        <v>1000</v>
      </c>
      <c r="L440" s="269" t="s">
        <v>716</v>
      </c>
      <c r="M440" s="270" t="str">
        <f>IFERROR(INDEX([1]Produtos!$C:$C,MATCH(L440,[1]Produtos!$B:$B,0)), "-")</f>
        <v>GELATINA CAPILAR CHEIRINHO DE MELÂNCIA</v>
      </c>
      <c r="N440" s="510">
        <f>IFERROR(INDEX([1]Produtos!$E:$E,MATCH(L440,[1]Produtos!$B:$B,0)), "-")</f>
        <v>500</v>
      </c>
      <c r="O440" s="270" t="str">
        <f>IFERROR(INDEX([1]Produtos!$F:$F,MATCH(L440,[1]Produtos!$B:$B,0)), "-")</f>
        <v>ml</v>
      </c>
      <c r="P440" s="270" t="str">
        <f>IFERROR(INDEX([1]Produtos!$G:$G,MATCH(L440,[1]Produtos!$B:$B,0)), "-")</f>
        <v>ISA BEAUTY</v>
      </c>
      <c r="Q440" s="270" t="str">
        <f>IFERROR(INDEX([1]Produtos!$H:$H,MATCH(L440,[1]Produtos!$B:$B,0)), "-")</f>
        <v>CAPILAR</v>
      </c>
      <c r="R440" s="270" t="str">
        <f>IFERROR(INDEX([1]Produtos!$I:$I,MATCH(L440,[1]Produtos!$B:$B,0)), "-")</f>
        <v>GEL</v>
      </c>
      <c r="S440" s="270" t="str">
        <f>IFERROR(INDEX([1]Produtos!$J:$J,MATCH(L440,[1]Produtos!$B:$B,0)), "-")</f>
        <v>CREMOSO</v>
      </c>
      <c r="T440" s="475"/>
      <c r="U440" s="270"/>
      <c r="V440" s="270"/>
      <c r="W440" s="270"/>
      <c r="X440" s="270"/>
      <c r="Y440" s="270"/>
      <c r="Z440" s="270"/>
      <c r="AA440" s="270"/>
      <c r="AB440" s="270"/>
      <c r="AC440" s="270"/>
      <c r="AD440" s="270"/>
      <c r="AE440" s="270"/>
      <c r="AF440" s="270"/>
      <c r="AG440" s="270"/>
      <c r="AH440" s="270"/>
      <c r="AI440" s="270"/>
      <c r="AJ440" s="270"/>
      <c r="AK440" s="270"/>
      <c r="AL440" s="270"/>
      <c r="AM440" s="663"/>
      <c r="AN440" s="663"/>
      <c r="AO440" s="708" t="str">
        <f>IF(OR(Table1[[#This Row],[Início Setup Envase]]="",Table1[[#This Row],[Final Setup Envase]]=""),"",Table1[[#This Row],[Final Setup Envase]]-Table1[[#This Row],[Início Setup Envase]])</f>
        <v/>
      </c>
      <c r="AP440" s="663"/>
      <c r="AQ440" s="663"/>
      <c r="AR440" s="270"/>
      <c r="AS440" s="270"/>
      <c r="AT440" s="270"/>
      <c r="AU440" s="270"/>
      <c r="AV440" s="270"/>
      <c r="AW440" s="270"/>
      <c r="AX440" s="270"/>
      <c r="AY440" s="270"/>
      <c r="AZ440" s="270"/>
      <c r="BA440" s="270">
        <f>IF(Table1[[#This Row],[Data de Início]]="","",YEAR(Table1[[#This Row],[Data de Início]]))</f>
        <v>2025</v>
      </c>
      <c r="BB440" s="270">
        <f>IF(Table1[[#This Row],[Data de Início]]="","",MONTH(Table1[[#This Row],[Data de Início]]))</f>
        <v>9</v>
      </c>
      <c r="BC440" s="270"/>
    </row>
    <row r="441" spans="2:55" ht="15" customHeight="1" x14ac:dyDescent="0.25">
      <c r="B441" s="470">
        <v>45902.409722222219</v>
      </c>
      <c r="C441" s="263">
        <v>45902.493055555555</v>
      </c>
      <c r="D441" s="264" cm="1">
        <f t="array" ref="D441">IFERROR(HorasUteisFabrica2Turnos(B441,C441), "")</f>
        <v>2.0000000000582077</v>
      </c>
      <c r="E441" s="265">
        <f t="shared" si="6"/>
        <v>839.99999997555278</v>
      </c>
      <c r="F441" s="266" t="s">
        <v>377</v>
      </c>
      <c r="G441" s="266" t="s">
        <v>475</v>
      </c>
      <c r="H441" s="266"/>
      <c r="I441" s="269" t="s">
        <v>673</v>
      </c>
      <c r="J441" s="267" t="s">
        <v>15</v>
      </c>
      <c r="K441" s="268">
        <v>1680</v>
      </c>
      <c r="L441" s="269" t="s">
        <v>479</v>
      </c>
      <c r="M441" s="270" t="str">
        <f>IFERROR(INDEX([1]Produtos!$C:$C,MATCH(L441,[1]Produtos!$B:$B,0)), "-")</f>
        <v>ÁGUA MICELAR CARVÃO ATIVADO</v>
      </c>
      <c r="N441" s="510">
        <f>IFERROR(INDEX([1]Produtos!$E:$E,MATCH(L441,[1]Produtos!$B:$B,0)), "-")</f>
        <v>325</v>
      </c>
      <c r="O441" s="270" t="str">
        <f>IFERROR(INDEX([1]Produtos!$F:$F,MATCH(L441,[1]Produtos!$B:$B,0)), "-")</f>
        <v>ml</v>
      </c>
      <c r="P441" s="270" t="str">
        <f>IFERROR(INDEX([1]Produtos!$G:$G,MATCH(L441,[1]Produtos!$B:$B,0)), "-")</f>
        <v>GLOW MAKE UP</v>
      </c>
      <c r="Q441" s="270" t="str">
        <f>IFERROR(INDEX([1]Produtos!$H:$H,MATCH(L441,[1]Produtos!$B:$B,0)), "-")</f>
        <v>MAQUIAGEM</v>
      </c>
      <c r="R441" s="270" t="str">
        <f>IFERROR(INDEX([1]Produtos!$I:$I,MATCH(L441,[1]Produtos!$B:$B,0)), "-")</f>
        <v>ÁGUA MICELAR</v>
      </c>
      <c r="S441" s="270" t="str">
        <f>IFERROR(INDEX([1]Produtos!$J:$J,MATCH(L441,[1]Produtos!$B:$B,0)), "-")</f>
        <v>LÍQUIDO</v>
      </c>
      <c r="T441" s="475"/>
      <c r="U441" s="270"/>
      <c r="V441" s="270"/>
      <c r="W441" s="270"/>
      <c r="X441" s="270"/>
      <c r="Y441" s="270"/>
      <c r="Z441" s="270"/>
      <c r="AA441" s="270"/>
      <c r="AB441" s="270"/>
      <c r="AC441" s="270"/>
      <c r="AD441" s="270"/>
      <c r="AE441" s="270"/>
      <c r="AF441" s="270"/>
      <c r="AG441" s="270"/>
      <c r="AH441" s="270"/>
      <c r="AI441" s="270"/>
      <c r="AJ441" s="270"/>
      <c r="AK441" s="270"/>
      <c r="AL441" s="270"/>
      <c r="AM441" s="663"/>
      <c r="AN441" s="663"/>
      <c r="AO441" s="708" t="str">
        <f>IF(OR(Table1[[#This Row],[Início Setup Envase]]="",Table1[[#This Row],[Final Setup Envase]]=""),"",Table1[[#This Row],[Final Setup Envase]]-Table1[[#This Row],[Início Setup Envase]])</f>
        <v/>
      </c>
      <c r="AP441" s="663"/>
      <c r="AQ441" s="663"/>
      <c r="AR441" s="270"/>
      <c r="AS441" s="270"/>
      <c r="AT441" s="270"/>
      <c r="AU441" s="270"/>
      <c r="AV441" s="270"/>
      <c r="AW441" s="270"/>
      <c r="AX441" s="270"/>
      <c r="AY441" s="270"/>
      <c r="AZ441" s="270"/>
      <c r="BA441" s="270">
        <f>IF(Table1[[#This Row],[Data de Início]]="","",YEAR(Table1[[#This Row],[Data de Início]]))</f>
        <v>2025</v>
      </c>
      <c r="BB441" s="270">
        <f>IF(Table1[[#This Row],[Data de Início]]="","",MONTH(Table1[[#This Row],[Data de Início]]))</f>
        <v>9</v>
      </c>
      <c r="BC441" s="270"/>
    </row>
    <row r="442" spans="2:55" ht="15" customHeight="1" x14ac:dyDescent="0.25">
      <c r="B442" s="470">
        <v>45902.472222222219</v>
      </c>
      <c r="C442" s="263">
        <v>45902.527777777781</v>
      </c>
      <c r="D442" s="441" cm="1">
        <f t="array" ref="D442">IFERROR(HorasUteisFabrica2Turnos(B442,C442), "")</f>
        <v>1.3333333334885538</v>
      </c>
      <c r="E442" s="265">
        <f t="shared" si="6"/>
        <v>749.99999991268851</v>
      </c>
      <c r="F442" s="266" t="s">
        <v>378</v>
      </c>
      <c r="G442" s="266" t="s">
        <v>712</v>
      </c>
      <c r="H442" s="266"/>
      <c r="I442" s="269" t="s">
        <v>720</v>
      </c>
      <c r="J442" s="267" t="s">
        <v>15</v>
      </c>
      <c r="K442" s="268">
        <v>1000</v>
      </c>
      <c r="L442" s="269" t="s">
        <v>716</v>
      </c>
      <c r="M442" s="270" t="str">
        <f>IFERROR(INDEX([1]Produtos!$C:$C,MATCH(L442,[1]Produtos!$B:$B,0)), "-")</f>
        <v>GELATINA CAPILAR CHEIRINHO DE MELÂNCIA</v>
      </c>
      <c r="N442" s="510">
        <f>IFERROR(INDEX([1]Produtos!$E:$E,MATCH(L442,[1]Produtos!$B:$B,0)), "-")</f>
        <v>500</v>
      </c>
      <c r="O442" s="270" t="str">
        <f>IFERROR(INDEX([1]Produtos!$F:$F,MATCH(L442,[1]Produtos!$B:$B,0)), "-")</f>
        <v>ml</v>
      </c>
      <c r="P442" s="270" t="str">
        <f>IFERROR(INDEX([1]Produtos!$G:$G,MATCH(L442,[1]Produtos!$B:$B,0)), "-")</f>
        <v>ISA BEAUTY</v>
      </c>
      <c r="Q442" s="270" t="str">
        <f>IFERROR(INDEX([1]Produtos!$H:$H,MATCH(L442,[1]Produtos!$B:$B,0)), "-")</f>
        <v>CAPILAR</v>
      </c>
      <c r="R442" s="270" t="str">
        <f>IFERROR(INDEX([1]Produtos!$I:$I,MATCH(L442,[1]Produtos!$B:$B,0)), "-")</f>
        <v>GEL</v>
      </c>
      <c r="S442" s="270" t="str">
        <f>IFERROR(INDEX([1]Produtos!$J:$J,MATCH(L442,[1]Produtos!$B:$B,0)), "-")</f>
        <v>CREMOSO</v>
      </c>
      <c r="T442" s="475"/>
      <c r="U442" s="270"/>
      <c r="V442" s="270"/>
      <c r="W442" s="270"/>
      <c r="X442" s="270"/>
      <c r="Y442" s="270"/>
      <c r="Z442" s="270"/>
      <c r="AA442" s="270"/>
      <c r="AB442" s="270"/>
      <c r="AC442" s="270"/>
      <c r="AD442" s="270"/>
      <c r="AE442" s="270"/>
      <c r="AF442" s="270"/>
      <c r="AG442" s="270"/>
      <c r="AH442" s="270"/>
      <c r="AI442" s="270"/>
      <c r="AJ442" s="270"/>
      <c r="AK442" s="270"/>
      <c r="AL442" s="270"/>
      <c r="AM442" s="663"/>
      <c r="AN442" s="663"/>
      <c r="AO442" s="708" t="str">
        <f>IF(OR(Table1[[#This Row],[Início Setup Envase]]="",Table1[[#This Row],[Final Setup Envase]]=""),"",Table1[[#This Row],[Final Setup Envase]]-Table1[[#This Row],[Início Setup Envase]])</f>
        <v/>
      </c>
      <c r="AP442" s="663"/>
      <c r="AQ442" s="663"/>
      <c r="AR442" s="270"/>
      <c r="AS442" s="270"/>
      <c r="AT442" s="270"/>
      <c r="AU442" s="270"/>
      <c r="AV442" s="270"/>
      <c r="AW442" s="270"/>
      <c r="AX442" s="270"/>
      <c r="AY442" s="270"/>
      <c r="AZ442" s="270"/>
      <c r="BA442" s="270">
        <f>IF(Table1[[#This Row],[Data de Início]]="","",YEAR(Table1[[#This Row],[Data de Início]]))</f>
        <v>2025</v>
      </c>
      <c r="BB442" s="270">
        <f>IF(Table1[[#This Row],[Data de Início]]="","",MONTH(Table1[[#This Row],[Data de Início]]))</f>
        <v>9</v>
      </c>
      <c r="BC442" s="270"/>
    </row>
    <row r="443" spans="2:55" ht="15" customHeight="1" x14ac:dyDescent="0.25">
      <c r="B443" s="470">
        <v>45902.493055555555</v>
      </c>
      <c r="C443" s="263">
        <v>45902.597222222219</v>
      </c>
      <c r="D443" s="440" cm="1">
        <f t="array" ref="D443">IFERROR(HorasUteisFabrica2Turnos(B443,C443), "")</f>
        <v>1.4999999999417923</v>
      </c>
      <c r="E443" s="265">
        <f t="shared" si="6"/>
        <v>1120.0000000434618</v>
      </c>
      <c r="F443" s="266" t="s">
        <v>377</v>
      </c>
      <c r="G443" s="266" t="s">
        <v>475</v>
      </c>
      <c r="H443" s="266"/>
      <c r="I443" s="269" t="s">
        <v>674</v>
      </c>
      <c r="J443" s="267" t="s">
        <v>15</v>
      </c>
      <c r="K443" s="268">
        <v>1680</v>
      </c>
      <c r="L443" s="269" t="s">
        <v>479</v>
      </c>
      <c r="M443" s="270" t="str">
        <f>IFERROR(INDEX([1]Produtos!$C:$C,MATCH(L443,[1]Produtos!$B:$B,0)), "-")</f>
        <v>ÁGUA MICELAR CARVÃO ATIVADO</v>
      </c>
      <c r="N443" s="510">
        <f>IFERROR(INDEX([1]Produtos!$E:$E,MATCH(L443,[1]Produtos!$B:$B,0)), "-")</f>
        <v>325</v>
      </c>
      <c r="O443" s="270" t="str">
        <f>IFERROR(INDEX([1]Produtos!$F:$F,MATCH(L443,[1]Produtos!$B:$B,0)), "-")</f>
        <v>ml</v>
      </c>
      <c r="P443" s="270" t="str">
        <f>IFERROR(INDEX([1]Produtos!$G:$G,MATCH(L443,[1]Produtos!$B:$B,0)), "-")</f>
        <v>GLOW MAKE UP</v>
      </c>
      <c r="Q443" s="270" t="str">
        <f>IFERROR(INDEX([1]Produtos!$H:$H,MATCH(L443,[1]Produtos!$B:$B,0)), "-")</f>
        <v>MAQUIAGEM</v>
      </c>
      <c r="R443" s="270" t="str">
        <f>IFERROR(INDEX([1]Produtos!$I:$I,MATCH(L443,[1]Produtos!$B:$B,0)), "-")</f>
        <v>ÁGUA MICELAR</v>
      </c>
      <c r="S443" s="270" t="str">
        <f>IFERROR(INDEX([1]Produtos!$J:$J,MATCH(L443,[1]Produtos!$B:$B,0)), "-")</f>
        <v>LÍQUIDO</v>
      </c>
      <c r="T443" s="475"/>
      <c r="U443" s="270"/>
      <c r="V443" s="270"/>
      <c r="W443" s="270"/>
      <c r="X443" s="270"/>
      <c r="Y443" s="270"/>
      <c r="Z443" s="270"/>
      <c r="AA443" s="270"/>
      <c r="AB443" s="270"/>
      <c r="AC443" s="270"/>
      <c r="AD443" s="270"/>
      <c r="AE443" s="270"/>
      <c r="AF443" s="270"/>
      <c r="AG443" s="270"/>
      <c r="AH443" s="270"/>
      <c r="AI443" s="270"/>
      <c r="AJ443" s="270"/>
      <c r="AK443" s="270"/>
      <c r="AL443" s="270"/>
      <c r="AM443" s="663"/>
      <c r="AN443" s="663"/>
      <c r="AO443" s="708" t="str">
        <f>IF(OR(Table1[[#This Row],[Início Setup Envase]]="",Table1[[#This Row],[Final Setup Envase]]=""),"",Table1[[#This Row],[Final Setup Envase]]-Table1[[#This Row],[Início Setup Envase]])</f>
        <v/>
      </c>
      <c r="AP443" s="663"/>
      <c r="AQ443" s="663"/>
      <c r="AR443" s="270"/>
      <c r="AS443" s="270"/>
      <c r="AT443" s="270"/>
      <c r="AU443" s="270"/>
      <c r="AV443" s="270"/>
      <c r="AW443" s="270"/>
      <c r="AX443" s="270"/>
      <c r="AY443" s="270"/>
      <c r="AZ443" s="270"/>
      <c r="BA443" s="270">
        <f>IF(Table1[[#This Row],[Data de Início]]="","",YEAR(Table1[[#This Row],[Data de Início]]))</f>
        <v>2025</v>
      </c>
      <c r="BB443" s="270">
        <f>IF(Table1[[#This Row],[Data de Início]]="","",MONTH(Table1[[#This Row],[Data de Início]]))</f>
        <v>9</v>
      </c>
      <c r="BC443" s="270"/>
    </row>
    <row r="444" spans="2:55" ht="15" customHeight="1" x14ac:dyDescent="0.25">
      <c r="B444" s="470">
        <v>45902.604166666664</v>
      </c>
      <c r="C444" s="263">
        <v>45902.645833333336</v>
      </c>
      <c r="D444" s="441" cm="1">
        <f t="array" ref="D444">IFERROR(HorasUteisFabrica2Turnos(B444,C444), "")</f>
        <v>1.0000000001164153</v>
      </c>
      <c r="E444" s="265">
        <f t="shared" si="6"/>
        <v>999.99999988358468</v>
      </c>
      <c r="F444" s="266" t="s">
        <v>378</v>
      </c>
      <c r="G444" s="266" t="s">
        <v>712</v>
      </c>
      <c r="H444" s="266"/>
      <c r="I444" s="269" t="s">
        <v>730</v>
      </c>
      <c r="J444" s="267" t="s">
        <v>15</v>
      </c>
      <c r="K444" s="268">
        <v>1000</v>
      </c>
      <c r="L444" s="269" t="s">
        <v>726</v>
      </c>
      <c r="M444" s="270" t="str">
        <f>IFERROR(INDEX([1]Produtos!$C:$C,MATCH(L444,[1]Produtos!$B:$B,0)), "-")</f>
        <v>GELATINA CAPILAR CHEIRINHO DE TUTTI-FRUTTI</v>
      </c>
      <c r="N444" s="510">
        <f>IFERROR(INDEX([1]Produtos!$E:$E,MATCH(L444,[1]Produtos!$B:$B,0)), "-")</f>
        <v>500</v>
      </c>
      <c r="O444" s="270" t="str">
        <f>IFERROR(INDEX([1]Produtos!$F:$F,MATCH(L444,[1]Produtos!$B:$B,0)), "-")</f>
        <v>ml</v>
      </c>
      <c r="P444" s="270" t="str">
        <f>IFERROR(INDEX([1]Produtos!$G:$G,MATCH(L444,[1]Produtos!$B:$B,0)), "-")</f>
        <v>ISA BEAUTY</v>
      </c>
      <c r="Q444" s="270" t="str">
        <f>IFERROR(INDEX([1]Produtos!$H:$H,MATCH(L444,[1]Produtos!$B:$B,0)), "-")</f>
        <v>CAPILAR</v>
      </c>
      <c r="R444" s="270" t="str">
        <f>IFERROR(INDEX([1]Produtos!$I:$I,MATCH(L444,[1]Produtos!$B:$B,0)), "-")</f>
        <v>GEL</v>
      </c>
      <c r="S444" s="270" t="str">
        <f>IFERROR(INDEX([1]Produtos!$J:$J,MATCH(L444,[1]Produtos!$B:$B,0)), "-")</f>
        <v>CREMOSO</v>
      </c>
      <c r="T444" s="475"/>
      <c r="U444" s="270"/>
      <c r="V444" s="270"/>
      <c r="W444" s="270"/>
      <c r="X444" s="270"/>
      <c r="Y444" s="270"/>
      <c r="Z444" s="270"/>
      <c r="AA444" s="270"/>
      <c r="AB444" s="270"/>
      <c r="AC444" s="270"/>
      <c r="AD444" s="270"/>
      <c r="AE444" s="270"/>
      <c r="AF444" s="270"/>
      <c r="AG444" s="270"/>
      <c r="AH444" s="270"/>
      <c r="AI444" s="270"/>
      <c r="AJ444" s="270"/>
      <c r="AK444" s="270"/>
      <c r="AL444" s="270"/>
      <c r="AM444" s="663"/>
      <c r="AN444" s="663"/>
      <c r="AO444" s="708" t="str">
        <f>IF(OR(Table1[[#This Row],[Início Setup Envase]]="",Table1[[#This Row],[Final Setup Envase]]=""),"",Table1[[#This Row],[Final Setup Envase]]-Table1[[#This Row],[Início Setup Envase]])</f>
        <v/>
      </c>
      <c r="AP444" s="663"/>
      <c r="AQ444" s="663"/>
      <c r="AR444" s="270"/>
      <c r="AS444" s="270"/>
      <c r="AT444" s="270"/>
      <c r="AU444" s="270"/>
      <c r="AV444" s="270"/>
      <c r="AW444" s="270"/>
      <c r="AX444" s="270"/>
      <c r="AY444" s="270"/>
      <c r="AZ444" s="270"/>
      <c r="BA444" s="270">
        <f>IF(Table1[[#This Row],[Data de Início]]="","",YEAR(Table1[[#This Row],[Data de Início]]))</f>
        <v>2025</v>
      </c>
      <c r="BB444" s="270">
        <f>IF(Table1[[#This Row],[Data de Início]]="","",MONTH(Table1[[#This Row],[Data de Início]]))</f>
        <v>9</v>
      </c>
      <c r="BC444" s="270"/>
    </row>
    <row r="445" spans="2:55" ht="15" customHeight="1" x14ac:dyDescent="0.25">
      <c r="B445" s="470">
        <v>45902.645833333336</v>
      </c>
      <c r="C445" s="263">
        <v>45902.708333333336</v>
      </c>
      <c r="D445" s="441" cm="1">
        <f t="array" ref="D445">IFERROR(HorasUteisFabrica2Turnos(B445,C445), "")</f>
        <v>1.5</v>
      </c>
      <c r="E445" s="265">
        <f t="shared" si="6"/>
        <v>666.66666666666663</v>
      </c>
      <c r="F445" s="266" t="s">
        <v>378</v>
      </c>
      <c r="G445" s="266" t="s">
        <v>712</v>
      </c>
      <c r="H445" s="266"/>
      <c r="I445" s="269" t="s">
        <v>731</v>
      </c>
      <c r="J445" s="267" t="s">
        <v>15</v>
      </c>
      <c r="K445" s="268">
        <v>1000</v>
      </c>
      <c r="L445" s="269" t="s">
        <v>726</v>
      </c>
      <c r="M445" s="270" t="str">
        <f>IFERROR(INDEX([1]Produtos!$C:$C,MATCH(L445,[1]Produtos!$B:$B,0)), "-")</f>
        <v>GELATINA CAPILAR CHEIRINHO DE TUTTI-FRUTTI</v>
      </c>
      <c r="N445" s="510">
        <f>IFERROR(INDEX([1]Produtos!$E:$E,MATCH(L445,[1]Produtos!$B:$B,0)), "-")</f>
        <v>500</v>
      </c>
      <c r="O445" s="270" t="str">
        <f>IFERROR(INDEX([1]Produtos!$F:$F,MATCH(L445,[1]Produtos!$B:$B,0)), "-")</f>
        <v>ml</v>
      </c>
      <c r="P445" s="270" t="str">
        <f>IFERROR(INDEX([1]Produtos!$G:$G,MATCH(L445,[1]Produtos!$B:$B,0)), "-")</f>
        <v>ISA BEAUTY</v>
      </c>
      <c r="Q445" s="270" t="str">
        <f>IFERROR(INDEX([1]Produtos!$H:$H,MATCH(L445,[1]Produtos!$B:$B,0)), "-")</f>
        <v>CAPILAR</v>
      </c>
      <c r="R445" s="270" t="str">
        <f>IFERROR(INDEX([1]Produtos!$I:$I,MATCH(L445,[1]Produtos!$B:$B,0)), "-")</f>
        <v>GEL</v>
      </c>
      <c r="S445" s="270" t="str">
        <f>IFERROR(INDEX([1]Produtos!$J:$J,MATCH(L445,[1]Produtos!$B:$B,0)), "-")</f>
        <v>CREMOSO</v>
      </c>
      <c r="T445" s="475"/>
      <c r="U445" s="270"/>
      <c r="V445" s="270"/>
      <c r="W445" s="270"/>
      <c r="X445" s="270"/>
      <c r="Y445" s="270"/>
      <c r="Z445" s="270"/>
      <c r="AA445" s="270"/>
      <c r="AB445" s="270"/>
      <c r="AC445" s="270"/>
      <c r="AD445" s="270"/>
      <c r="AE445" s="270"/>
      <c r="AF445" s="270"/>
      <c r="AG445" s="270"/>
      <c r="AH445" s="270"/>
      <c r="AI445" s="270"/>
      <c r="AJ445" s="270"/>
      <c r="AK445" s="270"/>
      <c r="AL445" s="270"/>
      <c r="AM445" s="663"/>
      <c r="AN445" s="663"/>
      <c r="AO445" s="708" t="str">
        <f>IF(OR(Table1[[#This Row],[Início Setup Envase]]="",Table1[[#This Row],[Final Setup Envase]]=""),"",Table1[[#This Row],[Final Setup Envase]]-Table1[[#This Row],[Início Setup Envase]])</f>
        <v/>
      </c>
      <c r="AP445" s="663"/>
      <c r="AQ445" s="663"/>
      <c r="AR445" s="270"/>
      <c r="AS445" s="270"/>
      <c r="AT445" s="270"/>
      <c r="AU445" s="270"/>
      <c r="AV445" s="270"/>
      <c r="AW445" s="270"/>
      <c r="AX445" s="270"/>
      <c r="AY445" s="270"/>
      <c r="AZ445" s="270"/>
      <c r="BA445" s="270">
        <f>IF(Table1[[#This Row],[Data de Início]]="","",YEAR(Table1[[#This Row],[Data de Início]]))</f>
        <v>2025</v>
      </c>
      <c r="BB445" s="270">
        <f>IF(Table1[[#This Row],[Data de Início]]="","",MONTH(Table1[[#This Row],[Data de Início]]))</f>
        <v>9</v>
      </c>
      <c r="BC445" s="270"/>
    </row>
    <row r="446" spans="2:55" ht="15" customHeight="1" x14ac:dyDescent="0.25">
      <c r="B446" s="470">
        <v>45902.708333333336</v>
      </c>
      <c r="C446" s="263">
        <v>45903.375</v>
      </c>
      <c r="D446" s="441" cm="1">
        <f t="array" ref="D446">IFERROR(HorasUteisFabrica2Turnos(B446,C446), "")</f>
        <v>6.9999999999417923</v>
      </c>
      <c r="E446" s="265">
        <f t="shared" si="6"/>
        <v>142.85714285833077</v>
      </c>
      <c r="F446" s="266" t="s">
        <v>378</v>
      </c>
      <c r="G446" s="266" t="s">
        <v>712</v>
      </c>
      <c r="H446" s="266"/>
      <c r="I446" s="269" t="s">
        <v>728</v>
      </c>
      <c r="J446" s="267" t="s">
        <v>15</v>
      </c>
      <c r="K446" s="268">
        <v>1000</v>
      </c>
      <c r="L446" s="269" t="s">
        <v>726</v>
      </c>
      <c r="M446" s="270" t="str">
        <f>IFERROR(INDEX([1]Produtos!$C:$C,MATCH(L446,[1]Produtos!$B:$B,0)), "-")</f>
        <v>GELATINA CAPILAR CHEIRINHO DE TUTTI-FRUTTI</v>
      </c>
      <c r="N446" s="510">
        <f>IFERROR(INDEX([1]Produtos!$E:$E,MATCH(L446,[1]Produtos!$B:$B,0)), "-")</f>
        <v>500</v>
      </c>
      <c r="O446" s="270" t="str">
        <f>IFERROR(INDEX([1]Produtos!$F:$F,MATCH(L446,[1]Produtos!$B:$B,0)), "-")</f>
        <v>ml</v>
      </c>
      <c r="P446" s="270" t="str">
        <f>IFERROR(INDEX([1]Produtos!$G:$G,MATCH(L446,[1]Produtos!$B:$B,0)), "-")</f>
        <v>ISA BEAUTY</v>
      </c>
      <c r="Q446" s="270" t="str">
        <f>IFERROR(INDEX([1]Produtos!$H:$H,MATCH(L446,[1]Produtos!$B:$B,0)), "-")</f>
        <v>CAPILAR</v>
      </c>
      <c r="R446" s="270" t="str">
        <f>IFERROR(INDEX([1]Produtos!$I:$I,MATCH(L446,[1]Produtos!$B:$B,0)), "-")</f>
        <v>GEL</v>
      </c>
      <c r="S446" s="270" t="str">
        <f>IFERROR(INDEX([1]Produtos!$J:$J,MATCH(L446,[1]Produtos!$B:$B,0)), "-")</f>
        <v>CREMOSO</v>
      </c>
      <c r="T446" s="475"/>
      <c r="U446" s="270"/>
      <c r="V446" s="270"/>
      <c r="W446" s="270"/>
      <c r="X446" s="270"/>
      <c r="Y446" s="270"/>
      <c r="Z446" s="270"/>
      <c r="AA446" s="270"/>
      <c r="AB446" s="270"/>
      <c r="AC446" s="270"/>
      <c r="AD446" s="270"/>
      <c r="AE446" s="270"/>
      <c r="AF446" s="270"/>
      <c r="AG446" s="270"/>
      <c r="AH446" s="270"/>
      <c r="AI446" s="270"/>
      <c r="AJ446" s="270"/>
      <c r="AK446" s="270"/>
      <c r="AL446" s="270"/>
      <c r="AM446" s="663"/>
      <c r="AN446" s="663"/>
      <c r="AO446" s="708" t="str">
        <f>IF(OR(Table1[[#This Row],[Início Setup Envase]]="",Table1[[#This Row],[Final Setup Envase]]=""),"",Table1[[#This Row],[Final Setup Envase]]-Table1[[#This Row],[Início Setup Envase]])</f>
        <v/>
      </c>
      <c r="AP446" s="663"/>
      <c r="AQ446" s="663"/>
      <c r="AR446" s="270"/>
      <c r="AS446" s="270"/>
      <c r="AT446" s="270"/>
      <c r="AU446" s="270"/>
      <c r="AV446" s="270"/>
      <c r="AW446" s="270"/>
      <c r="AX446" s="270"/>
      <c r="AY446" s="270"/>
      <c r="AZ446" s="270"/>
      <c r="BA446" s="270">
        <f>IF(Table1[[#This Row],[Data de Início]]="","",YEAR(Table1[[#This Row],[Data de Início]]))</f>
        <v>2025</v>
      </c>
      <c r="BB446" s="270">
        <f>IF(Table1[[#This Row],[Data de Início]]="","",MONTH(Table1[[#This Row],[Data de Início]]))</f>
        <v>9</v>
      </c>
      <c r="BC446" s="270"/>
    </row>
    <row r="447" spans="2:55" ht="15" customHeight="1" x14ac:dyDescent="0.25">
      <c r="B447" s="470">
        <v>45903.3125</v>
      </c>
      <c r="C447" s="263">
        <v>45903.395833333336</v>
      </c>
      <c r="D447" s="441" cm="1">
        <f t="array" ref="D447">IFERROR(HorasUteisFabrica2Turnos(B447,C447), "")</f>
        <v>2.0000000000582077</v>
      </c>
      <c r="E447" s="265">
        <f t="shared" si="6"/>
        <v>499.99999998544808</v>
      </c>
      <c r="F447" s="266" t="s">
        <v>378</v>
      </c>
      <c r="G447" s="266" t="s">
        <v>712</v>
      </c>
      <c r="H447" s="266"/>
      <c r="I447" s="269" t="s">
        <v>727</v>
      </c>
      <c r="J447" s="267" t="s">
        <v>15</v>
      </c>
      <c r="K447" s="268">
        <v>1000</v>
      </c>
      <c r="L447" s="269" t="s">
        <v>726</v>
      </c>
      <c r="M447" s="270" t="str">
        <f>IFERROR(INDEX([1]Produtos!$C:$C,MATCH(L447,[1]Produtos!$B:$B,0)), "-")</f>
        <v>GELATINA CAPILAR CHEIRINHO DE TUTTI-FRUTTI</v>
      </c>
      <c r="N447" s="510">
        <f>IFERROR(INDEX([1]Produtos!$E:$E,MATCH(L447,[1]Produtos!$B:$B,0)), "-")</f>
        <v>500</v>
      </c>
      <c r="O447" s="270" t="str">
        <f>IFERROR(INDEX([1]Produtos!$F:$F,MATCH(L447,[1]Produtos!$B:$B,0)), "-")</f>
        <v>ml</v>
      </c>
      <c r="P447" s="270" t="str">
        <f>IFERROR(INDEX([1]Produtos!$G:$G,MATCH(L447,[1]Produtos!$B:$B,0)), "-")</f>
        <v>ISA BEAUTY</v>
      </c>
      <c r="Q447" s="270" t="str">
        <f>IFERROR(INDEX([1]Produtos!$H:$H,MATCH(L447,[1]Produtos!$B:$B,0)), "-")</f>
        <v>CAPILAR</v>
      </c>
      <c r="R447" s="270" t="str">
        <f>IFERROR(INDEX([1]Produtos!$I:$I,MATCH(L447,[1]Produtos!$B:$B,0)), "-")</f>
        <v>GEL</v>
      </c>
      <c r="S447" s="270" t="str">
        <f>IFERROR(INDEX([1]Produtos!$J:$J,MATCH(L447,[1]Produtos!$B:$B,0)), "-")</f>
        <v>CREMOSO</v>
      </c>
      <c r="T447" s="475"/>
      <c r="U447" s="270"/>
      <c r="V447" s="270"/>
      <c r="W447" s="270"/>
      <c r="X447" s="270"/>
      <c r="Y447" s="270"/>
      <c r="Z447" s="270"/>
      <c r="AA447" s="270"/>
      <c r="AB447" s="270"/>
      <c r="AC447" s="270"/>
      <c r="AD447" s="270"/>
      <c r="AE447" s="270"/>
      <c r="AF447" s="270"/>
      <c r="AG447" s="270"/>
      <c r="AH447" s="270"/>
      <c r="AI447" s="270"/>
      <c r="AJ447" s="270"/>
      <c r="AK447" s="270"/>
      <c r="AL447" s="270"/>
      <c r="AM447" s="663"/>
      <c r="AN447" s="663"/>
      <c r="AO447" s="708" t="str">
        <f>IF(OR(Table1[[#This Row],[Início Setup Envase]]="",Table1[[#This Row],[Final Setup Envase]]=""),"",Table1[[#This Row],[Final Setup Envase]]-Table1[[#This Row],[Início Setup Envase]])</f>
        <v/>
      </c>
      <c r="AP447" s="663"/>
      <c r="AQ447" s="663"/>
      <c r="AR447" s="270"/>
      <c r="AS447" s="270"/>
      <c r="AT447" s="270"/>
      <c r="AU447" s="270"/>
      <c r="AV447" s="270"/>
      <c r="AW447" s="270"/>
      <c r="AX447" s="270"/>
      <c r="AY447" s="270"/>
      <c r="AZ447" s="270"/>
      <c r="BA447" s="270">
        <f>IF(Table1[[#This Row],[Data de Início]]="","",YEAR(Table1[[#This Row],[Data de Início]]))</f>
        <v>2025</v>
      </c>
      <c r="BB447" s="270">
        <f>IF(Table1[[#This Row],[Data de Início]]="","",MONTH(Table1[[#This Row],[Data de Início]]))</f>
        <v>9</v>
      </c>
      <c r="BC447" s="270"/>
    </row>
    <row r="448" spans="2:55" ht="15" customHeight="1" x14ac:dyDescent="0.25">
      <c r="B448" s="470">
        <v>45903.395833333336</v>
      </c>
      <c r="C448" s="263">
        <v>45903.46875</v>
      </c>
      <c r="D448" s="441" cm="1">
        <f t="array" ref="D448">IFERROR(HorasUteisFabrica2Turnos(B448,C448), "")</f>
        <v>1.7499999999417923</v>
      </c>
      <c r="E448" s="265">
        <f t="shared" si="6"/>
        <v>571.42857144757807</v>
      </c>
      <c r="F448" s="266" t="s">
        <v>378</v>
      </c>
      <c r="G448" s="266" t="s">
        <v>712</v>
      </c>
      <c r="H448" s="266"/>
      <c r="I448" s="269" t="s">
        <v>733</v>
      </c>
      <c r="J448" s="267" t="s">
        <v>15</v>
      </c>
      <c r="K448" s="268">
        <v>1000</v>
      </c>
      <c r="L448" s="269" t="s">
        <v>726</v>
      </c>
      <c r="M448" s="270" t="str">
        <f>IFERROR(INDEX([1]Produtos!$C:$C,MATCH(L448,[1]Produtos!$B:$B,0)), "-")</f>
        <v>GELATINA CAPILAR CHEIRINHO DE TUTTI-FRUTTI</v>
      </c>
      <c r="N448" s="510">
        <f>IFERROR(INDEX([1]Produtos!$E:$E,MATCH(L448,[1]Produtos!$B:$B,0)), "-")</f>
        <v>500</v>
      </c>
      <c r="O448" s="270" t="str">
        <f>IFERROR(INDEX([1]Produtos!$F:$F,MATCH(L448,[1]Produtos!$B:$B,0)), "-")</f>
        <v>ml</v>
      </c>
      <c r="P448" s="270" t="str">
        <f>IFERROR(INDEX([1]Produtos!$G:$G,MATCH(L448,[1]Produtos!$B:$B,0)), "-")</f>
        <v>ISA BEAUTY</v>
      </c>
      <c r="Q448" s="270" t="str">
        <f>IFERROR(INDEX([1]Produtos!$H:$H,MATCH(L448,[1]Produtos!$B:$B,0)), "-")</f>
        <v>CAPILAR</v>
      </c>
      <c r="R448" s="270" t="str">
        <f>IFERROR(INDEX([1]Produtos!$I:$I,MATCH(L448,[1]Produtos!$B:$B,0)), "-")</f>
        <v>GEL</v>
      </c>
      <c r="S448" s="270" t="str">
        <f>IFERROR(INDEX([1]Produtos!$J:$J,MATCH(L448,[1]Produtos!$B:$B,0)), "-")</f>
        <v>CREMOSO</v>
      </c>
      <c r="T448" s="475"/>
      <c r="U448" s="270"/>
      <c r="V448" s="270"/>
      <c r="W448" s="270"/>
      <c r="X448" s="270"/>
      <c r="Y448" s="270"/>
      <c r="Z448" s="270"/>
      <c r="AA448" s="270"/>
      <c r="AB448" s="270"/>
      <c r="AC448" s="270"/>
      <c r="AD448" s="270"/>
      <c r="AE448" s="270"/>
      <c r="AF448" s="270"/>
      <c r="AG448" s="270"/>
      <c r="AH448" s="270"/>
      <c r="AI448" s="270"/>
      <c r="AJ448" s="270"/>
      <c r="AK448" s="270"/>
      <c r="AL448" s="270"/>
      <c r="AM448" s="663"/>
      <c r="AN448" s="663"/>
      <c r="AO448" s="708" t="str">
        <f>IF(OR(Table1[[#This Row],[Início Setup Envase]]="",Table1[[#This Row],[Final Setup Envase]]=""),"",Table1[[#This Row],[Final Setup Envase]]-Table1[[#This Row],[Início Setup Envase]])</f>
        <v/>
      </c>
      <c r="AP448" s="663"/>
      <c r="AQ448" s="663"/>
      <c r="AR448" s="270"/>
      <c r="AS448" s="270"/>
      <c r="AT448" s="270"/>
      <c r="AU448" s="270"/>
      <c r="AV448" s="270"/>
      <c r="AW448" s="270"/>
      <c r="AX448" s="270"/>
      <c r="AY448" s="270"/>
      <c r="AZ448" s="270"/>
      <c r="BA448" s="270">
        <f>IF(Table1[[#This Row],[Data de Início]]="","",YEAR(Table1[[#This Row],[Data de Início]]))</f>
        <v>2025</v>
      </c>
      <c r="BB448" s="270">
        <f>IF(Table1[[#This Row],[Data de Início]]="","",MONTH(Table1[[#This Row],[Data de Início]]))</f>
        <v>9</v>
      </c>
      <c r="BC448" s="270"/>
    </row>
    <row r="449" spans="2:55" ht="15" customHeight="1" x14ac:dyDescent="0.25">
      <c r="B449" s="470">
        <v>45903.395833333336</v>
      </c>
      <c r="C449" s="263">
        <v>45903.479166666664</v>
      </c>
      <c r="D449" s="441" cm="1">
        <f t="array" ref="D449">IFERROR(HorasUteisFabrica2Turnos(B449,C449), "")</f>
        <v>1.9999999998835847</v>
      </c>
      <c r="E449" s="265">
        <f t="shared" si="6"/>
        <v>500.00000002910383</v>
      </c>
      <c r="F449" s="266" t="s">
        <v>378</v>
      </c>
      <c r="G449" s="266" t="s">
        <v>712</v>
      </c>
      <c r="H449" s="266"/>
      <c r="I449" s="269" t="s">
        <v>729</v>
      </c>
      <c r="J449" s="267" t="s">
        <v>15</v>
      </c>
      <c r="K449" s="268">
        <v>1000</v>
      </c>
      <c r="L449" s="269" t="s">
        <v>726</v>
      </c>
      <c r="M449" s="270" t="str">
        <f>IFERROR(INDEX([1]Produtos!$C:$C,MATCH(L449,[1]Produtos!$B:$B,0)), "-")</f>
        <v>GELATINA CAPILAR CHEIRINHO DE TUTTI-FRUTTI</v>
      </c>
      <c r="N449" s="510">
        <f>IFERROR(INDEX([1]Produtos!$E:$E,MATCH(L449,[1]Produtos!$B:$B,0)), "-")</f>
        <v>500</v>
      </c>
      <c r="O449" s="270" t="str">
        <f>IFERROR(INDEX([1]Produtos!$F:$F,MATCH(L449,[1]Produtos!$B:$B,0)), "-")</f>
        <v>ml</v>
      </c>
      <c r="P449" s="270" t="str">
        <f>IFERROR(INDEX([1]Produtos!$G:$G,MATCH(L449,[1]Produtos!$B:$B,0)), "-")</f>
        <v>ISA BEAUTY</v>
      </c>
      <c r="Q449" s="270" t="str">
        <f>IFERROR(INDEX([1]Produtos!$H:$H,MATCH(L449,[1]Produtos!$B:$B,0)), "-")</f>
        <v>CAPILAR</v>
      </c>
      <c r="R449" s="270" t="str">
        <f>IFERROR(INDEX([1]Produtos!$I:$I,MATCH(L449,[1]Produtos!$B:$B,0)), "-")</f>
        <v>GEL</v>
      </c>
      <c r="S449" s="270" t="str">
        <f>IFERROR(INDEX([1]Produtos!$J:$J,MATCH(L449,[1]Produtos!$B:$B,0)), "-")</f>
        <v>CREMOSO</v>
      </c>
      <c r="T449" s="475"/>
      <c r="U449" s="270"/>
      <c r="V449" s="270"/>
      <c r="W449" s="270"/>
      <c r="X449" s="270"/>
      <c r="Y449" s="270"/>
      <c r="Z449" s="270"/>
      <c r="AA449" s="270"/>
      <c r="AB449" s="270"/>
      <c r="AC449" s="270"/>
      <c r="AD449" s="270"/>
      <c r="AE449" s="270"/>
      <c r="AF449" s="270"/>
      <c r="AG449" s="270"/>
      <c r="AH449" s="270"/>
      <c r="AI449" s="270"/>
      <c r="AJ449" s="270"/>
      <c r="AK449" s="270"/>
      <c r="AL449" s="270"/>
      <c r="AM449" s="663"/>
      <c r="AN449" s="663"/>
      <c r="AO449" s="708" t="str">
        <f>IF(OR(Table1[[#This Row],[Início Setup Envase]]="",Table1[[#This Row],[Final Setup Envase]]=""),"",Table1[[#This Row],[Final Setup Envase]]-Table1[[#This Row],[Início Setup Envase]])</f>
        <v/>
      </c>
      <c r="AP449" s="663"/>
      <c r="AQ449" s="663"/>
      <c r="AR449" s="270"/>
      <c r="AS449" s="270"/>
      <c r="AT449" s="270"/>
      <c r="AU449" s="270"/>
      <c r="AV449" s="270"/>
      <c r="AW449" s="270"/>
      <c r="AX449" s="270"/>
      <c r="AY449" s="270"/>
      <c r="AZ449" s="270"/>
      <c r="BA449" s="270">
        <f>IF(Table1[[#This Row],[Data de Início]]="","",YEAR(Table1[[#This Row],[Data de Início]]))</f>
        <v>2025</v>
      </c>
      <c r="BB449" s="270">
        <f>IF(Table1[[#This Row],[Data de Início]]="","",MONTH(Table1[[#This Row],[Data de Início]]))</f>
        <v>9</v>
      </c>
      <c r="BC449" s="270"/>
    </row>
    <row r="450" spans="2:55" ht="15" customHeight="1" x14ac:dyDescent="0.25">
      <c r="B450" s="470">
        <v>45903.46875</v>
      </c>
      <c r="C450" s="263">
        <v>45903.645833333336</v>
      </c>
      <c r="D450" s="441" cm="1">
        <f t="array" ref="D450">IFERROR(HorasUteisFabrica2Turnos(B450,C450), "")</f>
        <v>3.2500000000582077</v>
      </c>
      <c r="E450" s="265">
        <f t="shared" si="6"/>
        <v>307.69230768679688</v>
      </c>
      <c r="F450" s="266" t="s">
        <v>378</v>
      </c>
      <c r="G450" s="266" t="s">
        <v>712</v>
      </c>
      <c r="H450" s="266"/>
      <c r="I450" s="269" t="s">
        <v>732</v>
      </c>
      <c r="J450" s="267" t="s">
        <v>15</v>
      </c>
      <c r="K450" s="268">
        <v>1000</v>
      </c>
      <c r="L450" s="269" t="s">
        <v>726</v>
      </c>
      <c r="M450" s="270" t="str">
        <f>IFERROR(INDEX([1]Produtos!$C:$C,MATCH(L450,[1]Produtos!$B:$B,0)), "-")</f>
        <v>GELATINA CAPILAR CHEIRINHO DE TUTTI-FRUTTI</v>
      </c>
      <c r="N450" s="510">
        <f>IFERROR(INDEX([1]Produtos!$E:$E,MATCH(L450,[1]Produtos!$B:$B,0)), "-")</f>
        <v>500</v>
      </c>
      <c r="O450" s="270" t="str">
        <f>IFERROR(INDEX([1]Produtos!$F:$F,MATCH(L450,[1]Produtos!$B:$B,0)), "-")</f>
        <v>ml</v>
      </c>
      <c r="P450" s="270" t="str">
        <f>IFERROR(INDEX([1]Produtos!$G:$G,MATCH(L450,[1]Produtos!$B:$B,0)), "-")</f>
        <v>ISA BEAUTY</v>
      </c>
      <c r="Q450" s="270" t="str">
        <f>IFERROR(INDEX([1]Produtos!$H:$H,MATCH(L450,[1]Produtos!$B:$B,0)), "-")</f>
        <v>CAPILAR</v>
      </c>
      <c r="R450" s="270" t="str">
        <f>IFERROR(INDEX([1]Produtos!$I:$I,MATCH(L450,[1]Produtos!$B:$B,0)), "-")</f>
        <v>GEL</v>
      </c>
      <c r="S450" s="270" t="str">
        <f>IFERROR(INDEX([1]Produtos!$J:$J,MATCH(L450,[1]Produtos!$B:$B,0)), "-")</f>
        <v>CREMOSO</v>
      </c>
      <c r="T450" s="475"/>
      <c r="U450" s="270"/>
      <c r="V450" s="270"/>
      <c r="W450" s="270"/>
      <c r="X450" s="270"/>
      <c r="Y450" s="270"/>
      <c r="Z450" s="270"/>
      <c r="AA450" s="270"/>
      <c r="AB450" s="270"/>
      <c r="AC450" s="270"/>
      <c r="AD450" s="270"/>
      <c r="AE450" s="270"/>
      <c r="AF450" s="270"/>
      <c r="AG450" s="270"/>
      <c r="AH450" s="270"/>
      <c r="AI450" s="270"/>
      <c r="AJ450" s="270"/>
      <c r="AK450" s="270"/>
      <c r="AL450" s="270"/>
      <c r="AM450" s="663"/>
      <c r="AN450" s="663"/>
      <c r="AO450" s="708" t="str">
        <f>IF(OR(Table1[[#This Row],[Início Setup Envase]]="",Table1[[#This Row],[Final Setup Envase]]=""),"",Table1[[#This Row],[Final Setup Envase]]-Table1[[#This Row],[Início Setup Envase]])</f>
        <v/>
      </c>
      <c r="AP450" s="663"/>
      <c r="AQ450" s="663"/>
      <c r="AR450" s="270"/>
      <c r="AS450" s="270"/>
      <c r="AT450" s="270"/>
      <c r="AU450" s="270"/>
      <c r="AV450" s="270"/>
      <c r="AW450" s="270"/>
      <c r="AX450" s="270"/>
      <c r="AY450" s="270"/>
      <c r="AZ450" s="270"/>
      <c r="BA450" s="270">
        <f>IF(Table1[[#This Row],[Data de Início]]="","",YEAR(Table1[[#This Row],[Data de Início]]))</f>
        <v>2025</v>
      </c>
      <c r="BB450" s="270">
        <f>IF(Table1[[#This Row],[Data de Início]]="","",MONTH(Table1[[#This Row],[Data de Início]]))</f>
        <v>9</v>
      </c>
      <c r="BC450" s="270"/>
    </row>
    <row r="451" spans="2:55" ht="15" customHeight="1" x14ac:dyDescent="0.25">
      <c r="B451" s="470">
        <v>45904.303472222222</v>
      </c>
      <c r="C451" s="263">
        <v>45904.425694444442</v>
      </c>
      <c r="D451" s="441" cm="1">
        <f t="array" ref="D451">IFERROR(HorasUteisFabrica2Turnos(B451,C451), "")</f>
        <v>2.9333333332906477</v>
      </c>
      <c r="E451" s="265">
        <f t="shared" ref="E451:E514" si="7">IFERROR(K451/D451, "")</f>
        <v>340.90909091405177</v>
      </c>
      <c r="F451" s="266" t="s">
        <v>378</v>
      </c>
      <c r="G451" s="266" t="s">
        <v>712</v>
      </c>
      <c r="H451" s="266"/>
      <c r="I451" s="269" t="s">
        <v>737</v>
      </c>
      <c r="J451" s="267" t="s">
        <v>15</v>
      </c>
      <c r="K451" s="268">
        <v>1000</v>
      </c>
      <c r="L451" s="269" t="s">
        <v>726</v>
      </c>
      <c r="M451" s="270" t="str">
        <f>IFERROR(INDEX([1]Produtos!$C:$C,MATCH(L451,[1]Produtos!$B:$B,0)), "-")</f>
        <v>GELATINA CAPILAR CHEIRINHO DE TUTTI-FRUTTI</v>
      </c>
      <c r="N451" s="510">
        <f>IFERROR(INDEX([1]Produtos!$E:$E,MATCH(L451,[1]Produtos!$B:$B,0)), "-")</f>
        <v>500</v>
      </c>
      <c r="O451" s="270" t="str">
        <f>IFERROR(INDEX([1]Produtos!$F:$F,MATCH(L451,[1]Produtos!$B:$B,0)), "-")</f>
        <v>ml</v>
      </c>
      <c r="P451" s="270" t="str">
        <f>IFERROR(INDEX([1]Produtos!$G:$G,MATCH(L451,[1]Produtos!$B:$B,0)), "-")</f>
        <v>ISA BEAUTY</v>
      </c>
      <c r="Q451" s="270" t="str">
        <f>IFERROR(INDEX([1]Produtos!$H:$H,MATCH(L451,[1]Produtos!$B:$B,0)), "-")</f>
        <v>CAPILAR</v>
      </c>
      <c r="R451" s="270" t="str">
        <f>IFERROR(INDEX([1]Produtos!$I:$I,MATCH(L451,[1]Produtos!$B:$B,0)), "-")</f>
        <v>GEL</v>
      </c>
      <c r="S451" s="270" t="str">
        <f>IFERROR(INDEX([1]Produtos!$J:$J,MATCH(L451,[1]Produtos!$B:$B,0)), "-")</f>
        <v>CREMOSO</v>
      </c>
      <c r="T451" s="475"/>
      <c r="U451" s="270"/>
      <c r="V451" s="270"/>
      <c r="W451" s="270"/>
      <c r="X451" s="270"/>
      <c r="Y451" s="270"/>
      <c r="Z451" s="270"/>
      <c r="AA451" s="270"/>
      <c r="AB451" s="270"/>
      <c r="AC451" s="270"/>
      <c r="AD451" s="270"/>
      <c r="AE451" s="270"/>
      <c r="AF451" s="270"/>
      <c r="AG451" s="270"/>
      <c r="AH451" s="270"/>
      <c r="AI451" s="270"/>
      <c r="AJ451" s="270"/>
      <c r="AK451" s="270"/>
      <c r="AL451" s="270"/>
      <c r="AM451" s="663"/>
      <c r="AN451" s="663"/>
      <c r="AO451" s="708" t="str">
        <f>IF(OR(Table1[[#This Row],[Início Setup Envase]]="",Table1[[#This Row],[Final Setup Envase]]=""),"",Table1[[#This Row],[Final Setup Envase]]-Table1[[#This Row],[Início Setup Envase]])</f>
        <v/>
      </c>
      <c r="AP451" s="663"/>
      <c r="AQ451" s="663"/>
      <c r="AR451" s="270"/>
      <c r="AS451" s="270"/>
      <c r="AT451" s="270"/>
      <c r="AU451" s="270"/>
      <c r="AV451" s="270"/>
      <c r="AW451" s="270"/>
      <c r="AX451" s="270"/>
      <c r="AY451" s="270"/>
      <c r="AZ451" s="270"/>
      <c r="BA451" s="270">
        <f>IF(Table1[[#This Row],[Data de Início]]="","",YEAR(Table1[[#This Row],[Data de Início]]))</f>
        <v>2025</v>
      </c>
      <c r="BB451" s="270">
        <f>IF(Table1[[#This Row],[Data de Início]]="","",MONTH(Table1[[#This Row],[Data de Início]]))</f>
        <v>9</v>
      </c>
      <c r="BC451" s="270"/>
    </row>
    <row r="452" spans="2:55" ht="15" customHeight="1" x14ac:dyDescent="0.25">
      <c r="B452" s="470">
        <v>45904.4375</v>
      </c>
      <c r="C452" s="263">
        <v>45904.458333333336</v>
      </c>
      <c r="D452" s="441" cm="1">
        <f t="array" ref="D452">IFERROR(HorasUteisFabrica2Turnos(B452,C452), "")</f>
        <v>0.50000000005820766</v>
      </c>
      <c r="E452" s="265">
        <f t="shared" si="7"/>
        <v>1099.9999998719431</v>
      </c>
      <c r="F452" s="266" t="s">
        <v>378</v>
      </c>
      <c r="G452" s="266" t="s">
        <v>712</v>
      </c>
      <c r="H452" s="266"/>
      <c r="I452" s="269" t="s">
        <v>725</v>
      </c>
      <c r="J452" s="267" t="s">
        <v>15</v>
      </c>
      <c r="K452" s="268">
        <v>550</v>
      </c>
      <c r="L452" s="269" t="s">
        <v>726</v>
      </c>
      <c r="M452" s="270" t="str">
        <f>IFERROR(INDEX([1]Produtos!$C:$C,MATCH(L452,[1]Produtos!$B:$B,0)), "-")</f>
        <v>GELATINA CAPILAR CHEIRINHO DE TUTTI-FRUTTI</v>
      </c>
      <c r="N452" s="510">
        <f>IFERROR(INDEX([1]Produtos!$E:$E,MATCH(L452,[1]Produtos!$B:$B,0)), "-")</f>
        <v>500</v>
      </c>
      <c r="O452" s="270" t="str">
        <f>IFERROR(INDEX([1]Produtos!$F:$F,MATCH(L452,[1]Produtos!$B:$B,0)), "-")</f>
        <v>ml</v>
      </c>
      <c r="P452" s="270" t="str">
        <f>IFERROR(INDEX([1]Produtos!$G:$G,MATCH(L452,[1]Produtos!$B:$B,0)), "-")</f>
        <v>ISA BEAUTY</v>
      </c>
      <c r="Q452" s="270" t="str">
        <f>IFERROR(INDEX([1]Produtos!$H:$H,MATCH(L452,[1]Produtos!$B:$B,0)), "-")</f>
        <v>CAPILAR</v>
      </c>
      <c r="R452" s="270" t="str">
        <f>IFERROR(INDEX([1]Produtos!$I:$I,MATCH(L452,[1]Produtos!$B:$B,0)), "-")</f>
        <v>GEL</v>
      </c>
      <c r="S452" s="270" t="str">
        <f>IFERROR(INDEX([1]Produtos!$J:$J,MATCH(L452,[1]Produtos!$B:$B,0)), "-")</f>
        <v>CREMOSO</v>
      </c>
      <c r="T452" s="475"/>
      <c r="U452" s="270"/>
      <c r="V452" s="270"/>
      <c r="W452" s="270"/>
      <c r="X452" s="270"/>
      <c r="Y452" s="270"/>
      <c r="Z452" s="270"/>
      <c r="AA452" s="270"/>
      <c r="AB452" s="270"/>
      <c r="AC452" s="270"/>
      <c r="AD452" s="270"/>
      <c r="AE452" s="270"/>
      <c r="AF452" s="270"/>
      <c r="AG452" s="270"/>
      <c r="AH452" s="270"/>
      <c r="AI452" s="270"/>
      <c r="AJ452" s="270"/>
      <c r="AK452" s="270"/>
      <c r="AL452" s="270"/>
      <c r="AM452" s="663"/>
      <c r="AN452" s="663"/>
      <c r="AO452" s="708" t="str">
        <f>IF(OR(Table1[[#This Row],[Início Setup Envase]]="",Table1[[#This Row],[Final Setup Envase]]=""),"",Table1[[#This Row],[Final Setup Envase]]-Table1[[#This Row],[Início Setup Envase]])</f>
        <v/>
      </c>
      <c r="AP452" s="663"/>
      <c r="AQ452" s="663"/>
      <c r="AR452" s="270"/>
      <c r="AS452" s="270"/>
      <c r="AT452" s="270"/>
      <c r="AU452" s="270"/>
      <c r="AV452" s="270"/>
      <c r="AW452" s="270"/>
      <c r="AX452" s="270"/>
      <c r="AY452" s="270"/>
      <c r="AZ452" s="270"/>
      <c r="BA452" s="270">
        <f>IF(Table1[[#This Row],[Data de Início]]="","",YEAR(Table1[[#This Row],[Data de Início]]))</f>
        <v>2025</v>
      </c>
      <c r="BB452" s="270">
        <f>IF(Table1[[#This Row],[Data de Início]]="","",MONTH(Table1[[#This Row],[Data de Início]]))</f>
        <v>9</v>
      </c>
      <c r="BC452" s="270"/>
    </row>
    <row r="453" spans="2:55" ht="15" customHeight="1" x14ac:dyDescent="0.25">
      <c r="B453" s="470">
        <v>45904.4375</v>
      </c>
      <c r="C453" s="263">
        <v>45904.638888888891</v>
      </c>
      <c r="D453" s="441" cm="1">
        <f t="array" ref="D453">IFERROR(HorasUteisFabrica2Turnos(B453,C453), "")</f>
        <v>3.8333333333721384</v>
      </c>
      <c r="E453" s="265">
        <f t="shared" si="7"/>
        <v>271.04347825812579</v>
      </c>
      <c r="F453" s="266" t="s">
        <v>378</v>
      </c>
      <c r="G453" s="266" t="s">
        <v>801</v>
      </c>
      <c r="H453" s="266"/>
      <c r="I453" s="269" t="s">
        <v>750</v>
      </c>
      <c r="J453" s="267" t="s">
        <v>15</v>
      </c>
      <c r="K453" s="268">
        <v>1039</v>
      </c>
      <c r="L453" s="269" t="s">
        <v>221</v>
      </c>
      <c r="M453" s="270" t="str">
        <f>IFERROR(INDEX([1]Produtos!$C:$C,MATCH(L453,[1]Produtos!$B:$B,0)), "-")</f>
        <v>PERFUME MASCULINO 100 SILVER SCENT</v>
      </c>
      <c r="N453" s="510">
        <f>IFERROR(INDEX([1]Produtos!$E:$E,MATCH(L453,[1]Produtos!$B:$B,0)), "-")</f>
        <v>50</v>
      </c>
      <c r="O453" s="270" t="str">
        <f>IFERROR(INDEX([1]Produtos!$F:$F,MATCH(L453,[1]Produtos!$B:$B,0)), "-")</f>
        <v>ml</v>
      </c>
      <c r="P453" s="270" t="str">
        <f>IFERROR(INDEX([1]Produtos!$G:$G,MATCH(L453,[1]Produtos!$B:$B,0)), "-")</f>
        <v>MOUTIER</v>
      </c>
      <c r="Q453" s="270" t="str">
        <f>IFERROR(INDEX([1]Produtos!$H:$H,MATCH(L453,[1]Produtos!$B:$B,0)), "-")</f>
        <v>PERFUMARIA</v>
      </c>
      <c r="R453" s="270" t="str">
        <f>IFERROR(INDEX([1]Produtos!$I:$I,MATCH(L453,[1]Produtos!$B:$B,0)), "-")</f>
        <v>PERFUME</v>
      </c>
      <c r="S453" s="270" t="str">
        <f>IFERROR(INDEX([1]Produtos!$J:$J,MATCH(L453,[1]Produtos!$B:$B,0)), "-")</f>
        <v>LÍQUIDO</v>
      </c>
      <c r="T453" s="475"/>
      <c r="U453" s="270"/>
      <c r="V453" s="270"/>
      <c r="W453" s="270"/>
      <c r="X453" s="270"/>
      <c r="Y453" s="270"/>
      <c r="Z453" s="270"/>
      <c r="AA453" s="270"/>
      <c r="AB453" s="270"/>
      <c r="AC453" s="270"/>
      <c r="AD453" s="270"/>
      <c r="AE453" s="270"/>
      <c r="AF453" s="270"/>
      <c r="AG453" s="270"/>
      <c r="AH453" s="270"/>
      <c r="AI453" s="270"/>
      <c r="AJ453" s="270"/>
      <c r="AK453" s="270"/>
      <c r="AL453" s="270"/>
      <c r="AM453" s="663"/>
      <c r="AN453" s="663"/>
      <c r="AO453" s="708" t="str">
        <f>IF(OR(Table1[[#This Row],[Início Setup Envase]]="",Table1[[#This Row],[Final Setup Envase]]=""),"",Table1[[#This Row],[Final Setup Envase]]-Table1[[#This Row],[Início Setup Envase]])</f>
        <v/>
      </c>
      <c r="AP453" s="663"/>
      <c r="AQ453" s="663"/>
      <c r="AR453" s="270"/>
      <c r="AS453" s="270"/>
      <c r="AT453" s="270"/>
      <c r="AU453" s="270"/>
      <c r="AV453" s="270"/>
      <c r="AW453" s="270"/>
      <c r="AX453" s="270"/>
      <c r="AY453" s="270"/>
      <c r="AZ453" s="270"/>
      <c r="BA453" s="270">
        <f>IF(Table1[[#This Row],[Data de Início]]="","",YEAR(Table1[[#This Row],[Data de Início]]))</f>
        <v>2025</v>
      </c>
      <c r="BB453" s="270">
        <f>IF(Table1[[#This Row],[Data de Início]]="","",MONTH(Table1[[#This Row],[Data de Início]]))</f>
        <v>9</v>
      </c>
      <c r="BC453" s="270"/>
    </row>
    <row r="454" spans="2:55" ht="15" customHeight="1" x14ac:dyDescent="0.25">
      <c r="B454" s="470">
        <v>45904.4375</v>
      </c>
      <c r="C454" s="263">
        <v>45904.552083333336</v>
      </c>
      <c r="D454" s="441" cm="1">
        <f t="array" ref="D454">IFERROR(HorasUteisFabrica2Turnos(B454,C454), "")</f>
        <v>1.7500000000582077</v>
      </c>
      <c r="E454" s="265">
        <f t="shared" si="7"/>
        <v>175.42857142273641</v>
      </c>
      <c r="F454" s="266" t="s">
        <v>378</v>
      </c>
      <c r="G454" s="266" t="s">
        <v>801</v>
      </c>
      <c r="H454" s="266"/>
      <c r="I454" s="269" t="s">
        <v>749</v>
      </c>
      <c r="J454" s="267" t="s">
        <v>15</v>
      </c>
      <c r="K454" s="268">
        <v>307</v>
      </c>
      <c r="L454" s="269" t="s">
        <v>224</v>
      </c>
      <c r="M454" s="270" t="str">
        <f>IFERROR(INDEX([1]Produtos!$C:$C,MATCH(L454,[1]Produtos!$B:$B,0)), "-")</f>
        <v>PERFUME MASCULINO 104 FERRARI BLACK</v>
      </c>
      <c r="N454" s="510">
        <f>IFERROR(INDEX([1]Produtos!$E:$E,MATCH(L454,[1]Produtos!$B:$B,0)), "-")</f>
        <v>50</v>
      </c>
      <c r="O454" s="270" t="str">
        <f>IFERROR(INDEX([1]Produtos!$F:$F,MATCH(L454,[1]Produtos!$B:$B,0)), "-")</f>
        <v>ml</v>
      </c>
      <c r="P454" s="270" t="str">
        <f>IFERROR(INDEX([1]Produtos!$G:$G,MATCH(L454,[1]Produtos!$B:$B,0)), "-")</f>
        <v>MOUTIER</v>
      </c>
      <c r="Q454" s="270" t="str">
        <f>IFERROR(INDEX([1]Produtos!$H:$H,MATCH(L454,[1]Produtos!$B:$B,0)), "-")</f>
        <v>PERFUMARIA</v>
      </c>
      <c r="R454" s="270" t="str">
        <f>IFERROR(INDEX([1]Produtos!$I:$I,MATCH(L454,[1]Produtos!$B:$B,0)), "-")</f>
        <v>PERFUME</v>
      </c>
      <c r="S454" s="270" t="str">
        <f>IFERROR(INDEX([1]Produtos!$J:$J,MATCH(L454,[1]Produtos!$B:$B,0)), "-")</f>
        <v>LÍQUIDO</v>
      </c>
      <c r="T454" s="475"/>
      <c r="U454" s="270"/>
      <c r="V454" s="270"/>
      <c r="W454" s="270"/>
      <c r="X454" s="270"/>
      <c r="Y454" s="270"/>
      <c r="Z454" s="270"/>
      <c r="AA454" s="270"/>
      <c r="AB454" s="270"/>
      <c r="AC454" s="270"/>
      <c r="AD454" s="270"/>
      <c r="AE454" s="270"/>
      <c r="AF454" s="270"/>
      <c r="AG454" s="270"/>
      <c r="AH454" s="270"/>
      <c r="AI454" s="270"/>
      <c r="AJ454" s="270"/>
      <c r="AK454" s="270"/>
      <c r="AL454" s="270"/>
      <c r="AM454" s="663"/>
      <c r="AN454" s="663"/>
      <c r="AO454" s="708" t="str">
        <f>IF(OR(Table1[[#This Row],[Início Setup Envase]]="",Table1[[#This Row],[Final Setup Envase]]=""),"",Table1[[#This Row],[Final Setup Envase]]-Table1[[#This Row],[Início Setup Envase]])</f>
        <v/>
      </c>
      <c r="AP454" s="663"/>
      <c r="AQ454" s="663"/>
      <c r="AR454" s="270"/>
      <c r="AS454" s="270"/>
      <c r="AT454" s="270"/>
      <c r="AU454" s="270"/>
      <c r="AV454" s="270"/>
      <c r="AW454" s="270"/>
      <c r="AX454" s="270"/>
      <c r="AY454" s="270"/>
      <c r="AZ454" s="270"/>
      <c r="BA454" s="270">
        <f>IF(Table1[[#This Row],[Data de Início]]="","",YEAR(Table1[[#This Row],[Data de Início]]))</f>
        <v>2025</v>
      </c>
      <c r="BB454" s="270">
        <f>IF(Table1[[#This Row],[Data de Início]]="","",MONTH(Table1[[#This Row],[Data de Início]]))</f>
        <v>9</v>
      </c>
      <c r="BC454" s="270"/>
    </row>
    <row r="455" spans="2:55" ht="15" customHeight="1" x14ac:dyDescent="0.25">
      <c r="B455" s="470">
        <v>45904.568055555559</v>
      </c>
      <c r="C455" s="263">
        <v>45904.666666666664</v>
      </c>
      <c r="D455" s="441" cm="1">
        <f t="array" ref="D455">IFERROR(HorasUteisFabrica2Turnos(B455,C455), "")</f>
        <v>2.3666666665230878</v>
      </c>
      <c r="E455" s="265">
        <f t="shared" si="7"/>
        <v>141.54929578323527</v>
      </c>
      <c r="F455" s="266" t="s">
        <v>378</v>
      </c>
      <c r="G455" s="266" t="s">
        <v>801</v>
      </c>
      <c r="H455" s="266"/>
      <c r="I455" s="269" t="s">
        <v>757</v>
      </c>
      <c r="J455" s="267" t="s">
        <v>15</v>
      </c>
      <c r="K455" s="268">
        <v>335</v>
      </c>
      <c r="L455" s="269" t="s">
        <v>317</v>
      </c>
      <c r="M455" s="270" t="str">
        <f>IFERROR(INDEX([1]Produtos!$C:$C,MATCH(L455,[1]Produtos!$B:$B,0)), "-")</f>
        <v>PERFUME FEMININO 03 GOOD GIRL</v>
      </c>
      <c r="N455" s="510">
        <f>IFERROR(INDEX([1]Produtos!$E:$E,MATCH(L455,[1]Produtos!$B:$B,0)), "-")</f>
        <v>50</v>
      </c>
      <c r="O455" s="270" t="str">
        <f>IFERROR(INDEX([1]Produtos!$F:$F,MATCH(L455,[1]Produtos!$B:$B,0)), "-")</f>
        <v>ml</v>
      </c>
      <c r="P455" s="270" t="str">
        <f>IFERROR(INDEX([1]Produtos!$G:$G,MATCH(L455,[1]Produtos!$B:$B,0)), "-")</f>
        <v>MOUTIER</v>
      </c>
      <c r="Q455" s="270" t="str">
        <f>IFERROR(INDEX([1]Produtos!$H:$H,MATCH(L455,[1]Produtos!$B:$B,0)), "-")</f>
        <v>PERFUMARIA</v>
      </c>
      <c r="R455" s="270" t="str">
        <f>IFERROR(INDEX([1]Produtos!$I:$I,MATCH(L455,[1]Produtos!$B:$B,0)), "-")</f>
        <v>PERFUME</v>
      </c>
      <c r="S455" s="270" t="str">
        <f>IFERROR(INDEX([1]Produtos!$J:$J,MATCH(L455,[1]Produtos!$B:$B,0)), "-")</f>
        <v>LÍQUIDO</v>
      </c>
      <c r="T455" s="475"/>
      <c r="U455" s="270"/>
      <c r="V455" s="270"/>
      <c r="W455" s="270"/>
      <c r="X455" s="270"/>
      <c r="Y455" s="270"/>
      <c r="Z455" s="270"/>
      <c r="AA455" s="270"/>
      <c r="AB455" s="270"/>
      <c r="AC455" s="270"/>
      <c r="AD455" s="270"/>
      <c r="AE455" s="270"/>
      <c r="AF455" s="270"/>
      <c r="AG455" s="270"/>
      <c r="AH455" s="270"/>
      <c r="AI455" s="270"/>
      <c r="AJ455" s="270"/>
      <c r="AK455" s="270"/>
      <c r="AL455" s="270"/>
      <c r="AM455" s="663"/>
      <c r="AN455" s="663"/>
      <c r="AO455" s="708" t="str">
        <f>IF(OR(Table1[[#This Row],[Início Setup Envase]]="",Table1[[#This Row],[Final Setup Envase]]=""),"",Table1[[#This Row],[Final Setup Envase]]-Table1[[#This Row],[Início Setup Envase]])</f>
        <v/>
      </c>
      <c r="AP455" s="663"/>
      <c r="AQ455" s="663"/>
      <c r="AR455" s="270"/>
      <c r="AS455" s="270"/>
      <c r="AT455" s="270"/>
      <c r="AU455" s="270"/>
      <c r="AV455" s="270"/>
      <c r="AW455" s="270"/>
      <c r="AX455" s="270"/>
      <c r="AY455" s="270"/>
      <c r="AZ455" s="270"/>
      <c r="BA455" s="270">
        <f>IF(Table1[[#This Row],[Data de Início]]="","",YEAR(Table1[[#This Row],[Data de Início]]))</f>
        <v>2025</v>
      </c>
      <c r="BB455" s="270">
        <f>IF(Table1[[#This Row],[Data de Início]]="","",MONTH(Table1[[#This Row],[Data de Início]]))</f>
        <v>9</v>
      </c>
      <c r="BC455" s="270"/>
    </row>
    <row r="456" spans="2:55" ht="15" customHeight="1" x14ac:dyDescent="0.25">
      <c r="B456" s="470">
        <v>45904.604166666664</v>
      </c>
      <c r="C456" s="263">
        <v>45905.4</v>
      </c>
      <c r="D456" s="441" cm="1">
        <f t="array" ref="D456">IFERROR(HorasUteisFabrica2Turnos(B456,C456), "")</f>
        <v>5.1000000002095476</v>
      </c>
      <c r="E456" s="265">
        <f t="shared" si="7"/>
        <v>788.23529408526019</v>
      </c>
      <c r="F456" s="266" t="s">
        <v>378</v>
      </c>
      <c r="G456" s="266" t="s">
        <v>360</v>
      </c>
      <c r="H456" s="266"/>
      <c r="I456" s="269" t="s">
        <v>746</v>
      </c>
      <c r="J456" s="267" t="s">
        <v>15</v>
      </c>
      <c r="K456" s="268">
        <v>4020</v>
      </c>
      <c r="L456" s="269" t="s">
        <v>745</v>
      </c>
      <c r="M456" s="270" t="str">
        <f>IFERROR(INDEX([1]Produtos!$C:$C,MATCH(L456,[1]Produtos!$B:$B,0)), "-")</f>
        <v>HIDRATANTE GLOW TAÇA DE CHAMPAGNE</v>
      </c>
      <c r="N456" s="510">
        <f>IFERROR(INDEX([1]Produtos!$E:$E,MATCH(L456,[1]Produtos!$B:$B,0)), "-")</f>
        <v>120</v>
      </c>
      <c r="O456" s="270" t="str">
        <f>IFERROR(INDEX([1]Produtos!$F:$F,MATCH(L456,[1]Produtos!$B:$B,0)), "-")</f>
        <v>ml</v>
      </c>
      <c r="P456" s="270" t="str">
        <f>IFERROR(INDEX([1]Produtos!$G:$G,MATCH(L456,[1]Produtos!$B:$B,0)), "-")</f>
        <v>DAPOP</v>
      </c>
      <c r="Q456" s="270" t="str">
        <f>IFERROR(INDEX([1]Produtos!$H:$H,MATCH(L456,[1]Produtos!$B:$B,0)), "-")</f>
        <v>CORPORAL</v>
      </c>
      <c r="R456" s="270" t="str">
        <f>IFERROR(INDEX([1]Produtos!$I:$I,MATCH(L456,[1]Produtos!$B:$B,0)), "-")</f>
        <v>CREME HIDRATANTE</v>
      </c>
      <c r="S456" s="270" t="str">
        <f>IFERROR(INDEX([1]Produtos!$J:$J,MATCH(L456,[1]Produtos!$B:$B,0)), "-")</f>
        <v>CREMOSO</v>
      </c>
      <c r="T456" s="475"/>
      <c r="U456" s="270"/>
      <c r="V456" s="270"/>
      <c r="W456" s="270"/>
      <c r="X456" s="270"/>
      <c r="Y456" s="270"/>
      <c r="Z456" s="270"/>
      <c r="AA456" s="270"/>
      <c r="AB456" s="270"/>
      <c r="AC456" s="270"/>
      <c r="AD456" s="270"/>
      <c r="AE456" s="270"/>
      <c r="AF456" s="270"/>
      <c r="AG456" s="270"/>
      <c r="AH456" s="270"/>
      <c r="AI456" s="270"/>
      <c r="AJ456" s="270"/>
      <c r="AK456" s="270"/>
      <c r="AL456" s="270"/>
      <c r="AM456" s="663"/>
      <c r="AN456" s="663"/>
      <c r="AO456" s="708" t="str">
        <f>IF(OR(Table1[[#This Row],[Início Setup Envase]]="",Table1[[#This Row],[Final Setup Envase]]=""),"",Table1[[#This Row],[Final Setup Envase]]-Table1[[#This Row],[Início Setup Envase]])</f>
        <v/>
      </c>
      <c r="AP456" s="663"/>
      <c r="AQ456" s="663"/>
      <c r="AR456" s="270"/>
      <c r="AS456" s="270"/>
      <c r="AT456" s="270"/>
      <c r="AU456" s="270"/>
      <c r="AV456" s="270"/>
      <c r="AW456" s="270"/>
      <c r="AX456" s="270"/>
      <c r="AY456" s="270"/>
      <c r="AZ456" s="270"/>
      <c r="BA456" s="270">
        <f>IF(Table1[[#This Row],[Data de Início]]="","",YEAR(Table1[[#This Row],[Data de Início]]))</f>
        <v>2025</v>
      </c>
      <c r="BB456" s="270">
        <f>IF(Table1[[#This Row],[Data de Início]]="","",MONTH(Table1[[#This Row],[Data de Início]]))</f>
        <v>9</v>
      </c>
      <c r="BC456" s="270"/>
    </row>
    <row r="457" spans="2:55" ht="15" customHeight="1" x14ac:dyDescent="0.25">
      <c r="B457" s="470">
        <v>45904.677083333336</v>
      </c>
      <c r="C457" s="263">
        <v>45905.388888888891</v>
      </c>
      <c r="D457" s="441" cm="1">
        <f t="array" ref="D457">IFERROR(HorasUteisFabrica2Turnos(B457,C457), "")</f>
        <v>3.0833333334303461</v>
      </c>
      <c r="E457" s="265">
        <f t="shared" si="7"/>
        <v>99.56756756443481</v>
      </c>
      <c r="F457" s="266" t="s">
        <v>378</v>
      </c>
      <c r="G457" s="266" t="s">
        <v>801</v>
      </c>
      <c r="H457" s="266"/>
      <c r="I457" s="269" t="s">
        <v>758</v>
      </c>
      <c r="J457" s="267" t="s">
        <v>15</v>
      </c>
      <c r="K457" s="268">
        <v>307</v>
      </c>
      <c r="L457" s="269" t="s">
        <v>236</v>
      </c>
      <c r="M457" s="270" t="str">
        <f>IFERROR(INDEX([1]Produtos!$C:$C,MATCH(L457,[1]Produtos!$B:$B,0)), "-")</f>
        <v>PERFUME FEMININO 09 SCANDAL</v>
      </c>
      <c r="N457" s="510">
        <f>IFERROR(INDEX([1]Produtos!$E:$E,MATCH(L457,[1]Produtos!$B:$B,0)), "-")</f>
        <v>50</v>
      </c>
      <c r="O457" s="270" t="str">
        <f>IFERROR(INDEX([1]Produtos!$F:$F,MATCH(L457,[1]Produtos!$B:$B,0)), "-")</f>
        <v>ml</v>
      </c>
      <c r="P457" s="270" t="str">
        <f>IFERROR(INDEX([1]Produtos!$G:$G,MATCH(L457,[1]Produtos!$B:$B,0)), "-")</f>
        <v>MOUTIER</v>
      </c>
      <c r="Q457" s="270" t="str">
        <f>IFERROR(INDEX([1]Produtos!$H:$H,MATCH(L457,[1]Produtos!$B:$B,0)), "-")</f>
        <v>PERFUMARIA</v>
      </c>
      <c r="R457" s="270" t="str">
        <f>IFERROR(INDEX([1]Produtos!$I:$I,MATCH(L457,[1]Produtos!$B:$B,0)), "-")</f>
        <v>PERFUME</v>
      </c>
      <c r="S457" s="270" t="str">
        <f>IFERROR(INDEX([1]Produtos!$J:$J,MATCH(L457,[1]Produtos!$B:$B,0)), "-")</f>
        <v>LÍQUIDO</v>
      </c>
      <c r="T457" s="475"/>
      <c r="U457" s="270"/>
      <c r="V457" s="270"/>
      <c r="W457" s="270"/>
      <c r="X457" s="270"/>
      <c r="Y457" s="270"/>
      <c r="Z457" s="270"/>
      <c r="AA457" s="270"/>
      <c r="AB457" s="270"/>
      <c r="AC457" s="270"/>
      <c r="AD457" s="270"/>
      <c r="AE457" s="270"/>
      <c r="AF457" s="270"/>
      <c r="AG457" s="270"/>
      <c r="AH457" s="270"/>
      <c r="AI457" s="270"/>
      <c r="AJ457" s="270"/>
      <c r="AK457" s="270"/>
      <c r="AL457" s="270"/>
      <c r="AM457" s="663"/>
      <c r="AN457" s="663"/>
      <c r="AO457" s="708" t="str">
        <f>IF(OR(Table1[[#This Row],[Início Setup Envase]]="",Table1[[#This Row],[Final Setup Envase]]=""),"",Table1[[#This Row],[Final Setup Envase]]-Table1[[#This Row],[Início Setup Envase]])</f>
        <v/>
      </c>
      <c r="AP457" s="663"/>
      <c r="AQ457" s="663"/>
      <c r="AR457" s="270"/>
      <c r="AS457" s="270"/>
      <c r="AT457" s="270"/>
      <c r="AU457" s="270"/>
      <c r="AV457" s="270"/>
      <c r="AW457" s="270"/>
      <c r="AX457" s="270"/>
      <c r="AY457" s="270"/>
      <c r="AZ457" s="270"/>
      <c r="BA457" s="270">
        <f>IF(Table1[[#This Row],[Data de Início]]="","",YEAR(Table1[[#This Row],[Data de Início]]))</f>
        <v>2025</v>
      </c>
      <c r="BB457" s="270">
        <f>IF(Table1[[#This Row],[Data de Início]]="","",MONTH(Table1[[#This Row],[Data de Início]]))</f>
        <v>9</v>
      </c>
      <c r="BC457" s="270"/>
    </row>
    <row r="458" spans="2:55" ht="15" customHeight="1" x14ac:dyDescent="0.25">
      <c r="B458" s="470">
        <v>45905.388888888891</v>
      </c>
      <c r="C458" s="263">
        <v>45905.46875</v>
      </c>
      <c r="D458" s="441" cm="1">
        <f t="array" ref="D458">IFERROR(HorasUteisFabrica2Turnos(B458,C458), "")</f>
        <v>1.9166666666278616</v>
      </c>
      <c r="E458" s="265">
        <f t="shared" si="7"/>
        <v>160.17391304672117</v>
      </c>
      <c r="F458" s="266" t="s">
        <v>378</v>
      </c>
      <c r="G458" s="266" t="s">
        <v>801</v>
      </c>
      <c r="H458" s="266"/>
      <c r="I458" s="269" t="s">
        <v>759</v>
      </c>
      <c r="J458" s="267" t="s">
        <v>15</v>
      </c>
      <c r="K458" s="268">
        <v>307</v>
      </c>
      <c r="L458" s="269" t="s">
        <v>760</v>
      </c>
      <c r="M458" s="270" t="str">
        <f>IFERROR(INDEX([1]Produtos!$C:$C,MATCH(L458,[1]Produtos!$B:$B,0)), "-")</f>
        <v>PERFUME FEMININO 28 212 VIP ROSÉ</v>
      </c>
      <c r="N458" s="510">
        <f>IFERROR(INDEX([1]Produtos!$E:$E,MATCH(L458,[1]Produtos!$B:$B,0)), "-")</f>
        <v>50</v>
      </c>
      <c r="O458" s="270" t="str">
        <f>IFERROR(INDEX([1]Produtos!$F:$F,MATCH(L458,[1]Produtos!$B:$B,0)), "-")</f>
        <v>ml</v>
      </c>
      <c r="P458" s="270" t="str">
        <f>IFERROR(INDEX([1]Produtos!$G:$G,MATCH(L458,[1]Produtos!$B:$B,0)), "-")</f>
        <v>MOUTIER</v>
      </c>
      <c r="Q458" s="270" t="str">
        <f>IFERROR(INDEX([1]Produtos!$H:$H,MATCH(L458,[1]Produtos!$B:$B,0)), "-")</f>
        <v>PERFUMARIA</v>
      </c>
      <c r="R458" s="270" t="str">
        <f>IFERROR(INDEX([1]Produtos!$I:$I,MATCH(L458,[1]Produtos!$B:$B,0)), "-")</f>
        <v>PERFUME</v>
      </c>
      <c r="S458" s="270" t="str">
        <f>IFERROR(INDEX([1]Produtos!$J:$J,MATCH(L458,[1]Produtos!$B:$B,0)), "-")</f>
        <v>LÍQUIDO</v>
      </c>
      <c r="T458" s="475"/>
      <c r="U458" s="270"/>
      <c r="V458" s="270"/>
      <c r="W458" s="270"/>
      <c r="X458" s="270"/>
      <c r="Y458" s="270"/>
      <c r="Z458" s="270"/>
      <c r="AA458" s="270"/>
      <c r="AB458" s="270"/>
      <c r="AC458" s="270"/>
      <c r="AD458" s="270"/>
      <c r="AE458" s="270"/>
      <c r="AF458" s="270"/>
      <c r="AG458" s="270"/>
      <c r="AH458" s="270"/>
      <c r="AI458" s="270"/>
      <c r="AJ458" s="270"/>
      <c r="AK458" s="270"/>
      <c r="AL458" s="270"/>
      <c r="AM458" s="663"/>
      <c r="AN458" s="663"/>
      <c r="AO458" s="708" t="str">
        <f>IF(OR(Table1[[#This Row],[Início Setup Envase]]="",Table1[[#This Row],[Final Setup Envase]]=""),"",Table1[[#This Row],[Final Setup Envase]]-Table1[[#This Row],[Início Setup Envase]])</f>
        <v/>
      </c>
      <c r="AP458" s="663"/>
      <c r="AQ458" s="663"/>
      <c r="AR458" s="270"/>
      <c r="AS458" s="270"/>
      <c r="AT458" s="270"/>
      <c r="AU458" s="270"/>
      <c r="AV458" s="270"/>
      <c r="AW458" s="270"/>
      <c r="AX458" s="270"/>
      <c r="AY458" s="270"/>
      <c r="AZ458" s="270"/>
      <c r="BA458" s="270">
        <f>IF(Table1[[#This Row],[Data de Início]]="","",YEAR(Table1[[#This Row],[Data de Início]]))</f>
        <v>2025</v>
      </c>
      <c r="BB458" s="270">
        <f>IF(Table1[[#This Row],[Data de Início]]="","",MONTH(Table1[[#This Row],[Data de Início]]))</f>
        <v>9</v>
      </c>
      <c r="BC458" s="270"/>
    </row>
    <row r="459" spans="2:55" ht="15" customHeight="1" x14ac:dyDescent="0.25">
      <c r="B459" s="470">
        <v>45905.4</v>
      </c>
      <c r="C459" s="263">
        <v>45908.302083333336</v>
      </c>
      <c r="D459" s="441" cm="1">
        <f t="array" ref="D459">IFERROR(HorasUteisFabrica2Turnos(B459,C459), "")</f>
        <v>5.6500000000232831</v>
      </c>
      <c r="E459" s="265">
        <f t="shared" si="7"/>
        <v>711.50442477582908</v>
      </c>
      <c r="F459" s="266" t="s">
        <v>378</v>
      </c>
      <c r="G459" s="266" t="s">
        <v>360</v>
      </c>
      <c r="H459" s="266"/>
      <c r="I459" s="269" t="s">
        <v>748</v>
      </c>
      <c r="J459" s="267" t="s">
        <v>15</v>
      </c>
      <c r="K459" s="268">
        <v>4020</v>
      </c>
      <c r="L459" s="269" t="s">
        <v>745</v>
      </c>
      <c r="M459" s="270" t="str">
        <f>IFERROR(INDEX([1]Produtos!$C:$C,MATCH(L459,[1]Produtos!$B:$B,0)), "-")</f>
        <v>HIDRATANTE GLOW TAÇA DE CHAMPAGNE</v>
      </c>
      <c r="N459" s="510">
        <f>IFERROR(INDEX([1]Produtos!$E:$E,MATCH(L459,[1]Produtos!$B:$B,0)), "-")</f>
        <v>120</v>
      </c>
      <c r="O459" s="270" t="str">
        <f>IFERROR(INDEX([1]Produtos!$F:$F,MATCH(L459,[1]Produtos!$B:$B,0)), "-")</f>
        <v>ml</v>
      </c>
      <c r="P459" s="270" t="str">
        <f>IFERROR(INDEX([1]Produtos!$G:$G,MATCH(L459,[1]Produtos!$B:$B,0)), "-")</f>
        <v>DAPOP</v>
      </c>
      <c r="Q459" s="270" t="str">
        <f>IFERROR(INDEX([1]Produtos!$H:$H,MATCH(L459,[1]Produtos!$B:$B,0)), "-")</f>
        <v>CORPORAL</v>
      </c>
      <c r="R459" s="270" t="str">
        <f>IFERROR(INDEX([1]Produtos!$I:$I,MATCH(L459,[1]Produtos!$B:$B,0)), "-")</f>
        <v>CREME HIDRATANTE</v>
      </c>
      <c r="S459" s="270" t="str">
        <f>IFERROR(INDEX([1]Produtos!$J:$J,MATCH(L459,[1]Produtos!$B:$B,0)), "-")</f>
        <v>CREMOSO</v>
      </c>
      <c r="T459" s="475"/>
      <c r="U459" s="270"/>
      <c r="V459" s="270"/>
      <c r="W459" s="270"/>
      <c r="X459" s="270"/>
      <c r="Y459" s="270"/>
      <c r="Z459" s="270"/>
      <c r="AA459" s="270"/>
      <c r="AB459" s="270"/>
      <c r="AC459" s="270"/>
      <c r="AD459" s="270"/>
      <c r="AE459" s="270"/>
      <c r="AF459" s="270"/>
      <c r="AG459" s="270"/>
      <c r="AH459" s="270"/>
      <c r="AI459" s="270"/>
      <c r="AJ459" s="270"/>
      <c r="AK459" s="270"/>
      <c r="AL459" s="270"/>
      <c r="AM459" s="663"/>
      <c r="AN459" s="663"/>
      <c r="AO459" s="708" t="str">
        <f>IF(OR(Table1[[#This Row],[Início Setup Envase]]="",Table1[[#This Row],[Final Setup Envase]]=""),"",Table1[[#This Row],[Final Setup Envase]]-Table1[[#This Row],[Início Setup Envase]])</f>
        <v/>
      </c>
      <c r="AP459" s="663"/>
      <c r="AQ459" s="663"/>
      <c r="AR459" s="270"/>
      <c r="AS459" s="270"/>
      <c r="AT459" s="270"/>
      <c r="AU459" s="270"/>
      <c r="AV459" s="270"/>
      <c r="AW459" s="270"/>
      <c r="AX459" s="270"/>
      <c r="AY459" s="270"/>
      <c r="AZ459" s="270"/>
      <c r="BA459" s="270">
        <f>IF(Table1[[#This Row],[Data de Início]]="","",YEAR(Table1[[#This Row],[Data de Início]]))</f>
        <v>2025</v>
      </c>
      <c r="BB459" s="270">
        <f>IF(Table1[[#This Row],[Data de Início]]="","",MONTH(Table1[[#This Row],[Data de Início]]))</f>
        <v>9</v>
      </c>
      <c r="BC459" s="270"/>
    </row>
    <row r="460" spans="2:55" ht="15" customHeight="1" x14ac:dyDescent="0.25">
      <c r="B460" s="470">
        <v>45905.46875</v>
      </c>
      <c r="C460" s="263">
        <v>45905.604166666664</v>
      </c>
      <c r="D460" s="441" cm="1">
        <f t="array" ref="D460">IFERROR(HorasUteisFabrica2Turnos(B460,C460), "")</f>
        <v>2.2499999999417923</v>
      </c>
      <c r="E460" s="265">
        <f t="shared" si="7"/>
        <v>136.44444444797426</v>
      </c>
      <c r="F460" s="266" t="s">
        <v>378</v>
      </c>
      <c r="G460" s="266" t="s">
        <v>801</v>
      </c>
      <c r="H460" s="266"/>
      <c r="I460" s="269" t="s">
        <v>755</v>
      </c>
      <c r="J460" s="267" t="s">
        <v>15</v>
      </c>
      <c r="K460" s="268">
        <v>307</v>
      </c>
      <c r="L460" s="269" t="s">
        <v>756</v>
      </c>
      <c r="M460" s="270" t="str">
        <f>IFERROR(INDEX([1]Produtos!$C:$C,MATCH(L460,[1]Produtos!$B:$B,0)), "-")</f>
        <v>PERFUME FEMININO 30 FANTASY</v>
      </c>
      <c r="N460" s="510">
        <f>IFERROR(INDEX([1]Produtos!$E:$E,MATCH(L460,[1]Produtos!$B:$B,0)), "-")</f>
        <v>50</v>
      </c>
      <c r="O460" s="270" t="str">
        <f>IFERROR(INDEX([1]Produtos!$F:$F,MATCH(L460,[1]Produtos!$B:$B,0)), "-")</f>
        <v>ml</v>
      </c>
      <c r="P460" s="270" t="str">
        <f>IFERROR(INDEX([1]Produtos!$G:$G,MATCH(L460,[1]Produtos!$B:$B,0)), "-")</f>
        <v>MOUTIER</v>
      </c>
      <c r="Q460" s="270" t="str">
        <f>IFERROR(INDEX([1]Produtos!$H:$H,MATCH(L460,[1]Produtos!$B:$B,0)), "-")</f>
        <v>PERFUMARIA</v>
      </c>
      <c r="R460" s="270" t="str">
        <f>IFERROR(INDEX([1]Produtos!$I:$I,MATCH(L460,[1]Produtos!$B:$B,0)), "-")</f>
        <v>PERFUME</v>
      </c>
      <c r="S460" s="270" t="str">
        <f>IFERROR(INDEX([1]Produtos!$J:$J,MATCH(L460,[1]Produtos!$B:$B,0)), "-")</f>
        <v>LÍQUIDO</v>
      </c>
      <c r="T460" s="475"/>
      <c r="U460" s="270"/>
      <c r="V460" s="270"/>
      <c r="W460" s="270"/>
      <c r="X460" s="270"/>
      <c r="Y460" s="270"/>
      <c r="Z460" s="270"/>
      <c r="AA460" s="270"/>
      <c r="AB460" s="270"/>
      <c r="AC460" s="270"/>
      <c r="AD460" s="270"/>
      <c r="AE460" s="270"/>
      <c r="AF460" s="270"/>
      <c r="AG460" s="270"/>
      <c r="AH460" s="270"/>
      <c r="AI460" s="270"/>
      <c r="AJ460" s="270"/>
      <c r="AK460" s="270"/>
      <c r="AL460" s="270"/>
      <c r="AM460" s="663"/>
      <c r="AN460" s="663"/>
      <c r="AO460" s="708" t="str">
        <f>IF(OR(Table1[[#This Row],[Início Setup Envase]]="",Table1[[#This Row],[Final Setup Envase]]=""),"",Table1[[#This Row],[Final Setup Envase]]-Table1[[#This Row],[Início Setup Envase]])</f>
        <v/>
      </c>
      <c r="AP460" s="663"/>
      <c r="AQ460" s="663"/>
      <c r="AR460" s="270"/>
      <c r="AS460" s="270"/>
      <c r="AT460" s="270"/>
      <c r="AU460" s="270"/>
      <c r="AV460" s="270"/>
      <c r="AW460" s="270"/>
      <c r="AX460" s="270"/>
      <c r="AY460" s="270"/>
      <c r="AZ460" s="270"/>
      <c r="BA460" s="270">
        <f>IF(Table1[[#This Row],[Data de Início]]="","",YEAR(Table1[[#This Row],[Data de Início]]))</f>
        <v>2025</v>
      </c>
      <c r="BB460" s="270">
        <f>IF(Table1[[#This Row],[Data de Início]]="","",MONTH(Table1[[#This Row],[Data de Início]]))</f>
        <v>9</v>
      </c>
      <c r="BC460" s="270"/>
    </row>
    <row r="461" spans="2:55" ht="15" customHeight="1" x14ac:dyDescent="0.25">
      <c r="B461" s="470">
        <v>45905.552083333336</v>
      </c>
      <c r="C461" s="263">
        <v>45905.666666666664</v>
      </c>
      <c r="D461" s="441" cm="1">
        <f t="array" ref="D461">IFERROR(HorasUteisFabrica2Turnos(B461,C461), "")</f>
        <v>2.7499999998835847</v>
      </c>
      <c r="E461" s="265">
        <f t="shared" si="7"/>
        <v>109.09090909552722</v>
      </c>
      <c r="F461" s="266" t="s">
        <v>378</v>
      </c>
      <c r="G461" s="266" t="s">
        <v>801</v>
      </c>
      <c r="H461" s="266"/>
      <c r="I461" s="269" t="s">
        <v>751</v>
      </c>
      <c r="J461" s="267" t="s">
        <v>15</v>
      </c>
      <c r="K461" s="268">
        <v>300</v>
      </c>
      <c r="L461" s="269" t="s">
        <v>222</v>
      </c>
      <c r="M461" s="270" t="str">
        <f>IFERROR(INDEX([1]Produtos!$C:$C,MATCH(L461,[1]Produtos!$B:$B,0)), "-")</f>
        <v>PERFUME MASCULINO 102 VIP BLACK</v>
      </c>
      <c r="N461" s="510">
        <f>IFERROR(INDEX([1]Produtos!$E:$E,MATCH(L461,[1]Produtos!$B:$B,0)), "-")</f>
        <v>50</v>
      </c>
      <c r="O461" s="270" t="str">
        <f>IFERROR(INDEX([1]Produtos!$F:$F,MATCH(L461,[1]Produtos!$B:$B,0)), "-")</f>
        <v>ml</v>
      </c>
      <c r="P461" s="270" t="str">
        <f>IFERROR(INDEX([1]Produtos!$G:$G,MATCH(L461,[1]Produtos!$B:$B,0)), "-")</f>
        <v>MOUTIER</v>
      </c>
      <c r="Q461" s="270" t="str">
        <f>IFERROR(INDEX([1]Produtos!$H:$H,MATCH(L461,[1]Produtos!$B:$B,0)), "-")</f>
        <v>PERFUMARIA</v>
      </c>
      <c r="R461" s="270" t="str">
        <f>IFERROR(INDEX([1]Produtos!$I:$I,MATCH(L461,[1]Produtos!$B:$B,0)), "-")</f>
        <v>PERFUME</v>
      </c>
      <c r="S461" s="270" t="str">
        <f>IFERROR(INDEX([1]Produtos!$J:$J,MATCH(L461,[1]Produtos!$B:$B,0)), "-")</f>
        <v>LÍQUIDO</v>
      </c>
      <c r="T461" s="475"/>
      <c r="U461" s="270"/>
      <c r="V461" s="270"/>
      <c r="W461" s="270"/>
      <c r="X461" s="270"/>
      <c r="Y461" s="270"/>
      <c r="Z461" s="270"/>
      <c r="AA461" s="270"/>
      <c r="AB461" s="270"/>
      <c r="AC461" s="270"/>
      <c r="AD461" s="270"/>
      <c r="AE461" s="270"/>
      <c r="AF461" s="270"/>
      <c r="AG461" s="270"/>
      <c r="AH461" s="270"/>
      <c r="AI461" s="270"/>
      <c r="AJ461" s="270"/>
      <c r="AK461" s="270"/>
      <c r="AL461" s="270"/>
      <c r="AM461" s="663"/>
      <c r="AN461" s="663"/>
      <c r="AO461" s="708" t="str">
        <f>IF(OR(Table1[[#This Row],[Início Setup Envase]]="",Table1[[#This Row],[Final Setup Envase]]=""),"",Table1[[#This Row],[Final Setup Envase]]-Table1[[#This Row],[Início Setup Envase]])</f>
        <v/>
      </c>
      <c r="AP461" s="663"/>
      <c r="AQ461" s="663"/>
      <c r="AR461" s="270"/>
      <c r="AS461" s="270"/>
      <c r="AT461" s="270"/>
      <c r="AU461" s="270"/>
      <c r="AV461" s="270"/>
      <c r="AW461" s="270"/>
      <c r="AX461" s="270"/>
      <c r="AY461" s="270"/>
      <c r="AZ461" s="270"/>
      <c r="BA461" s="270">
        <f>IF(Table1[[#This Row],[Data de Início]]="","",YEAR(Table1[[#This Row],[Data de Início]]))</f>
        <v>2025</v>
      </c>
      <c r="BB461" s="270">
        <f>IF(Table1[[#This Row],[Data de Início]]="","",MONTH(Table1[[#This Row],[Data de Início]]))</f>
        <v>9</v>
      </c>
      <c r="BC461" s="270"/>
    </row>
    <row r="462" spans="2:55" ht="15" customHeight="1" x14ac:dyDescent="0.25">
      <c r="B462" s="470">
        <v>45908.302083333336</v>
      </c>
      <c r="C462" s="263">
        <v>45908.484027777777</v>
      </c>
      <c r="D462" s="441" cm="1">
        <f t="array" ref="D462">IFERROR(HorasUteisFabrica2Turnos(B462,C462), "")</f>
        <v>4.3666666665812954</v>
      </c>
      <c r="E462" s="265">
        <f t="shared" si="7"/>
        <v>920.61068704089928</v>
      </c>
      <c r="F462" s="266" t="s">
        <v>378</v>
      </c>
      <c r="G462" s="266" t="s">
        <v>360</v>
      </c>
      <c r="H462" s="266"/>
      <c r="I462" s="269" t="s">
        <v>744</v>
      </c>
      <c r="J462" s="267" t="s">
        <v>15</v>
      </c>
      <c r="K462" s="268">
        <v>4020</v>
      </c>
      <c r="L462" s="269" t="s">
        <v>745</v>
      </c>
      <c r="M462" s="270" t="str">
        <f>IFERROR(INDEX([1]Produtos!$C:$C,MATCH(L462,[1]Produtos!$B:$B,0)), "-")</f>
        <v>HIDRATANTE GLOW TAÇA DE CHAMPAGNE</v>
      </c>
      <c r="N462" s="510">
        <f>IFERROR(INDEX([1]Produtos!$E:$E,MATCH(L462,[1]Produtos!$B:$B,0)), "-")</f>
        <v>120</v>
      </c>
      <c r="O462" s="270" t="str">
        <f>IFERROR(INDEX([1]Produtos!$F:$F,MATCH(L462,[1]Produtos!$B:$B,0)), "-")</f>
        <v>ml</v>
      </c>
      <c r="P462" s="270" t="str">
        <f>IFERROR(INDEX([1]Produtos!$G:$G,MATCH(L462,[1]Produtos!$B:$B,0)), "-")</f>
        <v>DAPOP</v>
      </c>
      <c r="Q462" s="270" t="str">
        <f>IFERROR(INDEX([1]Produtos!$H:$H,MATCH(L462,[1]Produtos!$B:$B,0)), "-")</f>
        <v>CORPORAL</v>
      </c>
      <c r="R462" s="270" t="str">
        <f>IFERROR(INDEX([1]Produtos!$I:$I,MATCH(L462,[1]Produtos!$B:$B,0)), "-")</f>
        <v>CREME HIDRATANTE</v>
      </c>
      <c r="S462" s="270" t="str">
        <f>IFERROR(INDEX([1]Produtos!$J:$J,MATCH(L462,[1]Produtos!$B:$B,0)), "-")</f>
        <v>CREMOSO</v>
      </c>
      <c r="T462" s="475"/>
      <c r="U462" s="270"/>
      <c r="V462" s="270"/>
      <c r="W462" s="270"/>
      <c r="X462" s="270"/>
      <c r="Y462" s="270"/>
      <c r="Z462" s="270"/>
      <c r="AA462" s="270"/>
      <c r="AB462" s="270"/>
      <c r="AC462" s="270"/>
      <c r="AD462" s="270"/>
      <c r="AE462" s="270"/>
      <c r="AF462" s="270"/>
      <c r="AG462" s="270"/>
      <c r="AH462" s="270"/>
      <c r="AI462" s="270"/>
      <c r="AJ462" s="270"/>
      <c r="AK462" s="270"/>
      <c r="AL462" s="270"/>
      <c r="AM462" s="663"/>
      <c r="AN462" s="663"/>
      <c r="AO462" s="708" t="str">
        <f>IF(OR(Table1[[#This Row],[Início Setup Envase]]="",Table1[[#This Row],[Final Setup Envase]]=""),"",Table1[[#This Row],[Final Setup Envase]]-Table1[[#This Row],[Início Setup Envase]])</f>
        <v/>
      </c>
      <c r="AP462" s="663"/>
      <c r="AQ462" s="663"/>
      <c r="AR462" s="270"/>
      <c r="AS462" s="270"/>
      <c r="AT462" s="270"/>
      <c r="AU462" s="270"/>
      <c r="AV462" s="270"/>
      <c r="AW462" s="270"/>
      <c r="AX462" s="270"/>
      <c r="AY462" s="270"/>
      <c r="AZ462" s="270"/>
      <c r="BA462" s="270">
        <f>IF(Table1[[#This Row],[Data de Início]]="","",YEAR(Table1[[#This Row],[Data de Início]]))</f>
        <v>2025</v>
      </c>
      <c r="BB462" s="270">
        <f>IF(Table1[[#This Row],[Data de Início]]="","",MONTH(Table1[[#This Row],[Data de Início]]))</f>
        <v>9</v>
      </c>
      <c r="BC462" s="270"/>
    </row>
    <row r="463" spans="2:55" ht="15" customHeight="1" x14ac:dyDescent="0.25">
      <c r="B463" s="470">
        <v>45908.375</v>
      </c>
      <c r="C463" s="263">
        <v>45908.451388888891</v>
      </c>
      <c r="D463" s="441" cm="1">
        <f t="array" ref="D463">IFERROR(HorasUteisFabrica2Turnos(B463,C463), "")</f>
        <v>1.8333333333721384</v>
      </c>
      <c r="E463" s="265">
        <f t="shared" si="7"/>
        <v>170.18181817821605</v>
      </c>
      <c r="F463" s="266" t="s">
        <v>377</v>
      </c>
      <c r="G463" s="266" t="s">
        <v>774</v>
      </c>
      <c r="H463" s="266"/>
      <c r="I463" s="269" t="s">
        <v>762</v>
      </c>
      <c r="J463" s="267" t="s">
        <v>15</v>
      </c>
      <c r="K463" s="268">
        <v>312</v>
      </c>
      <c r="L463" s="269" t="s">
        <v>402</v>
      </c>
      <c r="M463" s="270" t="str">
        <f>IFERROR(INDEX([1]Produtos!$C:$C,MATCH(L463,[1]Produtos!$B:$B,0)), "-")</f>
        <v>BASE PARA PERFUME FINA BASE PREMIUM 1l</v>
      </c>
      <c r="N463" s="510">
        <f>IFERROR(INDEX([1]Produtos!$E:$E,MATCH(L463,[1]Produtos!$B:$B,0)), "-")</f>
        <v>1000</v>
      </c>
      <c r="O463" s="270" t="str">
        <f>IFERROR(INDEX([1]Produtos!$F:$F,MATCH(L463,[1]Produtos!$B:$B,0)), "-")</f>
        <v>ml</v>
      </c>
      <c r="P463" s="270" t="str">
        <f>IFERROR(INDEX([1]Produtos!$G:$G,MATCH(L463,[1]Produtos!$B:$B,0)), "-")</f>
        <v>KURYOS</v>
      </c>
      <c r="Q463" s="270" t="str">
        <f>IFERROR(INDEX([1]Produtos!$H:$H,MATCH(L463,[1]Produtos!$B:$B,0)), "-")</f>
        <v>BASE</v>
      </c>
      <c r="R463" s="270" t="str">
        <f>IFERROR(INDEX([1]Produtos!$I:$I,MATCH(L463,[1]Produtos!$B:$B,0)), "-")</f>
        <v>BASE</v>
      </c>
      <c r="S463" s="270" t="str">
        <f>IFERROR(INDEX([1]Produtos!$J:$J,MATCH(L463,[1]Produtos!$B:$B,0)), "-")</f>
        <v>LÍQUIDO</v>
      </c>
      <c r="T463" s="475"/>
      <c r="U463" s="270"/>
      <c r="V463" s="270"/>
      <c r="W463" s="270"/>
      <c r="X463" s="270"/>
      <c r="Y463" s="270"/>
      <c r="Z463" s="270"/>
      <c r="AA463" s="270"/>
      <c r="AB463" s="270"/>
      <c r="AC463" s="270"/>
      <c r="AD463" s="270"/>
      <c r="AE463" s="270"/>
      <c r="AF463" s="270"/>
      <c r="AG463" s="270"/>
      <c r="AH463" s="270"/>
      <c r="AI463" s="270"/>
      <c r="AJ463" s="270"/>
      <c r="AK463" s="270"/>
      <c r="AL463" s="270"/>
      <c r="AM463" s="663"/>
      <c r="AN463" s="663"/>
      <c r="AO463" s="708" t="str">
        <f>IF(OR(Table1[[#This Row],[Início Setup Envase]]="",Table1[[#This Row],[Final Setup Envase]]=""),"",Table1[[#This Row],[Final Setup Envase]]-Table1[[#This Row],[Início Setup Envase]])</f>
        <v/>
      </c>
      <c r="AP463" s="663"/>
      <c r="AQ463" s="663"/>
      <c r="AR463" s="270"/>
      <c r="AS463" s="270"/>
      <c r="AT463" s="270"/>
      <c r="AU463" s="270"/>
      <c r="AV463" s="270"/>
      <c r="AW463" s="270"/>
      <c r="AX463" s="270"/>
      <c r="AY463" s="270"/>
      <c r="AZ463" s="270"/>
      <c r="BA463" s="270">
        <f>IF(Table1[[#This Row],[Data de Início]]="","",YEAR(Table1[[#This Row],[Data de Início]]))</f>
        <v>2025</v>
      </c>
      <c r="BB463" s="270">
        <f>IF(Table1[[#This Row],[Data de Início]]="","",MONTH(Table1[[#This Row],[Data de Início]]))</f>
        <v>9</v>
      </c>
      <c r="BC463" s="270"/>
    </row>
    <row r="464" spans="2:55" ht="15" customHeight="1" x14ac:dyDescent="0.25">
      <c r="B464" s="470">
        <v>45908.451388888891</v>
      </c>
      <c r="C464" s="263">
        <v>45908.479166666664</v>
      </c>
      <c r="D464" s="441" cm="1">
        <f t="array" ref="D464">IFERROR(HorasUteisFabrica2Turnos(B464,C464), "")</f>
        <v>0.6666666665696539</v>
      </c>
      <c r="E464" s="265">
        <f t="shared" si="7"/>
        <v>312.00000004540198</v>
      </c>
      <c r="F464" s="266" t="s">
        <v>377</v>
      </c>
      <c r="G464" s="266" t="s">
        <v>774</v>
      </c>
      <c r="H464" s="266"/>
      <c r="I464" s="269" t="s">
        <v>761</v>
      </c>
      <c r="J464" s="267" t="s">
        <v>15</v>
      </c>
      <c r="K464" s="268">
        <v>208</v>
      </c>
      <c r="L464" s="269" t="s">
        <v>886</v>
      </c>
      <c r="M464" s="270" t="str">
        <f>IFERROR(INDEX([1]Produtos!$C:$C,MATCH(L464,[1]Produtos!$B:$B,0)), "-")</f>
        <v>BASE PARA PERFUME FINA BASE 1l</v>
      </c>
      <c r="N464" s="510">
        <f>IFERROR(INDEX([1]Produtos!$E:$E,MATCH(L464,[1]Produtos!$B:$B,0)), "-")</f>
        <v>1000</v>
      </c>
      <c r="O464" s="270" t="str">
        <f>IFERROR(INDEX([1]Produtos!$F:$F,MATCH(L464,[1]Produtos!$B:$B,0)), "-")</f>
        <v>ml</v>
      </c>
      <c r="P464" s="270" t="str">
        <f>IFERROR(INDEX([1]Produtos!$G:$G,MATCH(L464,[1]Produtos!$B:$B,0)), "-")</f>
        <v>KURYOS</v>
      </c>
      <c r="Q464" s="270" t="str">
        <f>IFERROR(INDEX([1]Produtos!$H:$H,MATCH(L464,[1]Produtos!$B:$B,0)), "-")</f>
        <v>BASE</v>
      </c>
      <c r="R464" s="270" t="str">
        <f>IFERROR(INDEX([1]Produtos!$I:$I,MATCH(L464,[1]Produtos!$B:$B,0)), "-")</f>
        <v>BASE</v>
      </c>
      <c r="S464" s="270" t="str">
        <f>IFERROR(INDEX([1]Produtos!$J:$J,MATCH(L464,[1]Produtos!$B:$B,0)), "-")</f>
        <v>LÍQUIDO</v>
      </c>
      <c r="T464" s="475"/>
      <c r="U464" s="270"/>
      <c r="V464" s="270"/>
      <c r="W464" s="270"/>
      <c r="X464" s="270"/>
      <c r="Y464" s="270"/>
      <c r="Z464" s="270"/>
      <c r="AA464" s="270"/>
      <c r="AB464" s="270"/>
      <c r="AC464" s="270"/>
      <c r="AD464" s="270"/>
      <c r="AE464" s="270"/>
      <c r="AF464" s="270"/>
      <c r="AG464" s="270"/>
      <c r="AH464" s="270"/>
      <c r="AI464" s="270"/>
      <c r="AJ464" s="270"/>
      <c r="AK464" s="270"/>
      <c r="AL464" s="270"/>
      <c r="AM464" s="663"/>
      <c r="AN464" s="663"/>
      <c r="AO464" s="708" t="str">
        <f>IF(OR(Table1[[#This Row],[Início Setup Envase]]="",Table1[[#This Row],[Final Setup Envase]]=""),"",Table1[[#This Row],[Final Setup Envase]]-Table1[[#This Row],[Início Setup Envase]])</f>
        <v/>
      </c>
      <c r="AP464" s="663"/>
      <c r="AQ464" s="663"/>
      <c r="AR464" s="270"/>
      <c r="AS464" s="270"/>
      <c r="AT464" s="270"/>
      <c r="AU464" s="270"/>
      <c r="AV464" s="270"/>
      <c r="AW464" s="270"/>
      <c r="AX464" s="270"/>
      <c r="AY464" s="270"/>
      <c r="AZ464" s="270"/>
      <c r="BA464" s="270">
        <f>IF(Table1[[#This Row],[Data de Início]]="","",YEAR(Table1[[#This Row],[Data de Início]]))</f>
        <v>2025</v>
      </c>
      <c r="BB464" s="270">
        <f>IF(Table1[[#This Row],[Data de Início]]="","",MONTH(Table1[[#This Row],[Data de Início]]))</f>
        <v>9</v>
      </c>
      <c r="BC464" s="270"/>
    </row>
    <row r="465" spans="2:55" ht="15" customHeight="1" x14ac:dyDescent="0.25">
      <c r="B465" s="470">
        <v>45908.484027777777</v>
      </c>
      <c r="C465" s="263">
        <v>45909.390277777777</v>
      </c>
      <c r="D465" s="441" cm="1">
        <f t="array" ref="D465">IFERROR(HorasUteisFabrica2Turnos(B465,C465), "")</f>
        <v>6.7500000001164153</v>
      </c>
      <c r="E465" s="265">
        <f t="shared" si="7"/>
        <v>595.55555554528416</v>
      </c>
      <c r="F465" s="266" t="s">
        <v>378</v>
      </c>
      <c r="G465" s="266" t="s">
        <v>360</v>
      </c>
      <c r="H465" s="266"/>
      <c r="I465" s="269" t="s">
        <v>747</v>
      </c>
      <c r="J465" s="267" t="s">
        <v>15</v>
      </c>
      <c r="K465" s="268">
        <v>4020</v>
      </c>
      <c r="L465" s="269" t="s">
        <v>745</v>
      </c>
      <c r="M465" s="270" t="str">
        <f>IFERROR(INDEX([1]Produtos!$C:$C,MATCH(L465,[1]Produtos!$B:$B,0)), "-")</f>
        <v>HIDRATANTE GLOW TAÇA DE CHAMPAGNE</v>
      </c>
      <c r="N465" s="510">
        <f>IFERROR(INDEX([1]Produtos!$E:$E,MATCH(L465,[1]Produtos!$B:$B,0)), "-")</f>
        <v>120</v>
      </c>
      <c r="O465" s="270" t="str">
        <f>IFERROR(INDEX([1]Produtos!$F:$F,MATCH(L465,[1]Produtos!$B:$B,0)), "-")</f>
        <v>ml</v>
      </c>
      <c r="P465" s="270" t="str">
        <f>IFERROR(INDEX([1]Produtos!$G:$G,MATCH(L465,[1]Produtos!$B:$B,0)), "-")</f>
        <v>DAPOP</v>
      </c>
      <c r="Q465" s="270" t="str">
        <f>IFERROR(INDEX([1]Produtos!$H:$H,MATCH(L465,[1]Produtos!$B:$B,0)), "-")</f>
        <v>CORPORAL</v>
      </c>
      <c r="R465" s="270" t="str">
        <f>IFERROR(INDEX([1]Produtos!$I:$I,MATCH(L465,[1]Produtos!$B:$B,0)), "-")</f>
        <v>CREME HIDRATANTE</v>
      </c>
      <c r="S465" s="270" t="str">
        <f>IFERROR(INDEX([1]Produtos!$J:$J,MATCH(L465,[1]Produtos!$B:$B,0)), "-")</f>
        <v>CREMOSO</v>
      </c>
      <c r="T465" s="475"/>
      <c r="U465" s="270"/>
      <c r="V465" s="270"/>
      <c r="W465" s="270"/>
      <c r="X465" s="270"/>
      <c r="Y465" s="270"/>
      <c r="Z465" s="270"/>
      <c r="AA465" s="270"/>
      <c r="AB465" s="270"/>
      <c r="AC465" s="270"/>
      <c r="AD465" s="270"/>
      <c r="AE465" s="270"/>
      <c r="AF465" s="270"/>
      <c r="AG465" s="270"/>
      <c r="AH465" s="270"/>
      <c r="AI465" s="270"/>
      <c r="AJ465" s="270"/>
      <c r="AK465" s="270"/>
      <c r="AL465" s="270"/>
      <c r="AM465" s="663"/>
      <c r="AN465" s="663"/>
      <c r="AO465" s="708" t="str">
        <f>IF(OR(Table1[[#This Row],[Início Setup Envase]]="",Table1[[#This Row],[Final Setup Envase]]=""),"",Table1[[#This Row],[Final Setup Envase]]-Table1[[#This Row],[Início Setup Envase]])</f>
        <v/>
      </c>
      <c r="AP465" s="663"/>
      <c r="AQ465" s="663"/>
      <c r="AR465" s="270"/>
      <c r="AS465" s="270"/>
      <c r="AT465" s="270"/>
      <c r="AU465" s="270"/>
      <c r="AV465" s="270"/>
      <c r="AW465" s="270"/>
      <c r="AX465" s="270"/>
      <c r="AY465" s="270"/>
      <c r="AZ465" s="270"/>
      <c r="BA465" s="270">
        <f>IF(Table1[[#This Row],[Data de Início]]="","",YEAR(Table1[[#This Row],[Data de Início]]))</f>
        <v>2025</v>
      </c>
      <c r="BB465" s="270">
        <f>IF(Table1[[#This Row],[Data de Início]]="","",MONTH(Table1[[#This Row],[Data de Início]]))</f>
        <v>9</v>
      </c>
      <c r="BC465" s="270"/>
    </row>
    <row r="466" spans="2:55" ht="15" customHeight="1" x14ac:dyDescent="0.25">
      <c r="B466" s="470">
        <v>45909.397222222222</v>
      </c>
      <c r="C466" s="263">
        <v>45909.645833333336</v>
      </c>
      <c r="D466" s="441" cm="1">
        <f t="array" ref="D466">IFERROR(HorasUteisFabrica2Turnos(B466,C466), "")</f>
        <v>4.9666666667326353</v>
      </c>
      <c r="E466" s="265">
        <f t="shared" si="7"/>
        <v>809.39597314361174</v>
      </c>
      <c r="F466" s="266" t="s">
        <v>378</v>
      </c>
      <c r="G466" s="266" t="s">
        <v>360</v>
      </c>
      <c r="H466" s="266"/>
      <c r="I466" s="269" t="s">
        <v>770</v>
      </c>
      <c r="J466" s="267" t="s">
        <v>15</v>
      </c>
      <c r="K466" s="268">
        <v>4020</v>
      </c>
      <c r="L466" s="269" t="s">
        <v>754</v>
      </c>
      <c r="M466" s="270" t="str">
        <f>IFERROR(INDEX([1]Produtos!$C:$C,MATCH(L466,[1]Produtos!$B:$B,0)), "-")</f>
        <v>HIDRATANTE GLOW PAIXÃO IRRESISTÍVEL</v>
      </c>
      <c r="N466" s="510">
        <f>IFERROR(INDEX([1]Produtos!$E:$E,MATCH(L466,[1]Produtos!$B:$B,0)), "-")</f>
        <v>120</v>
      </c>
      <c r="O466" s="270" t="str">
        <f>IFERROR(INDEX([1]Produtos!$F:$F,MATCH(L466,[1]Produtos!$B:$B,0)), "-")</f>
        <v>ml</v>
      </c>
      <c r="P466" s="270" t="str">
        <f>IFERROR(INDEX([1]Produtos!$G:$G,MATCH(L466,[1]Produtos!$B:$B,0)), "-")</f>
        <v>DAPOP</v>
      </c>
      <c r="Q466" s="270" t="str">
        <f>IFERROR(INDEX([1]Produtos!$H:$H,MATCH(L466,[1]Produtos!$B:$B,0)), "-")</f>
        <v>CORPORAL</v>
      </c>
      <c r="R466" s="270" t="str">
        <f>IFERROR(INDEX([1]Produtos!$I:$I,MATCH(L466,[1]Produtos!$B:$B,0)), "-")</f>
        <v>CREME HIDRATANTE</v>
      </c>
      <c r="S466" s="270" t="str">
        <f>IFERROR(INDEX([1]Produtos!$J:$J,MATCH(L466,[1]Produtos!$B:$B,0)), "-")</f>
        <v>CREMOSO</v>
      </c>
      <c r="T466" s="475"/>
      <c r="U466" s="270"/>
      <c r="V466" s="270"/>
      <c r="W466" s="270"/>
      <c r="X466" s="270"/>
      <c r="Y466" s="270"/>
      <c r="Z466" s="270"/>
      <c r="AA466" s="270"/>
      <c r="AB466" s="270"/>
      <c r="AC466" s="270"/>
      <c r="AD466" s="270"/>
      <c r="AE466" s="270"/>
      <c r="AF466" s="270"/>
      <c r="AG466" s="270"/>
      <c r="AH466" s="270"/>
      <c r="AI466" s="270"/>
      <c r="AJ466" s="270"/>
      <c r="AK466" s="270"/>
      <c r="AL466" s="270"/>
      <c r="AM466" s="663"/>
      <c r="AN466" s="663"/>
      <c r="AO466" s="708" t="str">
        <f>IF(OR(Table1[[#This Row],[Início Setup Envase]]="",Table1[[#This Row],[Final Setup Envase]]=""),"",Table1[[#This Row],[Final Setup Envase]]-Table1[[#This Row],[Início Setup Envase]])</f>
        <v/>
      </c>
      <c r="AP466" s="663"/>
      <c r="AQ466" s="663"/>
      <c r="AR466" s="270"/>
      <c r="AS466" s="270"/>
      <c r="AT466" s="270"/>
      <c r="AU466" s="270"/>
      <c r="AV466" s="270"/>
      <c r="AW466" s="270"/>
      <c r="AX466" s="270"/>
      <c r="AY466" s="270"/>
      <c r="AZ466" s="270"/>
      <c r="BA466" s="270">
        <f>IF(Table1[[#This Row],[Data de Início]]="","",YEAR(Table1[[#This Row],[Data de Início]]))</f>
        <v>2025</v>
      </c>
      <c r="BB466" s="270">
        <f>IF(Table1[[#This Row],[Data de Início]]="","",MONTH(Table1[[#This Row],[Data de Início]]))</f>
        <v>9</v>
      </c>
      <c r="BC466" s="270"/>
    </row>
    <row r="467" spans="2:55" ht="15" customHeight="1" x14ac:dyDescent="0.25">
      <c r="B467" s="470">
        <v>45909.645833333336</v>
      </c>
      <c r="C467" s="263">
        <v>45910.416666666664</v>
      </c>
      <c r="D467" s="441" cm="1">
        <f t="array" ref="D467">IFERROR(HorasUteisFabrica2Turnos(B467,C467), "")</f>
        <v>4.5</v>
      </c>
      <c r="E467" s="265">
        <f t="shared" si="7"/>
        <v>893.33333333333337</v>
      </c>
      <c r="F467" s="266" t="s">
        <v>378</v>
      </c>
      <c r="G467" s="266" t="s">
        <v>360</v>
      </c>
      <c r="H467" s="266"/>
      <c r="I467" s="269" t="s">
        <v>771</v>
      </c>
      <c r="J467" s="267" t="s">
        <v>15</v>
      </c>
      <c r="K467" s="268">
        <v>4020</v>
      </c>
      <c r="L467" s="269" t="s">
        <v>754</v>
      </c>
      <c r="M467" s="270" t="str">
        <f>IFERROR(INDEX([1]Produtos!$C:$C,MATCH(L467,[1]Produtos!$B:$B,0)), "-")</f>
        <v>HIDRATANTE GLOW PAIXÃO IRRESISTÍVEL</v>
      </c>
      <c r="N467" s="510">
        <f>IFERROR(INDEX([1]Produtos!$E:$E,MATCH(L467,[1]Produtos!$B:$B,0)), "-")</f>
        <v>120</v>
      </c>
      <c r="O467" s="270" t="str">
        <f>IFERROR(INDEX([1]Produtos!$F:$F,MATCH(L467,[1]Produtos!$B:$B,0)), "-")</f>
        <v>ml</v>
      </c>
      <c r="P467" s="270" t="str">
        <f>IFERROR(INDEX([1]Produtos!$G:$G,MATCH(L467,[1]Produtos!$B:$B,0)), "-")</f>
        <v>DAPOP</v>
      </c>
      <c r="Q467" s="270" t="str">
        <f>IFERROR(INDEX([1]Produtos!$H:$H,MATCH(L467,[1]Produtos!$B:$B,0)), "-")</f>
        <v>CORPORAL</v>
      </c>
      <c r="R467" s="270" t="str">
        <f>IFERROR(INDEX([1]Produtos!$I:$I,MATCH(L467,[1]Produtos!$B:$B,0)), "-")</f>
        <v>CREME HIDRATANTE</v>
      </c>
      <c r="S467" s="270" t="str">
        <f>IFERROR(INDEX([1]Produtos!$J:$J,MATCH(L467,[1]Produtos!$B:$B,0)), "-")</f>
        <v>CREMOSO</v>
      </c>
      <c r="T467" s="475"/>
      <c r="U467" s="270"/>
      <c r="V467" s="270"/>
      <c r="W467" s="270"/>
      <c r="X467" s="270"/>
      <c r="Y467" s="270"/>
      <c r="Z467" s="270"/>
      <c r="AA467" s="270"/>
      <c r="AB467" s="270"/>
      <c r="AC467" s="270"/>
      <c r="AD467" s="270"/>
      <c r="AE467" s="270"/>
      <c r="AF467" s="270"/>
      <c r="AG467" s="270"/>
      <c r="AH467" s="270"/>
      <c r="AI467" s="270"/>
      <c r="AJ467" s="270"/>
      <c r="AK467" s="270"/>
      <c r="AL467" s="270"/>
      <c r="AM467" s="663"/>
      <c r="AN467" s="663"/>
      <c r="AO467" s="708" t="str">
        <f>IF(OR(Table1[[#This Row],[Início Setup Envase]]="",Table1[[#This Row],[Final Setup Envase]]=""),"",Table1[[#This Row],[Final Setup Envase]]-Table1[[#This Row],[Início Setup Envase]])</f>
        <v/>
      </c>
      <c r="AP467" s="663"/>
      <c r="AQ467" s="663"/>
      <c r="AR467" s="270"/>
      <c r="AS467" s="270"/>
      <c r="AT467" s="270"/>
      <c r="AU467" s="270"/>
      <c r="AV467" s="270"/>
      <c r="AW467" s="270"/>
      <c r="AX467" s="270"/>
      <c r="AY467" s="270"/>
      <c r="AZ467" s="270"/>
      <c r="BA467" s="270">
        <f>IF(Table1[[#This Row],[Data de Início]]="","",YEAR(Table1[[#This Row],[Data de Início]]))</f>
        <v>2025</v>
      </c>
      <c r="BB467" s="270">
        <f>IF(Table1[[#This Row],[Data de Início]]="","",MONTH(Table1[[#This Row],[Data de Início]]))</f>
        <v>9</v>
      </c>
      <c r="BC467" s="270"/>
    </row>
    <row r="468" spans="2:55" ht="15" customHeight="1" x14ac:dyDescent="0.25">
      <c r="B468" s="470">
        <v>45910.416666666664</v>
      </c>
      <c r="C468" s="263">
        <v>45910.633333333331</v>
      </c>
      <c r="D468" s="441" cm="1">
        <f t="array" ref="D468">IFERROR(HorasUteisFabrica2Turnos(B468,C468), "")</f>
        <v>4.2000000000116415</v>
      </c>
      <c r="E468" s="265">
        <f t="shared" si="7"/>
        <v>957.14285714020411</v>
      </c>
      <c r="F468" s="266" t="s">
        <v>378</v>
      </c>
      <c r="G468" s="266" t="s">
        <v>360</v>
      </c>
      <c r="H468" s="266"/>
      <c r="I468" s="269" t="s">
        <v>772</v>
      </c>
      <c r="J468" s="267" t="s">
        <v>15</v>
      </c>
      <c r="K468" s="268">
        <v>4020</v>
      </c>
      <c r="L468" s="269" t="s">
        <v>754</v>
      </c>
      <c r="M468" s="270" t="str">
        <f>IFERROR(INDEX([1]Produtos!$C:$C,MATCH(L468,[1]Produtos!$B:$B,0)), "-")</f>
        <v>HIDRATANTE GLOW PAIXÃO IRRESISTÍVEL</v>
      </c>
      <c r="N468" s="510">
        <f>IFERROR(INDEX([1]Produtos!$E:$E,MATCH(L468,[1]Produtos!$B:$B,0)), "-")</f>
        <v>120</v>
      </c>
      <c r="O468" s="270" t="str">
        <f>IFERROR(INDEX([1]Produtos!$F:$F,MATCH(L468,[1]Produtos!$B:$B,0)), "-")</f>
        <v>ml</v>
      </c>
      <c r="P468" s="270" t="str">
        <f>IFERROR(INDEX([1]Produtos!$G:$G,MATCH(L468,[1]Produtos!$B:$B,0)), "-")</f>
        <v>DAPOP</v>
      </c>
      <c r="Q468" s="270" t="str">
        <f>IFERROR(INDEX([1]Produtos!$H:$H,MATCH(L468,[1]Produtos!$B:$B,0)), "-")</f>
        <v>CORPORAL</v>
      </c>
      <c r="R468" s="270" t="str">
        <f>IFERROR(INDEX([1]Produtos!$I:$I,MATCH(L468,[1]Produtos!$B:$B,0)), "-")</f>
        <v>CREME HIDRATANTE</v>
      </c>
      <c r="S468" s="270" t="str">
        <f>IFERROR(INDEX([1]Produtos!$J:$J,MATCH(L468,[1]Produtos!$B:$B,0)), "-")</f>
        <v>CREMOSO</v>
      </c>
      <c r="T468" s="475"/>
      <c r="U468" s="270"/>
      <c r="V468" s="270"/>
      <c r="W468" s="270"/>
      <c r="X468" s="270"/>
      <c r="Y468" s="270"/>
      <c r="Z468" s="270"/>
      <c r="AA468" s="270"/>
      <c r="AB468" s="270"/>
      <c r="AC468" s="270"/>
      <c r="AD468" s="270"/>
      <c r="AE468" s="270"/>
      <c r="AF468" s="270"/>
      <c r="AG468" s="270"/>
      <c r="AH468" s="270"/>
      <c r="AI468" s="270"/>
      <c r="AJ468" s="270"/>
      <c r="AK468" s="270"/>
      <c r="AL468" s="270"/>
      <c r="AM468" s="663"/>
      <c r="AN468" s="663"/>
      <c r="AO468" s="708" t="str">
        <f>IF(OR(Table1[[#This Row],[Início Setup Envase]]="",Table1[[#This Row],[Final Setup Envase]]=""),"",Table1[[#This Row],[Final Setup Envase]]-Table1[[#This Row],[Início Setup Envase]])</f>
        <v/>
      </c>
      <c r="AP468" s="663"/>
      <c r="AQ468" s="663"/>
      <c r="AR468" s="270"/>
      <c r="AS468" s="270"/>
      <c r="AT468" s="270"/>
      <c r="AU468" s="270"/>
      <c r="AV468" s="270"/>
      <c r="AW468" s="270"/>
      <c r="AX468" s="270"/>
      <c r="AY468" s="270"/>
      <c r="AZ468" s="270"/>
      <c r="BA468" s="270">
        <f>IF(Table1[[#This Row],[Data de Início]]="","",YEAR(Table1[[#This Row],[Data de Início]]))</f>
        <v>2025</v>
      </c>
      <c r="BB468" s="270">
        <f>IF(Table1[[#This Row],[Data de Início]]="","",MONTH(Table1[[#This Row],[Data de Início]]))</f>
        <v>9</v>
      </c>
      <c r="BC468" s="270"/>
    </row>
    <row r="469" spans="2:55" ht="15" customHeight="1" x14ac:dyDescent="0.25">
      <c r="B469" s="470">
        <v>45910.633333333331</v>
      </c>
      <c r="C469" s="263">
        <v>45910.701388888891</v>
      </c>
      <c r="D469" s="441" cm="1">
        <f t="array" ref="D469">IFERROR(HorasUteisFabrica2Turnos(B469,C469), "")</f>
        <v>1.6333333334187046</v>
      </c>
      <c r="E469" s="265">
        <f t="shared" si="7"/>
        <v>1359.1836733983457</v>
      </c>
      <c r="F469" s="266" t="s">
        <v>378</v>
      </c>
      <c r="G469" s="266" t="s">
        <v>360</v>
      </c>
      <c r="H469" s="266"/>
      <c r="I469" s="269" t="s">
        <v>773</v>
      </c>
      <c r="J469" s="267" t="s">
        <v>15</v>
      </c>
      <c r="K469" s="268">
        <v>2220</v>
      </c>
      <c r="L469" s="269" t="s">
        <v>754</v>
      </c>
      <c r="M469" s="270" t="str">
        <f>IFERROR(INDEX([1]Produtos!$C:$C,MATCH(L469,[1]Produtos!$B:$B,0)), "-")</f>
        <v>HIDRATANTE GLOW PAIXÃO IRRESISTÍVEL</v>
      </c>
      <c r="N469" s="510">
        <f>IFERROR(INDEX([1]Produtos!$E:$E,MATCH(L469,[1]Produtos!$B:$B,0)), "-")</f>
        <v>120</v>
      </c>
      <c r="O469" s="270" t="str">
        <f>IFERROR(INDEX([1]Produtos!$F:$F,MATCH(L469,[1]Produtos!$B:$B,0)), "-")</f>
        <v>ml</v>
      </c>
      <c r="P469" s="270" t="str">
        <f>IFERROR(INDEX([1]Produtos!$G:$G,MATCH(L469,[1]Produtos!$B:$B,0)), "-")</f>
        <v>DAPOP</v>
      </c>
      <c r="Q469" s="270" t="str">
        <f>IFERROR(INDEX([1]Produtos!$H:$H,MATCH(L469,[1]Produtos!$B:$B,0)), "-")</f>
        <v>CORPORAL</v>
      </c>
      <c r="R469" s="270" t="str">
        <f>IFERROR(INDEX([1]Produtos!$I:$I,MATCH(L469,[1]Produtos!$B:$B,0)), "-")</f>
        <v>CREME HIDRATANTE</v>
      </c>
      <c r="S469" s="270" t="str">
        <f>IFERROR(INDEX([1]Produtos!$J:$J,MATCH(L469,[1]Produtos!$B:$B,0)), "-")</f>
        <v>CREMOSO</v>
      </c>
      <c r="T469" s="475"/>
      <c r="U469" s="270"/>
      <c r="V469" s="270"/>
      <c r="W469" s="270"/>
      <c r="X469" s="270"/>
      <c r="Y469" s="270"/>
      <c r="Z469" s="270"/>
      <c r="AA469" s="270"/>
      <c r="AB469" s="270"/>
      <c r="AC469" s="270"/>
      <c r="AD469" s="270"/>
      <c r="AE469" s="270"/>
      <c r="AF469" s="270"/>
      <c r="AG469" s="270"/>
      <c r="AH469" s="270"/>
      <c r="AI469" s="270"/>
      <c r="AJ469" s="270"/>
      <c r="AK469" s="270"/>
      <c r="AL469" s="270"/>
      <c r="AM469" s="663"/>
      <c r="AN469" s="663"/>
      <c r="AO469" s="708" t="str">
        <f>IF(OR(Table1[[#This Row],[Início Setup Envase]]="",Table1[[#This Row],[Final Setup Envase]]=""),"",Table1[[#This Row],[Final Setup Envase]]-Table1[[#This Row],[Início Setup Envase]])</f>
        <v/>
      </c>
      <c r="AP469" s="663"/>
      <c r="AQ469" s="663"/>
      <c r="AR469" s="270"/>
      <c r="AS469" s="270"/>
      <c r="AT469" s="270"/>
      <c r="AU469" s="270"/>
      <c r="AV469" s="270"/>
      <c r="AW469" s="270"/>
      <c r="AX469" s="270"/>
      <c r="AY469" s="270"/>
      <c r="AZ469" s="270"/>
      <c r="BA469" s="270">
        <f>IF(Table1[[#This Row],[Data de Início]]="","",YEAR(Table1[[#This Row],[Data de Início]]))</f>
        <v>2025</v>
      </c>
      <c r="BB469" s="270">
        <f>IF(Table1[[#This Row],[Data de Início]]="","",MONTH(Table1[[#This Row],[Data de Início]]))</f>
        <v>9</v>
      </c>
      <c r="BC469" s="270"/>
    </row>
    <row r="470" spans="2:55" ht="15" customHeight="1" x14ac:dyDescent="0.25">
      <c r="B470" s="470">
        <v>45911.420138888891</v>
      </c>
      <c r="C470" s="263">
        <v>45911.611111111109</v>
      </c>
      <c r="D470" s="441" cm="1">
        <f t="array" ref="D470">IFERROR(HorasUteisFabrica2Turnos(B470,C470), "")</f>
        <v>3.5833333332557231</v>
      </c>
      <c r="E470" s="265">
        <f t="shared" si="7"/>
        <v>1289.30232560932</v>
      </c>
      <c r="F470" s="266" t="s">
        <v>377</v>
      </c>
      <c r="G470" s="266" t="s">
        <v>776</v>
      </c>
      <c r="H470" s="266"/>
      <c r="I470" s="269" t="s">
        <v>769</v>
      </c>
      <c r="J470" s="267" t="s">
        <v>15</v>
      </c>
      <c r="K470" s="268">
        <v>4620</v>
      </c>
      <c r="L470" s="269" t="s">
        <v>768</v>
      </c>
      <c r="M470" s="270" t="str">
        <f>IFERROR(INDEX([1]Produtos!$C:$C,MATCH(L470,[1]Produtos!$B:$B,0)), "-")</f>
        <v>BODY SPLASH DAPOP HONEY BLOOM</v>
      </c>
      <c r="N470" s="510">
        <f>IFERROR(INDEX([1]Produtos!$E:$E,MATCH(L470,[1]Produtos!$B:$B,0)), "-")</f>
        <v>120</v>
      </c>
      <c r="O470" s="270" t="str">
        <f>IFERROR(INDEX([1]Produtos!$F:$F,MATCH(L470,[1]Produtos!$B:$B,0)), "-")</f>
        <v>ml</v>
      </c>
      <c r="P470" s="270" t="str">
        <f>IFERROR(INDEX([1]Produtos!$G:$G,MATCH(L470,[1]Produtos!$B:$B,0)), "-")</f>
        <v>DAPOP</v>
      </c>
      <c r="Q470" s="270" t="str">
        <f>IFERROR(INDEX([1]Produtos!$H:$H,MATCH(L470,[1]Produtos!$B:$B,0)), "-")</f>
        <v>PERFUMARIA</v>
      </c>
      <c r="R470" s="270" t="str">
        <f>IFERROR(INDEX([1]Produtos!$I:$I,MATCH(L470,[1]Produtos!$B:$B,0)), "-")</f>
        <v>BODY SPLASH</v>
      </c>
      <c r="S470" s="270" t="str">
        <f>IFERROR(INDEX([1]Produtos!$J:$J,MATCH(L470,[1]Produtos!$B:$B,0)), "-")</f>
        <v>LÍQUIDO</v>
      </c>
      <c r="T470" s="475"/>
      <c r="U470" s="270"/>
      <c r="V470" s="270"/>
      <c r="W470" s="270"/>
      <c r="X470" s="270"/>
      <c r="Y470" s="270"/>
      <c r="Z470" s="270"/>
      <c r="AA470" s="270"/>
      <c r="AB470" s="270"/>
      <c r="AC470" s="270"/>
      <c r="AD470" s="270"/>
      <c r="AE470" s="270"/>
      <c r="AF470" s="270"/>
      <c r="AG470" s="270"/>
      <c r="AH470" s="270"/>
      <c r="AI470" s="270"/>
      <c r="AJ470" s="270"/>
      <c r="AK470" s="270"/>
      <c r="AL470" s="270"/>
      <c r="AM470" s="663"/>
      <c r="AN470" s="663"/>
      <c r="AO470" s="708" t="str">
        <f>IF(OR(Table1[[#This Row],[Início Setup Envase]]="",Table1[[#This Row],[Final Setup Envase]]=""),"",Table1[[#This Row],[Final Setup Envase]]-Table1[[#This Row],[Início Setup Envase]])</f>
        <v/>
      </c>
      <c r="AP470" s="663"/>
      <c r="AQ470" s="663"/>
      <c r="AR470" s="270"/>
      <c r="AS470" s="270"/>
      <c r="AT470" s="270"/>
      <c r="AU470" s="270"/>
      <c r="AV470" s="270"/>
      <c r="AW470" s="270"/>
      <c r="AX470" s="270"/>
      <c r="AY470" s="270"/>
      <c r="AZ470" s="270"/>
      <c r="BA470" s="270">
        <f>IF(Table1[[#This Row],[Data de Início]]="","",YEAR(Table1[[#This Row],[Data de Início]]))</f>
        <v>2025</v>
      </c>
      <c r="BB470" s="270">
        <f>IF(Table1[[#This Row],[Data de Início]]="","",MONTH(Table1[[#This Row],[Data de Início]]))</f>
        <v>9</v>
      </c>
      <c r="BC470" s="270"/>
    </row>
    <row r="471" spans="2:55" ht="15" customHeight="1" x14ac:dyDescent="0.25">
      <c r="B471" s="470">
        <v>45914.611111111109</v>
      </c>
      <c r="C471" s="263">
        <v>45915.625</v>
      </c>
      <c r="D471" s="441" cm="1">
        <f t="array" ref="D471">IFERROR(HorasUteisFabrica2Turnos(B471,C471), "")</f>
        <v>7.0000000000582077</v>
      </c>
      <c r="E471" s="265">
        <f t="shared" si="7"/>
        <v>668.57142856586916</v>
      </c>
      <c r="F471" s="266" t="s">
        <v>377</v>
      </c>
      <c r="G471" s="266" t="s">
        <v>776</v>
      </c>
      <c r="H471" s="266"/>
      <c r="I471" s="269" t="s">
        <v>767</v>
      </c>
      <c r="J471" s="267" t="s">
        <v>15</v>
      </c>
      <c r="K471" s="268">
        <v>4680</v>
      </c>
      <c r="L471" s="269" t="s">
        <v>768</v>
      </c>
      <c r="M471" s="270" t="str">
        <f>IFERROR(INDEX([1]Produtos!$C:$C,MATCH(L471,[1]Produtos!$B:$B,0)), "-")</f>
        <v>BODY SPLASH DAPOP HONEY BLOOM</v>
      </c>
      <c r="N471" s="510">
        <f>IFERROR(INDEX([1]Produtos!$E:$E,MATCH(L471,[1]Produtos!$B:$B,0)), "-")</f>
        <v>120</v>
      </c>
      <c r="O471" s="270" t="str">
        <f>IFERROR(INDEX([1]Produtos!$F:$F,MATCH(L471,[1]Produtos!$B:$B,0)), "-")</f>
        <v>ml</v>
      </c>
      <c r="P471" s="270" t="str">
        <f>IFERROR(INDEX([1]Produtos!$G:$G,MATCH(L471,[1]Produtos!$B:$B,0)), "-")</f>
        <v>DAPOP</v>
      </c>
      <c r="Q471" s="270" t="str">
        <f>IFERROR(INDEX([1]Produtos!$H:$H,MATCH(L471,[1]Produtos!$B:$B,0)), "-")</f>
        <v>PERFUMARIA</v>
      </c>
      <c r="R471" s="270" t="str">
        <f>IFERROR(INDEX([1]Produtos!$I:$I,MATCH(L471,[1]Produtos!$B:$B,0)), "-")</f>
        <v>BODY SPLASH</v>
      </c>
      <c r="S471" s="270" t="str">
        <f>IFERROR(INDEX([1]Produtos!$J:$J,MATCH(L471,[1]Produtos!$B:$B,0)), "-")</f>
        <v>LÍQUIDO</v>
      </c>
      <c r="T471" s="475"/>
      <c r="U471" s="270"/>
      <c r="V471" s="270"/>
      <c r="W471" s="270"/>
      <c r="X471" s="270"/>
      <c r="Y471" s="270"/>
      <c r="Z471" s="270"/>
      <c r="AA471" s="270"/>
      <c r="AB471" s="270"/>
      <c r="AC471" s="270"/>
      <c r="AD471" s="270"/>
      <c r="AE471" s="270"/>
      <c r="AF471" s="270"/>
      <c r="AG471" s="270"/>
      <c r="AH471" s="270"/>
      <c r="AI471" s="270"/>
      <c r="AJ471" s="270"/>
      <c r="AK471" s="270"/>
      <c r="AL471" s="270"/>
      <c r="AM471" s="663"/>
      <c r="AN471" s="663"/>
      <c r="AO471" s="708" t="str">
        <f>IF(OR(Table1[[#This Row],[Início Setup Envase]]="",Table1[[#This Row],[Final Setup Envase]]=""),"",Table1[[#This Row],[Final Setup Envase]]-Table1[[#This Row],[Início Setup Envase]])</f>
        <v/>
      </c>
      <c r="AP471" s="663"/>
      <c r="AQ471" s="663"/>
      <c r="AR471" s="270"/>
      <c r="AS471" s="270"/>
      <c r="AT471" s="270"/>
      <c r="AU471" s="270"/>
      <c r="AV471" s="270"/>
      <c r="AW471" s="270"/>
      <c r="AX471" s="270"/>
      <c r="AY471" s="270"/>
      <c r="AZ471" s="270"/>
      <c r="BA471" s="270">
        <f>IF(Table1[[#This Row],[Data de Início]]="","",YEAR(Table1[[#This Row],[Data de Início]]))</f>
        <v>2025</v>
      </c>
      <c r="BB471" s="270">
        <f>IF(Table1[[#This Row],[Data de Início]]="","",MONTH(Table1[[#This Row],[Data de Início]]))</f>
        <v>9</v>
      </c>
      <c r="BC471" s="270"/>
    </row>
    <row r="472" spans="2:55" ht="15" customHeight="1" x14ac:dyDescent="0.25">
      <c r="B472" s="470">
        <v>45916.652777777781</v>
      </c>
      <c r="C472" s="263">
        <v>45917.359027777777</v>
      </c>
      <c r="D472" s="441" cm="1">
        <f t="array" ref="D472">IFERROR(HorasUteisFabrica2Turnos(B472,C472), "")</f>
        <v>2.9500000000116415</v>
      </c>
      <c r="E472" s="265">
        <f t="shared" si="7"/>
        <v>846.10169491191527</v>
      </c>
      <c r="F472" s="266" t="s">
        <v>378</v>
      </c>
      <c r="G472" s="266" t="s">
        <v>712</v>
      </c>
      <c r="H472" s="266"/>
      <c r="I472" s="269" t="s">
        <v>765</v>
      </c>
      <c r="J472" s="267" t="s">
        <v>15</v>
      </c>
      <c r="K472" s="268">
        <v>2496</v>
      </c>
      <c r="L472" s="269" t="s">
        <v>984</v>
      </c>
      <c r="M472" s="270" t="str">
        <f>IFERROR(INDEX([1]Produtos!$C:$C,MATCH(L472,[1]Produtos!$B:$B,0)), "-")</f>
        <v>LOÇÃO HIDRATANTE SAIND</v>
      </c>
      <c r="N472" s="510">
        <f>IFERROR(INDEX([1]Produtos!$E:$E,MATCH(L472,[1]Produtos!$B:$B,0)), "-")</f>
        <v>180</v>
      </c>
      <c r="O472" s="270" t="str">
        <f>IFERROR(INDEX([1]Produtos!$F:$F,MATCH(L472,[1]Produtos!$B:$B,0)), "-")</f>
        <v>ml</v>
      </c>
      <c r="P472" s="270" t="str">
        <f>IFERROR(INDEX([1]Produtos!$G:$G,MATCH(L472,[1]Produtos!$B:$B,0)), "-")</f>
        <v>ISA BEAUTY</v>
      </c>
      <c r="Q472" s="270" t="str">
        <f>IFERROR(INDEX([1]Produtos!$H:$H,MATCH(L472,[1]Produtos!$B:$B,0)), "-")</f>
        <v>CORPORAL</v>
      </c>
      <c r="R472" s="270" t="str">
        <f>IFERROR(INDEX([1]Produtos!$I:$I,MATCH(L472,[1]Produtos!$B:$B,0)), "-")</f>
        <v>CREME HIDRATANTE</v>
      </c>
      <c r="S472" s="270" t="str">
        <f>IFERROR(INDEX([1]Produtos!$J:$J,MATCH(L472,[1]Produtos!$B:$B,0)), "-")</f>
        <v>CREMOSO</v>
      </c>
      <c r="T472" s="475"/>
      <c r="U472" s="270"/>
      <c r="V472" s="270"/>
      <c r="W472" s="270"/>
      <c r="X472" s="270"/>
      <c r="Y472" s="270"/>
      <c r="Z472" s="270"/>
      <c r="AA472" s="270"/>
      <c r="AB472" s="270"/>
      <c r="AC472" s="270"/>
      <c r="AD472" s="270"/>
      <c r="AE472" s="270"/>
      <c r="AF472" s="270"/>
      <c r="AG472" s="270"/>
      <c r="AH472" s="270"/>
      <c r="AI472" s="270"/>
      <c r="AJ472" s="270"/>
      <c r="AK472" s="270"/>
      <c r="AL472" s="270"/>
      <c r="AM472" s="663"/>
      <c r="AN472" s="663"/>
      <c r="AO472" s="708" t="str">
        <f>IF(OR(Table1[[#This Row],[Início Setup Envase]]="",Table1[[#This Row],[Final Setup Envase]]=""),"",Table1[[#This Row],[Final Setup Envase]]-Table1[[#This Row],[Início Setup Envase]])</f>
        <v/>
      </c>
      <c r="AP472" s="663"/>
      <c r="AQ472" s="663"/>
      <c r="AR472" s="270"/>
      <c r="AS472" s="270"/>
      <c r="AT472" s="270"/>
      <c r="AU472" s="270"/>
      <c r="AV472" s="270"/>
      <c r="AW472" s="270"/>
      <c r="AX472" s="270"/>
      <c r="AY472" s="270"/>
      <c r="AZ472" s="270"/>
      <c r="BA472" s="270">
        <f>IF(Table1[[#This Row],[Data de Início]]="","",YEAR(Table1[[#This Row],[Data de Início]]))</f>
        <v>2025</v>
      </c>
      <c r="BB472" s="270">
        <f>IF(Table1[[#This Row],[Data de Início]]="","",MONTH(Table1[[#This Row],[Data de Início]]))</f>
        <v>9</v>
      </c>
      <c r="BC472" s="270"/>
    </row>
    <row r="473" spans="2:55" ht="15" customHeight="1" x14ac:dyDescent="0.25">
      <c r="B473" s="470">
        <v>45917.361111111109</v>
      </c>
      <c r="C473" s="263">
        <v>45917.472222222219</v>
      </c>
      <c r="D473" s="441" cm="1">
        <f t="array" ref="D473">IFERROR(HorasUteisFabrica2Turnos(B473,C473), "")</f>
        <v>2.6666666666278616</v>
      </c>
      <c r="E473" s="265">
        <f t="shared" si="7"/>
        <v>876.75000001275839</v>
      </c>
      <c r="F473" s="266" t="s">
        <v>378</v>
      </c>
      <c r="G473" s="266" t="s">
        <v>712</v>
      </c>
      <c r="H473" s="266"/>
      <c r="I473" s="269" t="s">
        <v>766</v>
      </c>
      <c r="J473" s="267" t="s">
        <v>15</v>
      </c>
      <c r="K473" s="268">
        <v>2338</v>
      </c>
      <c r="L473" s="269" t="s">
        <v>984</v>
      </c>
      <c r="M473" s="270" t="str">
        <f>IFERROR(INDEX([1]Produtos!$C:$C,MATCH(L473,[1]Produtos!$B:$B,0)), "-")</f>
        <v>LOÇÃO HIDRATANTE SAIND</v>
      </c>
      <c r="N473" s="510">
        <f>IFERROR(INDEX([1]Produtos!$E:$E,MATCH(L473,[1]Produtos!$B:$B,0)), "-")</f>
        <v>180</v>
      </c>
      <c r="O473" s="270" t="str">
        <f>IFERROR(INDEX([1]Produtos!$F:$F,MATCH(L473,[1]Produtos!$B:$B,0)), "-")</f>
        <v>ml</v>
      </c>
      <c r="P473" s="270" t="str">
        <f>IFERROR(INDEX([1]Produtos!$G:$G,MATCH(L473,[1]Produtos!$B:$B,0)), "-")</f>
        <v>ISA BEAUTY</v>
      </c>
      <c r="Q473" s="270" t="str">
        <f>IFERROR(INDEX([1]Produtos!$H:$H,MATCH(L473,[1]Produtos!$B:$B,0)), "-")</f>
        <v>CORPORAL</v>
      </c>
      <c r="R473" s="270" t="str">
        <f>IFERROR(INDEX([1]Produtos!$I:$I,MATCH(L473,[1]Produtos!$B:$B,0)), "-")</f>
        <v>CREME HIDRATANTE</v>
      </c>
      <c r="S473" s="270" t="str">
        <f>IFERROR(INDEX([1]Produtos!$J:$J,MATCH(L473,[1]Produtos!$B:$B,0)), "-")</f>
        <v>CREMOSO</v>
      </c>
      <c r="T473" s="475"/>
      <c r="U473" s="270"/>
      <c r="V473" s="270"/>
      <c r="W473" s="270"/>
      <c r="X473" s="270"/>
      <c r="Y473" s="270"/>
      <c r="Z473" s="270"/>
      <c r="AA473" s="270"/>
      <c r="AB473" s="270"/>
      <c r="AC473" s="270"/>
      <c r="AD473" s="270"/>
      <c r="AE473" s="270"/>
      <c r="AF473" s="270"/>
      <c r="AG473" s="270"/>
      <c r="AH473" s="270"/>
      <c r="AI473" s="270"/>
      <c r="AJ473" s="270"/>
      <c r="AK473" s="270"/>
      <c r="AL473" s="270"/>
      <c r="AM473" s="663"/>
      <c r="AN473" s="663"/>
      <c r="AO473" s="708" t="str">
        <f>IF(OR(Table1[[#This Row],[Início Setup Envase]]="",Table1[[#This Row],[Final Setup Envase]]=""),"",Table1[[#This Row],[Final Setup Envase]]-Table1[[#This Row],[Início Setup Envase]])</f>
        <v/>
      </c>
      <c r="AP473" s="663"/>
      <c r="AQ473" s="663"/>
      <c r="AR473" s="270"/>
      <c r="AS473" s="270"/>
      <c r="AT473" s="270"/>
      <c r="AU473" s="270"/>
      <c r="AV473" s="270"/>
      <c r="AW473" s="270"/>
      <c r="AX473" s="270"/>
      <c r="AY473" s="270"/>
      <c r="AZ473" s="270"/>
      <c r="BA473" s="270">
        <f>IF(Table1[[#This Row],[Data de Início]]="","",YEAR(Table1[[#This Row],[Data de Início]]))</f>
        <v>2025</v>
      </c>
      <c r="BB473" s="270">
        <f>IF(Table1[[#This Row],[Data de Início]]="","",MONTH(Table1[[#This Row],[Data de Início]]))</f>
        <v>9</v>
      </c>
      <c r="BC473" s="270"/>
    </row>
    <row r="474" spans="2:55" ht="15" customHeight="1" x14ac:dyDescent="0.25">
      <c r="B474" s="470">
        <v>45917.555555555555</v>
      </c>
      <c r="C474" s="263">
        <v>45918.402777777781</v>
      </c>
      <c r="D474" s="441" cm="1">
        <f t="array" ref="D474">IFERROR(HorasUteisFabrica2Turnos(B474,C474), "")</f>
        <v>6.3333333335467614</v>
      </c>
      <c r="E474" s="265">
        <f t="shared" si="7"/>
        <v>765.47368418473047</v>
      </c>
      <c r="F474" s="266" t="s">
        <v>377</v>
      </c>
      <c r="G474" s="266" t="s">
        <v>712</v>
      </c>
      <c r="H474" s="266"/>
      <c r="I474" s="269" t="s">
        <v>778</v>
      </c>
      <c r="J474" s="267" t="s">
        <v>15</v>
      </c>
      <c r="K474" s="268">
        <v>4848</v>
      </c>
      <c r="L474" s="269" t="s">
        <v>985</v>
      </c>
      <c r="M474" s="270" t="str">
        <f>IFERROR(INDEX([1]Produtos!$C:$C,MATCH(L474,[1]Produtos!$B:$B,0)), "-")</f>
        <v>BODY SPLASH SAIND</v>
      </c>
      <c r="N474" s="510">
        <f>IFERROR(INDEX([1]Produtos!$E:$E,MATCH(L474,[1]Produtos!$B:$B,0)), "-")</f>
        <v>120</v>
      </c>
      <c r="O474" s="270" t="str">
        <f>IFERROR(INDEX([1]Produtos!$F:$F,MATCH(L474,[1]Produtos!$B:$B,0)), "-")</f>
        <v>ml</v>
      </c>
      <c r="P474" s="270" t="str">
        <f>IFERROR(INDEX([1]Produtos!$G:$G,MATCH(L474,[1]Produtos!$B:$B,0)), "-")</f>
        <v>ISA BEAUTY</v>
      </c>
      <c r="Q474" s="270" t="str">
        <f>IFERROR(INDEX([1]Produtos!$H:$H,MATCH(L474,[1]Produtos!$B:$B,0)), "-")</f>
        <v>PERFUMARIA</v>
      </c>
      <c r="R474" s="270" t="str">
        <f>IFERROR(INDEX([1]Produtos!$I:$I,MATCH(L474,[1]Produtos!$B:$B,0)), "-")</f>
        <v>BODY SPLASH</v>
      </c>
      <c r="S474" s="270" t="str">
        <f>IFERROR(INDEX([1]Produtos!$J:$J,MATCH(L474,[1]Produtos!$B:$B,0)), "-")</f>
        <v>LÍQUIDO</v>
      </c>
      <c r="T474" s="475"/>
      <c r="U474" s="270"/>
      <c r="V474" s="270"/>
      <c r="W474" s="270"/>
      <c r="X474" s="270"/>
      <c r="Y474" s="270"/>
      <c r="Z474" s="270"/>
      <c r="AA474" s="270"/>
      <c r="AB474" s="270"/>
      <c r="AC474" s="270"/>
      <c r="AD474" s="270"/>
      <c r="AE474" s="270"/>
      <c r="AF474" s="270"/>
      <c r="AG474" s="270"/>
      <c r="AH474" s="270"/>
      <c r="AI474" s="270"/>
      <c r="AJ474" s="270"/>
      <c r="AK474" s="270"/>
      <c r="AL474" s="270"/>
      <c r="AM474" s="663"/>
      <c r="AN474" s="663"/>
      <c r="AO474" s="708" t="str">
        <f>IF(OR(Table1[[#This Row],[Início Setup Envase]]="",Table1[[#This Row],[Final Setup Envase]]=""),"",Table1[[#This Row],[Final Setup Envase]]-Table1[[#This Row],[Início Setup Envase]])</f>
        <v/>
      </c>
      <c r="AP474" s="663"/>
      <c r="AQ474" s="663"/>
      <c r="AR474" s="270"/>
      <c r="AS474" s="270"/>
      <c r="AT474" s="270"/>
      <c r="AU474" s="270"/>
      <c r="AV474" s="270"/>
      <c r="AW474" s="270"/>
      <c r="AX474" s="270"/>
      <c r="AY474" s="270"/>
      <c r="AZ474" s="270"/>
      <c r="BA474" s="270">
        <f>IF(Table1[[#This Row],[Data de Início]]="","",YEAR(Table1[[#This Row],[Data de Início]]))</f>
        <v>2025</v>
      </c>
      <c r="BB474" s="270">
        <f>IF(Table1[[#This Row],[Data de Início]]="","",MONTH(Table1[[#This Row],[Data de Início]]))</f>
        <v>9</v>
      </c>
      <c r="BC474" s="270"/>
    </row>
    <row r="475" spans="2:55" ht="15" customHeight="1" x14ac:dyDescent="0.25">
      <c r="B475" s="470">
        <v>45917.555555555555</v>
      </c>
      <c r="C475" s="263">
        <v>45917.667361111111</v>
      </c>
      <c r="D475" s="441" cm="1">
        <f t="array" ref="D475">IFERROR(HorasUteisFabrica2Turnos(B475,C475), "")</f>
        <v>2.6833333333488554</v>
      </c>
      <c r="E475" s="265">
        <f t="shared" si="7"/>
        <v>930.18633539834593</v>
      </c>
      <c r="F475" s="266" t="s">
        <v>378</v>
      </c>
      <c r="G475" s="266" t="s">
        <v>712</v>
      </c>
      <c r="H475" s="266"/>
      <c r="I475" s="269" t="s">
        <v>763</v>
      </c>
      <c r="J475" s="267" t="s">
        <v>15</v>
      </c>
      <c r="K475" s="268">
        <v>2496</v>
      </c>
      <c r="L475" s="269" t="s">
        <v>986</v>
      </c>
      <c r="M475" s="270" t="str">
        <f>IFERROR(INDEX([1]Produtos!$C:$C,MATCH(L475,[1]Produtos!$B:$B,0)), "-")</f>
        <v>LOÇÃO HIDRATANTE HABIB</v>
      </c>
      <c r="N475" s="510">
        <f>IFERROR(INDEX([1]Produtos!$E:$E,MATCH(L475,[1]Produtos!$B:$B,0)), "-")</f>
        <v>180</v>
      </c>
      <c r="O475" s="270" t="str">
        <f>IFERROR(INDEX([1]Produtos!$F:$F,MATCH(L475,[1]Produtos!$B:$B,0)), "-")</f>
        <v>ml</v>
      </c>
      <c r="P475" s="270" t="str">
        <f>IFERROR(INDEX([1]Produtos!$G:$G,MATCH(L475,[1]Produtos!$B:$B,0)), "-")</f>
        <v>ISA BEAUTY</v>
      </c>
      <c r="Q475" s="270" t="str">
        <f>IFERROR(INDEX([1]Produtos!$H:$H,MATCH(L475,[1]Produtos!$B:$B,0)), "-")</f>
        <v>CORPORAL</v>
      </c>
      <c r="R475" s="270" t="str">
        <f>IFERROR(INDEX([1]Produtos!$I:$I,MATCH(L475,[1]Produtos!$B:$B,0)), "-")</f>
        <v>CREME HIDRATANTE</v>
      </c>
      <c r="S475" s="270" t="str">
        <f>IFERROR(INDEX([1]Produtos!$J:$J,MATCH(L475,[1]Produtos!$B:$B,0)), "-")</f>
        <v>CREMOSO</v>
      </c>
      <c r="T475" s="475"/>
      <c r="U475" s="270"/>
      <c r="V475" s="270"/>
      <c r="W475" s="270"/>
      <c r="X475" s="270"/>
      <c r="Y475" s="270"/>
      <c r="Z475" s="270"/>
      <c r="AA475" s="270"/>
      <c r="AB475" s="270"/>
      <c r="AC475" s="270"/>
      <c r="AD475" s="270"/>
      <c r="AE475" s="270"/>
      <c r="AF475" s="270"/>
      <c r="AG475" s="270"/>
      <c r="AH475" s="270"/>
      <c r="AI475" s="270"/>
      <c r="AJ475" s="270"/>
      <c r="AK475" s="270"/>
      <c r="AL475" s="270"/>
      <c r="AM475" s="663"/>
      <c r="AN475" s="663"/>
      <c r="AO475" s="708" t="str">
        <f>IF(OR(Table1[[#This Row],[Início Setup Envase]]="",Table1[[#This Row],[Final Setup Envase]]=""),"",Table1[[#This Row],[Final Setup Envase]]-Table1[[#This Row],[Início Setup Envase]])</f>
        <v/>
      </c>
      <c r="AP475" s="663"/>
      <c r="AQ475" s="663"/>
      <c r="AR475" s="270"/>
      <c r="AS475" s="270"/>
      <c r="AT475" s="270"/>
      <c r="AU475" s="270"/>
      <c r="AV475" s="270"/>
      <c r="AW475" s="270"/>
      <c r="AX475" s="270"/>
      <c r="AY475" s="270"/>
      <c r="AZ475" s="270"/>
      <c r="BA475" s="270">
        <f>IF(Table1[[#This Row],[Data de Início]]="","",YEAR(Table1[[#This Row],[Data de Início]]))</f>
        <v>2025</v>
      </c>
      <c r="BB475" s="270">
        <f>IF(Table1[[#This Row],[Data de Início]]="","",MONTH(Table1[[#This Row],[Data de Início]]))</f>
        <v>9</v>
      </c>
      <c r="BC475" s="270"/>
    </row>
    <row r="476" spans="2:55" ht="15" customHeight="1" x14ac:dyDescent="0.25">
      <c r="B476" s="470">
        <v>45917.667361111111</v>
      </c>
      <c r="C476" s="263">
        <v>45918.388888888891</v>
      </c>
      <c r="D476" s="441" cm="1">
        <f t="array" ref="D476">IFERROR(HorasUteisFabrica2Turnos(B476,C476), "")</f>
        <v>3.3166666668257676</v>
      </c>
      <c r="E476" s="265">
        <f t="shared" si="7"/>
        <v>726.93467333196304</v>
      </c>
      <c r="F476" s="266" t="s">
        <v>377</v>
      </c>
      <c r="G476" s="266" t="s">
        <v>712</v>
      </c>
      <c r="H476" s="266"/>
      <c r="I476" s="269" t="s">
        <v>764</v>
      </c>
      <c r="J476" s="267" t="s">
        <v>15</v>
      </c>
      <c r="K476" s="268">
        <v>2411</v>
      </c>
      <c r="L476" s="269" t="s">
        <v>986</v>
      </c>
      <c r="M476" s="270" t="str">
        <f>IFERROR(INDEX([1]Produtos!$C:$C,MATCH(L476,[1]Produtos!$B:$B,0)), "-")</f>
        <v>LOÇÃO HIDRATANTE HABIB</v>
      </c>
      <c r="N476" s="510">
        <f>IFERROR(INDEX([1]Produtos!$E:$E,MATCH(L476,[1]Produtos!$B:$B,0)), "-")</f>
        <v>180</v>
      </c>
      <c r="O476" s="270" t="str">
        <f>IFERROR(INDEX([1]Produtos!$F:$F,MATCH(L476,[1]Produtos!$B:$B,0)), "-")</f>
        <v>ml</v>
      </c>
      <c r="P476" s="270" t="str">
        <f>IFERROR(INDEX([1]Produtos!$G:$G,MATCH(L476,[1]Produtos!$B:$B,0)), "-")</f>
        <v>ISA BEAUTY</v>
      </c>
      <c r="Q476" s="270" t="str">
        <f>IFERROR(INDEX([1]Produtos!$H:$H,MATCH(L476,[1]Produtos!$B:$B,0)), "-")</f>
        <v>CORPORAL</v>
      </c>
      <c r="R476" s="270" t="str">
        <f>IFERROR(INDEX([1]Produtos!$I:$I,MATCH(L476,[1]Produtos!$B:$B,0)), "-")</f>
        <v>CREME HIDRATANTE</v>
      </c>
      <c r="S476" s="270" t="str">
        <f>IFERROR(INDEX([1]Produtos!$J:$J,MATCH(L476,[1]Produtos!$B:$B,0)), "-")</f>
        <v>CREMOSO</v>
      </c>
      <c r="T476" s="475"/>
      <c r="U476" s="270"/>
      <c r="V476" s="270"/>
      <c r="W476" s="270"/>
      <c r="X476" s="270"/>
      <c r="Y476" s="270"/>
      <c r="Z476" s="270"/>
      <c r="AA476" s="270"/>
      <c r="AB476" s="270"/>
      <c r="AC476" s="270"/>
      <c r="AD476" s="270"/>
      <c r="AE476" s="270"/>
      <c r="AF476" s="270"/>
      <c r="AG476" s="270"/>
      <c r="AH476" s="270"/>
      <c r="AI476" s="270"/>
      <c r="AJ476" s="270"/>
      <c r="AK476" s="270"/>
      <c r="AL476" s="270"/>
      <c r="AM476" s="663"/>
      <c r="AN476" s="663"/>
      <c r="AO476" s="708" t="str">
        <f>IF(OR(Table1[[#This Row],[Início Setup Envase]]="",Table1[[#This Row],[Final Setup Envase]]=""),"",Table1[[#This Row],[Final Setup Envase]]-Table1[[#This Row],[Início Setup Envase]])</f>
        <v/>
      </c>
      <c r="AP476" s="663"/>
      <c r="AQ476" s="663"/>
      <c r="AR476" s="270"/>
      <c r="AS476" s="270"/>
      <c r="AT476" s="270"/>
      <c r="AU476" s="270"/>
      <c r="AV476" s="270"/>
      <c r="AW476" s="270"/>
      <c r="AX476" s="270"/>
      <c r="AY476" s="270"/>
      <c r="AZ476" s="270"/>
      <c r="BA476" s="270">
        <f>IF(Table1[[#This Row],[Data de Início]]="","",YEAR(Table1[[#This Row],[Data de Início]]))</f>
        <v>2025</v>
      </c>
      <c r="BB476" s="270">
        <f>IF(Table1[[#This Row],[Data de Início]]="","",MONTH(Table1[[#This Row],[Data de Início]]))</f>
        <v>9</v>
      </c>
      <c r="BC476" s="270"/>
    </row>
    <row r="477" spans="2:55" ht="15" customHeight="1" x14ac:dyDescent="0.25">
      <c r="B477" s="470">
        <v>45918.395833333336</v>
      </c>
      <c r="C477" s="263">
        <v>45918.541666666664</v>
      </c>
      <c r="D477" s="441" cm="1">
        <f t="array" ref="D477">IFERROR(HorasUteisFabrica2Turnos(B477,C477), "")</f>
        <v>3.4999999998835847</v>
      </c>
      <c r="E477" s="265">
        <f t="shared" si="7"/>
        <v>713.14285716657741</v>
      </c>
      <c r="F477" s="266" t="s">
        <v>378</v>
      </c>
      <c r="G477" s="266" t="s">
        <v>712</v>
      </c>
      <c r="H477" s="266"/>
      <c r="I477" s="269" t="s">
        <v>781</v>
      </c>
      <c r="J477" s="267" t="s">
        <v>15</v>
      </c>
      <c r="K477" s="268">
        <v>2496</v>
      </c>
      <c r="L477" s="269" t="s">
        <v>987</v>
      </c>
      <c r="M477" s="270" t="str">
        <f>IFERROR(INDEX([1]Produtos!$C:$C,MATCH(L477,[1]Produtos!$B:$B,0)), "-")</f>
        <v>LOÇÃO HIDRATANTE ALLAN</v>
      </c>
      <c r="N477" s="510">
        <f>IFERROR(INDEX([1]Produtos!$E:$E,MATCH(L477,[1]Produtos!$B:$B,0)), "-")</f>
        <v>180</v>
      </c>
      <c r="O477" s="270" t="str">
        <f>IFERROR(INDEX([1]Produtos!$F:$F,MATCH(L477,[1]Produtos!$B:$B,0)), "-")</f>
        <v>ml</v>
      </c>
      <c r="P477" s="270" t="str">
        <f>IFERROR(INDEX([1]Produtos!$G:$G,MATCH(L477,[1]Produtos!$B:$B,0)), "-")</f>
        <v>ISA BEAUTY</v>
      </c>
      <c r="Q477" s="270" t="str">
        <f>IFERROR(INDEX([1]Produtos!$H:$H,MATCH(L477,[1]Produtos!$B:$B,0)), "-")</f>
        <v>CORPORAL</v>
      </c>
      <c r="R477" s="270" t="str">
        <f>IFERROR(INDEX([1]Produtos!$I:$I,MATCH(L477,[1]Produtos!$B:$B,0)), "-")</f>
        <v>CREME HIDRATANTE</v>
      </c>
      <c r="S477" s="270" t="str">
        <f>IFERROR(INDEX([1]Produtos!$J:$J,MATCH(L477,[1]Produtos!$B:$B,0)), "-")</f>
        <v>CREMOSO</v>
      </c>
      <c r="T477" s="475"/>
      <c r="U477" s="270"/>
      <c r="V477" s="270"/>
      <c r="W477" s="270"/>
      <c r="X477" s="270"/>
      <c r="Y477" s="270"/>
      <c r="Z477" s="270"/>
      <c r="AA477" s="270"/>
      <c r="AB477" s="270"/>
      <c r="AC477" s="270"/>
      <c r="AD477" s="270"/>
      <c r="AE477" s="270"/>
      <c r="AF477" s="270"/>
      <c r="AG477" s="270"/>
      <c r="AH477" s="270"/>
      <c r="AI477" s="270"/>
      <c r="AJ477" s="270"/>
      <c r="AK477" s="270"/>
      <c r="AL477" s="270"/>
      <c r="AM477" s="663"/>
      <c r="AN477" s="663"/>
      <c r="AO477" s="708" t="str">
        <f>IF(OR(Table1[[#This Row],[Início Setup Envase]]="",Table1[[#This Row],[Final Setup Envase]]=""),"",Table1[[#This Row],[Final Setup Envase]]-Table1[[#This Row],[Início Setup Envase]])</f>
        <v/>
      </c>
      <c r="AP477" s="663"/>
      <c r="AQ477" s="663"/>
      <c r="AR477" s="270"/>
      <c r="AS477" s="270"/>
      <c r="AT477" s="270"/>
      <c r="AU477" s="270"/>
      <c r="AV477" s="270"/>
      <c r="AW477" s="270"/>
      <c r="AX477" s="270"/>
      <c r="AY477" s="270"/>
      <c r="AZ477" s="270"/>
      <c r="BA477" s="270">
        <f>IF(Table1[[#This Row],[Data de Início]]="","",YEAR(Table1[[#This Row],[Data de Início]]))</f>
        <v>2025</v>
      </c>
      <c r="BB477" s="270">
        <f>IF(Table1[[#This Row],[Data de Início]]="","",MONTH(Table1[[#This Row],[Data de Início]]))</f>
        <v>9</v>
      </c>
      <c r="BC477" s="270"/>
    </row>
    <row r="478" spans="2:55" ht="15" customHeight="1" x14ac:dyDescent="0.25">
      <c r="B478" s="470">
        <v>45918.402777777781</v>
      </c>
      <c r="C478" s="263">
        <v>45918.611111111109</v>
      </c>
      <c r="D478" s="441" cm="1">
        <f t="array" ref="D478">IFERROR(HorasUteisFabrica2Turnos(B478,C478), "")</f>
        <v>3.9999999998835847</v>
      </c>
      <c r="E478" s="265">
        <f t="shared" si="7"/>
        <v>768.00000002235174</v>
      </c>
      <c r="F478" s="266" t="s">
        <v>377</v>
      </c>
      <c r="G478" s="266" t="s">
        <v>712</v>
      </c>
      <c r="H478" s="266"/>
      <c r="I478" s="269" t="s">
        <v>777</v>
      </c>
      <c r="J478" s="267" t="s">
        <v>15</v>
      </c>
      <c r="K478" s="268">
        <v>3072</v>
      </c>
      <c r="L478" s="269" t="s">
        <v>985</v>
      </c>
      <c r="M478" s="270" t="str">
        <f>IFERROR(INDEX([1]Produtos!$C:$C,MATCH(L478,[1]Produtos!$B:$B,0)), "-")</f>
        <v>BODY SPLASH SAIND</v>
      </c>
      <c r="N478" s="510">
        <f>IFERROR(INDEX([1]Produtos!$E:$E,MATCH(L478,[1]Produtos!$B:$B,0)), "-")</f>
        <v>120</v>
      </c>
      <c r="O478" s="270" t="str">
        <f>IFERROR(INDEX([1]Produtos!$F:$F,MATCH(L478,[1]Produtos!$B:$B,0)), "-")</f>
        <v>ml</v>
      </c>
      <c r="P478" s="270" t="str">
        <f>IFERROR(INDEX([1]Produtos!$G:$G,MATCH(L478,[1]Produtos!$B:$B,0)), "-")</f>
        <v>ISA BEAUTY</v>
      </c>
      <c r="Q478" s="270" t="str">
        <f>IFERROR(INDEX([1]Produtos!$H:$H,MATCH(L478,[1]Produtos!$B:$B,0)), "-")</f>
        <v>PERFUMARIA</v>
      </c>
      <c r="R478" s="270" t="str">
        <f>IFERROR(INDEX([1]Produtos!$I:$I,MATCH(L478,[1]Produtos!$B:$B,0)), "-")</f>
        <v>BODY SPLASH</v>
      </c>
      <c r="S478" s="270" t="str">
        <f>IFERROR(INDEX([1]Produtos!$J:$J,MATCH(L478,[1]Produtos!$B:$B,0)), "-")</f>
        <v>LÍQUIDO</v>
      </c>
      <c r="T478" s="475"/>
      <c r="U478" s="270"/>
      <c r="V478" s="270"/>
      <c r="W478" s="270"/>
      <c r="X478" s="270"/>
      <c r="Y478" s="270"/>
      <c r="Z478" s="270"/>
      <c r="AA478" s="270"/>
      <c r="AB478" s="270"/>
      <c r="AC478" s="270"/>
      <c r="AD478" s="270"/>
      <c r="AE478" s="270"/>
      <c r="AF478" s="270"/>
      <c r="AG478" s="270"/>
      <c r="AH478" s="270"/>
      <c r="AI478" s="270"/>
      <c r="AJ478" s="270"/>
      <c r="AK478" s="270"/>
      <c r="AL478" s="270"/>
      <c r="AM478" s="663"/>
      <c r="AN478" s="663"/>
      <c r="AO478" s="708" t="str">
        <f>IF(OR(Table1[[#This Row],[Início Setup Envase]]="",Table1[[#This Row],[Final Setup Envase]]=""),"",Table1[[#This Row],[Final Setup Envase]]-Table1[[#This Row],[Início Setup Envase]])</f>
        <v/>
      </c>
      <c r="AP478" s="663"/>
      <c r="AQ478" s="663"/>
      <c r="AR478" s="270"/>
      <c r="AS478" s="270"/>
      <c r="AT478" s="270"/>
      <c r="AU478" s="270"/>
      <c r="AV478" s="270"/>
      <c r="AW478" s="270"/>
      <c r="AX478" s="270"/>
      <c r="AY478" s="270"/>
      <c r="AZ478" s="270"/>
      <c r="BA478" s="270">
        <f>IF(Table1[[#This Row],[Data de Início]]="","",YEAR(Table1[[#This Row],[Data de Início]]))</f>
        <v>2025</v>
      </c>
      <c r="BB478" s="270">
        <f>IF(Table1[[#This Row],[Data de Início]]="","",MONTH(Table1[[#This Row],[Data de Início]]))</f>
        <v>9</v>
      </c>
      <c r="BC478" s="270"/>
    </row>
    <row r="479" spans="2:55" ht="15" customHeight="1" x14ac:dyDescent="0.25">
      <c r="B479" s="470">
        <v>45918.541666666664</v>
      </c>
      <c r="C479" s="263">
        <v>45918.701388888891</v>
      </c>
      <c r="D479" s="441" cm="1">
        <f t="array" ref="D479">IFERROR(HorasUteisFabrica2Turnos(B479,C479), "")</f>
        <v>3.8333333334303461</v>
      </c>
      <c r="E479" s="265">
        <f t="shared" si="7"/>
        <v>663.65217389624797</v>
      </c>
      <c r="F479" s="266" t="s">
        <v>378</v>
      </c>
      <c r="G479" s="266" t="s">
        <v>712</v>
      </c>
      <c r="H479" s="266"/>
      <c r="I479" s="269" t="s">
        <v>780</v>
      </c>
      <c r="J479" s="267" t="s">
        <v>15</v>
      </c>
      <c r="K479" s="268">
        <v>2544</v>
      </c>
      <c r="L479" s="269" t="s">
        <v>987</v>
      </c>
      <c r="M479" s="270" t="str">
        <f>IFERROR(INDEX([1]Produtos!$C:$C,MATCH(L479,[1]Produtos!$B:$B,0)), "-")</f>
        <v>LOÇÃO HIDRATANTE ALLAN</v>
      </c>
      <c r="N479" s="510">
        <f>IFERROR(INDEX([1]Produtos!$E:$E,MATCH(L479,[1]Produtos!$B:$B,0)), "-")</f>
        <v>180</v>
      </c>
      <c r="O479" s="270" t="str">
        <f>IFERROR(INDEX([1]Produtos!$F:$F,MATCH(L479,[1]Produtos!$B:$B,0)), "-")</f>
        <v>ml</v>
      </c>
      <c r="P479" s="270" t="str">
        <f>IFERROR(INDEX([1]Produtos!$G:$G,MATCH(L479,[1]Produtos!$B:$B,0)), "-")</f>
        <v>ISA BEAUTY</v>
      </c>
      <c r="Q479" s="270" t="str">
        <f>IFERROR(INDEX([1]Produtos!$H:$H,MATCH(L479,[1]Produtos!$B:$B,0)), "-")</f>
        <v>CORPORAL</v>
      </c>
      <c r="R479" s="270" t="str">
        <f>IFERROR(INDEX([1]Produtos!$I:$I,MATCH(L479,[1]Produtos!$B:$B,0)), "-")</f>
        <v>CREME HIDRATANTE</v>
      </c>
      <c r="S479" s="270" t="str">
        <f>IFERROR(INDEX([1]Produtos!$J:$J,MATCH(L479,[1]Produtos!$B:$B,0)), "-")</f>
        <v>CREMOSO</v>
      </c>
      <c r="T479" s="475"/>
      <c r="U479" s="270"/>
      <c r="V479" s="270"/>
      <c r="W479" s="270"/>
      <c r="X479" s="270"/>
      <c r="Y479" s="270"/>
      <c r="Z479" s="270"/>
      <c r="AA479" s="270"/>
      <c r="AB479" s="270"/>
      <c r="AC479" s="270"/>
      <c r="AD479" s="270"/>
      <c r="AE479" s="270"/>
      <c r="AF479" s="270"/>
      <c r="AG479" s="270"/>
      <c r="AH479" s="270"/>
      <c r="AI479" s="270"/>
      <c r="AJ479" s="270"/>
      <c r="AK479" s="270"/>
      <c r="AL479" s="270"/>
      <c r="AM479" s="663"/>
      <c r="AN479" s="663"/>
      <c r="AO479" s="708" t="str">
        <f>IF(OR(Table1[[#This Row],[Início Setup Envase]]="",Table1[[#This Row],[Final Setup Envase]]=""),"",Table1[[#This Row],[Final Setup Envase]]-Table1[[#This Row],[Início Setup Envase]])</f>
        <v/>
      </c>
      <c r="AP479" s="663"/>
      <c r="AQ479" s="663"/>
      <c r="AR479" s="270"/>
      <c r="AS479" s="270"/>
      <c r="AT479" s="270"/>
      <c r="AU479" s="270"/>
      <c r="AV479" s="270"/>
      <c r="AW479" s="270"/>
      <c r="AX479" s="270"/>
      <c r="AY479" s="270"/>
      <c r="AZ479" s="270"/>
      <c r="BA479" s="270">
        <f>IF(Table1[[#This Row],[Data de Início]]="","",YEAR(Table1[[#This Row],[Data de Início]]))</f>
        <v>2025</v>
      </c>
      <c r="BB479" s="270">
        <f>IF(Table1[[#This Row],[Data de Início]]="","",MONTH(Table1[[#This Row],[Data de Início]]))</f>
        <v>9</v>
      </c>
      <c r="BC479" s="270"/>
    </row>
    <row r="480" spans="2:55" ht="15" customHeight="1" x14ac:dyDescent="0.25">
      <c r="B480" s="470">
        <v>45918.625</v>
      </c>
      <c r="C480" s="263">
        <v>45919.5625</v>
      </c>
      <c r="D480" s="441" cm="1">
        <f t="array" ref="D480">IFERROR(HorasUteisFabrica2Turnos(B480,C480), "")</f>
        <v>7.5000000001164153</v>
      </c>
      <c r="E480" s="265">
        <f t="shared" si="7"/>
        <v>627.19999999026459</v>
      </c>
      <c r="F480" s="266" t="s">
        <v>377</v>
      </c>
      <c r="G480" s="266" t="s">
        <v>712</v>
      </c>
      <c r="H480" s="266"/>
      <c r="I480" s="269" t="s">
        <v>779</v>
      </c>
      <c r="J480" s="267" t="s">
        <v>15</v>
      </c>
      <c r="K480" s="268">
        <v>4704</v>
      </c>
      <c r="L480" s="269" t="s">
        <v>988</v>
      </c>
      <c r="M480" s="270" t="str">
        <f>IFERROR(INDEX([1]Produtos!$C:$C,MATCH(L480,[1]Produtos!$B:$B,0)), "-")</f>
        <v>BODY SPLASH ALLAN</v>
      </c>
      <c r="N480" s="510">
        <f>IFERROR(INDEX([1]Produtos!$E:$E,MATCH(L480,[1]Produtos!$B:$B,0)), "-")</f>
        <v>120</v>
      </c>
      <c r="O480" s="270" t="str">
        <f>IFERROR(INDEX([1]Produtos!$F:$F,MATCH(L480,[1]Produtos!$B:$B,0)), "-")</f>
        <v>ml</v>
      </c>
      <c r="P480" s="270" t="str">
        <f>IFERROR(INDEX([1]Produtos!$G:$G,MATCH(L480,[1]Produtos!$B:$B,0)), "-")</f>
        <v>ISA BEAUTY</v>
      </c>
      <c r="Q480" s="270" t="str">
        <f>IFERROR(INDEX([1]Produtos!$H:$H,MATCH(L480,[1]Produtos!$B:$B,0)), "-")</f>
        <v>PERFUMARIA</v>
      </c>
      <c r="R480" s="270" t="str">
        <f>IFERROR(INDEX([1]Produtos!$I:$I,MATCH(L480,[1]Produtos!$B:$B,0)), "-")</f>
        <v>BODY SPLASH</v>
      </c>
      <c r="S480" s="270" t="str">
        <f>IFERROR(INDEX([1]Produtos!$J:$J,MATCH(L480,[1]Produtos!$B:$B,0)), "-")</f>
        <v>LÍQUIDO</v>
      </c>
      <c r="T480" s="475"/>
      <c r="U480" s="270"/>
      <c r="V480" s="270"/>
      <c r="W480" s="270"/>
      <c r="X480" s="270"/>
      <c r="Y480" s="270"/>
      <c r="Z480" s="270"/>
      <c r="AA480" s="270"/>
      <c r="AB480" s="270"/>
      <c r="AC480" s="270"/>
      <c r="AD480" s="270"/>
      <c r="AE480" s="270"/>
      <c r="AF480" s="270"/>
      <c r="AG480" s="270"/>
      <c r="AH480" s="270"/>
      <c r="AI480" s="270"/>
      <c r="AJ480" s="270"/>
      <c r="AK480" s="270"/>
      <c r="AL480" s="270"/>
      <c r="AM480" s="663"/>
      <c r="AN480" s="663"/>
      <c r="AO480" s="708" t="str">
        <f>IF(OR(Table1[[#This Row],[Início Setup Envase]]="",Table1[[#This Row],[Final Setup Envase]]=""),"",Table1[[#This Row],[Final Setup Envase]]-Table1[[#This Row],[Início Setup Envase]])</f>
        <v/>
      </c>
      <c r="AP480" s="663"/>
      <c r="AQ480" s="663"/>
      <c r="AR480" s="270"/>
      <c r="AS480" s="270"/>
      <c r="AT480" s="270"/>
      <c r="AU480" s="270"/>
      <c r="AV480" s="270"/>
      <c r="AW480" s="270"/>
      <c r="AX480" s="270"/>
      <c r="AY480" s="270"/>
      <c r="AZ480" s="270"/>
      <c r="BA480" s="270">
        <f>IF(Table1[[#This Row],[Data de Início]]="","",YEAR(Table1[[#This Row],[Data de Início]]))</f>
        <v>2025</v>
      </c>
      <c r="BB480" s="270">
        <f>IF(Table1[[#This Row],[Data de Início]]="","",MONTH(Table1[[#This Row],[Data de Início]]))</f>
        <v>9</v>
      </c>
      <c r="BC480" s="270"/>
    </row>
    <row r="481" spans="2:55" ht="15" customHeight="1" x14ac:dyDescent="0.25">
      <c r="B481" s="470">
        <v>45919.3125</v>
      </c>
      <c r="C481" s="263">
        <v>45919.451388888891</v>
      </c>
      <c r="D481" s="441" cm="1">
        <f t="array" ref="D481">IFERROR(HorasUteisFabrica2Turnos(B481,C481), "")</f>
        <v>3.3333333333721384</v>
      </c>
      <c r="E481" s="265">
        <f t="shared" si="7"/>
        <v>748.79999999128279</v>
      </c>
      <c r="F481" s="266" t="s">
        <v>378</v>
      </c>
      <c r="G481" s="266" t="s">
        <v>712</v>
      </c>
      <c r="H481" s="266"/>
      <c r="I481" s="269" t="s">
        <v>786</v>
      </c>
      <c r="J481" s="267" t="s">
        <v>15</v>
      </c>
      <c r="K481" s="268">
        <v>2496</v>
      </c>
      <c r="L481" s="269" t="s">
        <v>989</v>
      </c>
      <c r="M481" s="270" t="str">
        <f>IFERROR(INDEX([1]Produtos!$C:$C,MATCH(L481,[1]Produtos!$B:$B,0)), "-")</f>
        <v>LOÇÃO HIDRATANTE ABDALLAH</v>
      </c>
      <c r="N481" s="510">
        <f>IFERROR(INDEX([1]Produtos!$E:$E,MATCH(L481,[1]Produtos!$B:$B,0)), "-")</f>
        <v>180</v>
      </c>
      <c r="O481" s="270" t="str">
        <f>IFERROR(INDEX([1]Produtos!$F:$F,MATCH(L481,[1]Produtos!$B:$B,0)), "-")</f>
        <v>ml</v>
      </c>
      <c r="P481" s="270" t="str">
        <f>IFERROR(INDEX([1]Produtos!$G:$G,MATCH(L481,[1]Produtos!$B:$B,0)), "-")</f>
        <v>ISA BEAUTY</v>
      </c>
      <c r="Q481" s="270" t="str">
        <f>IFERROR(INDEX([1]Produtos!$H:$H,MATCH(L481,[1]Produtos!$B:$B,0)), "-")</f>
        <v>CORPORAL</v>
      </c>
      <c r="R481" s="270" t="str">
        <f>IFERROR(INDEX([1]Produtos!$I:$I,MATCH(L481,[1]Produtos!$B:$B,0)), "-")</f>
        <v>CREME HIDRATANTE</v>
      </c>
      <c r="S481" s="270" t="str">
        <f>IFERROR(INDEX([1]Produtos!$J:$J,MATCH(L481,[1]Produtos!$B:$B,0)), "-")</f>
        <v>CREMOSO</v>
      </c>
      <c r="T481" s="475"/>
      <c r="U481" s="270"/>
      <c r="V481" s="270"/>
      <c r="W481" s="270"/>
      <c r="X481" s="270"/>
      <c r="Y481" s="270"/>
      <c r="Z481" s="270"/>
      <c r="AA481" s="270"/>
      <c r="AB481" s="270"/>
      <c r="AC481" s="270"/>
      <c r="AD481" s="270"/>
      <c r="AE481" s="270"/>
      <c r="AF481" s="270"/>
      <c r="AG481" s="270"/>
      <c r="AH481" s="270"/>
      <c r="AI481" s="270"/>
      <c r="AJ481" s="270"/>
      <c r="AK481" s="270"/>
      <c r="AL481" s="270"/>
      <c r="AM481" s="663"/>
      <c r="AN481" s="663"/>
      <c r="AO481" s="708" t="str">
        <f>IF(OR(Table1[[#This Row],[Início Setup Envase]]="",Table1[[#This Row],[Final Setup Envase]]=""),"",Table1[[#This Row],[Final Setup Envase]]-Table1[[#This Row],[Início Setup Envase]])</f>
        <v/>
      </c>
      <c r="AP481" s="663"/>
      <c r="AQ481" s="663"/>
      <c r="AR481" s="270"/>
      <c r="AS481" s="270"/>
      <c r="AT481" s="270"/>
      <c r="AU481" s="270"/>
      <c r="AV481" s="270"/>
      <c r="AW481" s="270"/>
      <c r="AX481" s="270"/>
      <c r="AY481" s="270"/>
      <c r="AZ481" s="270"/>
      <c r="BA481" s="270">
        <f>IF(Table1[[#This Row],[Data de Início]]="","",YEAR(Table1[[#This Row],[Data de Início]]))</f>
        <v>2025</v>
      </c>
      <c r="BB481" s="270">
        <f>IF(Table1[[#This Row],[Data de Início]]="","",MONTH(Table1[[#This Row],[Data de Início]]))</f>
        <v>9</v>
      </c>
      <c r="BC481" s="270"/>
    </row>
    <row r="482" spans="2:55" ht="15" customHeight="1" x14ac:dyDescent="0.25">
      <c r="B482" s="470">
        <v>45919.451388888891</v>
      </c>
      <c r="C482" s="263">
        <v>45919.630555555559</v>
      </c>
      <c r="D482" s="441" cm="1">
        <f t="array" ref="D482">IFERROR(HorasUteisFabrica2Turnos(B482,C482), "")</f>
        <v>3.3000000000465661</v>
      </c>
      <c r="E482" s="265">
        <f t="shared" si="7"/>
        <v>763.63636362558805</v>
      </c>
      <c r="F482" s="266" t="s">
        <v>378</v>
      </c>
      <c r="G482" s="266" t="s">
        <v>712</v>
      </c>
      <c r="H482" s="266"/>
      <c r="I482" s="269" t="s">
        <v>787</v>
      </c>
      <c r="J482" s="267" t="s">
        <v>15</v>
      </c>
      <c r="K482" s="268">
        <v>2520</v>
      </c>
      <c r="L482" s="269" t="s">
        <v>989</v>
      </c>
      <c r="M482" s="270" t="str">
        <f>IFERROR(INDEX([1]Produtos!$C:$C,MATCH(L482,[1]Produtos!$B:$B,0)), "-")</f>
        <v>LOÇÃO HIDRATANTE ABDALLAH</v>
      </c>
      <c r="N482" s="510">
        <f>IFERROR(INDEX([1]Produtos!$E:$E,MATCH(L482,[1]Produtos!$B:$B,0)), "-")</f>
        <v>180</v>
      </c>
      <c r="O482" s="270" t="str">
        <f>IFERROR(INDEX([1]Produtos!$F:$F,MATCH(L482,[1]Produtos!$B:$B,0)), "-")</f>
        <v>ml</v>
      </c>
      <c r="P482" s="270" t="str">
        <f>IFERROR(INDEX([1]Produtos!$G:$G,MATCH(L482,[1]Produtos!$B:$B,0)), "-")</f>
        <v>ISA BEAUTY</v>
      </c>
      <c r="Q482" s="270" t="str">
        <f>IFERROR(INDEX([1]Produtos!$H:$H,MATCH(L482,[1]Produtos!$B:$B,0)), "-")</f>
        <v>CORPORAL</v>
      </c>
      <c r="R482" s="270" t="str">
        <f>IFERROR(INDEX([1]Produtos!$I:$I,MATCH(L482,[1]Produtos!$B:$B,0)), "-")</f>
        <v>CREME HIDRATANTE</v>
      </c>
      <c r="S482" s="270" t="str">
        <f>IFERROR(INDEX([1]Produtos!$J:$J,MATCH(L482,[1]Produtos!$B:$B,0)), "-")</f>
        <v>CREMOSO</v>
      </c>
      <c r="T482" s="475"/>
      <c r="U482" s="270"/>
      <c r="V482" s="270"/>
      <c r="W482" s="270"/>
      <c r="X482" s="270"/>
      <c r="Y482" s="270"/>
      <c r="Z482" s="270"/>
      <c r="AA482" s="270"/>
      <c r="AB482" s="270"/>
      <c r="AC482" s="270"/>
      <c r="AD482" s="270"/>
      <c r="AE482" s="270"/>
      <c r="AF482" s="270"/>
      <c r="AG482" s="270"/>
      <c r="AH482" s="270"/>
      <c r="AI482" s="270"/>
      <c r="AJ482" s="270"/>
      <c r="AK482" s="270"/>
      <c r="AL482" s="270"/>
      <c r="AM482" s="663"/>
      <c r="AN482" s="663"/>
      <c r="AO482" s="708" t="str">
        <f>IF(OR(Table1[[#This Row],[Início Setup Envase]]="",Table1[[#This Row],[Final Setup Envase]]=""),"",Table1[[#This Row],[Final Setup Envase]]-Table1[[#This Row],[Início Setup Envase]])</f>
        <v/>
      </c>
      <c r="AP482" s="663"/>
      <c r="AQ482" s="663"/>
      <c r="AR482" s="270"/>
      <c r="AS482" s="270"/>
      <c r="AT482" s="270"/>
      <c r="AU482" s="270"/>
      <c r="AV482" s="270"/>
      <c r="AW482" s="270"/>
      <c r="AX482" s="270"/>
      <c r="AY482" s="270"/>
      <c r="AZ482" s="270"/>
      <c r="BA482" s="270">
        <f>IF(Table1[[#This Row],[Data de Início]]="","",YEAR(Table1[[#This Row],[Data de Início]]))</f>
        <v>2025</v>
      </c>
      <c r="BB482" s="270">
        <f>IF(Table1[[#This Row],[Data de Início]]="","",MONTH(Table1[[#This Row],[Data de Início]]))</f>
        <v>9</v>
      </c>
      <c r="BC482" s="270"/>
    </row>
    <row r="483" spans="2:55" ht="15" customHeight="1" x14ac:dyDescent="0.25">
      <c r="B483" s="470">
        <v>45919.5625</v>
      </c>
      <c r="C483" s="263">
        <v>45922.493055555555</v>
      </c>
      <c r="D483" s="441" cm="1">
        <f t="array" ref="D483">IFERROR(HorasUteisFabrica2Turnos(B483,C483), "")</f>
        <v>7.3333333333139308</v>
      </c>
      <c r="E483" s="265">
        <f t="shared" si="7"/>
        <v>674.18181818360199</v>
      </c>
      <c r="F483" s="266" t="s">
        <v>377</v>
      </c>
      <c r="G483" s="266" t="s">
        <v>712</v>
      </c>
      <c r="H483" s="266"/>
      <c r="I483" s="269" t="s">
        <v>788</v>
      </c>
      <c r="J483" s="267" t="s">
        <v>15</v>
      </c>
      <c r="K483" s="268">
        <v>4944</v>
      </c>
      <c r="L483" s="269" t="s">
        <v>990</v>
      </c>
      <c r="M483" s="270" t="str">
        <f>IFERROR(INDEX([1]Produtos!$C:$C,MATCH(L483,[1]Produtos!$B:$B,0)), "-")</f>
        <v>BODY SPLASH HABIB</v>
      </c>
      <c r="N483" s="510">
        <f>IFERROR(INDEX([1]Produtos!$E:$E,MATCH(L483,[1]Produtos!$B:$B,0)), "-")</f>
        <v>120</v>
      </c>
      <c r="O483" s="270" t="str">
        <f>IFERROR(INDEX([1]Produtos!$F:$F,MATCH(L483,[1]Produtos!$B:$B,0)), "-")</f>
        <v>ml</v>
      </c>
      <c r="P483" s="270" t="str">
        <f>IFERROR(INDEX([1]Produtos!$G:$G,MATCH(L483,[1]Produtos!$B:$B,0)), "-")</f>
        <v>ISA BEAUTY</v>
      </c>
      <c r="Q483" s="270" t="str">
        <f>IFERROR(INDEX([1]Produtos!$H:$H,MATCH(L483,[1]Produtos!$B:$B,0)), "-")</f>
        <v>PERFUMARIA</v>
      </c>
      <c r="R483" s="270" t="str">
        <f>IFERROR(INDEX([1]Produtos!$I:$I,MATCH(L483,[1]Produtos!$B:$B,0)), "-")</f>
        <v>BODY SPLASH</v>
      </c>
      <c r="S483" s="270" t="str">
        <f>IFERROR(INDEX([1]Produtos!$J:$J,MATCH(L483,[1]Produtos!$B:$B,0)), "-")</f>
        <v>LÍQUIDO</v>
      </c>
      <c r="T483" s="475"/>
      <c r="U483" s="270"/>
      <c r="V483" s="270"/>
      <c r="W483" s="270"/>
      <c r="X483" s="270"/>
      <c r="Y483" s="270"/>
      <c r="Z483" s="270"/>
      <c r="AA483" s="270"/>
      <c r="AB483" s="270"/>
      <c r="AC483" s="270"/>
      <c r="AD483" s="270"/>
      <c r="AE483" s="270"/>
      <c r="AF483" s="270"/>
      <c r="AG483" s="270"/>
      <c r="AH483" s="270"/>
      <c r="AI483" s="270"/>
      <c r="AJ483" s="270"/>
      <c r="AK483" s="270"/>
      <c r="AL483" s="270"/>
      <c r="AM483" s="663"/>
      <c r="AN483" s="663"/>
      <c r="AO483" s="708" t="str">
        <f>IF(OR(Table1[[#This Row],[Início Setup Envase]]="",Table1[[#This Row],[Final Setup Envase]]=""),"",Table1[[#This Row],[Final Setup Envase]]-Table1[[#This Row],[Início Setup Envase]])</f>
        <v/>
      </c>
      <c r="AP483" s="663"/>
      <c r="AQ483" s="663"/>
      <c r="AR483" s="270"/>
      <c r="AS483" s="270"/>
      <c r="AT483" s="270"/>
      <c r="AU483" s="270"/>
      <c r="AV483" s="270"/>
      <c r="AW483" s="270"/>
      <c r="AX483" s="270"/>
      <c r="AY483" s="270"/>
      <c r="AZ483" s="270"/>
      <c r="BA483" s="270">
        <f>IF(Table1[[#This Row],[Data de Início]]="","",YEAR(Table1[[#This Row],[Data de Início]]))</f>
        <v>2025</v>
      </c>
      <c r="BB483" s="270">
        <f>IF(Table1[[#This Row],[Data de Início]]="","",MONTH(Table1[[#This Row],[Data de Início]]))</f>
        <v>9</v>
      </c>
      <c r="BC483" s="270"/>
    </row>
    <row r="484" spans="2:55" ht="15" customHeight="1" x14ac:dyDescent="0.25">
      <c r="B484" s="470">
        <v>45919.638888888891</v>
      </c>
      <c r="C484" s="263">
        <v>45922.409722222219</v>
      </c>
      <c r="D484" s="441" cm="1">
        <f t="array" ref="D484">IFERROR(HorasUteisFabrica2Turnos(B484,C484), "")</f>
        <v>3.4999999998835847</v>
      </c>
      <c r="E484" s="265">
        <f t="shared" si="7"/>
        <v>713.14285716657741</v>
      </c>
      <c r="F484" s="266" t="s">
        <v>378</v>
      </c>
      <c r="G484" s="266" t="s">
        <v>712</v>
      </c>
      <c r="H484" s="266"/>
      <c r="I484" s="269" t="s">
        <v>790</v>
      </c>
      <c r="J484" s="267" t="s">
        <v>15</v>
      </c>
      <c r="K484" s="268">
        <v>2496</v>
      </c>
      <c r="L484" s="269" t="s">
        <v>991</v>
      </c>
      <c r="M484" s="270" t="str">
        <f>IFERROR(INDEX([1]Produtos!$C:$C,MATCH(L484,[1]Produtos!$B:$B,0)), "-")</f>
        <v>LOÇÃO HIDRATANTE JADE</v>
      </c>
      <c r="N484" s="510">
        <f>IFERROR(INDEX([1]Produtos!$E:$E,MATCH(L484,[1]Produtos!$B:$B,0)), "-")</f>
        <v>180</v>
      </c>
      <c r="O484" s="270" t="str">
        <f>IFERROR(INDEX([1]Produtos!$F:$F,MATCH(L484,[1]Produtos!$B:$B,0)), "-")</f>
        <v>ml</v>
      </c>
      <c r="P484" s="270" t="str">
        <f>IFERROR(INDEX([1]Produtos!$G:$G,MATCH(L484,[1]Produtos!$B:$B,0)), "-")</f>
        <v>ISA BEAUTY</v>
      </c>
      <c r="Q484" s="270" t="str">
        <f>IFERROR(INDEX([1]Produtos!$H:$H,MATCH(L484,[1]Produtos!$B:$B,0)), "-")</f>
        <v>CORPORAL</v>
      </c>
      <c r="R484" s="270" t="str">
        <f>IFERROR(INDEX([1]Produtos!$I:$I,MATCH(L484,[1]Produtos!$B:$B,0)), "-")</f>
        <v>CREME HIDRATANTE</v>
      </c>
      <c r="S484" s="270" t="str">
        <f>IFERROR(INDEX([1]Produtos!$J:$J,MATCH(L484,[1]Produtos!$B:$B,0)), "-")</f>
        <v>CREMOSO</v>
      </c>
      <c r="T484" s="475"/>
      <c r="U484" s="270"/>
      <c r="V484" s="270"/>
      <c r="W484" s="270"/>
      <c r="X484" s="270"/>
      <c r="Y484" s="270"/>
      <c r="Z484" s="270"/>
      <c r="AA484" s="270"/>
      <c r="AB484" s="270"/>
      <c r="AC484" s="270"/>
      <c r="AD484" s="270"/>
      <c r="AE484" s="270"/>
      <c r="AF484" s="270"/>
      <c r="AG484" s="270"/>
      <c r="AH484" s="270"/>
      <c r="AI484" s="270"/>
      <c r="AJ484" s="270"/>
      <c r="AK484" s="270"/>
      <c r="AL484" s="270"/>
      <c r="AM484" s="663"/>
      <c r="AN484" s="663"/>
      <c r="AO484" s="708" t="str">
        <f>IF(OR(Table1[[#This Row],[Início Setup Envase]]="",Table1[[#This Row],[Final Setup Envase]]=""),"",Table1[[#This Row],[Final Setup Envase]]-Table1[[#This Row],[Início Setup Envase]])</f>
        <v/>
      </c>
      <c r="AP484" s="663"/>
      <c r="AQ484" s="663"/>
      <c r="AR484" s="270"/>
      <c r="AS484" s="270"/>
      <c r="AT484" s="270"/>
      <c r="AU484" s="270"/>
      <c r="AV484" s="270"/>
      <c r="AW484" s="270"/>
      <c r="AX484" s="270"/>
      <c r="AY484" s="270"/>
      <c r="AZ484" s="270"/>
      <c r="BA484" s="270">
        <f>IF(Table1[[#This Row],[Data de Início]]="","",YEAR(Table1[[#This Row],[Data de Início]]))</f>
        <v>2025</v>
      </c>
      <c r="BB484" s="270">
        <f>IF(Table1[[#This Row],[Data de Início]]="","",MONTH(Table1[[#This Row],[Data de Início]]))</f>
        <v>9</v>
      </c>
      <c r="BC484" s="270"/>
    </row>
    <row r="485" spans="2:55" ht="15" customHeight="1" x14ac:dyDescent="0.25">
      <c r="B485" s="470">
        <v>45922.409722222219</v>
      </c>
      <c r="C485" s="263">
        <v>45923.493055555555</v>
      </c>
      <c r="D485" s="441" cm="1">
        <f t="array" ref="D485">IFERROR(HorasUteisFabrica2Turnos(B485,C485), "")</f>
        <v>11.000000000174623</v>
      </c>
      <c r="E485" s="265">
        <f t="shared" si="7"/>
        <v>218.18181817835458</v>
      </c>
      <c r="F485" s="266" t="s">
        <v>378</v>
      </c>
      <c r="G485" s="266" t="s">
        <v>712</v>
      </c>
      <c r="H485" s="266"/>
      <c r="I485" s="269" t="s">
        <v>789</v>
      </c>
      <c r="J485" s="267" t="s">
        <v>15</v>
      </c>
      <c r="K485" s="268">
        <v>2400</v>
      </c>
      <c r="L485" s="269" t="s">
        <v>991</v>
      </c>
      <c r="M485" s="270" t="str">
        <f>IFERROR(INDEX([1]Produtos!$C:$C,MATCH(L485,[1]Produtos!$B:$B,0)), "-")</f>
        <v>LOÇÃO HIDRATANTE JADE</v>
      </c>
      <c r="N485" s="510">
        <f>IFERROR(INDEX([1]Produtos!$E:$E,MATCH(L485,[1]Produtos!$B:$B,0)), "-")</f>
        <v>180</v>
      </c>
      <c r="O485" s="270" t="str">
        <f>IFERROR(INDEX([1]Produtos!$F:$F,MATCH(L485,[1]Produtos!$B:$B,0)), "-")</f>
        <v>ml</v>
      </c>
      <c r="P485" s="270" t="str">
        <f>IFERROR(INDEX([1]Produtos!$G:$G,MATCH(L485,[1]Produtos!$B:$B,0)), "-")</f>
        <v>ISA BEAUTY</v>
      </c>
      <c r="Q485" s="270" t="str">
        <f>IFERROR(INDEX([1]Produtos!$H:$H,MATCH(L485,[1]Produtos!$B:$B,0)), "-")</f>
        <v>CORPORAL</v>
      </c>
      <c r="R485" s="270" t="str">
        <f>IFERROR(INDEX([1]Produtos!$I:$I,MATCH(L485,[1]Produtos!$B:$B,0)), "-")</f>
        <v>CREME HIDRATANTE</v>
      </c>
      <c r="S485" s="270" t="str">
        <f>IFERROR(INDEX([1]Produtos!$J:$J,MATCH(L485,[1]Produtos!$B:$B,0)), "-")</f>
        <v>CREMOSO</v>
      </c>
      <c r="T485" s="475"/>
      <c r="U485" s="270"/>
      <c r="V485" s="270"/>
      <c r="W485" s="270"/>
      <c r="X485" s="270"/>
      <c r="Y485" s="270"/>
      <c r="Z485" s="270"/>
      <c r="AA485" s="270"/>
      <c r="AB485" s="270"/>
      <c r="AC485" s="270"/>
      <c r="AD485" s="270"/>
      <c r="AE485" s="270"/>
      <c r="AF485" s="270"/>
      <c r="AG485" s="270"/>
      <c r="AH485" s="270"/>
      <c r="AI485" s="270"/>
      <c r="AJ485" s="270"/>
      <c r="AK485" s="270"/>
      <c r="AL485" s="270"/>
      <c r="AM485" s="663"/>
      <c r="AN485" s="663"/>
      <c r="AO485" s="708" t="str">
        <f>IF(OR(Table1[[#This Row],[Início Setup Envase]]="",Table1[[#This Row],[Final Setup Envase]]=""),"",Table1[[#This Row],[Final Setup Envase]]-Table1[[#This Row],[Início Setup Envase]])</f>
        <v/>
      </c>
      <c r="AP485" s="663"/>
      <c r="AQ485" s="663"/>
      <c r="AR485" s="270"/>
      <c r="AS485" s="270"/>
      <c r="AT485" s="270"/>
      <c r="AU485" s="270"/>
      <c r="AV485" s="270"/>
      <c r="AW485" s="270"/>
      <c r="AX485" s="270"/>
      <c r="AY485" s="270"/>
      <c r="AZ485" s="270"/>
      <c r="BA485" s="270">
        <f>IF(Table1[[#This Row],[Data de Início]]="","",YEAR(Table1[[#This Row],[Data de Início]]))</f>
        <v>2025</v>
      </c>
      <c r="BB485" s="270">
        <f>IF(Table1[[#This Row],[Data de Início]]="","",MONTH(Table1[[#This Row],[Data de Início]]))</f>
        <v>9</v>
      </c>
      <c r="BC485" s="270"/>
    </row>
    <row r="486" spans="2:55" ht="15" customHeight="1" x14ac:dyDescent="0.25">
      <c r="B486" s="470">
        <v>45922.49722222222</v>
      </c>
      <c r="C486" s="263">
        <v>45923.458333333336</v>
      </c>
      <c r="D486" s="441" cm="1">
        <f t="array" ref="D486">IFERROR(HorasUteisFabrica2Turnos(B486,C486), "")</f>
        <v>8.0666666668839753</v>
      </c>
      <c r="E486" s="265">
        <f t="shared" si="7"/>
        <v>600.9917355209999</v>
      </c>
      <c r="F486" s="266" t="s">
        <v>377</v>
      </c>
      <c r="G486" s="266" t="s">
        <v>712</v>
      </c>
      <c r="H486" s="266"/>
      <c r="I486" s="269" t="s">
        <v>785</v>
      </c>
      <c r="J486" s="267" t="s">
        <v>15</v>
      </c>
      <c r="K486" s="268">
        <v>4848</v>
      </c>
      <c r="L486" s="269" t="s">
        <v>992</v>
      </c>
      <c r="M486" s="270" t="str">
        <f>IFERROR(INDEX([1]Produtos!$C:$C,MATCH(L486,[1]Produtos!$B:$B,0)), "-")</f>
        <v>BODY SPLASH JADE</v>
      </c>
      <c r="N486" s="510">
        <f>IFERROR(INDEX([1]Produtos!$E:$E,MATCH(L486,[1]Produtos!$B:$B,0)), "-")</f>
        <v>120</v>
      </c>
      <c r="O486" s="270" t="str">
        <f>IFERROR(INDEX([1]Produtos!$F:$F,MATCH(L486,[1]Produtos!$B:$B,0)), "-")</f>
        <v>ml</v>
      </c>
      <c r="P486" s="270" t="str">
        <f>IFERROR(INDEX([1]Produtos!$G:$G,MATCH(L486,[1]Produtos!$B:$B,0)), "-")</f>
        <v>ISA BEAUTY</v>
      </c>
      <c r="Q486" s="270" t="str">
        <f>IFERROR(INDEX([1]Produtos!$H:$H,MATCH(L486,[1]Produtos!$B:$B,0)), "-")</f>
        <v>PERFUMARIA</v>
      </c>
      <c r="R486" s="270" t="str">
        <f>IFERROR(INDEX([1]Produtos!$I:$I,MATCH(L486,[1]Produtos!$B:$B,0)), "-")</f>
        <v>BODY SPLASH</v>
      </c>
      <c r="S486" s="270" t="str">
        <f>IFERROR(INDEX([1]Produtos!$J:$J,MATCH(L486,[1]Produtos!$B:$B,0)), "-")</f>
        <v>LÍQUIDO</v>
      </c>
      <c r="T486" s="475"/>
      <c r="U486" s="270"/>
      <c r="V486" s="270"/>
      <c r="W486" s="270"/>
      <c r="X486" s="270"/>
      <c r="Y486" s="270"/>
      <c r="Z486" s="270"/>
      <c r="AA486" s="270"/>
      <c r="AB486" s="270"/>
      <c r="AC486" s="270"/>
      <c r="AD486" s="270"/>
      <c r="AE486" s="270"/>
      <c r="AF486" s="270"/>
      <c r="AG486" s="270"/>
      <c r="AH486" s="270"/>
      <c r="AI486" s="270"/>
      <c r="AJ486" s="270"/>
      <c r="AK486" s="270"/>
      <c r="AL486" s="270"/>
      <c r="AM486" s="663"/>
      <c r="AN486" s="663"/>
      <c r="AO486" s="708" t="str">
        <f>IF(OR(Table1[[#This Row],[Início Setup Envase]]="",Table1[[#This Row],[Final Setup Envase]]=""),"",Table1[[#This Row],[Final Setup Envase]]-Table1[[#This Row],[Início Setup Envase]])</f>
        <v/>
      </c>
      <c r="AP486" s="663"/>
      <c r="AQ486" s="663"/>
      <c r="AR486" s="270"/>
      <c r="AS486" s="270"/>
      <c r="AT486" s="270"/>
      <c r="AU486" s="270"/>
      <c r="AV486" s="270"/>
      <c r="AW486" s="270"/>
      <c r="AX486" s="270"/>
      <c r="AY486" s="270"/>
      <c r="AZ486" s="270"/>
      <c r="BA486" s="270">
        <f>IF(Table1[[#This Row],[Data de Início]]="","",YEAR(Table1[[#This Row],[Data de Início]]))</f>
        <v>2025</v>
      </c>
      <c r="BB486" s="270">
        <f>IF(Table1[[#This Row],[Data de Início]]="","",MONTH(Table1[[#This Row],[Data de Início]]))</f>
        <v>9</v>
      </c>
      <c r="BC486" s="270"/>
    </row>
    <row r="487" spans="2:55" ht="15" customHeight="1" x14ac:dyDescent="0.25">
      <c r="B487" s="470">
        <v>45922.648611111108</v>
      </c>
      <c r="C487" s="263">
        <v>45923.413194444445</v>
      </c>
      <c r="D487" s="441" cm="1">
        <f t="array" ref="D487">IFERROR(HorasUteisFabrica2Turnos(B487,C487), "")</f>
        <v>4.3500000002095476</v>
      </c>
      <c r="E487" s="265">
        <f t="shared" si="7"/>
        <v>573.79310342063513</v>
      </c>
      <c r="F487" s="266" t="s">
        <v>378</v>
      </c>
      <c r="G487" s="266" t="s">
        <v>712</v>
      </c>
      <c r="H487" s="266"/>
      <c r="I487" s="269" t="s">
        <v>784</v>
      </c>
      <c r="J487" s="267" t="s">
        <v>15</v>
      </c>
      <c r="K487" s="268">
        <v>2496</v>
      </c>
      <c r="L487" s="269" t="s">
        <v>993</v>
      </c>
      <c r="M487" s="270" t="str">
        <f>IFERROR(INDEX([1]Produtos!$C:$C,MATCH(L487,[1]Produtos!$B:$B,0)), "-")</f>
        <v>LOÇÃO HIDRATANTE ÁRABE</v>
      </c>
      <c r="N487" s="510">
        <f>IFERROR(INDEX([1]Produtos!$E:$E,MATCH(L487,[1]Produtos!$B:$B,0)), "-")</f>
        <v>180</v>
      </c>
      <c r="O487" s="270" t="str">
        <f>IFERROR(INDEX([1]Produtos!$F:$F,MATCH(L487,[1]Produtos!$B:$B,0)), "-")</f>
        <v>ml</v>
      </c>
      <c r="P487" s="270" t="str">
        <f>IFERROR(INDEX([1]Produtos!$G:$G,MATCH(L487,[1]Produtos!$B:$B,0)), "-")</f>
        <v>ISA BEAUTY</v>
      </c>
      <c r="Q487" s="270" t="str">
        <f>IFERROR(INDEX([1]Produtos!$H:$H,MATCH(L487,[1]Produtos!$B:$B,0)), "-")</f>
        <v>CORPORAL</v>
      </c>
      <c r="R487" s="270" t="str">
        <f>IFERROR(INDEX([1]Produtos!$I:$I,MATCH(L487,[1]Produtos!$B:$B,0)), "-")</f>
        <v>CREME HIDRATANTE</v>
      </c>
      <c r="S487" s="270" t="str">
        <f>IFERROR(INDEX([1]Produtos!$J:$J,MATCH(L487,[1]Produtos!$B:$B,0)), "-")</f>
        <v>CREMOSO</v>
      </c>
      <c r="T487" s="475"/>
      <c r="U487" s="270"/>
      <c r="V487" s="270"/>
      <c r="W487" s="270"/>
      <c r="X487" s="270"/>
      <c r="Y487" s="270"/>
      <c r="Z487" s="270"/>
      <c r="AA487" s="270"/>
      <c r="AB487" s="270"/>
      <c r="AC487" s="270"/>
      <c r="AD487" s="270"/>
      <c r="AE487" s="270"/>
      <c r="AF487" s="270"/>
      <c r="AG487" s="270"/>
      <c r="AH487" s="270"/>
      <c r="AI487" s="270"/>
      <c r="AJ487" s="270"/>
      <c r="AK487" s="270"/>
      <c r="AL487" s="270"/>
      <c r="AM487" s="663"/>
      <c r="AN487" s="663"/>
      <c r="AO487" s="708" t="str">
        <f>IF(OR(Table1[[#This Row],[Início Setup Envase]]="",Table1[[#This Row],[Final Setup Envase]]=""),"",Table1[[#This Row],[Final Setup Envase]]-Table1[[#This Row],[Início Setup Envase]])</f>
        <v/>
      </c>
      <c r="AP487" s="663"/>
      <c r="AQ487" s="663"/>
      <c r="AR487" s="270"/>
      <c r="AS487" s="270"/>
      <c r="AT487" s="270"/>
      <c r="AU487" s="270"/>
      <c r="AV487" s="270"/>
      <c r="AW487" s="270"/>
      <c r="AX487" s="270"/>
      <c r="AY487" s="270"/>
      <c r="AZ487" s="270"/>
      <c r="BA487" s="270">
        <f>IF(Table1[[#This Row],[Data de Início]]="","",YEAR(Table1[[#This Row],[Data de Início]]))</f>
        <v>2025</v>
      </c>
      <c r="BB487" s="270">
        <f>IF(Table1[[#This Row],[Data de Início]]="","",MONTH(Table1[[#This Row],[Data de Início]]))</f>
        <v>9</v>
      </c>
      <c r="BC487" s="270"/>
    </row>
    <row r="488" spans="2:55" ht="15" customHeight="1" x14ac:dyDescent="0.25">
      <c r="B488" s="470">
        <v>45923.413194444445</v>
      </c>
      <c r="C488" s="263">
        <v>45923.602083333331</v>
      </c>
      <c r="D488" s="441" cm="1">
        <f t="array" ref="D488">IFERROR(HorasUteisFabrica2Turnos(B488,C488), "")</f>
        <v>3.5333333332673647</v>
      </c>
      <c r="E488" s="265">
        <f t="shared" si="7"/>
        <v>713.20754718312719</v>
      </c>
      <c r="F488" s="266" t="s">
        <v>378</v>
      </c>
      <c r="G488" s="266" t="s">
        <v>712</v>
      </c>
      <c r="H488" s="266"/>
      <c r="I488" s="269" t="s">
        <v>783</v>
      </c>
      <c r="J488" s="267" t="s">
        <v>15</v>
      </c>
      <c r="K488" s="268">
        <v>2520</v>
      </c>
      <c r="L488" s="269" t="s">
        <v>993</v>
      </c>
      <c r="M488" s="270" t="str">
        <f>IFERROR(INDEX([1]Produtos!$C:$C,MATCH(L488,[1]Produtos!$B:$B,0)), "-")</f>
        <v>LOÇÃO HIDRATANTE ÁRABE</v>
      </c>
      <c r="N488" s="510">
        <f>IFERROR(INDEX([1]Produtos!$E:$E,MATCH(L488,[1]Produtos!$B:$B,0)), "-")</f>
        <v>180</v>
      </c>
      <c r="O488" s="270" t="str">
        <f>IFERROR(INDEX([1]Produtos!$F:$F,MATCH(L488,[1]Produtos!$B:$B,0)), "-")</f>
        <v>ml</v>
      </c>
      <c r="P488" s="270" t="str">
        <f>IFERROR(INDEX([1]Produtos!$G:$G,MATCH(L488,[1]Produtos!$B:$B,0)), "-")</f>
        <v>ISA BEAUTY</v>
      </c>
      <c r="Q488" s="270" t="str">
        <f>IFERROR(INDEX([1]Produtos!$H:$H,MATCH(L488,[1]Produtos!$B:$B,0)), "-")</f>
        <v>CORPORAL</v>
      </c>
      <c r="R488" s="270" t="str">
        <f>IFERROR(INDEX([1]Produtos!$I:$I,MATCH(L488,[1]Produtos!$B:$B,0)), "-")</f>
        <v>CREME HIDRATANTE</v>
      </c>
      <c r="S488" s="270" t="str">
        <f>IFERROR(INDEX([1]Produtos!$J:$J,MATCH(L488,[1]Produtos!$B:$B,0)), "-")</f>
        <v>CREMOSO</v>
      </c>
      <c r="T488" s="475"/>
      <c r="U488" s="270"/>
      <c r="V488" s="270"/>
      <c r="W488" s="270"/>
      <c r="X488" s="270"/>
      <c r="Y488" s="270"/>
      <c r="Z488" s="270"/>
      <c r="AA488" s="270"/>
      <c r="AB488" s="270"/>
      <c r="AC488" s="270"/>
      <c r="AD488" s="270"/>
      <c r="AE488" s="270"/>
      <c r="AF488" s="270"/>
      <c r="AG488" s="270"/>
      <c r="AH488" s="270"/>
      <c r="AI488" s="270"/>
      <c r="AJ488" s="270"/>
      <c r="AK488" s="270"/>
      <c r="AL488" s="270"/>
      <c r="AM488" s="663"/>
      <c r="AN488" s="663"/>
      <c r="AO488" s="708" t="str">
        <f>IF(OR(Table1[[#This Row],[Início Setup Envase]]="",Table1[[#This Row],[Final Setup Envase]]=""),"",Table1[[#This Row],[Final Setup Envase]]-Table1[[#This Row],[Início Setup Envase]])</f>
        <v/>
      </c>
      <c r="AP488" s="663"/>
      <c r="AQ488" s="663"/>
      <c r="AR488" s="270"/>
      <c r="AS488" s="270"/>
      <c r="AT488" s="270"/>
      <c r="AU488" s="270"/>
      <c r="AV488" s="270"/>
      <c r="AW488" s="270"/>
      <c r="AX488" s="270"/>
      <c r="AY488" s="270"/>
      <c r="AZ488" s="270"/>
      <c r="BA488" s="270">
        <f>IF(Table1[[#This Row],[Data de Início]]="","",YEAR(Table1[[#This Row],[Data de Início]]))</f>
        <v>2025</v>
      </c>
      <c r="BB488" s="270">
        <f>IF(Table1[[#This Row],[Data de Início]]="","",MONTH(Table1[[#This Row],[Data de Início]]))</f>
        <v>9</v>
      </c>
      <c r="BC488" s="270"/>
    </row>
    <row r="489" spans="2:55" ht="15" customHeight="1" x14ac:dyDescent="0.25">
      <c r="B489" s="472">
        <v>45923.447916666664</v>
      </c>
      <c r="C489" s="263">
        <v>45924.347222222219</v>
      </c>
      <c r="D489" s="441" cm="1">
        <f t="array" ref="D489">IFERROR(HorasUteisFabrica2Turnos(B489,C489), "")</f>
        <v>6.5833333334303461</v>
      </c>
      <c r="E489" s="265">
        <f t="shared" si="7"/>
        <v>721.82278479948968</v>
      </c>
      <c r="F489" s="266" t="s">
        <v>377</v>
      </c>
      <c r="G489" s="266" t="s">
        <v>712</v>
      </c>
      <c r="H489" s="266"/>
      <c r="I489" s="269" t="s">
        <v>782</v>
      </c>
      <c r="J489" s="267" t="s">
        <v>15</v>
      </c>
      <c r="K489" s="268">
        <v>4752</v>
      </c>
      <c r="L489" s="269" t="s">
        <v>994</v>
      </c>
      <c r="M489" s="270" t="str">
        <f>IFERROR(INDEX([1]Produtos!$C:$C,MATCH(L489,[1]Produtos!$B:$B,0)), "-")</f>
        <v>BODY SPLASH ABDALLAH</v>
      </c>
      <c r="N489" s="510">
        <f>IFERROR(INDEX([1]Produtos!$E:$E,MATCH(L489,[1]Produtos!$B:$B,0)), "-")</f>
        <v>120</v>
      </c>
      <c r="O489" s="270" t="str">
        <f>IFERROR(INDEX([1]Produtos!$F:$F,MATCH(L489,[1]Produtos!$B:$B,0)), "-")</f>
        <v>ml</v>
      </c>
      <c r="P489" s="270" t="str">
        <f>IFERROR(INDEX([1]Produtos!$G:$G,MATCH(L489,[1]Produtos!$B:$B,0)), "-")</f>
        <v>ISA BEAUTY</v>
      </c>
      <c r="Q489" s="270" t="str">
        <f>IFERROR(INDEX([1]Produtos!$H:$H,MATCH(L489,[1]Produtos!$B:$B,0)), "-")</f>
        <v>PERFUMARIA</v>
      </c>
      <c r="R489" s="270" t="str">
        <f>IFERROR(INDEX([1]Produtos!$I:$I,MATCH(L489,[1]Produtos!$B:$B,0)), "-")</f>
        <v>BODY SPLASH</v>
      </c>
      <c r="S489" s="270" t="str">
        <f>IFERROR(INDEX([1]Produtos!$J:$J,MATCH(L489,[1]Produtos!$B:$B,0)), "-")</f>
        <v>LÍQUIDO</v>
      </c>
      <c r="T489" s="475"/>
      <c r="U489" s="270"/>
      <c r="V489" s="270"/>
      <c r="W489" s="270"/>
      <c r="X489" s="270"/>
      <c r="Y489" s="270"/>
      <c r="Z489" s="270"/>
      <c r="AA489" s="270"/>
      <c r="AB489" s="270"/>
      <c r="AC489" s="270"/>
      <c r="AD489" s="270"/>
      <c r="AE489" s="270"/>
      <c r="AF489" s="270"/>
      <c r="AG489" s="270"/>
      <c r="AH489" s="270"/>
      <c r="AI489" s="270"/>
      <c r="AJ489" s="270"/>
      <c r="AK489" s="270"/>
      <c r="AL489" s="270"/>
      <c r="AM489" s="663"/>
      <c r="AN489" s="663"/>
      <c r="AO489" s="708" t="str">
        <f>IF(OR(Table1[[#This Row],[Início Setup Envase]]="",Table1[[#This Row],[Final Setup Envase]]=""),"",Table1[[#This Row],[Final Setup Envase]]-Table1[[#This Row],[Início Setup Envase]])</f>
        <v/>
      </c>
      <c r="AP489" s="663"/>
      <c r="AQ489" s="663"/>
      <c r="AR489" s="270"/>
      <c r="AS489" s="270"/>
      <c r="AT489" s="270"/>
      <c r="AU489" s="270"/>
      <c r="AV489" s="270"/>
      <c r="AW489" s="270"/>
      <c r="AX489" s="270"/>
      <c r="AY489" s="270"/>
      <c r="AZ489" s="270"/>
      <c r="BA489" s="270">
        <f>IF(Table1[[#This Row],[Data de Início]]="","",YEAR(Table1[[#This Row],[Data de Início]]))</f>
        <v>2025</v>
      </c>
      <c r="BB489" s="270">
        <f>IF(Table1[[#This Row],[Data de Início]]="","",MONTH(Table1[[#This Row],[Data de Início]]))</f>
        <v>9</v>
      </c>
      <c r="BC489" s="270"/>
    </row>
    <row r="490" spans="2:55" ht="15" customHeight="1" x14ac:dyDescent="0.25">
      <c r="B490" s="470">
        <v>45923.666666666664</v>
      </c>
      <c r="C490" s="263">
        <v>45924.368055555555</v>
      </c>
      <c r="D490" s="441" cm="1">
        <f t="array" ref="D490">IFERROR(HorasUteisFabrica2Turnos(B490,C490), "")</f>
        <v>2.8333333334885538</v>
      </c>
      <c r="E490" s="265">
        <f t="shared" si="7"/>
        <v>897.88235289198713</v>
      </c>
      <c r="F490" s="266" t="s">
        <v>378</v>
      </c>
      <c r="G490" s="266" t="s">
        <v>799</v>
      </c>
      <c r="H490" s="266"/>
      <c r="I490" s="269" t="s">
        <v>796</v>
      </c>
      <c r="J490" s="267" t="s">
        <v>15</v>
      </c>
      <c r="K490" s="268">
        <v>2544</v>
      </c>
      <c r="L490" s="269" t="s">
        <v>213</v>
      </c>
      <c r="M490" s="270" t="str">
        <f>IFERROR(INDEX([1]Produtos!$C:$C,MATCH(L490,[1]Produtos!$B:$B,0)), "-")</f>
        <v>BODY SPLASH DEUSA DO NILO</v>
      </c>
      <c r="N490" s="510">
        <f>IFERROR(INDEX([1]Produtos!$E:$E,MATCH(L490,[1]Produtos!$B:$B,0)), "-")</f>
        <v>220</v>
      </c>
      <c r="O490" s="270" t="str">
        <f>IFERROR(INDEX([1]Produtos!$F:$F,MATCH(L490,[1]Produtos!$B:$B,0)), "-")</f>
        <v>ml</v>
      </c>
      <c r="P490" s="270" t="str">
        <f>IFERROR(INDEX([1]Produtos!$G:$G,MATCH(L490,[1]Produtos!$B:$B,0)), "-")</f>
        <v>MISS RÔSE</v>
      </c>
      <c r="Q490" s="270" t="str">
        <f>IFERROR(INDEX([1]Produtos!$H:$H,MATCH(L490,[1]Produtos!$B:$B,0)), "-")</f>
        <v>PERFUMARIA</v>
      </c>
      <c r="R490" s="270" t="str">
        <f>IFERROR(INDEX([1]Produtos!$I:$I,MATCH(L490,[1]Produtos!$B:$B,0)), "-")</f>
        <v>BODY SPLASH</v>
      </c>
      <c r="S490" s="270" t="str">
        <f>IFERROR(INDEX([1]Produtos!$J:$J,MATCH(L490,[1]Produtos!$B:$B,0)), "-")</f>
        <v>LÍQUIDO</v>
      </c>
      <c r="T490" s="475"/>
      <c r="U490" s="270"/>
      <c r="V490" s="270"/>
      <c r="W490" s="270"/>
      <c r="X490" s="270"/>
      <c r="Y490" s="270"/>
      <c r="Z490" s="270"/>
      <c r="AA490" s="270"/>
      <c r="AB490" s="270"/>
      <c r="AC490" s="270"/>
      <c r="AD490" s="270"/>
      <c r="AE490" s="270"/>
      <c r="AF490" s="270"/>
      <c r="AG490" s="270"/>
      <c r="AH490" s="270"/>
      <c r="AI490" s="270"/>
      <c r="AJ490" s="270"/>
      <c r="AK490" s="270"/>
      <c r="AL490" s="270"/>
      <c r="AM490" s="663"/>
      <c r="AN490" s="663"/>
      <c r="AO490" s="708" t="str">
        <f>IF(OR(Table1[[#This Row],[Início Setup Envase]]="",Table1[[#This Row],[Final Setup Envase]]=""),"",Table1[[#This Row],[Final Setup Envase]]-Table1[[#This Row],[Início Setup Envase]])</f>
        <v/>
      </c>
      <c r="AP490" s="663"/>
      <c r="AQ490" s="663"/>
      <c r="AR490" s="270"/>
      <c r="AS490" s="270"/>
      <c r="AT490" s="270"/>
      <c r="AU490" s="270"/>
      <c r="AV490" s="270"/>
      <c r="AW490" s="270"/>
      <c r="AX490" s="270"/>
      <c r="AY490" s="270"/>
      <c r="AZ490" s="270"/>
      <c r="BA490" s="270">
        <f>IF(Table1[[#This Row],[Data de Início]]="","",YEAR(Table1[[#This Row],[Data de Início]]))</f>
        <v>2025</v>
      </c>
      <c r="BB490" s="270">
        <f>IF(Table1[[#This Row],[Data de Início]]="","",MONTH(Table1[[#This Row],[Data de Início]]))</f>
        <v>9</v>
      </c>
      <c r="BC490" s="270"/>
    </row>
    <row r="491" spans="2:55" ht="15" customHeight="1" x14ac:dyDescent="0.25">
      <c r="B491" s="470">
        <v>45924.347222222219</v>
      </c>
      <c r="C491" s="263">
        <v>45924.629166666666</v>
      </c>
      <c r="D491" s="441" cm="1">
        <f t="array" ref="D491">IFERROR(HorasUteisFabrica2Turnos(B491,C491), "")</f>
        <v>5.7666666667209938</v>
      </c>
      <c r="E491" s="265">
        <f t="shared" si="7"/>
        <v>849.01734103246395</v>
      </c>
      <c r="F491" s="266" t="s">
        <v>377</v>
      </c>
      <c r="G491" s="266" t="s">
        <v>712</v>
      </c>
      <c r="H491" s="266"/>
      <c r="I491" s="269" t="s">
        <v>797</v>
      </c>
      <c r="J491" s="267" t="s">
        <v>15</v>
      </c>
      <c r="K491" s="268">
        <v>4896</v>
      </c>
      <c r="L491" s="269" t="s">
        <v>995</v>
      </c>
      <c r="M491" s="270" t="str">
        <f>IFERROR(INDEX([1]Produtos!$C:$C,MATCH(L491,[1]Produtos!$B:$B,0)), "-")</f>
        <v>BODY SPLASH ÁRABE</v>
      </c>
      <c r="N491" s="510">
        <f>IFERROR(INDEX([1]Produtos!$E:$E,MATCH(L491,[1]Produtos!$B:$B,0)), "-")</f>
        <v>120</v>
      </c>
      <c r="O491" s="270" t="str">
        <f>IFERROR(INDEX([1]Produtos!$F:$F,MATCH(L491,[1]Produtos!$B:$B,0)), "-")</f>
        <v>ml</v>
      </c>
      <c r="P491" s="270" t="str">
        <f>IFERROR(INDEX([1]Produtos!$G:$G,MATCH(L491,[1]Produtos!$B:$B,0)), "-")</f>
        <v>ISA BEAUTY</v>
      </c>
      <c r="Q491" s="270" t="str">
        <f>IFERROR(INDEX([1]Produtos!$H:$H,MATCH(L491,[1]Produtos!$B:$B,0)), "-")</f>
        <v>PERFUMARIA</v>
      </c>
      <c r="R491" s="270" t="str">
        <f>IFERROR(INDEX([1]Produtos!$I:$I,MATCH(L491,[1]Produtos!$B:$B,0)), "-")</f>
        <v>BODY SPLASH</v>
      </c>
      <c r="S491" s="270" t="str">
        <f>IFERROR(INDEX([1]Produtos!$J:$J,MATCH(L491,[1]Produtos!$B:$B,0)), "-")</f>
        <v>LÍQUIDO</v>
      </c>
      <c r="T491" s="475"/>
      <c r="U491" s="270"/>
      <c r="V491" s="270"/>
      <c r="W491" s="270"/>
      <c r="X491" s="270"/>
      <c r="Y491" s="270"/>
      <c r="Z491" s="270"/>
      <c r="AA491" s="270"/>
      <c r="AB491" s="270"/>
      <c r="AC491" s="270"/>
      <c r="AD491" s="270"/>
      <c r="AE491" s="270"/>
      <c r="AF491" s="270"/>
      <c r="AG491" s="270"/>
      <c r="AH491" s="270"/>
      <c r="AI491" s="270"/>
      <c r="AJ491" s="270"/>
      <c r="AK491" s="270"/>
      <c r="AL491" s="270"/>
      <c r="AM491" s="663"/>
      <c r="AN491" s="663"/>
      <c r="AO491" s="708" t="str">
        <f>IF(OR(Table1[[#This Row],[Início Setup Envase]]="",Table1[[#This Row],[Final Setup Envase]]=""),"",Table1[[#This Row],[Final Setup Envase]]-Table1[[#This Row],[Início Setup Envase]])</f>
        <v/>
      </c>
      <c r="AP491" s="663"/>
      <c r="AQ491" s="663"/>
      <c r="AR491" s="270"/>
      <c r="AS491" s="270"/>
      <c r="AT491" s="270"/>
      <c r="AU491" s="270"/>
      <c r="AV491" s="270"/>
      <c r="AW491" s="270"/>
      <c r="AX491" s="270"/>
      <c r="AY491" s="270"/>
      <c r="AZ491" s="270"/>
      <c r="BA491" s="270">
        <f>IF(Table1[[#This Row],[Data de Início]]="","",YEAR(Table1[[#This Row],[Data de Início]]))</f>
        <v>2025</v>
      </c>
      <c r="BB491" s="270">
        <f>IF(Table1[[#This Row],[Data de Início]]="","",MONTH(Table1[[#This Row],[Data de Início]]))</f>
        <v>9</v>
      </c>
      <c r="BC491" s="270"/>
    </row>
    <row r="492" spans="2:55" ht="15" customHeight="1" x14ac:dyDescent="0.25">
      <c r="B492" s="470">
        <v>45924.368055555555</v>
      </c>
      <c r="C492" s="263">
        <v>45924.463888888888</v>
      </c>
      <c r="D492" s="441" cm="1">
        <f t="array" ref="D492">IFERROR(HorasUteisFabrica2Turnos(B492,C492), "")</f>
        <v>2.2999999999883585</v>
      </c>
      <c r="E492" s="458">
        <f t="shared" si="7"/>
        <v>605.21739130741116</v>
      </c>
      <c r="F492" s="266" t="s">
        <v>378</v>
      </c>
      <c r="G492" s="266" t="s">
        <v>799</v>
      </c>
      <c r="H492" s="266"/>
      <c r="I492" s="269" t="s">
        <v>795</v>
      </c>
      <c r="J492" s="267" t="s">
        <v>15</v>
      </c>
      <c r="K492" s="268">
        <v>1392</v>
      </c>
      <c r="L492" s="269" t="s">
        <v>213</v>
      </c>
      <c r="M492" s="270" t="str">
        <f>IFERROR(INDEX([1]Produtos!$C:$C,MATCH(L492,[1]Produtos!$B:$B,0)), "-")</f>
        <v>BODY SPLASH DEUSA DO NILO</v>
      </c>
      <c r="N492" s="510">
        <f>IFERROR(INDEX([1]Produtos!$E:$E,MATCH(L492,[1]Produtos!$B:$B,0)), "-")</f>
        <v>220</v>
      </c>
      <c r="O492" s="270" t="str">
        <f>IFERROR(INDEX([1]Produtos!$F:$F,MATCH(L492,[1]Produtos!$B:$B,0)), "-")</f>
        <v>ml</v>
      </c>
      <c r="P492" s="270" t="str">
        <f>IFERROR(INDEX([1]Produtos!$G:$G,MATCH(L492,[1]Produtos!$B:$B,0)), "-")</f>
        <v>MISS RÔSE</v>
      </c>
      <c r="Q492" s="270" t="str">
        <f>IFERROR(INDEX([1]Produtos!$H:$H,MATCH(L492,[1]Produtos!$B:$B,0)), "-")</f>
        <v>PERFUMARIA</v>
      </c>
      <c r="R492" s="270" t="str">
        <f>IFERROR(INDEX([1]Produtos!$I:$I,MATCH(L492,[1]Produtos!$B:$B,0)), "-")</f>
        <v>BODY SPLASH</v>
      </c>
      <c r="S492" s="270" t="str">
        <f>IFERROR(INDEX([1]Produtos!$J:$J,MATCH(L492,[1]Produtos!$B:$B,0)), "-")</f>
        <v>LÍQUIDO</v>
      </c>
      <c r="T492" s="475"/>
      <c r="U492" s="270"/>
      <c r="V492" s="270"/>
      <c r="W492" s="270"/>
      <c r="X492" s="270"/>
      <c r="Y492" s="270"/>
      <c r="Z492" s="270"/>
      <c r="AA492" s="270"/>
      <c r="AB492" s="270"/>
      <c r="AC492" s="270"/>
      <c r="AD492" s="270"/>
      <c r="AE492" s="270"/>
      <c r="AF492" s="270"/>
      <c r="AG492" s="270"/>
      <c r="AH492" s="270"/>
      <c r="AI492" s="270"/>
      <c r="AJ492" s="270"/>
      <c r="AK492" s="270"/>
      <c r="AL492" s="270"/>
      <c r="AM492" s="663"/>
      <c r="AN492" s="663"/>
      <c r="AO492" s="708" t="str">
        <f>IF(OR(Table1[[#This Row],[Início Setup Envase]]="",Table1[[#This Row],[Final Setup Envase]]=""),"",Table1[[#This Row],[Final Setup Envase]]-Table1[[#This Row],[Início Setup Envase]])</f>
        <v/>
      </c>
      <c r="AP492" s="663"/>
      <c r="AQ492" s="663"/>
      <c r="AR492" s="270"/>
      <c r="AS492" s="270"/>
      <c r="AT492" s="270"/>
      <c r="AU492" s="270"/>
      <c r="AV492" s="270"/>
      <c r="AW492" s="270"/>
      <c r="AX492" s="270"/>
      <c r="AY492" s="270"/>
      <c r="AZ492" s="270"/>
      <c r="BA492" s="270">
        <f>IF(Table1[[#This Row],[Data de Início]]="","",YEAR(Table1[[#This Row],[Data de Início]]))</f>
        <v>2025</v>
      </c>
      <c r="BB492" s="270">
        <f>IF(Table1[[#This Row],[Data de Início]]="","",MONTH(Table1[[#This Row],[Data de Início]]))</f>
        <v>9</v>
      </c>
      <c r="BC492" s="270"/>
    </row>
    <row r="493" spans="2:55" ht="15" customHeight="1" x14ac:dyDescent="0.25">
      <c r="B493" s="470">
        <v>45924.463888888888</v>
      </c>
      <c r="C493" s="263">
        <v>45924.655555555553</v>
      </c>
      <c r="D493" s="441" cm="1">
        <f t="array" ref="D493">IFERROR(HorasUteisFabrica2Turnos(B493,C493), "")</f>
        <v>3.5999999999767169</v>
      </c>
      <c r="E493" s="265">
        <f t="shared" si="7"/>
        <v>706.66666667123707</v>
      </c>
      <c r="F493" s="266" t="s">
        <v>378</v>
      </c>
      <c r="G493" s="266" t="s">
        <v>799</v>
      </c>
      <c r="H493" s="266"/>
      <c r="I493" s="269" t="s">
        <v>792</v>
      </c>
      <c r="J493" s="267" t="s">
        <v>15</v>
      </c>
      <c r="K493" s="268">
        <v>2544</v>
      </c>
      <c r="L493" s="269" t="s">
        <v>296</v>
      </c>
      <c r="M493" s="270" t="str">
        <f>IFERROR(INDEX([1]Produtos!$C:$C,MATCH(L493,[1]Produtos!$B:$B,0)), "-")</f>
        <v>BODY SPLASH NÉCTAR DAS TAMARAS</v>
      </c>
      <c r="N493" s="510">
        <f>IFERROR(INDEX([1]Produtos!$E:$E,MATCH(L493,[1]Produtos!$B:$B,0)), "-")</f>
        <v>220</v>
      </c>
      <c r="O493" s="270" t="str">
        <f>IFERROR(INDEX([1]Produtos!$F:$F,MATCH(L493,[1]Produtos!$B:$B,0)), "-")</f>
        <v>ml</v>
      </c>
      <c r="P493" s="270" t="str">
        <f>IFERROR(INDEX([1]Produtos!$G:$G,MATCH(L493,[1]Produtos!$B:$B,0)), "-")</f>
        <v>MISS RÔSE</v>
      </c>
      <c r="Q493" s="270" t="str">
        <f>IFERROR(INDEX([1]Produtos!$H:$H,MATCH(L493,[1]Produtos!$B:$B,0)), "-")</f>
        <v>PERFUMARIA</v>
      </c>
      <c r="R493" s="270" t="str">
        <f>IFERROR(INDEX([1]Produtos!$I:$I,MATCH(L493,[1]Produtos!$B:$B,0)), "-")</f>
        <v>BODY SPLASH</v>
      </c>
      <c r="S493" s="270" t="str">
        <f>IFERROR(INDEX([1]Produtos!$J:$J,MATCH(L493,[1]Produtos!$B:$B,0)), "-")</f>
        <v>LÍQUIDO</v>
      </c>
      <c r="T493" s="475"/>
      <c r="U493" s="270"/>
      <c r="V493" s="270"/>
      <c r="W493" s="270"/>
      <c r="X493" s="270"/>
      <c r="Y493" s="270"/>
      <c r="Z493" s="270"/>
      <c r="AA493" s="270"/>
      <c r="AB493" s="270"/>
      <c r="AC493" s="270"/>
      <c r="AD493" s="270"/>
      <c r="AE493" s="270"/>
      <c r="AF493" s="270"/>
      <c r="AG493" s="270"/>
      <c r="AH493" s="270"/>
      <c r="AI493" s="270"/>
      <c r="AJ493" s="270"/>
      <c r="AK493" s="270"/>
      <c r="AL493" s="270"/>
      <c r="AM493" s="663"/>
      <c r="AN493" s="663"/>
      <c r="AO493" s="708" t="str">
        <f>IF(OR(Table1[[#This Row],[Início Setup Envase]]="",Table1[[#This Row],[Final Setup Envase]]=""),"",Table1[[#This Row],[Final Setup Envase]]-Table1[[#This Row],[Início Setup Envase]])</f>
        <v/>
      </c>
      <c r="AP493" s="663"/>
      <c r="AQ493" s="663"/>
      <c r="AR493" s="270"/>
      <c r="AS493" s="270"/>
      <c r="AT493" s="270"/>
      <c r="AU493" s="270"/>
      <c r="AV493" s="270"/>
      <c r="AW493" s="270"/>
      <c r="AX493" s="270"/>
      <c r="AY493" s="270"/>
      <c r="AZ493" s="270"/>
      <c r="BA493" s="270">
        <f>IF(Table1[[#This Row],[Data de Início]]="","",YEAR(Table1[[#This Row],[Data de Início]]))</f>
        <v>2025</v>
      </c>
      <c r="BB493" s="270">
        <f>IF(Table1[[#This Row],[Data de Início]]="","",MONTH(Table1[[#This Row],[Data de Início]]))</f>
        <v>9</v>
      </c>
      <c r="BC493" s="270"/>
    </row>
    <row r="494" spans="2:55" ht="15" customHeight="1" x14ac:dyDescent="0.25">
      <c r="B494" s="470">
        <v>45924.655555555553</v>
      </c>
      <c r="C494" s="263">
        <v>45925.368055555555</v>
      </c>
      <c r="D494" s="441" cm="1">
        <f t="array" ref="D494">IFERROR(HorasUteisFabrica2Turnos(B494,C494), "")</f>
        <v>3.1000000001513399</v>
      </c>
      <c r="E494" s="458">
        <f t="shared" si="7"/>
        <v>820.64516125025921</v>
      </c>
      <c r="F494" s="266" t="s">
        <v>378</v>
      </c>
      <c r="G494" s="266" t="s">
        <v>799</v>
      </c>
      <c r="H494" s="266"/>
      <c r="I494" s="269" t="s">
        <v>793</v>
      </c>
      <c r="J494" s="267" t="s">
        <v>15</v>
      </c>
      <c r="K494" s="268">
        <v>2544</v>
      </c>
      <c r="L494" s="269" t="s">
        <v>296</v>
      </c>
      <c r="M494" s="270" t="str">
        <f>IFERROR(INDEX([1]Produtos!$C:$C,MATCH(L494,[1]Produtos!$B:$B,0)), "-")</f>
        <v>BODY SPLASH NÉCTAR DAS TAMARAS</v>
      </c>
      <c r="N494" s="510">
        <f>IFERROR(INDEX([1]Produtos!$E:$E,MATCH(L494,[1]Produtos!$B:$B,0)), "-")</f>
        <v>220</v>
      </c>
      <c r="O494" s="270" t="str">
        <f>IFERROR(INDEX([1]Produtos!$F:$F,MATCH(L494,[1]Produtos!$B:$B,0)), "-")</f>
        <v>ml</v>
      </c>
      <c r="P494" s="270" t="str">
        <f>IFERROR(INDEX([1]Produtos!$G:$G,MATCH(L494,[1]Produtos!$B:$B,0)), "-")</f>
        <v>MISS RÔSE</v>
      </c>
      <c r="Q494" s="270" t="str">
        <f>IFERROR(INDEX([1]Produtos!$H:$H,MATCH(L494,[1]Produtos!$B:$B,0)), "-")</f>
        <v>PERFUMARIA</v>
      </c>
      <c r="R494" s="270" t="str">
        <f>IFERROR(INDEX([1]Produtos!$I:$I,MATCH(L494,[1]Produtos!$B:$B,0)), "-")</f>
        <v>BODY SPLASH</v>
      </c>
      <c r="S494" s="270" t="str">
        <f>IFERROR(INDEX([1]Produtos!$J:$J,MATCH(L494,[1]Produtos!$B:$B,0)), "-")</f>
        <v>LÍQUIDO</v>
      </c>
      <c r="T494" s="475"/>
      <c r="U494" s="270"/>
      <c r="V494" s="270"/>
      <c r="W494" s="270"/>
      <c r="X494" s="270"/>
      <c r="Y494" s="270"/>
      <c r="Z494" s="270"/>
      <c r="AA494" s="270"/>
      <c r="AB494" s="270"/>
      <c r="AC494" s="270"/>
      <c r="AD494" s="270"/>
      <c r="AE494" s="270"/>
      <c r="AF494" s="270"/>
      <c r="AG494" s="270"/>
      <c r="AH494" s="270"/>
      <c r="AI494" s="270"/>
      <c r="AJ494" s="270"/>
      <c r="AK494" s="270"/>
      <c r="AL494" s="270"/>
      <c r="AM494" s="663"/>
      <c r="AN494" s="663"/>
      <c r="AO494" s="708" t="str">
        <f>IF(OR(Table1[[#This Row],[Início Setup Envase]]="",Table1[[#This Row],[Final Setup Envase]]=""),"",Table1[[#This Row],[Final Setup Envase]]-Table1[[#This Row],[Início Setup Envase]])</f>
        <v/>
      </c>
      <c r="AP494" s="663"/>
      <c r="AQ494" s="663"/>
      <c r="AR494" s="270"/>
      <c r="AS494" s="270"/>
      <c r="AT494" s="270"/>
      <c r="AU494" s="270"/>
      <c r="AV494" s="270"/>
      <c r="AW494" s="270"/>
      <c r="AX494" s="270"/>
      <c r="AY494" s="270"/>
      <c r="AZ494" s="270"/>
      <c r="BA494" s="270">
        <f>IF(Table1[[#This Row],[Data de Início]]="","",YEAR(Table1[[#This Row],[Data de Início]]))</f>
        <v>2025</v>
      </c>
      <c r="BB494" s="270">
        <f>IF(Table1[[#This Row],[Data de Início]]="","",MONTH(Table1[[#This Row],[Data de Início]]))</f>
        <v>9</v>
      </c>
      <c r="BC494" s="270"/>
    </row>
    <row r="495" spans="2:55" ht="15" customHeight="1" x14ac:dyDescent="0.25">
      <c r="B495" s="472">
        <v>45925.375</v>
      </c>
      <c r="C495" s="263">
        <v>45925.484722222223</v>
      </c>
      <c r="D495" s="441" cm="1">
        <f t="array" ref="D495">IFERROR(HorasUteisFabrica2Turnos(B495,C495), "")</f>
        <v>2.6333333333604969</v>
      </c>
      <c r="E495" s="265">
        <f t="shared" si="7"/>
        <v>966.07594935712325</v>
      </c>
      <c r="F495" s="266" t="s">
        <v>377</v>
      </c>
      <c r="G495" s="266" t="s">
        <v>799</v>
      </c>
      <c r="H495" s="266"/>
      <c r="I495" s="269" t="s">
        <v>791</v>
      </c>
      <c r="J495" s="267" t="s">
        <v>15</v>
      </c>
      <c r="K495" s="268">
        <v>2544</v>
      </c>
      <c r="L495" s="269" t="s">
        <v>296</v>
      </c>
      <c r="M495" s="270" t="str">
        <f>IFERROR(INDEX([1]Produtos!$C:$C,MATCH(L495,[1]Produtos!$B:$B,0)), "-")</f>
        <v>BODY SPLASH NÉCTAR DAS TAMARAS</v>
      </c>
      <c r="N495" s="510">
        <f>IFERROR(INDEX([1]Produtos!$E:$E,MATCH(L495,[1]Produtos!$B:$B,0)), "-")</f>
        <v>220</v>
      </c>
      <c r="O495" s="270" t="str">
        <f>IFERROR(INDEX([1]Produtos!$F:$F,MATCH(L495,[1]Produtos!$B:$B,0)), "-")</f>
        <v>ml</v>
      </c>
      <c r="P495" s="270" t="str">
        <f>IFERROR(INDEX([1]Produtos!$G:$G,MATCH(L495,[1]Produtos!$B:$B,0)), "-")</f>
        <v>MISS RÔSE</v>
      </c>
      <c r="Q495" s="270" t="str">
        <f>IFERROR(INDEX([1]Produtos!$H:$H,MATCH(L495,[1]Produtos!$B:$B,0)), "-")</f>
        <v>PERFUMARIA</v>
      </c>
      <c r="R495" s="270" t="str">
        <f>IFERROR(INDEX([1]Produtos!$I:$I,MATCH(L495,[1]Produtos!$B:$B,0)), "-")</f>
        <v>BODY SPLASH</v>
      </c>
      <c r="S495" s="270" t="str">
        <f>IFERROR(INDEX([1]Produtos!$J:$J,MATCH(L495,[1]Produtos!$B:$B,0)), "-")</f>
        <v>LÍQUIDO</v>
      </c>
      <c r="T495" s="475"/>
      <c r="U495" s="270"/>
      <c r="V495" s="270"/>
      <c r="W495" s="270"/>
      <c r="X495" s="270"/>
      <c r="Y495" s="270"/>
      <c r="Z495" s="270"/>
      <c r="AA495" s="270"/>
      <c r="AB495" s="270"/>
      <c r="AC495" s="270"/>
      <c r="AD495" s="270"/>
      <c r="AE495" s="270"/>
      <c r="AF495" s="270"/>
      <c r="AG495" s="270"/>
      <c r="AH495" s="270"/>
      <c r="AI495" s="270"/>
      <c r="AJ495" s="270"/>
      <c r="AK495" s="270"/>
      <c r="AL495" s="270"/>
      <c r="AM495" s="663"/>
      <c r="AN495" s="663"/>
      <c r="AO495" s="708" t="str">
        <f>IF(OR(Table1[[#This Row],[Início Setup Envase]]="",Table1[[#This Row],[Final Setup Envase]]=""),"",Table1[[#This Row],[Final Setup Envase]]-Table1[[#This Row],[Início Setup Envase]])</f>
        <v/>
      </c>
      <c r="AP495" s="663"/>
      <c r="AQ495" s="663"/>
      <c r="AR495" s="270"/>
      <c r="AS495" s="270"/>
      <c r="AT495" s="270"/>
      <c r="AU495" s="270"/>
      <c r="AV495" s="270"/>
      <c r="AW495" s="270"/>
      <c r="AX495" s="270"/>
      <c r="AY495" s="270"/>
      <c r="AZ495" s="270"/>
      <c r="BA495" s="270">
        <f>IF(Table1[[#This Row],[Data de Início]]="","",YEAR(Table1[[#This Row],[Data de Início]]))</f>
        <v>2025</v>
      </c>
      <c r="BB495" s="270">
        <f>IF(Table1[[#This Row],[Data de Início]]="","",MONTH(Table1[[#This Row],[Data de Início]]))</f>
        <v>9</v>
      </c>
      <c r="BC495" s="270"/>
    </row>
    <row r="496" spans="2:55" ht="15" customHeight="1" x14ac:dyDescent="0.25">
      <c r="B496" s="470">
        <v>45925.484722222223</v>
      </c>
      <c r="C496" s="263">
        <v>45926.320833333331</v>
      </c>
      <c r="D496" s="441" cm="1">
        <f t="array" ref="D496">IFERROR(HorasUteisFabrica2Turnos(B496,C496), "")</f>
        <v>5.0666666667093523</v>
      </c>
      <c r="E496" s="265">
        <f t="shared" si="7"/>
        <v>502.10526315366462</v>
      </c>
      <c r="F496" s="266" t="s">
        <v>378</v>
      </c>
      <c r="G496" s="266" t="s">
        <v>799</v>
      </c>
      <c r="H496" s="266"/>
      <c r="I496" s="269" t="s">
        <v>798</v>
      </c>
      <c r="J496" s="267" t="s">
        <v>15</v>
      </c>
      <c r="K496" s="268">
        <v>2544</v>
      </c>
      <c r="L496" s="269" t="s">
        <v>296</v>
      </c>
      <c r="M496" s="270" t="str">
        <f>IFERROR(INDEX([1]Produtos!$C:$C,MATCH(L496,[1]Produtos!$B:$B,0)), "-")</f>
        <v>BODY SPLASH NÉCTAR DAS TAMARAS</v>
      </c>
      <c r="N496" s="510">
        <f>IFERROR(INDEX([1]Produtos!$E:$E,MATCH(L496,[1]Produtos!$B:$B,0)), "-")</f>
        <v>220</v>
      </c>
      <c r="O496" s="270" t="str">
        <f>IFERROR(INDEX([1]Produtos!$F:$F,MATCH(L496,[1]Produtos!$B:$B,0)), "-")</f>
        <v>ml</v>
      </c>
      <c r="P496" s="270" t="str">
        <f>IFERROR(INDEX([1]Produtos!$G:$G,MATCH(L496,[1]Produtos!$B:$B,0)), "-")</f>
        <v>MISS RÔSE</v>
      </c>
      <c r="Q496" s="270" t="str">
        <f>IFERROR(INDEX([1]Produtos!$H:$H,MATCH(L496,[1]Produtos!$B:$B,0)), "-")</f>
        <v>PERFUMARIA</v>
      </c>
      <c r="R496" s="270" t="str">
        <f>IFERROR(INDEX([1]Produtos!$I:$I,MATCH(L496,[1]Produtos!$B:$B,0)), "-")</f>
        <v>BODY SPLASH</v>
      </c>
      <c r="S496" s="270" t="str">
        <f>IFERROR(INDEX([1]Produtos!$J:$J,MATCH(L496,[1]Produtos!$B:$B,0)), "-")</f>
        <v>LÍQUIDO</v>
      </c>
      <c r="T496" s="475"/>
      <c r="U496" s="270"/>
      <c r="V496" s="270"/>
      <c r="W496" s="270"/>
      <c r="X496" s="270"/>
      <c r="Y496" s="270"/>
      <c r="Z496" s="270"/>
      <c r="AA496" s="270"/>
      <c r="AB496" s="270"/>
      <c r="AC496" s="270"/>
      <c r="AD496" s="270"/>
      <c r="AE496" s="270"/>
      <c r="AF496" s="270"/>
      <c r="AG496" s="270"/>
      <c r="AH496" s="270"/>
      <c r="AI496" s="270"/>
      <c r="AJ496" s="270"/>
      <c r="AK496" s="270"/>
      <c r="AL496" s="270"/>
      <c r="AM496" s="663"/>
      <c r="AN496" s="663"/>
      <c r="AO496" s="708" t="str">
        <f>IF(OR(Table1[[#This Row],[Início Setup Envase]]="",Table1[[#This Row],[Final Setup Envase]]=""),"",Table1[[#This Row],[Final Setup Envase]]-Table1[[#This Row],[Início Setup Envase]])</f>
        <v/>
      </c>
      <c r="AP496" s="663"/>
      <c r="AQ496" s="663"/>
      <c r="AR496" s="270"/>
      <c r="AS496" s="270"/>
      <c r="AT496" s="270"/>
      <c r="AU496" s="270"/>
      <c r="AV496" s="270"/>
      <c r="AW496" s="270"/>
      <c r="AX496" s="270"/>
      <c r="AY496" s="270"/>
      <c r="AZ496" s="270"/>
      <c r="BA496" s="270">
        <f>IF(Table1[[#This Row],[Data de Início]]="","",YEAR(Table1[[#This Row],[Data de Início]]))</f>
        <v>2025</v>
      </c>
      <c r="BB496" s="270">
        <f>IF(Table1[[#This Row],[Data de Início]]="","",MONTH(Table1[[#This Row],[Data de Início]]))</f>
        <v>9</v>
      </c>
      <c r="BC496" s="270"/>
    </row>
    <row r="497" spans="2:55" ht="15" customHeight="1" x14ac:dyDescent="0.25">
      <c r="B497" s="470">
        <v>45926.324999999997</v>
      </c>
      <c r="C497" s="263">
        <v>45926.415972222225</v>
      </c>
      <c r="D497" s="441" cm="1">
        <f t="array" ref="D497">IFERROR(HorasUteisFabrica2Turnos(B497,C497), "")</f>
        <v>2.1833333334652707</v>
      </c>
      <c r="E497" s="265">
        <f t="shared" si="7"/>
        <v>1165.1908396242447</v>
      </c>
      <c r="F497" s="266" t="s">
        <v>378</v>
      </c>
      <c r="G497" s="266" t="s">
        <v>799</v>
      </c>
      <c r="H497" s="266"/>
      <c r="I497" s="269" t="s">
        <v>794</v>
      </c>
      <c r="J497" s="267" t="s">
        <v>15</v>
      </c>
      <c r="K497" s="268">
        <v>2544</v>
      </c>
      <c r="L497" s="269" t="s">
        <v>296</v>
      </c>
      <c r="M497" s="270" t="str">
        <f>IFERROR(INDEX([1]Produtos!$C:$C,MATCH(L497,[1]Produtos!$B:$B,0)), "-")</f>
        <v>BODY SPLASH NÉCTAR DAS TAMARAS</v>
      </c>
      <c r="N497" s="510">
        <f>IFERROR(INDEX([1]Produtos!$E:$E,MATCH(L497,[1]Produtos!$B:$B,0)), "-")</f>
        <v>220</v>
      </c>
      <c r="O497" s="270" t="str">
        <f>IFERROR(INDEX([1]Produtos!$F:$F,MATCH(L497,[1]Produtos!$B:$B,0)), "-")</f>
        <v>ml</v>
      </c>
      <c r="P497" s="270" t="str">
        <f>IFERROR(INDEX([1]Produtos!$G:$G,MATCH(L497,[1]Produtos!$B:$B,0)), "-")</f>
        <v>MISS RÔSE</v>
      </c>
      <c r="Q497" s="270" t="str">
        <f>IFERROR(INDEX([1]Produtos!$H:$H,MATCH(L497,[1]Produtos!$B:$B,0)), "-")</f>
        <v>PERFUMARIA</v>
      </c>
      <c r="R497" s="270" t="str">
        <f>IFERROR(INDEX([1]Produtos!$I:$I,MATCH(L497,[1]Produtos!$B:$B,0)), "-")</f>
        <v>BODY SPLASH</v>
      </c>
      <c r="S497" s="270" t="str">
        <f>IFERROR(INDEX([1]Produtos!$J:$J,MATCH(L497,[1]Produtos!$B:$B,0)), "-")</f>
        <v>LÍQUIDO</v>
      </c>
      <c r="T497" s="475"/>
      <c r="U497" s="270"/>
      <c r="V497" s="270"/>
      <c r="W497" s="270"/>
      <c r="X497" s="270"/>
      <c r="Y497" s="270"/>
      <c r="Z497" s="270"/>
      <c r="AA497" s="270"/>
      <c r="AB497" s="270"/>
      <c r="AC497" s="270"/>
      <c r="AD497" s="270"/>
      <c r="AE497" s="270"/>
      <c r="AF497" s="270"/>
      <c r="AG497" s="270"/>
      <c r="AH497" s="270"/>
      <c r="AI497" s="270"/>
      <c r="AJ497" s="270"/>
      <c r="AK497" s="270"/>
      <c r="AL497" s="270"/>
      <c r="AM497" s="663"/>
      <c r="AN497" s="663"/>
      <c r="AO497" s="708" t="str">
        <f>IF(OR(Table1[[#This Row],[Início Setup Envase]]="",Table1[[#This Row],[Final Setup Envase]]=""),"",Table1[[#This Row],[Final Setup Envase]]-Table1[[#This Row],[Início Setup Envase]])</f>
        <v/>
      </c>
      <c r="AP497" s="663"/>
      <c r="AQ497" s="663"/>
      <c r="AR497" s="270"/>
      <c r="AS497" s="270"/>
      <c r="AT497" s="270"/>
      <c r="AU497" s="270"/>
      <c r="AV497" s="270"/>
      <c r="AW497" s="270"/>
      <c r="AX497" s="270"/>
      <c r="AY497" s="270"/>
      <c r="AZ497" s="270"/>
      <c r="BA497" s="270">
        <f>IF(Table1[[#This Row],[Data de Início]]="","",YEAR(Table1[[#This Row],[Data de Início]]))</f>
        <v>2025</v>
      </c>
      <c r="BB497" s="270">
        <f>IF(Table1[[#This Row],[Data de Início]]="","",MONTH(Table1[[#This Row],[Data de Início]]))</f>
        <v>9</v>
      </c>
      <c r="BC497" s="270"/>
    </row>
    <row r="498" spans="2:55" ht="15" customHeight="1" x14ac:dyDescent="0.25">
      <c r="B498" s="470">
        <v>45926.401388888888</v>
      </c>
      <c r="C498" s="263">
        <v>45929.347222222219</v>
      </c>
      <c r="D498" s="441" cm="1">
        <f t="array" ref="D498">IFERROR(HorasUteisFabrica2Turnos(B498,C498), "")</f>
        <v>6.6999999999534339</v>
      </c>
      <c r="E498" s="265">
        <f t="shared" si="7"/>
        <v>746.26865672160466</v>
      </c>
      <c r="F498" s="266" t="s">
        <v>377</v>
      </c>
      <c r="G498" s="266" t="s">
        <v>712</v>
      </c>
      <c r="H498" s="266"/>
      <c r="I498" s="269" t="s">
        <v>812</v>
      </c>
      <c r="J498" s="267" t="s">
        <v>15</v>
      </c>
      <c r="K498" s="268">
        <v>5000</v>
      </c>
      <c r="L498" s="269" t="s">
        <v>996</v>
      </c>
      <c r="M498" s="270" t="str">
        <f>IFERROR(INDEX([1]Produtos!$C:$C,MATCH(L498,[1]Produtos!$B:$B,0)), "-")</f>
        <v>ESCOVA DE CHUVEIRO CHEIRINHO DE MELÂNCIA</v>
      </c>
      <c r="N498" s="510">
        <f>IFERROR(INDEX([1]Produtos!$E:$E,MATCH(L498,[1]Produtos!$B:$B,0)), "-")</f>
        <v>100</v>
      </c>
      <c r="O498" s="270" t="str">
        <f>IFERROR(INDEX([1]Produtos!$F:$F,MATCH(L498,[1]Produtos!$B:$B,0)), "-")</f>
        <v>ml</v>
      </c>
      <c r="P498" s="270" t="str">
        <f>IFERROR(INDEX([1]Produtos!$G:$G,MATCH(L498,[1]Produtos!$B:$B,0)), "-")</f>
        <v>ISA BEAUTY</v>
      </c>
      <c r="Q498" s="270" t="str">
        <f>IFERROR(INDEX([1]Produtos!$H:$H,MATCH(L498,[1]Produtos!$B:$B,0)), "-")</f>
        <v>CAPILAR</v>
      </c>
      <c r="R498" s="270" t="str">
        <f>IFERROR(INDEX([1]Produtos!$I:$I,MATCH(L498,[1]Produtos!$B:$B,0)), "-")</f>
        <v>ESCOVA PROGRESSIVA</v>
      </c>
      <c r="S498" s="270" t="str">
        <f>IFERROR(INDEX([1]Produtos!$J:$J,MATCH(L498,[1]Produtos!$B:$B,0)), "-")</f>
        <v>LÍQUIDO ESPESSO</v>
      </c>
      <c r="T498" s="475"/>
      <c r="U498" s="270"/>
      <c r="V498" s="270"/>
      <c r="W498" s="270"/>
      <c r="X498" s="270"/>
      <c r="Y498" s="270"/>
      <c r="Z498" s="270"/>
      <c r="AA498" s="270"/>
      <c r="AB498" s="270"/>
      <c r="AC498" s="270"/>
      <c r="AD498" s="270"/>
      <c r="AE498" s="270"/>
      <c r="AF498" s="270"/>
      <c r="AG498" s="270"/>
      <c r="AH498" s="270"/>
      <c r="AI498" s="270"/>
      <c r="AJ498" s="270"/>
      <c r="AK498" s="270"/>
      <c r="AL498" s="270"/>
      <c r="AM498" s="663"/>
      <c r="AN498" s="663"/>
      <c r="AO498" s="708" t="str">
        <f>IF(OR(Table1[[#This Row],[Início Setup Envase]]="",Table1[[#This Row],[Final Setup Envase]]=""),"",Table1[[#This Row],[Final Setup Envase]]-Table1[[#This Row],[Início Setup Envase]])</f>
        <v/>
      </c>
      <c r="AP498" s="663"/>
      <c r="AQ498" s="663"/>
      <c r="AR498" s="270"/>
      <c r="AS498" s="270"/>
      <c r="AT498" s="270"/>
      <c r="AU498" s="270"/>
      <c r="AV498" s="270"/>
      <c r="AW498" s="270"/>
      <c r="AX498" s="270"/>
      <c r="AY498" s="270"/>
      <c r="AZ498" s="270"/>
      <c r="BA498" s="270">
        <f>IF(Table1[[#This Row],[Data de Início]]="","",YEAR(Table1[[#This Row],[Data de Início]]))</f>
        <v>2025</v>
      </c>
      <c r="BB498" s="270">
        <f>IF(Table1[[#This Row],[Data de Início]]="","",MONTH(Table1[[#This Row],[Data de Início]]))</f>
        <v>9</v>
      </c>
      <c r="BC498" s="270"/>
    </row>
    <row r="499" spans="2:55" ht="15" customHeight="1" x14ac:dyDescent="0.25">
      <c r="B499" s="470">
        <v>45926.415972222225</v>
      </c>
      <c r="C499" s="457">
        <v>45926.592361111114</v>
      </c>
      <c r="D499" s="441" cm="1">
        <f t="array" ref="D499">IFERROR(HorasUteisFabrica2Turnos(B499,C499), "")</f>
        <v>3.2333333333372138</v>
      </c>
      <c r="E499" s="265">
        <f t="shared" si="7"/>
        <v>786.80412371039597</v>
      </c>
      <c r="F499" s="266" t="s">
        <v>378</v>
      </c>
      <c r="G499" s="266" t="s">
        <v>799</v>
      </c>
      <c r="H499" s="266"/>
      <c r="I499" s="269" t="s">
        <v>810</v>
      </c>
      <c r="J499" s="267" t="s">
        <v>809</v>
      </c>
      <c r="K499" s="268">
        <v>2544</v>
      </c>
      <c r="L499" s="269" t="s">
        <v>296</v>
      </c>
      <c r="M499" s="270" t="str">
        <f>IFERROR(INDEX([1]Produtos!$C:$C,MATCH(L499,[1]Produtos!$B:$B,0)), "-")</f>
        <v>BODY SPLASH NÉCTAR DAS TAMARAS</v>
      </c>
      <c r="N499" s="510">
        <f>IFERROR(INDEX([1]Produtos!$E:$E,MATCH(L499,[1]Produtos!$B:$B,0)), "-")</f>
        <v>220</v>
      </c>
      <c r="O499" s="270" t="str">
        <f>IFERROR(INDEX([1]Produtos!$F:$F,MATCH(L499,[1]Produtos!$B:$B,0)), "-")</f>
        <v>ml</v>
      </c>
      <c r="P499" s="270" t="str">
        <f>IFERROR(INDEX([1]Produtos!$G:$G,MATCH(L499,[1]Produtos!$B:$B,0)), "-")</f>
        <v>MISS RÔSE</v>
      </c>
      <c r="Q499" s="270" t="str">
        <f>IFERROR(INDEX([1]Produtos!$H:$H,MATCH(L499,[1]Produtos!$B:$B,0)), "-")</f>
        <v>PERFUMARIA</v>
      </c>
      <c r="R499" s="270" t="str">
        <f>IFERROR(INDEX([1]Produtos!$I:$I,MATCH(L499,[1]Produtos!$B:$B,0)), "-")</f>
        <v>BODY SPLASH</v>
      </c>
      <c r="S499" s="270" t="str">
        <f>IFERROR(INDEX([1]Produtos!$J:$J,MATCH(L499,[1]Produtos!$B:$B,0)), "-")</f>
        <v>LÍQUIDO</v>
      </c>
      <c r="T499" s="475"/>
      <c r="U499" s="270"/>
      <c r="V499" s="270"/>
      <c r="W499" s="270"/>
      <c r="X499" s="270"/>
      <c r="Y499" s="270"/>
      <c r="Z499" s="270"/>
      <c r="AA499" s="270"/>
      <c r="AB499" s="270"/>
      <c r="AC499" s="270"/>
      <c r="AD499" s="270"/>
      <c r="AE499" s="270"/>
      <c r="AF499" s="270"/>
      <c r="AG499" s="270"/>
      <c r="AH499" s="270"/>
      <c r="AI499" s="270"/>
      <c r="AJ499" s="270"/>
      <c r="AK499" s="270"/>
      <c r="AL499" s="270"/>
      <c r="AM499" s="663"/>
      <c r="AN499" s="663"/>
      <c r="AO499" s="708" t="str">
        <f>IF(OR(Table1[[#This Row],[Início Setup Envase]]="",Table1[[#This Row],[Final Setup Envase]]=""),"",Table1[[#This Row],[Final Setup Envase]]-Table1[[#This Row],[Início Setup Envase]])</f>
        <v/>
      </c>
      <c r="AP499" s="663"/>
      <c r="AQ499" s="663"/>
      <c r="AR499" s="270"/>
      <c r="AS499" s="270"/>
      <c r="AT499" s="270"/>
      <c r="AU499" s="270"/>
      <c r="AV499" s="270"/>
      <c r="AW499" s="270"/>
      <c r="AX499" s="270"/>
      <c r="AY499" s="270"/>
      <c r="AZ499" s="270"/>
      <c r="BA499" s="270">
        <f>IF(Table1[[#This Row],[Data de Início]]="","",YEAR(Table1[[#This Row],[Data de Início]]))</f>
        <v>2025</v>
      </c>
      <c r="BB499" s="270">
        <f>IF(Table1[[#This Row],[Data de Início]]="","",MONTH(Table1[[#This Row],[Data de Início]]))</f>
        <v>9</v>
      </c>
      <c r="BC499" s="270"/>
    </row>
    <row r="500" spans="2:55" ht="15" customHeight="1" x14ac:dyDescent="0.25">
      <c r="B500" s="470">
        <v>45926.593055555553</v>
      </c>
      <c r="C500" s="263">
        <v>45929.352777777778</v>
      </c>
      <c r="D500" s="441" cm="1">
        <f t="array" ref="D500">IFERROR(HorasUteisFabrica2Turnos(B500,C500), "")</f>
        <v>3.2333333333954215</v>
      </c>
      <c r="E500" s="265">
        <f t="shared" si="7"/>
        <v>786.80412369623161</v>
      </c>
      <c r="F500" s="266" t="s">
        <v>378</v>
      </c>
      <c r="G500" s="266" t="s">
        <v>799</v>
      </c>
      <c r="H500" s="266"/>
      <c r="I500" s="269" t="s">
        <v>811</v>
      </c>
      <c r="J500" s="267" t="s">
        <v>15</v>
      </c>
      <c r="K500" s="268">
        <v>2544</v>
      </c>
      <c r="L500" s="269" t="s">
        <v>296</v>
      </c>
      <c r="M500" s="270" t="str">
        <f>IFERROR(INDEX([1]Produtos!$C:$C,MATCH(L500,[1]Produtos!$B:$B,0)), "-")</f>
        <v>BODY SPLASH NÉCTAR DAS TAMARAS</v>
      </c>
      <c r="N500" s="510">
        <f>IFERROR(INDEX([1]Produtos!$E:$E,MATCH(L500,[1]Produtos!$B:$B,0)), "-")</f>
        <v>220</v>
      </c>
      <c r="O500" s="270" t="str">
        <f>IFERROR(INDEX([1]Produtos!$F:$F,MATCH(L500,[1]Produtos!$B:$B,0)), "-")</f>
        <v>ml</v>
      </c>
      <c r="P500" s="270" t="str">
        <f>IFERROR(INDEX([1]Produtos!$G:$G,MATCH(L500,[1]Produtos!$B:$B,0)), "-")</f>
        <v>MISS RÔSE</v>
      </c>
      <c r="Q500" s="270" t="str">
        <f>IFERROR(INDEX([1]Produtos!$H:$H,MATCH(L500,[1]Produtos!$B:$B,0)), "-")</f>
        <v>PERFUMARIA</v>
      </c>
      <c r="R500" s="270" t="str">
        <f>IFERROR(INDEX([1]Produtos!$I:$I,MATCH(L500,[1]Produtos!$B:$B,0)), "-")</f>
        <v>BODY SPLASH</v>
      </c>
      <c r="S500" s="270" t="str">
        <f>IFERROR(INDEX([1]Produtos!$J:$J,MATCH(L500,[1]Produtos!$B:$B,0)), "-")</f>
        <v>LÍQUIDO</v>
      </c>
      <c r="T500" s="475"/>
      <c r="U500" s="270"/>
      <c r="V500" s="270"/>
      <c r="W500" s="270"/>
      <c r="X500" s="270"/>
      <c r="Y500" s="270"/>
      <c r="Z500" s="270"/>
      <c r="AA500" s="270"/>
      <c r="AB500" s="270"/>
      <c r="AC500" s="270"/>
      <c r="AD500" s="270"/>
      <c r="AE500" s="270"/>
      <c r="AF500" s="270"/>
      <c r="AG500" s="270"/>
      <c r="AH500" s="270"/>
      <c r="AI500" s="270"/>
      <c r="AJ500" s="270"/>
      <c r="AK500" s="270"/>
      <c r="AL500" s="270"/>
      <c r="AM500" s="663"/>
      <c r="AN500" s="663"/>
      <c r="AO500" s="708" t="str">
        <f>IF(OR(Table1[[#This Row],[Início Setup Envase]]="",Table1[[#This Row],[Final Setup Envase]]=""),"",Table1[[#This Row],[Final Setup Envase]]-Table1[[#This Row],[Início Setup Envase]])</f>
        <v/>
      </c>
      <c r="AP500" s="663"/>
      <c r="AQ500" s="663"/>
      <c r="AR500" s="270"/>
      <c r="AS500" s="270"/>
      <c r="AT500" s="270"/>
      <c r="AU500" s="270"/>
      <c r="AV500" s="270"/>
      <c r="AW500" s="270"/>
      <c r="AX500" s="270"/>
      <c r="AY500" s="270"/>
      <c r="AZ500" s="270"/>
      <c r="BA500" s="270">
        <f>IF(Table1[[#This Row],[Data de Início]]="","",YEAR(Table1[[#This Row],[Data de Início]]))</f>
        <v>2025</v>
      </c>
      <c r="BB500" s="270">
        <f>IF(Table1[[#This Row],[Data de Início]]="","",MONTH(Table1[[#This Row],[Data de Início]]))</f>
        <v>9</v>
      </c>
      <c r="BC500" s="270"/>
    </row>
    <row r="501" spans="2:55" ht="15" customHeight="1" x14ac:dyDescent="0.25">
      <c r="B501" s="470">
        <v>45929.333333333336</v>
      </c>
      <c r="C501" s="263">
        <v>45929.604166666664</v>
      </c>
      <c r="D501" s="441" cm="1">
        <f t="array" ref="D501">IFERROR(HorasUteisFabrica2Turnos(B501,C501), "")</f>
        <v>5.4999999998835847</v>
      </c>
      <c r="E501" s="265">
        <f t="shared" si="7"/>
        <v>462.54545455524499</v>
      </c>
      <c r="F501" s="266" t="s">
        <v>378</v>
      </c>
      <c r="G501" s="266" t="s">
        <v>799</v>
      </c>
      <c r="H501" s="266"/>
      <c r="I501" s="269" t="s">
        <v>815</v>
      </c>
      <c r="J501" s="267" t="s">
        <v>15</v>
      </c>
      <c r="K501" s="268">
        <v>2544</v>
      </c>
      <c r="L501" s="269" t="s">
        <v>296</v>
      </c>
      <c r="M501" s="270" t="str">
        <f>IFERROR(INDEX([1]Produtos!$C:$C,MATCH(L501,[1]Produtos!$B:$B,0)), "-")</f>
        <v>BODY SPLASH NÉCTAR DAS TAMARAS</v>
      </c>
      <c r="N501" s="510">
        <f>IFERROR(INDEX([1]Produtos!$E:$E,MATCH(L501,[1]Produtos!$B:$B,0)), "-")</f>
        <v>220</v>
      </c>
      <c r="O501" s="270" t="str">
        <f>IFERROR(INDEX([1]Produtos!$F:$F,MATCH(L501,[1]Produtos!$B:$B,0)), "-")</f>
        <v>ml</v>
      </c>
      <c r="P501" s="270" t="str">
        <f>IFERROR(INDEX([1]Produtos!$G:$G,MATCH(L501,[1]Produtos!$B:$B,0)), "-")</f>
        <v>MISS RÔSE</v>
      </c>
      <c r="Q501" s="270" t="str">
        <f>IFERROR(INDEX([1]Produtos!$H:$H,MATCH(L501,[1]Produtos!$B:$B,0)), "-")</f>
        <v>PERFUMARIA</v>
      </c>
      <c r="R501" s="270" t="str">
        <f>IFERROR(INDEX([1]Produtos!$I:$I,MATCH(L501,[1]Produtos!$B:$B,0)), "-")</f>
        <v>BODY SPLASH</v>
      </c>
      <c r="S501" s="270" t="str">
        <f>IFERROR(INDEX([1]Produtos!$J:$J,MATCH(L501,[1]Produtos!$B:$B,0)), "-")</f>
        <v>LÍQUIDO</v>
      </c>
      <c r="T501" s="475"/>
      <c r="U501" s="270"/>
      <c r="V501" s="270"/>
      <c r="W501" s="270"/>
      <c r="X501" s="270"/>
      <c r="Y501" s="270"/>
      <c r="Z501" s="270"/>
      <c r="AA501" s="270"/>
      <c r="AB501" s="270"/>
      <c r="AC501" s="270"/>
      <c r="AD501" s="270"/>
      <c r="AE501" s="270"/>
      <c r="AF501" s="270"/>
      <c r="AG501" s="270"/>
      <c r="AH501" s="270"/>
      <c r="AI501" s="270"/>
      <c r="AJ501" s="270"/>
      <c r="AK501" s="270"/>
      <c r="AL501" s="270"/>
      <c r="AM501" s="663"/>
      <c r="AN501" s="663"/>
      <c r="AO501" s="708" t="str">
        <f>IF(OR(Table1[[#This Row],[Início Setup Envase]]="",Table1[[#This Row],[Final Setup Envase]]=""),"",Table1[[#This Row],[Final Setup Envase]]-Table1[[#This Row],[Início Setup Envase]])</f>
        <v/>
      </c>
      <c r="AP501" s="663"/>
      <c r="AQ501" s="663"/>
      <c r="AR501" s="270"/>
      <c r="AS501" s="270"/>
      <c r="AT501" s="270"/>
      <c r="AU501" s="270"/>
      <c r="AV501" s="270"/>
      <c r="AW501" s="270"/>
      <c r="AX501" s="270"/>
      <c r="AY501" s="270"/>
      <c r="AZ501" s="270"/>
      <c r="BA501" s="270">
        <f>IF(Table1[[#This Row],[Data de Início]]="","",YEAR(Table1[[#This Row],[Data de Início]]))</f>
        <v>2025</v>
      </c>
      <c r="BB501" s="270">
        <f>IF(Table1[[#This Row],[Data de Início]]="","",MONTH(Table1[[#This Row],[Data de Início]]))</f>
        <v>9</v>
      </c>
      <c r="BC501" s="270"/>
    </row>
    <row r="502" spans="2:55" ht="15" customHeight="1" x14ac:dyDescent="0.25">
      <c r="B502" s="470">
        <v>45929.347222222219</v>
      </c>
      <c r="C502" s="263">
        <v>45930.359722222223</v>
      </c>
      <c r="D502" s="441" cm="1">
        <f t="array" ref="D502">IFERROR(HorasUteisFabrica2Turnos(B502,C502), "")</f>
        <v>9.3000000002211891</v>
      </c>
      <c r="E502" s="265">
        <f t="shared" si="7"/>
        <v>537.6344085893636</v>
      </c>
      <c r="F502" s="266" t="s">
        <v>377</v>
      </c>
      <c r="G502" s="266" t="s">
        <v>712</v>
      </c>
      <c r="H502" s="266"/>
      <c r="I502" s="269" t="s">
        <v>814</v>
      </c>
      <c r="J502" s="267" t="s">
        <v>15</v>
      </c>
      <c r="K502" s="268">
        <v>5000</v>
      </c>
      <c r="L502" s="269" t="s">
        <v>996</v>
      </c>
      <c r="M502" s="270" t="str">
        <f>IFERROR(INDEX([1]Produtos!$C:$C,MATCH(L502,[1]Produtos!$B:$B,0)), "-")</f>
        <v>ESCOVA DE CHUVEIRO CHEIRINHO DE MELÂNCIA</v>
      </c>
      <c r="N502" s="510">
        <f>IFERROR(INDEX([1]Produtos!$E:$E,MATCH(L502,[1]Produtos!$B:$B,0)), "-")</f>
        <v>100</v>
      </c>
      <c r="O502" s="270" t="str">
        <f>IFERROR(INDEX([1]Produtos!$F:$F,MATCH(L502,[1]Produtos!$B:$B,0)), "-")</f>
        <v>ml</v>
      </c>
      <c r="P502" s="270" t="str">
        <f>IFERROR(INDEX([1]Produtos!$G:$G,MATCH(L502,[1]Produtos!$B:$B,0)), "-")</f>
        <v>ISA BEAUTY</v>
      </c>
      <c r="Q502" s="270" t="str">
        <f>IFERROR(INDEX([1]Produtos!$H:$H,MATCH(L502,[1]Produtos!$B:$B,0)), "-")</f>
        <v>CAPILAR</v>
      </c>
      <c r="R502" s="270" t="str">
        <f>IFERROR(INDEX([1]Produtos!$I:$I,MATCH(L502,[1]Produtos!$B:$B,0)), "-")</f>
        <v>ESCOVA PROGRESSIVA</v>
      </c>
      <c r="S502" s="270" t="str">
        <f>IFERROR(INDEX([1]Produtos!$J:$J,MATCH(L502,[1]Produtos!$B:$B,0)), "-")</f>
        <v>LÍQUIDO ESPESSO</v>
      </c>
      <c r="T502" s="475"/>
      <c r="U502" s="270"/>
      <c r="V502" s="270"/>
      <c r="W502" s="270"/>
      <c r="X502" s="270"/>
      <c r="Y502" s="270"/>
      <c r="Z502" s="270"/>
      <c r="AA502" s="270"/>
      <c r="AB502" s="270"/>
      <c r="AC502" s="270"/>
      <c r="AD502" s="270"/>
      <c r="AE502" s="270"/>
      <c r="AF502" s="270"/>
      <c r="AG502" s="270"/>
      <c r="AH502" s="270"/>
      <c r="AI502" s="270"/>
      <c r="AJ502" s="270"/>
      <c r="AK502" s="270"/>
      <c r="AL502" s="270"/>
      <c r="AM502" s="663"/>
      <c r="AN502" s="663"/>
      <c r="AO502" s="708" t="str">
        <f>IF(OR(Table1[[#This Row],[Início Setup Envase]]="",Table1[[#This Row],[Final Setup Envase]]=""),"",Table1[[#This Row],[Final Setup Envase]]-Table1[[#This Row],[Início Setup Envase]])</f>
        <v/>
      </c>
      <c r="AP502" s="663"/>
      <c r="AQ502" s="663"/>
      <c r="AR502" s="270"/>
      <c r="AS502" s="270"/>
      <c r="AT502" s="270"/>
      <c r="AU502" s="270"/>
      <c r="AV502" s="270"/>
      <c r="AW502" s="270"/>
      <c r="AX502" s="270"/>
      <c r="AY502" s="270"/>
      <c r="AZ502" s="270"/>
      <c r="BA502" s="270">
        <f>IF(Table1[[#This Row],[Data de Início]]="","",YEAR(Table1[[#This Row],[Data de Início]]))</f>
        <v>2025</v>
      </c>
      <c r="BB502" s="270">
        <f>IF(Table1[[#This Row],[Data de Início]]="","",MONTH(Table1[[#This Row],[Data de Início]]))</f>
        <v>9</v>
      </c>
      <c r="BC502" s="270"/>
    </row>
    <row r="503" spans="2:55" ht="15" customHeight="1" x14ac:dyDescent="0.25">
      <c r="B503" s="470">
        <v>45929.352777777778</v>
      </c>
      <c r="C503" s="263">
        <v>45929.454861111109</v>
      </c>
      <c r="D503" s="441" cm="1">
        <f t="array" ref="D503">IFERROR(HorasUteisFabrica2Turnos(B503,C503), "")</f>
        <v>2.4499999999534339</v>
      </c>
      <c r="E503" s="265">
        <f t="shared" si="7"/>
        <v>1038.3673469585112</v>
      </c>
      <c r="F503" s="266" t="s">
        <v>378</v>
      </c>
      <c r="G503" s="266" t="s">
        <v>799</v>
      </c>
      <c r="H503" s="266"/>
      <c r="I503" s="269" t="s">
        <v>821</v>
      </c>
      <c r="J503" s="267" t="s">
        <v>15</v>
      </c>
      <c r="K503" s="268">
        <v>2544</v>
      </c>
      <c r="L503" s="269" t="s">
        <v>296</v>
      </c>
      <c r="M503" s="270" t="str">
        <f>IFERROR(INDEX([1]Produtos!$C:$C,MATCH(L503,[1]Produtos!$B:$B,0)), "-")</f>
        <v>BODY SPLASH NÉCTAR DAS TAMARAS</v>
      </c>
      <c r="N503" s="510">
        <f>IFERROR(INDEX([1]Produtos!$E:$E,MATCH(L503,[1]Produtos!$B:$B,0)), "-")</f>
        <v>220</v>
      </c>
      <c r="O503" s="270" t="str">
        <f>IFERROR(INDEX([1]Produtos!$F:$F,MATCH(L503,[1]Produtos!$B:$B,0)), "-")</f>
        <v>ml</v>
      </c>
      <c r="P503" s="270" t="str">
        <f>IFERROR(INDEX([1]Produtos!$G:$G,MATCH(L503,[1]Produtos!$B:$B,0)), "-")</f>
        <v>MISS RÔSE</v>
      </c>
      <c r="Q503" s="270" t="str">
        <f>IFERROR(INDEX([1]Produtos!$H:$H,MATCH(L503,[1]Produtos!$B:$B,0)), "-")</f>
        <v>PERFUMARIA</v>
      </c>
      <c r="R503" s="270" t="str">
        <f>IFERROR(INDEX([1]Produtos!$I:$I,MATCH(L503,[1]Produtos!$B:$B,0)), "-")</f>
        <v>BODY SPLASH</v>
      </c>
      <c r="S503" s="270" t="str">
        <f>IFERROR(INDEX([1]Produtos!$J:$J,MATCH(L503,[1]Produtos!$B:$B,0)), "-")</f>
        <v>LÍQUIDO</v>
      </c>
      <c r="T503" s="475"/>
      <c r="U503" s="270"/>
      <c r="V503" s="270"/>
      <c r="W503" s="270"/>
      <c r="X503" s="270"/>
      <c r="Y503" s="270"/>
      <c r="Z503" s="270"/>
      <c r="AA503" s="270"/>
      <c r="AB503" s="270"/>
      <c r="AC503" s="270"/>
      <c r="AD503" s="270"/>
      <c r="AE503" s="270"/>
      <c r="AF503" s="270"/>
      <c r="AG503" s="270"/>
      <c r="AH503" s="270"/>
      <c r="AI503" s="270"/>
      <c r="AJ503" s="270"/>
      <c r="AK503" s="270"/>
      <c r="AL503" s="270"/>
      <c r="AM503" s="663"/>
      <c r="AN503" s="663"/>
      <c r="AO503" s="708" t="str">
        <f>IF(OR(Table1[[#This Row],[Início Setup Envase]]="",Table1[[#This Row],[Final Setup Envase]]=""),"",Table1[[#This Row],[Final Setup Envase]]-Table1[[#This Row],[Início Setup Envase]])</f>
        <v/>
      </c>
      <c r="AP503" s="663"/>
      <c r="AQ503" s="663"/>
      <c r="AR503" s="270"/>
      <c r="AS503" s="270"/>
      <c r="AT503" s="270"/>
      <c r="AU503" s="270"/>
      <c r="AV503" s="270"/>
      <c r="AW503" s="270"/>
      <c r="AX503" s="270"/>
      <c r="AY503" s="270"/>
      <c r="AZ503" s="270"/>
      <c r="BA503" s="270">
        <f>IF(Table1[[#This Row],[Data de Início]]="","",YEAR(Table1[[#This Row],[Data de Início]]))</f>
        <v>2025</v>
      </c>
      <c r="BB503" s="270">
        <f>IF(Table1[[#This Row],[Data de Início]]="","",MONTH(Table1[[#This Row],[Data de Início]]))</f>
        <v>9</v>
      </c>
      <c r="BC503" s="270"/>
    </row>
    <row r="504" spans="2:55" ht="15" customHeight="1" x14ac:dyDescent="0.25">
      <c r="B504" s="470">
        <v>45929.604166666664</v>
      </c>
      <c r="C504" s="263">
        <v>45929.657638888886</v>
      </c>
      <c r="D504" s="441" cm="1">
        <f t="array" ref="D504">IFERROR(HorasUteisFabrica2Turnos(B504,C504), "")</f>
        <v>1.2833333333255723</v>
      </c>
      <c r="E504" s="265">
        <f t="shared" si="7"/>
        <v>897.66233766776634</v>
      </c>
      <c r="F504" s="266" t="s">
        <v>378</v>
      </c>
      <c r="G504" s="266" t="s">
        <v>799</v>
      </c>
      <c r="H504" s="266"/>
      <c r="I504" s="269" t="s">
        <v>816</v>
      </c>
      <c r="J504" s="267" t="s">
        <v>15</v>
      </c>
      <c r="K504" s="268">
        <v>1152</v>
      </c>
      <c r="L504" s="269" t="s">
        <v>296</v>
      </c>
      <c r="M504" s="270" t="str">
        <f>IFERROR(INDEX([1]Produtos!$C:$C,MATCH(L504,[1]Produtos!$B:$B,0)), "-")</f>
        <v>BODY SPLASH NÉCTAR DAS TAMARAS</v>
      </c>
      <c r="N504" s="510">
        <f>IFERROR(INDEX([1]Produtos!$E:$E,MATCH(L504,[1]Produtos!$B:$B,0)), "-")</f>
        <v>220</v>
      </c>
      <c r="O504" s="270" t="str">
        <f>IFERROR(INDEX([1]Produtos!$F:$F,MATCH(L504,[1]Produtos!$B:$B,0)), "-")</f>
        <v>ml</v>
      </c>
      <c r="P504" s="270" t="str">
        <f>IFERROR(INDEX([1]Produtos!$G:$G,MATCH(L504,[1]Produtos!$B:$B,0)), "-")</f>
        <v>MISS RÔSE</v>
      </c>
      <c r="Q504" s="270" t="str">
        <f>IFERROR(INDEX([1]Produtos!$H:$H,MATCH(L504,[1]Produtos!$B:$B,0)), "-")</f>
        <v>PERFUMARIA</v>
      </c>
      <c r="R504" s="270" t="str">
        <f>IFERROR(INDEX([1]Produtos!$I:$I,MATCH(L504,[1]Produtos!$B:$B,0)), "-")</f>
        <v>BODY SPLASH</v>
      </c>
      <c r="S504" s="270" t="str">
        <f>IFERROR(INDEX([1]Produtos!$J:$J,MATCH(L504,[1]Produtos!$B:$B,0)), "-")</f>
        <v>LÍQUIDO</v>
      </c>
      <c r="T504" s="475"/>
      <c r="U504" s="270"/>
      <c r="V504" s="270"/>
      <c r="W504" s="270"/>
      <c r="X504" s="270"/>
      <c r="Y504" s="270"/>
      <c r="Z504" s="270"/>
      <c r="AA504" s="270"/>
      <c r="AB504" s="270"/>
      <c r="AC504" s="270"/>
      <c r="AD504" s="270"/>
      <c r="AE504" s="270"/>
      <c r="AF504" s="270"/>
      <c r="AG504" s="270"/>
      <c r="AH504" s="270"/>
      <c r="AI504" s="270"/>
      <c r="AJ504" s="270"/>
      <c r="AK504" s="270"/>
      <c r="AL504" s="270"/>
      <c r="AM504" s="663"/>
      <c r="AN504" s="663"/>
      <c r="AO504" s="708" t="str">
        <f>IF(OR(Table1[[#This Row],[Início Setup Envase]]="",Table1[[#This Row],[Final Setup Envase]]=""),"",Table1[[#This Row],[Final Setup Envase]]-Table1[[#This Row],[Início Setup Envase]])</f>
        <v/>
      </c>
      <c r="AP504" s="663"/>
      <c r="AQ504" s="663"/>
      <c r="AR504" s="270"/>
      <c r="AS504" s="270"/>
      <c r="AT504" s="270"/>
      <c r="AU504" s="270"/>
      <c r="AV504" s="270"/>
      <c r="AW504" s="270"/>
      <c r="AX504" s="270"/>
      <c r="AY504" s="270"/>
      <c r="AZ504" s="270"/>
      <c r="BA504" s="270">
        <f>IF(Table1[[#This Row],[Data de Início]]="","",YEAR(Table1[[#This Row],[Data de Início]]))</f>
        <v>2025</v>
      </c>
      <c r="BB504" s="270">
        <f>IF(Table1[[#This Row],[Data de Início]]="","",MONTH(Table1[[#This Row],[Data de Início]]))</f>
        <v>9</v>
      </c>
      <c r="BC504" s="270"/>
    </row>
    <row r="505" spans="2:55" ht="15" customHeight="1" x14ac:dyDescent="0.25">
      <c r="B505" s="470">
        <v>45929.664583333331</v>
      </c>
      <c r="C505" s="263">
        <v>45930.37222222222</v>
      </c>
      <c r="D505" s="441" cm="1">
        <f t="array" ref="D505">IFERROR(HorasUteisFabrica2Turnos(B505,C505), "")</f>
        <v>2.9833333334536292</v>
      </c>
      <c r="E505" s="265">
        <f t="shared" si="7"/>
        <v>675.75418991688593</v>
      </c>
      <c r="F505" s="266" t="s">
        <v>378</v>
      </c>
      <c r="G505" s="266" t="s">
        <v>799</v>
      </c>
      <c r="H505" s="266"/>
      <c r="I505" s="269" t="s">
        <v>819</v>
      </c>
      <c r="J505" s="267" t="s">
        <v>15</v>
      </c>
      <c r="K505" s="268">
        <v>2016</v>
      </c>
      <c r="L505" s="269" t="s">
        <v>214</v>
      </c>
      <c r="M505" s="270" t="str">
        <f>IFERROR(INDEX([1]Produtos!$C:$C,MATCH(L505,[1]Produtos!$B:$B,0)), "-")</f>
        <v>BODY SPLASH ECLIPSE DOURADO</v>
      </c>
      <c r="N505" s="510">
        <f>IFERROR(INDEX([1]Produtos!$E:$E,MATCH(L505,[1]Produtos!$B:$B,0)), "-")</f>
        <v>220</v>
      </c>
      <c r="O505" s="270" t="str">
        <f>IFERROR(INDEX([1]Produtos!$F:$F,MATCH(L505,[1]Produtos!$B:$B,0)), "-")</f>
        <v>ml</v>
      </c>
      <c r="P505" s="270" t="str">
        <f>IFERROR(INDEX([1]Produtos!$G:$G,MATCH(L505,[1]Produtos!$B:$B,0)), "-")</f>
        <v>MISS RÔSE</v>
      </c>
      <c r="Q505" s="270" t="str">
        <f>IFERROR(INDEX([1]Produtos!$H:$H,MATCH(L505,[1]Produtos!$B:$B,0)), "-")</f>
        <v>PERFUMARIA</v>
      </c>
      <c r="R505" s="270" t="str">
        <f>IFERROR(INDEX([1]Produtos!$I:$I,MATCH(L505,[1]Produtos!$B:$B,0)), "-")</f>
        <v>BODY SPLASH</v>
      </c>
      <c r="S505" s="270" t="str">
        <f>IFERROR(INDEX([1]Produtos!$J:$J,MATCH(L505,[1]Produtos!$B:$B,0)), "-")</f>
        <v>LÍQUIDO</v>
      </c>
      <c r="T505" s="475"/>
      <c r="U505" s="270"/>
      <c r="V505" s="270"/>
      <c r="W505" s="270"/>
      <c r="X505" s="270"/>
      <c r="Y505" s="270"/>
      <c r="Z505" s="270"/>
      <c r="AA505" s="270"/>
      <c r="AB505" s="270"/>
      <c r="AC505" s="270"/>
      <c r="AD505" s="270"/>
      <c r="AE505" s="270"/>
      <c r="AF505" s="270"/>
      <c r="AG505" s="270"/>
      <c r="AH505" s="270"/>
      <c r="AI505" s="270"/>
      <c r="AJ505" s="270"/>
      <c r="AK505" s="270"/>
      <c r="AL505" s="270"/>
      <c r="AM505" s="663"/>
      <c r="AN505" s="663"/>
      <c r="AO505" s="708" t="str">
        <f>IF(OR(Table1[[#This Row],[Início Setup Envase]]="",Table1[[#This Row],[Final Setup Envase]]=""),"",Table1[[#This Row],[Final Setup Envase]]-Table1[[#This Row],[Início Setup Envase]])</f>
        <v/>
      </c>
      <c r="AP505" s="663"/>
      <c r="AQ505" s="663"/>
      <c r="AR505" s="270"/>
      <c r="AS505" s="270"/>
      <c r="AT505" s="270"/>
      <c r="AU505" s="270"/>
      <c r="AV505" s="270"/>
      <c r="AW505" s="270"/>
      <c r="AX505" s="270"/>
      <c r="AY505" s="270"/>
      <c r="AZ505" s="270"/>
      <c r="BA505" s="270">
        <f>IF(Table1[[#This Row],[Data de Início]]="","",YEAR(Table1[[#This Row],[Data de Início]]))</f>
        <v>2025</v>
      </c>
      <c r="BB505" s="270">
        <f>IF(Table1[[#This Row],[Data de Início]]="","",MONTH(Table1[[#This Row],[Data de Início]]))</f>
        <v>9</v>
      </c>
      <c r="BC505" s="270"/>
    </row>
    <row r="506" spans="2:55" ht="15" customHeight="1" x14ac:dyDescent="0.25">
      <c r="B506" s="471">
        <v>45930.372916666667</v>
      </c>
      <c r="C506" s="439">
        <v>45930.479166666664</v>
      </c>
      <c r="D506" s="468" cm="1">
        <f t="array" ref="D506">IFERROR(HorasUteisFabrica2Turnos(B506,C506), "")</f>
        <v>2.5499999999301508</v>
      </c>
      <c r="E506" s="466">
        <f t="shared" si="7"/>
        <v>960.00000002629622</v>
      </c>
      <c r="F506" s="266" t="s">
        <v>378</v>
      </c>
      <c r="G506" s="266" t="s">
        <v>799</v>
      </c>
      <c r="H506" s="266"/>
      <c r="I506" s="439" t="s">
        <v>883</v>
      </c>
      <c r="J506" s="267" t="s">
        <v>15</v>
      </c>
      <c r="K506" s="469">
        <v>2448</v>
      </c>
      <c r="L506" s="439" t="s">
        <v>214</v>
      </c>
      <c r="M506" s="263" t="str">
        <f>IFERROR(INDEX([1]Produtos!$C:$C,MATCH(L506,[1]Produtos!$B:$B,0)), "-")</f>
        <v>BODY SPLASH ECLIPSE DOURADO</v>
      </c>
      <c r="N506" s="510">
        <f>IFERROR(INDEX([1]Produtos!$E:$E,MATCH(L506,[1]Produtos!$B:$B,0)), "-")</f>
        <v>220</v>
      </c>
      <c r="O506" s="263" t="str">
        <f>IFERROR(INDEX([1]Produtos!$F:$F,MATCH(L506,[1]Produtos!$B:$B,0)), "-")</f>
        <v>ml</v>
      </c>
      <c r="P506" s="263" t="str">
        <f>IFERROR(INDEX([1]Produtos!$G:$G,MATCH(L506,[1]Produtos!$B:$B,0)), "-")</f>
        <v>MISS RÔSE</v>
      </c>
      <c r="Q506" s="263" t="str">
        <f>IFERROR(INDEX([1]Produtos!$H:$H,MATCH(L506,[1]Produtos!$B:$B,0)), "-")</f>
        <v>PERFUMARIA</v>
      </c>
      <c r="R506" s="263" t="str">
        <f>IFERROR(INDEX([1]Produtos!$I:$I,MATCH(L506,[1]Produtos!$B:$B,0)), "-")</f>
        <v>BODY SPLASH</v>
      </c>
      <c r="S506" s="263" t="str">
        <f>IFERROR(INDEX([1]Produtos!$J:$J,MATCH(L506,[1]Produtos!$B:$B,0)), "-")</f>
        <v>LÍQUIDO</v>
      </c>
      <c r="T506" s="475"/>
      <c r="U506" s="270"/>
      <c r="V506" s="270"/>
      <c r="W506" s="270"/>
      <c r="X506" s="270"/>
      <c r="Y506" s="270"/>
      <c r="Z506" s="270"/>
      <c r="AA506" s="270"/>
      <c r="AB506" s="270"/>
      <c r="AC506" s="270"/>
      <c r="AD506" s="270"/>
      <c r="AE506" s="270"/>
      <c r="AF506" s="270"/>
      <c r="AG506" s="270"/>
      <c r="AH506" s="270"/>
      <c r="AI506" s="270"/>
      <c r="AJ506" s="270"/>
      <c r="AK506" s="270"/>
      <c r="AL506" s="270"/>
      <c r="AM506" s="663"/>
      <c r="AN506" s="663"/>
      <c r="AO506" s="708" t="str">
        <f>IF(OR(Table1[[#This Row],[Início Setup Envase]]="",Table1[[#This Row],[Final Setup Envase]]=""),"",Table1[[#This Row],[Final Setup Envase]]-Table1[[#This Row],[Início Setup Envase]])</f>
        <v/>
      </c>
      <c r="AP506" s="663"/>
      <c r="AQ506" s="663"/>
      <c r="AR506" s="270"/>
      <c r="AS506" s="270"/>
      <c r="AT506" s="270"/>
      <c r="AU506" s="270"/>
      <c r="AV506" s="270"/>
      <c r="AW506" s="270"/>
      <c r="AX506" s="270"/>
      <c r="AY506" s="270"/>
      <c r="AZ506" s="270"/>
      <c r="BA506" s="270">
        <f>IF(Table1[[#This Row],[Data de Início]]="","",YEAR(Table1[[#This Row],[Data de Início]]))</f>
        <v>2025</v>
      </c>
      <c r="BB506" s="270">
        <f>IF(Table1[[#This Row],[Data de Início]]="","",MONTH(Table1[[#This Row],[Data de Início]]))</f>
        <v>9</v>
      </c>
      <c r="BC506" s="270"/>
    </row>
    <row r="507" spans="2:55" ht="15" customHeight="1" x14ac:dyDescent="0.25">
      <c r="B507" s="470">
        <v>45930.395833333336</v>
      </c>
      <c r="C507" s="263">
        <v>45930.5625</v>
      </c>
      <c r="D507" s="441" cm="1">
        <f t="array" ref="D507">IFERROR(HorasUteisFabrica2Turnos(B507,C507), "")</f>
        <v>2.9999999999417923</v>
      </c>
      <c r="E507" s="265">
        <f t="shared" si="7"/>
        <v>739.66666668101811</v>
      </c>
      <c r="F507" s="266" t="s">
        <v>377</v>
      </c>
      <c r="G507" s="266" t="s">
        <v>820</v>
      </c>
      <c r="H507" s="266"/>
      <c r="I507" s="269" t="s">
        <v>813</v>
      </c>
      <c r="J507" s="267" t="s">
        <v>15</v>
      </c>
      <c r="K507" s="268">
        <v>2219</v>
      </c>
      <c r="L507" s="269" t="s">
        <v>997</v>
      </c>
      <c r="M507" s="270" t="str">
        <f>IFERROR(INDEX([1]Produtos!$C:$C,MATCH(L507,[1]Produtos!$B:$B,0)), "-")</f>
        <v>POMADA CURADERM</v>
      </c>
      <c r="N507" s="510">
        <f>IFERROR(INDEX([1]Produtos!$E:$E,MATCH(L507,[1]Produtos!$B:$B,0)), "-")</f>
        <v>30</v>
      </c>
      <c r="O507" s="270" t="str">
        <f>IFERROR(INDEX([1]Produtos!$F:$F,MATCH(L507,[1]Produtos!$B:$B,0)), "-")</f>
        <v>ml</v>
      </c>
      <c r="P507" s="270" t="str">
        <f>IFERROR(INDEX([1]Produtos!$G:$G,MATCH(L507,[1]Produtos!$B:$B,0)), "-")</f>
        <v>CURADERM</v>
      </c>
      <c r="Q507" s="270" t="str">
        <f>IFERROR(INDEX([1]Produtos!$H:$H,MATCH(L507,[1]Produtos!$B:$B,0)), "-")</f>
        <v>CORPORAL</v>
      </c>
      <c r="R507" s="270" t="str">
        <f>IFERROR(INDEX([1]Produtos!$I:$I,MATCH(L507,[1]Produtos!$B:$B,0)), "-")</f>
        <v>POMADA</v>
      </c>
      <c r="S507" s="270" t="str">
        <f>IFERROR(INDEX([1]Produtos!$J:$J,MATCH(L507,[1]Produtos!$B:$B,0)), "-")</f>
        <v>DENSO</v>
      </c>
      <c r="T507" s="475"/>
      <c r="U507" s="270"/>
      <c r="V507" s="270"/>
      <c r="W507" s="270"/>
      <c r="X507" s="270"/>
      <c r="Y507" s="270"/>
      <c r="Z507" s="270"/>
      <c r="AA507" s="270"/>
      <c r="AB507" s="270"/>
      <c r="AC507" s="270"/>
      <c r="AD507" s="270"/>
      <c r="AE507" s="270"/>
      <c r="AF507" s="270"/>
      <c r="AG507" s="270"/>
      <c r="AH507" s="270"/>
      <c r="AI507" s="270"/>
      <c r="AJ507" s="270"/>
      <c r="AK507" s="270"/>
      <c r="AL507" s="270"/>
      <c r="AM507" s="663"/>
      <c r="AN507" s="663"/>
      <c r="AO507" s="708" t="str">
        <f>IF(OR(Table1[[#This Row],[Início Setup Envase]]="",Table1[[#This Row],[Final Setup Envase]]=""),"",Table1[[#This Row],[Final Setup Envase]]-Table1[[#This Row],[Início Setup Envase]])</f>
        <v/>
      </c>
      <c r="AP507" s="663"/>
      <c r="AQ507" s="663"/>
      <c r="AR507" s="270"/>
      <c r="AS507" s="270"/>
      <c r="AT507" s="270"/>
      <c r="AU507" s="270"/>
      <c r="AV507" s="270"/>
      <c r="AW507" s="270"/>
      <c r="AX507" s="270"/>
      <c r="AY507" s="270"/>
      <c r="AZ507" s="270"/>
      <c r="BA507" s="270">
        <f>IF(Table1[[#This Row],[Data de Início]]="","",YEAR(Table1[[#This Row],[Data de Início]]))</f>
        <v>2025</v>
      </c>
      <c r="BB507" s="270">
        <f>IF(Table1[[#This Row],[Data de Início]]="","",MONTH(Table1[[#This Row],[Data de Início]]))</f>
        <v>9</v>
      </c>
      <c r="BC507" s="270"/>
    </row>
    <row r="508" spans="2:55" ht="15" customHeight="1" x14ac:dyDescent="0.25">
      <c r="B508" s="470">
        <v>45930.55972222222</v>
      </c>
      <c r="C508" s="263">
        <v>45930.622916666667</v>
      </c>
      <c r="D508" s="441" cm="1">
        <f t="array" ref="D508">IFERROR(HorasUteisFabrica2Turnos(B508,C508), "")</f>
        <v>1.5166666667209938</v>
      </c>
      <c r="E508" s="265">
        <f t="shared" si="7"/>
        <v>1107.69230765263</v>
      </c>
      <c r="F508" s="266" t="s">
        <v>378</v>
      </c>
      <c r="G508" s="266" t="s">
        <v>475</v>
      </c>
      <c r="H508" s="266"/>
      <c r="I508" s="269" t="s">
        <v>822</v>
      </c>
      <c r="J508" s="267" t="s">
        <v>15</v>
      </c>
      <c r="K508" s="268">
        <v>1680</v>
      </c>
      <c r="L508" s="269" t="s">
        <v>488</v>
      </c>
      <c r="M508" s="270" t="str">
        <f>IFERROR(INDEX([1]Produtos!$C:$C,MATCH(L508,[1]Produtos!$B:$B,0)), "-")</f>
        <v>ÁGUA MICELAR COLÁGENO</v>
      </c>
      <c r="N508" s="510">
        <f>IFERROR(INDEX([1]Produtos!$E:$E,MATCH(L508,[1]Produtos!$B:$B,0)), "-")</f>
        <v>325</v>
      </c>
      <c r="O508" s="270" t="str">
        <f>IFERROR(INDEX([1]Produtos!$F:$F,MATCH(L508,[1]Produtos!$B:$B,0)), "-")</f>
        <v>ml</v>
      </c>
      <c r="P508" s="270" t="str">
        <f>IFERROR(INDEX([1]Produtos!$G:$G,MATCH(L508,[1]Produtos!$B:$B,0)), "-")</f>
        <v>GLOW MAKE UP</v>
      </c>
      <c r="Q508" s="270" t="str">
        <f>IFERROR(INDEX([1]Produtos!$H:$H,MATCH(L508,[1]Produtos!$B:$B,0)), "-")</f>
        <v>MAQUIAGEM</v>
      </c>
      <c r="R508" s="270" t="str">
        <f>IFERROR(INDEX([1]Produtos!$I:$I,MATCH(L508,[1]Produtos!$B:$B,0)), "-")</f>
        <v>ÁGUA MICELAR</v>
      </c>
      <c r="S508" s="270" t="str">
        <f>IFERROR(INDEX([1]Produtos!$J:$J,MATCH(L508,[1]Produtos!$B:$B,0)), "-")</f>
        <v>LÍQUIDO</v>
      </c>
      <c r="T508" s="475"/>
      <c r="U508" s="270"/>
      <c r="V508" s="270"/>
      <c r="W508" s="270"/>
      <c r="X508" s="270"/>
      <c r="Y508" s="270"/>
      <c r="Z508" s="270"/>
      <c r="AA508" s="270"/>
      <c r="AB508" s="270"/>
      <c r="AC508" s="270"/>
      <c r="AD508" s="270"/>
      <c r="AE508" s="270"/>
      <c r="AF508" s="270"/>
      <c r="AG508" s="270"/>
      <c r="AH508" s="270"/>
      <c r="AI508" s="270"/>
      <c r="AJ508" s="270"/>
      <c r="AK508" s="270"/>
      <c r="AL508" s="270"/>
      <c r="AM508" s="663"/>
      <c r="AN508" s="663"/>
      <c r="AO508" s="708" t="str">
        <f>IF(OR(Table1[[#This Row],[Início Setup Envase]]="",Table1[[#This Row],[Final Setup Envase]]=""),"",Table1[[#This Row],[Final Setup Envase]]-Table1[[#This Row],[Início Setup Envase]])</f>
        <v/>
      </c>
      <c r="AP508" s="663"/>
      <c r="AQ508" s="663"/>
      <c r="AR508" s="270"/>
      <c r="AS508" s="270"/>
      <c r="AT508" s="270"/>
      <c r="AU508" s="270"/>
      <c r="AV508" s="270"/>
      <c r="AW508" s="270"/>
      <c r="AX508" s="270"/>
      <c r="AY508" s="270"/>
      <c r="AZ508" s="270"/>
      <c r="BA508" s="270">
        <f>IF(Table1[[#This Row],[Data de Início]]="","",YEAR(Table1[[#This Row],[Data de Início]]))</f>
        <v>2025</v>
      </c>
      <c r="BB508" s="270">
        <f>IF(Table1[[#This Row],[Data de Início]]="","",MONTH(Table1[[#This Row],[Data de Início]]))</f>
        <v>9</v>
      </c>
      <c r="BC508" s="270"/>
    </row>
    <row r="509" spans="2:55" ht="15" customHeight="1" x14ac:dyDescent="0.25">
      <c r="B509" s="470">
        <v>45930.622916666667</v>
      </c>
      <c r="C509" s="263">
        <v>45931.30972222222</v>
      </c>
      <c r="D509" s="441" cm="1">
        <f t="array" ref="D509">IFERROR(HorasUteisFabrica2Turnos(B509,C509), "")</f>
        <v>2.4833333333954215</v>
      </c>
      <c r="E509" s="265">
        <f t="shared" si="7"/>
        <v>676.5100670971799</v>
      </c>
      <c r="F509" s="266" t="s">
        <v>378</v>
      </c>
      <c r="G509" s="266" t="s">
        <v>475</v>
      </c>
      <c r="H509" s="266"/>
      <c r="I509" s="269" t="s">
        <v>817</v>
      </c>
      <c r="J509" s="267" t="s">
        <v>15</v>
      </c>
      <c r="K509" s="268">
        <v>1680</v>
      </c>
      <c r="L509" s="269" t="s">
        <v>488</v>
      </c>
      <c r="M509" s="270" t="str">
        <f>IFERROR(INDEX([1]Produtos!$C:$C,MATCH(L509,[1]Produtos!$B:$B,0)), "-")</f>
        <v>ÁGUA MICELAR COLÁGENO</v>
      </c>
      <c r="N509" s="510">
        <f>IFERROR(INDEX([1]Produtos!$E:$E,MATCH(L509,[1]Produtos!$B:$B,0)), "-")</f>
        <v>325</v>
      </c>
      <c r="O509" s="270" t="str">
        <f>IFERROR(INDEX([1]Produtos!$F:$F,MATCH(L509,[1]Produtos!$B:$B,0)), "-")</f>
        <v>ml</v>
      </c>
      <c r="P509" s="270" t="str">
        <f>IFERROR(INDEX([1]Produtos!$G:$G,MATCH(L509,[1]Produtos!$B:$B,0)), "-")</f>
        <v>GLOW MAKE UP</v>
      </c>
      <c r="Q509" s="270" t="str">
        <f>IFERROR(INDEX([1]Produtos!$H:$H,MATCH(L509,[1]Produtos!$B:$B,0)), "-")</f>
        <v>MAQUIAGEM</v>
      </c>
      <c r="R509" s="270" t="str">
        <f>IFERROR(INDEX([1]Produtos!$I:$I,MATCH(L509,[1]Produtos!$B:$B,0)), "-")</f>
        <v>ÁGUA MICELAR</v>
      </c>
      <c r="S509" s="270" t="str">
        <f>IFERROR(INDEX([1]Produtos!$J:$J,MATCH(L509,[1]Produtos!$B:$B,0)), "-")</f>
        <v>LÍQUIDO</v>
      </c>
      <c r="T509" s="475"/>
      <c r="U509" s="270"/>
      <c r="V509" s="270"/>
      <c r="W509" s="270"/>
      <c r="X509" s="270"/>
      <c r="Y509" s="270"/>
      <c r="Z509" s="270"/>
      <c r="AA509" s="270"/>
      <c r="AB509" s="270"/>
      <c r="AC509" s="270"/>
      <c r="AD509" s="270"/>
      <c r="AE509" s="270"/>
      <c r="AF509" s="270"/>
      <c r="AG509" s="270"/>
      <c r="AH509" s="270"/>
      <c r="AI509" s="270"/>
      <c r="AJ509" s="270"/>
      <c r="AK509" s="270"/>
      <c r="AL509" s="270"/>
      <c r="AM509" s="663"/>
      <c r="AN509" s="663"/>
      <c r="AO509" s="708" t="str">
        <f>IF(OR(Table1[[#This Row],[Início Setup Envase]]="",Table1[[#This Row],[Final Setup Envase]]=""),"",Table1[[#This Row],[Final Setup Envase]]-Table1[[#This Row],[Início Setup Envase]])</f>
        <v/>
      </c>
      <c r="AP509" s="663"/>
      <c r="AQ509" s="663"/>
      <c r="AR509" s="270"/>
      <c r="AS509" s="270"/>
      <c r="AT509" s="270"/>
      <c r="AU509" s="270"/>
      <c r="AV509" s="270"/>
      <c r="AW509" s="270"/>
      <c r="AX509" s="270"/>
      <c r="AY509" s="270"/>
      <c r="AZ509" s="270"/>
      <c r="BA509" s="270">
        <f>IF(Table1[[#This Row],[Data de Início]]="","",YEAR(Table1[[#This Row],[Data de Início]]))</f>
        <v>2025</v>
      </c>
      <c r="BB509" s="270">
        <f>IF(Table1[[#This Row],[Data de Início]]="","",MONTH(Table1[[#This Row],[Data de Início]]))</f>
        <v>9</v>
      </c>
      <c r="BC509" s="270"/>
    </row>
    <row r="510" spans="2:55" ht="15" customHeight="1" x14ac:dyDescent="0.25">
      <c r="B510" s="470">
        <v>45930.6875</v>
      </c>
      <c r="C510" s="263">
        <v>45931.45416666667</v>
      </c>
      <c r="D510" s="441" cm="1">
        <f t="array" ref="D510">IFERROR(HorasUteisFabrica2Turnos(B510,C510), "")</f>
        <v>4.400000000197906</v>
      </c>
      <c r="E510" s="265">
        <f t="shared" si="7"/>
        <v>1136.3636363125242</v>
      </c>
      <c r="F510" s="266" t="s">
        <v>377</v>
      </c>
      <c r="G510" s="266" t="s">
        <v>712</v>
      </c>
      <c r="H510" s="266"/>
      <c r="I510" s="269" t="s">
        <v>826</v>
      </c>
      <c r="J510" s="267" t="s">
        <v>15</v>
      </c>
      <c r="K510" s="268">
        <v>5000</v>
      </c>
      <c r="L510" s="269" t="s">
        <v>998</v>
      </c>
      <c r="M510" s="270" t="str">
        <f>IFERROR(INDEX([1]Produtos!$C:$C,MATCH(L510,[1]Produtos!$B:$B,0)), "-")</f>
        <v>ESCOVA DE CHUVEIRO CHEIRINHO DE MORANGO</v>
      </c>
      <c r="N510" s="510">
        <f>IFERROR(INDEX([1]Produtos!$E:$E,MATCH(L510,[1]Produtos!$B:$B,0)), "-")</f>
        <v>100</v>
      </c>
      <c r="O510" s="270" t="str">
        <f>IFERROR(INDEX([1]Produtos!$F:$F,MATCH(L510,[1]Produtos!$B:$B,0)), "-")</f>
        <v>ml</v>
      </c>
      <c r="P510" s="270" t="str">
        <f>IFERROR(INDEX([1]Produtos!$G:$G,MATCH(L510,[1]Produtos!$B:$B,0)), "-")</f>
        <v>ISA BEAUTY</v>
      </c>
      <c r="Q510" s="270" t="str">
        <f>IFERROR(INDEX([1]Produtos!$H:$H,MATCH(L510,[1]Produtos!$B:$B,0)), "-")</f>
        <v>CAPILAR</v>
      </c>
      <c r="R510" s="270" t="str">
        <f>IFERROR(INDEX([1]Produtos!$I:$I,MATCH(L510,[1]Produtos!$B:$B,0)), "-")</f>
        <v>ESCOVA PROGRESSIVA</v>
      </c>
      <c r="S510" s="270" t="str">
        <f>IFERROR(INDEX([1]Produtos!$J:$J,MATCH(L510,[1]Produtos!$B:$B,0)), "-")</f>
        <v>LÍQUIDO ESPESSO</v>
      </c>
      <c r="T510" s="475"/>
      <c r="U510" s="270"/>
      <c r="V510" s="270"/>
      <c r="W510" s="270"/>
      <c r="X510" s="270"/>
      <c r="Y510" s="270"/>
      <c r="Z510" s="270"/>
      <c r="AA510" s="270"/>
      <c r="AB510" s="270"/>
      <c r="AC510" s="270"/>
      <c r="AD510" s="270"/>
      <c r="AE510" s="270"/>
      <c r="AF510" s="270"/>
      <c r="AG510" s="270"/>
      <c r="AH510" s="270"/>
      <c r="AI510" s="270"/>
      <c r="AJ510" s="270"/>
      <c r="AK510" s="270"/>
      <c r="AL510" s="270"/>
      <c r="AM510" s="663"/>
      <c r="AN510" s="663"/>
      <c r="AO510" s="708" t="str">
        <f>IF(OR(Table1[[#This Row],[Início Setup Envase]]="",Table1[[#This Row],[Final Setup Envase]]=""),"",Table1[[#This Row],[Final Setup Envase]]-Table1[[#This Row],[Início Setup Envase]])</f>
        <v/>
      </c>
      <c r="AP510" s="663"/>
      <c r="AQ510" s="663"/>
      <c r="AR510" s="270"/>
      <c r="AS510" s="270"/>
      <c r="AT510" s="270"/>
      <c r="AU510" s="270"/>
      <c r="AV510" s="270"/>
      <c r="AW510" s="270"/>
      <c r="AX510" s="270"/>
      <c r="AY510" s="270"/>
      <c r="AZ510" s="270"/>
      <c r="BA510" s="270">
        <f>IF(Table1[[#This Row],[Data de Início]]="","",YEAR(Table1[[#This Row],[Data de Início]]))</f>
        <v>2025</v>
      </c>
      <c r="BB510" s="270">
        <f>IF(Table1[[#This Row],[Data de Início]]="","",MONTH(Table1[[#This Row],[Data de Início]]))</f>
        <v>9</v>
      </c>
      <c r="BC510" s="270"/>
    </row>
    <row r="511" spans="2:55" ht="15" customHeight="1" x14ac:dyDescent="0.25">
      <c r="B511" s="470">
        <v>45931.3125</v>
      </c>
      <c r="C511" s="263">
        <v>45931.424305555556</v>
      </c>
      <c r="D511" s="264" cm="1">
        <f t="array" ref="D511">IFERROR(HorasUteisFabrica2Turnos(B511,C511), "")</f>
        <v>2.6833333333488554</v>
      </c>
      <c r="E511" s="265">
        <f t="shared" si="7"/>
        <v>626.0869565181174</v>
      </c>
      <c r="F511" s="266" t="s">
        <v>378</v>
      </c>
      <c r="G511" s="266" t="s">
        <v>475</v>
      </c>
      <c r="H511" s="266"/>
      <c r="I511" s="269" t="s">
        <v>853</v>
      </c>
      <c r="J511" s="267" t="s">
        <v>15</v>
      </c>
      <c r="K511" s="268">
        <v>1680</v>
      </c>
      <c r="L511" s="269" t="s">
        <v>488</v>
      </c>
      <c r="M511" s="270" t="str">
        <f>IFERROR(INDEX([1]Produtos!$C:$C,MATCH(L511,[1]Produtos!$B:$B,0)), "-")</f>
        <v>ÁGUA MICELAR COLÁGENO</v>
      </c>
      <c r="N511" s="510">
        <f>IFERROR(INDEX([1]Produtos!$E:$E,MATCH(L511,[1]Produtos!$B:$B,0)), "-")</f>
        <v>325</v>
      </c>
      <c r="O511" s="270" t="str">
        <f>IFERROR(INDEX([1]Produtos!$F:$F,MATCH(L511,[1]Produtos!$B:$B,0)), "-")</f>
        <v>ml</v>
      </c>
      <c r="P511" s="270" t="str">
        <f>IFERROR(INDEX([1]Produtos!$G:$G,MATCH(L511,[1]Produtos!$B:$B,0)), "-")</f>
        <v>GLOW MAKE UP</v>
      </c>
      <c r="Q511" s="270" t="str">
        <f>IFERROR(INDEX([1]Produtos!$H:$H,MATCH(L511,[1]Produtos!$B:$B,0)), "-")</f>
        <v>MAQUIAGEM</v>
      </c>
      <c r="R511" s="270" t="str">
        <f>IFERROR(INDEX([1]Produtos!$I:$I,MATCH(L511,[1]Produtos!$B:$B,0)), "-")</f>
        <v>ÁGUA MICELAR</v>
      </c>
      <c r="S511" s="270" t="str">
        <f>IFERROR(INDEX([1]Produtos!$J:$J,MATCH(L511,[1]Produtos!$B:$B,0)), "-")</f>
        <v>LÍQUIDO</v>
      </c>
      <c r="T511" s="475"/>
      <c r="U511" s="270"/>
      <c r="V511" s="270"/>
      <c r="W511" s="270"/>
      <c r="X511" s="270"/>
      <c r="Y511" s="270"/>
      <c r="Z511" s="270"/>
      <c r="AA511" s="270"/>
      <c r="AB511" s="270"/>
      <c r="AC511" s="270"/>
      <c r="AD511" s="270"/>
      <c r="AE511" s="270"/>
      <c r="AF511" s="270"/>
      <c r="AG511" s="270"/>
      <c r="AH511" s="270"/>
      <c r="AI511" s="270"/>
      <c r="AJ511" s="270"/>
      <c r="AK511" s="270"/>
      <c r="AL511" s="270"/>
      <c r="AM511" s="663"/>
      <c r="AN511" s="663"/>
      <c r="AO511" s="708" t="str">
        <f>IF(OR(Table1[[#This Row],[Início Setup Envase]]="",Table1[[#This Row],[Final Setup Envase]]=""),"",Table1[[#This Row],[Final Setup Envase]]-Table1[[#This Row],[Início Setup Envase]])</f>
        <v/>
      </c>
      <c r="AP511" s="663"/>
      <c r="AQ511" s="663"/>
      <c r="AR511" s="270"/>
      <c r="AS511" s="270"/>
      <c r="AT511" s="270"/>
      <c r="AU511" s="270"/>
      <c r="AV511" s="270"/>
      <c r="AW511" s="270"/>
      <c r="AX511" s="270"/>
      <c r="AY511" s="270"/>
      <c r="AZ511" s="270"/>
      <c r="BA511" s="270">
        <f>IF(Table1[[#This Row],[Data de Início]]="","",YEAR(Table1[[#This Row],[Data de Início]]))</f>
        <v>2025</v>
      </c>
      <c r="BB511" s="270">
        <f>IF(Table1[[#This Row],[Data de Início]]="","",MONTH(Table1[[#This Row],[Data de Início]]))</f>
        <v>10</v>
      </c>
      <c r="BC511" s="270"/>
    </row>
    <row r="512" spans="2:55" ht="15" customHeight="1" x14ac:dyDescent="0.25">
      <c r="B512" s="470">
        <v>45931.424305555556</v>
      </c>
      <c r="C512" s="263">
        <v>45931.571527777778</v>
      </c>
      <c r="D512" s="441" cm="1">
        <f t="array" ref="D512">IFERROR(HorasUteisFabrica2Turnos(B512,C512), "")</f>
        <v>2.5333333333255723</v>
      </c>
      <c r="E512" s="265">
        <f t="shared" si="7"/>
        <v>663.15789473887378</v>
      </c>
      <c r="F512" s="266" t="s">
        <v>378</v>
      </c>
      <c r="G512" s="266" t="s">
        <v>475</v>
      </c>
      <c r="H512" s="266"/>
      <c r="I512" s="269" t="s">
        <v>827</v>
      </c>
      <c r="J512" s="267" t="s">
        <v>15</v>
      </c>
      <c r="K512" s="268">
        <v>1680</v>
      </c>
      <c r="L512" s="269" t="s">
        <v>488</v>
      </c>
      <c r="M512" s="270" t="str">
        <f>IFERROR(INDEX([1]Produtos!$C:$C,MATCH(L512,[1]Produtos!$B:$B,0)), "-")</f>
        <v>ÁGUA MICELAR COLÁGENO</v>
      </c>
      <c r="N512" s="510">
        <f>IFERROR(INDEX([1]Produtos!$E:$E,MATCH(L512,[1]Produtos!$B:$B,0)), "-")</f>
        <v>325</v>
      </c>
      <c r="O512" s="270" t="str">
        <f>IFERROR(INDEX([1]Produtos!$F:$F,MATCH(L512,[1]Produtos!$B:$B,0)), "-")</f>
        <v>ml</v>
      </c>
      <c r="P512" s="270" t="str">
        <f>IFERROR(INDEX([1]Produtos!$G:$G,MATCH(L512,[1]Produtos!$B:$B,0)), "-")</f>
        <v>GLOW MAKE UP</v>
      </c>
      <c r="Q512" s="270" t="str">
        <f>IFERROR(INDEX([1]Produtos!$H:$H,MATCH(L512,[1]Produtos!$B:$B,0)), "-")</f>
        <v>MAQUIAGEM</v>
      </c>
      <c r="R512" s="270" t="str">
        <f>IFERROR(INDEX([1]Produtos!$I:$I,MATCH(L512,[1]Produtos!$B:$B,0)), "-")</f>
        <v>ÁGUA MICELAR</v>
      </c>
      <c r="S512" s="270" t="str">
        <f>IFERROR(INDEX([1]Produtos!$J:$J,MATCH(L512,[1]Produtos!$B:$B,0)), "-")</f>
        <v>LÍQUIDO</v>
      </c>
      <c r="T512" s="475"/>
      <c r="U512" s="270"/>
      <c r="V512" s="270"/>
      <c r="W512" s="270"/>
      <c r="X512" s="270"/>
      <c r="Y512" s="270"/>
      <c r="Z512" s="270"/>
      <c r="AA512" s="270"/>
      <c r="AB512" s="270"/>
      <c r="AC512" s="270"/>
      <c r="AD512" s="270"/>
      <c r="AE512" s="270"/>
      <c r="AF512" s="270"/>
      <c r="AG512" s="270"/>
      <c r="AH512" s="270"/>
      <c r="AI512" s="270"/>
      <c r="AJ512" s="270"/>
      <c r="AK512" s="270"/>
      <c r="AL512" s="270"/>
      <c r="AM512" s="663"/>
      <c r="AN512" s="663"/>
      <c r="AO512" s="708" t="str">
        <f>IF(OR(Table1[[#This Row],[Início Setup Envase]]="",Table1[[#This Row],[Final Setup Envase]]=""),"",Table1[[#This Row],[Final Setup Envase]]-Table1[[#This Row],[Início Setup Envase]])</f>
        <v/>
      </c>
      <c r="AP512" s="663"/>
      <c r="AQ512" s="663"/>
      <c r="AR512" s="270"/>
      <c r="AS512" s="270"/>
      <c r="AT512" s="270"/>
      <c r="AU512" s="270"/>
      <c r="AV512" s="270"/>
      <c r="AW512" s="270"/>
      <c r="AX512" s="270"/>
      <c r="AY512" s="270"/>
      <c r="AZ512" s="270"/>
      <c r="BA512" s="270">
        <f>IF(Table1[[#This Row],[Data de Início]]="","",YEAR(Table1[[#This Row],[Data de Início]]))</f>
        <v>2025</v>
      </c>
      <c r="BB512" s="270">
        <f>IF(Table1[[#This Row],[Data de Início]]="","",MONTH(Table1[[#This Row],[Data de Início]]))</f>
        <v>10</v>
      </c>
      <c r="BC512" s="270"/>
    </row>
    <row r="513" spans="2:55" ht="15" customHeight="1" x14ac:dyDescent="0.25">
      <c r="B513" s="470">
        <v>45931.446527777778</v>
      </c>
      <c r="C513" s="263">
        <v>45931.59375</v>
      </c>
      <c r="D513" s="441" cm="1">
        <f t="array" ref="D513">IFERROR(HorasUteisFabrica2Turnos(B513,C513), "")</f>
        <v>2.5333333333255723</v>
      </c>
      <c r="E513" s="265">
        <f t="shared" si="7"/>
        <v>1973.6842105323624</v>
      </c>
      <c r="F513" s="266" t="s">
        <v>377</v>
      </c>
      <c r="G513" s="266" t="s">
        <v>712</v>
      </c>
      <c r="H513" s="266"/>
      <c r="I513" s="269" t="s">
        <v>824</v>
      </c>
      <c r="J513" s="267" t="s">
        <v>15</v>
      </c>
      <c r="K513" s="268">
        <v>5000</v>
      </c>
      <c r="L513" s="269" t="s">
        <v>998</v>
      </c>
      <c r="M513" s="270" t="str">
        <f>IFERROR(INDEX([1]Produtos!$C:$C,MATCH(L513,[1]Produtos!$B:$B,0)), "-")</f>
        <v>ESCOVA DE CHUVEIRO CHEIRINHO DE MORANGO</v>
      </c>
      <c r="N513" s="510">
        <f>IFERROR(INDEX([1]Produtos!$E:$E,MATCH(L513,[1]Produtos!$B:$B,0)), "-")</f>
        <v>100</v>
      </c>
      <c r="O513" s="270" t="str">
        <f>IFERROR(INDEX([1]Produtos!$F:$F,MATCH(L513,[1]Produtos!$B:$B,0)), "-")</f>
        <v>ml</v>
      </c>
      <c r="P513" s="270" t="str">
        <f>IFERROR(INDEX([1]Produtos!$G:$G,MATCH(L513,[1]Produtos!$B:$B,0)), "-")</f>
        <v>ISA BEAUTY</v>
      </c>
      <c r="Q513" s="270" t="str">
        <f>IFERROR(INDEX([1]Produtos!$H:$H,MATCH(L513,[1]Produtos!$B:$B,0)), "-")</f>
        <v>CAPILAR</v>
      </c>
      <c r="R513" s="270" t="str">
        <f>IFERROR(INDEX([1]Produtos!$I:$I,MATCH(L513,[1]Produtos!$B:$B,0)), "-")</f>
        <v>ESCOVA PROGRESSIVA</v>
      </c>
      <c r="S513" s="270" t="str">
        <f>IFERROR(INDEX([1]Produtos!$J:$J,MATCH(L513,[1]Produtos!$B:$B,0)), "-")</f>
        <v>LÍQUIDO ESPESSO</v>
      </c>
      <c r="T513" s="475"/>
      <c r="U513" s="270"/>
      <c r="V513" s="270"/>
      <c r="W513" s="270"/>
      <c r="X513" s="270"/>
      <c r="Y513" s="270"/>
      <c r="Z513" s="270"/>
      <c r="AA513" s="270"/>
      <c r="AB513" s="270"/>
      <c r="AC513" s="270"/>
      <c r="AD513" s="270"/>
      <c r="AE513" s="270"/>
      <c r="AF513" s="270"/>
      <c r="AG513" s="270"/>
      <c r="AH513" s="270"/>
      <c r="AI513" s="270"/>
      <c r="AJ513" s="270"/>
      <c r="AK513" s="270"/>
      <c r="AL513" s="270"/>
      <c r="AM513" s="663"/>
      <c r="AN513" s="663"/>
      <c r="AO513" s="708" t="str">
        <f>IF(OR(Table1[[#This Row],[Início Setup Envase]]="",Table1[[#This Row],[Final Setup Envase]]=""),"",Table1[[#This Row],[Final Setup Envase]]-Table1[[#This Row],[Início Setup Envase]])</f>
        <v/>
      </c>
      <c r="AP513" s="663"/>
      <c r="AQ513" s="663"/>
      <c r="AR513" s="270"/>
      <c r="AS513" s="270"/>
      <c r="AT513" s="270"/>
      <c r="AU513" s="270"/>
      <c r="AV513" s="270"/>
      <c r="AW513" s="270"/>
      <c r="AX513" s="270"/>
      <c r="AY513" s="270"/>
      <c r="AZ513" s="270"/>
      <c r="BA513" s="270">
        <f>IF(Table1[[#This Row],[Data de Início]]="","",YEAR(Table1[[#This Row],[Data de Início]]))</f>
        <v>2025</v>
      </c>
      <c r="BB513" s="270">
        <f>IF(Table1[[#This Row],[Data de Início]]="","",MONTH(Table1[[#This Row],[Data de Início]]))</f>
        <v>10</v>
      </c>
      <c r="BC513" s="270"/>
    </row>
    <row r="514" spans="2:55" ht="15" customHeight="1" x14ac:dyDescent="0.25">
      <c r="B514" s="470">
        <v>45931.571527777778</v>
      </c>
      <c r="C514" s="263">
        <v>45931.669444444444</v>
      </c>
      <c r="D514" s="264" cm="1">
        <f t="array" ref="D514">IFERROR(HorasUteisFabrica2Turnos(B514,C514), "")</f>
        <v>2.3499999999767169</v>
      </c>
      <c r="E514" s="265">
        <f t="shared" si="7"/>
        <v>714.89361702835959</v>
      </c>
      <c r="F514" s="266" t="s">
        <v>378</v>
      </c>
      <c r="G514" s="266" t="s">
        <v>475</v>
      </c>
      <c r="H514" s="266"/>
      <c r="I514" s="269" t="s">
        <v>854</v>
      </c>
      <c r="J514" s="267" t="s">
        <v>15</v>
      </c>
      <c r="K514" s="268">
        <v>1680</v>
      </c>
      <c r="L514" s="269" t="s">
        <v>488</v>
      </c>
      <c r="M514" s="270" t="str">
        <f>IFERROR(INDEX([1]Produtos!$C:$C,MATCH(L514,[1]Produtos!$B:$B,0)), "-")</f>
        <v>ÁGUA MICELAR COLÁGENO</v>
      </c>
      <c r="N514" s="510">
        <f>IFERROR(INDEX([1]Produtos!$E:$E,MATCH(L514,[1]Produtos!$B:$B,0)), "-")</f>
        <v>325</v>
      </c>
      <c r="O514" s="270" t="str">
        <f>IFERROR(INDEX([1]Produtos!$F:$F,MATCH(L514,[1]Produtos!$B:$B,0)), "-")</f>
        <v>ml</v>
      </c>
      <c r="P514" s="270" t="str">
        <f>IFERROR(INDEX([1]Produtos!$G:$G,MATCH(L514,[1]Produtos!$B:$B,0)), "-")</f>
        <v>GLOW MAKE UP</v>
      </c>
      <c r="Q514" s="270" t="str">
        <f>IFERROR(INDEX([1]Produtos!$H:$H,MATCH(L514,[1]Produtos!$B:$B,0)), "-")</f>
        <v>MAQUIAGEM</v>
      </c>
      <c r="R514" s="270" t="str">
        <f>IFERROR(INDEX([1]Produtos!$I:$I,MATCH(L514,[1]Produtos!$B:$B,0)), "-")</f>
        <v>ÁGUA MICELAR</v>
      </c>
      <c r="S514" s="270" t="str">
        <f>IFERROR(INDEX([1]Produtos!$J:$J,MATCH(L514,[1]Produtos!$B:$B,0)), "-")</f>
        <v>LÍQUIDO</v>
      </c>
      <c r="T514" s="475"/>
      <c r="U514" s="270"/>
      <c r="V514" s="270"/>
      <c r="W514" s="270"/>
      <c r="X514" s="270"/>
      <c r="Y514" s="270"/>
      <c r="Z514" s="270"/>
      <c r="AA514" s="270"/>
      <c r="AB514" s="270"/>
      <c r="AC514" s="270"/>
      <c r="AD514" s="270"/>
      <c r="AE514" s="270"/>
      <c r="AF514" s="270"/>
      <c r="AG514" s="270"/>
      <c r="AH514" s="270"/>
      <c r="AI514" s="270"/>
      <c r="AJ514" s="270"/>
      <c r="AK514" s="270"/>
      <c r="AL514" s="270"/>
      <c r="AM514" s="663"/>
      <c r="AN514" s="663"/>
      <c r="AO514" s="708" t="str">
        <f>IF(OR(Table1[[#This Row],[Início Setup Envase]]="",Table1[[#This Row],[Final Setup Envase]]=""),"",Table1[[#This Row],[Final Setup Envase]]-Table1[[#This Row],[Início Setup Envase]])</f>
        <v/>
      </c>
      <c r="AP514" s="663"/>
      <c r="AQ514" s="663"/>
      <c r="AR514" s="270"/>
      <c r="AS514" s="270"/>
      <c r="AT514" s="270"/>
      <c r="AU514" s="270"/>
      <c r="AV514" s="270"/>
      <c r="AW514" s="270"/>
      <c r="AX514" s="270"/>
      <c r="AY514" s="270"/>
      <c r="AZ514" s="270"/>
      <c r="BA514" s="270">
        <f>IF(Table1[[#This Row],[Data de Início]]="","",YEAR(Table1[[#This Row],[Data de Início]]))</f>
        <v>2025</v>
      </c>
      <c r="BB514" s="270">
        <f>IF(Table1[[#This Row],[Data de Início]]="","",MONTH(Table1[[#This Row],[Data de Início]]))</f>
        <v>10</v>
      </c>
      <c r="BC514" s="270"/>
    </row>
    <row r="515" spans="2:55" ht="15" customHeight="1" x14ac:dyDescent="0.25">
      <c r="B515" s="470">
        <v>45931.667361111111</v>
      </c>
      <c r="C515" s="263">
        <v>45932.340277777781</v>
      </c>
      <c r="D515" s="264" cm="1">
        <f t="array" ref="D515">IFERROR(HorasUteisFabrica2Turnos(B515,C515), "")</f>
        <v>2.150000000197906</v>
      </c>
      <c r="E515" s="265">
        <f t="shared" ref="E515:E578" si="8">IFERROR(K515/D515, "")</f>
        <v>781.39534876528239</v>
      </c>
      <c r="F515" s="266" t="s">
        <v>378</v>
      </c>
      <c r="G515" s="266" t="s">
        <v>475</v>
      </c>
      <c r="H515" s="266"/>
      <c r="I515" s="269" t="s">
        <v>852</v>
      </c>
      <c r="J515" s="267" t="s">
        <v>15</v>
      </c>
      <c r="K515" s="268">
        <v>1680</v>
      </c>
      <c r="L515" s="269" t="s">
        <v>488</v>
      </c>
      <c r="M515" s="270" t="str">
        <f>IFERROR(INDEX([1]Produtos!$C:$C,MATCH(L515,[1]Produtos!$B:$B,0)), "-")</f>
        <v>ÁGUA MICELAR COLÁGENO</v>
      </c>
      <c r="N515" s="510">
        <f>IFERROR(INDEX([1]Produtos!$E:$E,MATCH(L515,[1]Produtos!$B:$B,0)), "-")</f>
        <v>325</v>
      </c>
      <c r="O515" s="270" t="str">
        <f>IFERROR(INDEX([1]Produtos!$F:$F,MATCH(L515,[1]Produtos!$B:$B,0)), "-")</f>
        <v>ml</v>
      </c>
      <c r="P515" s="270" t="str">
        <f>IFERROR(INDEX([1]Produtos!$G:$G,MATCH(L515,[1]Produtos!$B:$B,0)), "-")</f>
        <v>GLOW MAKE UP</v>
      </c>
      <c r="Q515" s="270" t="str">
        <f>IFERROR(INDEX([1]Produtos!$H:$H,MATCH(L515,[1]Produtos!$B:$B,0)), "-")</f>
        <v>MAQUIAGEM</v>
      </c>
      <c r="R515" s="270" t="str">
        <f>IFERROR(INDEX([1]Produtos!$I:$I,MATCH(L515,[1]Produtos!$B:$B,0)), "-")</f>
        <v>ÁGUA MICELAR</v>
      </c>
      <c r="S515" s="270" t="str">
        <f>IFERROR(INDEX([1]Produtos!$J:$J,MATCH(L515,[1]Produtos!$B:$B,0)), "-")</f>
        <v>LÍQUIDO</v>
      </c>
      <c r="T515" s="475"/>
      <c r="U515" s="270"/>
      <c r="V515" s="270"/>
      <c r="W515" s="270"/>
      <c r="X515" s="270"/>
      <c r="Y515" s="270"/>
      <c r="Z515" s="270"/>
      <c r="AA515" s="270"/>
      <c r="AB515" s="270"/>
      <c r="AC515" s="270"/>
      <c r="AD515" s="270"/>
      <c r="AE515" s="270"/>
      <c r="AF515" s="270"/>
      <c r="AG515" s="270"/>
      <c r="AH515" s="270"/>
      <c r="AI515" s="270"/>
      <c r="AJ515" s="270"/>
      <c r="AK515" s="270"/>
      <c r="AL515" s="270"/>
      <c r="AM515" s="663"/>
      <c r="AN515" s="663"/>
      <c r="AO515" s="708" t="str">
        <f>IF(OR(Table1[[#This Row],[Início Setup Envase]]="",Table1[[#This Row],[Final Setup Envase]]=""),"",Table1[[#This Row],[Final Setup Envase]]-Table1[[#This Row],[Início Setup Envase]])</f>
        <v/>
      </c>
      <c r="AP515" s="663"/>
      <c r="AQ515" s="663"/>
      <c r="AR515" s="270"/>
      <c r="AS515" s="270"/>
      <c r="AT515" s="270"/>
      <c r="AU515" s="270"/>
      <c r="AV515" s="270"/>
      <c r="AW515" s="270"/>
      <c r="AX515" s="270"/>
      <c r="AY515" s="270"/>
      <c r="AZ515" s="270"/>
      <c r="BA515" s="270">
        <f>IF(Table1[[#This Row],[Data de Início]]="","",YEAR(Table1[[#This Row],[Data de Início]]))</f>
        <v>2025</v>
      </c>
      <c r="BB515" s="270">
        <f>IF(Table1[[#This Row],[Data de Início]]="","",MONTH(Table1[[#This Row],[Data de Início]]))</f>
        <v>10</v>
      </c>
      <c r="BC515" s="270"/>
    </row>
    <row r="516" spans="2:55" ht="15" customHeight="1" x14ac:dyDescent="0.25">
      <c r="B516" s="470">
        <v>45932.340277777781</v>
      </c>
      <c r="C516" s="263">
        <v>45932.424305555556</v>
      </c>
      <c r="D516" s="441" cm="1">
        <f t="array" ref="D516">IFERROR(HorasUteisFabrica2Turnos(B516,C516), "")</f>
        <v>2.0166666666045785</v>
      </c>
      <c r="E516" s="265">
        <f t="shared" si="8"/>
        <v>833.05785126531725</v>
      </c>
      <c r="F516" s="266" t="s">
        <v>378</v>
      </c>
      <c r="G516" s="266" t="s">
        <v>475</v>
      </c>
      <c r="H516" s="266"/>
      <c r="I516" s="269" t="s">
        <v>818</v>
      </c>
      <c r="J516" s="267" t="s">
        <v>15</v>
      </c>
      <c r="K516" s="268">
        <v>1680</v>
      </c>
      <c r="L516" s="269" t="s">
        <v>488</v>
      </c>
      <c r="M516" s="270" t="str">
        <f>IFERROR(INDEX([1]Produtos!$C:$C,MATCH(L516,[1]Produtos!$B:$B,0)), "-")</f>
        <v>ÁGUA MICELAR COLÁGENO</v>
      </c>
      <c r="N516" s="510">
        <f>IFERROR(INDEX([1]Produtos!$E:$E,MATCH(L516,[1]Produtos!$B:$B,0)), "-")</f>
        <v>325</v>
      </c>
      <c r="O516" s="270" t="str">
        <f>IFERROR(INDEX([1]Produtos!$F:$F,MATCH(L516,[1]Produtos!$B:$B,0)), "-")</f>
        <v>ml</v>
      </c>
      <c r="P516" s="270" t="str">
        <f>IFERROR(INDEX([1]Produtos!$G:$G,MATCH(L516,[1]Produtos!$B:$B,0)), "-")</f>
        <v>GLOW MAKE UP</v>
      </c>
      <c r="Q516" s="270" t="str">
        <f>IFERROR(INDEX([1]Produtos!$H:$H,MATCH(L516,[1]Produtos!$B:$B,0)), "-")</f>
        <v>MAQUIAGEM</v>
      </c>
      <c r="R516" s="270" t="str">
        <f>IFERROR(INDEX([1]Produtos!$I:$I,MATCH(L516,[1]Produtos!$B:$B,0)), "-")</f>
        <v>ÁGUA MICELAR</v>
      </c>
      <c r="S516" s="270" t="str">
        <f>IFERROR(INDEX([1]Produtos!$J:$J,MATCH(L516,[1]Produtos!$B:$B,0)), "-")</f>
        <v>LÍQUIDO</v>
      </c>
      <c r="T516" s="475"/>
      <c r="U516" s="270"/>
      <c r="V516" s="270"/>
      <c r="W516" s="270"/>
      <c r="X516" s="270"/>
      <c r="Y516" s="270"/>
      <c r="Z516" s="270"/>
      <c r="AA516" s="270"/>
      <c r="AB516" s="270"/>
      <c r="AC516" s="270"/>
      <c r="AD516" s="270"/>
      <c r="AE516" s="270"/>
      <c r="AF516" s="270"/>
      <c r="AG516" s="270"/>
      <c r="AH516" s="270"/>
      <c r="AI516" s="270"/>
      <c r="AJ516" s="270"/>
      <c r="AK516" s="270"/>
      <c r="AL516" s="270"/>
      <c r="AM516" s="663"/>
      <c r="AN516" s="663"/>
      <c r="AO516" s="708" t="str">
        <f>IF(OR(Table1[[#This Row],[Início Setup Envase]]="",Table1[[#This Row],[Final Setup Envase]]=""),"",Table1[[#This Row],[Final Setup Envase]]-Table1[[#This Row],[Início Setup Envase]])</f>
        <v/>
      </c>
      <c r="AP516" s="663"/>
      <c r="AQ516" s="663"/>
      <c r="AR516" s="270"/>
      <c r="AS516" s="270"/>
      <c r="AT516" s="270"/>
      <c r="AU516" s="270"/>
      <c r="AV516" s="270"/>
      <c r="AW516" s="270"/>
      <c r="AX516" s="270"/>
      <c r="AY516" s="270"/>
      <c r="AZ516" s="270"/>
      <c r="BA516" s="270">
        <f>IF(Table1[[#This Row],[Data de Início]]="","",YEAR(Table1[[#This Row],[Data de Início]]))</f>
        <v>2025</v>
      </c>
      <c r="BB516" s="270">
        <f>IF(Table1[[#This Row],[Data de Início]]="","",MONTH(Table1[[#This Row],[Data de Início]]))</f>
        <v>10</v>
      </c>
      <c r="BC516" s="270"/>
    </row>
    <row r="517" spans="2:55" ht="15" customHeight="1" x14ac:dyDescent="0.25">
      <c r="B517" s="470">
        <v>45932.424305555556</v>
      </c>
      <c r="C517" s="263">
        <v>45932.552083333336</v>
      </c>
      <c r="D517" s="441" cm="1">
        <f t="array" ref="D517">IFERROR(HorasUteisFabrica2Turnos(B517,C517), "")</f>
        <v>2.0666666667093523</v>
      </c>
      <c r="E517" s="265">
        <f t="shared" si="8"/>
        <v>812.90322578966163</v>
      </c>
      <c r="F517" s="266" t="s">
        <v>378</v>
      </c>
      <c r="G517" s="266" t="s">
        <v>475</v>
      </c>
      <c r="H517" s="266"/>
      <c r="I517" s="269" t="s">
        <v>823</v>
      </c>
      <c r="J517" s="267" t="s">
        <v>15</v>
      </c>
      <c r="K517" s="268">
        <v>1680</v>
      </c>
      <c r="L517" s="269" t="s">
        <v>488</v>
      </c>
      <c r="M517" s="270" t="str">
        <f>IFERROR(INDEX([1]Produtos!$C:$C,MATCH(L517,[1]Produtos!$B:$B,0)), "-")</f>
        <v>ÁGUA MICELAR COLÁGENO</v>
      </c>
      <c r="N517" s="510">
        <f>IFERROR(INDEX([1]Produtos!$E:$E,MATCH(L517,[1]Produtos!$B:$B,0)), "-")</f>
        <v>325</v>
      </c>
      <c r="O517" s="270" t="str">
        <f>IFERROR(INDEX([1]Produtos!$F:$F,MATCH(L517,[1]Produtos!$B:$B,0)), "-")</f>
        <v>ml</v>
      </c>
      <c r="P517" s="270" t="str">
        <f>IFERROR(INDEX([1]Produtos!$G:$G,MATCH(L517,[1]Produtos!$B:$B,0)), "-")</f>
        <v>GLOW MAKE UP</v>
      </c>
      <c r="Q517" s="270" t="str">
        <f>IFERROR(INDEX([1]Produtos!$H:$H,MATCH(L517,[1]Produtos!$B:$B,0)), "-")</f>
        <v>MAQUIAGEM</v>
      </c>
      <c r="R517" s="270" t="str">
        <f>IFERROR(INDEX([1]Produtos!$I:$I,MATCH(L517,[1]Produtos!$B:$B,0)), "-")</f>
        <v>ÁGUA MICELAR</v>
      </c>
      <c r="S517" s="270" t="str">
        <f>IFERROR(INDEX([1]Produtos!$J:$J,MATCH(L517,[1]Produtos!$B:$B,0)), "-")</f>
        <v>LÍQUIDO</v>
      </c>
      <c r="T517" s="475"/>
      <c r="U517" s="270"/>
      <c r="V517" s="270"/>
      <c r="W517" s="270"/>
      <c r="X517" s="270"/>
      <c r="Y517" s="270"/>
      <c r="Z517" s="270"/>
      <c r="AA517" s="270"/>
      <c r="AB517" s="270"/>
      <c r="AC517" s="270"/>
      <c r="AD517" s="270"/>
      <c r="AE517" s="270"/>
      <c r="AF517" s="270"/>
      <c r="AG517" s="270"/>
      <c r="AH517" s="270"/>
      <c r="AI517" s="270"/>
      <c r="AJ517" s="270"/>
      <c r="AK517" s="270"/>
      <c r="AL517" s="270"/>
      <c r="AM517" s="663"/>
      <c r="AN517" s="663"/>
      <c r="AO517" s="708" t="str">
        <f>IF(OR(Table1[[#This Row],[Início Setup Envase]]="",Table1[[#This Row],[Final Setup Envase]]=""),"",Table1[[#This Row],[Final Setup Envase]]-Table1[[#This Row],[Início Setup Envase]])</f>
        <v/>
      </c>
      <c r="AP517" s="663"/>
      <c r="AQ517" s="663"/>
      <c r="AR517" s="270"/>
      <c r="AS517" s="270"/>
      <c r="AT517" s="270"/>
      <c r="AU517" s="270"/>
      <c r="AV517" s="270"/>
      <c r="AW517" s="270"/>
      <c r="AX517" s="270"/>
      <c r="AY517" s="270"/>
      <c r="AZ517" s="270"/>
      <c r="BA517" s="270">
        <f>IF(Table1[[#This Row],[Data de Início]]="","",YEAR(Table1[[#This Row],[Data de Início]]))</f>
        <v>2025</v>
      </c>
      <c r="BB517" s="270">
        <f>IF(Table1[[#This Row],[Data de Início]]="","",MONTH(Table1[[#This Row],[Data de Início]]))</f>
        <v>10</v>
      </c>
      <c r="BC517" s="270"/>
    </row>
    <row r="518" spans="2:55" ht="15" customHeight="1" x14ac:dyDescent="0.25">
      <c r="B518" s="470">
        <v>45932.479166666664</v>
      </c>
      <c r="C518" s="263">
        <v>45933.311805555553</v>
      </c>
      <c r="D518" s="441" cm="1">
        <f t="array" ref="D518">IFERROR(HorasUteisFabrica2Turnos(B518,C518), "")</f>
        <v>4.9833333334536292</v>
      </c>
      <c r="E518" s="265">
        <f t="shared" si="8"/>
        <v>736.85618727318251</v>
      </c>
      <c r="F518" s="266" t="s">
        <v>377</v>
      </c>
      <c r="G518" s="266" t="s">
        <v>828</v>
      </c>
      <c r="H518" s="266"/>
      <c r="I518" s="269" t="s">
        <v>834</v>
      </c>
      <c r="J518" s="267" t="s">
        <v>15</v>
      </c>
      <c r="K518" s="268">
        <v>3672</v>
      </c>
      <c r="L518" s="269" t="s">
        <v>999</v>
      </c>
      <c r="M518" s="270" t="str">
        <f>IFERROR(INDEX([1]Produtos!$C:$C,MATCH(L518,[1]Produtos!$B:$B,0)), "-")</f>
        <v>ÓLEO CORPORAL ALGODÃO</v>
      </c>
      <c r="N518" s="510">
        <f>IFERROR(INDEX([1]Produtos!$E:$E,MATCH(L518,[1]Produtos!$B:$B,0)), "-")</f>
        <v>150</v>
      </c>
      <c r="O518" s="270" t="str">
        <f>IFERROR(INDEX([1]Produtos!$F:$F,MATCH(L518,[1]Produtos!$B:$B,0)), "-")</f>
        <v>ml</v>
      </c>
      <c r="P518" s="270" t="str">
        <f>IFERROR(INDEX([1]Produtos!$G:$G,MATCH(L518,[1]Produtos!$B:$B,0)), "-")</f>
        <v>MAAKE</v>
      </c>
      <c r="Q518" s="270" t="str">
        <f>IFERROR(INDEX([1]Produtos!$H:$H,MATCH(L518,[1]Produtos!$B:$B,0)), "-")</f>
        <v>CORPORAL</v>
      </c>
      <c r="R518" s="270" t="str">
        <f>IFERROR(INDEX([1]Produtos!$I:$I,MATCH(L518,[1]Produtos!$B:$B,0)), "-")</f>
        <v>OLEO CORPORAL</v>
      </c>
      <c r="S518" s="270" t="str">
        <f>IFERROR(INDEX([1]Produtos!$J:$J,MATCH(L518,[1]Produtos!$B:$B,0)), "-")</f>
        <v>LÍQUIDO ESPESSO</v>
      </c>
      <c r="T518" s="475"/>
      <c r="U518" s="270"/>
      <c r="V518" s="270"/>
      <c r="W518" s="270"/>
      <c r="X518" s="270"/>
      <c r="Y518" s="270"/>
      <c r="Z518" s="270"/>
      <c r="AA518" s="270"/>
      <c r="AB518" s="270"/>
      <c r="AC518" s="270"/>
      <c r="AD518" s="270"/>
      <c r="AE518" s="270"/>
      <c r="AF518" s="270"/>
      <c r="AG518" s="270"/>
      <c r="AH518" s="270"/>
      <c r="AI518" s="270"/>
      <c r="AJ518" s="270"/>
      <c r="AK518" s="270"/>
      <c r="AL518" s="270"/>
      <c r="AM518" s="663"/>
      <c r="AN518" s="663"/>
      <c r="AO518" s="708" t="str">
        <f>IF(OR(Table1[[#This Row],[Início Setup Envase]]="",Table1[[#This Row],[Final Setup Envase]]=""),"",Table1[[#This Row],[Final Setup Envase]]-Table1[[#This Row],[Início Setup Envase]])</f>
        <v/>
      </c>
      <c r="AP518" s="663"/>
      <c r="AQ518" s="663"/>
      <c r="AR518" s="270"/>
      <c r="AS518" s="270"/>
      <c r="AT518" s="270"/>
      <c r="AU518" s="270"/>
      <c r="AV518" s="270"/>
      <c r="AW518" s="270"/>
      <c r="AX518" s="270"/>
      <c r="AY518" s="270"/>
      <c r="AZ518" s="270"/>
      <c r="BA518" s="270">
        <f>IF(Table1[[#This Row],[Data de Início]]="","",YEAR(Table1[[#This Row],[Data de Início]]))</f>
        <v>2025</v>
      </c>
      <c r="BB518" s="270">
        <f>IF(Table1[[#This Row],[Data de Início]]="","",MONTH(Table1[[#This Row],[Data de Início]]))</f>
        <v>10</v>
      </c>
      <c r="BC518" s="270"/>
    </row>
    <row r="519" spans="2:55" ht="15" customHeight="1" x14ac:dyDescent="0.25">
      <c r="B519" s="470">
        <v>45932.552083333336</v>
      </c>
      <c r="C519" s="263">
        <v>45932.638888888891</v>
      </c>
      <c r="D519" s="441" cm="1">
        <f t="array" ref="D519">IFERROR(HorasUteisFabrica2Turnos(B519,C519), "")</f>
        <v>2.0833333333139308</v>
      </c>
      <c r="E519" s="265">
        <f t="shared" si="8"/>
        <v>783.36000000729564</v>
      </c>
      <c r="F519" s="266" t="s">
        <v>378</v>
      </c>
      <c r="G519" s="266" t="s">
        <v>475</v>
      </c>
      <c r="H519" s="266"/>
      <c r="I519" s="269" t="s">
        <v>825</v>
      </c>
      <c r="J519" s="267" t="s">
        <v>15</v>
      </c>
      <c r="K519" s="268">
        <v>1632</v>
      </c>
      <c r="L519" s="269" t="s">
        <v>488</v>
      </c>
      <c r="M519" s="270" t="str">
        <f>IFERROR(INDEX([1]Produtos!$C:$C,MATCH(L519,[1]Produtos!$B:$B,0)), "-")</f>
        <v>ÁGUA MICELAR COLÁGENO</v>
      </c>
      <c r="N519" s="510">
        <f>IFERROR(INDEX([1]Produtos!$E:$E,MATCH(L519,[1]Produtos!$B:$B,0)), "-")</f>
        <v>325</v>
      </c>
      <c r="O519" s="270" t="str">
        <f>IFERROR(INDEX([1]Produtos!$F:$F,MATCH(L519,[1]Produtos!$B:$B,0)), "-")</f>
        <v>ml</v>
      </c>
      <c r="P519" s="270" t="str">
        <f>IFERROR(INDEX([1]Produtos!$G:$G,MATCH(L519,[1]Produtos!$B:$B,0)), "-")</f>
        <v>GLOW MAKE UP</v>
      </c>
      <c r="Q519" s="270" t="str">
        <f>IFERROR(INDEX([1]Produtos!$H:$H,MATCH(L519,[1]Produtos!$B:$B,0)), "-")</f>
        <v>MAQUIAGEM</v>
      </c>
      <c r="R519" s="270" t="str">
        <f>IFERROR(INDEX([1]Produtos!$I:$I,MATCH(L519,[1]Produtos!$B:$B,0)), "-")</f>
        <v>ÁGUA MICELAR</v>
      </c>
      <c r="S519" s="270" t="str">
        <f>IFERROR(INDEX([1]Produtos!$J:$J,MATCH(L519,[1]Produtos!$B:$B,0)), "-")</f>
        <v>LÍQUIDO</v>
      </c>
      <c r="T519" s="475"/>
      <c r="U519" s="270"/>
      <c r="V519" s="270"/>
      <c r="W519" s="270"/>
      <c r="X519" s="270"/>
      <c r="Y519" s="270"/>
      <c r="Z519" s="270"/>
      <c r="AA519" s="270"/>
      <c r="AB519" s="270"/>
      <c r="AC519" s="270"/>
      <c r="AD519" s="270"/>
      <c r="AE519" s="270"/>
      <c r="AF519" s="270"/>
      <c r="AG519" s="270"/>
      <c r="AH519" s="270"/>
      <c r="AI519" s="270"/>
      <c r="AJ519" s="270"/>
      <c r="AK519" s="270"/>
      <c r="AL519" s="270"/>
      <c r="AM519" s="663"/>
      <c r="AN519" s="663"/>
      <c r="AO519" s="708" t="str">
        <f>IF(OR(Table1[[#This Row],[Início Setup Envase]]="",Table1[[#This Row],[Final Setup Envase]]=""),"",Table1[[#This Row],[Final Setup Envase]]-Table1[[#This Row],[Início Setup Envase]])</f>
        <v/>
      </c>
      <c r="AP519" s="663"/>
      <c r="AQ519" s="663"/>
      <c r="AR519" s="270"/>
      <c r="AS519" s="270"/>
      <c r="AT519" s="270"/>
      <c r="AU519" s="270"/>
      <c r="AV519" s="270"/>
      <c r="AW519" s="270"/>
      <c r="AX519" s="270"/>
      <c r="AY519" s="270"/>
      <c r="AZ519" s="270"/>
      <c r="BA519" s="270">
        <f>IF(Table1[[#This Row],[Data de Início]]="","",YEAR(Table1[[#This Row],[Data de Início]]))</f>
        <v>2025</v>
      </c>
      <c r="BB519" s="270">
        <f>IF(Table1[[#This Row],[Data de Início]]="","",MONTH(Table1[[#This Row],[Data de Início]]))</f>
        <v>10</v>
      </c>
      <c r="BC519" s="270"/>
    </row>
    <row r="520" spans="2:55" ht="15" customHeight="1" x14ac:dyDescent="0.25">
      <c r="B520" s="470">
        <v>45932.638888888891</v>
      </c>
      <c r="C520" s="263">
        <v>45933.328472222223</v>
      </c>
      <c r="D520" s="441" cm="1">
        <f t="array" ref="D520">IFERROR(HorasUteisFabrica2Turnos(B520,C520), "")</f>
        <v>2.5500000001047738</v>
      </c>
      <c r="E520" s="265">
        <f t="shared" si="8"/>
        <v>658.82352938469512</v>
      </c>
      <c r="F520" s="266" t="s">
        <v>378</v>
      </c>
      <c r="G520" s="266" t="s">
        <v>475</v>
      </c>
      <c r="H520" s="266"/>
      <c r="I520" s="269" t="s">
        <v>832</v>
      </c>
      <c r="J520" s="267" t="s">
        <v>15</v>
      </c>
      <c r="K520" s="268">
        <v>1680</v>
      </c>
      <c r="L520" s="269" t="s">
        <v>504</v>
      </c>
      <c r="M520" s="270" t="str">
        <f>IFERROR(INDEX([1]Produtos!$C:$C,MATCH(L520,[1]Produtos!$B:$B,0)), "-")</f>
        <v>ÁGUA MICELAR BABA GLOW</v>
      </c>
      <c r="N520" s="510">
        <f>IFERROR(INDEX([1]Produtos!$E:$E,MATCH(L520,[1]Produtos!$B:$B,0)), "-")</f>
        <v>325</v>
      </c>
      <c r="O520" s="270" t="str">
        <f>IFERROR(INDEX([1]Produtos!$F:$F,MATCH(L520,[1]Produtos!$B:$B,0)), "-")</f>
        <v>ml</v>
      </c>
      <c r="P520" s="270" t="str">
        <f>IFERROR(INDEX([1]Produtos!$G:$G,MATCH(L520,[1]Produtos!$B:$B,0)), "-")</f>
        <v>GLOW MAKE UP</v>
      </c>
      <c r="Q520" s="270" t="str">
        <f>IFERROR(INDEX([1]Produtos!$H:$H,MATCH(L520,[1]Produtos!$B:$B,0)), "-")</f>
        <v>MAQUIAGEM</v>
      </c>
      <c r="R520" s="270" t="str">
        <f>IFERROR(INDEX([1]Produtos!$I:$I,MATCH(L520,[1]Produtos!$B:$B,0)), "-")</f>
        <v>ÁGUA MICELAR</v>
      </c>
      <c r="S520" s="270" t="str">
        <f>IFERROR(INDEX([1]Produtos!$J:$J,MATCH(L520,[1]Produtos!$B:$B,0)), "-")</f>
        <v>LÍQUIDO</v>
      </c>
      <c r="T520" s="475"/>
      <c r="U520" s="270"/>
      <c r="V520" s="270"/>
      <c r="W520" s="270"/>
      <c r="X520" s="270"/>
      <c r="Y520" s="270"/>
      <c r="Z520" s="270"/>
      <c r="AA520" s="270"/>
      <c r="AB520" s="270"/>
      <c r="AC520" s="270"/>
      <c r="AD520" s="270"/>
      <c r="AE520" s="270"/>
      <c r="AF520" s="270"/>
      <c r="AG520" s="270"/>
      <c r="AH520" s="270"/>
      <c r="AI520" s="270"/>
      <c r="AJ520" s="270"/>
      <c r="AK520" s="270"/>
      <c r="AL520" s="270"/>
      <c r="AM520" s="663"/>
      <c r="AN520" s="663"/>
      <c r="AO520" s="708" t="str">
        <f>IF(OR(Table1[[#This Row],[Início Setup Envase]]="",Table1[[#This Row],[Final Setup Envase]]=""),"",Table1[[#This Row],[Final Setup Envase]]-Table1[[#This Row],[Início Setup Envase]])</f>
        <v/>
      </c>
      <c r="AP520" s="663"/>
      <c r="AQ520" s="663"/>
      <c r="AR520" s="270"/>
      <c r="AS520" s="270"/>
      <c r="AT520" s="270"/>
      <c r="AU520" s="270"/>
      <c r="AV520" s="270"/>
      <c r="AW520" s="270"/>
      <c r="AX520" s="270"/>
      <c r="AY520" s="270"/>
      <c r="AZ520" s="270"/>
      <c r="BA520" s="270">
        <f>IF(Table1[[#This Row],[Data de Início]]="","",YEAR(Table1[[#This Row],[Data de Início]]))</f>
        <v>2025</v>
      </c>
      <c r="BB520" s="270">
        <f>IF(Table1[[#This Row],[Data de Início]]="","",MONTH(Table1[[#This Row],[Data de Início]]))</f>
        <v>10</v>
      </c>
      <c r="BC520" s="270"/>
    </row>
    <row r="521" spans="2:55" ht="15" customHeight="1" x14ac:dyDescent="0.25">
      <c r="B521" s="470">
        <v>45933.311805555553</v>
      </c>
      <c r="C521" s="263">
        <v>45933.645833333336</v>
      </c>
      <c r="D521" s="441" cm="1">
        <f t="array" ref="D521">IFERROR(HorasUteisFabrica2Turnos(B521,C521), "")</f>
        <v>7.0166666667792015</v>
      </c>
      <c r="E521" s="265">
        <f t="shared" si="8"/>
        <v>533.58669832873443</v>
      </c>
      <c r="F521" s="266" t="s">
        <v>377</v>
      </c>
      <c r="G521" s="266" t="s">
        <v>828</v>
      </c>
      <c r="H521" s="266"/>
      <c r="I521" s="269" t="s">
        <v>829</v>
      </c>
      <c r="J521" s="267" t="s">
        <v>15</v>
      </c>
      <c r="K521" s="268">
        <v>3744</v>
      </c>
      <c r="L521" s="269" t="s">
        <v>999</v>
      </c>
      <c r="M521" s="270" t="str">
        <f>IFERROR(INDEX([1]Produtos!$C:$C,MATCH(L521,[1]Produtos!$B:$B,0)), "-")</f>
        <v>ÓLEO CORPORAL ALGODÃO</v>
      </c>
      <c r="N521" s="510">
        <f>IFERROR(INDEX([1]Produtos!$E:$E,MATCH(L521,[1]Produtos!$B:$B,0)), "-")</f>
        <v>150</v>
      </c>
      <c r="O521" s="270" t="str">
        <f>IFERROR(INDEX([1]Produtos!$F:$F,MATCH(L521,[1]Produtos!$B:$B,0)), "-")</f>
        <v>ml</v>
      </c>
      <c r="P521" s="270" t="str">
        <f>IFERROR(INDEX([1]Produtos!$G:$G,MATCH(L521,[1]Produtos!$B:$B,0)), "-")</f>
        <v>MAAKE</v>
      </c>
      <c r="Q521" s="270" t="str">
        <f>IFERROR(INDEX([1]Produtos!$H:$H,MATCH(L521,[1]Produtos!$B:$B,0)), "-")</f>
        <v>CORPORAL</v>
      </c>
      <c r="R521" s="270" t="str">
        <f>IFERROR(INDEX([1]Produtos!$I:$I,MATCH(L521,[1]Produtos!$B:$B,0)), "-")</f>
        <v>OLEO CORPORAL</v>
      </c>
      <c r="S521" s="270" t="str">
        <f>IFERROR(INDEX([1]Produtos!$J:$J,MATCH(L521,[1]Produtos!$B:$B,0)), "-")</f>
        <v>LÍQUIDO ESPESSO</v>
      </c>
      <c r="T521" s="475"/>
      <c r="U521" s="270"/>
      <c r="V521" s="270"/>
      <c r="W521" s="270"/>
      <c r="X521" s="270"/>
      <c r="Y521" s="270"/>
      <c r="Z521" s="270"/>
      <c r="AA521" s="270"/>
      <c r="AB521" s="270"/>
      <c r="AC521" s="270"/>
      <c r="AD521" s="270"/>
      <c r="AE521" s="270"/>
      <c r="AF521" s="270"/>
      <c r="AG521" s="270"/>
      <c r="AH521" s="270"/>
      <c r="AI521" s="270"/>
      <c r="AJ521" s="270"/>
      <c r="AK521" s="270"/>
      <c r="AL521" s="270"/>
      <c r="AM521" s="663"/>
      <c r="AN521" s="663"/>
      <c r="AO521" s="708" t="str">
        <f>IF(OR(Table1[[#This Row],[Início Setup Envase]]="",Table1[[#This Row],[Final Setup Envase]]=""),"",Table1[[#This Row],[Final Setup Envase]]-Table1[[#This Row],[Início Setup Envase]])</f>
        <v/>
      </c>
      <c r="AP521" s="663"/>
      <c r="AQ521" s="663"/>
      <c r="AR521" s="270"/>
      <c r="AS521" s="270"/>
      <c r="AT521" s="270"/>
      <c r="AU521" s="270"/>
      <c r="AV521" s="270"/>
      <c r="AW521" s="270"/>
      <c r="AX521" s="270"/>
      <c r="AY521" s="270"/>
      <c r="AZ521" s="270"/>
      <c r="BA521" s="270">
        <f>IF(Table1[[#This Row],[Data de Início]]="","",YEAR(Table1[[#This Row],[Data de Início]]))</f>
        <v>2025</v>
      </c>
      <c r="BB521" s="270">
        <f>IF(Table1[[#This Row],[Data de Início]]="","",MONTH(Table1[[#This Row],[Data de Início]]))</f>
        <v>10</v>
      </c>
      <c r="BC521" s="270"/>
    </row>
    <row r="522" spans="2:55" ht="15" customHeight="1" x14ac:dyDescent="0.25">
      <c r="B522" s="470">
        <v>45933.328472222223</v>
      </c>
      <c r="C522" s="263">
        <v>45933.416666666664</v>
      </c>
      <c r="D522" s="441" cm="1">
        <f t="array" ref="D522">IFERROR(HorasUteisFabrica2Turnos(B522,C522), "")</f>
        <v>2.1166666665812954</v>
      </c>
      <c r="E522" s="265">
        <f t="shared" si="8"/>
        <v>793.70078743358704</v>
      </c>
      <c r="F522" s="266" t="s">
        <v>378</v>
      </c>
      <c r="G522" s="266" t="s">
        <v>475</v>
      </c>
      <c r="H522" s="266"/>
      <c r="I522" s="269" t="s">
        <v>833</v>
      </c>
      <c r="J522" s="267" t="s">
        <v>15</v>
      </c>
      <c r="K522" s="268">
        <v>1680</v>
      </c>
      <c r="L522" s="269" t="s">
        <v>504</v>
      </c>
      <c r="M522" s="270" t="str">
        <f>IFERROR(INDEX([1]Produtos!$C:$C,MATCH(L522,[1]Produtos!$B:$B,0)), "-")</f>
        <v>ÁGUA MICELAR BABA GLOW</v>
      </c>
      <c r="N522" s="510">
        <f>IFERROR(INDEX([1]Produtos!$E:$E,MATCH(L522,[1]Produtos!$B:$B,0)), "-")</f>
        <v>325</v>
      </c>
      <c r="O522" s="270" t="str">
        <f>IFERROR(INDEX([1]Produtos!$F:$F,MATCH(L522,[1]Produtos!$B:$B,0)), "-")</f>
        <v>ml</v>
      </c>
      <c r="P522" s="270" t="str">
        <f>IFERROR(INDEX([1]Produtos!$G:$G,MATCH(L522,[1]Produtos!$B:$B,0)), "-")</f>
        <v>GLOW MAKE UP</v>
      </c>
      <c r="Q522" s="270" t="str">
        <f>IFERROR(INDEX([1]Produtos!$H:$H,MATCH(L522,[1]Produtos!$B:$B,0)), "-")</f>
        <v>MAQUIAGEM</v>
      </c>
      <c r="R522" s="270" t="str">
        <f>IFERROR(INDEX([1]Produtos!$I:$I,MATCH(L522,[1]Produtos!$B:$B,0)), "-")</f>
        <v>ÁGUA MICELAR</v>
      </c>
      <c r="S522" s="270" t="str">
        <f>IFERROR(INDEX([1]Produtos!$J:$J,MATCH(L522,[1]Produtos!$B:$B,0)), "-")</f>
        <v>LÍQUIDO</v>
      </c>
      <c r="T522" s="475"/>
      <c r="U522" s="270"/>
      <c r="V522" s="270"/>
      <c r="W522" s="270"/>
      <c r="X522" s="270"/>
      <c r="Y522" s="270"/>
      <c r="Z522" s="270"/>
      <c r="AA522" s="270"/>
      <c r="AB522" s="270"/>
      <c r="AC522" s="270"/>
      <c r="AD522" s="270"/>
      <c r="AE522" s="270"/>
      <c r="AF522" s="270"/>
      <c r="AG522" s="270"/>
      <c r="AH522" s="270"/>
      <c r="AI522" s="270"/>
      <c r="AJ522" s="270"/>
      <c r="AK522" s="270"/>
      <c r="AL522" s="270"/>
      <c r="AM522" s="663"/>
      <c r="AN522" s="663"/>
      <c r="AO522" s="708" t="str">
        <f>IF(OR(Table1[[#This Row],[Início Setup Envase]]="",Table1[[#This Row],[Final Setup Envase]]=""),"",Table1[[#This Row],[Final Setup Envase]]-Table1[[#This Row],[Início Setup Envase]])</f>
        <v/>
      </c>
      <c r="AP522" s="663"/>
      <c r="AQ522" s="663"/>
      <c r="AR522" s="270"/>
      <c r="AS522" s="270"/>
      <c r="AT522" s="270"/>
      <c r="AU522" s="270"/>
      <c r="AV522" s="270"/>
      <c r="AW522" s="270"/>
      <c r="AX522" s="270"/>
      <c r="AY522" s="270"/>
      <c r="AZ522" s="270"/>
      <c r="BA522" s="270">
        <f>IF(Table1[[#This Row],[Data de Início]]="","",YEAR(Table1[[#This Row],[Data de Início]]))</f>
        <v>2025</v>
      </c>
      <c r="BB522" s="270">
        <f>IF(Table1[[#This Row],[Data de Início]]="","",MONTH(Table1[[#This Row],[Data de Início]]))</f>
        <v>10</v>
      </c>
      <c r="BC522" s="270"/>
    </row>
    <row r="523" spans="2:55" ht="15" customHeight="1" x14ac:dyDescent="0.25">
      <c r="B523" s="470">
        <v>45933.416666666664</v>
      </c>
      <c r="C523" s="263">
        <v>45933.555555555555</v>
      </c>
      <c r="D523" s="441" cm="1">
        <f t="array" ref="D523">IFERROR(HorasUteisFabrica2Turnos(B523,C523), "")</f>
        <v>2.3333333333721384</v>
      </c>
      <c r="E523" s="265">
        <f t="shared" si="8"/>
        <v>719.99999998802582</v>
      </c>
      <c r="F523" s="266" t="s">
        <v>378</v>
      </c>
      <c r="G523" s="266" t="s">
        <v>475</v>
      </c>
      <c r="H523" s="266"/>
      <c r="I523" s="269" t="s">
        <v>830</v>
      </c>
      <c r="J523" s="267" t="s">
        <v>15</v>
      </c>
      <c r="K523" s="268">
        <v>1680</v>
      </c>
      <c r="L523" s="269" t="s">
        <v>504</v>
      </c>
      <c r="M523" s="270" t="str">
        <f>IFERROR(INDEX([1]Produtos!$C:$C,MATCH(L523,[1]Produtos!$B:$B,0)), "-")</f>
        <v>ÁGUA MICELAR BABA GLOW</v>
      </c>
      <c r="N523" s="510">
        <f>IFERROR(INDEX([1]Produtos!$E:$E,MATCH(L523,[1]Produtos!$B:$B,0)), "-")</f>
        <v>325</v>
      </c>
      <c r="O523" s="270" t="str">
        <f>IFERROR(INDEX([1]Produtos!$F:$F,MATCH(L523,[1]Produtos!$B:$B,0)), "-")</f>
        <v>ml</v>
      </c>
      <c r="P523" s="270" t="str">
        <f>IFERROR(INDEX([1]Produtos!$G:$G,MATCH(L523,[1]Produtos!$B:$B,0)), "-")</f>
        <v>GLOW MAKE UP</v>
      </c>
      <c r="Q523" s="270" t="str">
        <f>IFERROR(INDEX([1]Produtos!$H:$H,MATCH(L523,[1]Produtos!$B:$B,0)), "-")</f>
        <v>MAQUIAGEM</v>
      </c>
      <c r="R523" s="270" t="str">
        <f>IFERROR(INDEX([1]Produtos!$I:$I,MATCH(L523,[1]Produtos!$B:$B,0)), "-")</f>
        <v>ÁGUA MICELAR</v>
      </c>
      <c r="S523" s="270" t="str">
        <f>IFERROR(INDEX([1]Produtos!$J:$J,MATCH(L523,[1]Produtos!$B:$B,0)), "-")</f>
        <v>LÍQUIDO</v>
      </c>
      <c r="T523" s="475"/>
      <c r="U523" s="270"/>
      <c r="V523" s="270"/>
      <c r="W523" s="270"/>
      <c r="X523" s="270"/>
      <c r="Y523" s="270"/>
      <c r="Z523" s="270"/>
      <c r="AA523" s="270"/>
      <c r="AB523" s="270"/>
      <c r="AC523" s="270"/>
      <c r="AD523" s="270"/>
      <c r="AE523" s="270"/>
      <c r="AF523" s="270"/>
      <c r="AG523" s="270"/>
      <c r="AH523" s="270"/>
      <c r="AI523" s="270"/>
      <c r="AJ523" s="270"/>
      <c r="AK523" s="270"/>
      <c r="AL523" s="270"/>
      <c r="AM523" s="663"/>
      <c r="AN523" s="663"/>
      <c r="AO523" s="708" t="str">
        <f>IF(OR(Table1[[#This Row],[Início Setup Envase]]="",Table1[[#This Row],[Final Setup Envase]]=""),"",Table1[[#This Row],[Final Setup Envase]]-Table1[[#This Row],[Início Setup Envase]])</f>
        <v/>
      </c>
      <c r="AP523" s="663"/>
      <c r="AQ523" s="663"/>
      <c r="AR523" s="270"/>
      <c r="AS523" s="270"/>
      <c r="AT523" s="270"/>
      <c r="AU523" s="270"/>
      <c r="AV523" s="270"/>
      <c r="AW523" s="270"/>
      <c r="AX523" s="270"/>
      <c r="AY523" s="270"/>
      <c r="AZ523" s="270"/>
      <c r="BA523" s="270">
        <f>IF(Table1[[#This Row],[Data de Início]]="","",YEAR(Table1[[#This Row],[Data de Início]]))</f>
        <v>2025</v>
      </c>
      <c r="BB523" s="270">
        <f>IF(Table1[[#This Row],[Data de Início]]="","",MONTH(Table1[[#This Row],[Data de Início]]))</f>
        <v>10</v>
      </c>
      <c r="BC523" s="270"/>
    </row>
    <row r="524" spans="2:55" ht="15" customHeight="1" x14ac:dyDescent="0.25">
      <c r="B524" s="470">
        <v>45933.555555555555</v>
      </c>
      <c r="C524" s="263">
        <v>45933.636805555558</v>
      </c>
      <c r="D524" s="441" cm="1">
        <f t="array" ref="D524">IFERROR(HorasUteisFabrica2Turnos(B524,C524), "")</f>
        <v>1.9500000000698492</v>
      </c>
      <c r="E524" s="265">
        <f t="shared" si="8"/>
        <v>861.53846150760114</v>
      </c>
      <c r="F524" s="266" t="s">
        <v>378</v>
      </c>
      <c r="G524" s="266" t="s">
        <v>475</v>
      </c>
      <c r="H524" s="266"/>
      <c r="I524" s="269" t="s">
        <v>835</v>
      </c>
      <c r="J524" s="267" t="s">
        <v>15</v>
      </c>
      <c r="K524" s="268">
        <v>1680</v>
      </c>
      <c r="L524" s="269" t="s">
        <v>504</v>
      </c>
      <c r="M524" s="270" t="str">
        <f>IFERROR(INDEX([1]Produtos!$C:$C,MATCH(L524,[1]Produtos!$B:$B,0)), "-")</f>
        <v>ÁGUA MICELAR BABA GLOW</v>
      </c>
      <c r="N524" s="510">
        <f>IFERROR(INDEX([1]Produtos!$E:$E,MATCH(L524,[1]Produtos!$B:$B,0)), "-")</f>
        <v>325</v>
      </c>
      <c r="O524" s="270" t="str">
        <f>IFERROR(INDEX([1]Produtos!$F:$F,MATCH(L524,[1]Produtos!$B:$B,0)), "-")</f>
        <v>ml</v>
      </c>
      <c r="P524" s="270" t="str">
        <f>IFERROR(INDEX([1]Produtos!$G:$G,MATCH(L524,[1]Produtos!$B:$B,0)), "-")</f>
        <v>GLOW MAKE UP</v>
      </c>
      <c r="Q524" s="270" t="str">
        <f>IFERROR(INDEX([1]Produtos!$H:$H,MATCH(L524,[1]Produtos!$B:$B,0)), "-")</f>
        <v>MAQUIAGEM</v>
      </c>
      <c r="R524" s="270" t="str">
        <f>IFERROR(INDEX([1]Produtos!$I:$I,MATCH(L524,[1]Produtos!$B:$B,0)), "-")</f>
        <v>ÁGUA MICELAR</v>
      </c>
      <c r="S524" s="270" t="str">
        <f>IFERROR(INDEX([1]Produtos!$J:$J,MATCH(L524,[1]Produtos!$B:$B,0)), "-")</f>
        <v>LÍQUIDO</v>
      </c>
      <c r="T524" s="475"/>
      <c r="U524" s="270"/>
      <c r="V524" s="270"/>
      <c r="W524" s="270"/>
      <c r="X524" s="270"/>
      <c r="Y524" s="270"/>
      <c r="Z524" s="270"/>
      <c r="AA524" s="270"/>
      <c r="AB524" s="270"/>
      <c r="AC524" s="270"/>
      <c r="AD524" s="270"/>
      <c r="AE524" s="270"/>
      <c r="AF524" s="270"/>
      <c r="AG524" s="270"/>
      <c r="AH524" s="270"/>
      <c r="AI524" s="270"/>
      <c r="AJ524" s="270"/>
      <c r="AK524" s="270"/>
      <c r="AL524" s="270"/>
      <c r="AM524" s="663"/>
      <c r="AN524" s="663"/>
      <c r="AO524" s="708" t="str">
        <f>IF(OR(Table1[[#This Row],[Início Setup Envase]]="",Table1[[#This Row],[Final Setup Envase]]=""),"",Table1[[#This Row],[Final Setup Envase]]-Table1[[#This Row],[Início Setup Envase]])</f>
        <v/>
      </c>
      <c r="AP524" s="663"/>
      <c r="AQ524" s="663"/>
      <c r="AR524" s="270"/>
      <c r="AS524" s="270"/>
      <c r="AT524" s="270"/>
      <c r="AU524" s="270"/>
      <c r="AV524" s="270"/>
      <c r="AW524" s="270"/>
      <c r="AX524" s="270"/>
      <c r="AY524" s="270"/>
      <c r="AZ524" s="270"/>
      <c r="BA524" s="270">
        <f>IF(Table1[[#This Row],[Data de Início]]="","",YEAR(Table1[[#This Row],[Data de Início]]))</f>
        <v>2025</v>
      </c>
      <c r="BB524" s="270">
        <f>IF(Table1[[#This Row],[Data de Início]]="","",MONTH(Table1[[#This Row],[Data de Início]]))</f>
        <v>10</v>
      </c>
      <c r="BC524" s="270"/>
    </row>
    <row r="525" spans="2:55" ht="15" customHeight="1" x14ac:dyDescent="0.25">
      <c r="B525" s="470">
        <v>45933.637499999997</v>
      </c>
      <c r="C525" s="263">
        <v>45936.354166666664</v>
      </c>
      <c r="D525" s="441" cm="1">
        <f t="array" ref="D525">IFERROR(HorasUteisFabrica2Turnos(B525,C525), "")</f>
        <v>2.2000000000116415</v>
      </c>
      <c r="E525" s="265">
        <f t="shared" si="8"/>
        <v>763.63636363232274</v>
      </c>
      <c r="F525" s="266" t="s">
        <v>378</v>
      </c>
      <c r="G525" s="266" t="s">
        <v>475</v>
      </c>
      <c r="H525" s="266"/>
      <c r="I525" s="269" t="s">
        <v>831</v>
      </c>
      <c r="J525" s="267" t="s">
        <v>15</v>
      </c>
      <c r="K525" s="268">
        <v>1680</v>
      </c>
      <c r="L525" s="269" t="s">
        <v>504</v>
      </c>
      <c r="M525" s="270" t="str">
        <f>IFERROR(INDEX([1]Produtos!$C:$C,MATCH(L525,[1]Produtos!$B:$B,0)), "-")</f>
        <v>ÁGUA MICELAR BABA GLOW</v>
      </c>
      <c r="N525" s="510">
        <f>IFERROR(INDEX([1]Produtos!$E:$E,MATCH(L525,[1]Produtos!$B:$B,0)), "-")</f>
        <v>325</v>
      </c>
      <c r="O525" s="270" t="str">
        <f>IFERROR(INDEX([1]Produtos!$F:$F,MATCH(L525,[1]Produtos!$B:$B,0)), "-")</f>
        <v>ml</v>
      </c>
      <c r="P525" s="270" t="str">
        <f>IFERROR(INDEX([1]Produtos!$G:$G,MATCH(L525,[1]Produtos!$B:$B,0)), "-")</f>
        <v>GLOW MAKE UP</v>
      </c>
      <c r="Q525" s="270" t="str">
        <f>IFERROR(INDEX([1]Produtos!$H:$H,MATCH(L525,[1]Produtos!$B:$B,0)), "-")</f>
        <v>MAQUIAGEM</v>
      </c>
      <c r="R525" s="270" t="str">
        <f>IFERROR(INDEX([1]Produtos!$I:$I,MATCH(L525,[1]Produtos!$B:$B,0)), "-")</f>
        <v>ÁGUA MICELAR</v>
      </c>
      <c r="S525" s="270" t="str">
        <f>IFERROR(INDEX([1]Produtos!$J:$J,MATCH(L525,[1]Produtos!$B:$B,0)), "-")</f>
        <v>LÍQUIDO</v>
      </c>
      <c r="T525" s="475"/>
      <c r="U525" s="270"/>
      <c r="V525" s="270"/>
      <c r="W525" s="270"/>
      <c r="X525" s="270"/>
      <c r="Y525" s="270"/>
      <c r="Z525" s="270"/>
      <c r="AA525" s="270"/>
      <c r="AB525" s="270"/>
      <c r="AC525" s="270"/>
      <c r="AD525" s="270"/>
      <c r="AE525" s="270"/>
      <c r="AF525" s="270"/>
      <c r="AG525" s="270"/>
      <c r="AH525" s="270"/>
      <c r="AI525" s="270"/>
      <c r="AJ525" s="270"/>
      <c r="AK525" s="270"/>
      <c r="AL525" s="270"/>
      <c r="AM525" s="663"/>
      <c r="AN525" s="663"/>
      <c r="AO525" s="708" t="str">
        <f>IF(OR(Table1[[#This Row],[Início Setup Envase]]="",Table1[[#This Row],[Final Setup Envase]]=""),"",Table1[[#This Row],[Final Setup Envase]]-Table1[[#This Row],[Início Setup Envase]])</f>
        <v/>
      </c>
      <c r="AP525" s="663"/>
      <c r="AQ525" s="663"/>
      <c r="AR525" s="270"/>
      <c r="AS525" s="270"/>
      <c r="AT525" s="270"/>
      <c r="AU525" s="270"/>
      <c r="AV525" s="270"/>
      <c r="AW525" s="270"/>
      <c r="AX525" s="270"/>
      <c r="AY525" s="270"/>
      <c r="AZ525" s="270"/>
      <c r="BA525" s="270">
        <f>IF(Table1[[#This Row],[Data de Início]]="","",YEAR(Table1[[#This Row],[Data de Início]]))</f>
        <v>2025</v>
      </c>
      <c r="BB525" s="270">
        <f>IF(Table1[[#This Row],[Data de Início]]="","",MONTH(Table1[[#This Row],[Data de Início]]))</f>
        <v>10</v>
      </c>
      <c r="BC525" s="270"/>
    </row>
    <row r="526" spans="2:55" ht="15" customHeight="1" x14ac:dyDescent="0.25">
      <c r="B526" s="470">
        <v>45936.322916666664</v>
      </c>
      <c r="C526" s="263">
        <v>45936.604166666664</v>
      </c>
      <c r="D526" s="264" cm="1">
        <f t="array" ref="D526">IFERROR(HorasUteisFabrica2Turnos(B526,C526), "")</f>
        <v>5.75</v>
      </c>
      <c r="E526" s="265">
        <f t="shared" si="8"/>
        <v>803.47826086956525</v>
      </c>
      <c r="F526" s="266" t="s">
        <v>377</v>
      </c>
      <c r="G526" s="266" t="s">
        <v>776</v>
      </c>
      <c r="H526" s="266"/>
      <c r="I526" s="269" t="s">
        <v>839</v>
      </c>
      <c r="J526" s="267" t="s">
        <v>15</v>
      </c>
      <c r="K526" s="268">
        <v>4620</v>
      </c>
      <c r="L526" s="467" t="s">
        <v>1000</v>
      </c>
      <c r="M526" s="270" t="str">
        <f>IFERROR(INDEX([1]Produtos!$C:$C,MATCH(L526,[1]Produtos!$B:$B,0)), "-")</f>
        <v>BODY SPLASH DAPOP HONEY GLOW</v>
      </c>
      <c r="N526" s="510">
        <f>IFERROR(INDEX([1]Produtos!$E:$E,MATCH(L526,[1]Produtos!$B:$B,0)), "-")</f>
        <v>120</v>
      </c>
      <c r="O526" s="270" t="str">
        <f>IFERROR(INDEX([1]Produtos!$F:$F,MATCH(L526,[1]Produtos!$B:$B,0)), "-")</f>
        <v>ml</v>
      </c>
      <c r="P526" s="270" t="str">
        <f>IFERROR(INDEX([1]Produtos!$G:$G,MATCH(L526,[1]Produtos!$B:$B,0)), "-")</f>
        <v>DAPOP</v>
      </c>
      <c r="Q526" s="270" t="str">
        <f>IFERROR(INDEX([1]Produtos!$H:$H,MATCH(L526,[1]Produtos!$B:$B,0)), "-")</f>
        <v>PERFUMARIA</v>
      </c>
      <c r="R526" s="270" t="str">
        <f>IFERROR(INDEX([1]Produtos!$I:$I,MATCH(L526,[1]Produtos!$B:$B,0)), "-")</f>
        <v>BODY SPLASH</v>
      </c>
      <c r="S526" s="270" t="str">
        <f>IFERROR(INDEX([1]Produtos!$J:$J,MATCH(L526,[1]Produtos!$B:$B,0)), "-")</f>
        <v>LÍQUIDO ESPESSO</v>
      </c>
      <c r="T526" s="475"/>
      <c r="U526" s="270"/>
      <c r="V526" s="270"/>
      <c r="W526" s="270"/>
      <c r="X526" s="270"/>
      <c r="Y526" s="270"/>
      <c r="Z526" s="270"/>
      <c r="AA526" s="270"/>
      <c r="AB526" s="270"/>
      <c r="AC526" s="270"/>
      <c r="AD526" s="270"/>
      <c r="AE526" s="270"/>
      <c r="AF526" s="270"/>
      <c r="AG526" s="270"/>
      <c r="AH526" s="270"/>
      <c r="AI526" s="270"/>
      <c r="AJ526" s="270"/>
      <c r="AK526" s="270"/>
      <c r="AL526" s="270"/>
      <c r="AM526" s="663"/>
      <c r="AN526" s="663"/>
      <c r="AO526" s="708" t="str">
        <f>IF(OR(Table1[[#This Row],[Início Setup Envase]]="",Table1[[#This Row],[Final Setup Envase]]=""),"",Table1[[#This Row],[Final Setup Envase]]-Table1[[#This Row],[Início Setup Envase]])</f>
        <v/>
      </c>
      <c r="AP526" s="663"/>
      <c r="AQ526" s="663"/>
      <c r="AR526" s="270"/>
      <c r="AS526" s="270"/>
      <c r="AT526" s="270"/>
      <c r="AU526" s="270"/>
      <c r="AV526" s="270"/>
      <c r="AW526" s="270"/>
      <c r="AX526" s="270"/>
      <c r="AY526" s="270"/>
      <c r="AZ526" s="270"/>
      <c r="BA526" s="270">
        <f>IF(Table1[[#This Row],[Data de Início]]="","",YEAR(Table1[[#This Row],[Data de Início]]))</f>
        <v>2025</v>
      </c>
      <c r="BB526" s="270">
        <f>IF(Table1[[#This Row],[Data de Início]]="","",MONTH(Table1[[#This Row],[Data de Início]]))</f>
        <v>10</v>
      </c>
      <c r="BC526" s="270"/>
    </row>
    <row r="527" spans="2:55" ht="15" customHeight="1" x14ac:dyDescent="0.25">
      <c r="B527" s="470">
        <v>45936.354166666664</v>
      </c>
      <c r="C527" s="263">
        <v>45936.429861111108</v>
      </c>
      <c r="D527" s="441" cm="1">
        <f t="array" ref="D527">IFERROR(HorasUteisFabrica2Turnos(B527,C527), "")</f>
        <v>1.8166666666511446</v>
      </c>
      <c r="E527" s="265">
        <f t="shared" si="8"/>
        <v>924.77064220973637</v>
      </c>
      <c r="F527" s="266" t="s">
        <v>378</v>
      </c>
      <c r="G527" s="266" t="s">
        <v>475</v>
      </c>
      <c r="H527" s="266"/>
      <c r="I527" s="269" t="s">
        <v>836</v>
      </c>
      <c r="J527" s="267" t="s">
        <v>15</v>
      </c>
      <c r="K527" s="268">
        <v>1680</v>
      </c>
      <c r="L527" s="269" t="s">
        <v>504</v>
      </c>
      <c r="M527" s="270" t="str">
        <f>IFERROR(INDEX([1]Produtos!$C:$C,MATCH(L527,[1]Produtos!$B:$B,0)), "-")</f>
        <v>ÁGUA MICELAR BABA GLOW</v>
      </c>
      <c r="N527" s="510">
        <f>IFERROR(INDEX([1]Produtos!$E:$E,MATCH(L527,[1]Produtos!$B:$B,0)), "-")</f>
        <v>325</v>
      </c>
      <c r="O527" s="270" t="str">
        <f>IFERROR(INDEX([1]Produtos!$F:$F,MATCH(L527,[1]Produtos!$B:$B,0)), "-")</f>
        <v>ml</v>
      </c>
      <c r="P527" s="270" t="str">
        <f>IFERROR(INDEX([1]Produtos!$G:$G,MATCH(L527,[1]Produtos!$B:$B,0)), "-")</f>
        <v>GLOW MAKE UP</v>
      </c>
      <c r="Q527" s="270" t="str">
        <f>IFERROR(INDEX([1]Produtos!$H:$H,MATCH(L527,[1]Produtos!$B:$B,0)), "-")</f>
        <v>MAQUIAGEM</v>
      </c>
      <c r="R527" s="270" t="str">
        <f>IFERROR(INDEX([1]Produtos!$I:$I,MATCH(L527,[1]Produtos!$B:$B,0)), "-")</f>
        <v>ÁGUA MICELAR</v>
      </c>
      <c r="S527" s="270" t="str">
        <f>IFERROR(INDEX([1]Produtos!$J:$J,MATCH(L527,[1]Produtos!$B:$B,0)), "-")</f>
        <v>LÍQUIDO</v>
      </c>
      <c r="T527" s="475"/>
      <c r="U527" s="270"/>
      <c r="V527" s="270"/>
      <c r="W527" s="270"/>
      <c r="X527" s="270"/>
      <c r="Y527" s="270"/>
      <c r="Z527" s="270"/>
      <c r="AA527" s="270"/>
      <c r="AB527" s="270"/>
      <c r="AC527" s="270"/>
      <c r="AD527" s="270"/>
      <c r="AE527" s="270"/>
      <c r="AF527" s="270"/>
      <c r="AG527" s="270"/>
      <c r="AH527" s="270"/>
      <c r="AI527" s="270"/>
      <c r="AJ527" s="270"/>
      <c r="AK527" s="270"/>
      <c r="AL527" s="270"/>
      <c r="AM527" s="663"/>
      <c r="AN527" s="663"/>
      <c r="AO527" s="708" t="str">
        <f>IF(OR(Table1[[#This Row],[Início Setup Envase]]="",Table1[[#This Row],[Final Setup Envase]]=""),"",Table1[[#This Row],[Final Setup Envase]]-Table1[[#This Row],[Início Setup Envase]])</f>
        <v/>
      </c>
      <c r="AP527" s="663"/>
      <c r="AQ527" s="663"/>
      <c r="AR527" s="270"/>
      <c r="AS527" s="270"/>
      <c r="AT527" s="270"/>
      <c r="AU527" s="270"/>
      <c r="AV527" s="270"/>
      <c r="AW527" s="270"/>
      <c r="AX527" s="270"/>
      <c r="AY527" s="270"/>
      <c r="AZ527" s="270"/>
      <c r="BA527" s="270">
        <f>IF(Table1[[#This Row],[Data de Início]]="","",YEAR(Table1[[#This Row],[Data de Início]]))</f>
        <v>2025</v>
      </c>
      <c r="BB527" s="270">
        <f>IF(Table1[[#This Row],[Data de Início]]="","",MONTH(Table1[[#This Row],[Data de Início]]))</f>
        <v>10</v>
      </c>
      <c r="BC527" s="270"/>
    </row>
    <row r="528" spans="2:55" ht="15" customHeight="1" x14ac:dyDescent="0.25">
      <c r="B528" s="470">
        <v>45936.4375</v>
      </c>
      <c r="C528" s="263">
        <v>45936.465277777781</v>
      </c>
      <c r="D528" s="264" cm="1">
        <f t="array" ref="D528">IFERROR(HorasUteisFabrica2Turnos(B528,C528), "")</f>
        <v>0.66666666674427688</v>
      </c>
      <c r="E528" s="265">
        <f t="shared" si="8"/>
        <v>935.99999989103526</v>
      </c>
      <c r="F528" s="266" t="s">
        <v>378</v>
      </c>
      <c r="G528" s="266" t="s">
        <v>475</v>
      </c>
      <c r="H528" s="266"/>
      <c r="I528" s="269" t="s">
        <v>837</v>
      </c>
      <c r="J528" s="267" t="s">
        <v>15</v>
      </c>
      <c r="K528" s="268">
        <v>624</v>
      </c>
      <c r="L528" s="269" t="s">
        <v>504</v>
      </c>
      <c r="M528" s="270" t="str">
        <f>IFERROR(INDEX([1]Produtos!$C:$C,MATCH(L528,[1]Produtos!$B:$B,0)), "-")</f>
        <v>ÁGUA MICELAR BABA GLOW</v>
      </c>
      <c r="N528" s="510">
        <f>IFERROR(INDEX([1]Produtos!$E:$E,MATCH(L528,[1]Produtos!$B:$B,0)), "-")</f>
        <v>325</v>
      </c>
      <c r="O528" s="270" t="str">
        <f>IFERROR(INDEX([1]Produtos!$F:$F,MATCH(L528,[1]Produtos!$B:$B,0)), "-")</f>
        <v>ml</v>
      </c>
      <c r="P528" s="270" t="str">
        <f>IFERROR(INDEX([1]Produtos!$G:$G,MATCH(L528,[1]Produtos!$B:$B,0)), "-")</f>
        <v>GLOW MAKE UP</v>
      </c>
      <c r="Q528" s="270" t="str">
        <f>IFERROR(INDEX([1]Produtos!$H:$H,MATCH(L528,[1]Produtos!$B:$B,0)), "-")</f>
        <v>MAQUIAGEM</v>
      </c>
      <c r="R528" s="270" t="str">
        <f>IFERROR(INDEX([1]Produtos!$I:$I,MATCH(L528,[1]Produtos!$B:$B,0)), "-")</f>
        <v>ÁGUA MICELAR</v>
      </c>
      <c r="S528" s="270" t="str">
        <f>IFERROR(INDEX([1]Produtos!$J:$J,MATCH(L528,[1]Produtos!$B:$B,0)), "-")</f>
        <v>LÍQUIDO</v>
      </c>
      <c r="T528" s="475"/>
      <c r="U528" s="270"/>
      <c r="V528" s="270"/>
      <c r="W528" s="270"/>
      <c r="X528" s="270"/>
      <c r="Y528" s="270"/>
      <c r="Z528" s="270"/>
      <c r="AA528" s="270"/>
      <c r="AB528" s="270"/>
      <c r="AC528" s="270"/>
      <c r="AD528" s="270"/>
      <c r="AE528" s="270"/>
      <c r="AF528" s="270"/>
      <c r="AG528" s="270"/>
      <c r="AH528" s="270"/>
      <c r="AI528" s="270"/>
      <c r="AJ528" s="270"/>
      <c r="AK528" s="270"/>
      <c r="AL528" s="270"/>
      <c r="AM528" s="663"/>
      <c r="AN528" s="663"/>
      <c r="AO528" s="708" t="str">
        <f>IF(OR(Table1[[#This Row],[Início Setup Envase]]="",Table1[[#This Row],[Final Setup Envase]]=""),"",Table1[[#This Row],[Final Setup Envase]]-Table1[[#This Row],[Início Setup Envase]])</f>
        <v/>
      </c>
      <c r="AP528" s="663"/>
      <c r="AQ528" s="663"/>
      <c r="AR528" s="270"/>
      <c r="AS528" s="270"/>
      <c r="AT528" s="270"/>
      <c r="AU528" s="270"/>
      <c r="AV528" s="270"/>
      <c r="AW528" s="270"/>
      <c r="AX528" s="270"/>
      <c r="AY528" s="270"/>
      <c r="AZ528" s="270"/>
      <c r="BA528" s="270">
        <f>IF(Table1[[#This Row],[Data de Início]]="","",YEAR(Table1[[#This Row],[Data de Início]]))</f>
        <v>2025</v>
      </c>
      <c r="BB528" s="270">
        <f>IF(Table1[[#This Row],[Data de Início]]="","",MONTH(Table1[[#This Row],[Data de Início]]))</f>
        <v>10</v>
      </c>
      <c r="BC528" s="270"/>
    </row>
    <row r="529" spans="2:55" ht="15" customHeight="1" x14ac:dyDescent="0.25">
      <c r="B529" s="470">
        <v>45936.467361111114</v>
      </c>
      <c r="C529" s="263">
        <v>45936.581944444442</v>
      </c>
      <c r="D529" s="264" cm="1">
        <f t="array" ref="D529">IFERROR(HorasUteisFabrica2Turnos(B529,C529), "")</f>
        <v>1.7499999998835847</v>
      </c>
      <c r="E529" s="265">
        <f t="shared" si="8"/>
        <v>960.0000000638621</v>
      </c>
      <c r="F529" s="266" t="s">
        <v>378</v>
      </c>
      <c r="G529" s="266" t="s">
        <v>475</v>
      </c>
      <c r="H529" s="266"/>
      <c r="I529" s="269" t="s">
        <v>840</v>
      </c>
      <c r="J529" s="267" t="s">
        <v>15</v>
      </c>
      <c r="K529" s="268">
        <v>1680</v>
      </c>
      <c r="L529" s="269" t="s">
        <v>503</v>
      </c>
      <c r="M529" s="270" t="str">
        <f>IFERROR(INDEX([1]Produtos!$C:$C,MATCH(L529,[1]Produtos!$B:$B,0)), "-")</f>
        <v>ÁGUA MICELAR ROSA MOSQUETA</v>
      </c>
      <c r="N529" s="510">
        <f>IFERROR(INDEX([1]Produtos!$E:$E,MATCH(L529,[1]Produtos!$B:$B,0)), "-")</f>
        <v>325</v>
      </c>
      <c r="O529" s="270" t="str">
        <f>IFERROR(INDEX([1]Produtos!$F:$F,MATCH(L529,[1]Produtos!$B:$B,0)), "-")</f>
        <v>ml</v>
      </c>
      <c r="P529" s="270" t="str">
        <f>IFERROR(INDEX([1]Produtos!$G:$G,MATCH(L529,[1]Produtos!$B:$B,0)), "-")</f>
        <v>GLOW MAKE UP</v>
      </c>
      <c r="Q529" s="270" t="str">
        <f>IFERROR(INDEX([1]Produtos!$H:$H,MATCH(L529,[1]Produtos!$B:$B,0)), "-")</f>
        <v>MAQUIAGEM</v>
      </c>
      <c r="R529" s="270" t="str">
        <f>IFERROR(INDEX([1]Produtos!$I:$I,MATCH(L529,[1]Produtos!$B:$B,0)), "-")</f>
        <v>ÁGUA MICELAR</v>
      </c>
      <c r="S529" s="270" t="str">
        <f>IFERROR(INDEX([1]Produtos!$J:$J,MATCH(L529,[1]Produtos!$B:$B,0)), "-")</f>
        <v>LÍQUIDO</v>
      </c>
      <c r="T529" s="475"/>
      <c r="U529" s="270"/>
      <c r="V529" s="270"/>
      <c r="W529" s="270"/>
      <c r="X529" s="270"/>
      <c r="Y529" s="270"/>
      <c r="Z529" s="270"/>
      <c r="AA529" s="270"/>
      <c r="AB529" s="270"/>
      <c r="AC529" s="270"/>
      <c r="AD529" s="270"/>
      <c r="AE529" s="270"/>
      <c r="AF529" s="270"/>
      <c r="AG529" s="270"/>
      <c r="AH529" s="270"/>
      <c r="AI529" s="270"/>
      <c r="AJ529" s="270"/>
      <c r="AK529" s="270"/>
      <c r="AL529" s="270"/>
      <c r="AM529" s="663"/>
      <c r="AN529" s="663"/>
      <c r="AO529" s="708" t="str">
        <f>IF(OR(Table1[[#This Row],[Início Setup Envase]]="",Table1[[#This Row],[Final Setup Envase]]=""),"",Table1[[#This Row],[Final Setup Envase]]-Table1[[#This Row],[Início Setup Envase]])</f>
        <v/>
      </c>
      <c r="AP529" s="663"/>
      <c r="AQ529" s="663"/>
      <c r="AR529" s="270"/>
      <c r="AS529" s="270"/>
      <c r="AT529" s="270"/>
      <c r="AU529" s="270"/>
      <c r="AV529" s="270"/>
      <c r="AW529" s="270"/>
      <c r="AX529" s="270"/>
      <c r="AY529" s="270"/>
      <c r="AZ529" s="270"/>
      <c r="BA529" s="270">
        <f>IF(Table1[[#This Row],[Data de Início]]="","",YEAR(Table1[[#This Row],[Data de Início]]))</f>
        <v>2025</v>
      </c>
      <c r="BB529" s="270">
        <f>IF(Table1[[#This Row],[Data de Início]]="","",MONTH(Table1[[#This Row],[Data de Início]]))</f>
        <v>10</v>
      </c>
      <c r="BC529" s="270"/>
    </row>
    <row r="530" spans="2:55" ht="15" customHeight="1" x14ac:dyDescent="0.25">
      <c r="B530" s="470">
        <v>45936.581944444442</v>
      </c>
      <c r="C530" s="263">
        <v>45936.663194444445</v>
      </c>
      <c r="D530" s="264" cm="1">
        <f t="array" ref="D530">IFERROR(HorasUteisFabrica2Turnos(B530,C530), "")</f>
        <v>1.9500000000698492</v>
      </c>
      <c r="E530" s="265">
        <f t="shared" si="8"/>
        <v>861.53846150760114</v>
      </c>
      <c r="F530" s="263" t="s">
        <v>378</v>
      </c>
      <c r="G530" s="263" t="s">
        <v>475</v>
      </c>
      <c r="H530" s="263"/>
      <c r="I530" s="263" t="s">
        <v>841</v>
      </c>
      <c r="J530" s="263" t="s">
        <v>15</v>
      </c>
      <c r="K530" s="268">
        <v>1680</v>
      </c>
      <c r="L530" s="269" t="s">
        <v>503</v>
      </c>
      <c r="M530" s="270" t="str">
        <f>IFERROR(INDEX([1]Produtos!$C:$C,MATCH(L530,[1]Produtos!$B:$B,0)), "-")</f>
        <v>ÁGUA MICELAR ROSA MOSQUETA</v>
      </c>
      <c r="N530" s="510">
        <f>IFERROR(INDEX([1]Produtos!$E:$E,MATCH(L530,[1]Produtos!$B:$B,0)), "-")</f>
        <v>325</v>
      </c>
      <c r="O530" s="270" t="str">
        <f>IFERROR(INDEX([1]Produtos!$F:$F,MATCH(L530,[1]Produtos!$B:$B,0)), "-")</f>
        <v>ml</v>
      </c>
      <c r="P530" s="270" t="str">
        <f>IFERROR(INDEX([1]Produtos!$G:$G,MATCH(L530,[1]Produtos!$B:$B,0)), "-")</f>
        <v>GLOW MAKE UP</v>
      </c>
      <c r="Q530" s="270" t="str">
        <f>IFERROR(INDEX([1]Produtos!$H:$H,MATCH(L530,[1]Produtos!$B:$B,0)), "-")</f>
        <v>MAQUIAGEM</v>
      </c>
      <c r="R530" s="270" t="str">
        <f>IFERROR(INDEX([1]Produtos!$I:$I,MATCH(L530,[1]Produtos!$B:$B,0)), "-")</f>
        <v>ÁGUA MICELAR</v>
      </c>
      <c r="S530" s="270" t="str">
        <f>IFERROR(INDEX([1]Produtos!$J:$J,MATCH(L530,[1]Produtos!$B:$B,0)), "-")</f>
        <v>LÍQUIDO</v>
      </c>
      <c r="T530" s="476"/>
      <c r="U530" s="270"/>
      <c r="V530" s="270"/>
      <c r="W530" s="270"/>
      <c r="X530" s="270"/>
      <c r="Y530" s="270"/>
      <c r="Z530" s="270"/>
      <c r="AA530" s="270"/>
      <c r="AB530" s="270"/>
      <c r="AC530" s="270"/>
      <c r="AD530" s="270"/>
      <c r="AE530" s="270"/>
      <c r="AF530" s="270"/>
      <c r="AG530" s="270"/>
      <c r="AH530" s="270"/>
      <c r="AI530" s="270"/>
      <c r="AJ530" s="270"/>
      <c r="AK530" s="270"/>
      <c r="AL530" s="270"/>
      <c r="AM530" s="663"/>
      <c r="AN530" s="663"/>
      <c r="AO530" s="708" t="str">
        <f>IF(OR(Table1[[#This Row],[Início Setup Envase]]="",Table1[[#This Row],[Final Setup Envase]]=""),"",Table1[[#This Row],[Final Setup Envase]]-Table1[[#This Row],[Início Setup Envase]])</f>
        <v/>
      </c>
      <c r="AP530" s="663"/>
      <c r="AQ530" s="663"/>
      <c r="AR530" s="270"/>
      <c r="AS530" s="270"/>
      <c r="AT530" s="270"/>
      <c r="AU530" s="270"/>
      <c r="AV530" s="270"/>
      <c r="AW530" s="270"/>
      <c r="AX530" s="270"/>
      <c r="AY530" s="270"/>
      <c r="AZ530" s="270"/>
      <c r="BA530" s="270">
        <f>IF(Table1[[#This Row],[Data de Início]]="","",YEAR(Table1[[#This Row],[Data de Início]]))</f>
        <v>2025</v>
      </c>
      <c r="BB530" s="270">
        <f>IF(Table1[[#This Row],[Data de Início]]="","",MONTH(Table1[[#This Row],[Data de Início]]))</f>
        <v>10</v>
      </c>
      <c r="BC530" s="270"/>
    </row>
    <row r="531" spans="2:55" ht="15" customHeight="1" x14ac:dyDescent="0.25">
      <c r="B531" s="470">
        <v>45936.604166666664</v>
      </c>
      <c r="C531" s="263">
        <v>45937.439583333333</v>
      </c>
      <c r="D531" s="264" cm="1">
        <f t="array" ref="D531">IFERROR(HorasUteisFabrica2Turnos(B531,C531), "")</f>
        <v>6.0500000001629815</v>
      </c>
      <c r="E531" s="265">
        <f t="shared" si="8"/>
        <v>773.55371898742567</v>
      </c>
      <c r="F531" s="263" t="s">
        <v>378</v>
      </c>
      <c r="G531" s="266" t="s">
        <v>776</v>
      </c>
      <c r="H531" s="263"/>
      <c r="I531" s="263" t="s">
        <v>842</v>
      </c>
      <c r="J531" s="263" t="s">
        <v>15</v>
      </c>
      <c r="K531" s="268">
        <v>4680</v>
      </c>
      <c r="L531" s="467" t="s">
        <v>1000</v>
      </c>
      <c r="M531" s="270" t="str">
        <f>IFERROR(INDEX([1]Produtos!$C:$C,MATCH(L531,[1]Produtos!$B:$B,0)), "-")</f>
        <v>BODY SPLASH DAPOP HONEY GLOW</v>
      </c>
      <c r="N531" s="510">
        <f>IFERROR(INDEX([1]Produtos!$E:$E,MATCH(L531,[1]Produtos!$B:$B,0)), "-")</f>
        <v>120</v>
      </c>
      <c r="O531" s="270" t="str">
        <f>IFERROR(INDEX([1]Produtos!$F:$F,MATCH(L531,[1]Produtos!$B:$B,0)), "-")</f>
        <v>ml</v>
      </c>
      <c r="P531" s="270" t="str">
        <f>IFERROR(INDEX([1]Produtos!$G:$G,MATCH(L531,[1]Produtos!$B:$B,0)), "-")</f>
        <v>DAPOP</v>
      </c>
      <c r="Q531" s="270" t="str">
        <f>IFERROR(INDEX([1]Produtos!$H:$H,MATCH(L531,[1]Produtos!$B:$B,0)), "-")</f>
        <v>PERFUMARIA</v>
      </c>
      <c r="R531" s="270" t="str">
        <f>IFERROR(INDEX([1]Produtos!$I:$I,MATCH(L531,[1]Produtos!$B:$B,0)), "-")</f>
        <v>BODY SPLASH</v>
      </c>
      <c r="S531" s="270" t="str">
        <f>IFERROR(INDEX([1]Produtos!$J:$J,MATCH(L531,[1]Produtos!$B:$B,0)), "-")</f>
        <v>LÍQUIDO ESPESSO</v>
      </c>
      <c r="T531" s="476"/>
      <c r="U531" s="270"/>
      <c r="V531" s="270"/>
      <c r="W531" s="270"/>
      <c r="X531" s="270"/>
      <c r="Y531" s="270"/>
      <c r="Z531" s="270"/>
      <c r="AA531" s="270"/>
      <c r="AB531" s="270"/>
      <c r="AC531" s="270"/>
      <c r="AD531" s="270"/>
      <c r="AE531" s="270"/>
      <c r="AF531" s="270"/>
      <c r="AG531" s="270"/>
      <c r="AH531" s="270"/>
      <c r="AI531" s="270"/>
      <c r="AJ531" s="270"/>
      <c r="AK531" s="270"/>
      <c r="AL531" s="270"/>
      <c r="AM531" s="663"/>
      <c r="AN531" s="663"/>
      <c r="AO531" s="708" t="str">
        <f>IF(OR(Table1[[#This Row],[Início Setup Envase]]="",Table1[[#This Row],[Final Setup Envase]]=""),"",Table1[[#This Row],[Final Setup Envase]]-Table1[[#This Row],[Início Setup Envase]])</f>
        <v/>
      </c>
      <c r="AP531" s="663"/>
      <c r="AQ531" s="663"/>
      <c r="AR531" s="270"/>
      <c r="AS531" s="270"/>
      <c r="AT531" s="270"/>
      <c r="AU531" s="270"/>
      <c r="AV531" s="270"/>
      <c r="AW531" s="270"/>
      <c r="AX531" s="270"/>
      <c r="AY531" s="270"/>
      <c r="AZ531" s="270"/>
      <c r="BA531" s="270">
        <f>IF(Table1[[#This Row],[Data de Início]]="","",YEAR(Table1[[#This Row],[Data de Início]]))</f>
        <v>2025</v>
      </c>
      <c r="BB531" s="270">
        <f>IF(Table1[[#This Row],[Data de Início]]="","",MONTH(Table1[[#This Row],[Data de Início]]))</f>
        <v>10</v>
      </c>
      <c r="BC531" s="270"/>
    </row>
    <row r="532" spans="2:55" ht="15" customHeight="1" x14ac:dyDescent="0.25">
      <c r="B532" s="470">
        <v>45936.663194444445</v>
      </c>
      <c r="C532" s="263">
        <v>45937.329861111109</v>
      </c>
      <c r="D532" s="264" cm="1">
        <f t="array" ref="D532">IFERROR(HorasUteisFabrica2Turnos(B532,C532), "")</f>
        <v>2.0000000000582077</v>
      </c>
      <c r="E532" s="265">
        <f t="shared" si="8"/>
        <v>839.99999997555278</v>
      </c>
      <c r="F532" s="266" t="s">
        <v>378</v>
      </c>
      <c r="G532" s="266" t="s">
        <v>475</v>
      </c>
      <c r="H532" s="266"/>
      <c r="I532" s="269" t="s">
        <v>838</v>
      </c>
      <c r="J532" s="267" t="s">
        <v>15</v>
      </c>
      <c r="K532" s="268">
        <v>1680</v>
      </c>
      <c r="L532" s="269" t="s">
        <v>503</v>
      </c>
      <c r="M532" s="270" t="str">
        <f>IFERROR(INDEX([1]Produtos!$C:$C,MATCH(L532,[1]Produtos!$B:$B,0)), "-")</f>
        <v>ÁGUA MICELAR ROSA MOSQUETA</v>
      </c>
      <c r="N532" s="510">
        <f>IFERROR(INDEX([1]Produtos!$E:$E,MATCH(L532,[1]Produtos!$B:$B,0)), "-")</f>
        <v>325</v>
      </c>
      <c r="O532" s="270" t="str">
        <f>IFERROR(INDEX([1]Produtos!$F:$F,MATCH(L532,[1]Produtos!$B:$B,0)), "-")</f>
        <v>ml</v>
      </c>
      <c r="P532" s="270" t="str">
        <f>IFERROR(INDEX([1]Produtos!$G:$G,MATCH(L532,[1]Produtos!$B:$B,0)), "-")</f>
        <v>GLOW MAKE UP</v>
      </c>
      <c r="Q532" s="270" t="str">
        <f>IFERROR(INDEX([1]Produtos!$H:$H,MATCH(L532,[1]Produtos!$B:$B,0)), "-")</f>
        <v>MAQUIAGEM</v>
      </c>
      <c r="R532" s="270" t="str">
        <f>IFERROR(INDEX([1]Produtos!$I:$I,MATCH(L532,[1]Produtos!$B:$B,0)), "-")</f>
        <v>ÁGUA MICELAR</v>
      </c>
      <c r="S532" s="270" t="str">
        <f>IFERROR(INDEX([1]Produtos!$J:$J,MATCH(L532,[1]Produtos!$B:$B,0)), "-")</f>
        <v>LÍQUIDO</v>
      </c>
      <c r="T532" s="475"/>
      <c r="U532" s="270"/>
      <c r="V532" s="270"/>
      <c r="W532" s="270"/>
      <c r="X532" s="270"/>
      <c r="Y532" s="270"/>
      <c r="Z532" s="270"/>
      <c r="AA532" s="270"/>
      <c r="AB532" s="270"/>
      <c r="AC532" s="270"/>
      <c r="AD532" s="270"/>
      <c r="AE532" s="270"/>
      <c r="AF532" s="270"/>
      <c r="AG532" s="270"/>
      <c r="AH532" s="270"/>
      <c r="AI532" s="270"/>
      <c r="AJ532" s="270"/>
      <c r="AK532" s="270"/>
      <c r="AL532" s="270"/>
      <c r="AM532" s="663"/>
      <c r="AN532" s="663"/>
      <c r="AO532" s="708" t="str">
        <f>IF(OR(Table1[[#This Row],[Início Setup Envase]]="",Table1[[#This Row],[Final Setup Envase]]=""),"",Table1[[#This Row],[Final Setup Envase]]-Table1[[#This Row],[Início Setup Envase]])</f>
        <v/>
      </c>
      <c r="AP532" s="663"/>
      <c r="AQ532" s="663"/>
      <c r="AR532" s="270"/>
      <c r="AS532" s="270"/>
      <c r="AT532" s="270"/>
      <c r="AU532" s="270"/>
      <c r="AV532" s="270"/>
      <c r="AW532" s="270"/>
      <c r="AX532" s="270"/>
      <c r="AY532" s="270"/>
      <c r="AZ532" s="270"/>
      <c r="BA532" s="270">
        <f>IF(Table1[[#This Row],[Data de Início]]="","",YEAR(Table1[[#This Row],[Data de Início]]))</f>
        <v>2025</v>
      </c>
      <c r="BB532" s="270">
        <f>IF(Table1[[#This Row],[Data de Início]]="","",MONTH(Table1[[#This Row],[Data de Início]]))</f>
        <v>10</v>
      </c>
      <c r="BC532" s="270"/>
    </row>
    <row r="533" spans="2:55" ht="15" customHeight="1" x14ac:dyDescent="0.25">
      <c r="B533" s="470">
        <v>45937.329861111109</v>
      </c>
      <c r="C533" s="263">
        <v>45937.405555555553</v>
      </c>
      <c r="D533" s="264" cm="1">
        <f t="array" ref="D533">IFERROR(HorasUteisFabrica2Turnos(B533,C533), "")</f>
        <v>1.8166666666511446</v>
      </c>
      <c r="E533" s="265">
        <f t="shared" si="8"/>
        <v>924.77064220973637</v>
      </c>
      <c r="F533" s="266" t="s">
        <v>378</v>
      </c>
      <c r="G533" s="266" t="s">
        <v>475</v>
      </c>
      <c r="H533" s="266"/>
      <c r="I533" s="269" t="s">
        <v>843</v>
      </c>
      <c r="J533" s="267" t="s">
        <v>15</v>
      </c>
      <c r="K533" s="268">
        <v>1680</v>
      </c>
      <c r="L533" s="269" t="s">
        <v>503</v>
      </c>
      <c r="M533" s="270" t="str">
        <f>IFERROR(INDEX([1]Produtos!$C:$C,MATCH(L533,[1]Produtos!$B:$B,0)), "-")</f>
        <v>ÁGUA MICELAR ROSA MOSQUETA</v>
      </c>
      <c r="N533" s="510">
        <f>IFERROR(INDEX([1]Produtos!$E:$E,MATCH(L533,[1]Produtos!$B:$B,0)), "-")</f>
        <v>325</v>
      </c>
      <c r="O533" s="270" t="str">
        <f>IFERROR(INDEX([1]Produtos!$F:$F,MATCH(L533,[1]Produtos!$B:$B,0)), "-")</f>
        <v>ml</v>
      </c>
      <c r="P533" s="270" t="str">
        <f>IFERROR(INDEX([1]Produtos!$G:$G,MATCH(L533,[1]Produtos!$B:$B,0)), "-")</f>
        <v>GLOW MAKE UP</v>
      </c>
      <c r="Q533" s="270" t="str">
        <f>IFERROR(INDEX([1]Produtos!$H:$H,MATCH(L533,[1]Produtos!$B:$B,0)), "-")</f>
        <v>MAQUIAGEM</v>
      </c>
      <c r="R533" s="270" t="str">
        <f>IFERROR(INDEX([1]Produtos!$I:$I,MATCH(L533,[1]Produtos!$B:$B,0)), "-")</f>
        <v>ÁGUA MICELAR</v>
      </c>
      <c r="S533" s="270" t="str">
        <f>IFERROR(INDEX([1]Produtos!$J:$J,MATCH(L533,[1]Produtos!$B:$B,0)), "-")</f>
        <v>LÍQUIDO</v>
      </c>
      <c r="T533" s="475"/>
      <c r="U533" s="270"/>
      <c r="V533" s="270"/>
      <c r="W533" s="270"/>
      <c r="X533" s="270"/>
      <c r="Y533" s="270"/>
      <c r="Z533" s="270"/>
      <c r="AA533" s="270"/>
      <c r="AB533" s="270"/>
      <c r="AC533" s="270"/>
      <c r="AD533" s="270"/>
      <c r="AE533" s="270"/>
      <c r="AF533" s="270"/>
      <c r="AG533" s="270"/>
      <c r="AH533" s="270"/>
      <c r="AI533" s="270"/>
      <c r="AJ533" s="270"/>
      <c r="AK533" s="270"/>
      <c r="AL533" s="270"/>
      <c r="AM533" s="663"/>
      <c r="AN533" s="663"/>
      <c r="AO533" s="708" t="str">
        <f>IF(OR(Table1[[#This Row],[Início Setup Envase]]="",Table1[[#This Row],[Final Setup Envase]]=""),"",Table1[[#This Row],[Final Setup Envase]]-Table1[[#This Row],[Início Setup Envase]])</f>
        <v/>
      </c>
      <c r="AP533" s="663"/>
      <c r="AQ533" s="663"/>
      <c r="AR533" s="270"/>
      <c r="AS533" s="270"/>
      <c r="AT533" s="270"/>
      <c r="AU533" s="270"/>
      <c r="AV533" s="270"/>
      <c r="AW533" s="270"/>
      <c r="AX533" s="270"/>
      <c r="AY533" s="270"/>
      <c r="AZ533" s="270"/>
      <c r="BA533" s="270">
        <f>IF(Table1[[#This Row],[Data de Início]]="","",YEAR(Table1[[#This Row],[Data de Início]]))</f>
        <v>2025</v>
      </c>
      <c r="BB533" s="270">
        <f>IF(Table1[[#This Row],[Data de Início]]="","",MONTH(Table1[[#This Row],[Data de Início]]))</f>
        <v>10</v>
      </c>
      <c r="BC533" s="270"/>
    </row>
    <row r="534" spans="2:55" ht="15" customHeight="1" x14ac:dyDescent="0.25">
      <c r="B534" s="470">
        <v>45937.405555555553</v>
      </c>
      <c r="C534" s="263">
        <v>45937.469444444447</v>
      </c>
      <c r="D534" s="264" cm="1">
        <f t="array" ref="D534">IFERROR(HorasUteisFabrica2Turnos(B534,C534), "")</f>
        <v>1.5333333334419876</v>
      </c>
      <c r="E534" s="265">
        <f t="shared" si="8"/>
        <v>1095.652173835404</v>
      </c>
      <c r="F534" s="266" t="s">
        <v>378</v>
      </c>
      <c r="G534" s="266" t="s">
        <v>475</v>
      </c>
      <c r="H534" s="266"/>
      <c r="I534" s="269" t="s">
        <v>851</v>
      </c>
      <c r="J534" s="267" t="s">
        <v>15</v>
      </c>
      <c r="K534" s="268">
        <v>1680</v>
      </c>
      <c r="L534" s="269" t="s">
        <v>503</v>
      </c>
      <c r="M534" s="270" t="str">
        <f>IFERROR(INDEX([1]Produtos!$C:$C,MATCH(L534,[1]Produtos!$B:$B,0)), "-")</f>
        <v>ÁGUA MICELAR ROSA MOSQUETA</v>
      </c>
      <c r="N534" s="510">
        <f>IFERROR(INDEX([1]Produtos!$E:$E,MATCH(L534,[1]Produtos!$B:$B,0)), "-")</f>
        <v>325</v>
      </c>
      <c r="O534" s="270" t="str">
        <f>IFERROR(INDEX([1]Produtos!$F:$F,MATCH(L534,[1]Produtos!$B:$B,0)), "-")</f>
        <v>ml</v>
      </c>
      <c r="P534" s="270" t="str">
        <f>IFERROR(INDEX([1]Produtos!$G:$G,MATCH(L534,[1]Produtos!$B:$B,0)), "-")</f>
        <v>GLOW MAKE UP</v>
      </c>
      <c r="Q534" s="270" t="str">
        <f>IFERROR(INDEX([1]Produtos!$H:$H,MATCH(L534,[1]Produtos!$B:$B,0)), "-")</f>
        <v>MAQUIAGEM</v>
      </c>
      <c r="R534" s="270" t="str">
        <f>IFERROR(INDEX([1]Produtos!$I:$I,MATCH(L534,[1]Produtos!$B:$B,0)), "-")</f>
        <v>ÁGUA MICELAR</v>
      </c>
      <c r="S534" s="270" t="str">
        <f>IFERROR(INDEX([1]Produtos!$J:$J,MATCH(L534,[1]Produtos!$B:$B,0)), "-")</f>
        <v>LÍQUIDO</v>
      </c>
      <c r="T534" s="475"/>
      <c r="U534" s="270"/>
      <c r="V534" s="270"/>
      <c r="W534" s="270"/>
      <c r="X534" s="270"/>
      <c r="Y534" s="270"/>
      <c r="Z534" s="270"/>
      <c r="AA534" s="270"/>
      <c r="AB534" s="270"/>
      <c r="AC534" s="270"/>
      <c r="AD534" s="270"/>
      <c r="AE534" s="270"/>
      <c r="AF534" s="270"/>
      <c r="AG534" s="270"/>
      <c r="AH534" s="270"/>
      <c r="AI534" s="270"/>
      <c r="AJ534" s="270"/>
      <c r="AK534" s="270"/>
      <c r="AL534" s="270"/>
      <c r="AM534" s="663"/>
      <c r="AN534" s="663"/>
      <c r="AO534" s="708" t="str">
        <f>IF(OR(Table1[[#This Row],[Início Setup Envase]]="",Table1[[#This Row],[Final Setup Envase]]=""),"",Table1[[#This Row],[Final Setup Envase]]-Table1[[#This Row],[Início Setup Envase]])</f>
        <v/>
      </c>
      <c r="AP534" s="663"/>
      <c r="AQ534" s="663"/>
      <c r="AR534" s="270"/>
      <c r="AS534" s="270"/>
      <c r="AT534" s="270"/>
      <c r="AU534" s="270"/>
      <c r="AV534" s="270"/>
      <c r="AW534" s="270"/>
      <c r="AX534" s="270"/>
      <c r="AY534" s="270"/>
      <c r="AZ534" s="270"/>
      <c r="BA534" s="270">
        <f>IF(Table1[[#This Row],[Data de Início]]="","",YEAR(Table1[[#This Row],[Data de Início]]))</f>
        <v>2025</v>
      </c>
      <c r="BB534" s="270">
        <f>IF(Table1[[#This Row],[Data de Início]]="","",MONTH(Table1[[#This Row],[Data de Início]]))</f>
        <v>10</v>
      </c>
      <c r="BC534" s="270"/>
    </row>
    <row r="535" spans="2:55" ht="15" customHeight="1" x14ac:dyDescent="0.25">
      <c r="B535" s="470">
        <v>45937.469444444447</v>
      </c>
      <c r="C535" s="263">
        <v>45937.602777777778</v>
      </c>
      <c r="D535" s="264" cm="1">
        <f t="array" ref="D535">IFERROR(HorasUteisFabrica2Turnos(B535,C535), "")</f>
        <v>2.1999999999534339</v>
      </c>
      <c r="E535" s="265">
        <f t="shared" si="8"/>
        <v>763.63636365252705</v>
      </c>
      <c r="F535" s="266" t="s">
        <v>378</v>
      </c>
      <c r="G535" s="266" t="s">
        <v>475</v>
      </c>
      <c r="H535" s="266"/>
      <c r="I535" s="269" t="s">
        <v>845</v>
      </c>
      <c r="J535" s="267" t="s">
        <v>15</v>
      </c>
      <c r="K535" s="268">
        <v>1680</v>
      </c>
      <c r="L535" s="269" t="s">
        <v>503</v>
      </c>
      <c r="M535" s="270" t="str">
        <f>IFERROR(INDEX([1]Produtos!$C:$C,MATCH(L535,[1]Produtos!$B:$B,0)), "-")</f>
        <v>ÁGUA MICELAR ROSA MOSQUETA</v>
      </c>
      <c r="N535" s="510">
        <f>IFERROR(INDEX([1]Produtos!$E:$E,MATCH(L535,[1]Produtos!$B:$B,0)), "-")</f>
        <v>325</v>
      </c>
      <c r="O535" s="270" t="str">
        <f>IFERROR(INDEX([1]Produtos!$F:$F,MATCH(L535,[1]Produtos!$B:$B,0)), "-")</f>
        <v>ml</v>
      </c>
      <c r="P535" s="270" t="str">
        <f>IFERROR(INDEX([1]Produtos!$G:$G,MATCH(L535,[1]Produtos!$B:$B,0)), "-")</f>
        <v>GLOW MAKE UP</v>
      </c>
      <c r="Q535" s="270" t="str">
        <f>IFERROR(INDEX([1]Produtos!$H:$H,MATCH(L535,[1]Produtos!$B:$B,0)), "-")</f>
        <v>MAQUIAGEM</v>
      </c>
      <c r="R535" s="270" t="str">
        <f>IFERROR(INDEX([1]Produtos!$I:$I,MATCH(L535,[1]Produtos!$B:$B,0)), "-")</f>
        <v>ÁGUA MICELAR</v>
      </c>
      <c r="S535" s="270" t="str">
        <f>IFERROR(INDEX([1]Produtos!$J:$J,MATCH(L535,[1]Produtos!$B:$B,0)), "-")</f>
        <v>LÍQUIDO</v>
      </c>
      <c r="T535" s="475"/>
      <c r="U535" s="270"/>
      <c r="V535" s="270"/>
      <c r="W535" s="270"/>
      <c r="X535" s="270"/>
      <c r="Y535" s="270"/>
      <c r="Z535" s="270"/>
      <c r="AA535" s="270"/>
      <c r="AB535" s="270"/>
      <c r="AC535" s="270"/>
      <c r="AD535" s="270"/>
      <c r="AE535" s="270"/>
      <c r="AF535" s="270"/>
      <c r="AG535" s="270"/>
      <c r="AH535" s="270"/>
      <c r="AI535" s="270"/>
      <c r="AJ535" s="270"/>
      <c r="AK535" s="270"/>
      <c r="AL535" s="270"/>
      <c r="AM535" s="663"/>
      <c r="AN535" s="663"/>
      <c r="AO535" s="708" t="str">
        <f>IF(OR(Table1[[#This Row],[Início Setup Envase]]="",Table1[[#This Row],[Final Setup Envase]]=""),"",Table1[[#This Row],[Final Setup Envase]]-Table1[[#This Row],[Início Setup Envase]])</f>
        <v/>
      </c>
      <c r="AP535" s="663"/>
      <c r="AQ535" s="663"/>
      <c r="AR535" s="270"/>
      <c r="AS535" s="270"/>
      <c r="AT535" s="270"/>
      <c r="AU535" s="270"/>
      <c r="AV535" s="270"/>
      <c r="AW535" s="270"/>
      <c r="AX535" s="270"/>
      <c r="AY535" s="270"/>
      <c r="AZ535" s="270"/>
      <c r="BA535" s="270">
        <f>IF(Table1[[#This Row],[Data de Início]]="","",YEAR(Table1[[#This Row],[Data de Início]]))</f>
        <v>2025</v>
      </c>
      <c r="BB535" s="270">
        <f>IF(Table1[[#This Row],[Data de Início]]="","",MONTH(Table1[[#This Row],[Data de Início]]))</f>
        <v>10</v>
      </c>
      <c r="BC535" s="270"/>
    </row>
    <row r="536" spans="2:55" ht="15" customHeight="1" x14ac:dyDescent="0.25">
      <c r="B536" s="470">
        <v>45937.548611111109</v>
      </c>
      <c r="C536" s="263">
        <v>45938.45208333333</v>
      </c>
      <c r="D536" s="264" cm="1">
        <f t="array" ref="D536">IFERROR(HorasUteisFabrica2Turnos(B536,C536), "")</f>
        <v>7.683333333407063</v>
      </c>
      <c r="E536" s="265">
        <f t="shared" si="8"/>
        <v>601.30151843240776</v>
      </c>
      <c r="F536" s="266" t="s">
        <v>377</v>
      </c>
      <c r="G536" s="266" t="s">
        <v>776</v>
      </c>
      <c r="H536" s="266"/>
      <c r="I536" s="269" t="s">
        <v>847</v>
      </c>
      <c r="J536" s="267" t="s">
        <v>15</v>
      </c>
      <c r="K536" s="268">
        <v>4620</v>
      </c>
      <c r="L536" s="269" t="s">
        <v>1000</v>
      </c>
      <c r="M536" s="270" t="str">
        <f>IFERROR(INDEX([1]Produtos!$C:$C,MATCH(L536,[1]Produtos!$B:$B,0)), "-")</f>
        <v>BODY SPLASH DAPOP HONEY GLOW</v>
      </c>
      <c r="N536" s="510">
        <f>IFERROR(INDEX([1]Produtos!$E:$E,MATCH(L536,[1]Produtos!$B:$B,0)), "-")</f>
        <v>120</v>
      </c>
      <c r="O536" s="270" t="str">
        <f>IFERROR(INDEX([1]Produtos!$F:$F,MATCH(L536,[1]Produtos!$B:$B,0)), "-")</f>
        <v>ml</v>
      </c>
      <c r="P536" s="270" t="str">
        <f>IFERROR(INDEX([1]Produtos!$G:$G,MATCH(L536,[1]Produtos!$B:$B,0)), "-")</f>
        <v>DAPOP</v>
      </c>
      <c r="Q536" s="270" t="str">
        <f>IFERROR(INDEX([1]Produtos!$H:$H,MATCH(L536,[1]Produtos!$B:$B,0)), "-")</f>
        <v>PERFUMARIA</v>
      </c>
      <c r="R536" s="270" t="str">
        <f>IFERROR(INDEX([1]Produtos!$I:$I,MATCH(L536,[1]Produtos!$B:$B,0)), "-")</f>
        <v>BODY SPLASH</v>
      </c>
      <c r="S536" s="270" t="str">
        <f>IFERROR(INDEX([1]Produtos!$J:$J,MATCH(L536,[1]Produtos!$B:$B,0)), "-")</f>
        <v>LÍQUIDO ESPESSO</v>
      </c>
      <c r="T536" s="475"/>
      <c r="U536" s="270"/>
      <c r="V536" s="270"/>
      <c r="W536" s="270"/>
      <c r="X536" s="270"/>
      <c r="Y536" s="270"/>
      <c r="Z536" s="270"/>
      <c r="AA536" s="270"/>
      <c r="AB536" s="270"/>
      <c r="AC536" s="270"/>
      <c r="AD536" s="270"/>
      <c r="AE536" s="270"/>
      <c r="AF536" s="270"/>
      <c r="AG536" s="270"/>
      <c r="AH536" s="270"/>
      <c r="AI536" s="270"/>
      <c r="AJ536" s="270"/>
      <c r="AK536" s="270"/>
      <c r="AL536" s="270"/>
      <c r="AM536" s="663"/>
      <c r="AN536" s="663"/>
      <c r="AO536" s="708" t="str">
        <f>IF(OR(Table1[[#This Row],[Início Setup Envase]]="",Table1[[#This Row],[Final Setup Envase]]=""),"",Table1[[#This Row],[Final Setup Envase]]-Table1[[#This Row],[Início Setup Envase]])</f>
        <v/>
      </c>
      <c r="AP536" s="663"/>
      <c r="AQ536" s="663"/>
      <c r="AR536" s="270"/>
      <c r="AS536" s="270"/>
      <c r="AT536" s="270"/>
      <c r="AU536" s="270"/>
      <c r="AV536" s="270"/>
      <c r="AW536" s="270"/>
      <c r="AX536" s="270"/>
      <c r="AY536" s="270"/>
      <c r="AZ536" s="270"/>
      <c r="BA536" s="270">
        <f>IF(Table1[[#This Row],[Data de Início]]="","",YEAR(Table1[[#This Row],[Data de Início]]))</f>
        <v>2025</v>
      </c>
      <c r="BB536" s="270">
        <f>IF(Table1[[#This Row],[Data de Início]]="","",MONTH(Table1[[#This Row],[Data de Início]]))</f>
        <v>10</v>
      </c>
      <c r="BC536" s="270"/>
    </row>
    <row r="537" spans="2:55" ht="15" customHeight="1" x14ac:dyDescent="0.25">
      <c r="B537" s="470">
        <v>45937.602777777778</v>
      </c>
      <c r="C537" s="263">
        <v>45937.690972222219</v>
      </c>
      <c r="D537" s="264" cm="1">
        <f t="array" ref="D537">IFERROR(HorasUteisFabrica2Turnos(B537,C537), "")</f>
        <v>2.1166666665812954</v>
      </c>
      <c r="E537" s="265">
        <f t="shared" si="8"/>
        <v>793.70078743358704</v>
      </c>
      <c r="F537" s="266" t="s">
        <v>378</v>
      </c>
      <c r="G537" s="266" t="s">
        <v>475</v>
      </c>
      <c r="H537" s="266"/>
      <c r="I537" s="269" t="s">
        <v>846</v>
      </c>
      <c r="J537" s="267" t="s">
        <v>15</v>
      </c>
      <c r="K537" s="268">
        <v>1680</v>
      </c>
      <c r="L537" s="269" t="s">
        <v>503</v>
      </c>
      <c r="M537" s="270" t="str">
        <f>IFERROR(INDEX([1]Produtos!$C:$C,MATCH(L537,[1]Produtos!$B:$B,0)), "-")</f>
        <v>ÁGUA MICELAR ROSA MOSQUETA</v>
      </c>
      <c r="N537" s="510">
        <f>IFERROR(INDEX([1]Produtos!$E:$E,MATCH(L537,[1]Produtos!$B:$B,0)), "-")</f>
        <v>325</v>
      </c>
      <c r="O537" s="270" t="str">
        <f>IFERROR(INDEX([1]Produtos!$F:$F,MATCH(L537,[1]Produtos!$B:$B,0)), "-")</f>
        <v>ml</v>
      </c>
      <c r="P537" s="270" t="str">
        <f>IFERROR(INDEX([1]Produtos!$G:$G,MATCH(L537,[1]Produtos!$B:$B,0)), "-")</f>
        <v>GLOW MAKE UP</v>
      </c>
      <c r="Q537" s="270" t="str">
        <f>IFERROR(INDEX([1]Produtos!$H:$H,MATCH(L537,[1]Produtos!$B:$B,0)), "-")</f>
        <v>MAQUIAGEM</v>
      </c>
      <c r="R537" s="270" t="str">
        <f>IFERROR(INDEX([1]Produtos!$I:$I,MATCH(L537,[1]Produtos!$B:$B,0)), "-")</f>
        <v>ÁGUA MICELAR</v>
      </c>
      <c r="S537" s="270" t="str">
        <f>IFERROR(INDEX([1]Produtos!$J:$J,MATCH(L537,[1]Produtos!$B:$B,0)), "-")</f>
        <v>LÍQUIDO</v>
      </c>
      <c r="T537" s="475"/>
      <c r="U537" s="270"/>
      <c r="V537" s="270"/>
      <c r="W537" s="270"/>
      <c r="X537" s="270"/>
      <c r="Y537" s="270"/>
      <c r="Z537" s="270"/>
      <c r="AA537" s="270"/>
      <c r="AB537" s="270"/>
      <c r="AC537" s="270"/>
      <c r="AD537" s="270"/>
      <c r="AE537" s="270"/>
      <c r="AF537" s="270"/>
      <c r="AG537" s="270"/>
      <c r="AH537" s="270"/>
      <c r="AI537" s="270"/>
      <c r="AJ537" s="270"/>
      <c r="AK537" s="270"/>
      <c r="AL537" s="270"/>
      <c r="AM537" s="663"/>
      <c r="AN537" s="663"/>
      <c r="AO537" s="708" t="str">
        <f>IF(OR(Table1[[#This Row],[Início Setup Envase]]="",Table1[[#This Row],[Final Setup Envase]]=""),"",Table1[[#This Row],[Final Setup Envase]]-Table1[[#This Row],[Início Setup Envase]])</f>
        <v/>
      </c>
      <c r="AP537" s="663"/>
      <c r="AQ537" s="663"/>
      <c r="AR537" s="270"/>
      <c r="AS537" s="270"/>
      <c r="AT537" s="270"/>
      <c r="AU537" s="270"/>
      <c r="AV537" s="270"/>
      <c r="AW537" s="270"/>
      <c r="AX537" s="270"/>
      <c r="AY537" s="270"/>
      <c r="AZ537" s="270"/>
      <c r="BA537" s="270">
        <f>IF(Table1[[#This Row],[Data de Início]]="","",YEAR(Table1[[#This Row],[Data de Início]]))</f>
        <v>2025</v>
      </c>
      <c r="BB537" s="270">
        <f>IF(Table1[[#This Row],[Data de Início]]="","",MONTH(Table1[[#This Row],[Data de Início]]))</f>
        <v>10</v>
      </c>
      <c r="BC537" s="270"/>
    </row>
    <row r="538" spans="2:55" ht="15" customHeight="1" x14ac:dyDescent="0.25">
      <c r="B538" s="470">
        <v>45937.689583333333</v>
      </c>
      <c r="C538" s="263">
        <v>45938.368055555555</v>
      </c>
      <c r="D538" s="264" cm="1">
        <f t="array" ref="D538">IFERROR(HorasUteisFabrica2Turnos(B538,C538), "")</f>
        <v>2.2833333334419876</v>
      </c>
      <c r="E538" s="265">
        <f t="shared" si="8"/>
        <v>735.76642332265214</v>
      </c>
      <c r="F538" s="266" t="s">
        <v>378</v>
      </c>
      <c r="G538" s="266" t="s">
        <v>475</v>
      </c>
      <c r="H538" s="266"/>
      <c r="I538" s="269" t="s">
        <v>844</v>
      </c>
      <c r="J538" s="267" t="s">
        <v>15</v>
      </c>
      <c r="K538" s="268">
        <v>1680</v>
      </c>
      <c r="L538" s="269" t="s">
        <v>503</v>
      </c>
      <c r="M538" s="270" t="str">
        <f>IFERROR(INDEX([1]Produtos!$C:$C,MATCH(L538,[1]Produtos!$B:$B,0)), "-")</f>
        <v>ÁGUA MICELAR ROSA MOSQUETA</v>
      </c>
      <c r="N538" s="510">
        <f>IFERROR(INDEX([1]Produtos!$E:$E,MATCH(L538,[1]Produtos!$B:$B,0)), "-")</f>
        <v>325</v>
      </c>
      <c r="O538" s="270" t="str">
        <f>IFERROR(INDEX([1]Produtos!$F:$F,MATCH(L538,[1]Produtos!$B:$B,0)), "-")</f>
        <v>ml</v>
      </c>
      <c r="P538" s="270" t="str">
        <f>IFERROR(INDEX([1]Produtos!$G:$G,MATCH(L538,[1]Produtos!$B:$B,0)), "-")</f>
        <v>GLOW MAKE UP</v>
      </c>
      <c r="Q538" s="270" t="str">
        <f>IFERROR(INDEX([1]Produtos!$H:$H,MATCH(L538,[1]Produtos!$B:$B,0)), "-")</f>
        <v>MAQUIAGEM</v>
      </c>
      <c r="R538" s="270" t="str">
        <f>IFERROR(INDEX([1]Produtos!$I:$I,MATCH(L538,[1]Produtos!$B:$B,0)), "-")</f>
        <v>ÁGUA MICELAR</v>
      </c>
      <c r="S538" s="270" t="str">
        <f>IFERROR(INDEX([1]Produtos!$J:$J,MATCH(L538,[1]Produtos!$B:$B,0)), "-")</f>
        <v>LÍQUIDO</v>
      </c>
      <c r="T538" s="475"/>
      <c r="U538" s="270"/>
      <c r="V538" s="270"/>
      <c r="W538" s="270"/>
      <c r="X538" s="270"/>
      <c r="Y538" s="270"/>
      <c r="Z538" s="270"/>
      <c r="AA538" s="270"/>
      <c r="AB538" s="270"/>
      <c r="AC538" s="270"/>
      <c r="AD538" s="270"/>
      <c r="AE538" s="270"/>
      <c r="AF538" s="270"/>
      <c r="AG538" s="270"/>
      <c r="AH538" s="270"/>
      <c r="AI538" s="270"/>
      <c r="AJ538" s="270"/>
      <c r="AK538" s="270"/>
      <c r="AL538" s="270"/>
      <c r="AM538" s="663"/>
      <c r="AN538" s="663"/>
      <c r="AO538" s="708" t="str">
        <f>IF(OR(Table1[[#This Row],[Início Setup Envase]]="",Table1[[#This Row],[Final Setup Envase]]=""),"",Table1[[#This Row],[Final Setup Envase]]-Table1[[#This Row],[Início Setup Envase]])</f>
        <v/>
      </c>
      <c r="AP538" s="663"/>
      <c r="AQ538" s="663"/>
      <c r="AR538" s="270"/>
      <c r="AS538" s="270"/>
      <c r="AT538" s="270"/>
      <c r="AU538" s="270"/>
      <c r="AV538" s="270"/>
      <c r="AW538" s="270"/>
      <c r="AX538" s="270"/>
      <c r="AY538" s="270"/>
      <c r="AZ538" s="270"/>
      <c r="BA538" s="270">
        <f>IF(Table1[[#This Row],[Data de Início]]="","",YEAR(Table1[[#This Row],[Data de Início]]))</f>
        <v>2025</v>
      </c>
      <c r="BB538" s="270">
        <f>IF(Table1[[#This Row],[Data de Início]]="","",MONTH(Table1[[#This Row],[Data de Início]]))</f>
        <v>10</v>
      </c>
      <c r="BC538" s="270"/>
    </row>
    <row r="539" spans="2:55" ht="15" customHeight="1" x14ac:dyDescent="0.25">
      <c r="B539" s="470">
        <v>45938.368055555555</v>
      </c>
      <c r="C539" s="263">
        <v>45938.430555555555</v>
      </c>
      <c r="D539" s="264" cm="1">
        <f t="array" ref="D539">IFERROR(HorasUteisFabrica2Turnos(B539,C539), "")</f>
        <v>1.5</v>
      </c>
      <c r="E539" s="265">
        <f t="shared" si="8"/>
        <v>704</v>
      </c>
      <c r="F539" s="266" t="s">
        <v>378</v>
      </c>
      <c r="G539" s="266" t="s">
        <v>475</v>
      </c>
      <c r="H539" s="266"/>
      <c r="I539" s="269" t="s">
        <v>848</v>
      </c>
      <c r="J539" s="267" t="s">
        <v>15</v>
      </c>
      <c r="K539" s="268">
        <v>1056</v>
      </c>
      <c r="L539" s="269" t="s">
        <v>503</v>
      </c>
      <c r="M539" s="270" t="str">
        <f>IFERROR(INDEX([1]Produtos!$C:$C,MATCH(L539,[1]Produtos!$B:$B,0)), "-")</f>
        <v>ÁGUA MICELAR ROSA MOSQUETA</v>
      </c>
      <c r="N539" s="510">
        <f>IFERROR(INDEX([1]Produtos!$E:$E,MATCH(L539,[1]Produtos!$B:$B,0)), "-")</f>
        <v>325</v>
      </c>
      <c r="O539" s="270" t="str">
        <f>IFERROR(INDEX([1]Produtos!$F:$F,MATCH(L539,[1]Produtos!$B:$B,0)), "-")</f>
        <v>ml</v>
      </c>
      <c r="P539" s="270" t="str">
        <f>IFERROR(INDEX([1]Produtos!$G:$G,MATCH(L539,[1]Produtos!$B:$B,0)), "-")</f>
        <v>GLOW MAKE UP</v>
      </c>
      <c r="Q539" s="270" t="str">
        <f>IFERROR(INDEX([1]Produtos!$H:$H,MATCH(L539,[1]Produtos!$B:$B,0)), "-")</f>
        <v>MAQUIAGEM</v>
      </c>
      <c r="R539" s="270" t="str">
        <f>IFERROR(INDEX([1]Produtos!$I:$I,MATCH(L539,[1]Produtos!$B:$B,0)), "-")</f>
        <v>ÁGUA MICELAR</v>
      </c>
      <c r="S539" s="270" t="str">
        <f>IFERROR(INDEX([1]Produtos!$J:$J,MATCH(L539,[1]Produtos!$B:$B,0)), "-")</f>
        <v>LÍQUIDO</v>
      </c>
      <c r="T539" s="475"/>
      <c r="U539" s="270"/>
      <c r="V539" s="270"/>
      <c r="W539" s="270"/>
      <c r="X539" s="270"/>
      <c r="Y539" s="270"/>
      <c r="Z539" s="270"/>
      <c r="AA539" s="270"/>
      <c r="AB539" s="270"/>
      <c r="AC539" s="270"/>
      <c r="AD539" s="270"/>
      <c r="AE539" s="270"/>
      <c r="AF539" s="270"/>
      <c r="AG539" s="270"/>
      <c r="AH539" s="270"/>
      <c r="AI539" s="270"/>
      <c r="AJ539" s="270"/>
      <c r="AK539" s="270"/>
      <c r="AL539" s="270"/>
      <c r="AM539" s="663"/>
      <c r="AN539" s="663"/>
      <c r="AO539" s="708" t="str">
        <f>IF(OR(Table1[[#This Row],[Início Setup Envase]]="",Table1[[#This Row],[Final Setup Envase]]=""),"",Table1[[#This Row],[Final Setup Envase]]-Table1[[#This Row],[Início Setup Envase]])</f>
        <v/>
      </c>
      <c r="AP539" s="663"/>
      <c r="AQ539" s="663"/>
      <c r="AR539" s="270"/>
      <c r="AS539" s="270"/>
      <c r="AT539" s="270"/>
      <c r="AU539" s="270"/>
      <c r="AV539" s="270"/>
      <c r="AW539" s="270"/>
      <c r="AX539" s="270"/>
      <c r="AY539" s="270"/>
      <c r="AZ539" s="270"/>
      <c r="BA539" s="270">
        <f>IF(Table1[[#This Row],[Data de Início]]="","",YEAR(Table1[[#This Row],[Data de Início]]))</f>
        <v>2025</v>
      </c>
      <c r="BB539" s="270">
        <f>IF(Table1[[#This Row],[Data de Início]]="","",MONTH(Table1[[#This Row],[Data de Início]]))</f>
        <v>10</v>
      </c>
      <c r="BC539" s="270"/>
    </row>
    <row r="540" spans="2:55" ht="15" customHeight="1" x14ac:dyDescent="0.25">
      <c r="B540" s="470">
        <v>45938.43472222222</v>
      </c>
      <c r="C540" s="263">
        <v>45938.549305555556</v>
      </c>
      <c r="D540" s="264" cm="1">
        <f t="array" ref="D540">IFERROR(HorasUteisFabrica2Turnos(B540,C540), "")</f>
        <v>1.7500000000582077</v>
      </c>
      <c r="E540" s="265">
        <f t="shared" si="8"/>
        <v>959.99999996806889</v>
      </c>
      <c r="F540" s="266" t="s">
        <v>378</v>
      </c>
      <c r="G540" s="266" t="s">
        <v>475</v>
      </c>
      <c r="H540" s="266"/>
      <c r="I540" s="269" t="s">
        <v>1083</v>
      </c>
      <c r="J540" s="267" t="s">
        <v>15</v>
      </c>
      <c r="K540" s="268">
        <v>1680</v>
      </c>
      <c r="L540" s="269" t="s">
        <v>478</v>
      </c>
      <c r="M540" s="270" t="str">
        <f>IFERROR(INDEX([1]Produtos!$C:$C,MATCH(L540,[1]Produtos!$B:$B,0)), "-")</f>
        <v>ÁGUA MICELAR 3 EM 1</v>
      </c>
      <c r="N540" s="510">
        <f>IFERROR(INDEX([1]Produtos!$E:$E,MATCH(L540,[1]Produtos!$B:$B,0)), "-")</f>
        <v>325</v>
      </c>
      <c r="O540" s="270" t="str">
        <f>IFERROR(INDEX([1]Produtos!$F:$F,MATCH(L540,[1]Produtos!$B:$B,0)), "-")</f>
        <v>ml</v>
      </c>
      <c r="P540" s="270" t="str">
        <f>IFERROR(INDEX([1]Produtos!$G:$G,MATCH(L540,[1]Produtos!$B:$B,0)), "-")</f>
        <v>GLOW MAKE UP</v>
      </c>
      <c r="Q540" s="270" t="str">
        <f>IFERROR(INDEX([1]Produtos!$H:$H,MATCH(L540,[1]Produtos!$B:$B,0)), "-")</f>
        <v>MAQUIAGEM</v>
      </c>
      <c r="R540" s="270" t="str">
        <f>IFERROR(INDEX([1]Produtos!$I:$I,MATCH(L540,[1]Produtos!$B:$B,0)), "-")</f>
        <v>ÁGUA MICELAR</v>
      </c>
      <c r="S540" s="270" t="str">
        <f>IFERROR(INDEX([1]Produtos!$J:$J,MATCH(L540,[1]Produtos!$B:$B,0)), "-")</f>
        <v>LÍQUIDO</v>
      </c>
      <c r="T540" s="475"/>
      <c r="U540" s="270"/>
      <c r="V540" s="270"/>
      <c r="W540" s="270"/>
      <c r="X540" s="270"/>
      <c r="Y540" s="270"/>
      <c r="Z540" s="270"/>
      <c r="AA540" s="270"/>
      <c r="AB540" s="270"/>
      <c r="AC540" s="270"/>
      <c r="AD540" s="270"/>
      <c r="AE540" s="270"/>
      <c r="AF540" s="270"/>
      <c r="AG540" s="270"/>
      <c r="AH540" s="270"/>
      <c r="AI540" s="270"/>
      <c r="AJ540" s="270"/>
      <c r="AK540" s="270"/>
      <c r="AL540" s="270"/>
      <c r="AM540" s="663"/>
      <c r="AN540" s="663"/>
      <c r="AO540" s="708" t="str">
        <f>IF(OR(Table1[[#This Row],[Início Setup Envase]]="",Table1[[#This Row],[Final Setup Envase]]=""),"",Table1[[#This Row],[Final Setup Envase]]-Table1[[#This Row],[Início Setup Envase]])</f>
        <v/>
      </c>
      <c r="AP540" s="663"/>
      <c r="AQ540" s="663"/>
      <c r="AR540" s="270"/>
      <c r="AS540" s="270"/>
      <c r="AT540" s="270"/>
      <c r="AU540" s="270"/>
      <c r="AV540" s="270"/>
      <c r="AW540" s="270"/>
      <c r="AX540" s="270"/>
      <c r="AY540" s="270"/>
      <c r="AZ540" s="270"/>
      <c r="BA540" s="270">
        <f>IF(Table1[[#This Row],[Data de Início]]="","",YEAR(Table1[[#This Row],[Data de Início]]))</f>
        <v>2025</v>
      </c>
      <c r="BB540" s="270">
        <f>IF(Table1[[#This Row],[Data de Início]]="","",MONTH(Table1[[#This Row],[Data de Início]]))</f>
        <v>10</v>
      </c>
      <c r="BC540" s="270"/>
    </row>
    <row r="541" spans="2:55" ht="15" customHeight="1" x14ac:dyDescent="0.25">
      <c r="B541" s="470">
        <v>45938.549305555556</v>
      </c>
      <c r="C541" s="263">
        <v>45938.576388888891</v>
      </c>
      <c r="D541" s="264" cm="1">
        <f t="array" ref="D541">IFERROR(HorasUteisFabrica2Turnos(B541,C541), "")</f>
        <v>0.65000000002328306</v>
      </c>
      <c r="E541" s="265">
        <f t="shared" si="8"/>
        <v>664.61538459157805</v>
      </c>
      <c r="F541" s="266" t="s">
        <v>378</v>
      </c>
      <c r="G541" s="266" t="s">
        <v>475</v>
      </c>
      <c r="H541" s="266"/>
      <c r="I541" s="269" t="s">
        <v>849</v>
      </c>
      <c r="J541" s="267" t="s">
        <v>15</v>
      </c>
      <c r="K541" s="268">
        <v>432</v>
      </c>
      <c r="L541" s="269" t="s">
        <v>478</v>
      </c>
      <c r="M541" s="270" t="str">
        <f>IFERROR(INDEX([1]Produtos!$C:$C,MATCH(L541,[1]Produtos!$B:$B,0)), "-")</f>
        <v>ÁGUA MICELAR 3 EM 1</v>
      </c>
      <c r="N541" s="510">
        <f>IFERROR(INDEX([1]Produtos!$E:$E,MATCH(L541,[1]Produtos!$B:$B,0)), "-")</f>
        <v>325</v>
      </c>
      <c r="O541" s="270" t="str">
        <f>IFERROR(INDEX([1]Produtos!$F:$F,MATCH(L541,[1]Produtos!$B:$B,0)), "-")</f>
        <v>ml</v>
      </c>
      <c r="P541" s="270" t="str">
        <f>IFERROR(INDEX([1]Produtos!$G:$G,MATCH(L541,[1]Produtos!$B:$B,0)), "-")</f>
        <v>GLOW MAKE UP</v>
      </c>
      <c r="Q541" s="270" t="str">
        <f>IFERROR(INDEX([1]Produtos!$H:$H,MATCH(L541,[1]Produtos!$B:$B,0)), "-")</f>
        <v>MAQUIAGEM</v>
      </c>
      <c r="R541" s="270" t="str">
        <f>IFERROR(INDEX([1]Produtos!$I:$I,MATCH(L541,[1]Produtos!$B:$B,0)), "-")</f>
        <v>ÁGUA MICELAR</v>
      </c>
      <c r="S541" s="270" t="str">
        <f>IFERROR(INDEX([1]Produtos!$J:$J,MATCH(L541,[1]Produtos!$B:$B,0)), "-")</f>
        <v>LÍQUIDO</v>
      </c>
      <c r="T541" s="475"/>
      <c r="U541" s="270"/>
      <c r="V541" s="270"/>
      <c r="W541" s="270"/>
      <c r="X541" s="270"/>
      <c r="Y541" s="270"/>
      <c r="Z541" s="270"/>
      <c r="AA541" s="270"/>
      <c r="AB541" s="270"/>
      <c r="AC541" s="270"/>
      <c r="AD541" s="270"/>
      <c r="AE541" s="270"/>
      <c r="AF541" s="270"/>
      <c r="AG541" s="270"/>
      <c r="AH541" s="270"/>
      <c r="AI541" s="270"/>
      <c r="AJ541" s="270"/>
      <c r="AK541" s="270"/>
      <c r="AL541" s="270"/>
      <c r="AM541" s="663"/>
      <c r="AN541" s="663"/>
      <c r="AO541" s="708" t="str">
        <f>IF(OR(Table1[[#This Row],[Início Setup Envase]]="",Table1[[#This Row],[Final Setup Envase]]=""),"",Table1[[#This Row],[Final Setup Envase]]-Table1[[#This Row],[Início Setup Envase]])</f>
        <v/>
      </c>
      <c r="AP541" s="663"/>
      <c r="AQ541" s="663"/>
      <c r="AR541" s="270"/>
      <c r="AS541" s="270"/>
      <c r="AT541" s="270"/>
      <c r="AU541" s="270"/>
      <c r="AV541" s="270"/>
      <c r="AW541" s="270"/>
      <c r="AX541" s="270"/>
      <c r="AY541" s="270"/>
      <c r="AZ541" s="270"/>
      <c r="BA541" s="270">
        <f>IF(Table1[[#This Row],[Data de Início]]="","",YEAR(Table1[[#This Row],[Data de Início]]))</f>
        <v>2025</v>
      </c>
      <c r="BB541" s="270">
        <f>IF(Table1[[#This Row],[Data de Início]]="","",MONTH(Table1[[#This Row],[Data de Início]]))</f>
        <v>10</v>
      </c>
      <c r="BC541" s="270"/>
    </row>
    <row r="542" spans="2:55" ht="15" customHeight="1" x14ac:dyDescent="0.25">
      <c r="B542" s="470">
        <v>45938.582638888889</v>
      </c>
      <c r="C542" s="263">
        <v>45938.635416666664</v>
      </c>
      <c r="D542" s="264" cm="1">
        <f t="array" ref="D542">IFERROR(HorasUteisFabrica2Turnos(B542,C542), "")</f>
        <v>1.2666666666045785</v>
      </c>
      <c r="E542" s="265">
        <f t="shared" si="8"/>
        <v>795.78947372321772</v>
      </c>
      <c r="F542" s="266" t="s">
        <v>378</v>
      </c>
      <c r="G542" s="266" t="s">
        <v>475</v>
      </c>
      <c r="H542" s="266"/>
      <c r="I542" s="269" t="s">
        <v>850</v>
      </c>
      <c r="J542" s="267" t="s">
        <v>15</v>
      </c>
      <c r="K542" s="268">
        <v>1008</v>
      </c>
      <c r="L542" s="269" t="s">
        <v>474</v>
      </c>
      <c r="M542" s="270" t="str">
        <f>IFERROR(INDEX([1]Produtos!$C:$C,MATCH(L542,[1]Produtos!$B:$B,0)), "-")</f>
        <v>ÁGUA MICELAR ÁCIDO HIAULURÔNICO</v>
      </c>
      <c r="N542" s="510">
        <f>IFERROR(INDEX([1]Produtos!$E:$E,MATCH(L542,[1]Produtos!$B:$B,0)), "-")</f>
        <v>325</v>
      </c>
      <c r="O542" s="270" t="str">
        <f>IFERROR(INDEX([1]Produtos!$F:$F,MATCH(L542,[1]Produtos!$B:$B,0)), "-")</f>
        <v>ml</v>
      </c>
      <c r="P542" s="270" t="str">
        <f>IFERROR(INDEX([1]Produtos!$G:$G,MATCH(L542,[1]Produtos!$B:$B,0)), "-")</f>
        <v>GLOW MAKE UP</v>
      </c>
      <c r="Q542" s="270" t="str">
        <f>IFERROR(INDEX([1]Produtos!$H:$H,MATCH(L542,[1]Produtos!$B:$B,0)), "-")</f>
        <v>MAQUIAGEM</v>
      </c>
      <c r="R542" s="270" t="str">
        <f>IFERROR(INDEX([1]Produtos!$I:$I,MATCH(L542,[1]Produtos!$B:$B,0)), "-")</f>
        <v>ÁGUA MICELAR</v>
      </c>
      <c r="S542" s="270" t="str">
        <f>IFERROR(INDEX([1]Produtos!$J:$J,MATCH(L542,[1]Produtos!$B:$B,0)), "-")</f>
        <v>LÍQUIDO</v>
      </c>
      <c r="T542" s="475"/>
      <c r="U542" s="270"/>
      <c r="V542" s="270"/>
      <c r="W542" s="270"/>
      <c r="X542" s="270"/>
      <c r="Y542" s="270"/>
      <c r="Z542" s="270"/>
      <c r="AA542" s="270"/>
      <c r="AB542" s="270"/>
      <c r="AC542" s="270"/>
      <c r="AD542" s="270"/>
      <c r="AE542" s="270"/>
      <c r="AF542" s="270"/>
      <c r="AG542" s="270"/>
      <c r="AH542" s="270"/>
      <c r="AI542" s="270"/>
      <c r="AJ542" s="270"/>
      <c r="AK542" s="270"/>
      <c r="AL542" s="270"/>
      <c r="AM542" s="663"/>
      <c r="AN542" s="663"/>
      <c r="AO542" s="708" t="str">
        <f>IF(OR(Table1[[#This Row],[Início Setup Envase]]="",Table1[[#This Row],[Final Setup Envase]]=""),"",Table1[[#This Row],[Final Setup Envase]]-Table1[[#This Row],[Início Setup Envase]])</f>
        <v/>
      </c>
      <c r="AP542" s="663"/>
      <c r="AQ542" s="663"/>
      <c r="AR542" s="270"/>
      <c r="AS542" s="270"/>
      <c r="AT542" s="270"/>
      <c r="AU542" s="270"/>
      <c r="AV542" s="270"/>
      <c r="AW542" s="270"/>
      <c r="AX542" s="270"/>
      <c r="AY542" s="270"/>
      <c r="AZ542" s="270"/>
      <c r="BA542" s="270">
        <f>IF(Table1[[#This Row],[Data de Início]]="","",YEAR(Table1[[#This Row],[Data de Início]]))</f>
        <v>2025</v>
      </c>
      <c r="BB542" s="270">
        <f>IF(Table1[[#This Row],[Data de Início]]="","",MONTH(Table1[[#This Row],[Data de Início]]))</f>
        <v>10</v>
      </c>
      <c r="BC542" s="270"/>
    </row>
    <row r="543" spans="2:55" ht="15" customHeight="1" x14ac:dyDescent="0.25">
      <c r="B543" s="470">
        <v>45938.59375</v>
      </c>
      <c r="C543" s="263">
        <v>45939.344444444447</v>
      </c>
      <c r="D543" s="264" cm="1">
        <f t="array" ref="D543">IFERROR(HorasUteisFabrica2Turnos(B543,C543), "")</f>
        <v>4.0166666668374091</v>
      </c>
      <c r="E543" s="265">
        <f t="shared" si="8"/>
        <v>1150.2074688307744</v>
      </c>
      <c r="F543" s="266" t="s">
        <v>377</v>
      </c>
      <c r="G543" s="266" t="s">
        <v>776</v>
      </c>
      <c r="H543" s="266"/>
      <c r="I543" s="269" t="s">
        <v>859</v>
      </c>
      <c r="J543" s="267" t="s">
        <v>15</v>
      </c>
      <c r="K543" s="268">
        <v>4620</v>
      </c>
      <c r="L543" s="269" t="s">
        <v>1000</v>
      </c>
      <c r="M543" s="270" t="str">
        <f>IFERROR(INDEX([1]Produtos!$C:$C,MATCH(L543,[1]Produtos!$B:$B,0)), "-")</f>
        <v>BODY SPLASH DAPOP HONEY GLOW</v>
      </c>
      <c r="N543" s="510">
        <f>IFERROR(INDEX([1]Produtos!$E:$E,MATCH(L543,[1]Produtos!$B:$B,0)), "-")</f>
        <v>120</v>
      </c>
      <c r="O543" s="270" t="str">
        <f>IFERROR(INDEX([1]Produtos!$F:$F,MATCH(L543,[1]Produtos!$B:$B,0)), "-")</f>
        <v>ml</v>
      </c>
      <c r="P543" s="270" t="str">
        <f>IFERROR(INDEX([1]Produtos!$G:$G,MATCH(L543,[1]Produtos!$B:$B,0)), "-")</f>
        <v>DAPOP</v>
      </c>
      <c r="Q543" s="270" t="str">
        <f>IFERROR(INDEX([1]Produtos!$H:$H,MATCH(L543,[1]Produtos!$B:$B,0)), "-")</f>
        <v>PERFUMARIA</v>
      </c>
      <c r="R543" s="270" t="str">
        <f>IFERROR(INDEX([1]Produtos!$I:$I,MATCH(L543,[1]Produtos!$B:$B,0)), "-")</f>
        <v>BODY SPLASH</v>
      </c>
      <c r="S543" s="270" t="str">
        <f>IFERROR(INDEX([1]Produtos!$J:$J,MATCH(L543,[1]Produtos!$B:$B,0)), "-")</f>
        <v>LÍQUIDO ESPESSO</v>
      </c>
      <c r="T543" s="475"/>
      <c r="U543" s="270"/>
      <c r="V543" s="270"/>
      <c r="W543" s="270"/>
      <c r="X543" s="270"/>
      <c r="Y543" s="270"/>
      <c r="Z543" s="270"/>
      <c r="AA543" s="270"/>
      <c r="AB543" s="270"/>
      <c r="AC543" s="270"/>
      <c r="AD543" s="270"/>
      <c r="AE543" s="270"/>
      <c r="AF543" s="270"/>
      <c r="AG543" s="270"/>
      <c r="AH543" s="270"/>
      <c r="AI543" s="270"/>
      <c r="AJ543" s="270"/>
      <c r="AK543" s="270"/>
      <c r="AL543" s="270"/>
      <c r="AM543" s="663"/>
      <c r="AN543" s="663"/>
      <c r="AO543" s="708" t="str">
        <f>IF(OR(Table1[[#This Row],[Início Setup Envase]]="",Table1[[#This Row],[Final Setup Envase]]=""),"",Table1[[#This Row],[Final Setup Envase]]-Table1[[#This Row],[Início Setup Envase]])</f>
        <v/>
      </c>
      <c r="AP543" s="663"/>
      <c r="AQ543" s="663"/>
      <c r="AR543" s="270"/>
      <c r="AS543" s="270"/>
      <c r="AT543" s="270"/>
      <c r="AU543" s="270"/>
      <c r="AV543" s="270"/>
      <c r="AW543" s="270"/>
      <c r="AX543" s="270"/>
      <c r="AY543" s="270"/>
      <c r="AZ543" s="270"/>
      <c r="BA543" s="270">
        <f>IF(Table1[[#This Row],[Data de Início]]="","",YEAR(Table1[[#This Row],[Data de Início]]))</f>
        <v>2025</v>
      </c>
      <c r="BB543" s="270">
        <f>IF(Table1[[#This Row],[Data de Início]]="","",MONTH(Table1[[#This Row],[Data de Início]]))</f>
        <v>10</v>
      </c>
      <c r="BC543" s="270"/>
    </row>
    <row r="544" spans="2:55" ht="15" customHeight="1" x14ac:dyDescent="0.25">
      <c r="B544" s="470">
        <v>45938.661805555559</v>
      </c>
      <c r="C544" s="263">
        <v>45939.372916666667</v>
      </c>
      <c r="D544" s="264" cm="1">
        <f t="array" ref="D544">IFERROR(HorasUteisFabrica2Turnos(B544,C544), "")</f>
        <v>3.0666666667093523</v>
      </c>
      <c r="E544" s="265">
        <f t="shared" si="8"/>
        <v>829.56521737975743</v>
      </c>
      <c r="F544" s="266" t="s">
        <v>378</v>
      </c>
      <c r="G544" s="266" t="s">
        <v>799</v>
      </c>
      <c r="H544" s="266"/>
      <c r="I544" s="269" t="s">
        <v>861</v>
      </c>
      <c r="J544" s="267" t="s">
        <v>15</v>
      </c>
      <c r="K544" s="268">
        <v>2544</v>
      </c>
      <c r="L544" s="269" t="s">
        <v>214</v>
      </c>
      <c r="M544" s="270" t="str">
        <f>IFERROR(INDEX([1]Produtos!$C:$C,MATCH(L544,[1]Produtos!$B:$B,0)), "-")</f>
        <v>BODY SPLASH ECLIPSE DOURADO</v>
      </c>
      <c r="N544" s="510">
        <f>IFERROR(INDEX([1]Produtos!$E:$E,MATCH(L544,[1]Produtos!$B:$B,0)), "-")</f>
        <v>220</v>
      </c>
      <c r="O544" s="270" t="str">
        <f>IFERROR(INDEX([1]Produtos!$F:$F,MATCH(L544,[1]Produtos!$B:$B,0)), "-")</f>
        <v>ml</v>
      </c>
      <c r="P544" s="270" t="str">
        <f>IFERROR(INDEX([1]Produtos!$G:$G,MATCH(L544,[1]Produtos!$B:$B,0)), "-")</f>
        <v>MISS RÔSE</v>
      </c>
      <c r="Q544" s="270" t="str">
        <f>IFERROR(INDEX([1]Produtos!$H:$H,MATCH(L544,[1]Produtos!$B:$B,0)), "-")</f>
        <v>PERFUMARIA</v>
      </c>
      <c r="R544" s="270" t="str">
        <f>IFERROR(INDEX([1]Produtos!$I:$I,MATCH(L544,[1]Produtos!$B:$B,0)), "-")</f>
        <v>BODY SPLASH</v>
      </c>
      <c r="S544" s="270" t="str">
        <f>IFERROR(INDEX([1]Produtos!$J:$J,MATCH(L544,[1]Produtos!$B:$B,0)), "-")</f>
        <v>LÍQUIDO</v>
      </c>
      <c r="T544" s="475"/>
      <c r="U544" s="270"/>
      <c r="V544" s="270"/>
      <c r="W544" s="270"/>
      <c r="X544" s="270"/>
      <c r="Y544" s="270"/>
      <c r="Z544" s="270"/>
      <c r="AA544" s="270"/>
      <c r="AB544" s="270"/>
      <c r="AC544" s="270"/>
      <c r="AD544" s="270"/>
      <c r="AE544" s="270"/>
      <c r="AF544" s="270"/>
      <c r="AG544" s="270"/>
      <c r="AH544" s="270"/>
      <c r="AI544" s="270"/>
      <c r="AJ544" s="270"/>
      <c r="AK544" s="270"/>
      <c r="AL544" s="270"/>
      <c r="AM544" s="663"/>
      <c r="AN544" s="663"/>
      <c r="AO544" s="708" t="str">
        <f>IF(OR(Table1[[#This Row],[Início Setup Envase]]="",Table1[[#This Row],[Final Setup Envase]]=""),"",Table1[[#This Row],[Final Setup Envase]]-Table1[[#This Row],[Início Setup Envase]])</f>
        <v/>
      </c>
      <c r="AP544" s="663"/>
      <c r="AQ544" s="663"/>
      <c r="AR544" s="270"/>
      <c r="AS544" s="270"/>
      <c r="AT544" s="270"/>
      <c r="AU544" s="270"/>
      <c r="AV544" s="270"/>
      <c r="AW544" s="270"/>
      <c r="AX544" s="270"/>
      <c r="AY544" s="270"/>
      <c r="AZ544" s="270"/>
      <c r="BA544" s="270">
        <f>IF(Table1[[#This Row],[Data de Início]]="","",YEAR(Table1[[#This Row],[Data de Início]]))</f>
        <v>2025</v>
      </c>
      <c r="BB544" s="270">
        <f>IF(Table1[[#This Row],[Data de Início]]="","",MONTH(Table1[[#This Row],[Data de Início]]))</f>
        <v>10</v>
      </c>
      <c r="BC544" s="270"/>
    </row>
    <row r="545" spans="1:55" ht="15" customHeight="1" x14ac:dyDescent="0.25">
      <c r="B545" s="470">
        <v>45939.344444444447</v>
      </c>
      <c r="C545" s="263">
        <v>45939.650694444441</v>
      </c>
      <c r="D545" s="264" cm="1">
        <f t="array" ref="D545">IFERROR(HorasUteisFabrica2Turnos(B545,C545), "")</f>
        <v>6.3499999998603016</v>
      </c>
      <c r="E545" s="265">
        <f t="shared" si="8"/>
        <v>727.55905513411631</v>
      </c>
      <c r="F545" s="266" t="s">
        <v>377</v>
      </c>
      <c r="G545" s="266" t="s">
        <v>776</v>
      </c>
      <c r="H545" s="266"/>
      <c r="I545" s="269" t="s">
        <v>860</v>
      </c>
      <c r="J545" s="267" t="s">
        <v>15</v>
      </c>
      <c r="K545" s="268">
        <v>4620</v>
      </c>
      <c r="L545" s="269" t="s">
        <v>1000</v>
      </c>
      <c r="M545" s="270" t="str">
        <f>IFERROR(INDEX([1]Produtos!$C:$C,MATCH(L545,[1]Produtos!$B:$B,0)), "-")</f>
        <v>BODY SPLASH DAPOP HONEY GLOW</v>
      </c>
      <c r="N545" s="510">
        <f>IFERROR(INDEX([1]Produtos!$E:$E,MATCH(L545,[1]Produtos!$B:$B,0)), "-")</f>
        <v>120</v>
      </c>
      <c r="O545" s="270" t="str">
        <f>IFERROR(INDEX([1]Produtos!$F:$F,MATCH(L545,[1]Produtos!$B:$B,0)), "-")</f>
        <v>ml</v>
      </c>
      <c r="P545" s="270" t="str">
        <f>IFERROR(INDEX([1]Produtos!$G:$G,MATCH(L545,[1]Produtos!$B:$B,0)), "-")</f>
        <v>DAPOP</v>
      </c>
      <c r="Q545" s="270" t="str">
        <f>IFERROR(INDEX([1]Produtos!$H:$H,MATCH(L545,[1]Produtos!$B:$B,0)), "-")</f>
        <v>PERFUMARIA</v>
      </c>
      <c r="R545" s="270" t="str">
        <f>IFERROR(INDEX([1]Produtos!$I:$I,MATCH(L545,[1]Produtos!$B:$B,0)), "-")</f>
        <v>BODY SPLASH</v>
      </c>
      <c r="S545" s="270" t="str">
        <f>IFERROR(INDEX([1]Produtos!$J:$J,MATCH(L545,[1]Produtos!$B:$B,0)), "-")</f>
        <v>LÍQUIDO ESPESSO</v>
      </c>
      <c r="T545" s="475"/>
      <c r="U545" s="270"/>
      <c r="V545" s="270"/>
      <c r="W545" s="270"/>
      <c r="X545" s="270"/>
      <c r="Y545" s="270"/>
      <c r="Z545" s="270"/>
      <c r="AA545" s="270"/>
      <c r="AB545" s="270"/>
      <c r="AC545" s="270"/>
      <c r="AD545" s="270"/>
      <c r="AE545" s="270"/>
      <c r="AF545" s="270"/>
      <c r="AG545" s="270"/>
      <c r="AH545" s="270"/>
      <c r="AI545" s="270"/>
      <c r="AJ545" s="270"/>
      <c r="AK545" s="270"/>
      <c r="AL545" s="270"/>
      <c r="AM545" s="663"/>
      <c r="AN545" s="663"/>
      <c r="AO545" s="708" t="str">
        <f>IF(OR(Table1[[#This Row],[Início Setup Envase]]="",Table1[[#This Row],[Final Setup Envase]]=""),"",Table1[[#This Row],[Final Setup Envase]]-Table1[[#This Row],[Início Setup Envase]])</f>
        <v/>
      </c>
      <c r="AP545" s="663"/>
      <c r="AQ545" s="663"/>
      <c r="AR545" s="270"/>
      <c r="AS545" s="270"/>
      <c r="AT545" s="270"/>
      <c r="AU545" s="270"/>
      <c r="AV545" s="270"/>
      <c r="AW545" s="270"/>
      <c r="AX545" s="270"/>
      <c r="AY545" s="270"/>
      <c r="AZ545" s="270"/>
      <c r="BA545" s="270">
        <f>IF(Table1[[#This Row],[Data de Início]]="","",YEAR(Table1[[#This Row],[Data de Início]]))</f>
        <v>2025</v>
      </c>
      <c r="BB545" s="270">
        <f>IF(Table1[[#This Row],[Data de Início]]="","",MONTH(Table1[[#This Row],[Data de Início]]))</f>
        <v>10</v>
      </c>
      <c r="BC545" s="270"/>
    </row>
    <row r="546" spans="1:55" ht="15" customHeight="1" x14ac:dyDescent="0.25">
      <c r="B546" s="470">
        <v>45939.372916666667</v>
      </c>
      <c r="C546" s="263">
        <v>45939.5625</v>
      </c>
      <c r="D546" s="264" cm="1">
        <f t="array" ref="D546">IFERROR(HorasUteisFabrica2Turnos(B546,C546), "")</f>
        <v>3.5499999999883585</v>
      </c>
      <c r="E546" s="265">
        <f t="shared" si="8"/>
        <v>716.61971831220922</v>
      </c>
      <c r="F546" s="266" t="s">
        <v>378</v>
      </c>
      <c r="G546" s="266" t="s">
        <v>799</v>
      </c>
      <c r="H546" s="266"/>
      <c r="I546" s="269" t="s">
        <v>865</v>
      </c>
      <c r="J546" s="267" t="s">
        <v>15</v>
      </c>
      <c r="K546" s="268">
        <v>2544</v>
      </c>
      <c r="L546" s="269" t="s">
        <v>214</v>
      </c>
      <c r="M546" s="270" t="str">
        <f>IFERROR(INDEX([1]Produtos!$C:$C,MATCH(L546,[1]Produtos!$B:$B,0)), "-")</f>
        <v>BODY SPLASH ECLIPSE DOURADO</v>
      </c>
      <c r="N546" s="510">
        <f>IFERROR(INDEX([1]Produtos!$E:$E,MATCH(L546,[1]Produtos!$B:$B,0)), "-")</f>
        <v>220</v>
      </c>
      <c r="O546" s="270" t="str">
        <f>IFERROR(INDEX([1]Produtos!$F:$F,MATCH(L546,[1]Produtos!$B:$B,0)), "-")</f>
        <v>ml</v>
      </c>
      <c r="P546" s="270" t="str">
        <f>IFERROR(INDEX([1]Produtos!$G:$G,MATCH(L546,[1]Produtos!$B:$B,0)), "-")</f>
        <v>MISS RÔSE</v>
      </c>
      <c r="Q546" s="270" t="str">
        <f>IFERROR(INDEX([1]Produtos!$H:$H,MATCH(L546,[1]Produtos!$B:$B,0)), "-")</f>
        <v>PERFUMARIA</v>
      </c>
      <c r="R546" s="270" t="str">
        <f>IFERROR(INDEX([1]Produtos!$I:$I,MATCH(L546,[1]Produtos!$B:$B,0)), "-")</f>
        <v>BODY SPLASH</v>
      </c>
      <c r="S546" s="270" t="str">
        <f>IFERROR(INDEX([1]Produtos!$J:$J,MATCH(L546,[1]Produtos!$B:$B,0)), "-")</f>
        <v>LÍQUIDO</v>
      </c>
      <c r="T546" s="475"/>
      <c r="U546" s="270"/>
      <c r="V546" s="270"/>
      <c r="W546" s="270"/>
      <c r="X546" s="270"/>
      <c r="Y546" s="270"/>
      <c r="Z546" s="270"/>
      <c r="AA546" s="270"/>
      <c r="AB546" s="270"/>
      <c r="AC546" s="270"/>
      <c r="AD546" s="270"/>
      <c r="AE546" s="270"/>
      <c r="AF546" s="270"/>
      <c r="AG546" s="270"/>
      <c r="AH546" s="270"/>
      <c r="AI546" s="270"/>
      <c r="AJ546" s="270"/>
      <c r="AK546" s="270"/>
      <c r="AL546" s="270"/>
      <c r="AM546" s="663"/>
      <c r="AN546" s="663"/>
      <c r="AO546" s="708" t="str">
        <f>IF(OR(Table1[[#This Row],[Início Setup Envase]]="",Table1[[#This Row],[Final Setup Envase]]=""),"",Table1[[#This Row],[Final Setup Envase]]-Table1[[#This Row],[Início Setup Envase]])</f>
        <v/>
      </c>
      <c r="AP546" s="663"/>
      <c r="AQ546" s="663"/>
      <c r="AR546" s="270"/>
      <c r="AS546" s="270"/>
      <c r="AT546" s="270"/>
      <c r="AU546" s="270"/>
      <c r="AV546" s="270"/>
      <c r="AW546" s="270"/>
      <c r="AX546" s="270"/>
      <c r="AY546" s="270"/>
      <c r="AZ546" s="270"/>
      <c r="BA546" s="270">
        <f>IF(Table1[[#This Row],[Data de Início]]="","",YEAR(Table1[[#This Row],[Data de Início]]))</f>
        <v>2025</v>
      </c>
      <c r="BB546" s="270">
        <f>IF(Table1[[#This Row],[Data de Início]]="","",MONTH(Table1[[#This Row],[Data de Início]]))</f>
        <v>10</v>
      </c>
      <c r="BC546" s="270"/>
    </row>
    <row r="547" spans="1:55" ht="15" customHeight="1" x14ac:dyDescent="0.25">
      <c r="B547" s="470">
        <v>45939.650694444441</v>
      </c>
      <c r="C547" s="263">
        <v>45940.479166666664</v>
      </c>
      <c r="D547" s="264" cm="1">
        <f t="array" ref="D547">IFERROR(HorasUteisFabrica2Turnos(B547,C547), "")</f>
        <v>5.8833333334769122</v>
      </c>
      <c r="E547" s="265">
        <f t="shared" si="8"/>
        <v>941.64305946710476</v>
      </c>
      <c r="F547" s="266" t="s">
        <v>377</v>
      </c>
      <c r="G547" s="266" t="s">
        <v>776</v>
      </c>
      <c r="H547" s="266"/>
      <c r="I547" s="269" t="s">
        <v>858</v>
      </c>
      <c r="J547" s="267" t="s">
        <v>15</v>
      </c>
      <c r="K547" s="268">
        <v>5540</v>
      </c>
      <c r="L547" s="269" t="s">
        <v>1000</v>
      </c>
      <c r="M547" s="270" t="str">
        <f>IFERROR(INDEX([1]Produtos!$C:$C,MATCH(L547,[1]Produtos!$B:$B,0)), "-")</f>
        <v>BODY SPLASH DAPOP HONEY GLOW</v>
      </c>
      <c r="N547" s="510">
        <f>IFERROR(INDEX([1]Produtos!$E:$E,MATCH(L547,[1]Produtos!$B:$B,0)), "-")</f>
        <v>120</v>
      </c>
      <c r="O547" s="270" t="str">
        <f>IFERROR(INDEX([1]Produtos!$F:$F,MATCH(L547,[1]Produtos!$B:$B,0)), "-")</f>
        <v>ml</v>
      </c>
      <c r="P547" s="270" t="str">
        <f>IFERROR(INDEX([1]Produtos!$G:$G,MATCH(L547,[1]Produtos!$B:$B,0)), "-")</f>
        <v>DAPOP</v>
      </c>
      <c r="Q547" s="270" t="str">
        <f>IFERROR(INDEX([1]Produtos!$H:$H,MATCH(L547,[1]Produtos!$B:$B,0)), "-")</f>
        <v>PERFUMARIA</v>
      </c>
      <c r="R547" s="270" t="str">
        <f>IFERROR(INDEX([1]Produtos!$I:$I,MATCH(L547,[1]Produtos!$B:$B,0)), "-")</f>
        <v>BODY SPLASH</v>
      </c>
      <c r="S547" s="270" t="str">
        <f>IFERROR(INDEX([1]Produtos!$J:$J,MATCH(L547,[1]Produtos!$B:$B,0)), "-")</f>
        <v>LÍQUIDO ESPESSO</v>
      </c>
      <c r="T547" s="475"/>
      <c r="U547" s="270"/>
      <c r="V547" s="270"/>
      <c r="W547" s="270"/>
      <c r="X547" s="270"/>
      <c r="Y547" s="270"/>
      <c r="Z547" s="270"/>
      <c r="AA547" s="270"/>
      <c r="AB547" s="270"/>
      <c r="AC547" s="270"/>
      <c r="AD547" s="270"/>
      <c r="AE547" s="270"/>
      <c r="AF547" s="270"/>
      <c r="AG547" s="270"/>
      <c r="AH547" s="270"/>
      <c r="AI547" s="270"/>
      <c r="AJ547" s="270"/>
      <c r="AK547" s="270"/>
      <c r="AL547" s="270"/>
      <c r="AM547" s="663"/>
      <c r="AN547" s="663"/>
      <c r="AO547" s="708" t="str">
        <f>IF(OR(Table1[[#This Row],[Início Setup Envase]]="",Table1[[#This Row],[Final Setup Envase]]=""),"",Table1[[#This Row],[Final Setup Envase]]-Table1[[#This Row],[Início Setup Envase]])</f>
        <v/>
      </c>
      <c r="AP547" s="663"/>
      <c r="AQ547" s="663"/>
      <c r="AR547" s="270"/>
      <c r="AS547" s="270"/>
      <c r="AT547" s="270"/>
      <c r="AU547" s="270"/>
      <c r="AV547" s="270"/>
      <c r="AW547" s="270"/>
      <c r="AX547" s="270"/>
      <c r="AY547" s="270"/>
      <c r="AZ547" s="270"/>
      <c r="BA547" s="270">
        <f>IF(Table1[[#This Row],[Data de Início]]="","",YEAR(Table1[[#This Row],[Data de Início]]))</f>
        <v>2025</v>
      </c>
      <c r="BB547" s="270">
        <f>IF(Table1[[#This Row],[Data de Início]]="","",MONTH(Table1[[#This Row],[Data de Início]]))</f>
        <v>10</v>
      </c>
      <c r="BC547" s="270"/>
    </row>
    <row r="548" spans="1:55" ht="15" customHeight="1" x14ac:dyDescent="0.25">
      <c r="B548" s="470">
        <v>45940.479166666664</v>
      </c>
      <c r="C548" s="263">
        <v>45940.645833333336</v>
      </c>
      <c r="D548" s="264" cm="1">
        <f t="array" ref="D548">IFERROR(HorasUteisFabrica2Turnos(B548,C548), "")</f>
        <v>3.0000000001164153</v>
      </c>
      <c r="E548" s="265">
        <f t="shared" si="8"/>
        <v>866.66666663303556</v>
      </c>
      <c r="F548" s="266" t="s">
        <v>377</v>
      </c>
      <c r="G548" s="266" t="s">
        <v>712</v>
      </c>
      <c r="H548" s="266"/>
      <c r="I548" s="269" t="s">
        <v>862</v>
      </c>
      <c r="J548" s="267" t="s">
        <v>15</v>
      </c>
      <c r="K548" s="268">
        <v>2600</v>
      </c>
      <c r="L548" s="467" t="s">
        <v>998</v>
      </c>
      <c r="M548" s="270" t="str">
        <f>IFERROR(INDEX([1]Produtos!$C:$C,MATCH(L548,[1]Produtos!$B:$B,0)), "-")</f>
        <v>ESCOVA DE CHUVEIRO CHEIRINHO DE MORANGO</v>
      </c>
      <c r="N548" s="510">
        <f>IFERROR(INDEX([1]Produtos!$E:$E,MATCH(L548,[1]Produtos!$B:$B,0)), "-")</f>
        <v>100</v>
      </c>
      <c r="O548" s="270" t="str">
        <f>IFERROR(INDEX([1]Produtos!$F:$F,MATCH(L548,[1]Produtos!$B:$B,0)), "-")</f>
        <v>ml</v>
      </c>
      <c r="P548" s="270" t="str">
        <f>IFERROR(INDEX([1]Produtos!$G:$G,MATCH(L548,[1]Produtos!$B:$B,0)), "-")</f>
        <v>ISA BEAUTY</v>
      </c>
      <c r="Q548" s="270" t="str">
        <f>IFERROR(INDEX([1]Produtos!$H:$H,MATCH(L548,[1]Produtos!$B:$B,0)), "-")</f>
        <v>CAPILAR</v>
      </c>
      <c r="R548" s="270" t="str">
        <f>IFERROR(INDEX([1]Produtos!$I:$I,MATCH(L548,[1]Produtos!$B:$B,0)), "-")</f>
        <v>ESCOVA PROGRESSIVA</v>
      </c>
      <c r="S548" s="270" t="str">
        <f>IFERROR(INDEX([1]Produtos!$J:$J,MATCH(L548,[1]Produtos!$B:$B,0)), "-")</f>
        <v>LÍQUIDO ESPESSO</v>
      </c>
      <c r="T548" s="475"/>
      <c r="U548" s="270"/>
      <c r="V548" s="270"/>
      <c r="W548" s="270"/>
      <c r="X548" s="270"/>
      <c r="Y548" s="270"/>
      <c r="Z548" s="270"/>
      <c r="AA548" s="270"/>
      <c r="AB548" s="270"/>
      <c r="AC548" s="270"/>
      <c r="AD548" s="270"/>
      <c r="AE548" s="270"/>
      <c r="AF548" s="270"/>
      <c r="AG548" s="270"/>
      <c r="AH548" s="270"/>
      <c r="AI548" s="270"/>
      <c r="AJ548" s="270"/>
      <c r="AK548" s="270"/>
      <c r="AL548" s="270"/>
      <c r="AM548" s="663"/>
      <c r="AN548" s="663"/>
      <c r="AO548" s="708" t="str">
        <f>IF(OR(Table1[[#This Row],[Início Setup Envase]]="",Table1[[#This Row],[Final Setup Envase]]=""),"",Table1[[#This Row],[Final Setup Envase]]-Table1[[#This Row],[Início Setup Envase]])</f>
        <v/>
      </c>
      <c r="AP548" s="663"/>
      <c r="AQ548" s="663"/>
      <c r="AR548" s="270"/>
      <c r="AS548" s="270"/>
      <c r="AT548" s="270"/>
      <c r="AU548" s="270"/>
      <c r="AV548" s="270"/>
      <c r="AW548" s="270"/>
      <c r="AX548" s="270"/>
      <c r="AY548" s="270"/>
      <c r="AZ548" s="270"/>
      <c r="BA548" s="270">
        <f>IF(Table1[[#This Row],[Data de Início]]="","",YEAR(Table1[[#This Row],[Data de Início]]))</f>
        <v>2025</v>
      </c>
      <c r="BB548" s="270">
        <f>IF(Table1[[#This Row],[Data de Início]]="","",MONTH(Table1[[#This Row],[Data de Início]]))</f>
        <v>10</v>
      </c>
      <c r="BC548" s="270"/>
    </row>
    <row r="549" spans="1:55" ht="15" customHeight="1" x14ac:dyDescent="0.25">
      <c r="B549" s="470">
        <v>45940.645833333336</v>
      </c>
      <c r="C549" s="263">
        <v>45943.416666666664</v>
      </c>
      <c r="D549" s="264" cm="1">
        <f t="array" ref="D549">IFERROR(HorasUteisFabrica2Turnos(B549,C549), "")</f>
        <v>3.4999999998835847</v>
      </c>
      <c r="E549" s="265">
        <f t="shared" si="8"/>
        <v>806.00000002680883</v>
      </c>
      <c r="F549" s="266" t="s">
        <v>377</v>
      </c>
      <c r="G549" s="266" t="s">
        <v>712</v>
      </c>
      <c r="H549" s="266"/>
      <c r="I549" s="269" t="s">
        <v>866</v>
      </c>
      <c r="J549" s="267" t="s">
        <v>15</v>
      </c>
      <c r="K549" s="268">
        <v>2821</v>
      </c>
      <c r="L549" s="269" t="s">
        <v>996</v>
      </c>
      <c r="M549" s="270" t="str">
        <f>IFERROR(INDEX([1]Produtos!$C:$C,MATCH(L549,[1]Produtos!$B:$B,0)), "-")</f>
        <v>ESCOVA DE CHUVEIRO CHEIRINHO DE MELÂNCIA</v>
      </c>
      <c r="N549" s="510">
        <f>IFERROR(INDEX([1]Produtos!$E:$E,MATCH(L549,[1]Produtos!$B:$B,0)), "-")</f>
        <v>100</v>
      </c>
      <c r="O549" s="270" t="str">
        <f>IFERROR(INDEX([1]Produtos!$F:$F,MATCH(L549,[1]Produtos!$B:$B,0)), "-")</f>
        <v>ml</v>
      </c>
      <c r="P549" s="270" t="str">
        <f>IFERROR(INDEX([1]Produtos!$G:$G,MATCH(L549,[1]Produtos!$B:$B,0)), "-")</f>
        <v>ISA BEAUTY</v>
      </c>
      <c r="Q549" s="270" t="str">
        <f>IFERROR(INDEX([1]Produtos!$H:$H,MATCH(L549,[1]Produtos!$B:$B,0)), "-")</f>
        <v>CAPILAR</v>
      </c>
      <c r="R549" s="270" t="str">
        <f>IFERROR(INDEX([1]Produtos!$I:$I,MATCH(L549,[1]Produtos!$B:$B,0)), "-")</f>
        <v>ESCOVA PROGRESSIVA</v>
      </c>
      <c r="S549" s="270" t="str">
        <f>IFERROR(INDEX([1]Produtos!$J:$J,MATCH(L549,[1]Produtos!$B:$B,0)), "-")</f>
        <v>LÍQUIDO ESPESSO</v>
      </c>
      <c r="T549" s="475"/>
      <c r="U549" s="270"/>
      <c r="V549" s="270"/>
      <c r="W549" s="270"/>
      <c r="X549" s="270"/>
      <c r="Y549" s="270"/>
      <c r="Z549" s="270"/>
      <c r="AA549" s="270"/>
      <c r="AB549" s="270"/>
      <c r="AC549" s="270"/>
      <c r="AD549" s="270"/>
      <c r="AE549" s="270"/>
      <c r="AF549" s="270"/>
      <c r="AG549" s="270"/>
      <c r="AH549" s="270"/>
      <c r="AI549" s="270"/>
      <c r="AJ549" s="270"/>
      <c r="AK549" s="270"/>
      <c r="AL549" s="270"/>
      <c r="AM549" s="663"/>
      <c r="AN549" s="663"/>
      <c r="AO549" s="708" t="str">
        <f>IF(OR(Table1[[#This Row],[Início Setup Envase]]="",Table1[[#This Row],[Final Setup Envase]]=""),"",Table1[[#This Row],[Final Setup Envase]]-Table1[[#This Row],[Início Setup Envase]])</f>
        <v/>
      </c>
      <c r="AP549" s="663"/>
      <c r="AQ549" s="663"/>
      <c r="AR549" s="270"/>
      <c r="AS549" s="270"/>
      <c r="AT549" s="270"/>
      <c r="AU549" s="270"/>
      <c r="AV549" s="270"/>
      <c r="AW549" s="270"/>
      <c r="AX549" s="270"/>
      <c r="AY549" s="270"/>
      <c r="AZ549" s="270"/>
      <c r="BA549" s="270">
        <f>IF(Table1[[#This Row],[Data de Início]]="","",YEAR(Table1[[#This Row],[Data de Início]]))</f>
        <v>2025</v>
      </c>
      <c r="BB549" s="270">
        <f>IF(Table1[[#This Row],[Data de Início]]="","",MONTH(Table1[[#This Row],[Data de Início]]))</f>
        <v>10</v>
      </c>
      <c r="BC549" s="270"/>
    </row>
    <row r="550" spans="1:55" ht="15" customHeight="1" x14ac:dyDescent="0.25">
      <c r="B550" s="470">
        <v>45943.45</v>
      </c>
      <c r="C550" s="263">
        <v>45943.546527777777</v>
      </c>
      <c r="D550" s="264" cm="1">
        <f t="array" ref="D550">IFERROR(HorasUteisFabrica2Turnos(B550,C550), "")</f>
        <v>1.3166666667093523</v>
      </c>
      <c r="E550" s="265">
        <f t="shared" si="8"/>
        <v>1932.151898671538</v>
      </c>
      <c r="F550" s="263" t="s">
        <v>378</v>
      </c>
      <c r="G550" s="266" t="s">
        <v>799</v>
      </c>
      <c r="H550" s="263"/>
      <c r="I550" s="263" t="s">
        <v>874</v>
      </c>
      <c r="J550" s="263" t="s">
        <v>15</v>
      </c>
      <c r="K550" s="268">
        <v>2544</v>
      </c>
      <c r="L550" s="552" t="s">
        <v>214</v>
      </c>
      <c r="M550" s="270" t="str">
        <f>IFERROR(INDEX([1]Produtos!$C:$C,MATCH(L550,[1]Produtos!$B:$B,0)), "-")</f>
        <v>BODY SPLASH ECLIPSE DOURADO</v>
      </c>
      <c r="N550" s="510">
        <f>IFERROR(INDEX([1]Produtos!$E:$E,MATCH(L550,[1]Produtos!$B:$B,0)), "-")</f>
        <v>220</v>
      </c>
      <c r="O550" s="270" t="str">
        <f>IFERROR(INDEX([1]Produtos!$F:$F,MATCH(L550,[1]Produtos!$B:$B,0)), "-")</f>
        <v>ml</v>
      </c>
      <c r="P550" s="270" t="str">
        <f>IFERROR(INDEX([1]Produtos!$G:$G,MATCH(L550,[1]Produtos!$B:$B,0)), "-")</f>
        <v>MISS RÔSE</v>
      </c>
      <c r="Q550" s="270" t="str">
        <f>IFERROR(INDEX([1]Produtos!$H:$H,MATCH(L550,[1]Produtos!$B:$B,0)), "-")</f>
        <v>PERFUMARIA</v>
      </c>
      <c r="R550" s="270" t="str">
        <f>IFERROR(INDEX([1]Produtos!$I:$I,MATCH(L550,[1]Produtos!$B:$B,0)), "-")</f>
        <v>BODY SPLASH</v>
      </c>
      <c r="S550" s="270" t="str">
        <f>IFERROR(INDEX([1]Produtos!$J:$J,MATCH(L550,[1]Produtos!$B:$B,0)), "-")</f>
        <v>LÍQUIDO</v>
      </c>
      <c r="T550" s="476"/>
      <c r="U550" s="270"/>
      <c r="V550" s="270"/>
      <c r="W550" s="270"/>
      <c r="X550" s="270"/>
      <c r="Y550" s="270"/>
      <c r="Z550" s="270"/>
      <c r="AA550" s="270"/>
      <c r="AB550" s="270"/>
      <c r="AC550" s="270"/>
      <c r="AD550" s="270"/>
      <c r="AE550" s="270"/>
      <c r="AF550" s="270"/>
      <c r="AG550" s="270"/>
      <c r="AH550" s="270"/>
      <c r="AI550" s="270"/>
      <c r="AJ550" s="270"/>
      <c r="AK550" s="270"/>
      <c r="AL550" s="270"/>
      <c r="AM550" s="663"/>
      <c r="AN550" s="663"/>
      <c r="AO550" s="708" t="str">
        <f>IF(OR(Table1[[#This Row],[Início Setup Envase]]="",Table1[[#This Row],[Final Setup Envase]]=""),"",Table1[[#This Row],[Final Setup Envase]]-Table1[[#This Row],[Início Setup Envase]])</f>
        <v/>
      </c>
      <c r="AP550" s="663"/>
      <c r="AQ550" s="663"/>
      <c r="AR550" s="270"/>
      <c r="AS550" s="270"/>
      <c r="AT550" s="270"/>
      <c r="AU550" s="270"/>
      <c r="AV550" s="270"/>
      <c r="AW550" s="270"/>
      <c r="AX550" s="270"/>
      <c r="AY550" s="270"/>
      <c r="AZ550" s="270"/>
      <c r="BA550" s="270">
        <f>IF(Table1[[#This Row],[Data de Início]]="","",YEAR(Table1[[#This Row],[Data de Início]]))</f>
        <v>2025</v>
      </c>
      <c r="BB550" s="270">
        <f>IF(Table1[[#This Row],[Data de Início]]="","",MONTH(Table1[[#This Row],[Data de Início]]))</f>
        <v>10</v>
      </c>
      <c r="BC550" s="270"/>
    </row>
    <row r="551" spans="1:55" ht="15" customHeight="1" x14ac:dyDescent="0.25">
      <c r="B551" s="470">
        <v>45943.546527777777</v>
      </c>
      <c r="C551" s="263">
        <v>45943.657638888886</v>
      </c>
      <c r="D551" s="264" cm="1">
        <f t="array" ref="D551">IFERROR(HorasUteisFabrica2Turnos(B551,C551), "")</f>
        <v>2.6666666666278616</v>
      </c>
      <c r="E551" s="265">
        <f t="shared" si="8"/>
        <v>954.00000001388253</v>
      </c>
      <c r="F551" s="266" t="s">
        <v>378</v>
      </c>
      <c r="G551" s="266" t="s">
        <v>799</v>
      </c>
      <c r="H551" s="266"/>
      <c r="I551" s="480" t="s">
        <v>873</v>
      </c>
      <c r="J551" s="267" t="s">
        <v>15</v>
      </c>
      <c r="K551" s="268">
        <v>2544</v>
      </c>
      <c r="L551" s="269" t="s">
        <v>214</v>
      </c>
      <c r="M551" s="270" t="str">
        <f>IFERROR(INDEX([1]Produtos!$C:$C,MATCH(L551,[1]Produtos!$B:$B,0)), "-")</f>
        <v>BODY SPLASH ECLIPSE DOURADO</v>
      </c>
      <c r="N551" s="510">
        <f>IFERROR(INDEX([1]Produtos!$E:$E,MATCH(L551,[1]Produtos!$B:$B,0)), "-")</f>
        <v>220</v>
      </c>
      <c r="O551" s="270" t="str">
        <f>IFERROR(INDEX([1]Produtos!$F:$F,MATCH(L551,[1]Produtos!$B:$B,0)), "-")</f>
        <v>ml</v>
      </c>
      <c r="P551" s="270" t="str">
        <f>IFERROR(INDEX([1]Produtos!$G:$G,MATCH(L551,[1]Produtos!$B:$B,0)), "-")</f>
        <v>MISS RÔSE</v>
      </c>
      <c r="Q551" s="270" t="str">
        <f>IFERROR(INDEX([1]Produtos!$H:$H,MATCH(L551,[1]Produtos!$B:$B,0)), "-")</f>
        <v>PERFUMARIA</v>
      </c>
      <c r="R551" s="270" t="str">
        <f>IFERROR(INDEX([1]Produtos!$I:$I,MATCH(L551,[1]Produtos!$B:$B,0)), "-")</f>
        <v>BODY SPLASH</v>
      </c>
      <c r="S551" s="270" t="str">
        <f>IFERROR(INDEX([1]Produtos!$J:$J,MATCH(L551,[1]Produtos!$B:$B,0)), "-")</f>
        <v>LÍQUIDO</v>
      </c>
      <c r="T551" s="475"/>
      <c r="U551" s="270"/>
      <c r="V551" s="270"/>
      <c r="W551" s="270"/>
      <c r="X551" s="270"/>
      <c r="Y551" s="270"/>
      <c r="Z551" s="270"/>
      <c r="AA551" s="270"/>
      <c r="AB551" s="270"/>
      <c r="AC551" s="270"/>
      <c r="AD551" s="270"/>
      <c r="AE551" s="270"/>
      <c r="AF551" s="270"/>
      <c r="AG551" s="270"/>
      <c r="AH551" s="270"/>
      <c r="AI551" s="270"/>
      <c r="AJ551" s="270"/>
      <c r="AK551" s="270"/>
      <c r="AL551" s="270"/>
      <c r="AM551" s="663"/>
      <c r="AN551" s="663"/>
      <c r="AO551" s="708" t="str">
        <f>IF(OR(Table1[[#This Row],[Início Setup Envase]]="",Table1[[#This Row],[Final Setup Envase]]=""),"",Table1[[#This Row],[Final Setup Envase]]-Table1[[#This Row],[Início Setup Envase]])</f>
        <v/>
      </c>
      <c r="AP551" s="663"/>
      <c r="AQ551" s="663"/>
      <c r="AR551" s="270"/>
      <c r="AS551" s="270"/>
      <c r="AT551" s="270"/>
      <c r="AU551" s="270"/>
      <c r="AV551" s="270"/>
      <c r="AW551" s="270"/>
      <c r="AX551" s="270"/>
      <c r="AY551" s="270"/>
      <c r="AZ551" s="270"/>
      <c r="BA551" s="270">
        <f>IF(Table1[[#This Row],[Data de Início]]="","",YEAR(Table1[[#This Row],[Data de Início]]))</f>
        <v>2025</v>
      </c>
      <c r="BB551" s="270">
        <f>IF(Table1[[#This Row],[Data de Início]]="","",MONTH(Table1[[#This Row],[Data de Início]]))</f>
        <v>10</v>
      </c>
      <c r="BC551" s="270"/>
    </row>
    <row r="552" spans="1:55" ht="15" customHeight="1" x14ac:dyDescent="0.25">
      <c r="A552" s="492"/>
      <c r="B552" s="489">
        <v>45943.618055555555</v>
      </c>
      <c r="C552" s="490">
        <v>45944.498611111114</v>
      </c>
      <c r="D552" s="477" cm="1">
        <f t="array" ref="D552">IFERROR(HorasUteisFabrica2Turnos(B552,C552), "")</f>
        <v>7.1333333335351199</v>
      </c>
      <c r="E552" s="478">
        <f t="shared" si="8"/>
        <v>150.28037382752458</v>
      </c>
      <c r="F552" s="479" t="s">
        <v>378</v>
      </c>
      <c r="G552" s="479" t="s">
        <v>909</v>
      </c>
      <c r="H552" s="479"/>
      <c r="I552" s="480" t="s">
        <v>885</v>
      </c>
      <c r="J552" s="481" t="s">
        <v>15</v>
      </c>
      <c r="K552" s="482">
        <v>1072</v>
      </c>
      <c r="L552" s="480" t="s">
        <v>983</v>
      </c>
      <c r="M552" s="270" t="str">
        <f>IFERROR(INDEX([1]Produtos!$C:$C,MATCH(L552,[1]Produtos!$B:$B,0)), "-")</f>
        <v>BASE PARA PERFUME FINA BASE 500ml</v>
      </c>
      <c r="N552" s="510">
        <f>IFERROR(INDEX([1]Produtos!$E:$E,MATCH(L552,[1]Produtos!$B:$B,0)), "-")</f>
        <v>500</v>
      </c>
      <c r="O552" s="483" t="str">
        <f>IFERROR(INDEX([1]Produtos!$F:$F,MATCH(L552,[1]Produtos!$B:$B,0)), "-")</f>
        <v>ml</v>
      </c>
      <c r="P552" s="483" t="str">
        <f>IFERROR(INDEX([1]Produtos!$G:$G,MATCH(L552,[1]Produtos!$B:$B,0)), "-")</f>
        <v>KURYOS</v>
      </c>
      <c r="Q552" s="483" t="str">
        <f>IFERROR(INDEX([1]Produtos!$H:$H,MATCH(L552,[1]Produtos!$B:$B,0)), "-")</f>
        <v>BASE</v>
      </c>
      <c r="R552" s="483" t="str">
        <f>IFERROR(INDEX([1]Produtos!$I:$I,MATCH(L552,[1]Produtos!$B:$B,0)), "-")</f>
        <v>BASE</v>
      </c>
      <c r="S552" s="483" t="str">
        <f>IFERROR(INDEX([1]Produtos!$J:$J,MATCH(L552,[1]Produtos!$B:$B,0)), "-")</f>
        <v>LÍQUIDO</v>
      </c>
      <c r="T552" s="484"/>
      <c r="U552" s="270"/>
      <c r="V552" s="270"/>
      <c r="W552" s="270"/>
      <c r="X552" s="270"/>
      <c r="Y552" s="270"/>
      <c r="Z552" s="270"/>
      <c r="AA552" s="270"/>
      <c r="AB552" s="270"/>
      <c r="AC552" s="270"/>
      <c r="AD552" s="270"/>
      <c r="AE552" s="270"/>
      <c r="AF552" s="270"/>
      <c r="AG552" s="270"/>
      <c r="AH552" s="270"/>
      <c r="AI552" s="270"/>
      <c r="AJ552" s="270"/>
      <c r="AK552" s="270"/>
      <c r="AL552" s="270"/>
      <c r="AM552" s="663"/>
      <c r="AN552" s="663"/>
      <c r="AO552" s="708" t="str">
        <f>IF(OR(Table1[[#This Row],[Início Setup Envase]]="",Table1[[#This Row],[Final Setup Envase]]=""),"",Table1[[#This Row],[Final Setup Envase]]-Table1[[#This Row],[Início Setup Envase]])</f>
        <v/>
      </c>
      <c r="AP552" s="663"/>
      <c r="AQ552" s="663"/>
      <c r="AR552" s="270"/>
      <c r="AS552" s="270"/>
      <c r="AT552" s="270"/>
      <c r="AU552" s="270"/>
      <c r="AV552" s="270"/>
      <c r="AW552" s="270"/>
      <c r="AX552" s="270"/>
      <c r="AY552" s="270"/>
      <c r="AZ552" s="270"/>
      <c r="BA552" s="270">
        <f>IF(Table1[[#This Row],[Data de Início]]="","",YEAR(Table1[[#This Row],[Data de Início]]))</f>
        <v>2025</v>
      </c>
      <c r="BB552" s="270">
        <f>IF(Table1[[#This Row],[Data de Início]]="","",MONTH(Table1[[#This Row],[Data de Início]]))</f>
        <v>10</v>
      </c>
      <c r="BC552" s="270"/>
    </row>
    <row r="553" spans="1:55" ht="15" customHeight="1" x14ac:dyDescent="0.25">
      <c r="B553" s="489">
        <v>45943.657638888886</v>
      </c>
      <c r="C553" s="490">
        <v>45944.319444444445</v>
      </c>
      <c r="D553" s="477" cm="1">
        <f t="array" ref="D553">IFERROR(HorasUteisFabrica2Turnos(B553,C553), "")</f>
        <v>1.8833333335351199</v>
      </c>
      <c r="E553" s="478">
        <f t="shared" si="8"/>
        <v>458.76106189774947</v>
      </c>
      <c r="F553" s="479" t="s">
        <v>378</v>
      </c>
      <c r="G553" s="266" t="s">
        <v>799</v>
      </c>
      <c r="H553" s="479"/>
      <c r="I553" s="480" t="s">
        <v>872</v>
      </c>
      <c r="J553" s="481" t="s">
        <v>15</v>
      </c>
      <c r="K553" s="482">
        <v>864</v>
      </c>
      <c r="L553" s="269" t="s">
        <v>214</v>
      </c>
      <c r="M553" s="270" t="str">
        <f>IFERROR(INDEX([1]Produtos!$C:$C,MATCH(L553,[1]Produtos!$B:$B,0)), "-")</f>
        <v>BODY SPLASH ECLIPSE DOURADO</v>
      </c>
      <c r="N553" s="511">
        <f>IFERROR(INDEX([1]Produtos!$E:$E,MATCH(L553,[1]Produtos!$B:$B,0)), "-")</f>
        <v>220</v>
      </c>
      <c r="O553" s="483" t="str">
        <f>IFERROR(INDEX([1]Produtos!$F:$F,MATCH(L553,[1]Produtos!$B:$B,0)), "-")</f>
        <v>ml</v>
      </c>
      <c r="P553" s="483" t="str">
        <f>IFERROR(INDEX([1]Produtos!$G:$G,MATCH(L553,[1]Produtos!$B:$B,0)), "-")</f>
        <v>MISS RÔSE</v>
      </c>
      <c r="Q553" s="483" t="str">
        <f>IFERROR(INDEX([1]Produtos!$H:$H,MATCH(L553,[1]Produtos!$B:$B,0)), "-")</f>
        <v>PERFUMARIA</v>
      </c>
      <c r="R553" s="483" t="str">
        <f>IFERROR(INDEX([1]Produtos!$I:$I,MATCH(L553,[1]Produtos!$B:$B,0)), "-")</f>
        <v>BODY SPLASH</v>
      </c>
      <c r="S553" s="483" t="str">
        <f>IFERROR(INDEX([1]Produtos!$J:$J,MATCH(L553,[1]Produtos!$B:$B,0)), "-")</f>
        <v>LÍQUIDO</v>
      </c>
      <c r="T553" s="484"/>
      <c r="U553" s="270"/>
      <c r="V553" s="270"/>
      <c r="W553" s="270"/>
      <c r="X553" s="270"/>
      <c r="Y553" s="270"/>
      <c r="Z553" s="270"/>
      <c r="AA553" s="270"/>
      <c r="AB553" s="270"/>
      <c r="AC553" s="270"/>
      <c r="AD553" s="270"/>
      <c r="AE553" s="270"/>
      <c r="AF553" s="270"/>
      <c r="AG553" s="270"/>
      <c r="AH553" s="270"/>
      <c r="AI553" s="270"/>
      <c r="AJ553" s="270"/>
      <c r="AK553" s="270"/>
      <c r="AL553" s="270"/>
      <c r="AM553" s="663"/>
      <c r="AN553" s="663"/>
      <c r="AO553" s="708" t="str">
        <f>IF(OR(Table1[[#This Row],[Início Setup Envase]]="",Table1[[#This Row],[Final Setup Envase]]=""),"",Table1[[#This Row],[Final Setup Envase]]-Table1[[#This Row],[Início Setup Envase]])</f>
        <v/>
      </c>
      <c r="AP553" s="663"/>
      <c r="AQ553" s="663"/>
      <c r="AR553" s="270"/>
      <c r="AS553" s="270"/>
      <c r="AT553" s="270"/>
      <c r="AU553" s="270"/>
      <c r="AV553" s="270"/>
      <c r="AW553" s="270"/>
      <c r="AX553" s="270"/>
      <c r="AY553" s="270"/>
      <c r="AZ553" s="270"/>
      <c r="BA553" s="270">
        <f>IF(Table1[[#This Row],[Data de Início]]="","",YEAR(Table1[[#This Row],[Data de Início]]))</f>
        <v>2025</v>
      </c>
      <c r="BB553" s="270">
        <f>IF(Table1[[#This Row],[Data de Início]]="","",MONTH(Table1[[#This Row],[Data de Início]]))</f>
        <v>10</v>
      </c>
      <c r="BC553" s="270"/>
    </row>
    <row r="554" spans="1:55" ht="15" customHeight="1" x14ac:dyDescent="0.25">
      <c r="B554" s="489">
        <v>45944.319444444445</v>
      </c>
      <c r="C554" s="490">
        <v>45944.645833333336</v>
      </c>
      <c r="D554" s="477" cm="1">
        <f t="array" ref="D554">IFERROR(HorasUteisFabrica2Turnos(B554,C554), "")</f>
        <v>6.8333333333721384</v>
      </c>
      <c r="E554" s="478">
        <f t="shared" si="8"/>
        <v>676.09756097177035</v>
      </c>
      <c r="F554" s="479" t="s">
        <v>377</v>
      </c>
      <c r="G554" s="479" t="s">
        <v>776</v>
      </c>
      <c r="H554" s="479"/>
      <c r="I554" s="480" t="s">
        <v>892</v>
      </c>
      <c r="J554" s="481" t="s">
        <v>15</v>
      </c>
      <c r="K554" s="268">
        <v>4620</v>
      </c>
      <c r="L554" s="269" t="s">
        <v>768</v>
      </c>
      <c r="M554" s="270" t="str">
        <f>IFERROR(INDEX([1]Produtos!$C:$C,MATCH(L554,[1]Produtos!$B:$B,0)), "-")</f>
        <v>BODY SPLASH DAPOP HONEY BLOOM</v>
      </c>
      <c r="N554" s="510">
        <f>IFERROR(INDEX([1]Produtos!$E:$E,MATCH(L554,[1]Produtos!$B:$B,0)), "-")</f>
        <v>120</v>
      </c>
      <c r="O554" s="483" t="str">
        <f>IFERROR(INDEX([1]Produtos!$F:$F,MATCH(L554,[1]Produtos!$B:$B,0)), "-")</f>
        <v>ml</v>
      </c>
      <c r="P554" s="483" t="str">
        <f>IFERROR(INDEX([1]Produtos!$G:$G,MATCH(L554,[1]Produtos!$B:$B,0)), "-")</f>
        <v>DAPOP</v>
      </c>
      <c r="Q554" s="483" t="str">
        <f>IFERROR(INDEX([1]Produtos!$H:$H,MATCH(L554,[1]Produtos!$B:$B,0)), "-")</f>
        <v>PERFUMARIA</v>
      </c>
      <c r="R554" s="483" t="str">
        <f>IFERROR(INDEX([1]Produtos!$I:$I,MATCH(L554,[1]Produtos!$B:$B,0)), "-")</f>
        <v>BODY SPLASH</v>
      </c>
      <c r="S554" s="483" t="str">
        <f>IFERROR(INDEX([1]Produtos!$J:$J,MATCH(L554,[1]Produtos!$B:$B,0)), "-")</f>
        <v>LÍQUIDO</v>
      </c>
      <c r="T554" s="484"/>
      <c r="U554" s="270"/>
      <c r="V554" s="270"/>
      <c r="W554" s="270"/>
      <c r="X554" s="270"/>
      <c r="Y554" s="270"/>
      <c r="Z554" s="270"/>
      <c r="AA554" s="270"/>
      <c r="AB554" s="270"/>
      <c r="AC554" s="270"/>
      <c r="AD554" s="270"/>
      <c r="AE554" s="270"/>
      <c r="AF554" s="270"/>
      <c r="AG554" s="270"/>
      <c r="AH554" s="270"/>
      <c r="AI554" s="270"/>
      <c r="AJ554" s="270"/>
      <c r="AK554" s="270"/>
      <c r="AL554" s="270"/>
      <c r="AM554" s="663"/>
      <c r="AN554" s="663"/>
      <c r="AO554" s="708" t="str">
        <f>IF(OR(Table1[[#This Row],[Início Setup Envase]]="",Table1[[#This Row],[Final Setup Envase]]=""),"",Table1[[#This Row],[Final Setup Envase]]-Table1[[#This Row],[Início Setup Envase]])</f>
        <v/>
      </c>
      <c r="AP554" s="663"/>
      <c r="AQ554" s="663"/>
      <c r="AR554" s="270"/>
      <c r="AS554" s="270"/>
      <c r="AT554" s="270"/>
      <c r="AU554" s="270"/>
      <c r="AV554" s="270"/>
      <c r="AW554" s="270"/>
      <c r="AX554" s="270"/>
      <c r="AY554" s="270"/>
      <c r="AZ554" s="270"/>
      <c r="BA554" s="270">
        <f>IF(Table1[[#This Row],[Data de Início]]="","",YEAR(Table1[[#This Row],[Data de Início]]))</f>
        <v>2025</v>
      </c>
      <c r="BB554" s="270">
        <f>IF(Table1[[#This Row],[Data de Início]]="","",MONTH(Table1[[#This Row],[Data de Início]]))</f>
        <v>10</v>
      </c>
      <c r="BC554" s="270"/>
    </row>
    <row r="555" spans="1:55" ht="15" customHeight="1" x14ac:dyDescent="0.25">
      <c r="B555" s="470">
        <v>45944.541666666664</v>
      </c>
      <c r="C555" s="263">
        <v>45945.38958333333</v>
      </c>
      <c r="D555" s="477" cm="1">
        <f t="array" ref="D555">IFERROR(HorasUteisFabrica2Turnos(B555,C555), "")</f>
        <v>6.3500000000931323</v>
      </c>
      <c r="E555" s="478">
        <f t="shared" si="8"/>
        <v>165.03937007631961</v>
      </c>
      <c r="F555" s="479" t="s">
        <v>378</v>
      </c>
      <c r="G555" s="479" t="s">
        <v>909</v>
      </c>
      <c r="H555" s="479"/>
      <c r="I555" s="269" t="s">
        <v>884</v>
      </c>
      <c r="J555" s="481" t="s">
        <v>15</v>
      </c>
      <c r="K555" s="268">
        <v>1048</v>
      </c>
      <c r="L555" s="269" t="s">
        <v>886</v>
      </c>
      <c r="M555" s="270" t="str">
        <f>IFERROR(INDEX([1]Produtos!$C:$C,MATCH(L555,[1]Produtos!$B:$B,0)), "-")</f>
        <v>BASE PARA PERFUME FINA BASE 1l</v>
      </c>
      <c r="N555" s="510">
        <f>IFERROR(INDEX([1]Produtos!$E:$E,MATCH(L555,[1]Produtos!$B:$B,0)), "-")</f>
        <v>1000</v>
      </c>
      <c r="O555" s="491" t="str">
        <f>IFERROR(INDEX([1]Produtos!$F:$F,MATCH(L555,[1]Produtos!$B:$B,0)), "-")</f>
        <v>ml</v>
      </c>
      <c r="P555" s="491" t="str">
        <f>IFERROR(INDEX([1]Produtos!$G:$G,MATCH(L555,[1]Produtos!$B:$B,0)), "-")</f>
        <v>KURYOS</v>
      </c>
      <c r="Q555" s="491" t="str">
        <f>IFERROR(INDEX([1]Produtos!$H:$H,MATCH(L555,[1]Produtos!$B:$B,0)), "-")</f>
        <v>BASE</v>
      </c>
      <c r="R555" s="483" t="str">
        <f>IFERROR(INDEX([1]Produtos!$I:$I,MATCH(L555,[1]Produtos!$B:$B,0)), "-")</f>
        <v>BASE</v>
      </c>
      <c r="S555" s="491" t="str">
        <f>IFERROR(INDEX([1]Produtos!$J:$J,MATCH(L555,[1]Produtos!$B:$B,0)), "-")</f>
        <v>LÍQUIDO</v>
      </c>
      <c r="T555" s="484"/>
      <c r="U555" s="270"/>
      <c r="V555" s="270"/>
      <c r="W555" s="270"/>
      <c r="X555" s="270"/>
      <c r="Y555" s="270"/>
      <c r="Z555" s="270"/>
      <c r="AA555" s="270"/>
      <c r="AB555" s="270"/>
      <c r="AC555" s="270"/>
      <c r="AD555" s="270"/>
      <c r="AE555" s="270"/>
      <c r="AF555" s="270"/>
      <c r="AG555" s="270"/>
      <c r="AH555" s="270"/>
      <c r="AI555" s="270"/>
      <c r="AJ555" s="270"/>
      <c r="AK555" s="270"/>
      <c r="AL555" s="270"/>
      <c r="AM555" s="663"/>
      <c r="AN555" s="663"/>
      <c r="AO555" s="708" t="str">
        <f>IF(OR(Table1[[#This Row],[Início Setup Envase]]="",Table1[[#This Row],[Final Setup Envase]]=""),"",Table1[[#This Row],[Final Setup Envase]]-Table1[[#This Row],[Início Setup Envase]])</f>
        <v/>
      </c>
      <c r="AP555" s="663"/>
      <c r="AQ555" s="663"/>
      <c r="AR555" s="270"/>
      <c r="AS555" s="270"/>
      <c r="AT555" s="270"/>
      <c r="AU555" s="270"/>
      <c r="AV555" s="270"/>
      <c r="AW555" s="270"/>
      <c r="AX555" s="270"/>
      <c r="AY555" s="270"/>
      <c r="AZ555" s="270"/>
      <c r="BA555" s="270">
        <f>IF(Table1[[#This Row],[Data de Início]]="","",YEAR(Table1[[#This Row],[Data de Início]]))</f>
        <v>2025</v>
      </c>
      <c r="BB555" s="270">
        <f>IF(Table1[[#This Row],[Data de Início]]="","",MONTH(Table1[[#This Row],[Data de Início]]))</f>
        <v>10</v>
      </c>
      <c r="BC555" s="270"/>
    </row>
    <row r="556" spans="1:55" ht="15" customHeight="1" x14ac:dyDescent="0.25">
      <c r="B556" s="470">
        <v>45944.645833333336</v>
      </c>
      <c r="C556" s="490">
        <v>45946.565972222219</v>
      </c>
      <c r="D556" s="477" cm="1">
        <f t="array" ref="D556">IFERROR(HorasUteisFabrica2Turnos(B556,C556), "")</f>
        <v>16.083333333430346</v>
      </c>
      <c r="E556" s="478">
        <f t="shared" si="8"/>
        <v>287.25388600862999</v>
      </c>
      <c r="F556" s="479" t="s">
        <v>377</v>
      </c>
      <c r="G556" s="479" t="s">
        <v>776</v>
      </c>
      <c r="H556" s="479"/>
      <c r="I556" s="480" t="s">
        <v>891</v>
      </c>
      <c r="J556" s="481" t="s">
        <v>15</v>
      </c>
      <c r="K556" s="268">
        <v>4620</v>
      </c>
      <c r="L556" s="269" t="s">
        <v>768</v>
      </c>
      <c r="M556" s="270" t="str">
        <f>IFERROR(INDEX([1]Produtos!$C:$C,MATCH(L556,[1]Produtos!$B:$B,0)), "-")</f>
        <v>BODY SPLASH DAPOP HONEY BLOOM</v>
      </c>
      <c r="N556" s="510">
        <f>IFERROR(INDEX([1]Produtos!$E:$E,MATCH(L556,[1]Produtos!$B:$B,0)), "-")</f>
        <v>120</v>
      </c>
      <c r="O556" s="483" t="str">
        <f>IFERROR(INDEX([1]Produtos!$F:$F,MATCH(L556,[1]Produtos!$B:$B,0)), "-")</f>
        <v>ml</v>
      </c>
      <c r="P556" s="483" t="str">
        <f>IFERROR(INDEX([1]Produtos!$G:$G,MATCH(L556,[1]Produtos!$B:$B,0)), "-")</f>
        <v>DAPOP</v>
      </c>
      <c r="Q556" s="483" t="str">
        <f>IFERROR(INDEX([1]Produtos!$H:$H,MATCH(L556,[1]Produtos!$B:$B,0)), "-")</f>
        <v>PERFUMARIA</v>
      </c>
      <c r="R556" s="483" t="str">
        <f>IFERROR(INDEX([1]Produtos!$I:$I,MATCH(L556,[1]Produtos!$B:$B,0)), "-")</f>
        <v>BODY SPLASH</v>
      </c>
      <c r="S556" s="483" t="str">
        <f>IFERROR(INDEX([1]Produtos!$J:$J,MATCH(L556,[1]Produtos!$B:$B,0)), "-")</f>
        <v>LÍQUIDO</v>
      </c>
      <c r="T556" s="484"/>
      <c r="U556" s="270"/>
      <c r="V556" s="270"/>
      <c r="W556" s="270"/>
      <c r="X556" s="270"/>
      <c r="Y556" s="270"/>
      <c r="Z556" s="270"/>
      <c r="AA556" s="270"/>
      <c r="AB556" s="270"/>
      <c r="AC556" s="270"/>
      <c r="AD556" s="270"/>
      <c r="AE556" s="270"/>
      <c r="AF556" s="270"/>
      <c r="AG556" s="270"/>
      <c r="AH556" s="270"/>
      <c r="AI556" s="270"/>
      <c r="AJ556" s="270"/>
      <c r="AK556" s="270"/>
      <c r="AL556" s="270"/>
      <c r="AM556" s="663"/>
      <c r="AN556" s="663"/>
      <c r="AO556" s="708" t="str">
        <f>IF(OR(Table1[[#This Row],[Início Setup Envase]]="",Table1[[#This Row],[Final Setup Envase]]=""),"",Table1[[#This Row],[Final Setup Envase]]-Table1[[#This Row],[Início Setup Envase]])</f>
        <v/>
      </c>
      <c r="AP556" s="663"/>
      <c r="AQ556" s="663"/>
      <c r="AR556" s="270"/>
      <c r="AS556" s="270"/>
      <c r="AT556" s="270"/>
      <c r="AU556" s="270"/>
      <c r="AV556" s="270"/>
      <c r="AW556" s="270"/>
      <c r="AX556" s="270"/>
      <c r="AY556" s="270"/>
      <c r="AZ556" s="270"/>
      <c r="BA556" s="270">
        <f>IF(Table1[[#This Row],[Data de Início]]="","",YEAR(Table1[[#This Row],[Data de Início]]))</f>
        <v>2025</v>
      </c>
      <c r="BB556" s="270">
        <f>IF(Table1[[#This Row],[Data de Início]]="","",MONTH(Table1[[#This Row],[Data de Início]]))</f>
        <v>10</v>
      </c>
      <c r="BC556" s="270"/>
    </row>
    <row r="557" spans="1:55" ht="15" customHeight="1" x14ac:dyDescent="0.25">
      <c r="B557" s="470">
        <v>45945.5625</v>
      </c>
      <c r="C557" s="490">
        <v>45946.340277777781</v>
      </c>
      <c r="D557" s="477" cm="1">
        <f t="array" ref="D557">IFERROR(HorasUteisFabrica2Turnos(B557,C557), "")</f>
        <v>4.6666666668606922</v>
      </c>
      <c r="E557" s="478">
        <f t="shared" si="8"/>
        <v>493.7142856937586</v>
      </c>
      <c r="F557" s="479" t="s">
        <v>378</v>
      </c>
      <c r="G557" s="266" t="s">
        <v>712</v>
      </c>
      <c r="H557" s="479"/>
      <c r="I557" s="269" t="s">
        <v>887</v>
      </c>
      <c r="J557" s="480" t="s">
        <v>15</v>
      </c>
      <c r="K557" s="466">
        <v>2304</v>
      </c>
      <c r="L557" s="269" t="s">
        <v>888</v>
      </c>
      <c r="M557" s="270" t="str">
        <f>IFERROR(INDEX([1]Produtos!$C:$C,MATCH(L557,[1]Produtos!$B:$B,0)), "-")</f>
        <v>GELEIA DE BANHO SAIND</v>
      </c>
      <c r="N557" s="511">
        <f>IFERROR(INDEX([1]Produtos!$E:$E,MATCH(L557,[1]Produtos!$B:$B,0)), "-")</f>
        <v>190</v>
      </c>
      <c r="O557" s="491" t="str">
        <f>IFERROR(INDEX([1]Produtos!$F:$F,MATCH(L557,[1]Produtos!$B:$B,0)), "-")</f>
        <v>ml</v>
      </c>
      <c r="P557" s="491" t="str">
        <f>IFERROR(INDEX([1]Produtos!$G:$G,MATCH(L557,[1]Produtos!$B:$B,0)), "-")</f>
        <v>ISA BEAUTY</v>
      </c>
      <c r="Q557" s="491" t="str">
        <f>IFERROR(INDEX([1]Produtos!$H:$H,MATCH(L557,[1]Produtos!$B:$B,0)), "-")</f>
        <v>CORPORAL</v>
      </c>
      <c r="R557" s="483" t="str">
        <f>IFERROR(INDEX([1]Produtos!$I:$I,MATCH(L557,[1]Produtos!$B:$B,0)), "-")</f>
        <v>SABONETE</v>
      </c>
      <c r="S557" s="491" t="str">
        <f>IFERROR(INDEX([1]Produtos!$J:$J,MATCH(L557,[1]Produtos!$B:$B,0)), "-")</f>
        <v>VISCOSO</v>
      </c>
      <c r="T557" s="484"/>
      <c r="U557" s="270"/>
      <c r="V557" s="270"/>
      <c r="W557" s="270"/>
      <c r="X557" s="270"/>
      <c r="Y557" s="270"/>
      <c r="Z557" s="270"/>
      <c r="AA557" s="270"/>
      <c r="AB557" s="270"/>
      <c r="AC557" s="270"/>
      <c r="AD557" s="270"/>
      <c r="AE557" s="270"/>
      <c r="AF557" s="270"/>
      <c r="AG557" s="270"/>
      <c r="AH557" s="270"/>
      <c r="AI557" s="270"/>
      <c r="AJ557" s="270"/>
      <c r="AK557" s="270"/>
      <c r="AL557" s="270"/>
      <c r="AM557" s="663"/>
      <c r="AN557" s="663"/>
      <c r="AO557" s="708" t="str">
        <f>IF(OR(Table1[[#This Row],[Início Setup Envase]]="",Table1[[#This Row],[Final Setup Envase]]=""),"",Table1[[#This Row],[Final Setup Envase]]-Table1[[#This Row],[Início Setup Envase]])</f>
        <v/>
      </c>
      <c r="AP557" s="663"/>
      <c r="AQ557" s="663"/>
      <c r="AR557" s="270"/>
      <c r="AS557" s="270"/>
      <c r="AT557" s="270"/>
      <c r="AU557" s="270"/>
      <c r="AV557" s="270"/>
      <c r="AW557" s="270"/>
      <c r="AX557" s="270"/>
      <c r="AY557" s="270"/>
      <c r="AZ557" s="270"/>
      <c r="BA557" s="270">
        <f>IF(Table1[[#This Row],[Data de Início]]="","",YEAR(Table1[[#This Row],[Data de Início]]))</f>
        <v>2025</v>
      </c>
      <c r="BB557" s="270">
        <f>IF(Table1[[#This Row],[Data de Início]]="","",MONTH(Table1[[#This Row],[Data de Início]]))</f>
        <v>10</v>
      </c>
      <c r="BC557" s="270"/>
    </row>
    <row r="558" spans="1:55" ht="15" customHeight="1" x14ac:dyDescent="0.25">
      <c r="B558" s="489">
        <v>45945.565972222219</v>
      </c>
      <c r="C558" s="490">
        <v>45946.5625</v>
      </c>
      <c r="D558" s="477" cm="1">
        <f t="array" ref="D558">IFERROR(HorasUteisFabrica2Turnos(B558,C558), "")</f>
        <v>8.9166666668606922</v>
      </c>
      <c r="E558" s="478">
        <f t="shared" si="8"/>
        <v>518.1308411102209</v>
      </c>
      <c r="F558" s="479" t="s">
        <v>377</v>
      </c>
      <c r="G558" s="266" t="s">
        <v>776</v>
      </c>
      <c r="H558" s="479"/>
      <c r="I558" s="480" t="s">
        <v>890</v>
      </c>
      <c r="J558" s="481" t="s">
        <v>15</v>
      </c>
      <c r="K558" s="268">
        <v>4620</v>
      </c>
      <c r="L558" s="269" t="s">
        <v>768</v>
      </c>
      <c r="M558" s="270" t="str">
        <f>IFERROR(INDEX([1]Produtos!$C:$C,MATCH(L558,[1]Produtos!$B:$B,0)), "-")</f>
        <v>BODY SPLASH DAPOP HONEY BLOOM</v>
      </c>
      <c r="N558" s="511">
        <f>IFERROR(INDEX([1]Produtos!$E:$E,MATCH(L558,[1]Produtos!$B:$B,0)), "-")</f>
        <v>120</v>
      </c>
      <c r="O558" s="483" t="str">
        <f>IFERROR(INDEX([1]Produtos!$F:$F,MATCH(L558,[1]Produtos!$B:$B,0)), "-")</f>
        <v>ml</v>
      </c>
      <c r="P558" s="483" t="str">
        <f>IFERROR(INDEX([1]Produtos!$G:$G,MATCH(L558,[1]Produtos!$B:$B,0)), "-")</f>
        <v>DAPOP</v>
      </c>
      <c r="Q558" s="483" t="str">
        <f>IFERROR(INDEX([1]Produtos!$H:$H,MATCH(L558,[1]Produtos!$B:$B,0)), "-")</f>
        <v>PERFUMARIA</v>
      </c>
      <c r="R558" s="483" t="str">
        <f>IFERROR(INDEX([1]Produtos!$I:$I,MATCH(L558,[1]Produtos!$B:$B,0)), "-")</f>
        <v>BODY SPLASH</v>
      </c>
      <c r="S558" s="483" t="str">
        <f>IFERROR(INDEX([1]Produtos!$J:$J,MATCH(L558,[1]Produtos!$B:$B,0)), "-")</f>
        <v>LÍQUIDO</v>
      </c>
      <c r="T558" s="484"/>
      <c r="U558" s="270"/>
      <c r="V558" s="270"/>
      <c r="W558" s="270"/>
      <c r="X558" s="270"/>
      <c r="Y558" s="270"/>
      <c r="Z558" s="270"/>
      <c r="AA558" s="270"/>
      <c r="AB558" s="270"/>
      <c r="AC558" s="270"/>
      <c r="AD558" s="270"/>
      <c r="AE558" s="270"/>
      <c r="AF558" s="270"/>
      <c r="AG558" s="270"/>
      <c r="AH558" s="270"/>
      <c r="AI558" s="270"/>
      <c r="AJ558" s="270"/>
      <c r="AK558" s="270"/>
      <c r="AL558" s="270"/>
      <c r="AM558" s="663"/>
      <c r="AN558" s="663"/>
      <c r="AO558" s="708" t="str">
        <f>IF(OR(Table1[[#This Row],[Início Setup Envase]]="",Table1[[#This Row],[Final Setup Envase]]=""),"",Table1[[#This Row],[Final Setup Envase]]-Table1[[#This Row],[Início Setup Envase]])</f>
        <v/>
      </c>
      <c r="AP558" s="663"/>
      <c r="AQ558" s="663"/>
      <c r="AR558" s="270"/>
      <c r="AS558" s="270"/>
      <c r="AT558" s="270"/>
      <c r="AU558" s="270"/>
      <c r="AV558" s="270"/>
      <c r="AW558" s="270"/>
      <c r="AX558" s="270"/>
      <c r="AY558" s="270"/>
      <c r="AZ558" s="270"/>
      <c r="BA558" s="270">
        <f>IF(Table1[[#This Row],[Data de Início]]="","",YEAR(Table1[[#This Row],[Data de Início]]))</f>
        <v>2025</v>
      </c>
      <c r="BB558" s="270">
        <f>IF(Table1[[#This Row],[Data de Início]]="","",MONTH(Table1[[#This Row],[Data de Início]]))</f>
        <v>10</v>
      </c>
      <c r="BC558" s="270"/>
    </row>
    <row r="559" spans="1:55" ht="15" customHeight="1" x14ac:dyDescent="0.25">
      <c r="B559" s="470">
        <v>45946.340277777781</v>
      </c>
      <c r="C559" s="490">
        <v>45946.488194444442</v>
      </c>
      <c r="D559" s="477" cm="1">
        <f t="array" ref="D559">IFERROR(HorasUteisFabrica2Turnos(B559,C559), "")</f>
        <v>3.5499999998719431</v>
      </c>
      <c r="E559" s="478">
        <f t="shared" si="8"/>
        <v>696.33802819413268</v>
      </c>
      <c r="F559" s="479" t="s">
        <v>378</v>
      </c>
      <c r="G559" s="266" t="s">
        <v>712</v>
      </c>
      <c r="H559" s="479"/>
      <c r="I559" s="480" t="s">
        <v>889</v>
      </c>
      <c r="J559" s="481" t="s">
        <v>15</v>
      </c>
      <c r="K559" s="268">
        <v>2472</v>
      </c>
      <c r="L559" s="269" t="s">
        <v>888</v>
      </c>
      <c r="M559" s="270" t="str">
        <f>IFERROR(INDEX([1]Produtos!$C:$C,MATCH(L559,[1]Produtos!$B:$B,0)), "-")</f>
        <v>GELEIA DE BANHO SAIND</v>
      </c>
      <c r="N559" s="511">
        <f>IFERROR(INDEX([1]Produtos!$E:$E,MATCH(L559,[1]Produtos!$B:$B,0)), "-")</f>
        <v>190</v>
      </c>
      <c r="O559" s="491" t="str">
        <f>IFERROR(INDEX([1]Produtos!$F:$F,MATCH(L559,[1]Produtos!$B:$B,0)), "-")</f>
        <v>ml</v>
      </c>
      <c r="P559" s="491" t="str">
        <f>IFERROR(INDEX([1]Produtos!$G:$G,MATCH(L559,[1]Produtos!$B:$B,0)), "-")</f>
        <v>ISA BEAUTY</v>
      </c>
      <c r="Q559" s="491" t="str">
        <f>IFERROR(INDEX([1]Produtos!$H:$H,MATCH(L559,[1]Produtos!$B:$B,0)), "-")</f>
        <v>CORPORAL</v>
      </c>
      <c r="R559" s="483" t="str">
        <f>IFERROR(INDEX([1]Produtos!$I:$I,MATCH(L559,[1]Produtos!$B:$B,0)), "-")</f>
        <v>SABONETE</v>
      </c>
      <c r="S559" s="491" t="str">
        <f>IFERROR(INDEX([1]Produtos!$J:$J,MATCH(L559,[1]Produtos!$B:$B,0)), "-")</f>
        <v>VISCOSO</v>
      </c>
      <c r="T559" s="484"/>
      <c r="U559" s="270"/>
      <c r="V559" s="270"/>
      <c r="W559" s="270"/>
      <c r="X559" s="270"/>
      <c r="Y559" s="270"/>
      <c r="Z559" s="270"/>
      <c r="AA559" s="270"/>
      <c r="AB559" s="270"/>
      <c r="AC559" s="270"/>
      <c r="AD559" s="270"/>
      <c r="AE559" s="270"/>
      <c r="AF559" s="270"/>
      <c r="AG559" s="270"/>
      <c r="AH559" s="270"/>
      <c r="AI559" s="270"/>
      <c r="AJ559" s="270"/>
      <c r="AK559" s="270"/>
      <c r="AL559" s="270"/>
      <c r="AM559" s="663"/>
      <c r="AN559" s="663"/>
      <c r="AO559" s="708" t="str">
        <f>IF(OR(Table1[[#This Row],[Início Setup Envase]]="",Table1[[#This Row],[Final Setup Envase]]=""),"",Table1[[#This Row],[Final Setup Envase]]-Table1[[#This Row],[Início Setup Envase]])</f>
        <v/>
      </c>
      <c r="AP559" s="663"/>
      <c r="AQ559" s="663"/>
      <c r="AR559" s="270"/>
      <c r="AS559" s="270"/>
      <c r="AT559" s="270"/>
      <c r="AU559" s="270"/>
      <c r="AV559" s="270"/>
      <c r="AW559" s="270"/>
      <c r="AX559" s="270"/>
      <c r="AY559" s="270"/>
      <c r="AZ559" s="270"/>
      <c r="BA559" s="270">
        <f>IF(Table1[[#This Row],[Data de Início]]="","",YEAR(Table1[[#This Row],[Data de Início]]))</f>
        <v>2025</v>
      </c>
      <c r="BB559" s="270">
        <f>IF(Table1[[#This Row],[Data de Início]]="","",MONTH(Table1[[#This Row],[Data de Início]]))</f>
        <v>10</v>
      </c>
      <c r="BC559" s="270"/>
    </row>
    <row r="560" spans="1:55" ht="15" customHeight="1" x14ac:dyDescent="0.25">
      <c r="B560" s="470">
        <v>45946.552777777775</v>
      </c>
      <c r="C560" s="490">
        <v>45947.298611111109</v>
      </c>
      <c r="D560" s="477" cm="1">
        <f t="array" ref="D560">IFERROR(HorasUteisFabrica2Turnos(B560,C560), "")</f>
        <v>3.9000000001396984</v>
      </c>
      <c r="E560" s="478">
        <f t="shared" si="8"/>
        <v>639.99999997707516</v>
      </c>
      <c r="F560" s="479" t="s">
        <v>378</v>
      </c>
      <c r="G560" s="479" t="s">
        <v>712</v>
      </c>
      <c r="H560" s="479"/>
      <c r="I560" s="269" t="s">
        <v>897</v>
      </c>
      <c r="J560" s="481" t="s">
        <v>15</v>
      </c>
      <c r="K560" s="268">
        <v>2496</v>
      </c>
      <c r="L560" s="269" t="s">
        <v>896</v>
      </c>
      <c r="M560" s="270" t="str">
        <f>IFERROR(INDEX([1]Produtos!$C:$C,MATCH(L560,[1]Produtos!$B:$B,0)), "-")</f>
        <v>GELEIA DE BANHO JADE</v>
      </c>
      <c r="N560" s="511">
        <f>IFERROR(INDEX([1]Produtos!$E:$E,MATCH(L560,[1]Produtos!$B:$B,0)), "-")</f>
        <v>190</v>
      </c>
      <c r="O560" s="483" t="str">
        <f>IFERROR(INDEX([1]Produtos!$F:$F,MATCH(L560,[1]Produtos!$B:$B,0)), "-")</f>
        <v>ml</v>
      </c>
      <c r="P560" s="483" t="str">
        <f>IFERROR(INDEX([1]Produtos!$G:$G,MATCH(L560,[1]Produtos!$B:$B,0)), "-")</f>
        <v>ISA BEAUTY</v>
      </c>
      <c r="Q560" s="483" t="str">
        <f>IFERROR(INDEX([1]Produtos!$H:$H,MATCH(L560,[1]Produtos!$B:$B,0)), "-")</f>
        <v>CORPORAL</v>
      </c>
      <c r="R560" s="483" t="str">
        <f>IFERROR(INDEX([1]Produtos!$I:$I,MATCH(L560,[1]Produtos!$B:$B,0)), "-")</f>
        <v>SABONETE</v>
      </c>
      <c r="S560" s="483" t="str">
        <f>IFERROR(INDEX([1]Produtos!$J:$J,MATCH(L560,[1]Produtos!$B:$B,0)), "-")</f>
        <v>VISCOSO</v>
      </c>
      <c r="T560" s="484"/>
      <c r="U560" s="270"/>
      <c r="V560" s="270"/>
      <c r="W560" s="270"/>
      <c r="X560" s="270"/>
      <c r="Y560" s="270"/>
      <c r="Z560" s="270"/>
      <c r="AA560" s="270"/>
      <c r="AB560" s="270"/>
      <c r="AC560" s="270"/>
      <c r="AD560" s="270"/>
      <c r="AE560" s="270"/>
      <c r="AF560" s="270"/>
      <c r="AG560" s="270"/>
      <c r="AH560" s="270"/>
      <c r="AI560" s="270"/>
      <c r="AJ560" s="270"/>
      <c r="AK560" s="270"/>
      <c r="AL560" s="270"/>
      <c r="AM560" s="663"/>
      <c r="AN560" s="663"/>
      <c r="AO560" s="708" t="str">
        <f>IF(OR(Table1[[#This Row],[Início Setup Envase]]="",Table1[[#This Row],[Final Setup Envase]]=""),"",Table1[[#This Row],[Final Setup Envase]]-Table1[[#This Row],[Início Setup Envase]])</f>
        <v/>
      </c>
      <c r="AP560" s="663"/>
      <c r="AQ560" s="663"/>
      <c r="AR560" s="270"/>
      <c r="AS560" s="270"/>
      <c r="AT560" s="270"/>
      <c r="AU560" s="270"/>
      <c r="AV560" s="270"/>
      <c r="AW560" s="270"/>
      <c r="AX560" s="270"/>
      <c r="AY560" s="270"/>
      <c r="AZ560" s="270"/>
      <c r="BA560" s="270">
        <f>IF(Table1[[#This Row],[Data de Início]]="","",YEAR(Table1[[#This Row],[Data de Início]]))</f>
        <v>2025</v>
      </c>
      <c r="BB560" s="270">
        <f>IF(Table1[[#This Row],[Data de Início]]="","",MONTH(Table1[[#This Row],[Data de Início]]))</f>
        <v>10</v>
      </c>
      <c r="BC560" s="270"/>
    </row>
    <row r="561" spans="2:55" ht="15" customHeight="1" x14ac:dyDescent="0.25">
      <c r="B561" s="470">
        <v>45946.5625</v>
      </c>
      <c r="C561" s="490">
        <v>45947.625</v>
      </c>
      <c r="D561" s="477" cm="1">
        <f t="array" ref="D561">IFERROR(HorasUteisFabrica2Turnos(B561,C561), "")</f>
        <v>10.500000000116415</v>
      </c>
      <c r="E561" s="478">
        <f t="shared" si="8"/>
        <v>451.42857142356638</v>
      </c>
      <c r="F561" s="479" t="s">
        <v>377</v>
      </c>
      <c r="G561" s="479" t="s">
        <v>776</v>
      </c>
      <c r="H561" s="479"/>
      <c r="I561" s="480" t="s">
        <v>898</v>
      </c>
      <c r="J561" s="481" t="s">
        <v>15</v>
      </c>
      <c r="K561" s="268">
        <v>4740</v>
      </c>
      <c r="L561" s="269" t="s">
        <v>768</v>
      </c>
      <c r="M561" s="270" t="str">
        <f>IFERROR(INDEX([1]Produtos!$C:$C,MATCH(L561,[1]Produtos!$B:$B,0)), "-")</f>
        <v>BODY SPLASH DAPOP HONEY BLOOM</v>
      </c>
      <c r="N561" s="511">
        <f>IFERROR(INDEX([1]Produtos!$E:$E,MATCH(L561,[1]Produtos!$B:$B,0)), "-")</f>
        <v>120</v>
      </c>
      <c r="O561" s="483" t="str">
        <f>IFERROR(INDEX([1]Produtos!$F:$F,MATCH(L561,[1]Produtos!$B:$B,0)), "-")</f>
        <v>ml</v>
      </c>
      <c r="P561" s="483" t="str">
        <f>IFERROR(INDEX([1]Produtos!$G:$G,MATCH(L561,[1]Produtos!$B:$B,0)), "-")</f>
        <v>DAPOP</v>
      </c>
      <c r="Q561" s="483" t="str">
        <f>IFERROR(INDEX([1]Produtos!$H:$H,MATCH(L561,[1]Produtos!$B:$B,0)), "-")</f>
        <v>PERFUMARIA</v>
      </c>
      <c r="R561" s="483" t="str">
        <f>IFERROR(INDEX([1]Produtos!$I:$I,MATCH(L561,[1]Produtos!$B:$B,0)), "-")</f>
        <v>BODY SPLASH</v>
      </c>
      <c r="S561" s="483" t="str">
        <f>IFERROR(INDEX([1]Produtos!$J:$J,MATCH(L561,[1]Produtos!$B:$B,0)), "-")</f>
        <v>LÍQUIDO</v>
      </c>
      <c r="T561" s="484"/>
      <c r="U561" s="270"/>
      <c r="V561" s="270"/>
      <c r="W561" s="270"/>
      <c r="X561" s="270"/>
      <c r="Y561" s="270"/>
      <c r="Z561" s="270"/>
      <c r="AA561" s="270"/>
      <c r="AB561" s="270"/>
      <c r="AC561" s="270"/>
      <c r="AD561" s="270"/>
      <c r="AE561" s="270"/>
      <c r="AF561" s="270"/>
      <c r="AG561" s="270"/>
      <c r="AH561" s="270"/>
      <c r="AI561" s="270"/>
      <c r="AJ561" s="270"/>
      <c r="AK561" s="270"/>
      <c r="AL561" s="270"/>
      <c r="AM561" s="663"/>
      <c r="AN561" s="663"/>
      <c r="AO561" s="708" t="str">
        <f>IF(OR(Table1[[#This Row],[Início Setup Envase]]="",Table1[[#This Row],[Final Setup Envase]]=""),"",Table1[[#This Row],[Final Setup Envase]]-Table1[[#This Row],[Início Setup Envase]])</f>
        <v/>
      </c>
      <c r="AP561" s="663"/>
      <c r="AQ561" s="663"/>
      <c r="AR561" s="270"/>
      <c r="AS561" s="270"/>
      <c r="AT561" s="270"/>
      <c r="AU561" s="270"/>
      <c r="AV561" s="270"/>
      <c r="AW561" s="270"/>
      <c r="AX561" s="270"/>
      <c r="AY561" s="270"/>
      <c r="AZ561" s="270"/>
      <c r="BA561" s="270">
        <f>IF(Table1[[#This Row],[Data de Início]]="","",YEAR(Table1[[#This Row],[Data de Início]]))</f>
        <v>2025</v>
      </c>
      <c r="BB561" s="270">
        <f>IF(Table1[[#This Row],[Data de Início]]="","",MONTH(Table1[[#This Row],[Data de Início]]))</f>
        <v>10</v>
      </c>
      <c r="BC561" s="270"/>
    </row>
    <row r="562" spans="2:55" ht="15" customHeight="1" x14ac:dyDescent="0.25">
      <c r="B562" s="470">
        <v>45947.298611111109</v>
      </c>
      <c r="C562" s="490">
        <v>45947.470833333333</v>
      </c>
      <c r="D562" s="477" cm="1">
        <f t="array" ref="D562">IFERROR(HorasUteisFabrica2Turnos(B562,C562), "")</f>
        <v>4.1333333333604969</v>
      </c>
      <c r="E562" s="478">
        <f t="shared" si="8"/>
        <v>569.0322580607766</v>
      </c>
      <c r="F562" s="479" t="s">
        <v>378</v>
      </c>
      <c r="G562" s="266" t="s">
        <v>712</v>
      </c>
      <c r="H562" s="479"/>
      <c r="I562" s="480" t="s">
        <v>895</v>
      </c>
      <c r="J562" s="481" t="s">
        <v>15</v>
      </c>
      <c r="K562" s="466">
        <v>2352</v>
      </c>
      <c r="L562" s="269" t="s">
        <v>896</v>
      </c>
      <c r="M562" s="270" t="str">
        <f>IFERROR(INDEX([1]Produtos!$C:$C,MATCH(L562,[1]Produtos!$B:$B,0)), "-")</f>
        <v>GELEIA DE BANHO JADE</v>
      </c>
      <c r="N562" s="511">
        <f>IFERROR(INDEX([1]Produtos!$E:$E,MATCH(L562,[1]Produtos!$B:$B,0)), "-")</f>
        <v>190</v>
      </c>
      <c r="O562" s="483" t="str">
        <f>IFERROR(INDEX([1]Produtos!$F:$F,MATCH(L562,[1]Produtos!$B:$B,0)), "-")</f>
        <v>ml</v>
      </c>
      <c r="P562" s="483" t="str">
        <f>IFERROR(INDEX([1]Produtos!$G:$G,MATCH(L562,[1]Produtos!$B:$B,0)), "-")</f>
        <v>ISA BEAUTY</v>
      </c>
      <c r="Q562" s="483" t="str">
        <f>IFERROR(INDEX([1]Produtos!$H:$H,MATCH(L562,[1]Produtos!$B:$B,0)), "-")</f>
        <v>CORPORAL</v>
      </c>
      <c r="R562" s="483" t="str">
        <f>IFERROR(INDEX([1]Produtos!$I:$I,MATCH(L562,[1]Produtos!$B:$B,0)), "-")</f>
        <v>SABONETE</v>
      </c>
      <c r="S562" s="483" t="str">
        <f>IFERROR(INDEX([1]Produtos!$J:$J,MATCH(L562,[1]Produtos!$B:$B,0)), "-")</f>
        <v>VISCOSO</v>
      </c>
      <c r="T562" s="484"/>
      <c r="U562" s="270"/>
      <c r="V562" s="270"/>
      <c r="W562" s="270"/>
      <c r="X562" s="270"/>
      <c r="Y562" s="270"/>
      <c r="Z562" s="270"/>
      <c r="AA562" s="270"/>
      <c r="AB562" s="270"/>
      <c r="AC562" s="270"/>
      <c r="AD562" s="270"/>
      <c r="AE562" s="270"/>
      <c r="AF562" s="270"/>
      <c r="AG562" s="270"/>
      <c r="AH562" s="270"/>
      <c r="AI562" s="270"/>
      <c r="AJ562" s="270"/>
      <c r="AK562" s="270"/>
      <c r="AL562" s="270"/>
      <c r="AM562" s="663"/>
      <c r="AN562" s="663"/>
      <c r="AO562" s="708" t="str">
        <f>IF(OR(Table1[[#This Row],[Início Setup Envase]]="",Table1[[#This Row],[Final Setup Envase]]=""),"",Table1[[#This Row],[Final Setup Envase]]-Table1[[#This Row],[Início Setup Envase]])</f>
        <v/>
      </c>
      <c r="AP562" s="663"/>
      <c r="AQ562" s="663"/>
      <c r="AR562" s="270"/>
      <c r="AS562" s="270"/>
      <c r="AT562" s="270"/>
      <c r="AU562" s="270"/>
      <c r="AV562" s="270"/>
      <c r="AW562" s="270"/>
      <c r="AX562" s="270"/>
      <c r="AY562" s="270"/>
      <c r="AZ562" s="270"/>
      <c r="BA562" s="270">
        <f>IF(Table1[[#This Row],[Data de Início]]="","",YEAR(Table1[[#This Row],[Data de Início]]))</f>
        <v>2025</v>
      </c>
      <c r="BB562" s="270">
        <f>IF(Table1[[#This Row],[Data de Início]]="","",MONTH(Table1[[#This Row],[Data de Início]]))</f>
        <v>10</v>
      </c>
      <c r="BC562" s="270"/>
    </row>
    <row r="563" spans="2:55" ht="15" customHeight="1" x14ac:dyDescent="0.25">
      <c r="B563" s="470">
        <v>45947.486111111109</v>
      </c>
      <c r="C563" s="490">
        <v>45947.632638888892</v>
      </c>
      <c r="D563" s="477" cm="1">
        <f t="array" ref="D563">IFERROR(HorasUteisFabrica2Turnos(B563,C563), "")</f>
        <v>2.5166666667792015</v>
      </c>
      <c r="E563" s="478">
        <f t="shared" si="8"/>
        <v>953.64238406331731</v>
      </c>
      <c r="F563" s="479" t="s">
        <v>378</v>
      </c>
      <c r="G563" s="479" t="s">
        <v>712</v>
      </c>
      <c r="H563" s="479"/>
      <c r="I563" s="480" t="s">
        <v>899</v>
      </c>
      <c r="J563" s="481" t="s">
        <v>15</v>
      </c>
      <c r="K563" s="466">
        <v>2400</v>
      </c>
      <c r="L563" s="269" t="s">
        <v>900</v>
      </c>
      <c r="M563" s="270" t="str">
        <f>IFERROR(INDEX([1]Produtos!$C:$C,MATCH(L563,[1]Produtos!$B:$B,0)), "-")</f>
        <v>GELEIA DE BANHO ÁRABE</v>
      </c>
      <c r="N563" s="511">
        <f>IFERROR(INDEX([1]Produtos!$E:$E,MATCH(L563,[1]Produtos!$B:$B,0)), "-")</f>
        <v>190</v>
      </c>
      <c r="O563" s="483" t="str">
        <f>IFERROR(INDEX([1]Produtos!$F:$F,MATCH(L563,[1]Produtos!$B:$B,0)), "-")</f>
        <v>ml</v>
      </c>
      <c r="P563" s="483" t="str">
        <f>IFERROR(INDEX([1]Produtos!$G:$G,MATCH(L563,[1]Produtos!$B:$B,0)), "-")</f>
        <v>ISA BEAUTY</v>
      </c>
      <c r="Q563" s="483" t="str">
        <f>IFERROR(INDEX([1]Produtos!$H:$H,MATCH(L563,[1]Produtos!$B:$B,0)), "-")</f>
        <v>CORPORAL</v>
      </c>
      <c r="R563" s="483" t="str">
        <f>IFERROR(INDEX([1]Produtos!$I:$I,MATCH(L563,[1]Produtos!$B:$B,0)), "-")</f>
        <v>SABONETE</v>
      </c>
      <c r="S563" s="483" t="str">
        <f>IFERROR(INDEX([1]Produtos!$J:$J,MATCH(L563,[1]Produtos!$B:$B,0)), "-")</f>
        <v>VISCOSO</v>
      </c>
      <c r="T563" s="484"/>
      <c r="U563" s="270"/>
      <c r="V563" s="270"/>
      <c r="W563" s="270"/>
      <c r="X563" s="270"/>
      <c r="Y563" s="270"/>
      <c r="Z563" s="270"/>
      <c r="AA563" s="270"/>
      <c r="AB563" s="270"/>
      <c r="AC563" s="270"/>
      <c r="AD563" s="270"/>
      <c r="AE563" s="270"/>
      <c r="AF563" s="270"/>
      <c r="AG563" s="270"/>
      <c r="AH563" s="270"/>
      <c r="AI563" s="270"/>
      <c r="AJ563" s="270"/>
      <c r="AK563" s="270"/>
      <c r="AL563" s="270"/>
      <c r="AM563" s="663"/>
      <c r="AN563" s="663"/>
      <c r="AO563" s="708" t="str">
        <f>IF(OR(Table1[[#This Row],[Início Setup Envase]]="",Table1[[#This Row],[Final Setup Envase]]=""),"",Table1[[#This Row],[Final Setup Envase]]-Table1[[#This Row],[Início Setup Envase]])</f>
        <v/>
      </c>
      <c r="AP563" s="663"/>
      <c r="AQ563" s="663"/>
      <c r="AR563" s="270"/>
      <c r="AS563" s="270"/>
      <c r="AT563" s="270"/>
      <c r="AU563" s="270"/>
      <c r="AV563" s="270"/>
      <c r="AW563" s="270"/>
      <c r="AX563" s="270"/>
      <c r="AY563" s="270"/>
      <c r="AZ563" s="270"/>
      <c r="BA563" s="270">
        <f>IF(Table1[[#This Row],[Data de Início]]="","",YEAR(Table1[[#This Row],[Data de Início]]))</f>
        <v>2025</v>
      </c>
      <c r="BB563" s="270">
        <f>IF(Table1[[#This Row],[Data de Início]]="","",MONTH(Table1[[#This Row],[Data de Início]]))</f>
        <v>10</v>
      </c>
      <c r="BC563" s="270"/>
    </row>
    <row r="564" spans="2:55" ht="15" customHeight="1" x14ac:dyDescent="0.25">
      <c r="B564" s="470">
        <v>45947.632638888892</v>
      </c>
      <c r="C564" s="490">
        <v>45950.368055555555</v>
      </c>
      <c r="D564" s="477" cm="1">
        <f t="array" ref="D564">IFERROR(HorasUteisFabrica2Turnos(B564,C564), "")</f>
        <v>2.6499999999068677</v>
      </c>
      <c r="E564" s="478">
        <f t="shared" si="8"/>
        <v>969.05660380764164</v>
      </c>
      <c r="F564" s="479" t="s">
        <v>378</v>
      </c>
      <c r="G564" s="479" t="s">
        <v>712</v>
      </c>
      <c r="H564" s="479"/>
      <c r="I564" s="480" t="s">
        <v>901</v>
      </c>
      <c r="J564" s="481" t="s">
        <v>15</v>
      </c>
      <c r="K564" s="268">
        <v>2568</v>
      </c>
      <c r="L564" s="269" t="s">
        <v>900</v>
      </c>
      <c r="M564" s="270" t="str">
        <f>IFERROR(INDEX([1]Produtos!$C:$C,MATCH(L564,[1]Produtos!$B:$B,0)), "-")</f>
        <v>GELEIA DE BANHO ÁRABE</v>
      </c>
      <c r="N564" s="511">
        <f>IFERROR(INDEX([1]Produtos!$E:$E,MATCH(L564,[1]Produtos!$B:$B,0)), "-")</f>
        <v>190</v>
      </c>
      <c r="O564" s="483" t="str">
        <f>IFERROR(INDEX([1]Produtos!$F:$F,MATCH(L564,[1]Produtos!$B:$B,0)), "-")</f>
        <v>ml</v>
      </c>
      <c r="P564" s="483" t="str">
        <f>IFERROR(INDEX([1]Produtos!$G:$G,MATCH(L564,[1]Produtos!$B:$B,0)), "-")</f>
        <v>ISA BEAUTY</v>
      </c>
      <c r="Q564" s="483" t="str">
        <f>IFERROR(INDEX([1]Produtos!$H:$H,MATCH(L564,[1]Produtos!$B:$B,0)), "-")</f>
        <v>CORPORAL</v>
      </c>
      <c r="R564" s="483" t="str">
        <f>IFERROR(INDEX([1]Produtos!$I:$I,MATCH(L564,[1]Produtos!$B:$B,0)), "-")</f>
        <v>SABONETE</v>
      </c>
      <c r="S564" s="483" t="str">
        <f>IFERROR(INDEX([1]Produtos!$J:$J,MATCH(L564,[1]Produtos!$B:$B,0)), "-")</f>
        <v>VISCOSO</v>
      </c>
      <c r="T564" s="484"/>
      <c r="U564" s="270"/>
      <c r="V564" s="270"/>
      <c r="W564" s="270"/>
      <c r="X564" s="270"/>
      <c r="Y564" s="270"/>
      <c r="Z564" s="270"/>
      <c r="AA564" s="270"/>
      <c r="AB564" s="270"/>
      <c r="AC564" s="270"/>
      <c r="AD564" s="270"/>
      <c r="AE564" s="270"/>
      <c r="AF564" s="270"/>
      <c r="AG564" s="270"/>
      <c r="AH564" s="270"/>
      <c r="AI564" s="270"/>
      <c r="AJ564" s="270"/>
      <c r="AK564" s="270"/>
      <c r="AL564" s="270"/>
      <c r="AM564" s="663"/>
      <c r="AN564" s="663"/>
      <c r="AO564" s="708" t="str">
        <f>IF(OR(Table1[[#This Row],[Início Setup Envase]]="",Table1[[#This Row],[Final Setup Envase]]=""),"",Table1[[#This Row],[Final Setup Envase]]-Table1[[#This Row],[Início Setup Envase]])</f>
        <v/>
      </c>
      <c r="AP564" s="663"/>
      <c r="AQ564" s="663"/>
      <c r="AR564" s="270"/>
      <c r="AS564" s="270"/>
      <c r="AT564" s="270"/>
      <c r="AU564" s="270"/>
      <c r="AV564" s="270"/>
      <c r="AW564" s="270"/>
      <c r="AX564" s="270"/>
      <c r="AY564" s="270"/>
      <c r="AZ564" s="270"/>
      <c r="BA564" s="270">
        <f>IF(Table1[[#This Row],[Data de Início]]="","",YEAR(Table1[[#This Row],[Data de Início]]))</f>
        <v>2025</v>
      </c>
      <c r="BB564" s="270">
        <f>IF(Table1[[#This Row],[Data de Início]]="","",MONTH(Table1[[#This Row],[Data de Início]]))</f>
        <v>10</v>
      </c>
      <c r="BC564" s="270"/>
    </row>
    <row r="565" spans="2:55" ht="15" customHeight="1" x14ac:dyDescent="0.25">
      <c r="B565" s="470">
        <v>45950.381944444445</v>
      </c>
      <c r="C565" s="490">
        <v>45950.482638888891</v>
      </c>
      <c r="D565" s="477" cm="1">
        <f t="array" ref="D565">IFERROR(HorasUteisFabrica2Turnos(B565,C565), "")</f>
        <v>2.4166666666860692</v>
      </c>
      <c r="E565" s="478">
        <f t="shared" si="8"/>
        <v>993.10344826788878</v>
      </c>
      <c r="F565" s="479" t="s">
        <v>378</v>
      </c>
      <c r="G565" s="479" t="s">
        <v>712</v>
      </c>
      <c r="H565" s="479"/>
      <c r="I565" s="480" t="s">
        <v>903</v>
      </c>
      <c r="J565" s="481" t="s">
        <v>15</v>
      </c>
      <c r="K565" s="466">
        <v>2400</v>
      </c>
      <c r="L565" s="269" t="s">
        <v>902</v>
      </c>
      <c r="M565" s="483" t="str">
        <f>IFERROR(INDEX([1]Produtos!$C:$C,MATCH(L565,[1]Produtos!$B:$B,0)), "-")</f>
        <v>GELEIA DE BANHO HABIB</v>
      </c>
      <c r="N565" s="511">
        <f>IFERROR(INDEX([1]Produtos!$E:$E,MATCH(L565,[1]Produtos!$B:$B,0)), "-")</f>
        <v>190</v>
      </c>
      <c r="O565" s="483" t="str">
        <f>IFERROR(INDEX([1]Produtos!$F:$F,MATCH(L565,[1]Produtos!$B:$B,0)), "-")</f>
        <v>ml</v>
      </c>
      <c r="P565" s="483" t="str">
        <f>IFERROR(INDEX([1]Produtos!$G:$G,MATCH(L565,[1]Produtos!$B:$B,0)), "-")</f>
        <v>ISA BEAUTY</v>
      </c>
      <c r="Q565" s="483" t="str">
        <f>IFERROR(INDEX([1]Produtos!$H:$H,MATCH(L565,[1]Produtos!$B:$B,0)), "-")</f>
        <v>CORPORAL</v>
      </c>
      <c r="R565" s="483" t="str">
        <f>IFERROR(INDEX([1]Produtos!$I:$I,MATCH(L565,[1]Produtos!$B:$B,0)), "-")</f>
        <v>SABONETE</v>
      </c>
      <c r="S565" s="483" t="str">
        <f>IFERROR(INDEX([1]Produtos!$J:$J,MATCH(L565,[1]Produtos!$B:$B,0)), "-")</f>
        <v>VISCOSO</v>
      </c>
      <c r="T565" s="484"/>
      <c r="U565" s="270"/>
      <c r="V565" s="270"/>
      <c r="W565" s="270"/>
      <c r="X565" s="270"/>
      <c r="Y565" s="270"/>
      <c r="Z565" s="270"/>
      <c r="AA565" s="270"/>
      <c r="AB565" s="270"/>
      <c r="AC565" s="270"/>
      <c r="AD565" s="270"/>
      <c r="AE565" s="270"/>
      <c r="AF565" s="270"/>
      <c r="AG565" s="270"/>
      <c r="AH565" s="270"/>
      <c r="AI565" s="270"/>
      <c r="AJ565" s="270"/>
      <c r="AK565" s="270"/>
      <c r="AL565" s="270"/>
      <c r="AM565" s="663"/>
      <c r="AN565" s="663"/>
      <c r="AO565" s="708" t="str">
        <f>IF(OR(Table1[[#This Row],[Início Setup Envase]]="",Table1[[#This Row],[Final Setup Envase]]=""),"",Table1[[#This Row],[Final Setup Envase]]-Table1[[#This Row],[Início Setup Envase]])</f>
        <v/>
      </c>
      <c r="AP565" s="663"/>
      <c r="AQ565" s="663"/>
      <c r="AR565" s="270"/>
      <c r="AS565" s="270"/>
      <c r="AT565" s="270"/>
      <c r="AU565" s="270"/>
      <c r="AV565" s="270"/>
      <c r="AW565" s="270"/>
      <c r="AX565" s="270"/>
      <c r="AY565" s="270"/>
      <c r="AZ565" s="270"/>
      <c r="BA565" s="270">
        <f>IF(Table1[[#This Row],[Data de Início]]="","",YEAR(Table1[[#This Row],[Data de Início]]))</f>
        <v>2025</v>
      </c>
      <c r="BB565" s="270">
        <f>IF(Table1[[#This Row],[Data de Início]]="","",MONTH(Table1[[#This Row],[Data de Início]]))</f>
        <v>10</v>
      </c>
      <c r="BC565" s="270"/>
    </row>
    <row r="566" spans="2:55" ht="15" customHeight="1" x14ac:dyDescent="0.25">
      <c r="B566" s="470">
        <v>45950.482638888891</v>
      </c>
      <c r="C566" s="490">
        <v>45950.638888888891</v>
      </c>
      <c r="D566" s="477" cm="1">
        <f t="array" ref="D566">IFERROR(HorasUteisFabrica2Turnos(B566,C566), "")</f>
        <v>2.75</v>
      </c>
      <c r="E566" s="478">
        <f t="shared" si="8"/>
        <v>890.18181818181813</v>
      </c>
      <c r="F566" s="479" t="s">
        <v>378</v>
      </c>
      <c r="G566" s="479" t="s">
        <v>712</v>
      </c>
      <c r="H566" s="479"/>
      <c r="I566" s="480" t="s">
        <v>904</v>
      </c>
      <c r="J566" s="481" t="s">
        <v>15</v>
      </c>
      <c r="K566" s="268">
        <v>2448</v>
      </c>
      <c r="L566" s="269" t="s">
        <v>902</v>
      </c>
      <c r="M566" s="483" t="str">
        <f>IFERROR(INDEX([1]Produtos!$C:$C,MATCH(L566,[1]Produtos!$B:$B,0)), "-")</f>
        <v>GELEIA DE BANHO HABIB</v>
      </c>
      <c r="N566" s="511">
        <f>IFERROR(INDEX([1]Produtos!$E:$E,MATCH(L566,[1]Produtos!$B:$B,0)), "-")</f>
        <v>190</v>
      </c>
      <c r="O566" s="483" t="str">
        <f>IFERROR(INDEX([1]Produtos!$F:$F,MATCH(L566,[1]Produtos!$B:$B,0)), "-")</f>
        <v>ml</v>
      </c>
      <c r="P566" s="483" t="str">
        <f>IFERROR(INDEX([1]Produtos!$G:$G,MATCH(L566,[1]Produtos!$B:$B,0)), "-")</f>
        <v>ISA BEAUTY</v>
      </c>
      <c r="Q566" s="483" t="str">
        <f>IFERROR(INDEX([1]Produtos!$H:$H,MATCH(L566,[1]Produtos!$B:$B,0)), "-")</f>
        <v>CORPORAL</v>
      </c>
      <c r="R566" s="483" t="str">
        <f>IFERROR(INDEX([1]Produtos!$I:$I,MATCH(L566,[1]Produtos!$B:$B,0)), "-")</f>
        <v>SABONETE</v>
      </c>
      <c r="S566" s="483" t="str">
        <f>IFERROR(INDEX([1]Produtos!$J:$J,MATCH(L566,[1]Produtos!$B:$B,0)), "-")</f>
        <v>VISCOSO</v>
      </c>
      <c r="T566" s="484"/>
      <c r="U566" s="270"/>
      <c r="V566" s="270"/>
      <c r="W566" s="270"/>
      <c r="X566" s="270"/>
      <c r="Y566" s="270"/>
      <c r="Z566" s="270"/>
      <c r="AA566" s="270"/>
      <c r="AB566" s="270"/>
      <c r="AC566" s="270"/>
      <c r="AD566" s="270"/>
      <c r="AE566" s="270"/>
      <c r="AF566" s="270"/>
      <c r="AG566" s="270"/>
      <c r="AH566" s="270"/>
      <c r="AI566" s="270"/>
      <c r="AJ566" s="270"/>
      <c r="AK566" s="270"/>
      <c r="AL566" s="270"/>
      <c r="AM566" s="663"/>
      <c r="AN566" s="663"/>
      <c r="AO566" s="708" t="str">
        <f>IF(OR(Table1[[#This Row],[Início Setup Envase]]="",Table1[[#This Row],[Final Setup Envase]]=""),"",Table1[[#This Row],[Final Setup Envase]]-Table1[[#This Row],[Início Setup Envase]])</f>
        <v/>
      </c>
      <c r="AP566" s="663"/>
      <c r="AQ566" s="663"/>
      <c r="AR566" s="270"/>
      <c r="AS566" s="270"/>
      <c r="AT566" s="270"/>
      <c r="AU566" s="270"/>
      <c r="AV566" s="270"/>
      <c r="AW566" s="270"/>
      <c r="AX566" s="270"/>
      <c r="AY566" s="270"/>
      <c r="AZ566" s="270"/>
      <c r="BA566" s="270">
        <f>IF(Table1[[#This Row],[Data de Início]]="","",YEAR(Table1[[#This Row],[Data de Início]]))</f>
        <v>2025</v>
      </c>
      <c r="BB566" s="270">
        <f>IF(Table1[[#This Row],[Data de Início]]="","",MONTH(Table1[[#This Row],[Data de Início]]))</f>
        <v>10</v>
      </c>
      <c r="BC566" s="270"/>
    </row>
    <row r="567" spans="2:55" ht="15" customHeight="1" x14ac:dyDescent="0.25">
      <c r="B567" s="470">
        <v>45950.666666666664</v>
      </c>
      <c r="C567" s="490">
        <v>45952.46875</v>
      </c>
      <c r="D567" s="477" cm="1">
        <f t="array" ref="D567">IFERROR(HorasUteisFabrica2Turnos(B567,C567), "")</f>
        <v>14.250000000291038</v>
      </c>
      <c r="E567" s="478">
        <f t="shared" si="8"/>
        <v>606.31578946130094</v>
      </c>
      <c r="F567" s="479" t="s">
        <v>378</v>
      </c>
      <c r="G567" s="479" t="s">
        <v>776</v>
      </c>
      <c r="H567" s="479"/>
      <c r="I567" s="480" t="s">
        <v>911</v>
      </c>
      <c r="J567" s="481" t="s">
        <v>15</v>
      </c>
      <c r="K567" s="268">
        <v>8640</v>
      </c>
      <c r="L567" s="269" t="s">
        <v>912</v>
      </c>
      <c r="M567" s="483" t="str">
        <f>IFERROR(INDEX([1]Produtos!$C:$C,MATCH(L567,[1]Produtos!$B:$B,0)), "-")</f>
        <v>PERFUME CAPILAR HONEY</v>
      </c>
      <c r="N567" s="511">
        <f>IFERROR(INDEX([1]Produtos!$E:$E,MATCH(L567,[1]Produtos!$B:$B,0)), "-")</f>
        <v>60</v>
      </c>
      <c r="O567" s="483" t="str">
        <f>IFERROR(INDEX([1]Produtos!$F:$F,MATCH(L567,[1]Produtos!$B:$B,0)), "-")</f>
        <v>ml</v>
      </c>
      <c r="P567" s="483" t="str">
        <f>IFERROR(INDEX([1]Produtos!$G:$G,MATCH(L567,[1]Produtos!$B:$B,0)), "-")</f>
        <v>DAPOP</v>
      </c>
      <c r="Q567" s="483" t="str">
        <f>IFERROR(INDEX([1]Produtos!$H:$H,MATCH(L567,[1]Produtos!$B:$B,0)), "-")</f>
        <v>PERFUMARIA</v>
      </c>
      <c r="R567" s="483" t="str">
        <f>IFERROR(INDEX([1]Produtos!$I:$I,MATCH(L567,[1]Produtos!$B:$B,0)), "-")</f>
        <v>PERFUME CAPILAR</v>
      </c>
      <c r="S567" s="483" t="str">
        <f>IFERROR(INDEX([1]Produtos!$J:$J,MATCH(L567,[1]Produtos!$B:$B,0)), "-")</f>
        <v>LÍQUIDO ESPESSO</v>
      </c>
      <c r="T567" s="484"/>
      <c r="U567" s="270"/>
      <c r="V567" s="270"/>
      <c r="W567" s="270"/>
      <c r="X567" s="270"/>
      <c r="Y567" s="270"/>
      <c r="Z567" s="270"/>
      <c r="AA567" s="270"/>
      <c r="AB567" s="270"/>
      <c r="AC567" s="270"/>
      <c r="AD567" s="270"/>
      <c r="AE567" s="270"/>
      <c r="AF567" s="270"/>
      <c r="AG567" s="270"/>
      <c r="AH567" s="270"/>
      <c r="AI567" s="270"/>
      <c r="AJ567" s="270"/>
      <c r="AK567" s="270"/>
      <c r="AL567" s="270"/>
      <c r="AM567" s="663"/>
      <c r="AN567" s="663"/>
      <c r="AO567" s="708" t="str">
        <f>IF(OR(Table1[[#This Row],[Início Setup Envase]]="",Table1[[#This Row],[Final Setup Envase]]=""),"",Table1[[#This Row],[Final Setup Envase]]-Table1[[#This Row],[Início Setup Envase]])</f>
        <v/>
      </c>
      <c r="AP567" s="663"/>
      <c r="AQ567" s="663"/>
      <c r="AR567" s="270"/>
      <c r="AS567" s="270"/>
      <c r="AT567" s="270"/>
      <c r="AU567" s="270"/>
      <c r="AV567" s="270"/>
      <c r="AW567" s="270"/>
      <c r="AX567" s="270"/>
      <c r="AY567" s="270"/>
      <c r="AZ567" s="270"/>
      <c r="BA567" s="270">
        <f>IF(Table1[[#This Row],[Data de Início]]="","",YEAR(Table1[[#This Row],[Data de Início]]))</f>
        <v>2025</v>
      </c>
      <c r="BB567" s="270">
        <f>IF(Table1[[#This Row],[Data de Início]]="","",MONTH(Table1[[#This Row],[Data de Início]]))</f>
        <v>10</v>
      </c>
      <c r="BC567" s="270"/>
    </row>
    <row r="568" spans="2:55" ht="15" customHeight="1" x14ac:dyDescent="0.25">
      <c r="B568" s="470">
        <v>45951.34375</v>
      </c>
      <c r="C568" s="490">
        <v>45951.583333333336</v>
      </c>
      <c r="D568" s="477" cm="1">
        <f t="array" ref="D568">IFERROR(HorasUteisFabrica2Turnos(B568,C568), "")</f>
        <v>4.7500000000582077</v>
      </c>
      <c r="E568" s="478">
        <f t="shared" si="8"/>
        <v>1031.5789473557797</v>
      </c>
      <c r="F568" s="479" t="s">
        <v>378</v>
      </c>
      <c r="G568" s="479" t="s">
        <v>712</v>
      </c>
      <c r="H568" s="479"/>
      <c r="I568" s="480" t="s">
        <v>907</v>
      </c>
      <c r="J568" s="481" t="s">
        <v>15</v>
      </c>
      <c r="K568" s="482">
        <v>4900</v>
      </c>
      <c r="L568" s="480" t="s">
        <v>908</v>
      </c>
      <c r="M568" s="483" t="str">
        <f>IFERROR(INDEX([1]Produtos!$C:$C,MATCH(L568,[1]Produtos!$B:$B,0)), "-")</f>
        <v>ESCOVA DE CHUVEIRO CHEIRINHO DE TUTTI-FRUTTI</v>
      </c>
      <c r="N568" s="511">
        <f>IFERROR(INDEX([1]Produtos!$E:$E,MATCH(L568,[1]Produtos!$B:$B,0)), "-")</f>
        <v>100</v>
      </c>
      <c r="O568" s="483" t="str">
        <f>IFERROR(INDEX([1]Produtos!$F:$F,MATCH(L568,[1]Produtos!$B:$B,0)), "-")</f>
        <v>ml</v>
      </c>
      <c r="P568" s="483" t="str">
        <f>IFERROR(INDEX([1]Produtos!$G:$G,MATCH(L568,[1]Produtos!$B:$B,0)), "-")</f>
        <v>ISA BEAUTY</v>
      </c>
      <c r="Q568" s="483" t="str">
        <f>IFERROR(INDEX([1]Produtos!$H:$H,MATCH(L568,[1]Produtos!$B:$B,0)), "-")</f>
        <v>CAPILAR</v>
      </c>
      <c r="R568" s="483" t="str">
        <f>IFERROR(INDEX([1]Produtos!$I:$I,MATCH(L568,[1]Produtos!$B:$B,0)), "-")</f>
        <v>ESCOVA PROGRESSIVA</v>
      </c>
      <c r="S568" s="483" t="str">
        <f>IFERROR(INDEX([1]Produtos!$J:$J,MATCH(L568,[1]Produtos!$B:$B,0)), "-")</f>
        <v>LÍQUIDO ESPESSO</v>
      </c>
      <c r="T568" s="484"/>
      <c r="U568" s="270"/>
      <c r="V568" s="270"/>
      <c r="W568" s="270"/>
      <c r="X568" s="270"/>
      <c r="Y568" s="270"/>
      <c r="Z568" s="270"/>
      <c r="AA568" s="270"/>
      <c r="AB568" s="270"/>
      <c r="AC568" s="270"/>
      <c r="AD568" s="270"/>
      <c r="AE568" s="270"/>
      <c r="AF568" s="270"/>
      <c r="AG568" s="270"/>
      <c r="AH568" s="270"/>
      <c r="AI568" s="270"/>
      <c r="AJ568" s="270"/>
      <c r="AK568" s="270"/>
      <c r="AL568" s="270"/>
      <c r="AM568" s="663"/>
      <c r="AN568" s="663"/>
      <c r="AO568" s="708" t="str">
        <f>IF(OR(Table1[[#This Row],[Início Setup Envase]]="",Table1[[#This Row],[Final Setup Envase]]=""),"",Table1[[#This Row],[Final Setup Envase]]-Table1[[#This Row],[Início Setup Envase]])</f>
        <v/>
      </c>
      <c r="AP568" s="663"/>
      <c r="AQ568" s="663"/>
      <c r="AR568" s="270"/>
      <c r="AS568" s="270"/>
      <c r="AT568" s="270"/>
      <c r="AU568" s="270"/>
      <c r="AV568" s="270"/>
      <c r="AW568" s="270"/>
      <c r="AX568" s="270"/>
      <c r="AY568" s="270"/>
      <c r="AZ568" s="270"/>
      <c r="BA568" s="270">
        <f>IF(Table1[[#This Row],[Data de Início]]="","",YEAR(Table1[[#This Row],[Data de Início]]))</f>
        <v>2025</v>
      </c>
      <c r="BB568" s="270">
        <f>IF(Table1[[#This Row],[Data de Início]]="","",MONTH(Table1[[#This Row],[Data de Início]]))</f>
        <v>10</v>
      </c>
      <c r="BC568" s="270"/>
    </row>
    <row r="569" spans="2:55" ht="15" customHeight="1" x14ac:dyDescent="0.25">
      <c r="B569" s="470">
        <v>45951.604166666664</v>
      </c>
      <c r="C569" s="490">
        <v>45952.35</v>
      </c>
      <c r="D569" s="477" cm="1">
        <f t="array" ref="D569">IFERROR(HorasUteisFabrica2Turnos(B569,C569), "")</f>
        <v>3.9000000001396984</v>
      </c>
      <c r="E569" s="478">
        <f t="shared" si="8"/>
        <v>633.84615382344941</v>
      </c>
      <c r="F569" s="479" t="s">
        <v>378</v>
      </c>
      <c r="G569" s="479" t="s">
        <v>712</v>
      </c>
      <c r="H569" s="479"/>
      <c r="I569" s="480" t="s">
        <v>905</v>
      </c>
      <c r="J569" s="481" t="s">
        <v>15</v>
      </c>
      <c r="K569" s="466">
        <v>2472</v>
      </c>
      <c r="L569" s="480" t="s">
        <v>906</v>
      </c>
      <c r="M569" s="483" t="str">
        <f>IFERROR(INDEX([1]Produtos!$C:$C,MATCH(L569,[1]Produtos!$B:$B,0)), "-")</f>
        <v>GELEIA DE BANHO ABDALLAH</v>
      </c>
      <c r="N569" s="511">
        <f>IFERROR(INDEX([1]Produtos!$E:$E,MATCH(L569,[1]Produtos!$B:$B,0)), "-")</f>
        <v>190</v>
      </c>
      <c r="O569" s="483" t="str">
        <f>IFERROR(INDEX([1]Produtos!$F:$F,MATCH(L569,[1]Produtos!$B:$B,0)), "-")</f>
        <v>ml</v>
      </c>
      <c r="P569" s="483" t="str">
        <f>IFERROR(INDEX([1]Produtos!$G:$G,MATCH(L569,[1]Produtos!$B:$B,0)), "-")</f>
        <v>ISA BEAUTY</v>
      </c>
      <c r="Q569" s="483" t="str">
        <f>IFERROR(INDEX([1]Produtos!$H:$H,MATCH(L569,[1]Produtos!$B:$B,0)), "-")</f>
        <v>CORPORAL</v>
      </c>
      <c r="R569" s="483" t="str">
        <f>IFERROR(INDEX([1]Produtos!$I:$I,MATCH(L569,[1]Produtos!$B:$B,0)), "-")</f>
        <v>SABONETE</v>
      </c>
      <c r="S569" s="483" t="str">
        <f>IFERROR(INDEX([1]Produtos!$J:$J,MATCH(L569,[1]Produtos!$B:$B,0)), "-")</f>
        <v>VISCOSO</v>
      </c>
      <c r="T569" s="484"/>
      <c r="U569" s="270"/>
      <c r="V569" s="270"/>
      <c r="W569" s="270"/>
      <c r="X569" s="270"/>
      <c r="Y569" s="270"/>
      <c r="Z569" s="270"/>
      <c r="AA569" s="270"/>
      <c r="AB569" s="270"/>
      <c r="AC569" s="270"/>
      <c r="AD569" s="270"/>
      <c r="AE569" s="270"/>
      <c r="AF569" s="270"/>
      <c r="AG569" s="270"/>
      <c r="AH569" s="270"/>
      <c r="AI569" s="270"/>
      <c r="AJ569" s="270"/>
      <c r="AK569" s="270"/>
      <c r="AL569" s="270"/>
      <c r="AM569" s="663"/>
      <c r="AN569" s="663"/>
      <c r="AO569" s="708" t="str">
        <f>IF(OR(Table1[[#This Row],[Início Setup Envase]]="",Table1[[#This Row],[Final Setup Envase]]=""),"",Table1[[#This Row],[Final Setup Envase]]-Table1[[#This Row],[Início Setup Envase]])</f>
        <v/>
      </c>
      <c r="AP569" s="663"/>
      <c r="AQ569" s="663"/>
      <c r="AR569" s="270"/>
      <c r="AS569" s="270"/>
      <c r="AT569" s="270"/>
      <c r="AU569" s="270"/>
      <c r="AV569" s="270"/>
      <c r="AW569" s="270"/>
      <c r="AX569" s="270"/>
      <c r="AY569" s="270"/>
      <c r="AZ569" s="270"/>
      <c r="BA569" s="270">
        <f>IF(Table1[[#This Row],[Data de Início]]="","",YEAR(Table1[[#This Row],[Data de Início]]))</f>
        <v>2025</v>
      </c>
      <c r="BB569" s="270">
        <f>IF(Table1[[#This Row],[Data de Início]]="","",MONTH(Table1[[#This Row],[Data de Início]]))</f>
        <v>10</v>
      </c>
      <c r="BC569" s="270"/>
    </row>
    <row r="570" spans="2:55" ht="15" customHeight="1" x14ac:dyDescent="0.25">
      <c r="B570" s="470">
        <v>45952.350694444445</v>
      </c>
      <c r="C570" s="490">
        <v>45952.493055555555</v>
      </c>
      <c r="D570" s="477" cm="1">
        <f t="array" ref="D570">IFERROR(HorasUteisFabrica2Turnos(B570,C570), "")</f>
        <v>3.4166666666278616</v>
      </c>
      <c r="E570" s="478">
        <f t="shared" si="8"/>
        <v>737.56097561813306</v>
      </c>
      <c r="F570" s="479" t="s">
        <v>378</v>
      </c>
      <c r="G570" s="266" t="s">
        <v>712</v>
      </c>
      <c r="H570" s="479"/>
      <c r="I570" s="480" t="s">
        <v>910</v>
      </c>
      <c r="J570" s="481" t="s">
        <v>15</v>
      </c>
      <c r="K570" s="268">
        <v>2520</v>
      </c>
      <c r="L570" s="480" t="s">
        <v>906</v>
      </c>
      <c r="M570" s="483" t="str">
        <f>IFERROR(INDEX([1]Produtos!$C:$C,MATCH(L570,[1]Produtos!$B:$B,0)), "-")</f>
        <v>GELEIA DE BANHO ABDALLAH</v>
      </c>
      <c r="N570" s="511">
        <f>IFERROR(INDEX([1]Produtos!$E:$E,MATCH(L570,[1]Produtos!$B:$B,0)), "-")</f>
        <v>190</v>
      </c>
      <c r="O570" s="483" t="str">
        <f>IFERROR(INDEX([1]Produtos!$F:$F,MATCH(L570,[1]Produtos!$B:$B,0)), "-")</f>
        <v>ml</v>
      </c>
      <c r="P570" s="483" t="str">
        <f>IFERROR(INDEX([1]Produtos!$G:$G,MATCH(L570,[1]Produtos!$B:$B,0)), "-")</f>
        <v>ISA BEAUTY</v>
      </c>
      <c r="Q570" s="483" t="str">
        <f>IFERROR(INDEX([1]Produtos!$H:$H,MATCH(L570,[1]Produtos!$B:$B,0)), "-")</f>
        <v>CORPORAL</v>
      </c>
      <c r="R570" s="483" t="str">
        <f>IFERROR(INDEX([1]Produtos!$I:$I,MATCH(L570,[1]Produtos!$B:$B,0)), "-")</f>
        <v>SABONETE</v>
      </c>
      <c r="S570" s="483" t="str">
        <f>IFERROR(INDEX([1]Produtos!$J:$J,MATCH(L570,[1]Produtos!$B:$B,0)), "-")</f>
        <v>VISCOSO</v>
      </c>
      <c r="T570" s="484"/>
      <c r="U570" s="270"/>
      <c r="V570" s="270"/>
      <c r="W570" s="270"/>
      <c r="X570" s="270"/>
      <c r="Y570" s="270"/>
      <c r="Z570" s="270"/>
      <c r="AA570" s="270"/>
      <c r="AB570" s="270"/>
      <c r="AC570" s="270"/>
      <c r="AD570" s="270"/>
      <c r="AE570" s="270"/>
      <c r="AF570" s="270"/>
      <c r="AG570" s="270"/>
      <c r="AH570" s="270"/>
      <c r="AI570" s="270"/>
      <c r="AJ570" s="270"/>
      <c r="AK570" s="270"/>
      <c r="AL570" s="270"/>
      <c r="AM570" s="663"/>
      <c r="AN570" s="663"/>
      <c r="AO570" s="708" t="str">
        <f>IF(OR(Table1[[#This Row],[Início Setup Envase]]="",Table1[[#This Row],[Final Setup Envase]]=""),"",Table1[[#This Row],[Final Setup Envase]]-Table1[[#This Row],[Início Setup Envase]])</f>
        <v/>
      </c>
      <c r="AP570" s="663"/>
      <c r="AQ570" s="663"/>
      <c r="AR570" s="270"/>
      <c r="AS570" s="270"/>
      <c r="AT570" s="270"/>
      <c r="AU570" s="270"/>
      <c r="AV570" s="270"/>
      <c r="AW570" s="270"/>
      <c r="AX570" s="270"/>
      <c r="AY570" s="270"/>
      <c r="AZ570" s="270"/>
      <c r="BA570" s="270">
        <f>IF(Table1[[#This Row],[Data de Início]]="","",YEAR(Table1[[#This Row],[Data de Início]]))</f>
        <v>2025</v>
      </c>
      <c r="BB570" s="270">
        <f>IF(Table1[[#This Row],[Data de Início]]="","",MONTH(Table1[[#This Row],[Data de Início]]))</f>
        <v>10</v>
      </c>
      <c r="BC570" s="270"/>
    </row>
    <row r="571" spans="2:55" ht="15" customHeight="1" x14ac:dyDescent="0.25">
      <c r="B571" s="470">
        <v>45952.46875</v>
      </c>
      <c r="C571" s="490">
        <v>45957.482638888891</v>
      </c>
      <c r="D571" s="477" cm="1">
        <f t="array" ref="D571">IFERROR(HorasUteisFabrica2Turnos(B571,C571), "")</f>
        <v>26.333333333604969</v>
      </c>
      <c r="E571" s="478">
        <f t="shared" si="8"/>
        <v>328.10126581940034</v>
      </c>
      <c r="F571" s="266" t="s">
        <v>377</v>
      </c>
      <c r="G571" s="266" t="s">
        <v>776</v>
      </c>
      <c r="H571" s="266"/>
      <c r="I571" s="480" t="s">
        <v>928</v>
      </c>
      <c r="J571" s="267" t="s">
        <v>15</v>
      </c>
      <c r="K571" s="268">
        <v>8640</v>
      </c>
      <c r="L571" s="480" t="s">
        <v>912</v>
      </c>
      <c r="M571" s="483" t="str">
        <f>IFERROR(INDEX([1]Produtos!$C:$C,MATCH(L571,[1]Produtos!$B:$B,0)), "-")</f>
        <v>PERFUME CAPILAR HONEY</v>
      </c>
      <c r="N571" s="511">
        <f>IFERROR(INDEX([1]Produtos!$E:$E,MATCH(L571,[1]Produtos!$B:$B,0)), "-")</f>
        <v>60</v>
      </c>
      <c r="O571" s="483" t="str">
        <f>IFERROR(INDEX([1]Produtos!$F:$F,MATCH(L571,[1]Produtos!$B:$B,0)), "-")</f>
        <v>ml</v>
      </c>
      <c r="P571" s="483" t="str">
        <f>IFERROR(INDEX([1]Produtos!$G:$G,MATCH(L571,[1]Produtos!$B:$B,0)), "-")</f>
        <v>DAPOP</v>
      </c>
      <c r="Q571" s="483" t="str">
        <f>IFERROR(INDEX([1]Produtos!$H:$H,MATCH(L571,[1]Produtos!$B:$B,0)), "-")</f>
        <v>PERFUMARIA</v>
      </c>
      <c r="R571" s="483" t="str">
        <f>IFERROR(INDEX([1]Produtos!$I:$I,MATCH(L571,[1]Produtos!$B:$B,0)), "-")</f>
        <v>PERFUME CAPILAR</v>
      </c>
      <c r="S571" s="483" t="str">
        <f>IFERROR(INDEX([1]Produtos!$J:$J,MATCH(L571,[1]Produtos!$B:$B,0)), "-")</f>
        <v>LÍQUIDO ESPESSO</v>
      </c>
      <c r="T571" s="475"/>
      <c r="U571" s="270"/>
      <c r="V571" s="270"/>
      <c r="W571" s="270"/>
      <c r="X571" s="270"/>
      <c r="Y571" s="270"/>
      <c r="Z571" s="270"/>
      <c r="AA571" s="270"/>
      <c r="AB571" s="270"/>
      <c r="AC571" s="270"/>
      <c r="AD571" s="270"/>
      <c r="AE571" s="270"/>
      <c r="AF571" s="270"/>
      <c r="AG571" s="270"/>
      <c r="AH571" s="270"/>
      <c r="AI571" s="270"/>
      <c r="AJ571" s="270"/>
      <c r="AK571" s="270"/>
      <c r="AL571" s="270"/>
      <c r="AM571" s="663"/>
      <c r="AN571" s="663"/>
      <c r="AO571" s="708" t="str">
        <f>IF(OR(Table1[[#This Row],[Início Setup Envase]]="",Table1[[#This Row],[Final Setup Envase]]=""),"",Table1[[#This Row],[Final Setup Envase]]-Table1[[#This Row],[Início Setup Envase]])</f>
        <v/>
      </c>
      <c r="AP571" s="663"/>
      <c r="AQ571" s="663"/>
      <c r="AR571" s="270"/>
      <c r="AS571" s="270"/>
      <c r="AT571" s="270"/>
      <c r="AU571" s="270"/>
      <c r="AV571" s="270"/>
      <c r="AW571" s="270"/>
      <c r="AX571" s="270"/>
      <c r="AY571" s="270"/>
      <c r="AZ571" s="270"/>
      <c r="BA571" s="270">
        <f>IF(Table1[[#This Row],[Data de Início]]="","",YEAR(Table1[[#This Row],[Data de Início]]))</f>
        <v>2025</v>
      </c>
      <c r="BB571" s="270">
        <f>IF(Table1[[#This Row],[Data de Início]]="","",MONTH(Table1[[#This Row],[Data de Início]]))</f>
        <v>10</v>
      </c>
      <c r="BC571" s="270"/>
    </row>
    <row r="572" spans="2:55" ht="15" customHeight="1" x14ac:dyDescent="0.25">
      <c r="B572" s="470">
        <v>45952.63958333333</v>
      </c>
      <c r="C572" s="490">
        <v>45953.347222222219</v>
      </c>
      <c r="D572" s="477" cm="1">
        <f t="array" ref="D572">IFERROR(HorasUteisFabrica2Turnos(B572,C572), "")</f>
        <v>2.9833333334536292</v>
      </c>
      <c r="E572" s="478">
        <f t="shared" si="8"/>
        <v>852.73743013321314</v>
      </c>
      <c r="F572" s="479" t="s">
        <v>378</v>
      </c>
      <c r="G572" s="266" t="s">
        <v>951</v>
      </c>
      <c r="H572" s="479"/>
      <c r="I572" s="480" t="s">
        <v>914</v>
      </c>
      <c r="J572" s="481" t="s">
        <v>15</v>
      </c>
      <c r="K572" s="268">
        <v>2544</v>
      </c>
      <c r="L572" s="480" t="s">
        <v>211</v>
      </c>
      <c r="M572" s="483" t="str">
        <f>IFERROR(INDEX([1]Produtos!$C:$C,MATCH(L572,[1]Produtos!$B:$B,0)), "-")</f>
        <v>BODY SPLASH AURORA IMPERIAL</v>
      </c>
      <c r="N572" s="511">
        <f>IFERROR(INDEX([1]Produtos!$E:$E,MATCH(L572,[1]Produtos!$B:$B,0)), "-")</f>
        <v>220</v>
      </c>
      <c r="O572" s="483" t="str">
        <f>IFERROR(INDEX([1]Produtos!$F:$F,MATCH(L572,[1]Produtos!$B:$B,0)), "-")</f>
        <v>ml</v>
      </c>
      <c r="P572" s="483" t="str">
        <f>IFERROR(INDEX([1]Produtos!$G:$G,MATCH(L572,[1]Produtos!$B:$B,0)), "-")</f>
        <v>MISS RÔSE</v>
      </c>
      <c r="Q572" s="483" t="str">
        <f>IFERROR(INDEX([1]Produtos!$H:$H,MATCH(L572,[1]Produtos!$B:$B,0)), "-")</f>
        <v>PERFUMARIA</v>
      </c>
      <c r="R572" s="483" t="str">
        <f>IFERROR(INDEX([1]Produtos!$I:$I,MATCH(L572,[1]Produtos!$B:$B,0)), "-")</f>
        <v>BODY SPLASH</v>
      </c>
      <c r="S572" s="483" t="str">
        <f>IFERROR(INDEX([1]Produtos!$J:$J,MATCH(L572,[1]Produtos!$B:$B,0)), "-")</f>
        <v>LÍQUIDO</v>
      </c>
      <c r="T572" s="484"/>
      <c r="U572" s="270"/>
      <c r="V572" s="270"/>
      <c r="W572" s="270"/>
      <c r="X572" s="270"/>
      <c r="Y572" s="270"/>
      <c r="Z572" s="270"/>
      <c r="AA572" s="270"/>
      <c r="AB572" s="270"/>
      <c r="AC572" s="270"/>
      <c r="AD572" s="270"/>
      <c r="AE572" s="270"/>
      <c r="AF572" s="270"/>
      <c r="AG572" s="270"/>
      <c r="AH572" s="270"/>
      <c r="AI572" s="270"/>
      <c r="AJ572" s="270"/>
      <c r="AK572" s="270"/>
      <c r="AL572" s="270"/>
      <c r="AM572" s="663"/>
      <c r="AN572" s="663"/>
      <c r="AO572" s="708" t="str">
        <f>IF(OR(Table1[[#This Row],[Início Setup Envase]]="",Table1[[#This Row],[Final Setup Envase]]=""),"",Table1[[#This Row],[Final Setup Envase]]-Table1[[#This Row],[Início Setup Envase]])</f>
        <v/>
      </c>
      <c r="AP572" s="663"/>
      <c r="AQ572" s="663"/>
      <c r="AR572" s="270"/>
      <c r="AS572" s="270"/>
      <c r="AT572" s="270"/>
      <c r="AU572" s="270"/>
      <c r="AV572" s="270"/>
      <c r="AW572" s="270"/>
      <c r="AX572" s="270"/>
      <c r="AY572" s="270"/>
      <c r="AZ572" s="270"/>
      <c r="BA572" s="270">
        <f>IF(Table1[[#This Row],[Data de Início]]="","",YEAR(Table1[[#This Row],[Data de Início]]))</f>
        <v>2025</v>
      </c>
      <c r="BB572" s="270">
        <f>IF(Table1[[#This Row],[Data de Início]]="","",MONTH(Table1[[#This Row],[Data de Início]]))</f>
        <v>10</v>
      </c>
      <c r="BC572" s="270"/>
    </row>
    <row r="573" spans="2:55" ht="15" customHeight="1" x14ac:dyDescent="0.25">
      <c r="B573" s="470">
        <v>45953.347222222219</v>
      </c>
      <c r="C573" s="263">
        <v>45953.447222222225</v>
      </c>
      <c r="D573" s="477" cm="1">
        <f t="array" ref="D573">IFERROR(HorasUteisFabrica2Turnos(B573,C573), "")</f>
        <v>2.4000000001396984</v>
      </c>
      <c r="E573" s="478">
        <f t="shared" si="8"/>
        <v>1059.9999999382999</v>
      </c>
      <c r="F573" s="479" t="s">
        <v>378</v>
      </c>
      <c r="G573" s="479" t="s">
        <v>951</v>
      </c>
      <c r="H573" s="479"/>
      <c r="I573" s="269" t="s">
        <v>913</v>
      </c>
      <c r="J573" s="481" t="s">
        <v>15</v>
      </c>
      <c r="K573" s="268">
        <v>2544</v>
      </c>
      <c r="L573" s="480" t="s">
        <v>211</v>
      </c>
      <c r="M573" s="483" t="str">
        <f>IFERROR(INDEX([1]Produtos!$C:$C,MATCH(L573,[1]Produtos!$B:$B,0)), "-")</f>
        <v>BODY SPLASH AURORA IMPERIAL</v>
      </c>
      <c r="N573" s="511">
        <f>IFERROR(INDEX([1]Produtos!$E:$E,MATCH(L573,[1]Produtos!$B:$B,0)), "-")</f>
        <v>220</v>
      </c>
      <c r="O573" s="483" t="str">
        <f>IFERROR(INDEX([1]Produtos!$F:$F,MATCH(L573,[1]Produtos!$B:$B,0)), "-")</f>
        <v>ml</v>
      </c>
      <c r="P573" s="483" t="str">
        <f>IFERROR(INDEX([1]Produtos!$G:$G,MATCH(L573,[1]Produtos!$B:$B,0)), "-")</f>
        <v>MISS RÔSE</v>
      </c>
      <c r="Q573" s="483" t="str">
        <f>IFERROR(INDEX([1]Produtos!$H:$H,MATCH(L573,[1]Produtos!$B:$B,0)), "-")</f>
        <v>PERFUMARIA</v>
      </c>
      <c r="R573" s="483" t="str">
        <f>IFERROR(INDEX([1]Produtos!$I:$I,MATCH(L573,[1]Produtos!$B:$B,0)), "-")</f>
        <v>BODY SPLASH</v>
      </c>
      <c r="S573" s="483" t="str">
        <f>IFERROR(INDEX([1]Produtos!$J:$J,MATCH(L573,[1]Produtos!$B:$B,0)), "-")</f>
        <v>LÍQUIDO</v>
      </c>
      <c r="T573" s="484"/>
      <c r="U573" s="270"/>
      <c r="V573" s="270"/>
      <c r="W573" s="270"/>
      <c r="X573" s="270"/>
      <c r="Y573" s="270"/>
      <c r="Z573" s="270"/>
      <c r="AA573" s="270"/>
      <c r="AB573" s="270"/>
      <c r="AC573" s="270"/>
      <c r="AD573" s="270"/>
      <c r="AE573" s="270"/>
      <c r="AF573" s="270"/>
      <c r="AG573" s="270"/>
      <c r="AH573" s="270"/>
      <c r="AI573" s="270"/>
      <c r="AJ573" s="270"/>
      <c r="AK573" s="270"/>
      <c r="AL573" s="270"/>
      <c r="AM573" s="663"/>
      <c r="AN573" s="663"/>
      <c r="AO573" s="708" t="str">
        <f>IF(OR(Table1[[#This Row],[Início Setup Envase]]="",Table1[[#This Row],[Final Setup Envase]]=""),"",Table1[[#This Row],[Final Setup Envase]]-Table1[[#This Row],[Início Setup Envase]])</f>
        <v/>
      </c>
      <c r="AP573" s="663"/>
      <c r="AQ573" s="663"/>
      <c r="AR573" s="270"/>
      <c r="AS573" s="270"/>
      <c r="AT573" s="270"/>
      <c r="AU573" s="270"/>
      <c r="AV573" s="270"/>
      <c r="AW573" s="270"/>
      <c r="AX573" s="270"/>
      <c r="AY573" s="270"/>
      <c r="AZ573" s="270"/>
      <c r="BA573" s="270">
        <f>IF(Table1[[#This Row],[Data de Início]]="","",YEAR(Table1[[#This Row],[Data de Início]]))</f>
        <v>2025</v>
      </c>
      <c r="BB573" s="270">
        <f>IF(Table1[[#This Row],[Data de Início]]="","",MONTH(Table1[[#This Row],[Data de Início]]))</f>
        <v>10</v>
      </c>
      <c r="BC573" s="270"/>
    </row>
    <row r="574" spans="2:55" ht="15" customHeight="1" x14ac:dyDescent="0.25">
      <c r="B574" s="470">
        <v>45953.447222222225</v>
      </c>
      <c r="C574" s="490">
        <v>45953.583333333336</v>
      </c>
      <c r="D574" s="477" cm="1">
        <f t="array" ref="D574">IFERROR(HorasUteisFabrica2Turnos(B574,C574), "")</f>
        <v>2.2666666666627862</v>
      </c>
      <c r="E574" s="478">
        <f t="shared" si="8"/>
        <v>1122.352941178392</v>
      </c>
      <c r="F574" s="479" t="s">
        <v>378</v>
      </c>
      <c r="G574" s="479" t="s">
        <v>951</v>
      </c>
      <c r="H574" s="479"/>
      <c r="I574" s="480" t="s">
        <v>917</v>
      </c>
      <c r="J574" s="481" t="s">
        <v>15</v>
      </c>
      <c r="K574" s="268">
        <v>2544</v>
      </c>
      <c r="L574" s="480" t="s">
        <v>211</v>
      </c>
      <c r="M574" s="483" t="str">
        <f>IFERROR(INDEX([1]Produtos!$C:$C,MATCH(L574,[1]Produtos!$B:$B,0)), "-")</f>
        <v>BODY SPLASH AURORA IMPERIAL</v>
      </c>
      <c r="N574" s="511">
        <f>IFERROR(INDEX([1]Produtos!$E:$E,MATCH(L574,[1]Produtos!$B:$B,0)), "-")</f>
        <v>220</v>
      </c>
      <c r="O574" s="483" t="str">
        <f>IFERROR(INDEX([1]Produtos!$F:$F,MATCH(L574,[1]Produtos!$B:$B,0)), "-")</f>
        <v>ml</v>
      </c>
      <c r="P574" s="483" t="str">
        <f>IFERROR(INDEX([1]Produtos!$G:$G,MATCH(L574,[1]Produtos!$B:$B,0)), "-")</f>
        <v>MISS RÔSE</v>
      </c>
      <c r="Q574" s="483" t="str">
        <f>IFERROR(INDEX([1]Produtos!$H:$H,MATCH(L574,[1]Produtos!$B:$B,0)), "-")</f>
        <v>PERFUMARIA</v>
      </c>
      <c r="R574" s="483" t="str">
        <f>IFERROR(INDEX([1]Produtos!$I:$I,MATCH(L574,[1]Produtos!$B:$B,0)), "-")</f>
        <v>BODY SPLASH</v>
      </c>
      <c r="S574" s="483" t="str">
        <f>IFERROR(INDEX([1]Produtos!$J:$J,MATCH(L574,[1]Produtos!$B:$B,0)), "-")</f>
        <v>LÍQUIDO</v>
      </c>
      <c r="T574" s="484"/>
      <c r="U574" s="270"/>
      <c r="V574" s="270"/>
      <c r="W574" s="270"/>
      <c r="X574" s="270"/>
      <c r="Y574" s="270"/>
      <c r="Z574" s="270"/>
      <c r="AA574" s="270"/>
      <c r="AB574" s="270"/>
      <c r="AC574" s="270"/>
      <c r="AD574" s="270"/>
      <c r="AE574" s="270"/>
      <c r="AF574" s="270"/>
      <c r="AG574" s="270"/>
      <c r="AH574" s="270"/>
      <c r="AI574" s="270"/>
      <c r="AJ574" s="270"/>
      <c r="AK574" s="270"/>
      <c r="AL574" s="270"/>
      <c r="AM574" s="663"/>
      <c r="AN574" s="663"/>
      <c r="AO574" s="708" t="str">
        <f>IF(OR(Table1[[#This Row],[Início Setup Envase]]="",Table1[[#This Row],[Final Setup Envase]]=""),"",Table1[[#This Row],[Final Setup Envase]]-Table1[[#This Row],[Início Setup Envase]])</f>
        <v/>
      </c>
      <c r="AP574" s="663"/>
      <c r="AQ574" s="663"/>
      <c r="AR574" s="270"/>
      <c r="AS574" s="270"/>
      <c r="AT574" s="270"/>
      <c r="AU574" s="270"/>
      <c r="AV574" s="270"/>
      <c r="AW574" s="270"/>
      <c r="AX574" s="270"/>
      <c r="AY574" s="270"/>
      <c r="AZ574" s="270"/>
      <c r="BA574" s="270">
        <f>IF(Table1[[#This Row],[Data de Início]]="","",YEAR(Table1[[#This Row],[Data de Início]]))</f>
        <v>2025</v>
      </c>
      <c r="BB574" s="270">
        <f>IF(Table1[[#This Row],[Data de Início]]="","",MONTH(Table1[[#This Row],[Data de Início]]))</f>
        <v>10</v>
      </c>
      <c r="BC574" s="270"/>
    </row>
    <row r="575" spans="2:55" ht="15" customHeight="1" x14ac:dyDescent="0.25">
      <c r="B575" s="470">
        <v>45953.583333333336</v>
      </c>
      <c r="C575" s="263">
        <v>45954.327777777777</v>
      </c>
      <c r="D575" s="477" cm="1">
        <f t="array" ref="D575">IFERROR(HorasUteisFabrica2Turnos(B575,C575), "")</f>
        <v>3.8666666666977108</v>
      </c>
      <c r="E575" s="478">
        <f t="shared" si="8"/>
        <v>657.93103447747637</v>
      </c>
      <c r="F575" s="479" t="s">
        <v>378</v>
      </c>
      <c r="G575" s="479" t="s">
        <v>951</v>
      </c>
      <c r="H575" s="479"/>
      <c r="I575" s="480" t="s">
        <v>915</v>
      </c>
      <c r="J575" s="481" t="s">
        <v>15</v>
      </c>
      <c r="K575" s="268">
        <v>2544</v>
      </c>
      <c r="L575" s="480" t="s">
        <v>211</v>
      </c>
      <c r="M575" s="483" t="str">
        <f>IFERROR(INDEX([1]Produtos!$C:$C,MATCH(L575,[1]Produtos!$B:$B,0)), "-")</f>
        <v>BODY SPLASH AURORA IMPERIAL</v>
      </c>
      <c r="N575" s="511">
        <f>IFERROR(INDEX([1]Produtos!$E:$E,MATCH(L575,[1]Produtos!$B:$B,0)), "-")</f>
        <v>220</v>
      </c>
      <c r="O575" s="483" t="str">
        <f>IFERROR(INDEX([1]Produtos!$F:$F,MATCH(L575,[1]Produtos!$B:$B,0)), "-")</f>
        <v>ml</v>
      </c>
      <c r="P575" s="483" t="str">
        <f>IFERROR(INDEX([1]Produtos!$G:$G,MATCH(L575,[1]Produtos!$B:$B,0)), "-")</f>
        <v>MISS RÔSE</v>
      </c>
      <c r="Q575" s="483" t="str">
        <f>IFERROR(INDEX([1]Produtos!$H:$H,MATCH(L575,[1]Produtos!$B:$B,0)), "-")</f>
        <v>PERFUMARIA</v>
      </c>
      <c r="R575" s="483" t="str">
        <f>IFERROR(INDEX([1]Produtos!$I:$I,MATCH(L575,[1]Produtos!$B:$B,0)), "-")</f>
        <v>BODY SPLASH</v>
      </c>
      <c r="S575" s="483" t="str">
        <f>IFERROR(INDEX([1]Produtos!$J:$J,MATCH(L575,[1]Produtos!$B:$B,0)), "-")</f>
        <v>LÍQUIDO</v>
      </c>
      <c r="T575" s="484"/>
      <c r="U575" s="270"/>
      <c r="V575" s="270"/>
      <c r="W575" s="270"/>
      <c r="X575" s="270"/>
      <c r="Y575" s="270"/>
      <c r="Z575" s="270"/>
      <c r="AA575" s="270"/>
      <c r="AB575" s="270"/>
      <c r="AC575" s="270"/>
      <c r="AD575" s="270"/>
      <c r="AE575" s="270"/>
      <c r="AF575" s="270"/>
      <c r="AG575" s="270"/>
      <c r="AH575" s="270"/>
      <c r="AI575" s="270"/>
      <c r="AJ575" s="270"/>
      <c r="AK575" s="270"/>
      <c r="AL575" s="270"/>
      <c r="AM575" s="663"/>
      <c r="AN575" s="663"/>
      <c r="AO575" s="708" t="str">
        <f>IF(OR(Table1[[#This Row],[Início Setup Envase]]="",Table1[[#This Row],[Final Setup Envase]]=""),"",Table1[[#This Row],[Final Setup Envase]]-Table1[[#This Row],[Início Setup Envase]])</f>
        <v/>
      </c>
      <c r="AP575" s="663"/>
      <c r="AQ575" s="663"/>
      <c r="AR575" s="270"/>
      <c r="AS575" s="270"/>
      <c r="AT575" s="270"/>
      <c r="AU575" s="270"/>
      <c r="AV575" s="270"/>
      <c r="AW575" s="270"/>
      <c r="AX575" s="270"/>
      <c r="AY575" s="270"/>
      <c r="AZ575" s="270"/>
      <c r="BA575" s="270">
        <f>IF(Table1[[#This Row],[Data de Início]]="","",YEAR(Table1[[#This Row],[Data de Início]]))</f>
        <v>2025</v>
      </c>
      <c r="BB575" s="270">
        <f>IF(Table1[[#This Row],[Data de Início]]="","",MONTH(Table1[[#This Row],[Data de Início]]))</f>
        <v>10</v>
      </c>
      <c r="BC575" s="270"/>
    </row>
    <row r="576" spans="2:55" ht="15" customHeight="1" x14ac:dyDescent="0.25">
      <c r="B576" s="470">
        <v>45954.327777777777</v>
      </c>
      <c r="C576" s="263">
        <v>45954.474305555559</v>
      </c>
      <c r="D576" s="477" cm="1">
        <f t="array" ref="D576">IFERROR(HorasUteisFabrica2Turnos(B576,C576), "")</f>
        <v>3.5166666667792015</v>
      </c>
      <c r="E576" s="478">
        <f t="shared" si="8"/>
        <v>723.41232225173201</v>
      </c>
      <c r="F576" s="479" t="s">
        <v>378</v>
      </c>
      <c r="G576" s="479" t="s">
        <v>951</v>
      </c>
      <c r="H576" s="479"/>
      <c r="I576" s="269" t="s">
        <v>916</v>
      </c>
      <c r="J576" s="481" t="s">
        <v>15</v>
      </c>
      <c r="K576" s="268">
        <v>2544</v>
      </c>
      <c r="L576" s="480" t="s">
        <v>211</v>
      </c>
      <c r="M576" s="483" t="str">
        <f>IFERROR(INDEX([1]Produtos!$C:$C,MATCH(L576,[1]Produtos!$B:$B,0)), "-")</f>
        <v>BODY SPLASH AURORA IMPERIAL</v>
      </c>
      <c r="N576" s="511">
        <f>IFERROR(INDEX([1]Produtos!$E:$E,MATCH(L576,[1]Produtos!$B:$B,0)), "-")</f>
        <v>220</v>
      </c>
      <c r="O576" s="483" t="str">
        <f>IFERROR(INDEX([1]Produtos!$F:$F,MATCH(L576,[1]Produtos!$B:$B,0)), "-")</f>
        <v>ml</v>
      </c>
      <c r="P576" s="483" t="str">
        <f>IFERROR(INDEX([1]Produtos!$G:$G,MATCH(L576,[1]Produtos!$B:$B,0)), "-")</f>
        <v>MISS RÔSE</v>
      </c>
      <c r="Q576" s="483" t="str">
        <f>IFERROR(INDEX([1]Produtos!$H:$H,MATCH(L576,[1]Produtos!$B:$B,0)), "-")</f>
        <v>PERFUMARIA</v>
      </c>
      <c r="R576" s="483" t="str">
        <f>IFERROR(INDEX([1]Produtos!$I:$I,MATCH(L576,[1]Produtos!$B:$B,0)), "-")</f>
        <v>BODY SPLASH</v>
      </c>
      <c r="S576" s="483" t="str">
        <f>IFERROR(INDEX([1]Produtos!$J:$J,MATCH(L576,[1]Produtos!$B:$B,0)), "-")</f>
        <v>LÍQUIDO</v>
      </c>
      <c r="T576" s="484"/>
      <c r="U576" s="270"/>
      <c r="V576" s="270"/>
      <c r="W576" s="270"/>
      <c r="X576" s="270"/>
      <c r="Y576" s="270"/>
      <c r="Z576" s="270"/>
      <c r="AA576" s="270"/>
      <c r="AB576" s="270"/>
      <c r="AC576" s="270"/>
      <c r="AD576" s="270"/>
      <c r="AE576" s="270"/>
      <c r="AF576" s="270"/>
      <c r="AG576" s="270"/>
      <c r="AH576" s="270"/>
      <c r="AI576" s="270"/>
      <c r="AJ576" s="270"/>
      <c r="AK576" s="270"/>
      <c r="AL576" s="270"/>
      <c r="AM576" s="663"/>
      <c r="AN576" s="663"/>
      <c r="AO576" s="708" t="str">
        <f>IF(OR(Table1[[#This Row],[Início Setup Envase]]="",Table1[[#This Row],[Final Setup Envase]]=""),"",Table1[[#This Row],[Final Setup Envase]]-Table1[[#This Row],[Início Setup Envase]])</f>
        <v/>
      </c>
      <c r="AP576" s="663"/>
      <c r="AQ576" s="663"/>
      <c r="AR576" s="270"/>
      <c r="AS576" s="270"/>
      <c r="AT576" s="270"/>
      <c r="AU576" s="270"/>
      <c r="AV576" s="270"/>
      <c r="AW576" s="270"/>
      <c r="AX576" s="270"/>
      <c r="AY576" s="270"/>
      <c r="AZ576" s="270"/>
      <c r="BA576" s="270">
        <f>IF(Table1[[#This Row],[Data de Início]]="","",YEAR(Table1[[#This Row],[Data de Início]]))</f>
        <v>2025</v>
      </c>
      <c r="BB576" s="270">
        <f>IF(Table1[[#This Row],[Data de Início]]="","",MONTH(Table1[[#This Row],[Data de Início]]))</f>
        <v>10</v>
      </c>
      <c r="BC576" s="270"/>
    </row>
    <row r="577" spans="2:55" ht="15" customHeight="1" x14ac:dyDescent="0.25">
      <c r="B577" s="470">
        <v>45954.474305555559</v>
      </c>
      <c r="C577" s="490">
        <v>45954.701388888891</v>
      </c>
      <c r="D577" s="477" cm="1">
        <f t="array" ref="D577">IFERROR(HorasUteisFabrica2Turnos(B577,C577), "")</f>
        <v>3.6166666665230878</v>
      </c>
      <c r="E577" s="478">
        <f t="shared" si="8"/>
        <v>703.41013827677273</v>
      </c>
      <c r="F577" s="479" t="s">
        <v>378</v>
      </c>
      <c r="G577" s="266" t="s">
        <v>951</v>
      </c>
      <c r="H577" s="479"/>
      <c r="I577" s="480" t="s">
        <v>918</v>
      </c>
      <c r="J577" s="481" t="s">
        <v>15</v>
      </c>
      <c r="K577" s="268">
        <v>2544</v>
      </c>
      <c r="L577" s="480" t="s">
        <v>211</v>
      </c>
      <c r="M577" s="483" t="str">
        <f>IFERROR(INDEX([1]Produtos!$C:$C,MATCH(L577,[1]Produtos!$B:$B,0)), "-")</f>
        <v>BODY SPLASH AURORA IMPERIAL</v>
      </c>
      <c r="N577" s="511">
        <f>IFERROR(INDEX([1]Produtos!$E:$E,MATCH(L577,[1]Produtos!$B:$B,0)), "-")</f>
        <v>220</v>
      </c>
      <c r="O577" s="483" t="str">
        <f>IFERROR(INDEX([1]Produtos!$F:$F,MATCH(L577,[1]Produtos!$B:$B,0)), "-")</f>
        <v>ml</v>
      </c>
      <c r="P577" s="483" t="str">
        <f>IFERROR(INDEX([1]Produtos!$G:$G,MATCH(L577,[1]Produtos!$B:$B,0)), "-")</f>
        <v>MISS RÔSE</v>
      </c>
      <c r="Q577" s="483" t="str">
        <f>IFERROR(INDEX([1]Produtos!$H:$H,MATCH(L577,[1]Produtos!$B:$B,0)), "-")</f>
        <v>PERFUMARIA</v>
      </c>
      <c r="R577" s="483" t="str">
        <f>IFERROR(INDEX([1]Produtos!$I:$I,MATCH(L577,[1]Produtos!$B:$B,0)), "-")</f>
        <v>BODY SPLASH</v>
      </c>
      <c r="S577" s="483" t="str">
        <f>IFERROR(INDEX([1]Produtos!$J:$J,MATCH(L577,[1]Produtos!$B:$B,0)), "-")</f>
        <v>LÍQUIDO</v>
      </c>
      <c r="T577" s="484"/>
      <c r="U577" s="270"/>
      <c r="V577" s="270"/>
      <c r="W577" s="270"/>
      <c r="X577" s="270"/>
      <c r="Y577" s="270"/>
      <c r="Z577" s="270"/>
      <c r="AA577" s="270"/>
      <c r="AB577" s="270"/>
      <c r="AC577" s="270"/>
      <c r="AD577" s="270"/>
      <c r="AE577" s="270"/>
      <c r="AF577" s="270"/>
      <c r="AG577" s="270"/>
      <c r="AH577" s="270"/>
      <c r="AI577" s="270"/>
      <c r="AJ577" s="270"/>
      <c r="AK577" s="270"/>
      <c r="AL577" s="270"/>
      <c r="AM577" s="663"/>
      <c r="AN577" s="663"/>
      <c r="AO577" s="708" t="str">
        <f>IF(OR(Table1[[#This Row],[Início Setup Envase]]="",Table1[[#This Row],[Final Setup Envase]]=""),"",Table1[[#This Row],[Final Setup Envase]]-Table1[[#This Row],[Início Setup Envase]])</f>
        <v/>
      </c>
      <c r="AP577" s="663"/>
      <c r="AQ577" s="663"/>
      <c r="AR577" s="270"/>
      <c r="AS577" s="270"/>
      <c r="AT577" s="270"/>
      <c r="AU577" s="270"/>
      <c r="AV577" s="270"/>
      <c r="AW577" s="270"/>
      <c r="AX577" s="270"/>
      <c r="AY577" s="270"/>
      <c r="AZ577" s="270"/>
      <c r="BA577" s="270">
        <f>IF(Table1[[#This Row],[Data de Início]]="","",YEAR(Table1[[#This Row],[Data de Início]]))</f>
        <v>2025</v>
      </c>
      <c r="BB577" s="270">
        <f>IF(Table1[[#This Row],[Data de Início]]="","",MONTH(Table1[[#This Row],[Data de Início]]))</f>
        <v>10</v>
      </c>
      <c r="BC577" s="270"/>
    </row>
    <row r="578" spans="2:55" ht="15" customHeight="1" x14ac:dyDescent="0.25">
      <c r="B578" s="470">
        <v>45955.62222222222</v>
      </c>
      <c r="C578" s="263">
        <v>45958.395833333336</v>
      </c>
      <c r="D578" s="477" cm="1">
        <f t="array" ref="D578">IFERROR(HorasUteisFabrica2Turnos(B578,C578), "")</f>
        <v>13.566666667000391</v>
      </c>
      <c r="E578" s="478">
        <f t="shared" si="8"/>
        <v>187.5184275138148</v>
      </c>
      <c r="F578" s="479" t="s">
        <v>378</v>
      </c>
      <c r="G578" s="479" t="s">
        <v>951</v>
      </c>
      <c r="H578" s="479"/>
      <c r="I578" s="269" t="s">
        <v>930</v>
      </c>
      <c r="J578" s="481" t="s">
        <v>15</v>
      </c>
      <c r="K578" s="268">
        <v>2544</v>
      </c>
      <c r="L578" s="480" t="s">
        <v>211</v>
      </c>
      <c r="M578" s="483" t="str">
        <f>IFERROR(INDEX([1]Produtos!$C:$C,MATCH(L578,[1]Produtos!$B:$B,0)), "-")</f>
        <v>BODY SPLASH AURORA IMPERIAL</v>
      </c>
      <c r="N578" s="511">
        <f>IFERROR(INDEX([1]Produtos!$E:$E,MATCH(L578,[1]Produtos!$B:$B,0)), "-")</f>
        <v>220</v>
      </c>
      <c r="O578" s="483" t="str">
        <f>IFERROR(INDEX([1]Produtos!$F:$F,MATCH(L578,[1]Produtos!$B:$B,0)), "-")</f>
        <v>ml</v>
      </c>
      <c r="P578" s="483" t="str">
        <f>IFERROR(INDEX([1]Produtos!$G:$G,MATCH(L578,[1]Produtos!$B:$B,0)), "-")</f>
        <v>MISS RÔSE</v>
      </c>
      <c r="Q578" s="483" t="str">
        <f>IFERROR(INDEX([1]Produtos!$H:$H,MATCH(L578,[1]Produtos!$B:$B,0)), "-")</f>
        <v>PERFUMARIA</v>
      </c>
      <c r="R578" s="483" t="str">
        <f>IFERROR(INDEX([1]Produtos!$I:$I,MATCH(L578,[1]Produtos!$B:$B,0)), "-")</f>
        <v>BODY SPLASH</v>
      </c>
      <c r="S578" s="483" t="str">
        <f>IFERROR(INDEX([1]Produtos!$J:$J,MATCH(L578,[1]Produtos!$B:$B,0)), "-")</f>
        <v>LÍQUIDO</v>
      </c>
      <c r="T578" s="484"/>
      <c r="U578" s="270"/>
      <c r="V578" s="270"/>
      <c r="W578" s="270"/>
      <c r="X578" s="270"/>
      <c r="Y578" s="270"/>
      <c r="Z578" s="270"/>
      <c r="AA578" s="270"/>
      <c r="AB578" s="270"/>
      <c r="AC578" s="270"/>
      <c r="AD578" s="270"/>
      <c r="AE578" s="270"/>
      <c r="AF578" s="270"/>
      <c r="AG578" s="270"/>
      <c r="AH578" s="270"/>
      <c r="AI578" s="270"/>
      <c r="AJ578" s="270"/>
      <c r="AK578" s="270"/>
      <c r="AL578" s="270"/>
      <c r="AM578" s="663"/>
      <c r="AN578" s="663"/>
      <c r="AO578" s="708" t="str">
        <f>IF(OR(Table1[[#This Row],[Início Setup Envase]]="",Table1[[#This Row],[Final Setup Envase]]=""),"",Table1[[#This Row],[Final Setup Envase]]-Table1[[#This Row],[Início Setup Envase]])</f>
        <v/>
      </c>
      <c r="AP578" s="663"/>
      <c r="AQ578" s="663"/>
      <c r="AR578" s="270"/>
      <c r="AS578" s="270"/>
      <c r="AT578" s="270"/>
      <c r="AU578" s="270"/>
      <c r="AV578" s="270"/>
      <c r="AW578" s="270"/>
      <c r="AX578" s="270"/>
      <c r="AY578" s="270"/>
      <c r="AZ578" s="270"/>
      <c r="BA578" s="270">
        <f>IF(Table1[[#This Row],[Data de Início]]="","",YEAR(Table1[[#This Row],[Data de Início]]))</f>
        <v>2025</v>
      </c>
      <c r="BB578" s="270">
        <f>IF(Table1[[#This Row],[Data de Início]]="","",MONTH(Table1[[#This Row],[Data de Início]]))</f>
        <v>10</v>
      </c>
      <c r="BC578" s="270"/>
    </row>
    <row r="579" spans="2:55" ht="15" customHeight="1" x14ac:dyDescent="0.25">
      <c r="B579" s="470">
        <v>45957.291666666664</v>
      </c>
      <c r="C579" s="263">
        <v>45957.324999999997</v>
      </c>
      <c r="D579" s="477" cm="1">
        <f t="array" ref="D579">IFERROR(HorasUteisFabrica2Turnos(B579,C579), "")</f>
        <v>0.79999999998835847</v>
      </c>
      <c r="E579" s="478">
        <f t="shared" ref="E579:E642" si="9">IFERROR(K579/D579, "")</f>
        <v>25.000000000363798</v>
      </c>
      <c r="F579" s="479" t="s">
        <v>378</v>
      </c>
      <c r="G579" s="480" t="s">
        <v>922</v>
      </c>
      <c r="H579" s="479"/>
      <c r="I579" s="269" t="s">
        <v>920</v>
      </c>
      <c r="J579" s="481" t="s">
        <v>15</v>
      </c>
      <c r="K579" s="268">
        <v>20</v>
      </c>
      <c r="L579" s="480" t="s">
        <v>921</v>
      </c>
      <c r="M579" s="483" t="str">
        <f>IFERROR(INDEX([1]Produtos!$C:$C,MATCH(L579,[1]Produtos!$B:$B,0)), "-")</f>
        <v>RE.PROGRESSIVA PASSO 2</v>
      </c>
      <c r="N579" s="511">
        <f>IFERROR(INDEX([1]Produtos!$E:$E,MATCH(L579,[1]Produtos!$B:$B,0)), "-")</f>
        <v>1000</v>
      </c>
      <c r="O579" s="483" t="str">
        <f>IFERROR(INDEX([1]Produtos!$F:$F,MATCH(L579,[1]Produtos!$B:$B,0)), "-")</f>
        <v>ml</v>
      </c>
      <c r="P579" s="483" t="str">
        <f>IFERROR(INDEX([1]Produtos!$G:$G,MATCH(L579,[1]Produtos!$B:$B,0)), "-")</f>
        <v>KURYOS</v>
      </c>
      <c r="Q579" s="483" t="str">
        <f>IFERROR(INDEX([1]Produtos!$H:$H,MATCH(L579,[1]Produtos!$B:$B,0)), "-")</f>
        <v>CAPILAR</v>
      </c>
      <c r="R579" s="483" t="str">
        <f>IFERROR(INDEX([1]Produtos!$I:$I,MATCH(L579,[1]Produtos!$B:$B,0)), "-")</f>
        <v>PROGRESSIVA</v>
      </c>
      <c r="S579" s="483" t="str">
        <f>IFERROR(INDEX([1]Produtos!$J:$J,MATCH(L579,[1]Produtos!$B:$B,0)), "-")</f>
        <v>DENSO</v>
      </c>
      <c r="T579" s="484"/>
      <c r="U579" s="270"/>
      <c r="V579" s="270"/>
      <c r="W579" s="270"/>
      <c r="X579" s="270"/>
      <c r="Y579" s="270"/>
      <c r="Z579" s="270"/>
      <c r="AA579" s="270"/>
      <c r="AB579" s="270"/>
      <c r="AC579" s="270"/>
      <c r="AD579" s="270"/>
      <c r="AE579" s="270"/>
      <c r="AF579" s="270"/>
      <c r="AG579" s="270"/>
      <c r="AH579" s="270"/>
      <c r="AI579" s="270"/>
      <c r="AJ579" s="270"/>
      <c r="AK579" s="270"/>
      <c r="AL579" s="270"/>
      <c r="AM579" s="663"/>
      <c r="AN579" s="663"/>
      <c r="AO579" s="708" t="str">
        <f>IF(OR(Table1[[#This Row],[Início Setup Envase]]="",Table1[[#This Row],[Final Setup Envase]]=""),"",Table1[[#This Row],[Final Setup Envase]]-Table1[[#This Row],[Início Setup Envase]])</f>
        <v/>
      </c>
      <c r="AP579" s="663"/>
      <c r="AQ579" s="663"/>
      <c r="AR579" s="270"/>
      <c r="AS579" s="270"/>
      <c r="AT579" s="270"/>
      <c r="AU579" s="270"/>
      <c r="AV579" s="270"/>
      <c r="AW579" s="270"/>
      <c r="AX579" s="270"/>
      <c r="AY579" s="270"/>
      <c r="AZ579" s="270"/>
      <c r="BA579" s="270">
        <f>IF(Table1[[#This Row],[Data de Início]]="","",YEAR(Table1[[#This Row],[Data de Início]]))</f>
        <v>2025</v>
      </c>
      <c r="BB579" s="270">
        <f>IF(Table1[[#This Row],[Data de Início]]="","",MONTH(Table1[[#This Row],[Data de Início]]))</f>
        <v>10</v>
      </c>
      <c r="BC579" s="270"/>
    </row>
    <row r="580" spans="2:55" ht="15" customHeight="1" x14ac:dyDescent="0.25">
      <c r="B580" s="470">
        <v>45957.291666666664</v>
      </c>
      <c r="C580" s="263">
        <v>45957.62222222222</v>
      </c>
      <c r="D580" s="477" cm="1">
        <f t="array" ref="D580">IFERROR(HorasUteisFabrica2Turnos(B580,C580), "")</f>
        <v>6.9333333333488554</v>
      </c>
      <c r="E580" s="478">
        <f t="shared" si="9"/>
        <v>366.92307692225546</v>
      </c>
      <c r="F580" s="479" t="s">
        <v>378</v>
      </c>
      <c r="G580" s="479" t="s">
        <v>951</v>
      </c>
      <c r="H580" s="479"/>
      <c r="I580" s="480" t="s">
        <v>927</v>
      </c>
      <c r="J580" s="481" t="s">
        <v>15</v>
      </c>
      <c r="K580" s="268">
        <v>2544</v>
      </c>
      <c r="L580" s="480" t="s">
        <v>211</v>
      </c>
      <c r="M580" s="483" t="str">
        <f>IFERROR(INDEX([1]Produtos!$C:$C,MATCH(L580,[1]Produtos!$B:$B,0)), "-")</f>
        <v>BODY SPLASH AURORA IMPERIAL</v>
      </c>
      <c r="N580" s="511">
        <f>IFERROR(INDEX([1]Produtos!$E:$E,MATCH(L580,[1]Produtos!$B:$B,0)), "-")</f>
        <v>220</v>
      </c>
      <c r="O580" s="483" t="str">
        <f>IFERROR(INDEX([1]Produtos!$F:$F,MATCH(L580,[1]Produtos!$B:$B,0)), "-")</f>
        <v>ml</v>
      </c>
      <c r="P580" s="483" t="str">
        <f>IFERROR(INDEX([1]Produtos!$G:$G,MATCH(L580,[1]Produtos!$B:$B,0)), "-")</f>
        <v>MISS RÔSE</v>
      </c>
      <c r="Q580" s="483" t="str">
        <f>IFERROR(INDEX([1]Produtos!$H:$H,MATCH(L580,[1]Produtos!$B:$B,0)), "-")</f>
        <v>PERFUMARIA</v>
      </c>
      <c r="R580" s="483" t="str">
        <f>IFERROR(INDEX([1]Produtos!$I:$I,MATCH(L580,[1]Produtos!$B:$B,0)), "-")</f>
        <v>BODY SPLASH</v>
      </c>
      <c r="S580" s="483" t="str">
        <f>IFERROR(INDEX([1]Produtos!$J:$J,MATCH(L580,[1]Produtos!$B:$B,0)), "-")</f>
        <v>LÍQUIDO</v>
      </c>
      <c r="T580" s="484"/>
      <c r="U580" s="270"/>
      <c r="V580" s="270"/>
      <c r="W580" s="270"/>
      <c r="X580" s="270"/>
      <c r="Y580" s="270"/>
      <c r="Z580" s="270"/>
      <c r="AA580" s="270"/>
      <c r="AB580" s="270"/>
      <c r="AC580" s="270"/>
      <c r="AD580" s="270"/>
      <c r="AE580" s="270"/>
      <c r="AF580" s="270"/>
      <c r="AG580" s="270"/>
      <c r="AH580" s="270"/>
      <c r="AI580" s="270"/>
      <c r="AJ580" s="270"/>
      <c r="AK580" s="270"/>
      <c r="AL580" s="270"/>
      <c r="AM580" s="663"/>
      <c r="AN580" s="663"/>
      <c r="AO580" s="708" t="str">
        <f>IF(OR(Table1[[#This Row],[Início Setup Envase]]="",Table1[[#This Row],[Final Setup Envase]]=""),"",Table1[[#This Row],[Final Setup Envase]]-Table1[[#This Row],[Início Setup Envase]])</f>
        <v/>
      </c>
      <c r="AP580" s="663"/>
      <c r="AQ580" s="663"/>
      <c r="AR580" s="270"/>
      <c r="AS580" s="270"/>
      <c r="AT580" s="270"/>
      <c r="AU580" s="270"/>
      <c r="AV580" s="270"/>
      <c r="AW580" s="270"/>
      <c r="AX580" s="270"/>
      <c r="AY580" s="270"/>
      <c r="AZ580" s="270"/>
      <c r="BA580" s="270">
        <f>IF(Table1[[#This Row],[Data de Início]]="","",YEAR(Table1[[#This Row],[Data de Início]]))</f>
        <v>2025</v>
      </c>
      <c r="BB580" s="270">
        <f>IF(Table1[[#This Row],[Data de Início]]="","",MONTH(Table1[[#This Row],[Data de Início]]))</f>
        <v>10</v>
      </c>
      <c r="BC580" s="270"/>
    </row>
    <row r="581" spans="2:55" ht="15" customHeight="1" x14ac:dyDescent="0.25">
      <c r="B581" s="489">
        <v>45957.479166666664</v>
      </c>
      <c r="C581" s="490">
        <v>45959.363194444442</v>
      </c>
      <c r="D581" s="477" cm="1">
        <f t="array" ref="D581">IFERROR(HorasUteisFabrica2Turnos(B581,C581), "")</f>
        <v>15.216666666907258</v>
      </c>
      <c r="E581" s="478">
        <f t="shared" si="9"/>
        <v>567.79846658466977</v>
      </c>
      <c r="F581" s="479" t="s">
        <v>378</v>
      </c>
      <c r="G581" s="479" t="s">
        <v>776</v>
      </c>
      <c r="H581" s="479"/>
      <c r="I581" s="480" t="s">
        <v>935</v>
      </c>
      <c r="J581" s="481" t="s">
        <v>15</v>
      </c>
      <c r="K581" s="482">
        <v>8640</v>
      </c>
      <c r="L581" s="480" t="s">
        <v>912</v>
      </c>
      <c r="M581" s="483" t="str">
        <f>IFERROR(INDEX([1]Produtos!$C:$C,MATCH(L581,[1]Produtos!$B:$B,0)), "-")</f>
        <v>PERFUME CAPILAR HONEY</v>
      </c>
      <c r="N581" s="511">
        <f>IFERROR(INDEX([1]Produtos!$E:$E,MATCH(L581,[1]Produtos!$B:$B,0)), "-")</f>
        <v>60</v>
      </c>
      <c r="O581" s="483" t="str">
        <f>IFERROR(INDEX([1]Produtos!$F:$F,MATCH(L581,[1]Produtos!$B:$B,0)), "-")</f>
        <v>ml</v>
      </c>
      <c r="P581" s="483" t="str">
        <f>IFERROR(INDEX([1]Produtos!$G:$G,MATCH(L581,[1]Produtos!$B:$B,0)), "-")</f>
        <v>DAPOP</v>
      </c>
      <c r="Q581" s="483" t="str">
        <f>IFERROR(INDEX([1]Produtos!$H:$H,MATCH(L581,[1]Produtos!$B:$B,0)), "-")</f>
        <v>PERFUMARIA</v>
      </c>
      <c r="R581" s="483" t="str">
        <f>IFERROR(INDEX([1]Produtos!$I:$I,MATCH(L581,[1]Produtos!$B:$B,0)), "-")</f>
        <v>PERFUME CAPILAR</v>
      </c>
      <c r="S581" s="483" t="str">
        <f>IFERROR(INDEX([1]Produtos!$J:$J,MATCH(L581,[1]Produtos!$B:$B,0)), "-")</f>
        <v>LÍQUIDO ESPESSO</v>
      </c>
      <c r="T581" s="484"/>
      <c r="U581" s="270"/>
      <c r="V581" s="270"/>
      <c r="W581" s="270"/>
      <c r="X581" s="270"/>
      <c r="Y581" s="270"/>
      <c r="Z581" s="270"/>
      <c r="AA581" s="270"/>
      <c r="AB581" s="270"/>
      <c r="AC581" s="270"/>
      <c r="AD581" s="270"/>
      <c r="AE581" s="270"/>
      <c r="AF581" s="270"/>
      <c r="AG581" s="270"/>
      <c r="AH581" s="270"/>
      <c r="AI581" s="270"/>
      <c r="AJ581" s="270"/>
      <c r="AK581" s="270"/>
      <c r="AL581" s="270"/>
      <c r="AM581" s="663"/>
      <c r="AN581" s="663"/>
      <c r="AO581" s="708" t="str">
        <f>IF(OR(Table1[[#This Row],[Início Setup Envase]]="",Table1[[#This Row],[Final Setup Envase]]=""),"",Table1[[#This Row],[Final Setup Envase]]-Table1[[#This Row],[Início Setup Envase]])</f>
        <v/>
      </c>
      <c r="AP581" s="663"/>
      <c r="AQ581" s="663"/>
      <c r="AR581" s="270"/>
      <c r="AS581" s="270"/>
      <c r="AT581" s="270"/>
      <c r="AU581" s="270"/>
      <c r="AV581" s="270"/>
      <c r="AW581" s="270"/>
      <c r="AX581" s="270"/>
      <c r="AY581" s="270"/>
      <c r="AZ581" s="270"/>
      <c r="BA581" s="270">
        <f>IF(Table1[[#This Row],[Data de Início]]="","",YEAR(Table1[[#This Row],[Data de Início]]))</f>
        <v>2025</v>
      </c>
      <c r="BB581" s="270">
        <f>IF(Table1[[#This Row],[Data de Início]]="","",MONTH(Table1[[#This Row],[Data de Início]]))</f>
        <v>10</v>
      </c>
      <c r="BC581" s="270"/>
    </row>
    <row r="582" spans="2:55" ht="15" customHeight="1" x14ac:dyDescent="0.25">
      <c r="B582" s="470">
        <v>45958.395833333336</v>
      </c>
      <c r="C582" s="263">
        <v>45958.541666666664</v>
      </c>
      <c r="D582" s="477" cm="1">
        <f t="array" ref="D582">IFERROR(HorasUteisFabrica2Turnos(B582,C582), "")</f>
        <v>3.4999999998835847</v>
      </c>
      <c r="E582" s="478">
        <f t="shared" si="9"/>
        <v>726.85714288131919</v>
      </c>
      <c r="F582" s="479" t="s">
        <v>378</v>
      </c>
      <c r="G582" s="266" t="s">
        <v>951</v>
      </c>
      <c r="H582" s="479"/>
      <c r="I582" s="480" t="s">
        <v>929</v>
      </c>
      <c r="J582" s="481" t="s">
        <v>15</v>
      </c>
      <c r="K582" s="268">
        <v>2544</v>
      </c>
      <c r="L582" s="480" t="s">
        <v>211</v>
      </c>
      <c r="M582" s="483" t="str">
        <f>IFERROR(INDEX([1]Produtos!$C:$C,MATCH(L582,[1]Produtos!$B:$B,0)), "-")</f>
        <v>BODY SPLASH AURORA IMPERIAL</v>
      </c>
      <c r="N582" s="511">
        <f>IFERROR(INDEX([1]Produtos!$E:$E,MATCH(L582,[1]Produtos!$B:$B,0)), "-")</f>
        <v>220</v>
      </c>
      <c r="O582" s="483" t="str">
        <f>IFERROR(INDEX([1]Produtos!$F:$F,MATCH(L582,[1]Produtos!$B:$B,0)), "-")</f>
        <v>ml</v>
      </c>
      <c r="P582" s="483" t="str">
        <f>IFERROR(INDEX([1]Produtos!$G:$G,MATCH(L582,[1]Produtos!$B:$B,0)), "-")</f>
        <v>MISS RÔSE</v>
      </c>
      <c r="Q582" s="483" t="str">
        <f>IFERROR(INDEX([1]Produtos!$H:$H,MATCH(L582,[1]Produtos!$B:$B,0)), "-")</f>
        <v>PERFUMARIA</v>
      </c>
      <c r="R582" s="483" t="str">
        <f>IFERROR(INDEX([1]Produtos!$I:$I,MATCH(L582,[1]Produtos!$B:$B,0)), "-")</f>
        <v>BODY SPLASH</v>
      </c>
      <c r="S582" s="483" t="str">
        <f>IFERROR(INDEX([1]Produtos!$J:$J,MATCH(L582,[1]Produtos!$B:$B,0)), "-")</f>
        <v>LÍQUIDO</v>
      </c>
      <c r="T582" s="484"/>
      <c r="U582" s="270"/>
      <c r="V582" s="270"/>
      <c r="W582" s="270"/>
      <c r="X582" s="270"/>
      <c r="Y582" s="270"/>
      <c r="Z582" s="270"/>
      <c r="AA582" s="270"/>
      <c r="AB582" s="270"/>
      <c r="AC582" s="270"/>
      <c r="AD582" s="270"/>
      <c r="AE582" s="270"/>
      <c r="AF582" s="270"/>
      <c r="AG582" s="270"/>
      <c r="AH582" s="270"/>
      <c r="AI582" s="270"/>
      <c r="AJ582" s="270"/>
      <c r="AK582" s="270"/>
      <c r="AL582" s="270"/>
      <c r="AM582" s="663"/>
      <c r="AN582" s="663"/>
      <c r="AO582" s="708" t="str">
        <f>IF(OR(Table1[[#This Row],[Início Setup Envase]]="",Table1[[#This Row],[Final Setup Envase]]=""),"",Table1[[#This Row],[Final Setup Envase]]-Table1[[#This Row],[Início Setup Envase]])</f>
        <v/>
      </c>
      <c r="AP582" s="663"/>
      <c r="AQ582" s="663"/>
      <c r="AR582" s="270"/>
      <c r="AS582" s="270"/>
      <c r="AT582" s="270"/>
      <c r="AU582" s="270"/>
      <c r="AV582" s="270"/>
      <c r="AW582" s="270"/>
      <c r="AX582" s="270"/>
      <c r="AY582" s="270"/>
      <c r="AZ582" s="270"/>
      <c r="BA582" s="270">
        <f>IF(Table1[[#This Row],[Data de Início]]="","",YEAR(Table1[[#This Row],[Data de Início]]))</f>
        <v>2025</v>
      </c>
      <c r="BB582" s="270">
        <f>IF(Table1[[#This Row],[Data de Início]]="","",MONTH(Table1[[#This Row],[Data de Início]]))</f>
        <v>10</v>
      </c>
      <c r="BC582" s="270"/>
    </row>
    <row r="583" spans="2:55" ht="15" customHeight="1" x14ac:dyDescent="0.25">
      <c r="B583" s="470">
        <v>45959.341666666667</v>
      </c>
      <c r="C583" s="263">
        <v>45959.59375</v>
      </c>
      <c r="D583" s="477" cm="1">
        <f t="array" ref="D583">IFERROR(HorasUteisFabrica2Turnos(B583,C583), "")</f>
        <v>5.0499999999883585</v>
      </c>
      <c r="E583" s="478">
        <f t="shared" si="9"/>
        <v>503.76237623878507</v>
      </c>
      <c r="F583" s="479" t="s">
        <v>378</v>
      </c>
      <c r="G583" s="266" t="s">
        <v>951</v>
      </c>
      <c r="H583" s="479"/>
      <c r="I583" s="480" t="s">
        <v>939</v>
      </c>
      <c r="J583" s="481" t="s">
        <v>15</v>
      </c>
      <c r="K583" s="482">
        <v>2544</v>
      </c>
      <c r="L583" s="480" t="s">
        <v>211</v>
      </c>
      <c r="M583" s="483" t="str">
        <f>IFERROR(INDEX([1]Produtos!$C:$C,MATCH(L583,[1]Produtos!$B:$B,0)), "-")</f>
        <v>BODY SPLASH AURORA IMPERIAL</v>
      </c>
      <c r="N583" s="511">
        <f>IFERROR(INDEX([1]Produtos!$E:$E,MATCH(L583,[1]Produtos!$B:$B,0)), "-")</f>
        <v>220</v>
      </c>
      <c r="O583" s="483" t="str">
        <f>IFERROR(INDEX([1]Produtos!$F:$F,MATCH(L583,[1]Produtos!$B:$B,0)), "-")</f>
        <v>ml</v>
      </c>
      <c r="P583" s="483" t="str">
        <f>IFERROR(INDEX([1]Produtos!$G:$G,MATCH(L583,[1]Produtos!$B:$B,0)), "-")</f>
        <v>MISS RÔSE</v>
      </c>
      <c r="Q583" s="483" t="str">
        <f>IFERROR(INDEX([1]Produtos!$H:$H,MATCH(L583,[1]Produtos!$B:$B,0)), "-")</f>
        <v>PERFUMARIA</v>
      </c>
      <c r="R583" s="483" t="str">
        <f>IFERROR(INDEX([1]Produtos!$I:$I,MATCH(L583,[1]Produtos!$B:$B,0)), "-")</f>
        <v>BODY SPLASH</v>
      </c>
      <c r="S583" s="483" t="str">
        <f>IFERROR(INDEX([1]Produtos!$J:$J,MATCH(L583,[1]Produtos!$B:$B,0)), "-")</f>
        <v>LÍQUIDO</v>
      </c>
      <c r="T583" s="484"/>
      <c r="U583" s="270"/>
      <c r="V583" s="270"/>
      <c r="W583" s="270"/>
      <c r="X583" s="270"/>
      <c r="Y583" s="270"/>
      <c r="Z583" s="270"/>
      <c r="AA583" s="270"/>
      <c r="AB583" s="270"/>
      <c r="AC583" s="270"/>
      <c r="AD583" s="270"/>
      <c r="AE583" s="270"/>
      <c r="AF583" s="270"/>
      <c r="AG583" s="270"/>
      <c r="AH583" s="270"/>
      <c r="AI583" s="270"/>
      <c r="AJ583" s="270"/>
      <c r="AK583" s="270"/>
      <c r="AL583" s="270"/>
      <c r="AM583" s="663"/>
      <c r="AN583" s="663"/>
      <c r="AO583" s="708" t="str">
        <f>IF(OR(Table1[[#This Row],[Início Setup Envase]]="",Table1[[#This Row],[Final Setup Envase]]=""),"",Table1[[#This Row],[Final Setup Envase]]-Table1[[#This Row],[Início Setup Envase]])</f>
        <v/>
      </c>
      <c r="AP583" s="663"/>
      <c r="AQ583" s="663"/>
      <c r="AR583" s="270"/>
      <c r="AS583" s="270"/>
      <c r="AT583" s="270"/>
      <c r="AU583" s="270"/>
      <c r="AV583" s="270"/>
      <c r="AW583" s="270"/>
      <c r="AX583" s="270"/>
      <c r="AY583" s="270"/>
      <c r="AZ583" s="270"/>
      <c r="BA583" s="270">
        <f>IF(Table1[[#This Row],[Data de Início]]="","",YEAR(Table1[[#This Row],[Data de Início]]))</f>
        <v>2025</v>
      </c>
      <c r="BB583" s="270">
        <f>IF(Table1[[#This Row],[Data de Início]]="","",MONTH(Table1[[#This Row],[Data de Início]]))</f>
        <v>10</v>
      </c>
      <c r="BC583" s="270"/>
    </row>
    <row r="584" spans="2:55" ht="15" customHeight="1" x14ac:dyDescent="0.25">
      <c r="B584" s="470">
        <v>45959.361111111109</v>
      </c>
      <c r="C584" s="490">
        <v>45960.625</v>
      </c>
      <c r="D584" s="477" cm="1">
        <f t="array" ref="D584">IFERROR(HorasUteisFabrica2Turnos(B584,C584), "")</f>
        <v>14.333333333488554</v>
      </c>
      <c r="E584" s="478">
        <f t="shared" si="9"/>
        <v>602.79069766789075</v>
      </c>
      <c r="F584" s="479" t="s">
        <v>377</v>
      </c>
      <c r="G584" s="479" t="s">
        <v>776</v>
      </c>
      <c r="H584" s="479"/>
      <c r="I584" s="480" t="s">
        <v>936</v>
      </c>
      <c r="J584" s="481" t="s">
        <v>15</v>
      </c>
      <c r="K584" s="268">
        <v>8640</v>
      </c>
      <c r="L584" s="480" t="s">
        <v>912</v>
      </c>
      <c r="M584" s="483" t="str">
        <f>IFERROR(INDEX([1]Produtos!$C:$C,MATCH(L584,[1]Produtos!$B:$B,0)), "-")</f>
        <v>PERFUME CAPILAR HONEY</v>
      </c>
      <c r="N584" s="511">
        <f>IFERROR(INDEX([1]Produtos!$E:$E,MATCH(L584,[1]Produtos!$B:$B,0)), "-")</f>
        <v>60</v>
      </c>
      <c r="O584" s="483" t="str">
        <f>IFERROR(INDEX([1]Produtos!$F:$F,MATCH(L584,[1]Produtos!$B:$B,0)), "-")</f>
        <v>ml</v>
      </c>
      <c r="P584" s="483" t="str">
        <f>IFERROR(INDEX([1]Produtos!$G:$G,MATCH(L584,[1]Produtos!$B:$B,0)), "-")</f>
        <v>DAPOP</v>
      </c>
      <c r="Q584" s="483" t="str">
        <f>IFERROR(INDEX([1]Produtos!$H:$H,MATCH(L584,[1]Produtos!$B:$B,0)), "-")</f>
        <v>PERFUMARIA</v>
      </c>
      <c r="R584" s="483" t="str">
        <f>IFERROR(INDEX([1]Produtos!$I:$I,MATCH(L584,[1]Produtos!$B:$B,0)), "-")</f>
        <v>PERFUME CAPILAR</v>
      </c>
      <c r="S584" s="483" t="str">
        <f>IFERROR(INDEX([1]Produtos!$J:$J,MATCH(L584,[1]Produtos!$B:$B,0)), "-")</f>
        <v>LÍQUIDO ESPESSO</v>
      </c>
      <c r="T584" s="484"/>
      <c r="U584" s="270"/>
      <c r="V584" s="270"/>
      <c r="W584" s="270"/>
      <c r="X584" s="270"/>
      <c r="Y584" s="270"/>
      <c r="Z584" s="270"/>
      <c r="AA584" s="270"/>
      <c r="AB584" s="270"/>
      <c r="AC584" s="270"/>
      <c r="AD584" s="270"/>
      <c r="AE584" s="270"/>
      <c r="AF584" s="270"/>
      <c r="AG584" s="270"/>
      <c r="AH584" s="270"/>
      <c r="AI584" s="270"/>
      <c r="AJ584" s="270"/>
      <c r="AK584" s="270"/>
      <c r="AL584" s="270"/>
      <c r="AM584" s="663"/>
      <c r="AN584" s="663"/>
      <c r="AO584" s="708" t="str">
        <f>IF(OR(Table1[[#This Row],[Início Setup Envase]]="",Table1[[#This Row],[Final Setup Envase]]=""),"",Table1[[#This Row],[Final Setup Envase]]-Table1[[#This Row],[Início Setup Envase]])</f>
        <v/>
      </c>
      <c r="AP584" s="663"/>
      <c r="AQ584" s="663"/>
      <c r="AR584" s="270"/>
      <c r="AS584" s="270"/>
      <c r="AT584" s="270"/>
      <c r="AU584" s="270"/>
      <c r="AV584" s="270"/>
      <c r="AW584" s="270"/>
      <c r="AX584" s="270"/>
      <c r="AY584" s="270"/>
      <c r="AZ584" s="270"/>
      <c r="BA584" s="270">
        <f>IF(Table1[[#This Row],[Data de Início]]="","",YEAR(Table1[[#This Row],[Data de Início]]))</f>
        <v>2025</v>
      </c>
      <c r="BB584" s="270">
        <f>IF(Table1[[#This Row],[Data de Início]]="","",MONTH(Table1[[#This Row],[Data de Início]]))</f>
        <v>10</v>
      </c>
      <c r="BC584" s="270"/>
    </row>
    <row r="585" spans="2:55" ht="15" customHeight="1" x14ac:dyDescent="0.25">
      <c r="B585" s="470">
        <v>45959.4375</v>
      </c>
      <c r="C585" s="490">
        <v>45959.604166666664</v>
      </c>
      <c r="D585" s="477" cm="1">
        <f t="array" ref="D585">IFERROR(HorasUteisFabrica2Turnos(B585,C585), "")</f>
        <v>2.9999999999417923</v>
      </c>
      <c r="E585" s="478">
        <f t="shared" si="9"/>
        <v>848.00000001645333</v>
      </c>
      <c r="F585" s="479" t="s">
        <v>378</v>
      </c>
      <c r="G585" s="479" t="s">
        <v>950</v>
      </c>
      <c r="H585" s="479"/>
      <c r="I585" s="480" t="s">
        <v>941</v>
      </c>
      <c r="J585" s="481" t="s">
        <v>15</v>
      </c>
      <c r="K585" s="482">
        <v>2544</v>
      </c>
      <c r="L585" s="480" t="s">
        <v>212</v>
      </c>
      <c r="M585" s="483" t="str">
        <f>IFERROR(INDEX([1]Produtos!$C:$C,MATCH(L585,[1]Produtos!$B:$B,0)), "-")</f>
        <v>BODY SPLASH FORÇA DO LEAO</v>
      </c>
      <c r="N585" s="511">
        <f>IFERROR(INDEX([1]Produtos!$E:$E,MATCH(L585,[1]Produtos!$B:$B,0)), "-")</f>
        <v>220</v>
      </c>
      <c r="O585" s="483" t="str">
        <f>IFERROR(INDEX([1]Produtos!$F:$F,MATCH(L585,[1]Produtos!$B:$B,0)), "-")</f>
        <v>ml</v>
      </c>
      <c r="P585" s="483" t="str">
        <f>IFERROR(INDEX([1]Produtos!$G:$G,MATCH(L585,[1]Produtos!$B:$B,0)), "-")</f>
        <v>MISS RÔSE</v>
      </c>
      <c r="Q585" s="483" t="str">
        <f>IFERROR(INDEX([1]Produtos!$H:$H,MATCH(L585,[1]Produtos!$B:$B,0)), "-")</f>
        <v>PERFUMARIA</v>
      </c>
      <c r="R585" s="483" t="str">
        <f>IFERROR(INDEX([1]Produtos!$I:$I,MATCH(L585,[1]Produtos!$B:$B,0)), "-")</f>
        <v>BODY SPLASH</v>
      </c>
      <c r="S585" s="483" t="str">
        <f>IFERROR(INDEX([1]Produtos!$J:$J,MATCH(L585,[1]Produtos!$B:$B,0)), "-")</f>
        <v>LÍQUIDO</v>
      </c>
      <c r="T585" s="484"/>
      <c r="U585" s="270"/>
      <c r="V585" s="270"/>
      <c r="W585" s="270"/>
      <c r="X585" s="270"/>
      <c r="Y585" s="270"/>
      <c r="Z585" s="270"/>
      <c r="AA585" s="270"/>
      <c r="AB585" s="270"/>
      <c r="AC585" s="270"/>
      <c r="AD585" s="270"/>
      <c r="AE585" s="270"/>
      <c r="AF585" s="270"/>
      <c r="AG585" s="270"/>
      <c r="AH585" s="270"/>
      <c r="AI585" s="270"/>
      <c r="AJ585" s="270"/>
      <c r="AK585" s="270"/>
      <c r="AL585" s="270"/>
      <c r="AM585" s="663"/>
      <c r="AN585" s="663"/>
      <c r="AO585" s="708" t="str">
        <f>IF(OR(Table1[[#This Row],[Início Setup Envase]]="",Table1[[#This Row],[Final Setup Envase]]=""),"",Table1[[#This Row],[Final Setup Envase]]-Table1[[#This Row],[Início Setup Envase]])</f>
        <v/>
      </c>
      <c r="AP585" s="663"/>
      <c r="AQ585" s="663"/>
      <c r="AR585" s="270"/>
      <c r="AS585" s="270"/>
      <c r="AT585" s="270"/>
      <c r="AU585" s="270"/>
      <c r="AV585" s="270"/>
      <c r="AW585" s="270"/>
      <c r="AX585" s="270"/>
      <c r="AY585" s="270"/>
      <c r="AZ585" s="270"/>
      <c r="BA585" s="270">
        <f>IF(Table1[[#This Row],[Data de Início]]="","",YEAR(Table1[[#This Row],[Data de Início]]))</f>
        <v>2025</v>
      </c>
      <c r="BB585" s="270">
        <f>IF(Table1[[#This Row],[Data de Início]]="","",MONTH(Table1[[#This Row],[Data de Início]]))</f>
        <v>10</v>
      </c>
      <c r="BC585" s="270"/>
    </row>
    <row r="586" spans="2:55" ht="15" customHeight="1" x14ac:dyDescent="0.25">
      <c r="B586" s="470">
        <v>45960.59375</v>
      </c>
      <c r="C586" s="490">
        <v>45961.354166666664</v>
      </c>
      <c r="D586" s="477" cm="1">
        <f t="array" ref="D586">IFERROR(HorasUteisFabrica2Turnos(B586,C586), "")</f>
        <v>4.2500000000582077</v>
      </c>
      <c r="E586" s="478">
        <f t="shared" si="9"/>
        <v>248.47058823189107</v>
      </c>
      <c r="F586" s="479" t="s">
        <v>378</v>
      </c>
      <c r="G586" s="266" t="s">
        <v>951</v>
      </c>
      <c r="H586" s="479"/>
      <c r="I586" s="480" t="s">
        <v>937</v>
      </c>
      <c r="J586" s="481" t="s">
        <v>15</v>
      </c>
      <c r="K586" s="482">
        <v>1056</v>
      </c>
      <c r="L586" s="480" t="s">
        <v>211</v>
      </c>
      <c r="M586" s="483" t="str">
        <f>IFERROR(INDEX([1]Produtos!$C:$C,MATCH(L586,[1]Produtos!$B:$B,0)), "-")</f>
        <v>BODY SPLASH AURORA IMPERIAL</v>
      </c>
      <c r="N586" s="511">
        <f>IFERROR(INDEX([1]Produtos!$E:$E,MATCH(L586,[1]Produtos!$B:$B,0)), "-")</f>
        <v>220</v>
      </c>
      <c r="O586" s="483" t="str">
        <f>IFERROR(INDEX([1]Produtos!$F:$F,MATCH(L586,[1]Produtos!$B:$B,0)), "-")</f>
        <v>ml</v>
      </c>
      <c r="P586" s="483" t="str">
        <f>IFERROR(INDEX([1]Produtos!$G:$G,MATCH(L586,[1]Produtos!$B:$B,0)), "-")</f>
        <v>MISS RÔSE</v>
      </c>
      <c r="Q586" s="483" t="str">
        <f>IFERROR(INDEX([1]Produtos!$H:$H,MATCH(L586,[1]Produtos!$B:$B,0)), "-")</f>
        <v>PERFUMARIA</v>
      </c>
      <c r="R586" s="483" t="str">
        <f>IFERROR(INDEX([1]Produtos!$I:$I,MATCH(L586,[1]Produtos!$B:$B,0)), "-")</f>
        <v>BODY SPLASH</v>
      </c>
      <c r="S586" s="483" t="str">
        <f>IFERROR(INDEX([1]Produtos!$J:$J,MATCH(L586,[1]Produtos!$B:$B,0)), "-")</f>
        <v>LÍQUIDO</v>
      </c>
      <c r="T586" s="484"/>
      <c r="U586" s="270"/>
      <c r="V586" s="270"/>
      <c r="W586" s="270"/>
      <c r="X586" s="270"/>
      <c r="Y586" s="270"/>
      <c r="Z586" s="270"/>
      <c r="AA586" s="270"/>
      <c r="AB586" s="270"/>
      <c r="AC586" s="270"/>
      <c r="AD586" s="270"/>
      <c r="AE586" s="270"/>
      <c r="AF586" s="270"/>
      <c r="AG586" s="270"/>
      <c r="AH586" s="270"/>
      <c r="AI586" s="270"/>
      <c r="AJ586" s="270"/>
      <c r="AK586" s="270"/>
      <c r="AL586" s="270"/>
      <c r="AM586" s="663"/>
      <c r="AN586" s="663"/>
      <c r="AO586" s="708" t="str">
        <f>IF(OR(Table1[[#This Row],[Início Setup Envase]]="",Table1[[#This Row],[Final Setup Envase]]=""),"",Table1[[#This Row],[Final Setup Envase]]-Table1[[#This Row],[Início Setup Envase]])</f>
        <v/>
      </c>
      <c r="AP586" s="663"/>
      <c r="AQ586" s="663"/>
      <c r="AR586" s="270"/>
      <c r="AS586" s="270"/>
      <c r="AT586" s="270"/>
      <c r="AU586" s="270"/>
      <c r="AV586" s="270"/>
      <c r="AW586" s="270"/>
      <c r="AX586" s="270"/>
      <c r="AY586" s="270"/>
      <c r="AZ586" s="270"/>
      <c r="BA586" s="270">
        <f>IF(Table1[[#This Row],[Data de Início]]="","",YEAR(Table1[[#This Row],[Data de Início]]))</f>
        <v>2025</v>
      </c>
      <c r="BB586" s="270">
        <f>IF(Table1[[#This Row],[Data de Início]]="","",MONTH(Table1[[#This Row],[Data de Início]]))</f>
        <v>10</v>
      </c>
      <c r="BC586" s="270"/>
    </row>
    <row r="587" spans="2:55" ht="15" customHeight="1" x14ac:dyDescent="0.25">
      <c r="B587" s="470">
        <v>45960.625</v>
      </c>
      <c r="C587" s="490">
        <v>45961.583333333336</v>
      </c>
      <c r="D587" s="477" cm="1">
        <f t="array" ref="D587">IFERROR(HorasUteisFabrica2Turnos(B587,C587), "")</f>
        <v>8.000000000174623</v>
      </c>
      <c r="E587" s="478">
        <f t="shared" si="9"/>
        <v>558.87499998780095</v>
      </c>
      <c r="F587" s="479" t="s">
        <v>378</v>
      </c>
      <c r="G587" s="266" t="s">
        <v>776</v>
      </c>
      <c r="H587" s="479"/>
      <c r="I587" s="480" t="s">
        <v>946</v>
      </c>
      <c r="J587" s="481" t="s">
        <v>15</v>
      </c>
      <c r="K587" s="482">
        <v>4471</v>
      </c>
      <c r="L587" s="480" t="s">
        <v>912</v>
      </c>
      <c r="M587" s="483" t="str">
        <f>IFERROR(INDEX([1]Produtos!$C:$C,MATCH(L587,[1]Produtos!$B:$B,0)), "-")</f>
        <v>PERFUME CAPILAR HONEY</v>
      </c>
      <c r="N587" s="511">
        <f>IFERROR(INDEX([1]Produtos!$E:$E,MATCH(L587,[1]Produtos!$B:$B,0)), "-")</f>
        <v>60</v>
      </c>
      <c r="O587" s="483" t="str">
        <f>IFERROR(INDEX([1]Produtos!$F:$F,MATCH(L587,[1]Produtos!$B:$B,0)), "-")</f>
        <v>ml</v>
      </c>
      <c r="P587" s="483" t="str">
        <f>IFERROR(INDEX([1]Produtos!$G:$G,MATCH(L587,[1]Produtos!$B:$B,0)), "-")</f>
        <v>DAPOP</v>
      </c>
      <c r="Q587" s="483" t="str">
        <f>IFERROR(INDEX([1]Produtos!$H:$H,MATCH(L587,[1]Produtos!$B:$B,0)), "-")</f>
        <v>PERFUMARIA</v>
      </c>
      <c r="R587" s="483" t="str">
        <f>IFERROR(INDEX([1]Produtos!$I:$I,MATCH(L587,[1]Produtos!$B:$B,0)), "-")</f>
        <v>PERFUME CAPILAR</v>
      </c>
      <c r="S587" s="483" t="str">
        <f>IFERROR(INDEX([1]Produtos!$J:$J,MATCH(L587,[1]Produtos!$B:$B,0)), "-")</f>
        <v>LÍQUIDO ESPESSO</v>
      </c>
      <c r="T587" s="484"/>
      <c r="U587" s="270"/>
      <c r="V587" s="270"/>
      <c r="W587" s="270"/>
      <c r="X587" s="270"/>
      <c r="Y587" s="270"/>
      <c r="Z587" s="270"/>
      <c r="AA587" s="270"/>
      <c r="AB587" s="270"/>
      <c r="AC587" s="270"/>
      <c r="AD587" s="270"/>
      <c r="AE587" s="270"/>
      <c r="AF587" s="270"/>
      <c r="AG587" s="270"/>
      <c r="AH587" s="270"/>
      <c r="AI587" s="270"/>
      <c r="AJ587" s="270"/>
      <c r="AK587" s="270"/>
      <c r="AL587" s="270"/>
      <c r="AM587" s="663"/>
      <c r="AN587" s="663"/>
      <c r="AO587" s="708" t="str">
        <f>IF(OR(Table1[[#This Row],[Início Setup Envase]]="",Table1[[#This Row],[Final Setup Envase]]=""),"",Table1[[#This Row],[Final Setup Envase]]-Table1[[#This Row],[Início Setup Envase]])</f>
        <v/>
      </c>
      <c r="AP587" s="663"/>
      <c r="AQ587" s="663"/>
      <c r="AR587" s="270"/>
      <c r="AS587" s="270"/>
      <c r="AT587" s="270"/>
      <c r="AU587" s="270"/>
      <c r="AV587" s="270"/>
      <c r="AW587" s="270"/>
      <c r="AX587" s="270"/>
      <c r="AY587" s="270"/>
      <c r="AZ587" s="270"/>
      <c r="BA587" s="270">
        <f>IF(Table1[[#This Row],[Data de Início]]="","",YEAR(Table1[[#This Row],[Data de Início]]))</f>
        <v>2025</v>
      </c>
      <c r="BB587" s="270">
        <f>IF(Table1[[#This Row],[Data de Início]]="","",MONTH(Table1[[#This Row],[Data de Início]]))</f>
        <v>10</v>
      </c>
      <c r="BC587" s="270"/>
    </row>
    <row r="588" spans="2:55" ht="15" customHeight="1" x14ac:dyDescent="0.25">
      <c r="B588" s="470">
        <v>45961.363194444442</v>
      </c>
      <c r="C588" s="490">
        <v>45961.486111111109</v>
      </c>
      <c r="D588" s="477" cm="1">
        <f t="array" ref="D588">IFERROR(HorasUteisFabrica2Turnos(B588,C588), "")</f>
        <v>2.9500000000116415</v>
      </c>
      <c r="E588" s="478">
        <f t="shared" si="9"/>
        <v>862.37288135252902</v>
      </c>
      <c r="F588" s="479" t="s">
        <v>378</v>
      </c>
      <c r="G588" s="266" t="s">
        <v>950</v>
      </c>
      <c r="H588" s="479"/>
      <c r="I588" s="480" t="s">
        <v>938</v>
      </c>
      <c r="J588" s="481" t="s">
        <v>15</v>
      </c>
      <c r="K588" s="482">
        <v>2544</v>
      </c>
      <c r="L588" s="480" t="s">
        <v>212</v>
      </c>
      <c r="M588" s="483" t="str">
        <f>IFERROR(INDEX([1]Produtos!$C:$C,MATCH(L588,[1]Produtos!$B:$B,0)), "-")</f>
        <v>BODY SPLASH FORÇA DO LEAO</v>
      </c>
      <c r="N588" s="511">
        <f>IFERROR(INDEX([1]Produtos!$E:$E,MATCH(L588,[1]Produtos!$B:$B,0)), "-")</f>
        <v>220</v>
      </c>
      <c r="O588" s="483" t="str">
        <f>IFERROR(INDEX([1]Produtos!$F:$F,MATCH(L588,[1]Produtos!$B:$B,0)), "-")</f>
        <v>ml</v>
      </c>
      <c r="P588" s="483" t="str">
        <f>IFERROR(INDEX([1]Produtos!$G:$G,MATCH(L588,[1]Produtos!$B:$B,0)), "-")</f>
        <v>MISS RÔSE</v>
      </c>
      <c r="Q588" s="483" t="str">
        <f>IFERROR(INDEX([1]Produtos!$H:$H,MATCH(L588,[1]Produtos!$B:$B,0)), "-")</f>
        <v>PERFUMARIA</v>
      </c>
      <c r="R588" s="483" t="str">
        <f>IFERROR(INDEX([1]Produtos!$I:$I,MATCH(L588,[1]Produtos!$B:$B,0)), "-")</f>
        <v>BODY SPLASH</v>
      </c>
      <c r="S588" s="483" t="str">
        <f>IFERROR(INDEX([1]Produtos!$J:$J,MATCH(L588,[1]Produtos!$B:$B,0)), "-")</f>
        <v>LÍQUIDO</v>
      </c>
      <c r="T588" s="484"/>
      <c r="U588" s="270"/>
      <c r="V588" s="270"/>
      <c r="W588" s="270"/>
      <c r="X588" s="270"/>
      <c r="Y588" s="270"/>
      <c r="Z588" s="270"/>
      <c r="AA588" s="270"/>
      <c r="AB588" s="270"/>
      <c r="AC588" s="270"/>
      <c r="AD588" s="270"/>
      <c r="AE588" s="270"/>
      <c r="AF588" s="270"/>
      <c r="AG588" s="270"/>
      <c r="AH588" s="270"/>
      <c r="AI588" s="270"/>
      <c r="AJ588" s="270"/>
      <c r="AK588" s="270"/>
      <c r="AL588" s="270"/>
      <c r="AM588" s="663"/>
      <c r="AN588" s="663"/>
      <c r="AO588" s="708" t="str">
        <f>IF(OR(Table1[[#This Row],[Início Setup Envase]]="",Table1[[#This Row],[Final Setup Envase]]=""),"",Table1[[#This Row],[Final Setup Envase]]-Table1[[#This Row],[Início Setup Envase]])</f>
        <v/>
      </c>
      <c r="AP588" s="663"/>
      <c r="AQ588" s="663"/>
      <c r="AR588" s="270"/>
      <c r="AS588" s="270"/>
      <c r="AT588" s="270"/>
      <c r="AU588" s="270"/>
      <c r="AV588" s="270"/>
      <c r="AW588" s="270"/>
      <c r="AX588" s="270"/>
      <c r="AY588" s="270"/>
      <c r="AZ588" s="270"/>
      <c r="BA588" s="270">
        <f>IF(Table1[[#This Row],[Data de Início]]="","",YEAR(Table1[[#This Row],[Data de Início]]))</f>
        <v>2025</v>
      </c>
      <c r="BB588" s="270">
        <f>IF(Table1[[#This Row],[Data de Início]]="","",MONTH(Table1[[#This Row],[Data de Início]]))</f>
        <v>10</v>
      </c>
      <c r="BC588" s="270"/>
    </row>
    <row r="589" spans="2:55" ht="15" customHeight="1" x14ac:dyDescent="0.25">
      <c r="B589" s="489">
        <v>45961.486111111109</v>
      </c>
      <c r="C589" s="490">
        <v>45961.701388888891</v>
      </c>
      <c r="D589" s="477" cm="1">
        <f t="array" ref="D589">IFERROR(HorasUteisFabrica2Turnos(B589,C589), "")</f>
        <v>3.3333333333139308</v>
      </c>
      <c r="E589" s="478">
        <f t="shared" si="9"/>
        <v>763.20000000444236</v>
      </c>
      <c r="F589" s="479" t="s">
        <v>378</v>
      </c>
      <c r="G589" s="266" t="s">
        <v>950</v>
      </c>
      <c r="H589" s="479"/>
      <c r="I589" s="480" t="s">
        <v>940</v>
      </c>
      <c r="J589" s="494" t="s">
        <v>15</v>
      </c>
      <c r="K589" s="482">
        <v>2544</v>
      </c>
      <c r="L589" s="495" t="s">
        <v>212</v>
      </c>
      <c r="M589" s="483" t="str">
        <f>IFERROR(INDEX([1]Produtos!$C:$C,MATCH(L589,[1]Produtos!$B:$B,0)), "-")</f>
        <v>BODY SPLASH FORÇA DO LEAO</v>
      </c>
      <c r="N589" s="511">
        <f>IFERROR(INDEX([1]Produtos!$E:$E,MATCH(L589,[1]Produtos!$B:$B,0)), "-")</f>
        <v>220</v>
      </c>
      <c r="O589" s="483" t="str">
        <f>IFERROR(INDEX([1]Produtos!$F:$F,MATCH(L589,[1]Produtos!$B:$B,0)), "-")</f>
        <v>ml</v>
      </c>
      <c r="P589" s="483" t="str">
        <f>IFERROR(INDEX([1]Produtos!$G:$G,MATCH(L589,[1]Produtos!$B:$B,0)), "-")</f>
        <v>MISS RÔSE</v>
      </c>
      <c r="Q589" s="483" t="str">
        <f>IFERROR(INDEX([1]Produtos!$H:$H,MATCH(L589,[1]Produtos!$B:$B,0)), "-")</f>
        <v>PERFUMARIA</v>
      </c>
      <c r="R589" s="483" t="str">
        <f>IFERROR(INDEX([1]Produtos!$I:$I,MATCH(L589,[1]Produtos!$B:$B,0)), "-")</f>
        <v>BODY SPLASH</v>
      </c>
      <c r="S589" s="483" t="str">
        <f>IFERROR(INDEX([1]Produtos!$J:$J,MATCH(L589,[1]Produtos!$B:$B,0)), "-")</f>
        <v>LÍQUIDO</v>
      </c>
      <c r="T589" s="484"/>
      <c r="U589" s="270"/>
      <c r="V589" s="270"/>
      <c r="W589" s="270"/>
      <c r="X589" s="270"/>
      <c r="Y589" s="270"/>
      <c r="Z589" s="270"/>
      <c r="AA589" s="270"/>
      <c r="AB589" s="270"/>
      <c r="AC589" s="270"/>
      <c r="AD589" s="270"/>
      <c r="AE589" s="270"/>
      <c r="AF589" s="270"/>
      <c r="AG589" s="270"/>
      <c r="AH589" s="270"/>
      <c r="AI589" s="270"/>
      <c r="AJ589" s="270"/>
      <c r="AK589" s="270"/>
      <c r="AL589" s="270"/>
      <c r="AM589" s="663"/>
      <c r="AN589" s="663"/>
      <c r="AO589" s="708" t="str">
        <f>IF(OR(Table1[[#This Row],[Início Setup Envase]]="",Table1[[#This Row],[Final Setup Envase]]=""),"",Table1[[#This Row],[Final Setup Envase]]-Table1[[#This Row],[Início Setup Envase]])</f>
        <v/>
      </c>
      <c r="AP589" s="663"/>
      <c r="AQ589" s="663"/>
      <c r="AR589" s="270"/>
      <c r="AS589" s="270"/>
      <c r="AT589" s="270"/>
      <c r="AU589" s="270"/>
      <c r="AV589" s="270"/>
      <c r="AW589" s="270"/>
      <c r="AX589" s="270"/>
      <c r="AY589" s="270"/>
      <c r="AZ589" s="270"/>
      <c r="BA589" s="270">
        <f>IF(Table1[[#This Row],[Data de Início]]="","",YEAR(Table1[[#This Row],[Data de Início]]))</f>
        <v>2025</v>
      </c>
      <c r="BB589" s="270">
        <f>IF(Table1[[#This Row],[Data de Início]]="","",MONTH(Table1[[#This Row],[Data de Início]]))</f>
        <v>10</v>
      </c>
      <c r="BC589" s="270"/>
    </row>
    <row r="590" spans="2:55" ht="15" customHeight="1" x14ac:dyDescent="0.25">
      <c r="B590" s="489">
        <v>45964.295138888891</v>
      </c>
      <c r="C590" s="490">
        <v>45964.385416666664</v>
      </c>
      <c r="D590" s="477" cm="1">
        <f t="array" ref="D590">IFERROR(HorasUteisFabrica2Turnos(B590,C590), "")</f>
        <v>2.1666666665696539</v>
      </c>
      <c r="E590" s="478">
        <f t="shared" si="9"/>
        <v>1174.1538462064191</v>
      </c>
      <c r="F590" s="479" t="s">
        <v>378</v>
      </c>
      <c r="G590" s="266" t="s">
        <v>950</v>
      </c>
      <c r="H590" s="479"/>
      <c r="I590" s="480" t="s">
        <v>944</v>
      </c>
      <c r="J590" s="494" t="s">
        <v>15</v>
      </c>
      <c r="K590" s="482">
        <v>2544</v>
      </c>
      <c r="L590" s="495" t="s">
        <v>212</v>
      </c>
      <c r="M590" s="483" t="str">
        <f>IFERROR(INDEX([1]Produtos!$C:$C,MATCH(L590,[1]Produtos!$B:$B,0)), "-")</f>
        <v>BODY SPLASH FORÇA DO LEAO</v>
      </c>
      <c r="N590" s="511">
        <f>IFERROR(INDEX([1]Produtos!$E:$E,MATCH(L590,[1]Produtos!$B:$B,0)), "-")</f>
        <v>220</v>
      </c>
      <c r="O590" s="483" t="str">
        <f>IFERROR(INDEX([1]Produtos!$F:$F,MATCH(L590,[1]Produtos!$B:$B,0)), "-")</f>
        <v>ml</v>
      </c>
      <c r="P590" s="483" t="str">
        <f>IFERROR(INDEX([1]Produtos!$G:$G,MATCH(L590,[1]Produtos!$B:$B,0)), "-")</f>
        <v>MISS RÔSE</v>
      </c>
      <c r="Q590" s="483" t="str">
        <f>IFERROR(INDEX([1]Produtos!$H:$H,MATCH(L590,[1]Produtos!$B:$B,0)), "-")</f>
        <v>PERFUMARIA</v>
      </c>
      <c r="R590" s="483" t="str">
        <f>IFERROR(INDEX([1]Produtos!$I:$I,MATCH(L590,[1]Produtos!$B:$B,0)), "-")</f>
        <v>BODY SPLASH</v>
      </c>
      <c r="S590" s="483" t="str">
        <f>IFERROR(INDEX([1]Produtos!$J:$J,MATCH(L590,[1]Produtos!$B:$B,0)), "-")</f>
        <v>LÍQUIDO</v>
      </c>
      <c r="T590" s="484"/>
      <c r="U590" s="270"/>
      <c r="V590" s="270"/>
      <c r="W590" s="270"/>
      <c r="X590" s="270"/>
      <c r="Y590" s="270"/>
      <c r="Z590" s="270"/>
      <c r="AA590" s="270"/>
      <c r="AB590" s="270"/>
      <c r="AC590" s="270"/>
      <c r="AD590" s="270"/>
      <c r="AE590" s="270"/>
      <c r="AF590" s="270"/>
      <c r="AG590" s="270"/>
      <c r="AH590" s="270"/>
      <c r="AI590" s="270"/>
      <c r="AJ590" s="270"/>
      <c r="AK590" s="270"/>
      <c r="AL590" s="270"/>
      <c r="AM590" s="663"/>
      <c r="AN590" s="663"/>
      <c r="AO590" s="708" t="str">
        <f>IF(OR(Table1[[#This Row],[Início Setup Envase]]="",Table1[[#This Row],[Final Setup Envase]]=""),"",Table1[[#This Row],[Final Setup Envase]]-Table1[[#This Row],[Início Setup Envase]])</f>
        <v/>
      </c>
      <c r="AP590" s="663"/>
      <c r="AQ590" s="663"/>
      <c r="AR590" s="270"/>
      <c r="AS590" s="270"/>
      <c r="AT590" s="270"/>
      <c r="AU590" s="270"/>
      <c r="AV590" s="270"/>
      <c r="AW590" s="270"/>
      <c r="AX590" s="270"/>
      <c r="AY590" s="270"/>
      <c r="AZ590" s="270"/>
      <c r="BA590" s="270">
        <f>IF(Table1[[#This Row],[Data de Início]]="","",YEAR(Table1[[#This Row],[Data de Início]]))</f>
        <v>2025</v>
      </c>
      <c r="BB590" s="270">
        <f>IF(Table1[[#This Row],[Data de Início]]="","",MONTH(Table1[[#This Row],[Data de Início]]))</f>
        <v>11</v>
      </c>
      <c r="BC590" s="270"/>
    </row>
    <row r="591" spans="2:55" ht="15" customHeight="1" x14ac:dyDescent="0.25">
      <c r="B591" s="489">
        <v>45964.385416666664</v>
      </c>
      <c r="C591" s="490">
        <v>45964.565972222219</v>
      </c>
      <c r="D591" s="477" cm="1">
        <f t="array" ref="D591">IFERROR(HorasUteisFabrica2Turnos(B591,C591), "")</f>
        <v>3.3333333333139308</v>
      </c>
      <c r="E591" s="478">
        <f t="shared" si="9"/>
        <v>763.20000000444236</v>
      </c>
      <c r="F591" s="479" t="s">
        <v>378</v>
      </c>
      <c r="G591" s="266" t="s">
        <v>950</v>
      </c>
      <c r="H591" s="479"/>
      <c r="I591" s="480" t="s">
        <v>942</v>
      </c>
      <c r="J591" s="481" t="s">
        <v>15</v>
      </c>
      <c r="K591" s="482">
        <v>2544</v>
      </c>
      <c r="L591" s="495" t="s">
        <v>212</v>
      </c>
      <c r="M591" s="483" t="str">
        <f>IFERROR(INDEX([1]Produtos!$C:$C,MATCH(L591,[1]Produtos!$B:$B,0)), "-")</f>
        <v>BODY SPLASH FORÇA DO LEAO</v>
      </c>
      <c r="N591" s="511">
        <f>IFERROR(INDEX([1]Produtos!$E:$E,MATCH(L591,[1]Produtos!$B:$B,0)), "-")</f>
        <v>220</v>
      </c>
      <c r="O591" s="483" t="str">
        <f>IFERROR(INDEX([1]Produtos!$F:$F,MATCH(L591,[1]Produtos!$B:$B,0)), "-")</f>
        <v>ml</v>
      </c>
      <c r="P591" s="483" t="str">
        <f>IFERROR(INDEX([1]Produtos!$G:$G,MATCH(L591,[1]Produtos!$B:$B,0)), "-")</f>
        <v>MISS RÔSE</v>
      </c>
      <c r="Q591" s="483" t="str">
        <f>IFERROR(INDEX([1]Produtos!$H:$H,MATCH(L591,[1]Produtos!$B:$B,0)), "-")</f>
        <v>PERFUMARIA</v>
      </c>
      <c r="R591" s="483" t="str">
        <f>IFERROR(INDEX([1]Produtos!$I:$I,MATCH(L591,[1]Produtos!$B:$B,0)), "-")</f>
        <v>BODY SPLASH</v>
      </c>
      <c r="S591" s="483" t="str">
        <f>IFERROR(INDEX([1]Produtos!$J:$J,MATCH(L591,[1]Produtos!$B:$B,0)), "-")</f>
        <v>LÍQUIDO</v>
      </c>
      <c r="T591" s="484"/>
      <c r="U591" s="270"/>
      <c r="V591" s="270"/>
      <c r="W591" s="270"/>
      <c r="X591" s="270"/>
      <c r="Y591" s="270"/>
      <c r="Z591" s="270"/>
      <c r="AA591" s="270"/>
      <c r="AB591" s="270"/>
      <c r="AC591" s="270"/>
      <c r="AD591" s="270"/>
      <c r="AE591" s="270"/>
      <c r="AF591" s="270"/>
      <c r="AG591" s="270"/>
      <c r="AH591" s="270"/>
      <c r="AI591" s="270"/>
      <c r="AJ591" s="270"/>
      <c r="AK591" s="270"/>
      <c r="AL591" s="270"/>
      <c r="AM591" s="663"/>
      <c r="AN591" s="663"/>
      <c r="AO591" s="708" t="str">
        <f>IF(OR(Table1[[#This Row],[Início Setup Envase]]="",Table1[[#This Row],[Final Setup Envase]]=""),"",Table1[[#This Row],[Final Setup Envase]]-Table1[[#This Row],[Início Setup Envase]])</f>
        <v/>
      </c>
      <c r="AP591" s="663"/>
      <c r="AQ591" s="663"/>
      <c r="AR591" s="270"/>
      <c r="AS591" s="270"/>
      <c r="AT591" s="270"/>
      <c r="AU591" s="270"/>
      <c r="AV591" s="270"/>
      <c r="AW591" s="270"/>
      <c r="AX591" s="270"/>
      <c r="AY591" s="270"/>
      <c r="AZ591" s="270"/>
      <c r="BA591" s="270">
        <f>IF(Table1[[#This Row],[Data de Início]]="","",YEAR(Table1[[#This Row],[Data de Início]]))</f>
        <v>2025</v>
      </c>
      <c r="BB591" s="270">
        <f>IF(Table1[[#This Row],[Data de Início]]="","",MONTH(Table1[[#This Row],[Data de Início]]))</f>
        <v>11</v>
      </c>
      <c r="BC591" s="270"/>
    </row>
    <row r="592" spans="2:55" ht="15" customHeight="1" x14ac:dyDescent="0.25">
      <c r="B592" s="489">
        <v>45964.565972222219</v>
      </c>
      <c r="C592" s="490">
        <v>45964.645833333336</v>
      </c>
      <c r="D592" s="477" cm="1">
        <f t="array" ref="D592">IFERROR(HorasUteisFabrica2Turnos(B592,C592), "")</f>
        <v>1.9166666668024845</v>
      </c>
      <c r="E592" s="478">
        <f t="shared" si="9"/>
        <v>1327.3043477320323</v>
      </c>
      <c r="F592" s="479" t="s">
        <v>378</v>
      </c>
      <c r="G592" s="266" t="s">
        <v>950</v>
      </c>
      <c r="H592" s="479"/>
      <c r="I592" s="480" t="s">
        <v>945</v>
      </c>
      <c r="J592" s="481" t="s">
        <v>15</v>
      </c>
      <c r="K592" s="482">
        <v>2544</v>
      </c>
      <c r="L592" s="495" t="s">
        <v>212</v>
      </c>
      <c r="M592" s="483" t="str">
        <f>IFERROR(INDEX([1]Produtos!$C:$C,MATCH(L592,[1]Produtos!$B:$B,0)), "-")</f>
        <v>BODY SPLASH FORÇA DO LEAO</v>
      </c>
      <c r="N592" s="511">
        <f>IFERROR(INDEX([1]Produtos!$E:$E,MATCH(L592,[1]Produtos!$B:$B,0)), "-")</f>
        <v>220</v>
      </c>
      <c r="O592" s="483" t="str">
        <f>IFERROR(INDEX([1]Produtos!$F:$F,MATCH(L592,[1]Produtos!$B:$B,0)), "-")</f>
        <v>ml</v>
      </c>
      <c r="P592" s="483" t="str">
        <f>IFERROR(INDEX([1]Produtos!$G:$G,MATCH(L592,[1]Produtos!$B:$B,0)), "-")</f>
        <v>MISS RÔSE</v>
      </c>
      <c r="Q592" s="483" t="str">
        <f>IFERROR(INDEX([1]Produtos!$H:$H,MATCH(L592,[1]Produtos!$B:$B,0)), "-")</f>
        <v>PERFUMARIA</v>
      </c>
      <c r="R592" s="483" t="str">
        <f>IFERROR(INDEX([1]Produtos!$I:$I,MATCH(L592,[1]Produtos!$B:$B,0)), "-")</f>
        <v>BODY SPLASH</v>
      </c>
      <c r="S592" s="483" t="str">
        <f>IFERROR(INDEX([1]Produtos!$J:$J,MATCH(L592,[1]Produtos!$B:$B,0)), "-")</f>
        <v>LÍQUIDO</v>
      </c>
      <c r="T592" s="484"/>
      <c r="U592" s="270"/>
      <c r="V592" s="270"/>
      <c r="W592" s="270"/>
      <c r="X592" s="270"/>
      <c r="Y592" s="270"/>
      <c r="Z592" s="270"/>
      <c r="AA592" s="270"/>
      <c r="AB592" s="270"/>
      <c r="AC592" s="270"/>
      <c r="AD592" s="270"/>
      <c r="AE592" s="270"/>
      <c r="AF592" s="270"/>
      <c r="AG592" s="270"/>
      <c r="AH592" s="270"/>
      <c r="AI592" s="270"/>
      <c r="AJ592" s="270"/>
      <c r="AK592" s="270"/>
      <c r="AL592" s="270"/>
      <c r="AM592" s="663"/>
      <c r="AN592" s="663"/>
      <c r="AO592" s="708" t="str">
        <f>IF(OR(Table1[[#This Row],[Início Setup Envase]]="",Table1[[#This Row],[Final Setup Envase]]=""),"",Table1[[#This Row],[Final Setup Envase]]-Table1[[#This Row],[Início Setup Envase]])</f>
        <v/>
      </c>
      <c r="AP592" s="663"/>
      <c r="AQ592" s="663"/>
      <c r="AR592" s="270"/>
      <c r="AS592" s="270"/>
      <c r="AT592" s="270"/>
      <c r="AU592" s="270"/>
      <c r="AV592" s="270"/>
      <c r="AW592" s="270"/>
      <c r="AX592" s="270"/>
      <c r="AY592" s="270"/>
      <c r="AZ592" s="270"/>
      <c r="BA592" s="270">
        <f>IF(Table1[[#This Row],[Data de Início]]="","",YEAR(Table1[[#This Row],[Data de Início]]))</f>
        <v>2025</v>
      </c>
      <c r="BB592" s="270">
        <f>IF(Table1[[#This Row],[Data de Início]]="","",MONTH(Table1[[#This Row],[Data de Início]]))</f>
        <v>11</v>
      </c>
      <c r="BC592" s="270"/>
    </row>
    <row r="593" spans="2:55" ht="15" customHeight="1" x14ac:dyDescent="0.25">
      <c r="B593" s="489">
        <v>45964.645833333336</v>
      </c>
      <c r="C593" s="490">
        <v>45965.361111111109</v>
      </c>
      <c r="D593" s="477" cm="1">
        <f t="array" ref="D593">IFERROR(HorasUteisFabrica2Turnos(B593,C593), "")</f>
        <v>3.1666666666860692</v>
      </c>
      <c r="E593" s="478">
        <f t="shared" si="9"/>
        <v>803.36842104770926</v>
      </c>
      <c r="F593" s="479" t="s">
        <v>378</v>
      </c>
      <c r="G593" s="266" t="s">
        <v>950</v>
      </c>
      <c r="H593" s="479"/>
      <c r="I593" s="480" t="s">
        <v>943</v>
      </c>
      <c r="J593" s="481" t="s">
        <v>15</v>
      </c>
      <c r="K593" s="482">
        <v>2544</v>
      </c>
      <c r="L593" s="480" t="s">
        <v>212</v>
      </c>
      <c r="M593" s="483" t="str">
        <f>IFERROR(INDEX([1]Produtos!$C:$C,MATCH(L593,[1]Produtos!$B:$B,0)), "-")</f>
        <v>BODY SPLASH FORÇA DO LEAO</v>
      </c>
      <c r="N593" s="511">
        <f>IFERROR(INDEX([1]Produtos!$E:$E,MATCH(L593,[1]Produtos!$B:$B,0)), "-")</f>
        <v>220</v>
      </c>
      <c r="O593" s="483" t="str">
        <f>IFERROR(INDEX([1]Produtos!$F:$F,MATCH(L593,[1]Produtos!$B:$B,0)), "-")</f>
        <v>ml</v>
      </c>
      <c r="P593" s="483" t="str">
        <f>IFERROR(INDEX([1]Produtos!$G:$G,MATCH(L593,[1]Produtos!$B:$B,0)), "-")</f>
        <v>MISS RÔSE</v>
      </c>
      <c r="Q593" s="483" t="str">
        <f>IFERROR(INDEX([1]Produtos!$H:$H,MATCH(L593,[1]Produtos!$B:$B,0)), "-")</f>
        <v>PERFUMARIA</v>
      </c>
      <c r="R593" s="483" t="str">
        <f>IFERROR(INDEX([1]Produtos!$I:$I,MATCH(L593,[1]Produtos!$B:$B,0)), "-")</f>
        <v>BODY SPLASH</v>
      </c>
      <c r="S593" s="483" t="str">
        <f>IFERROR(INDEX([1]Produtos!$J:$J,MATCH(L593,[1]Produtos!$B:$B,0)), "-")</f>
        <v>LÍQUIDO</v>
      </c>
      <c r="T593" s="484"/>
      <c r="U593" s="270"/>
      <c r="V593" s="270"/>
      <c r="W593" s="270"/>
      <c r="X593" s="270"/>
      <c r="Y593" s="270"/>
      <c r="Z593" s="270"/>
      <c r="AA593" s="270"/>
      <c r="AB593" s="270"/>
      <c r="AC593" s="270"/>
      <c r="AD593" s="270"/>
      <c r="AE593" s="270"/>
      <c r="AF593" s="270"/>
      <c r="AG593" s="270"/>
      <c r="AH593" s="270"/>
      <c r="AI593" s="270"/>
      <c r="AJ593" s="270"/>
      <c r="AK593" s="270"/>
      <c r="AL593" s="270"/>
      <c r="AM593" s="663"/>
      <c r="AN593" s="663"/>
      <c r="AO593" s="708" t="str">
        <f>IF(OR(Table1[[#This Row],[Início Setup Envase]]="",Table1[[#This Row],[Final Setup Envase]]=""),"",Table1[[#This Row],[Final Setup Envase]]-Table1[[#This Row],[Início Setup Envase]])</f>
        <v/>
      </c>
      <c r="AP593" s="663"/>
      <c r="AQ593" s="663"/>
      <c r="AR593" s="270"/>
      <c r="AS593" s="270"/>
      <c r="AT593" s="270"/>
      <c r="AU593" s="270"/>
      <c r="AV593" s="270"/>
      <c r="AW593" s="270"/>
      <c r="AX593" s="270"/>
      <c r="AY593" s="270"/>
      <c r="AZ593" s="270"/>
      <c r="BA593" s="270">
        <f>IF(Table1[[#This Row],[Data de Início]]="","",YEAR(Table1[[#This Row],[Data de Início]]))</f>
        <v>2025</v>
      </c>
      <c r="BB593" s="270">
        <f>IF(Table1[[#This Row],[Data de Início]]="","",MONTH(Table1[[#This Row],[Data de Início]]))</f>
        <v>11</v>
      </c>
      <c r="BC593" s="270"/>
    </row>
    <row r="594" spans="2:55" ht="15" customHeight="1" x14ac:dyDescent="0.25">
      <c r="B594" s="489">
        <v>45965.291666666664</v>
      </c>
      <c r="C594" s="490">
        <v>45972.583333333336</v>
      </c>
      <c r="D594" s="477" cm="1">
        <f t="array" ref="D594">IFERROR(HorasUteisFabrica2Turnos(B594,C594), "")</f>
        <v>50.000000000582077</v>
      </c>
      <c r="E594" s="478">
        <f t="shared" si="9"/>
        <v>547.19999999362972</v>
      </c>
      <c r="F594" s="479" t="s">
        <v>377</v>
      </c>
      <c r="G594" s="266" t="s">
        <v>971</v>
      </c>
      <c r="H594" s="479"/>
      <c r="I594" s="480" t="s">
        <v>145</v>
      </c>
      <c r="J594" s="481" t="s">
        <v>15</v>
      </c>
      <c r="K594" s="482">
        <f>(78*60)+(78*60)+(77*60)+(77*60)+(77*60)+(59*60)+(10*60)</f>
        <v>27360</v>
      </c>
      <c r="L594" s="495" t="s">
        <v>972</v>
      </c>
      <c r="M594" s="483" t="str">
        <f>IFERROR(INDEX([1]Produtos!$C:$C,MATCH(L594,[1]Produtos!$B:$B,0)), "-")</f>
        <v>RE.BODY SPLASH DAPOP HONEY GLOW</v>
      </c>
      <c r="N594" s="511">
        <f>IFERROR(INDEX([1]Produtos!$E:$E,MATCH(L594,[1]Produtos!$B:$B,0)), "-")</f>
        <v>120</v>
      </c>
      <c r="O594" s="483" t="str">
        <f>IFERROR(INDEX([1]Produtos!$F:$F,MATCH(L594,[1]Produtos!$B:$B,0)), "-")</f>
        <v>ml</v>
      </c>
      <c r="P594" s="483" t="str">
        <f>IFERROR(INDEX([1]Produtos!$G:$G,MATCH(L594,[1]Produtos!$B:$B,0)), "-")</f>
        <v>DAPOP</v>
      </c>
      <c r="Q594" s="483" t="str">
        <f>IFERROR(INDEX([1]Produtos!$H:$H,MATCH(L594,[1]Produtos!$B:$B,0)), "-")</f>
        <v>PERFUMARIA</v>
      </c>
      <c r="R594" s="483" t="str">
        <f>IFERROR(INDEX([1]Produtos!$I:$I,MATCH(L594,[1]Produtos!$B:$B,0)), "-")</f>
        <v>BODY SPLASH</v>
      </c>
      <c r="S594" s="483" t="str">
        <f>IFERROR(INDEX([1]Produtos!$J:$J,MATCH(L594,[1]Produtos!$B:$B,0)), "-")</f>
        <v>LÍQUIDO ESPESSO</v>
      </c>
      <c r="T594" s="484"/>
      <c r="U594" s="270"/>
      <c r="V594" s="270"/>
      <c r="W594" s="270"/>
      <c r="X594" s="270"/>
      <c r="Y594" s="270"/>
      <c r="Z594" s="270"/>
      <c r="AA594" s="270"/>
      <c r="AB594" s="270"/>
      <c r="AC594" s="270"/>
      <c r="AD594" s="270"/>
      <c r="AE594" s="270"/>
      <c r="AF594" s="270"/>
      <c r="AG594" s="270"/>
      <c r="AH594" s="270"/>
      <c r="AI594" s="270"/>
      <c r="AJ594" s="270"/>
      <c r="AK594" s="270"/>
      <c r="AL594" s="270"/>
      <c r="AM594" s="663"/>
      <c r="AN594" s="663"/>
      <c r="AO594" s="708" t="str">
        <f>IF(OR(Table1[[#This Row],[Início Setup Envase]]="",Table1[[#This Row],[Final Setup Envase]]=""),"",Table1[[#This Row],[Final Setup Envase]]-Table1[[#This Row],[Início Setup Envase]])</f>
        <v/>
      </c>
      <c r="AP594" s="663"/>
      <c r="AQ594" s="663"/>
      <c r="AR594" s="270"/>
      <c r="AS594" s="270"/>
      <c r="AT594" s="270"/>
      <c r="AU594" s="270"/>
      <c r="AV594" s="270"/>
      <c r="AW594" s="270"/>
      <c r="AX594" s="270"/>
      <c r="AY594" s="270"/>
      <c r="AZ594" s="270"/>
      <c r="BA594" s="270">
        <f>IF(Table1[[#This Row],[Data de Início]]="","",YEAR(Table1[[#This Row],[Data de Início]]))</f>
        <v>2025</v>
      </c>
      <c r="BB594" s="270">
        <f>IF(Table1[[#This Row],[Data de Início]]="","",MONTH(Table1[[#This Row],[Data de Início]]))</f>
        <v>11</v>
      </c>
      <c r="BC594" s="270"/>
    </row>
    <row r="595" spans="2:55" ht="15" customHeight="1" x14ac:dyDescent="0.25">
      <c r="B595" s="489">
        <v>45965.361111111109</v>
      </c>
      <c r="C595" s="490">
        <v>45965.472222222219</v>
      </c>
      <c r="D595" s="477" cm="1">
        <f t="array" ref="D595">IFERROR(HorasUteisFabrica2Turnos(B595,C595), "")</f>
        <v>2.6666666666278616</v>
      </c>
      <c r="E595" s="478">
        <f t="shared" si="9"/>
        <v>954.00000001388253</v>
      </c>
      <c r="F595" s="479" t="s">
        <v>378</v>
      </c>
      <c r="G595" s="266" t="s">
        <v>950</v>
      </c>
      <c r="H595" s="479"/>
      <c r="I595" s="480" t="s">
        <v>947</v>
      </c>
      <c r="J595" s="481" t="s">
        <v>15</v>
      </c>
      <c r="K595" s="482">
        <v>2544</v>
      </c>
      <c r="L595" s="495" t="s">
        <v>212</v>
      </c>
      <c r="M595" s="483" t="str">
        <f>IFERROR(INDEX([1]Produtos!$C:$C,MATCH(L595,[1]Produtos!$B:$B,0)), "-")</f>
        <v>BODY SPLASH FORÇA DO LEAO</v>
      </c>
      <c r="N595" s="511">
        <f>IFERROR(INDEX([1]Produtos!$E:$E,MATCH(L595,[1]Produtos!$B:$B,0)), "-")</f>
        <v>220</v>
      </c>
      <c r="O595" s="483" t="str">
        <f>IFERROR(INDEX([1]Produtos!$F:$F,MATCH(L595,[1]Produtos!$B:$B,0)), "-")</f>
        <v>ml</v>
      </c>
      <c r="P595" s="483" t="str">
        <f>IFERROR(INDEX([1]Produtos!$G:$G,MATCH(L595,[1]Produtos!$B:$B,0)), "-")</f>
        <v>MISS RÔSE</v>
      </c>
      <c r="Q595" s="483" t="str">
        <f>IFERROR(INDEX([1]Produtos!$H:$H,MATCH(L595,[1]Produtos!$B:$B,0)), "-")</f>
        <v>PERFUMARIA</v>
      </c>
      <c r="R595" s="483" t="str">
        <f>IFERROR(INDEX([1]Produtos!$I:$I,MATCH(L595,[1]Produtos!$B:$B,0)), "-")</f>
        <v>BODY SPLASH</v>
      </c>
      <c r="S595" s="483" t="str">
        <f>IFERROR(INDEX([1]Produtos!$J:$J,MATCH(L595,[1]Produtos!$B:$B,0)), "-")</f>
        <v>LÍQUIDO</v>
      </c>
      <c r="T595" s="484"/>
      <c r="U595" s="270"/>
      <c r="V595" s="270"/>
      <c r="W595" s="270"/>
      <c r="X595" s="270"/>
      <c r="Y595" s="270"/>
      <c r="Z595" s="270"/>
      <c r="AA595" s="270"/>
      <c r="AB595" s="270"/>
      <c r="AC595" s="270"/>
      <c r="AD595" s="270"/>
      <c r="AE595" s="270"/>
      <c r="AF595" s="270"/>
      <c r="AG595" s="270"/>
      <c r="AH595" s="270"/>
      <c r="AI595" s="270"/>
      <c r="AJ595" s="270"/>
      <c r="AK595" s="270"/>
      <c r="AL595" s="270"/>
      <c r="AM595" s="663"/>
      <c r="AN595" s="663"/>
      <c r="AO595" s="708" t="str">
        <f>IF(OR(Table1[[#This Row],[Início Setup Envase]]="",Table1[[#This Row],[Final Setup Envase]]=""),"",Table1[[#This Row],[Final Setup Envase]]-Table1[[#This Row],[Início Setup Envase]])</f>
        <v/>
      </c>
      <c r="AP595" s="663"/>
      <c r="AQ595" s="663"/>
      <c r="AR595" s="270"/>
      <c r="AS595" s="270"/>
      <c r="AT595" s="270"/>
      <c r="AU595" s="270"/>
      <c r="AV595" s="270"/>
      <c r="AW595" s="270"/>
      <c r="AX595" s="270"/>
      <c r="AY595" s="270"/>
      <c r="AZ595" s="270"/>
      <c r="BA595" s="270">
        <f>IF(Table1[[#This Row],[Data de Início]]="","",YEAR(Table1[[#This Row],[Data de Início]]))</f>
        <v>2025</v>
      </c>
      <c r="BB595" s="270">
        <f>IF(Table1[[#This Row],[Data de Início]]="","",MONTH(Table1[[#This Row],[Data de Início]]))</f>
        <v>11</v>
      </c>
      <c r="BC595" s="270"/>
    </row>
    <row r="596" spans="2:55" ht="15" customHeight="1" x14ac:dyDescent="0.25">
      <c r="B596" s="489">
        <v>45965.472222222219</v>
      </c>
      <c r="C596" s="490">
        <v>45965.625</v>
      </c>
      <c r="D596" s="477" cm="1">
        <f t="array" ref="D596">IFERROR(HorasUteisFabrica2Turnos(B596,C596), "")</f>
        <v>2.6666666667442769</v>
      </c>
      <c r="E596" s="478">
        <f t="shared" si="9"/>
        <v>953.99999997223495</v>
      </c>
      <c r="F596" s="479" t="s">
        <v>378</v>
      </c>
      <c r="G596" s="266" t="s">
        <v>950</v>
      </c>
      <c r="H596" s="479"/>
      <c r="I596" s="480" t="s">
        <v>948</v>
      </c>
      <c r="J596" s="481" t="s">
        <v>15</v>
      </c>
      <c r="K596" s="482">
        <v>2544</v>
      </c>
      <c r="L596" s="495" t="s">
        <v>212</v>
      </c>
      <c r="M596" s="483" t="str">
        <f>IFERROR(INDEX([1]Produtos!$C:$C,MATCH(L596,[1]Produtos!$B:$B,0)), "-")</f>
        <v>BODY SPLASH FORÇA DO LEAO</v>
      </c>
      <c r="N596" s="511">
        <f>IFERROR(INDEX([1]Produtos!$E:$E,MATCH(L596,[1]Produtos!$B:$B,0)), "-")</f>
        <v>220</v>
      </c>
      <c r="O596" s="483" t="str">
        <f>IFERROR(INDEX([1]Produtos!$F:$F,MATCH(L596,[1]Produtos!$B:$B,0)), "-")</f>
        <v>ml</v>
      </c>
      <c r="P596" s="483" t="str">
        <f>IFERROR(INDEX([1]Produtos!$G:$G,MATCH(L596,[1]Produtos!$B:$B,0)), "-")</f>
        <v>MISS RÔSE</v>
      </c>
      <c r="Q596" s="483" t="str">
        <f>IFERROR(INDEX([1]Produtos!$H:$H,MATCH(L596,[1]Produtos!$B:$B,0)), "-")</f>
        <v>PERFUMARIA</v>
      </c>
      <c r="R596" s="483" t="str">
        <f>IFERROR(INDEX([1]Produtos!$I:$I,MATCH(L596,[1]Produtos!$B:$B,0)), "-")</f>
        <v>BODY SPLASH</v>
      </c>
      <c r="S596" s="483" t="str">
        <f>IFERROR(INDEX([1]Produtos!$J:$J,MATCH(L596,[1]Produtos!$B:$B,0)), "-")</f>
        <v>LÍQUIDO</v>
      </c>
      <c r="T596" s="484"/>
      <c r="U596" s="270"/>
      <c r="V596" s="270"/>
      <c r="W596" s="270"/>
      <c r="X596" s="270"/>
      <c r="Y596" s="270"/>
      <c r="Z596" s="270"/>
      <c r="AA596" s="270"/>
      <c r="AB596" s="270"/>
      <c r="AC596" s="270"/>
      <c r="AD596" s="270"/>
      <c r="AE596" s="270"/>
      <c r="AF596" s="270"/>
      <c r="AG596" s="270"/>
      <c r="AH596" s="270"/>
      <c r="AI596" s="270"/>
      <c r="AJ596" s="270"/>
      <c r="AK596" s="270"/>
      <c r="AL596" s="270"/>
      <c r="AM596" s="663"/>
      <c r="AN596" s="663"/>
      <c r="AO596" s="708" t="str">
        <f>IF(OR(Table1[[#This Row],[Início Setup Envase]]="",Table1[[#This Row],[Final Setup Envase]]=""),"",Table1[[#This Row],[Final Setup Envase]]-Table1[[#This Row],[Início Setup Envase]])</f>
        <v/>
      </c>
      <c r="AP596" s="663"/>
      <c r="AQ596" s="663"/>
      <c r="AR596" s="270"/>
      <c r="AS596" s="270"/>
      <c r="AT596" s="270"/>
      <c r="AU596" s="270"/>
      <c r="AV596" s="270"/>
      <c r="AW596" s="270"/>
      <c r="AX596" s="270"/>
      <c r="AY596" s="270"/>
      <c r="AZ596" s="270"/>
      <c r="BA596" s="270">
        <f>IF(Table1[[#This Row],[Data de Início]]="","",YEAR(Table1[[#This Row],[Data de Início]]))</f>
        <v>2025</v>
      </c>
      <c r="BB596" s="270">
        <f>IF(Table1[[#This Row],[Data de Início]]="","",MONTH(Table1[[#This Row],[Data de Início]]))</f>
        <v>11</v>
      </c>
      <c r="BC596" s="270"/>
    </row>
    <row r="597" spans="2:55" ht="15" customHeight="1" x14ac:dyDescent="0.25">
      <c r="B597" s="489">
        <v>45965.625</v>
      </c>
      <c r="C597" s="490">
        <v>45966.368055555555</v>
      </c>
      <c r="D597" s="477" cm="1">
        <f t="array" ref="D597">IFERROR(HorasUteisFabrica2Turnos(B597,C597), "")</f>
        <v>3.8333333334303461</v>
      </c>
      <c r="E597" s="478">
        <f t="shared" si="9"/>
        <v>663.65217389624797</v>
      </c>
      <c r="F597" s="479" t="s">
        <v>378</v>
      </c>
      <c r="G597" s="266" t="s">
        <v>950</v>
      </c>
      <c r="H597" s="479"/>
      <c r="I597" s="480" t="s">
        <v>949</v>
      </c>
      <c r="J597" s="481" t="s">
        <v>15</v>
      </c>
      <c r="K597" s="482">
        <v>2544</v>
      </c>
      <c r="L597" s="495" t="s">
        <v>212</v>
      </c>
      <c r="M597" s="483" t="str">
        <f>IFERROR(INDEX([1]Produtos!$C:$C,MATCH(L597,[1]Produtos!$B:$B,0)), "-")</f>
        <v>BODY SPLASH FORÇA DO LEAO</v>
      </c>
      <c r="N597" s="511">
        <f>IFERROR(INDEX([1]Produtos!$E:$E,MATCH(L597,[1]Produtos!$B:$B,0)), "-")</f>
        <v>220</v>
      </c>
      <c r="O597" s="483" t="str">
        <f>IFERROR(INDEX([1]Produtos!$F:$F,MATCH(L597,[1]Produtos!$B:$B,0)), "-")</f>
        <v>ml</v>
      </c>
      <c r="P597" s="483" t="str">
        <f>IFERROR(INDEX([1]Produtos!$G:$G,MATCH(L597,[1]Produtos!$B:$B,0)), "-")</f>
        <v>MISS RÔSE</v>
      </c>
      <c r="Q597" s="483" t="str">
        <f>IFERROR(INDEX([1]Produtos!$H:$H,MATCH(L597,[1]Produtos!$B:$B,0)), "-")</f>
        <v>PERFUMARIA</v>
      </c>
      <c r="R597" s="483" t="str">
        <f>IFERROR(INDEX([1]Produtos!$I:$I,MATCH(L597,[1]Produtos!$B:$B,0)), "-")</f>
        <v>BODY SPLASH</v>
      </c>
      <c r="S597" s="483" t="str">
        <f>IFERROR(INDEX([1]Produtos!$J:$J,MATCH(L597,[1]Produtos!$B:$B,0)), "-")</f>
        <v>LÍQUIDO</v>
      </c>
      <c r="T597" s="484"/>
      <c r="U597" s="270"/>
      <c r="V597" s="270"/>
      <c r="W597" s="270"/>
      <c r="X597" s="270"/>
      <c r="Y597" s="270"/>
      <c r="Z597" s="270"/>
      <c r="AA597" s="270"/>
      <c r="AB597" s="270"/>
      <c r="AC597" s="270"/>
      <c r="AD597" s="270"/>
      <c r="AE597" s="270"/>
      <c r="AF597" s="270"/>
      <c r="AG597" s="270"/>
      <c r="AH597" s="270"/>
      <c r="AI597" s="270"/>
      <c r="AJ597" s="270"/>
      <c r="AK597" s="270"/>
      <c r="AL597" s="270"/>
      <c r="AM597" s="663"/>
      <c r="AN597" s="663"/>
      <c r="AO597" s="708" t="str">
        <f>IF(OR(Table1[[#This Row],[Início Setup Envase]]="",Table1[[#This Row],[Final Setup Envase]]=""),"",Table1[[#This Row],[Final Setup Envase]]-Table1[[#This Row],[Início Setup Envase]])</f>
        <v/>
      </c>
      <c r="AP597" s="663"/>
      <c r="AQ597" s="663"/>
      <c r="AR597" s="270"/>
      <c r="AS597" s="270"/>
      <c r="AT597" s="270"/>
      <c r="AU597" s="270"/>
      <c r="AV597" s="270"/>
      <c r="AW597" s="270"/>
      <c r="AX597" s="270"/>
      <c r="AY597" s="270"/>
      <c r="AZ597" s="270"/>
      <c r="BA597" s="270">
        <f>IF(Table1[[#This Row],[Data de Início]]="","",YEAR(Table1[[#This Row],[Data de Início]]))</f>
        <v>2025</v>
      </c>
      <c r="BB597" s="270">
        <f>IF(Table1[[#This Row],[Data de Início]]="","",MONTH(Table1[[#This Row],[Data de Início]]))</f>
        <v>11</v>
      </c>
      <c r="BC597" s="270"/>
    </row>
    <row r="598" spans="2:55" ht="15" customHeight="1" x14ac:dyDescent="0.25">
      <c r="B598" s="489">
        <v>45966.368055555555</v>
      </c>
      <c r="C598" s="490">
        <v>45966.479166666664</v>
      </c>
      <c r="D598" s="477" cm="1">
        <f t="array" ref="D598">IFERROR(HorasUteisFabrica2Turnos(B598,C598), "")</f>
        <v>2.6666666666278616</v>
      </c>
      <c r="E598" s="478">
        <f t="shared" si="9"/>
        <v>954.00000001388253</v>
      </c>
      <c r="F598" s="479" t="s">
        <v>378</v>
      </c>
      <c r="G598" s="266" t="s">
        <v>950</v>
      </c>
      <c r="H598" s="479"/>
      <c r="I598" s="480" t="s">
        <v>953</v>
      </c>
      <c r="J598" s="481" t="s">
        <v>15</v>
      </c>
      <c r="K598" s="482">
        <v>2544</v>
      </c>
      <c r="L598" s="495" t="s">
        <v>212</v>
      </c>
      <c r="M598" s="483" t="str">
        <f>IFERROR(INDEX([1]Produtos!$C:$C,MATCH(L598,[1]Produtos!$B:$B,0)), "-")</f>
        <v>BODY SPLASH FORÇA DO LEAO</v>
      </c>
      <c r="N598" s="511">
        <f>IFERROR(INDEX([1]Produtos!$E:$E,MATCH(L598,[1]Produtos!$B:$B,0)), "-")</f>
        <v>220</v>
      </c>
      <c r="O598" s="483" t="str">
        <f>IFERROR(INDEX([1]Produtos!$F:$F,MATCH(L598,[1]Produtos!$B:$B,0)), "-")</f>
        <v>ml</v>
      </c>
      <c r="P598" s="483" t="str">
        <f>IFERROR(INDEX([1]Produtos!$G:$G,MATCH(L598,[1]Produtos!$B:$B,0)), "-")</f>
        <v>MISS RÔSE</v>
      </c>
      <c r="Q598" s="483" t="str">
        <f>IFERROR(INDEX([1]Produtos!$H:$H,MATCH(L598,[1]Produtos!$B:$B,0)), "-")</f>
        <v>PERFUMARIA</v>
      </c>
      <c r="R598" s="483" t="str">
        <f>IFERROR(INDEX([1]Produtos!$I:$I,MATCH(L598,[1]Produtos!$B:$B,0)), "-")</f>
        <v>BODY SPLASH</v>
      </c>
      <c r="S598" s="483" t="str">
        <f>IFERROR(INDEX([1]Produtos!$J:$J,MATCH(L598,[1]Produtos!$B:$B,0)), "-")</f>
        <v>LÍQUIDO</v>
      </c>
      <c r="T598" s="484"/>
      <c r="U598" s="270"/>
      <c r="V598" s="270"/>
      <c r="W598" s="270"/>
      <c r="X598" s="270"/>
      <c r="Y598" s="270"/>
      <c r="Z598" s="270"/>
      <c r="AA598" s="270"/>
      <c r="AB598" s="270"/>
      <c r="AC598" s="270"/>
      <c r="AD598" s="270"/>
      <c r="AE598" s="270"/>
      <c r="AF598" s="270"/>
      <c r="AG598" s="270"/>
      <c r="AH598" s="270"/>
      <c r="AI598" s="270"/>
      <c r="AJ598" s="270"/>
      <c r="AK598" s="270"/>
      <c r="AL598" s="270"/>
      <c r="AM598" s="663"/>
      <c r="AN598" s="663"/>
      <c r="AO598" s="708" t="str">
        <f>IF(OR(Table1[[#This Row],[Início Setup Envase]]="",Table1[[#This Row],[Final Setup Envase]]=""),"",Table1[[#This Row],[Final Setup Envase]]-Table1[[#This Row],[Início Setup Envase]])</f>
        <v/>
      </c>
      <c r="AP598" s="663"/>
      <c r="AQ598" s="663"/>
      <c r="AR598" s="270"/>
      <c r="AS598" s="270"/>
      <c r="AT598" s="270"/>
      <c r="AU598" s="270"/>
      <c r="AV598" s="270"/>
      <c r="AW598" s="270"/>
      <c r="AX598" s="270"/>
      <c r="AY598" s="270"/>
      <c r="AZ598" s="270"/>
      <c r="BA598" s="270">
        <f>IF(Table1[[#This Row],[Data de Início]]="","",YEAR(Table1[[#This Row],[Data de Início]]))</f>
        <v>2025</v>
      </c>
      <c r="BB598" s="270">
        <f>IF(Table1[[#This Row],[Data de Início]]="","",MONTH(Table1[[#This Row],[Data de Início]]))</f>
        <v>11</v>
      </c>
      <c r="BC598" s="270"/>
    </row>
    <row r="599" spans="2:55" ht="15" customHeight="1" x14ac:dyDescent="0.25">
      <c r="B599" s="489">
        <v>45966.479166666664</v>
      </c>
      <c r="C599" s="490">
        <v>45966.625</v>
      </c>
      <c r="D599" s="477" cm="1">
        <f t="array" ref="D599">IFERROR(HorasUteisFabrica2Turnos(B599,C599), "")</f>
        <v>2.5000000000582077</v>
      </c>
      <c r="E599" s="478">
        <f t="shared" si="9"/>
        <v>1017.5999999763071</v>
      </c>
      <c r="F599" s="479" t="s">
        <v>378</v>
      </c>
      <c r="G599" s="266" t="s">
        <v>950</v>
      </c>
      <c r="H599" s="479"/>
      <c r="I599" s="480" t="s">
        <v>954</v>
      </c>
      <c r="J599" s="481" t="s">
        <v>15</v>
      </c>
      <c r="K599" s="482">
        <v>2544</v>
      </c>
      <c r="L599" s="495" t="s">
        <v>212</v>
      </c>
      <c r="M599" s="483" t="str">
        <f>IFERROR(INDEX([1]Produtos!$C:$C,MATCH(L599,[1]Produtos!$B:$B,0)), "-")</f>
        <v>BODY SPLASH FORÇA DO LEAO</v>
      </c>
      <c r="N599" s="511">
        <f>IFERROR(INDEX([1]Produtos!$E:$E,MATCH(L599,[1]Produtos!$B:$B,0)), "-")</f>
        <v>220</v>
      </c>
      <c r="O599" s="483" t="str">
        <f>IFERROR(INDEX([1]Produtos!$F:$F,MATCH(L599,[1]Produtos!$B:$B,0)), "-")</f>
        <v>ml</v>
      </c>
      <c r="P599" s="483" t="str">
        <f>IFERROR(INDEX([1]Produtos!$G:$G,MATCH(L599,[1]Produtos!$B:$B,0)), "-")</f>
        <v>MISS RÔSE</v>
      </c>
      <c r="Q599" s="483" t="str">
        <f>IFERROR(INDEX([1]Produtos!$H:$H,MATCH(L599,[1]Produtos!$B:$B,0)), "-")</f>
        <v>PERFUMARIA</v>
      </c>
      <c r="R599" s="483" t="str">
        <f>IFERROR(INDEX([1]Produtos!$I:$I,MATCH(L599,[1]Produtos!$B:$B,0)), "-")</f>
        <v>BODY SPLASH</v>
      </c>
      <c r="S599" s="483" t="str">
        <f>IFERROR(INDEX([1]Produtos!$J:$J,MATCH(L599,[1]Produtos!$B:$B,0)), "-")</f>
        <v>LÍQUIDO</v>
      </c>
      <c r="T599" s="484"/>
      <c r="U599" s="270"/>
      <c r="V599" s="270"/>
      <c r="W599" s="270"/>
      <c r="X599" s="270"/>
      <c r="Y599" s="270"/>
      <c r="Z599" s="270"/>
      <c r="AA599" s="270"/>
      <c r="AB599" s="270"/>
      <c r="AC599" s="270"/>
      <c r="AD599" s="270"/>
      <c r="AE599" s="270"/>
      <c r="AF599" s="270"/>
      <c r="AG599" s="270"/>
      <c r="AH599" s="270"/>
      <c r="AI599" s="270"/>
      <c r="AJ599" s="270"/>
      <c r="AK599" s="270"/>
      <c r="AL599" s="270"/>
      <c r="AM599" s="663"/>
      <c r="AN599" s="663"/>
      <c r="AO599" s="708" t="str">
        <f>IF(OR(Table1[[#This Row],[Início Setup Envase]]="",Table1[[#This Row],[Final Setup Envase]]=""),"",Table1[[#This Row],[Final Setup Envase]]-Table1[[#This Row],[Início Setup Envase]])</f>
        <v/>
      </c>
      <c r="AP599" s="663"/>
      <c r="AQ599" s="663"/>
      <c r="AR599" s="270"/>
      <c r="AS599" s="270"/>
      <c r="AT599" s="270"/>
      <c r="AU599" s="270"/>
      <c r="AV599" s="270"/>
      <c r="AW599" s="270"/>
      <c r="AX599" s="270"/>
      <c r="AY599" s="270"/>
      <c r="AZ599" s="270"/>
      <c r="BA599" s="270">
        <f>IF(Table1[[#This Row],[Data de Início]]="","",YEAR(Table1[[#This Row],[Data de Início]]))</f>
        <v>2025</v>
      </c>
      <c r="BB599" s="270">
        <f>IF(Table1[[#This Row],[Data de Início]]="","",MONTH(Table1[[#This Row],[Data de Início]]))</f>
        <v>11</v>
      </c>
      <c r="BC599" s="270"/>
    </row>
    <row r="600" spans="2:55" ht="15" customHeight="1" x14ac:dyDescent="0.25">
      <c r="B600" s="489">
        <v>45966.625</v>
      </c>
      <c r="C600" s="490">
        <v>45967.36041666667</v>
      </c>
      <c r="D600" s="477" cm="1">
        <f t="array" ref="D600">IFERROR(HorasUteisFabrica2Turnos(B600,C600), "")</f>
        <v>3.650000000197906</v>
      </c>
      <c r="E600" s="478">
        <f t="shared" si="9"/>
        <v>672.60273968955835</v>
      </c>
      <c r="F600" s="479" t="s">
        <v>378</v>
      </c>
      <c r="G600" s="266" t="s">
        <v>950</v>
      </c>
      <c r="H600" s="479"/>
      <c r="I600" s="480" t="s">
        <v>952</v>
      </c>
      <c r="J600" s="481" t="s">
        <v>15</v>
      </c>
      <c r="K600" s="482">
        <v>2455</v>
      </c>
      <c r="L600" s="495" t="s">
        <v>212</v>
      </c>
      <c r="M600" s="483" t="str">
        <f>IFERROR(INDEX([1]Produtos!$C:$C,MATCH(L600,[1]Produtos!$B:$B,0)), "-")</f>
        <v>BODY SPLASH FORÇA DO LEAO</v>
      </c>
      <c r="N600" s="511">
        <f>IFERROR(INDEX([1]Produtos!$E:$E,MATCH(L600,[1]Produtos!$B:$B,0)), "-")</f>
        <v>220</v>
      </c>
      <c r="O600" s="483" t="str">
        <f>IFERROR(INDEX([1]Produtos!$F:$F,MATCH(L600,[1]Produtos!$B:$B,0)), "-")</f>
        <v>ml</v>
      </c>
      <c r="P600" s="483" t="str">
        <f>IFERROR(INDEX([1]Produtos!$G:$G,MATCH(L600,[1]Produtos!$B:$B,0)), "-")</f>
        <v>MISS RÔSE</v>
      </c>
      <c r="Q600" s="483" t="str">
        <f>IFERROR(INDEX([1]Produtos!$H:$H,MATCH(L600,[1]Produtos!$B:$B,0)), "-")</f>
        <v>PERFUMARIA</v>
      </c>
      <c r="R600" s="483" t="str">
        <f>IFERROR(INDEX([1]Produtos!$I:$I,MATCH(L600,[1]Produtos!$B:$B,0)), "-")</f>
        <v>BODY SPLASH</v>
      </c>
      <c r="S600" s="483" t="str">
        <f>IFERROR(INDEX([1]Produtos!$J:$J,MATCH(L600,[1]Produtos!$B:$B,0)), "-")</f>
        <v>LÍQUIDO</v>
      </c>
      <c r="T600" s="484"/>
      <c r="U600" s="270"/>
      <c r="V600" s="270"/>
      <c r="W600" s="270"/>
      <c r="X600" s="270"/>
      <c r="Y600" s="270"/>
      <c r="Z600" s="270"/>
      <c r="AA600" s="270"/>
      <c r="AB600" s="270"/>
      <c r="AC600" s="270"/>
      <c r="AD600" s="270"/>
      <c r="AE600" s="270"/>
      <c r="AF600" s="270"/>
      <c r="AG600" s="270"/>
      <c r="AH600" s="270"/>
      <c r="AI600" s="270"/>
      <c r="AJ600" s="270"/>
      <c r="AK600" s="270"/>
      <c r="AL600" s="270"/>
      <c r="AM600" s="663"/>
      <c r="AN600" s="663"/>
      <c r="AO600" s="708" t="str">
        <f>IF(OR(Table1[[#This Row],[Início Setup Envase]]="",Table1[[#This Row],[Final Setup Envase]]=""),"",Table1[[#This Row],[Final Setup Envase]]-Table1[[#This Row],[Início Setup Envase]])</f>
        <v/>
      </c>
      <c r="AP600" s="663"/>
      <c r="AQ600" s="663"/>
      <c r="AR600" s="270"/>
      <c r="AS600" s="270"/>
      <c r="AT600" s="270"/>
      <c r="AU600" s="270"/>
      <c r="AV600" s="270"/>
      <c r="AW600" s="270"/>
      <c r="AX600" s="270"/>
      <c r="AY600" s="270"/>
      <c r="AZ600" s="270"/>
      <c r="BA600" s="270">
        <f>IF(Table1[[#This Row],[Data de Início]]="","",YEAR(Table1[[#This Row],[Data de Início]]))</f>
        <v>2025</v>
      </c>
      <c r="BB600" s="270">
        <f>IF(Table1[[#This Row],[Data de Início]]="","",MONTH(Table1[[#This Row],[Data de Início]]))</f>
        <v>11</v>
      </c>
      <c r="BC600" s="270"/>
    </row>
    <row r="601" spans="2:55" ht="15" customHeight="1" x14ac:dyDescent="0.25">
      <c r="B601" s="489">
        <v>45967.36041666667</v>
      </c>
      <c r="C601" s="490">
        <v>45967.465277777781</v>
      </c>
      <c r="D601" s="477" cm="1">
        <f t="array" ref="D601">IFERROR(HorasUteisFabrica2Turnos(B601,C601), "")</f>
        <v>2.5166666666627862</v>
      </c>
      <c r="E601" s="478">
        <f t="shared" si="9"/>
        <v>1010.8609271538766</v>
      </c>
      <c r="F601" s="479" t="s">
        <v>378</v>
      </c>
      <c r="G601" s="266" t="s">
        <v>950</v>
      </c>
      <c r="H601" s="479"/>
      <c r="I601" s="480" t="s">
        <v>956</v>
      </c>
      <c r="J601" s="481" t="s">
        <v>15</v>
      </c>
      <c r="K601" s="482">
        <v>2544</v>
      </c>
      <c r="L601" s="495" t="s">
        <v>212</v>
      </c>
      <c r="M601" s="483" t="str">
        <f>IFERROR(INDEX([1]Produtos!$C:$C,MATCH(L601,[1]Produtos!$B:$B,0)), "-")</f>
        <v>BODY SPLASH FORÇA DO LEAO</v>
      </c>
      <c r="N601" s="511">
        <f>IFERROR(INDEX([1]Produtos!$E:$E,MATCH(L601,[1]Produtos!$B:$B,0)), "-")</f>
        <v>220</v>
      </c>
      <c r="O601" s="483" t="str">
        <f>IFERROR(INDEX([1]Produtos!$F:$F,MATCH(L601,[1]Produtos!$B:$B,0)), "-")</f>
        <v>ml</v>
      </c>
      <c r="P601" s="483" t="str">
        <f>IFERROR(INDEX([1]Produtos!$G:$G,MATCH(L601,[1]Produtos!$B:$B,0)), "-")</f>
        <v>MISS RÔSE</v>
      </c>
      <c r="Q601" s="483" t="str">
        <f>IFERROR(INDEX([1]Produtos!$H:$H,MATCH(L601,[1]Produtos!$B:$B,0)), "-")</f>
        <v>PERFUMARIA</v>
      </c>
      <c r="R601" s="483" t="str">
        <f>IFERROR(INDEX([1]Produtos!$I:$I,MATCH(L601,[1]Produtos!$B:$B,0)), "-")</f>
        <v>BODY SPLASH</v>
      </c>
      <c r="S601" s="483" t="str">
        <f>IFERROR(INDEX([1]Produtos!$J:$J,MATCH(L601,[1]Produtos!$B:$B,0)), "-")</f>
        <v>LÍQUIDO</v>
      </c>
      <c r="T601" s="484"/>
      <c r="U601" s="270"/>
      <c r="V601" s="270"/>
      <c r="W601" s="270"/>
      <c r="X601" s="270"/>
      <c r="Y601" s="270"/>
      <c r="Z601" s="270"/>
      <c r="AA601" s="270"/>
      <c r="AB601" s="270"/>
      <c r="AC601" s="270"/>
      <c r="AD601" s="270"/>
      <c r="AE601" s="270"/>
      <c r="AF601" s="270"/>
      <c r="AG601" s="270"/>
      <c r="AH601" s="270"/>
      <c r="AI601" s="270"/>
      <c r="AJ601" s="270"/>
      <c r="AK601" s="270"/>
      <c r="AL601" s="270"/>
      <c r="AM601" s="663"/>
      <c r="AN601" s="663"/>
      <c r="AO601" s="708" t="str">
        <f>IF(OR(Table1[[#This Row],[Início Setup Envase]]="",Table1[[#This Row],[Final Setup Envase]]=""),"",Table1[[#This Row],[Final Setup Envase]]-Table1[[#This Row],[Início Setup Envase]])</f>
        <v/>
      </c>
      <c r="AP601" s="663"/>
      <c r="AQ601" s="663"/>
      <c r="AR601" s="270"/>
      <c r="AS601" s="270"/>
      <c r="AT601" s="270"/>
      <c r="AU601" s="270"/>
      <c r="AV601" s="270"/>
      <c r="AW601" s="270"/>
      <c r="AX601" s="270"/>
      <c r="AY601" s="270"/>
      <c r="AZ601" s="270"/>
      <c r="BA601" s="270">
        <f>IF(Table1[[#This Row],[Data de Início]]="","",YEAR(Table1[[#This Row],[Data de Início]]))</f>
        <v>2025</v>
      </c>
      <c r="BB601" s="270">
        <f>IF(Table1[[#This Row],[Data de Início]]="","",MONTH(Table1[[#This Row],[Data de Início]]))</f>
        <v>11</v>
      </c>
      <c r="BC601" s="270"/>
    </row>
    <row r="602" spans="2:55" ht="15" customHeight="1" x14ac:dyDescent="0.25">
      <c r="B602" s="489">
        <v>45967.465277777781</v>
      </c>
      <c r="C602" s="490">
        <v>45967.618055555555</v>
      </c>
      <c r="D602" s="477" cm="1">
        <f t="array" ref="D602">IFERROR(HorasUteisFabrica2Turnos(B602,C602), "")</f>
        <v>2.6666666665696539</v>
      </c>
      <c r="E602" s="478">
        <f t="shared" si="9"/>
        <v>954.00000003470632</v>
      </c>
      <c r="F602" s="479" t="s">
        <v>378</v>
      </c>
      <c r="G602" s="266" t="s">
        <v>950</v>
      </c>
      <c r="H602" s="479"/>
      <c r="I602" s="480" t="s">
        <v>957</v>
      </c>
      <c r="J602" s="481" t="s">
        <v>15</v>
      </c>
      <c r="K602" s="482">
        <v>2544</v>
      </c>
      <c r="L602" s="495" t="s">
        <v>212</v>
      </c>
      <c r="M602" s="483" t="str">
        <f>IFERROR(INDEX([1]Produtos!$C:$C,MATCH(L602,[1]Produtos!$B:$B,0)), "-")</f>
        <v>BODY SPLASH FORÇA DO LEAO</v>
      </c>
      <c r="N602" s="511">
        <f>IFERROR(INDEX([1]Produtos!$E:$E,MATCH(L602,[1]Produtos!$B:$B,0)), "-")</f>
        <v>220</v>
      </c>
      <c r="O602" s="483" t="str">
        <f>IFERROR(INDEX([1]Produtos!$F:$F,MATCH(L602,[1]Produtos!$B:$B,0)), "-")</f>
        <v>ml</v>
      </c>
      <c r="P602" s="483" t="str">
        <f>IFERROR(INDEX([1]Produtos!$G:$G,MATCH(L602,[1]Produtos!$B:$B,0)), "-")</f>
        <v>MISS RÔSE</v>
      </c>
      <c r="Q602" s="483" t="str">
        <f>IFERROR(INDEX([1]Produtos!$H:$H,MATCH(L602,[1]Produtos!$B:$B,0)), "-")</f>
        <v>PERFUMARIA</v>
      </c>
      <c r="R602" s="483" t="str">
        <f>IFERROR(INDEX([1]Produtos!$I:$I,MATCH(L602,[1]Produtos!$B:$B,0)), "-")</f>
        <v>BODY SPLASH</v>
      </c>
      <c r="S602" s="483" t="str">
        <f>IFERROR(INDEX([1]Produtos!$J:$J,MATCH(L602,[1]Produtos!$B:$B,0)), "-")</f>
        <v>LÍQUIDO</v>
      </c>
      <c r="T602" s="484"/>
      <c r="U602" s="270"/>
      <c r="V602" s="270"/>
      <c r="W602" s="270"/>
      <c r="X602" s="270"/>
      <c r="Y602" s="270"/>
      <c r="Z602" s="270"/>
      <c r="AA602" s="270"/>
      <c r="AB602" s="270"/>
      <c r="AC602" s="270"/>
      <c r="AD602" s="270"/>
      <c r="AE602" s="270"/>
      <c r="AF602" s="270"/>
      <c r="AG602" s="270"/>
      <c r="AH602" s="270"/>
      <c r="AI602" s="270"/>
      <c r="AJ602" s="270"/>
      <c r="AK602" s="270"/>
      <c r="AL602" s="270"/>
      <c r="AM602" s="663"/>
      <c r="AN602" s="663"/>
      <c r="AO602" s="708" t="str">
        <f>IF(OR(Table1[[#This Row],[Início Setup Envase]]="",Table1[[#This Row],[Final Setup Envase]]=""),"",Table1[[#This Row],[Final Setup Envase]]-Table1[[#This Row],[Início Setup Envase]])</f>
        <v/>
      </c>
      <c r="AP602" s="663"/>
      <c r="AQ602" s="663"/>
      <c r="AR602" s="270"/>
      <c r="AS602" s="270"/>
      <c r="AT602" s="270"/>
      <c r="AU602" s="270"/>
      <c r="AV602" s="270"/>
      <c r="AW602" s="270"/>
      <c r="AX602" s="270"/>
      <c r="AY602" s="270"/>
      <c r="AZ602" s="270"/>
      <c r="BA602" s="270">
        <f>IF(Table1[[#This Row],[Data de Início]]="","",YEAR(Table1[[#This Row],[Data de Início]]))</f>
        <v>2025</v>
      </c>
      <c r="BB602" s="270">
        <f>IF(Table1[[#This Row],[Data de Início]]="","",MONTH(Table1[[#This Row],[Data de Início]]))</f>
        <v>11</v>
      </c>
      <c r="BC602" s="270"/>
    </row>
    <row r="603" spans="2:55" ht="15" customHeight="1" x14ac:dyDescent="0.25">
      <c r="B603" s="489">
        <v>45967.618055555555</v>
      </c>
      <c r="C603" s="490">
        <v>45968.458333333336</v>
      </c>
      <c r="D603" s="477" cm="1">
        <f t="array" ref="D603">IFERROR(HorasUteisFabrica2Turnos(B603,C603), "")</f>
        <v>6.1666666668606922</v>
      </c>
      <c r="E603" s="478">
        <f t="shared" si="9"/>
        <v>412.54054052756055</v>
      </c>
      <c r="F603" s="479" t="s">
        <v>378</v>
      </c>
      <c r="G603" s="266" t="s">
        <v>950</v>
      </c>
      <c r="H603" s="479"/>
      <c r="I603" s="480" t="s">
        <v>959</v>
      </c>
      <c r="J603" s="481" t="s">
        <v>15</v>
      </c>
      <c r="K603" s="482">
        <v>2544</v>
      </c>
      <c r="L603" s="495" t="s">
        <v>212</v>
      </c>
      <c r="M603" s="483" t="str">
        <f>IFERROR(INDEX([1]Produtos!$C:$C,MATCH(L603,[1]Produtos!$B:$B,0)), "-")</f>
        <v>BODY SPLASH FORÇA DO LEAO</v>
      </c>
      <c r="N603" s="511">
        <f>IFERROR(INDEX([1]Produtos!$E:$E,MATCH(L603,[1]Produtos!$B:$B,0)), "-")</f>
        <v>220</v>
      </c>
      <c r="O603" s="483" t="str">
        <f>IFERROR(INDEX([1]Produtos!$F:$F,MATCH(L603,[1]Produtos!$B:$B,0)), "-")</f>
        <v>ml</v>
      </c>
      <c r="P603" s="483" t="str">
        <f>IFERROR(INDEX([1]Produtos!$G:$G,MATCH(L603,[1]Produtos!$B:$B,0)), "-")</f>
        <v>MISS RÔSE</v>
      </c>
      <c r="Q603" s="483" t="str">
        <f>IFERROR(INDEX([1]Produtos!$H:$H,MATCH(L603,[1]Produtos!$B:$B,0)), "-")</f>
        <v>PERFUMARIA</v>
      </c>
      <c r="R603" s="483" t="str">
        <f>IFERROR(INDEX([1]Produtos!$I:$I,MATCH(L603,[1]Produtos!$B:$B,0)), "-")</f>
        <v>BODY SPLASH</v>
      </c>
      <c r="S603" s="483" t="str">
        <f>IFERROR(INDEX([1]Produtos!$J:$J,MATCH(L603,[1]Produtos!$B:$B,0)), "-")</f>
        <v>LÍQUIDO</v>
      </c>
      <c r="T603" s="484"/>
      <c r="U603" s="270"/>
      <c r="V603" s="270"/>
      <c r="W603" s="270"/>
      <c r="X603" s="270"/>
      <c r="Y603" s="270"/>
      <c r="Z603" s="270"/>
      <c r="AA603" s="270"/>
      <c r="AB603" s="270"/>
      <c r="AC603" s="270"/>
      <c r="AD603" s="270"/>
      <c r="AE603" s="270"/>
      <c r="AF603" s="270"/>
      <c r="AG603" s="270"/>
      <c r="AH603" s="270"/>
      <c r="AI603" s="270"/>
      <c r="AJ603" s="270"/>
      <c r="AK603" s="270"/>
      <c r="AL603" s="270"/>
      <c r="AM603" s="663"/>
      <c r="AN603" s="663"/>
      <c r="AO603" s="708" t="str">
        <f>IF(OR(Table1[[#This Row],[Início Setup Envase]]="",Table1[[#This Row],[Final Setup Envase]]=""),"",Table1[[#This Row],[Final Setup Envase]]-Table1[[#This Row],[Início Setup Envase]])</f>
        <v/>
      </c>
      <c r="AP603" s="663"/>
      <c r="AQ603" s="663"/>
      <c r="AR603" s="270"/>
      <c r="AS603" s="270"/>
      <c r="AT603" s="270"/>
      <c r="AU603" s="270"/>
      <c r="AV603" s="270"/>
      <c r="AW603" s="270"/>
      <c r="AX603" s="270"/>
      <c r="AY603" s="270"/>
      <c r="AZ603" s="270"/>
      <c r="BA603" s="270">
        <f>IF(Table1[[#This Row],[Data de Início]]="","",YEAR(Table1[[#This Row],[Data de Início]]))</f>
        <v>2025</v>
      </c>
      <c r="BB603" s="270">
        <f>IF(Table1[[#This Row],[Data de Início]]="","",MONTH(Table1[[#This Row],[Data de Início]]))</f>
        <v>11</v>
      </c>
      <c r="BC603" s="270"/>
    </row>
    <row r="604" spans="2:55" ht="15" customHeight="1" x14ac:dyDescent="0.25">
      <c r="B604" s="489">
        <v>45968.333333333336</v>
      </c>
      <c r="C604" s="490">
        <v>45968.449305555558</v>
      </c>
      <c r="D604" s="477" cm="1">
        <f t="array" ref="D604">IFERROR(HorasUteisFabrica2Turnos(B604,C604), "")</f>
        <v>2.7833333333255723</v>
      </c>
      <c r="E604" s="478">
        <f t="shared" si="9"/>
        <v>914.01197605045286</v>
      </c>
      <c r="F604" s="479" t="s">
        <v>378</v>
      </c>
      <c r="G604" s="266" t="s">
        <v>950</v>
      </c>
      <c r="H604" s="479"/>
      <c r="I604" s="480" t="s">
        <v>958</v>
      </c>
      <c r="J604" s="481" t="s">
        <v>15</v>
      </c>
      <c r="K604" s="482">
        <v>2544</v>
      </c>
      <c r="L604" s="495" t="s">
        <v>212</v>
      </c>
      <c r="M604" s="483" t="str">
        <f>IFERROR(INDEX([1]Produtos!$C:$C,MATCH(L604,[1]Produtos!$B:$B,0)), "-")</f>
        <v>BODY SPLASH FORÇA DO LEAO</v>
      </c>
      <c r="N604" s="511">
        <f>IFERROR(INDEX([1]Produtos!$E:$E,MATCH(L604,[1]Produtos!$B:$B,0)), "-")</f>
        <v>220</v>
      </c>
      <c r="O604" s="483" t="str">
        <f>IFERROR(INDEX([1]Produtos!$F:$F,MATCH(L604,[1]Produtos!$B:$B,0)), "-")</f>
        <v>ml</v>
      </c>
      <c r="P604" s="483" t="str">
        <f>IFERROR(INDEX([1]Produtos!$G:$G,MATCH(L604,[1]Produtos!$B:$B,0)), "-")</f>
        <v>MISS RÔSE</v>
      </c>
      <c r="Q604" s="483" t="str">
        <f>IFERROR(INDEX([1]Produtos!$H:$H,MATCH(L604,[1]Produtos!$B:$B,0)), "-")</f>
        <v>PERFUMARIA</v>
      </c>
      <c r="R604" s="483" t="str">
        <f>IFERROR(INDEX([1]Produtos!$I:$I,MATCH(L604,[1]Produtos!$B:$B,0)), "-")</f>
        <v>BODY SPLASH</v>
      </c>
      <c r="S604" s="483" t="str">
        <f>IFERROR(INDEX([1]Produtos!$J:$J,MATCH(L604,[1]Produtos!$B:$B,0)), "-")</f>
        <v>LÍQUIDO</v>
      </c>
      <c r="T604" s="484"/>
      <c r="U604" s="270"/>
      <c r="V604" s="270"/>
      <c r="W604" s="270"/>
      <c r="X604" s="270"/>
      <c r="Y604" s="270"/>
      <c r="Z604" s="270"/>
      <c r="AA604" s="270"/>
      <c r="AB604" s="270"/>
      <c r="AC604" s="270"/>
      <c r="AD604" s="270"/>
      <c r="AE604" s="270"/>
      <c r="AF604" s="270"/>
      <c r="AG604" s="270"/>
      <c r="AH604" s="270"/>
      <c r="AI604" s="270"/>
      <c r="AJ604" s="270"/>
      <c r="AK604" s="270"/>
      <c r="AL604" s="270"/>
      <c r="AM604" s="663"/>
      <c r="AN604" s="663"/>
      <c r="AO604" s="708" t="str">
        <f>IF(OR(Table1[[#This Row],[Início Setup Envase]]="",Table1[[#This Row],[Final Setup Envase]]=""),"",Table1[[#This Row],[Final Setup Envase]]-Table1[[#This Row],[Início Setup Envase]])</f>
        <v/>
      </c>
      <c r="AP604" s="663"/>
      <c r="AQ604" s="663"/>
      <c r="AR604" s="270"/>
      <c r="AS604" s="270"/>
      <c r="AT604" s="270"/>
      <c r="AU604" s="270"/>
      <c r="AV604" s="270"/>
      <c r="AW604" s="270"/>
      <c r="AX604" s="270"/>
      <c r="AY604" s="270"/>
      <c r="AZ604" s="270"/>
      <c r="BA604" s="270">
        <f>IF(Table1[[#This Row],[Data de Início]]="","",YEAR(Table1[[#This Row],[Data de Início]]))</f>
        <v>2025</v>
      </c>
      <c r="BB604" s="270">
        <f>IF(Table1[[#This Row],[Data de Início]]="","",MONTH(Table1[[#This Row],[Data de Início]]))</f>
        <v>11</v>
      </c>
      <c r="BC604" s="270"/>
    </row>
    <row r="605" spans="2:55" ht="15" customHeight="1" x14ac:dyDescent="0.25">
      <c r="B605" s="489">
        <v>45968.451388888891</v>
      </c>
      <c r="C605" s="490">
        <v>45971.326388888891</v>
      </c>
      <c r="D605" s="477" cm="1">
        <f t="array" ref="D605">IFERROR(HorasUteisFabrica2Turnos(B605,C605), "")</f>
        <v>5</v>
      </c>
      <c r="E605" s="478">
        <f t="shared" si="9"/>
        <v>508.8</v>
      </c>
      <c r="F605" s="479" t="s">
        <v>378</v>
      </c>
      <c r="G605" s="266" t="s">
        <v>950</v>
      </c>
      <c r="H605" s="479"/>
      <c r="I605" s="480" t="s">
        <v>960</v>
      </c>
      <c r="J605" s="481" t="s">
        <v>15</v>
      </c>
      <c r="K605" s="482">
        <v>2544</v>
      </c>
      <c r="L605" s="495" t="s">
        <v>212</v>
      </c>
      <c r="M605" s="483" t="str">
        <f>IFERROR(INDEX([1]Produtos!$C:$C,MATCH(L605,[1]Produtos!$B:$B,0)), "-")</f>
        <v>BODY SPLASH FORÇA DO LEAO</v>
      </c>
      <c r="N605" s="511">
        <f>IFERROR(INDEX([1]Produtos!$E:$E,MATCH(L605,[1]Produtos!$B:$B,0)), "-")</f>
        <v>220</v>
      </c>
      <c r="O605" s="483" t="str">
        <f>IFERROR(INDEX([1]Produtos!$F:$F,MATCH(L605,[1]Produtos!$B:$B,0)), "-")</f>
        <v>ml</v>
      </c>
      <c r="P605" s="483" t="str">
        <f>IFERROR(INDEX([1]Produtos!$G:$G,MATCH(L605,[1]Produtos!$B:$B,0)), "-")</f>
        <v>MISS RÔSE</v>
      </c>
      <c r="Q605" s="483" t="str">
        <f>IFERROR(INDEX([1]Produtos!$H:$H,MATCH(L605,[1]Produtos!$B:$B,0)), "-")</f>
        <v>PERFUMARIA</v>
      </c>
      <c r="R605" s="483" t="str">
        <f>IFERROR(INDEX([1]Produtos!$I:$I,MATCH(L605,[1]Produtos!$B:$B,0)), "-")</f>
        <v>BODY SPLASH</v>
      </c>
      <c r="S605" s="483" t="str">
        <f>IFERROR(INDEX([1]Produtos!$J:$J,MATCH(L605,[1]Produtos!$B:$B,0)), "-")</f>
        <v>LÍQUIDO</v>
      </c>
      <c r="T605" s="484"/>
      <c r="U605" s="270"/>
      <c r="V605" s="270"/>
      <c r="W605" s="270"/>
      <c r="X605" s="270"/>
      <c r="Y605" s="270"/>
      <c r="Z605" s="270"/>
      <c r="AA605" s="270"/>
      <c r="AB605" s="270"/>
      <c r="AC605" s="270"/>
      <c r="AD605" s="270"/>
      <c r="AE605" s="270"/>
      <c r="AF605" s="270"/>
      <c r="AG605" s="270"/>
      <c r="AH605" s="270"/>
      <c r="AI605" s="270"/>
      <c r="AJ605" s="270"/>
      <c r="AK605" s="270"/>
      <c r="AL605" s="270"/>
      <c r="AM605" s="663"/>
      <c r="AN605" s="663"/>
      <c r="AO605" s="708" t="str">
        <f>IF(OR(Table1[[#This Row],[Início Setup Envase]]="",Table1[[#This Row],[Final Setup Envase]]=""),"",Table1[[#This Row],[Final Setup Envase]]-Table1[[#This Row],[Início Setup Envase]])</f>
        <v/>
      </c>
      <c r="AP605" s="663"/>
      <c r="AQ605" s="663"/>
      <c r="AR605" s="270"/>
      <c r="AS605" s="270"/>
      <c r="AT605" s="270"/>
      <c r="AU605" s="270"/>
      <c r="AV605" s="270"/>
      <c r="AW605" s="270"/>
      <c r="AX605" s="270"/>
      <c r="AY605" s="270"/>
      <c r="AZ605" s="270"/>
      <c r="BA605" s="270">
        <f>IF(Table1[[#This Row],[Data de Início]]="","",YEAR(Table1[[#This Row],[Data de Início]]))</f>
        <v>2025</v>
      </c>
      <c r="BB605" s="270">
        <f>IF(Table1[[#This Row],[Data de Início]]="","",MONTH(Table1[[#This Row],[Data de Início]]))</f>
        <v>11</v>
      </c>
      <c r="BC605" s="270"/>
    </row>
    <row r="606" spans="2:55" ht="15" customHeight="1" x14ac:dyDescent="0.25">
      <c r="B606" s="489">
        <v>45971.326388888891</v>
      </c>
      <c r="C606" s="490">
        <v>45971.427083333336</v>
      </c>
      <c r="D606" s="477" cm="1">
        <f t="array" ref="D606">IFERROR(HorasUteisFabrica2Turnos(B606,C606), "")</f>
        <v>2.4166666666860692</v>
      </c>
      <c r="E606" s="478">
        <f t="shared" si="9"/>
        <v>1052.689655163962</v>
      </c>
      <c r="F606" s="479" t="s">
        <v>378</v>
      </c>
      <c r="G606" s="266" t="s">
        <v>950</v>
      </c>
      <c r="H606" s="479"/>
      <c r="I606" s="480" t="s">
        <v>961</v>
      </c>
      <c r="J606" s="481" t="s">
        <v>15</v>
      </c>
      <c r="K606" s="482">
        <v>2544</v>
      </c>
      <c r="L606" s="495" t="s">
        <v>212</v>
      </c>
      <c r="M606" s="483" t="str">
        <f>IFERROR(INDEX([1]Produtos!$C:$C,MATCH(L606,[1]Produtos!$B:$B,0)), "-")</f>
        <v>BODY SPLASH FORÇA DO LEAO</v>
      </c>
      <c r="N606" s="511">
        <f>IFERROR(INDEX([1]Produtos!$E:$E,MATCH(L606,[1]Produtos!$B:$B,0)), "-")</f>
        <v>220</v>
      </c>
      <c r="O606" s="483" t="str">
        <f>IFERROR(INDEX([1]Produtos!$F:$F,MATCH(L606,[1]Produtos!$B:$B,0)), "-")</f>
        <v>ml</v>
      </c>
      <c r="P606" s="483" t="str">
        <f>IFERROR(INDEX([1]Produtos!$G:$G,MATCH(L606,[1]Produtos!$B:$B,0)), "-")</f>
        <v>MISS RÔSE</v>
      </c>
      <c r="Q606" s="483" t="str">
        <f>IFERROR(INDEX([1]Produtos!$H:$H,MATCH(L606,[1]Produtos!$B:$B,0)), "-")</f>
        <v>PERFUMARIA</v>
      </c>
      <c r="R606" s="483" t="str">
        <f>IFERROR(INDEX([1]Produtos!$I:$I,MATCH(L606,[1]Produtos!$B:$B,0)), "-")</f>
        <v>BODY SPLASH</v>
      </c>
      <c r="S606" s="483" t="str">
        <f>IFERROR(INDEX([1]Produtos!$J:$J,MATCH(L606,[1]Produtos!$B:$B,0)), "-")</f>
        <v>LÍQUIDO</v>
      </c>
      <c r="T606" s="484"/>
      <c r="U606" s="270"/>
      <c r="V606" s="270"/>
      <c r="W606" s="270"/>
      <c r="X606" s="270"/>
      <c r="Y606" s="270"/>
      <c r="Z606" s="270"/>
      <c r="AA606" s="270"/>
      <c r="AB606" s="270"/>
      <c r="AC606" s="270"/>
      <c r="AD606" s="270"/>
      <c r="AE606" s="270"/>
      <c r="AF606" s="270"/>
      <c r="AG606" s="270"/>
      <c r="AH606" s="270"/>
      <c r="AI606" s="270"/>
      <c r="AJ606" s="270"/>
      <c r="AK606" s="270"/>
      <c r="AL606" s="270"/>
      <c r="AM606" s="663"/>
      <c r="AN606" s="663"/>
      <c r="AO606" s="708" t="str">
        <f>IF(OR(Table1[[#This Row],[Início Setup Envase]]="",Table1[[#This Row],[Final Setup Envase]]=""),"",Table1[[#This Row],[Final Setup Envase]]-Table1[[#This Row],[Início Setup Envase]])</f>
        <v/>
      </c>
      <c r="AP606" s="663"/>
      <c r="AQ606" s="663"/>
      <c r="AR606" s="270"/>
      <c r="AS606" s="270"/>
      <c r="AT606" s="270"/>
      <c r="AU606" s="270"/>
      <c r="AV606" s="270"/>
      <c r="AW606" s="270"/>
      <c r="AX606" s="270"/>
      <c r="AY606" s="270"/>
      <c r="AZ606" s="270"/>
      <c r="BA606" s="270">
        <f>IF(Table1[[#This Row],[Data de Início]]="","",YEAR(Table1[[#This Row],[Data de Início]]))</f>
        <v>2025</v>
      </c>
      <c r="BB606" s="270">
        <f>IF(Table1[[#This Row],[Data de Início]]="","",MONTH(Table1[[#This Row],[Data de Início]]))</f>
        <v>11</v>
      </c>
      <c r="BC606" s="270"/>
    </row>
    <row r="607" spans="2:55" ht="15" customHeight="1" x14ac:dyDescent="0.25">
      <c r="B607" s="489">
        <v>45971.427083333336</v>
      </c>
      <c r="C607" s="490">
        <v>45971.576388888891</v>
      </c>
      <c r="D607" s="477" cm="1">
        <f t="array" ref="D607">IFERROR(HorasUteisFabrica2Turnos(B607,C607), "")</f>
        <v>2.5833333333139308</v>
      </c>
      <c r="E607" s="478">
        <f t="shared" si="9"/>
        <v>984.77419355578343</v>
      </c>
      <c r="F607" s="479" t="s">
        <v>378</v>
      </c>
      <c r="G607" s="266" t="s">
        <v>950</v>
      </c>
      <c r="H607" s="479"/>
      <c r="I607" s="480" t="s">
        <v>962</v>
      </c>
      <c r="J607" s="481" t="s">
        <v>15</v>
      </c>
      <c r="K607" s="482">
        <v>2544</v>
      </c>
      <c r="L607" s="495" t="s">
        <v>212</v>
      </c>
      <c r="M607" s="483" t="str">
        <f>IFERROR(INDEX([1]Produtos!$C:$C,MATCH(L607,[1]Produtos!$B:$B,0)), "-")</f>
        <v>BODY SPLASH FORÇA DO LEAO</v>
      </c>
      <c r="N607" s="511">
        <f>IFERROR(INDEX([1]Produtos!$E:$E,MATCH(L607,[1]Produtos!$B:$B,0)), "-")</f>
        <v>220</v>
      </c>
      <c r="O607" s="483" t="str">
        <f>IFERROR(INDEX([1]Produtos!$F:$F,MATCH(L607,[1]Produtos!$B:$B,0)), "-")</f>
        <v>ml</v>
      </c>
      <c r="P607" s="483" t="str">
        <f>IFERROR(INDEX([1]Produtos!$G:$G,MATCH(L607,[1]Produtos!$B:$B,0)), "-")</f>
        <v>MISS RÔSE</v>
      </c>
      <c r="Q607" s="483" t="str">
        <f>IFERROR(INDEX([1]Produtos!$H:$H,MATCH(L607,[1]Produtos!$B:$B,0)), "-")</f>
        <v>PERFUMARIA</v>
      </c>
      <c r="R607" s="483" t="str">
        <f>IFERROR(INDEX([1]Produtos!$I:$I,MATCH(L607,[1]Produtos!$B:$B,0)), "-")</f>
        <v>BODY SPLASH</v>
      </c>
      <c r="S607" s="483" t="str">
        <f>IFERROR(INDEX([1]Produtos!$J:$J,MATCH(L607,[1]Produtos!$B:$B,0)), "-")</f>
        <v>LÍQUIDO</v>
      </c>
      <c r="T607" s="484"/>
      <c r="U607" s="270"/>
      <c r="V607" s="270"/>
      <c r="W607" s="270"/>
      <c r="X607" s="270"/>
      <c r="Y607" s="270"/>
      <c r="Z607" s="270"/>
      <c r="AA607" s="270"/>
      <c r="AB607" s="270"/>
      <c r="AC607" s="270"/>
      <c r="AD607" s="270"/>
      <c r="AE607" s="270"/>
      <c r="AF607" s="270"/>
      <c r="AG607" s="270"/>
      <c r="AH607" s="270"/>
      <c r="AI607" s="270"/>
      <c r="AJ607" s="270"/>
      <c r="AK607" s="270"/>
      <c r="AL607" s="270"/>
      <c r="AM607" s="663"/>
      <c r="AN607" s="663"/>
      <c r="AO607" s="708" t="str">
        <f>IF(OR(Table1[[#This Row],[Início Setup Envase]]="",Table1[[#This Row],[Final Setup Envase]]=""),"",Table1[[#This Row],[Final Setup Envase]]-Table1[[#This Row],[Início Setup Envase]])</f>
        <v/>
      </c>
      <c r="AP607" s="663"/>
      <c r="AQ607" s="663"/>
      <c r="AR607" s="270"/>
      <c r="AS607" s="270"/>
      <c r="AT607" s="270"/>
      <c r="AU607" s="270"/>
      <c r="AV607" s="270"/>
      <c r="AW607" s="270"/>
      <c r="AX607" s="270"/>
      <c r="AY607" s="270"/>
      <c r="AZ607" s="270"/>
      <c r="BA607" s="270">
        <f>IF(Table1[[#This Row],[Data de Início]]="","",YEAR(Table1[[#This Row],[Data de Início]]))</f>
        <v>2025</v>
      </c>
      <c r="BB607" s="270">
        <f>IF(Table1[[#This Row],[Data de Início]]="","",MONTH(Table1[[#This Row],[Data de Início]]))</f>
        <v>11</v>
      </c>
      <c r="BC607" s="270"/>
    </row>
    <row r="608" spans="2:55" ht="15" customHeight="1" x14ac:dyDescent="0.25">
      <c r="B608" s="489">
        <v>45971.576388888891</v>
      </c>
      <c r="C608" s="490">
        <v>45972.298611111109</v>
      </c>
      <c r="D608" s="477" cm="1">
        <f t="array" ref="D608">IFERROR(HorasUteisFabrica2Turnos(B608,C608), "")</f>
        <v>3.3333333333721384</v>
      </c>
      <c r="E608" s="478">
        <f t="shared" si="9"/>
        <v>763.19999999111519</v>
      </c>
      <c r="F608" s="479" t="s">
        <v>378</v>
      </c>
      <c r="G608" s="266" t="s">
        <v>950</v>
      </c>
      <c r="H608" s="479"/>
      <c r="I608" s="480" t="s">
        <v>964</v>
      </c>
      <c r="J608" s="481" t="s">
        <v>15</v>
      </c>
      <c r="K608" s="482">
        <v>2544</v>
      </c>
      <c r="L608" s="495" t="s">
        <v>212</v>
      </c>
      <c r="M608" s="483" t="str">
        <f>IFERROR(INDEX([1]Produtos!$C:$C,MATCH(L608,[1]Produtos!$B:$B,0)), "-")</f>
        <v>BODY SPLASH FORÇA DO LEAO</v>
      </c>
      <c r="N608" s="511">
        <f>IFERROR(INDEX([1]Produtos!$E:$E,MATCH(L608,[1]Produtos!$B:$B,0)), "-")</f>
        <v>220</v>
      </c>
      <c r="O608" s="483" t="str">
        <f>IFERROR(INDEX([1]Produtos!$F:$F,MATCH(L608,[1]Produtos!$B:$B,0)), "-")</f>
        <v>ml</v>
      </c>
      <c r="P608" s="483" t="str">
        <f>IFERROR(INDEX([1]Produtos!$G:$G,MATCH(L608,[1]Produtos!$B:$B,0)), "-")</f>
        <v>MISS RÔSE</v>
      </c>
      <c r="Q608" s="483" t="str">
        <f>IFERROR(INDEX([1]Produtos!$H:$H,MATCH(L608,[1]Produtos!$B:$B,0)), "-")</f>
        <v>PERFUMARIA</v>
      </c>
      <c r="R608" s="483" t="str">
        <f>IFERROR(INDEX([1]Produtos!$I:$I,MATCH(L608,[1]Produtos!$B:$B,0)), "-")</f>
        <v>BODY SPLASH</v>
      </c>
      <c r="S608" s="483" t="str">
        <f>IFERROR(INDEX([1]Produtos!$J:$J,MATCH(L608,[1]Produtos!$B:$B,0)), "-")</f>
        <v>LÍQUIDO</v>
      </c>
      <c r="T608" s="484"/>
      <c r="U608" s="270"/>
      <c r="V608" s="270"/>
      <c r="W608" s="270"/>
      <c r="X608" s="270"/>
      <c r="Y608" s="270"/>
      <c r="Z608" s="270"/>
      <c r="AA608" s="270"/>
      <c r="AB608" s="270"/>
      <c r="AC608" s="270"/>
      <c r="AD608" s="270"/>
      <c r="AE608" s="270"/>
      <c r="AF608" s="270"/>
      <c r="AG608" s="270"/>
      <c r="AH608" s="270"/>
      <c r="AI608" s="270"/>
      <c r="AJ608" s="270"/>
      <c r="AK608" s="270"/>
      <c r="AL608" s="270"/>
      <c r="AM608" s="663"/>
      <c r="AN608" s="663"/>
      <c r="AO608" s="708" t="str">
        <f>IF(OR(Table1[[#This Row],[Início Setup Envase]]="",Table1[[#This Row],[Final Setup Envase]]=""),"",Table1[[#This Row],[Final Setup Envase]]-Table1[[#This Row],[Início Setup Envase]])</f>
        <v/>
      </c>
      <c r="AP608" s="663"/>
      <c r="AQ608" s="663"/>
      <c r="AR608" s="270"/>
      <c r="AS608" s="270"/>
      <c r="AT608" s="270"/>
      <c r="AU608" s="270"/>
      <c r="AV608" s="270"/>
      <c r="AW608" s="270"/>
      <c r="AX608" s="270"/>
      <c r="AY608" s="270"/>
      <c r="AZ608" s="270"/>
      <c r="BA608" s="270">
        <f>IF(Table1[[#This Row],[Data de Início]]="","",YEAR(Table1[[#This Row],[Data de Início]]))</f>
        <v>2025</v>
      </c>
      <c r="BB608" s="270">
        <f>IF(Table1[[#This Row],[Data de Início]]="","",MONTH(Table1[[#This Row],[Data de Início]]))</f>
        <v>11</v>
      </c>
      <c r="BC608" s="270"/>
    </row>
    <row r="609" spans="2:55" ht="15" customHeight="1" x14ac:dyDescent="0.25">
      <c r="B609" s="489">
        <v>45972.298611111109</v>
      </c>
      <c r="C609" s="490">
        <v>45972.413888888892</v>
      </c>
      <c r="D609" s="477" cm="1">
        <f t="array" ref="D609">IFERROR(HorasUteisFabrica2Turnos(B609,C609), "")</f>
        <v>2.7666666667792015</v>
      </c>
      <c r="E609" s="478">
        <f t="shared" si="9"/>
        <v>919.51807225175503</v>
      </c>
      <c r="F609" s="479" t="s">
        <v>378</v>
      </c>
      <c r="G609" s="266" t="s">
        <v>950</v>
      </c>
      <c r="H609" s="479"/>
      <c r="I609" s="480" t="s">
        <v>963</v>
      </c>
      <c r="J609" s="481" t="s">
        <v>15</v>
      </c>
      <c r="K609" s="482">
        <v>2544</v>
      </c>
      <c r="L609" s="495" t="s">
        <v>212</v>
      </c>
      <c r="M609" s="483" t="str">
        <f>IFERROR(INDEX([1]Produtos!$C:$C,MATCH(L609,[1]Produtos!$B:$B,0)), "-")</f>
        <v>BODY SPLASH FORÇA DO LEAO</v>
      </c>
      <c r="N609" s="511">
        <f>IFERROR(INDEX([1]Produtos!$E:$E,MATCH(L609,[1]Produtos!$B:$B,0)), "-")</f>
        <v>220</v>
      </c>
      <c r="O609" s="483" t="str">
        <f>IFERROR(INDEX([1]Produtos!$F:$F,MATCH(L609,[1]Produtos!$B:$B,0)), "-")</f>
        <v>ml</v>
      </c>
      <c r="P609" s="483" t="str">
        <f>IFERROR(INDEX([1]Produtos!$G:$G,MATCH(L609,[1]Produtos!$B:$B,0)), "-")</f>
        <v>MISS RÔSE</v>
      </c>
      <c r="Q609" s="483" t="str">
        <f>IFERROR(INDEX([1]Produtos!$H:$H,MATCH(L609,[1]Produtos!$B:$B,0)), "-")</f>
        <v>PERFUMARIA</v>
      </c>
      <c r="R609" s="483" t="str">
        <f>IFERROR(INDEX([1]Produtos!$I:$I,MATCH(L609,[1]Produtos!$B:$B,0)), "-")</f>
        <v>BODY SPLASH</v>
      </c>
      <c r="S609" s="483" t="str">
        <f>IFERROR(INDEX([1]Produtos!$J:$J,MATCH(L609,[1]Produtos!$B:$B,0)), "-")</f>
        <v>LÍQUIDO</v>
      </c>
      <c r="T609" s="484"/>
      <c r="U609" s="270"/>
      <c r="V609" s="270"/>
      <c r="W609" s="270"/>
      <c r="X609" s="270"/>
      <c r="Y609" s="270"/>
      <c r="Z609" s="270"/>
      <c r="AA609" s="270"/>
      <c r="AB609" s="270"/>
      <c r="AC609" s="270"/>
      <c r="AD609" s="270"/>
      <c r="AE609" s="270"/>
      <c r="AF609" s="270"/>
      <c r="AG609" s="270"/>
      <c r="AH609" s="270"/>
      <c r="AI609" s="270"/>
      <c r="AJ609" s="270"/>
      <c r="AK609" s="270"/>
      <c r="AL609" s="270"/>
      <c r="AM609" s="663"/>
      <c r="AN609" s="663"/>
      <c r="AO609" s="708" t="str">
        <f>IF(OR(Table1[[#This Row],[Início Setup Envase]]="",Table1[[#This Row],[Final Setup Envase]]=""),"",Table1[[#This Row],[Final Setup Envase]]-Table1[[#This Row],[Início Setup Envase]])</f>
        <v/>
      </c>
      <c r="AP609" s="663"/>
      <c r="AQ609" s="663"/>
      <c r="AR609" s="270"/>
      <c r="AS609" s="270"/>
      <c r="AT609" s="270"/>
      <c r="AU609" s="270"/>
      <c r="AV609" s="270"/>
      <c r="AW609" s="270"/>
      <c r="AX609" s="270"/>
      <c r="AY609" s="270"/>
      <c r="AZ609" s="270"/>
      <c r="BA609" s="270">
        <f>IF(Table1[[#This Row],[Data de Início]]="","",YEAR(Table1[[#This Row],[Data de Início]]))</f>
        <v>2025</v>
      </c>
      <c r="BB609" s="270">
        <f>IF(Table1[[#This Row],[Data de Início]]="","",MONTH(Table1[[#This Row],[Data de Início]]))</f>
        <v>11</v>
      </c>
      <c r="BC609" s="270"/>
    </row>
    <row r="610" spans="2:55" ht="15" customHeight="1" x14ac:dyDescent="0.25">
      <c r="B610" s="489">
        <v>45972.413888888892</v>
      </c>
      <c r="C610" s="490">
        <v>45972.569444444445</v>
      </c>
      <c r="D610" s="477" cm="1">
        <f t="array" ref="D610">IFERROR(HorasUteisFabrica2Turnos(B610,C610), "")</f>
        <v>2.7333333332790062</v>
      </c>
      <c r="E610" s="478">
        <f t="shared" si="9"/>
        <v>930.7317073355722</v>
      </c>
      <c r="F610" s="479" t="s">
        <v>378</v>
      </c>
      <c r="G610" s="266" t="s">
        <v>950</v>
      </c>
      <c r="H610" s="479"/>
      <c r="I610" s="480" t="s">
        <v>966</v>
      </c>
      <c r="J610" s="481" t="s">
        <v>15</v>
      </c>
      <c r="K610" s="482">
        <v>2544</v>
      </c>
      <c r="L610" s="495" t="s">
        <v>212</v>
      </c>
      <c r="M610" s="483" t="str">
        <f>IFERROR(INDEX([1]Produtos!$C:$C,MATCH(L610,[1]Produtos!$B:$B,0)), "-")</f>
        <v>BODY SPLASH FORÇA DO LEAO</v>
      </c>
      <c r="N610" s="511">
        <f>IFERROR(INDEX([1]Produtos!$E:$E,MATCH(L610,[1]Produtos!$B:$B,0)), "-")</f>
        <v>220</v>
      </c>
      <c r="O610" s="483" t="str">
        <f>IFERROR(INDEX([1]Produtos!$F:$F,MATCH(L610,[1]Produtos!$B:$B,0)), "-")</f>
        <v>ml</v>
      </c>
      <c r="P610" s="483" t="str">
        <f>IFERROR(INDEX([1]Produtos!$G:$G,MATCH(L610,[1]Produtos!$B:$B,0)), "-")</f>
        <v>MISS RÔSE</v>
      </c>
      <c r="Q610" s="483" t="str">
        <f>IFERROR(INDEX([1]Produtos!$H:$H,MATCH(L610,[1]Produtos!$B:$B,0)), "-")</f>
        <v>PERFUMARIA</v>
      </c>
      <c r="R610" s="483" t="str">
        <f>IFERROR(INDEX([1]Produtos!$I:$I,MATCH(L610,[1]Produtos!$B:$B,0)), "-")</f>
        <v>BODY SPLASH</v>
      </c>
      <c r="S610" s="483" t="str">
        <f>IFERROR(INDEX([1]Produtos!$J:$J,MATCH(L610,[1]Produtos!$B:$B,0)), "-")</f>
        <v>LÍQUIDO</v>
      </c>
      <c r="T610" s="484"/>
      <c r="U610" s="270"/>
      <c r="V610" s="270"/>
      <c r="W610" s="270"/>
      <c r="X610" s="270"/>
      <c r="Y610" s="270"/>
      <c r="Z610" s="270"/>
      <c r="AA610" s="270"/>
      <c r="AB610" s="270"/>
      <c r="AC610" s="270"/>
      <c r="AD610" s="270"/>
      <c r="AE610" s="270"/>
      <c r="AF610" s="270"/>
      <c r="AG610" s="270"/>
      <c r="AH610" s="270"/>
      <c r="AI610" s="270"/>
      <c r="AJ610" s="270"/>
      <c r="AK610" s="270"/>
      <c r="AL610" s="270"/>
      <c r="AM610" s="663"/>
      <c r="AN610" s="663"/>
      <c r="AO610" s="708" t="str">
        <f>IF(OR(Table1[[#This Row],[Início Setup Envase]]="",Table1[[#This Row],[Final Setup Envase]]=""),"",Table1[[#This Row],[Final Setup Envase]]-Table1[[#This Row],[Início Setup Envase]])</f>
        <v/>
      </c>
      <c r="AP610" s="663"/>
      <c r="AQ610" s="663"/>
      <c r="AR610" s="270"/>
      <c r="AS610" s="270"/>
      <c r="AT610" s="270"/>
      <c r="AU610" s="270"/>
      <c r="AV610" s="270"/>
      <c r="AW610" s="270"/>
      <c r="AX610" s="270"/>
      <c r="AY610" s="270"/>
      <c r="AZ610" s="270"/>
      <c r="BA610" s="270">
        <f>IF(Table1[[#This Row],[Data de Início]]="","",YEAR(Table1[[#This Row],[Data de Início]]))</f>
        <v>2025</v>
      </c>
      <c r="BB610" s="270">
        <f>IF(Table1[[#This Row],[Data de Início]]="","",MONTH(Table1[[#This Row],[Data de Início]]))</f>
        <v>11</v>
      </c>
      <c r="BC610" s="270"/>
    </row>
    <row r="611" spans="2:55" ht="15" customHeight="1" x14ac:dyDescent="0.25">
      <c r="B611" s="489">
        <v>45972.569444444445</v>
      </c>
      <c r="C611" s="490">
        <v>45972.6875</v>
      </c>
      <c r="D611" s="477" cm="1">
        <f t="array" ref="D611">IFERROR(HorasUteisFabrica2Turnos(B611,C611), "")</f>
        <v>2.8333333333139308</v>
      </c>
      <c r="E611" s="478">
        <f t="shared" si="9"/>
        <v>830.11764706450811</v>
      </c>
      <c r="F611" s="479" t="s">
        <v>378</v>
      </c>
      <c r="G611" s="266" t="s">
        <v>950</v>
      </c>
      <c r="H611" s="479"/>
      <c r="I611" s="480" t="s">
        <v>965</v>
      </c>
      <c r="J611" s="481" t="s">
        <v>15</v>
      </c>
      <c r="K611" s="482">
        <v>2352</v>
      </c>
      <c r="L611" s="495" t="s">
        <v>212</v>
      </c>
      <c r="M611" s="483" t="str">
        <f>IFERROR(INDEX([1]Produtos!$C:$C,MATCH(L611,[1]Produtos!$B:$B,0)), "-")</f>
        <v>BODY SPLASH FORÇA DO LEAO</v>
      </c>
      <c r="N611" s="511">
        <f>IFERROR(INDEX([1]Produtos!$E:$E,MATCH(L611,[1]Produtos!$B:$B,0)), "-")</f>
        <v>220</v>
      </c>
      <c r="O611" s="483" t="str">
        <f>IFERROR(INDEX([1]Produtos!$F:$F,MATCH(L611,[1]Produtos!$B:$B,0)), "-")</f>
        <v>ml</v>
      </c>
      <c r="P611" s="483" t="str">
        <f>IFERROR(INDEX([1]Produtos!$G:$G,MATCH(L611,[1]Produtos!$B:$B,0)), "-")</f>
        <v>MISS RÔSE</v>
      </c>
      <c r="Q611" s="483" t="str">
        <f>IFERROR(INDEX([1]Produtos!$H:$H,MATCH(L611,[1]Produtos!$B:$B,0)), "-")</f>
        <v>PERFUMARIA</v>
      </c>
      <c r="R611" s="483" t="str">
        <f>IFERROR(INDEX([1]Produtos!$I:$I,MATCH(L611,[1]Produtos!$B:$B,0)), "-")</f>
        <v>BODY SPLASH</v>
      </c>
      <c r="S611" s="483" t="str">
        <f>IFERROR(INDEX([1]Produtos!$J:$J,MATCH(L611,[1]Produtos!$B:$B,0)), "-")</f>
        <v>LÍQUIDO</v>
      </c>
      <c r="T611" s="484"/>
      <c r="U611" s="270"/>
      <c r="V611" s="270"/>
      <c r="W611" s="270"/>
      <c r="X611" s="270"/>
      <c r="Y611" s="270"/>
      <c r="Z611" s="270"/>
      <c r="AA611" s="270"/>
      <c r="AB611" s="270"/>
      <c r="AC611" s="270"/>
      <c r="AD611" s="270"/>
      <c r="AE611" s="270"/>
      <c r="AF611" s="270"/>
      <c r="AG611" s="270"/>
      <c r="AH611" s="270"/>
      <c r="AI611" s="270"/>
      <c r="AJ611" s="270"/>
      <c r="AK611" s="270"/>
      <c r="AL611" s="270"/>
      <c r="AM611" s="663"/>
      <c r="AN611" s="663"/>
      <c r="AO611" s="708" t="str">
        <f>IF(OR(Table1[[#This Row],[Início Setup Envase]]="",Table1[[#This Row],[Final Setup Envase]]=""),"",Table1[[#This Row],[Final Setup Envase]]-Table1[[#This Row],[Início Setup Envase]])</f>
        <v/>
      </c>
      <c r="AP611" s="663"/>
      <c r="AQ611" s="663"/>
      <c r="AR611" s="270"/>
      <c r="AS611" s="270"/>
      <c r="AT611" s="270"/>
      <c r="AU611" s="270"/>
      <c r="AV611" s="270"/>
      <c r="AW611" s="270"/>
      <c r="AX611" s="270"/>
      <c r="AY611" s="270"/>
      <c r="AZ611" s="270"/>
      <c r="BA611" s="270">
        <f>IF(Table1[[#This Row],[Data de Início]]="","",YEAR(Table1[[#This Row],[Data de Início]]))</f>
        <v>2025</v>
      </c>
      <c r="BB611" s="270">
        <f>IF(Table1[[#This Row],[Data de Início]]="","",MONTH(Table1[[#This Row],[Data de Início]]))</f>
        <v>11</v>
      </c>
      <c r="BC611" s="270"/>
    </row>
    <row r="612" spans="2:55" ht="15" customHeight="1" x14ac:dyDescent="0.25">
      <c r="B612" s="489">
        <v>45973.302083333336</v>
      </c>
      <c r="C612" s="490">
        <v>45973.445138888892</v>
      </c>
      <c r="D612" s="477" cm="1">
        <f t="array" ref="D612">IFERROR(HorasUteisFabrica2Turnos(B612,C612), "")</f>
        <v>3.4333333333488554</v>
      </c>
      <c r="E612" s="478">
        <f t="shared" si="9"/>
        <v>740.97087378305787</v>
      </c>
      <c r="F612" s="479" t="s">
        <v>378</v>
      </c>
      <c r="G612" s="266" t="s">
        <v>967</v>
      </c>
      <c r="H612" s="479"/>
      <c r="I612" s="480" t="s">
        <v>968</v>
      </c>
      <c r="J612" s="481" t="s">
        <v>15</v>
      </c>
      <c r="K612" s="482">
        <v>2544</v>
      </c>
      <c r="L612" s="495" t="s">
        <v>213</v>
      </c>
      <c r="M612" s="483" t="str">
        <f>IFERROR(INDEX([1]Produtos!$C:$C,MATCH(L612,[1]Produtos!$B:$B,0)), "-")</f>
        <v>BODY SPLASH DEUSA DO NILO</v>
      </c>
      <c r="N612" s="511">
        <f>IFERROR(INDEX([1]Produtos!$E:$E,MATCH(L612,[1]Produtos!$B:$B,0)), "-")</f>
        <v>220</v>
      </c>
      <c r="O612" s="483" t="str">
        <f>IFERROR(INDEX([1]Produtos!$F:$F,MATCH(L612,[1]Produtos!$B:$B,0)), "-")</f>
        <v>ml</v>
      </c>
      <c r="P612" s="483" t="str">
        <f>IFERROR(INDEX([1]Produtos!$G:$G,MATCH(L612,[1]Produtos!$B:$B,0)), "-")</f>
        <v>MISS RÔSE</v>
      </c>
      <c r="Q612" s="483" t="str">
        <f>IFERROR(INDEX([1]Produtos!$H:$H,MATCH(L612,[1]Produtos!$B:$B,0)), "-")</f>
        <v>PERFUMARIA</v>
      </c>
      <c r="R612" s="483" t="str">
        <f>IFERROR(INDEX([1]Produtos!$I:$I,MATCH(L612,[1]Produtos!$B:$B,0)), "-")</f>
        <v>BODY SPLASH</v>
      </c>
      <c r="S612" s="483" t="str">
        <f>IFERROR(INDEX([1]Produtos!$J:$J,MATCH(L612,[1]Produtos!$B:$B,0)), "-")</f>
        <v>LÍQUIDO</v>
      </c>
      <c r="T612" s="484"/>
      <c r="U612" s="270"/>
      <c r="V612" s="270"/>
      <c r="W612" s="270"/>
      <c r="X612" s="270"/>
      <c r="Y612" s="270"/>
      <c r="Z612" s="270"/>
      <c r="AA612" s="270"/>
      <c r="AB612" s="270"/>
      <c r="AC612" s="270"/>
      <c r="AD612" s="270"/>
      <c r="AE612" s="270"/>
      <c r="AF612" s="270"/>
      <c r="AG612" s="270"/>
      <c r="AH612" s="270"/>
      <c r="AI612" s="270"/>
      <c r="AJ612" s="270"/>
      <c r="AK612" s="270"/>
      <c r="AL612" s="270"/>
      <c r="AM612" s="663"/>
      <c r="AN612" s="663"/>
      <c r="AO612" s="708" t="str">
        <f>IF(OR(Table1[[#This Row],[Início Setup Envase]]="",Table1[[#This Row],[Final Setup Envase]]=""),"",Table1[[#This Row],[Final Setup Envase]]-Table1[[#This Row],[Início Setup Envase]])</f>
        <v/>
      </c>
      <c r="AP612" s="663"/>
      <c r="AQ612" s="663"/>
      <c r="AR612" s="270"/>
      <c r="AS612" s="270"/>
      <c r="AT612" s="270"/>
      <c r="AU612" s="270"/>
      <c r="AV612" s="270"/>
      <c r="AW612" s="270"/>
      <c r="AX612" s="270"/>
      <c r="AY612" s="270"/>
      <c r="AZ612" s="270"/>
      <c r="BA612" s="270">
        <f>IF(Table1[[#This Row],[Data de Início]]="","",YEAR(Table1[[#This Row],[Data de Início]]))</f>
        <v>2025</v>
      </c>
      <c r="BB612" s="270">
        <f>IF(Table1[[#This Row],[Data de Início]]="","",MONTH(Table1[[#This Row],[Data de Início]]))</f>
        <v>11</v>
      </c>
      <c r="BC612" s="270"/>
    </row>
    <row r="613" spans="2:55" ht="15" customHeight="1" x14ac:dyDescent="0.25">
      <c r="B613" s="489">
        <v>45973.445138888892</v>
      </c>
      <c r="C613" s="490">
        <v>45973.6875</v>
      </c>
      <c r="D613" s="477" cm="1">
        <f t="array" ref="D613">IFERROR(HorasUteisFabrica2Turnos(B613,C613), "")</f>
        <v>4.816666666592937</v>
      </c>
      <c r="E613" s="478">
        <f t="shared" si="9"/>
        <v>528.16608997348271</v>
      </c>
      <c r="F613" s="479" t="s">
        <v>378</v>
      </c>
      <c r="G613" s="266" t="s">
        <v>967</v>
      </c>
      <c r="H613" s="479"/>
      <c r="I613" s="480" t="s">
        <v>969</v>
      </c>
      <c r="J613" s="481" t="s">
        <v>15</v>
      </c>
      <c r="K613" s="482">
        <v>2544</v>
      </c>
      <c r="L613" s="495" t="s">
        <v>213</v>
      </c>
      <c r="M613" s="483" t="str">
        <f>IFERROR(INDEX([1]Produtos!$C:$C,MATCH(L613,[1]Produtos!$B:$B,0)), "-")</f>
        <v>BODY SPLASH DEUSA DO NILO</v>
      </c>
      <c r="N613" s="511">
        <f>IFERROR(INDEX([1]Produtos!$E:$E,MATCH(L613,[1]Produtos!$B:$B,0)), "-")</f>
        <v>220</v>
      </c>
      <c r="O613" s="483" t="str">
        <f>IFERROR(INDEX([1]Produtos!$F:$F,MATCH(L613,[1]Produtos!$B:$B,0)), "-")</f>
        <v>ml</v>
      </c>
      <c r="P613" s="483" t="str">
        <f>IFERROR(INDEX([1]Produtos!$G:$G,MATCH(L613,[1]Produtos!$B:$B,0)), "-")</f>
        <v>MISS RÔSE</v>
      </c>
      <c r="Q613" s="483" t="str">
        <f>IFERROR(INDEX([1]Produtos!$H:$H,MATCH(L613,[1]Produtos!$B:$B,0)), "-")</f>
        <v>PERFUMARIA</v>
      </c>
      <c r="R613" s="483" t="str">
        <f>IFERROR(INDEX([1]Produtos!$I:$I,MATCH(L613,[1]Produtos!$B:$B,0)), "-")</f>
        <v>BODY SPLASH</v>
      </c>
      <c r="S613" s="483" t="str">
        <f>IFERROR(INDEX([1]Produtos!$J:$J,MATCH(L613,[1]Produtos!$B:$B,0)), "-")</f>
        <v>LÍQUIDO</v>
      </c>
      <c r="T613" s="484"/>
      <c r="U613" s="270"/>
      <c r="V613" s="270"/>
      <c r="W613" s="270"/>
      <c r="X613" s="270"/>
      <c r="Y613" s="270"/>
      <c r="Z613" s="270"/>
      <c r="AA613" s="270"/>
      <c r="AB613" s="270"/>
      <c r="AC613" s="270"/>
      <c r="AD613" s="270"/>
      <c r="AE613" s="270"/>
      <c r="AF613" s="270"/>
      <c r="AG613" s="270"/>
      <c r="AH613" s="270"/>
      <c r="AI613" s="270"/>
      <c r="AJ613" s="270"/>
      <c r="AK613" s="270"/>
      <c r="AL613" s="270"/>
      <c r="AM613" s="663"/>
      <c r="AN613" s="663"/>
      <c r="AO613" s="708" t="str">
        <f>IF(OR(Table1[[#This Row],[Início Setup Envase]]="",Table1[[#This Row],[Final Setup Envase]]=""),"",Table1[[#This Row],[Final Setup Envase]]-Table1[[#This Row],[Início Setup Envase]])</f>
        <v/>
      </c>
      <c r="AP613" s="663"/>
      <c r="AQ613" s="663"/>
      <c r="AR613" s="270"/>
      <c r="AS613" s="270"/>
      <c r="AT613" s="270"/>
      <c r="AU613" s="270"/>
      <c r="AV613" s="270"/>
      <c r="AW613" s="270"/>
      <c r="AX613" s="270"/>
      <c r="AY613" s="270"/>
      <c r="AZ613" s="270"/>
      <c r="BA613" s="270">
        <f>IF(Table1[[#This Row],[Data de Início]]="","",YEAR(Table1[[#This Row],[Data de Início]]))</f>
        <v>2025</v>
      </c>
      <c r="BB613" s="270">
        <f>IF(Table1[[#This Row],[Data de Início]]="","",MONTH(Table1[[#This Row],[Data de Início]]))</f>
        <v>11</v>
      </c>
      <c r="BC613" s="270"/>
    </row>
    <row r="614" spans="2:55" ht="15" customHeight="1" x14ac:dyDescent="0.25">
      <c r="B614" s="489">
        <v>45973.6875</v>
      </c>
      <c r="C614" s="490">
        <v>45974.390277777777</v>
      </c>
      <c r="D614" s="477" cm="1">
        <f t="array" ref="D614">IFERROR(HorasUteisFabrica2Turnos(B614,C614), "")</f>
        <v>2.8666666667559184</v>
      </c>
      <c r="E614" s="478">
        <f t="shared" si="9"/>
        <v>887.44186043748641</v>
      </c>
      <c r="F614" s="479" t="s">
        <v>378</v>
      </c>
      <c r="G614" s="266" t="s">
        <v>967</v>
      </c>
      <c r="H614" s="479"/>
      <c r="I614" s="480" t="s">
        <v>973</v>
      </c>
      <c r="J614" s="481" t="s">
        <v>15</v>
      </c>
      <c r="K614" s="482">
        <v>2544</v>
      </c>
      <c r="L614" s="495" t="s">
        <v>213</v>
      </c>
      <c r="M614" s="483" t="str">
        <f>IFERROR(INDEX([1]Produtos!$C:$C,MATCH(L614,[1]Produtos!$B:$B,0)), "-")</f>
        <v>BODY SPLASH DEUSA DO NILO</v>
      </c>
      <c r="N614" s="511">
        <f>IFERROR(INDEX([1]Produtos!$E:$E,MATCH(L614,[1]Produtos!$B:$B,0)), "-")</f>
        <v>220</v>
      </c>
      <c r="O614" s="483" t="str">
        <f>IFERROR(INDEX([1]Produtos!$F:$F,MATCH(L614,[1]Produtos!$B:$B,0)), "-")</f>
        <v>ml</v>
      </c>
      <c r="P614" s="483" t="str">
        <f>IFERROR(INDEX([1]Produtos!$G:$G,MATCH(L614,[1]Produtos!$B:$B,0)), "-")</f>
        <v>MISS RÔSE</v>
      </c>
      <c r="Q614" s="483" t="str">
        <f>IFERROR(INDEX([1]Produtos!$H:$H,MATCH(L614,[1]Produtos!$B:$B,0)), "-")</f>
        <v>PERFUMARIA</v>
      </c>
      <c r="R614" s="483" t="str">
        <f>IFERROR(INDEX([1]Produtos!$I:$I,MATCH(L614,[1]Produtos!$B:$B,0)), "-")</f>
        <v>BODY SPLASH</v>
      </c>
      <c r="S614" s="483" t="str">
        <f>IFERROR(INDEX([1]Produtos!$J:$J,MATCH(L614,[1]Produtos!$B:$B,0)), "-")</f>
        <v>LÍQUIDO</v>
      </c>
      <c r="T614" s="484" t="s">
        <v>976</v>
      </c>
      <c r="U614" s="270"/>
      <c r="V614" s="270"/>
      <c r="W614" s="270"/>
      <c r="X614" s="270"/>
      <c r="Y614" s="270"/>
      <c r="Z614" s="270"/>
      <c r="AA614" s="270"/>
      <c r="AB614" s="270"/>
      <c r="AC614" s="270"/>
      <c r="AD614" s="270"/>
      <c r="AE614" s="270"/>
      <c r="AF614" s="270"/>
      <c r="AG614" s="270"/>
      <c r="AH614" s="270"/>
      <c r="AI614" s="270"/>
      <c r="AJ614" s="270"/>
      <c r="AK614" s="270"/>
      <c r="AL614" s="270"/>
      <c r="AM614" s="663"/>
      <c r="AN614" s="663"/>
      <c r="AO614" s="708" t="str">
        <f>IF(OR(Table1[[#This Row],[Início Setup Envase]]="",Table1[[#This Row],[Final Setup Envase]]=""),"",Table1[[#This Row],[Final Setup Envase]]-Table1[[#This Row],[Início Setup Envase]])</f>
        <v/>
      </c>
      <c r="AP614" s="663"/>
      <c r="AQ614" s="663"/>
      <c r="AR614" s="270"/>
      <c r="AS614" s="270"/>
      <c r="AT614" s="270"/>
      <c r="AU614" s="270"/>
      <c r="AV614" s="270"/>
      <c r="AW614" s="270"/>
      <c r="AX614" s="270"/>
      <c r="AY614" s="270"/>
      <c r="AZ614" s="270"/>
      <c r="BA614" s="270">
        <f>IF(Table1[[#This Row],[Data de Início]]="","",YEAR(Table1[[#This Row],[Data de Início]]))</f>
        <v>2025</v>
      </c>
      <c r="BB614" s="270">
        <f>IF(Table1[[#This Row],[Data de Início]]="","",MONTH(Table1[[#This Row],[Data de Início]]))</f>
        <v>11</v>
      </c>
      <c r="BC614" s="270"/>
    </row>
    <row r="615" spans="2:55" ht="15" customHeight="1" x14ac:dyDescent="0.25">
      <c r="B615" s="489">
        <v>45974.38958333333</v>
      </c>
      <c r="C615" s="490">
        <v>45974.5625</v>
      </c>
      <c r="D615" s="477" cm="1">
        <f t="array" ref="D615">IFERROR(HorasUteisFabrica2Turnos(B615,C615), "")</f>
        <v>3.1500000000814907</v>
      </c>
      <c r="E615" s="478">
        <f t="shared" si="9"/>
        <v>807.61904759815445</v>
      </c>
      <c r="F615" s="479" t="s">
        <v>378</v>
      </c>
      <c r="G615" s="266" t="s">
        <v>967</v>
      </c>
      <c r="H615" s="479"/>
      <c r="I615" s="480" t="s">
        <v>977</v>
      </c>
      <c r="J615" s="481" t="s">
        <v>15</v>
      </c>
      <c r="K615" s="482">
        <v>2544</v>
      </c>
      <c r="L615" s="495" t="s">
        <v>213</v>
      </c>
      <c r="M615" s="483" t="str">
        <f>IFERROR(INDEX([1]Produtos!$C:$C,MATCH(L615,[1]Produtos!$B:$B,0)), "-")</f>
        <v>BODY SPLASH DEUSA DO NILO</v>
      </c>
      <c r="N615" s="511">
        <f>IFERROR(INDEX([1]Produtos!$E:$E,MATCH(L615,[1]Produtos!$B:$B,0)), "-")</f>
        <v>220</v>
      </c>
      <c r="O615" s="483" t="str">
        <f>IFERROR(INDEX([1]Produtos!$F:$F,MATCH(L615,[1]Produtos!$B:$B,0)), "-")</f>
        <v>ml</v>
      </c>
      <c r="P615" s="483" t="str">
        <f>IFERROR(INDEX([1]Produtos!$G:$G,MATCH(L615,[1]Produtos!$B:$B,0)), "-")</f>
        <v>MISS RÔSE</v>
      </c>
      <c r="Q615" s="483" t="str">
        <f>IFERROR(INDEX([1]Produtos!$H:$H,MATCH(L615,[1]Produtos!$B:$B,0)), "-")</f>
        <v>PERFUMARIA</v>
      </c>
      <c r="R615" s="483" t="str">
        <f>IFERROR(INDEX([1]Produtos!$I:$I,MATCH(L615,[1]Produtos!$B:$B,0)), "-")</f>
        <v>BODY SPLASH</v>
      </c>
      <c r="S615" s="483" t="str">
        <f>IFERROR(INDEX([1]Produtos!$J:$J,MATCH(L615,[1]Produtos!$B:$B,0)), "-")</f>
        <v>LÍQUIDO</v>
      </c>
      <c r="T615" s="484" t="s">
        <v>976</v>
      </c>
      <c r="U615" s="270"/>
      <c r="V615" s="270"/>
      <c r="W615" s="270"/>
      <c r="X615" s="270"/>
      <c r="Y615" s="270"/>
      <c r="Z615" s="270"/>
      <c r="AA615" s="270"/>
      <c r="AB615" s="270"/>
      <c r="AC615" s="270"/>
      <c r="AD615" s="270"/>
      <c r="AE615" s="270"/>
      <c r="AF615" s="270"/>
      <c r="AG615" s="270"/>
      <c r="AH615" s="270"/>
      <c r="AI615" s="270"/>
      <c r="AJ615" s="270"/>
      <c r="AK615" s="270"/>
      <c r="AL615" s="270"/>
      <c r="AM615" s="663"/>
      <c r="AN615" s="663"/>
      <c r="AO615" s="708" t="str">
        <f>IF(OR(Table1[[#This Row],[Início Setup Envase]]="",Table1[[#This Row],[Final Setup Envase]]=""),"",Table1[[#This Row],[Final Setup Envase]]-Table1[[#This Row],[Início Setup Envase]])</f>
        <v/>
      </c>
      <c r="AP615" s="663"/>
      <c r="AQ615" s="663"/>
      <c r="AR615" s="270"/>
      <c r="AS615" s="270"/>
      <c r="AT615" s="270"/>
      <c r="AU615" s="270"/>
      <c r="AV615" s="270"/>
      <c r="AW615" s="270"/>
      <c r="AX615" s="270"/>
      <c r="AY615" s="270"/>
      <c r="AZ615" s="270"/>
      <c r="BA615" s="270">
        <f>IF(Table1[[#This Row],[Data de Início]]="","",YEAR(Table1[[#This Row],[Data de Início]]))</f>
        <v>2025</v>
      </c>
      <c r="BB615" s="270">
        <f>IF(Table1[[#This Row],[Data de Início]]="","",MONTH(Table1[[#This Row],[Data de Início]]))</f>
        <v>11</v>
      </c>
      <c r="BC615" s="270"/>
    </row>
    <row r="616" spans="2:55" ht="15" customHeight="1" x14ac:dyDescent="0.25">
      <c r="B616" s="489">
        <v>45974.5625</v>
      </c>
      <c r="C616" s="490">
        <v>45974.680555555555</v>
      </c>
      <c r="D616" s="477" cm="1">
        <f t="array" ref="D616">IFERROR(HorasUteisFabrica2Turnos(B616,C616), "")</f>
        <v>2.8333333333139308</v>
      </c>
      <c r="E616" s="478">
        <f t="shared" si="9"/>
        <v>897.8823529473251</v>
      </c>
      <c r="F616" s="479" t="s">
        <v>378</v>
      </c>
      <c r="G616" s="266" t="s">
        <v>967</v>
      </c>
      <c r="H616" s="479"/>
      <c r="I616" s="480" t="s">
        <v>970</v>
      </c>
      <c r="J616" s="481" t="s">
        <v>15</v>
      </c>
      <c r="K616" s="482">
        <v>2544</v>
      </c>
      <c r="L616" s="495" t="s">
        <v>213</v>
      </c>
      <c r="M616" s="483" t="str">
        <f>IFERROR(INDEX([1]Produtos!$C:$C,MATCH(L616,[1]Produtos!$B:$B,0)), "-")</f>
        <v>BODY SPLASH DEUSA DO NILO</v>
      </c>
      <c r="N616" s="511">
        <f>IFERROR(INDEX([1]Produtos!$E:$E,MATCH(L616,[1]Produtos!$B:$B,0)), "-")</f>
        <v>220</v>
      </c>
      <c r="O616" s="483" t="str">
        <f>IFERROR(INDEX([1]Produtos!$F:$F,MATCH(L616,[1]Produtos!$B:$B,0)), "-")</f>
        <v>ml</v>
      </c>
      <c r="P616" s="483" t="str">
        <f>IFERROR(INDEX([1]Produtos!$G:$G,MATCH(L616,[1]Produtos!$B:$B,0)), "-")</f>
        <v>MISS RÔSE</v>
      </c>
      <c r="Q616" s="483" t="str">
        <f>IFERROR(INDEX([1]Produtos!$H:$H,MATCH(L616,[1]Produtos!$B:$B,0)), "-")</f>
        <v>PERFUMARIA</v>
      </c>
      <c r="R616" s="483" t="str">
        <f>IFERROR(INDEX([1]Produtos!$I:$I,MATCH(L616,[1]Produtos!$B:$B,0)), "-")</f>
        <v>BODY SPLASH</v>
      </c>
      <c r="S616" s="483" t="str">
        <f>IFERROR(INDEX([1]Produtos!$J:$J,MATCH(L616,[1]Produtos!$B:$B,0)), "-")</f>
        <v>LÍQUIDO</v>
      </c>
      <c r="T616" s="484" t="s">
        <v>976</v>
      </c>
      <c r="U616" s="270"/>
      <c r="V616" s="270"/>
      <c r="W616" s="270"/>
      <c r="X616" s="270"/>
      <c r="Y616" s="270"/>
      <c r="Z616" s="270"/>
      <c r="AA616" s="270"/>
      <c r="AB616" s="270"/>
      <c r="AC616" s="270"/>
      <c r="AD616" s="270"/>
      <c r="AE616" s="270"/>
      <c r="AF616" s="270"/>
      <c r="AG616" s="270"/>
      <c r="AH616" s="270"/>
      <c r="AI616" s="270"/>
      <c r="AJ616" s="270"/>
      <c r="AK616" s="270"/>
      <c r="AL616" s="270"/>
      <c r="AM616" s="663"/>
      <c r="AN616" s="663"/>
      <c r="AO616" s="708" t="str">
        <f>IF(OR(Table1[[#This Row],[Início Setup Envase]]="",Table1[[#This Row],[Final Setup Envase]]=""),"",Table1[[#This Row],[Final Setup Envase]]-Table1[[#This Row],[Início Setup Envase]])</f>
        <v/>
      </c>
      <c r="AP616" s="663"/>
      <c r="AQ616" s="663"/>
      <c r="AR616" s="270"/>
      <c r="AS616" s="270"/>
      <c r="AT616" s="270"/>
      <c r="AU616" s="270"/>
      <c r="AV616" s="270"/>
      <c r="AW616" s="270"/>
      <c r="AX616" s="270"/>
      <c r="AY616" s="270"/>
      <c r="AZ616" s="270"/>
      <c r="BA616" s="270">
        <f>IF(Table1[[#This Row],[Data de Início]]="","",YEAR(Table1[[#This Row],[Data de Início]]))</f>
        <v>2025</v>
      </c>
      <c r="BB616" s="270">
        <f>IF(Table1[[#This Row],[Data de Início]]="","",MONTH(Table1[[#This Row],[Data de Início]]))</f>
        <v>11</v>
      </c>
      <c r="BC616" s="270"/>
    </row>
    <row r="617" spans="2:55" ht="15" customHeight="1" x14ac:dyDescent="0.25">
      <c r="B617" s="489">
        <v>45975.291666666664</v>
      </c>
      <c r="C617" s="490">
        <v>45975.402777777781</v>
      </c>
      <c r="D617" s="477" cm="1">
        <f t="array" ref="D617">IFERROR(HorasUteisFabrica2Turnos(B617,C617), "")</f>
        <v>2.6666666668024845</v>
      </c>
      <c r="E617" s="478">
        <f t="shared" si="9"/>
        <v>953.99999995141116</v>
      </c>
      <c r="F617" s="479" t="s">
        <v>378</v>
      </c>
      <c r="G617" s="266" t="s">
        <v>967</v>
      </c>
      <c r="H617" s="479"/>
      <c r="I617" s="480" t="s">
        <v>974</v>
      </c>
      <c r="J617" s="481" t="s">
        <v>15</v>
      </c>
      <c r="K617" s="482">
        <v>2544</v>
      </c>
      <c r="L617" s="495" t="s">
        <v>213</v>
      </c>
      <c r="M617" s="483" t="str">
        <f>IFERROR(INDEX([1]Produtos!$C:$C,MATCH(L617,[1]Produtos!$B:$B,0)), "-")</f>
        <v>BODY SPLASH DEUSA DO NILO</v>
      </c>
      <c r="N617" s="511">
        <f>IFERROR(INDEX([1]Produtos!$E:$E,MATCH(L617,[1]Produtos!$B:$B,0)), "-")</f>
        <v>220</v>
      </c>
      <c r="O617" s="483" t="str">
        <f>IFERROR(INDEX([1]Produtos!$F:$F,MATCH(L617,[1]Produtos!$B:$B,0)), "-")</f>
        <v>ml</v>
      </c>
      <c r="P617" s="483" t="str">
        <f>IFERROR(INDEX([1]Produtos!$G:$G,MATCH(L617,[1]Produtos!$B:$B,0)), "-")</f>
        <v>MISS RÔSE</v>
      </c>
      <c r="Q617" s="483" t="str">
        <f>IFERROR(INDEX([1]Produtos!$H:$H,MATCH(L617,[1]Produtos!$B:$B,0)), "-")</f>
        <v>PERFUMARIA</v>
      </c>
      <c r="R617" s="483" t="str">
        <f>IFERROR(INDEX([1]Produtos!$I:$I,MATCH(L617,[1]Produtos!$B:$B,0)), "-")</f>
        <v>BODY SPLASH</v>
      </c>
      <c r="S617" s="483" t="str">
        <f>IFERROR(INDEX([1]Produtos!$J:$J,MATCH(L617,[1]Produtos!$B:$B,0)), "-")</f>
        <v>LÍQUIDO</v>
      </c>
      <c r="T617" s="484" t="s">
        <v>976</v>
      </c>
      <c r="U617" s="270"/>
      <c r="V617" s="270"/>
      <c r="W617" s="270"/>
      <c r="X617" s="270"/>
      <c r="Y617" s="270"/>
      <c r="Z617" s="270"/>
      <c r="AA617" s="270"/>
      <c r="AB617" s="270"/>
      <c r="AC617" s="270"/>
      <c r="AD617" s="270"/>
      <c r="AE617" s="270"/>
      <c r="AF617" s="270"/>
      <c r="AG617" s="270"/>
      <c r="AH617" s="270"/>
      <c r="AI617" s="270"/>
      <c r="AJ617" s="270"/>
      <c r="AK617" s="270"/>
      <c r="AL617" s="270"/>
      <c r="AM617" s="663"/>
      <c r="AN617" s="663"/>
      <c r="AO617" s="708" t="str">
        <f>IF(OR(Table1[[#This Row],[Início Setup Envase]]="",Table1[[#This Row],[Final Setup Envase]]=""),"",Table1[[#This Row],[Final Setup Envase]]-Table1[[#This Row],[Início Setup Envase]])</f>
        <v/>
      </c>
      <c r="AP617" s="663"/>
      <c r="AQ617" s="663"/>
      <c r="AR617" s="270"/>
      <c r="AS617" s="270"/>
      <c r="AT617" s="270"/>
      <c r="AU617" s="270"/>
      <c r="AV617" s="270"/>
      <c r="AW617" s="270"/>
      <c r="AX617" s="270"/>
      <c r="AY617" s="270"/>
      <c r="AZ617" s="270"/>
      <c r="BA617" s="270">
        <f>IF(Table1[[#This Row],[Data de Início]]="","",YEAR(Table1[[#This Row],[Data de Início]]))</f>
        <v>2025</v>
      </c>
      <c r="BB617" s="270">
        <f>IF(Table1[[#This Row],[Data de Início]]="","",MONTH(Table1[[#This Row],[Data de Início]]))</f>
        <v>11</v>
      </c>
      <c r="BC617" s="270"/>
    </row>
    <row r="618" spans="2:55" ht="15" customHeight="1" x14ac:dyDescent="0.25">
      <c r="B618" s="489">
        <v>45975.402777777781</v>
      </c>
      <c r="C618" s="490">
        <v>45975.489583333336</v>
      </c>
      <c r="D618" s="477" cm="1">
        <f t="array" ref="D618">IFERROR(HorasUteisFabrica2Turnos(B618,C618), "")</f>
        <v>2.0833333333139308</v>
      </c>
      <c r="E618" s="478">
        <f t="shared" si="9"/>
        <v>714.24000000665183</v>
      </c>
      <c r="F618" s="479" t="s">
        <v>378</v>
      </c>
      <c r="G618" s="266" t="s">
        <v>967</v>
      </c>
      <c r="H618" s="479"/>
      <c r="I618" s="480" t="s">
        <v>975</v>
      </c>
      <c r="J618" s="481" t="s">
        <v>15</v>
      </c>
      <c r="K618" s="482">
        <v>1488</v>
      </c>
      <c r="L618" s="495" t="s">
        <v>213</v>
      </c>
      <c r="M618" s="483" t="str">
        <f>IFERROR(INDEX([1]Produtos!$C:$C,MATCH(L618,[1]Produtos!$B:$B,0)), "-")</f>
        <v>BODY SPLASH DEUSA DO NILO</v>
      </c>
      <c r="N618" s="511">
        <f>IFERROR(INDEX([1]Produtos!$E:$E,MATCH(L618,[1]Produtos!$B:$B,0)), "-")</f>
        <v>220</v>
      </c>
      <c r="O618" s="483" t="str">
        <f>IFERROR(INDEX([1]Produtos!$F:$F,MATCH(L618,[1]Produtos!$B:$B,0)), "-")</f>
        <v>ml</v>
      </c>
      <c r="P618" s="483" t="str">
        <f>IFERROR(INDEX([1]Produtos!$G:$G,MATCH(L618,[1]Produtos!$B:$B,0)), "-")</f>
        <v>MISS RÔSE</v>
      </c>
      <c r="Q618" s="483" t="str">
        <f>IFERROR(INDEX([1]Produtos!$H:$H,MATCH(L618,[1]Produtos!$B:$B,0)), "-")</f>
        <v>PERFUMARIA</v>
      </c>
      <c r="R618" s="483" t="str">
        <f>IFERROR(INDEX([1]Produtos!$I:$I,MATCH(L618,[1]Produtos!$B:$B,0)), "-")</f>
        <v>BODY SPLASH</v>
      </c>
      <c r="S618" s="483" t="str">
        <f>IFERROR(INDEX([1]Produtos!$J:$J,MATCH(L618,[1]Produtos!$B:$B,0)), "-")</f>
        <v>LÍQUIDO</v>
      </c>
      <c r="T618" s="484" t="s">
        <v>976</v>
      </c>
      <c r="U618" s="270"/>
      <c r="V618" s="270"/>
      <c r="W618" s="270"/>
      <c r="X618" s="270"/>
      <c r="Y618" s="270"/>
      <c r="Z618" s="270"/>
      <c r="AA618" s="270"/>
      <c r="AB618" s="270"/>
      <c r="AC618" s="270"/>
      <c r="AD618" s="270"/>
      <c r="AE618" s="270"/>
      <c r="AF618" s="270"/>
      <c r="AG618" s="270"/>
      <c r="AH618" s="270"/>
      <c r="AI618" s="270"/>
      <c r="AJ618" s="270"/>
      <c r="AK618" s="270"/>
      <c r="AL618" s="270"/>
      <c r="AM618" s="663"/>
      <c r="AN618" s="663"/>
      <c r="AO618" s="708" t="str">
        <f>IF(OR(Table1[[#This Row],[Início Setup Envase]]="",Table1[[#This Row],[Final Setup Envase]]=""),"",Table1[[#This Row],[Final Setup Envase]]-Table1[[#This Row],[Início Setup Envase]])</f>
        <v/>
      </c>
      <c r="AP618" s="663"/>
      <c r="AQ618" s="663"/>
      <c r="AR618" s="270"/>
      <c r="AS618" s="270"/>
      <c r="AT618" s="270"/>
      <c r="AU618" s="270"/>
      <c r="AV618" s="270"/>
      <c r="AW618" s="270"/>
      <c r="AX618" s="270"/>
      <c r="AY618" s="270"/>
      <c r="AZ618" s="270"/>
      <c r="BA618" s="270">
        <f>IF(Table1[[#This Row],[Data de Início]]="","",YEAR(Table1[[#This Row],[Data de Início]]))</f>
        <v>2025</v>
      </c>
      <c r="BB618" s="270">
        <f>IF(Table1[[#This Row],[Data de Início]]="","",MONTH(Table1[[#This Row],[Data de Início]]))</f>
        <v>11</v>
      </c>
      <c r="BC618" s="270"/>
    </row>
    <row r="619" spans="2:55" ht="15" customHeight="1" x14ac:dyDescent="0.25">
      <c r="B619" s="489">
        <v>45975.618055555555</v>
      </c>
      <c r="C619" s="490">
        <v>45978.451388888891</v>
      </c>
      <c r="D619" s="477" cm="1">
        <f t="array" ref="D619">IFERROR(HorasUteisFabrica2Turnos(B619,C619), "")</f>
        <v>5.0000000000582077</v>
      </c>
      <c r="E619" s="478">
        <f t="shared" si="9"/>
        <v>276.79999999677761</v>
      </c>
      <c r="F619" s="479" t="s">
        <v>1039</v>
      </c>
      <c r="G619" s="266" t="s">
        <v>1005</v>
      </c>
      <c r="H619" s="479"/>
      <c r="I619" s="480" t="s">
        <v>1006</v>
      </c>
      <c r="J619" s="481" t="s">
        <v>15</v>
      </c>
      <c r="K619" s="482">
        <v>1384</v>
      </c>
      <c r="L619" s="495" t="s">
        <v>1008</v>
      </c>
      <c r="M619" s="483" t="str">
        <f>IFERROR(INDEX([1]Produtos!$C:$C,MATCH(L619,[1]Produtos!$B:$B,0)), "-")</f>
        <v>PERFUME DALINA</v>
      </c>
      <c r="N619" s="511">
        <f>IFERROR(INDEX([1]Produtos!$E:$E,MATCH(L619,[1]Produtos!$B:$B,0)), "-")</f>
        <v>57</v>
      </c>
      <c r="O619" s="483" t="str">
        <f>IFERROR(INDEX([1]Produtos!$F:$F,MATCH(L619,[1]Produtos!$B:$B,0)), "-")</f>
        <v>ml</v>
      </c>
      <c r="P619" s="483" t="str">
        <f>IFERROR(INDEX([1]Produtos!$G:$G,MATCH(L619,[1]Produtos!$B:$B,0)), "-")</f>
        <v>DYNASTY</v>
      </c>
      <c r="Q619" s="483" t="str">
        <f>IFERROR(INDEX([1]Produtos!$H:$H,MATCH(L619,[1]Produtos!$B:$B,0)), "-")</f>
        <v>PERFUMARIA</v>
      </c>
      <c r="R619" s="483" t="str">
        <f>IFERROR(INDEX([1]Produtos!$I:$I,MATCH(L619,[1]Produtos!$B:$B,0)), "-")</f>
        <v>PERFUME</v>
      </c>
      <c r="S619" s="483" t="str">
        <f>IFERROR(INDEX([1]Produtos!$J:$J,MATCH(L619,[1]Produtos!$B:$B,0)), "-")</f>
        <v>LÍQUIDO</v>
      </c>
      <c r="T619" s="484"/>
      <c r="U619" s="270"/>
      <c r="V619" s="270"/>
      <c r="W619" s="270"/>
      <c r="X619" s="270"/>
      <c r="Y619" s="270"/>
      <c r="Z619" s="270"/>
      <c r="AA619" s="270"/>
      <c r="AB619" s="270"/>
      <c r="AC619" s="270"/>
      <c r="AD619" s="270"/>
      <c r="AE619" s="270"/>
      <c r="AF619" s="270"/>
      <c r="AG619" s="270"/>
      <c r="AH619" s="270"/>
      <c r="AI619" s="270"/>
      <c r="AJ619" s="270"/>
      <c r="AK619" s="270"/>
      <c r="AL619" s="270"/>
      <c r="AM619" s="663"/>
      <c r="AN619" s="663"/>
      <c r="AO619" s="708" t="str">
        <f>IF(OR(Table1[[#This Row],[Início Setup Envase]]="",Table1[[#This Row],[Final Setup Envase]]=""),"",Table1[[#This Row],[Final Setup Envase]]-Table1[[#This Row],[Início Setup Envase]])</f>
        <v/>
      </c>
      <c r="AP619" s="663"/>
      <c r="AQ619" s="663"/>
      <c r="AR619" s="270"/>
      <c r="AS619" s="270"/>
      <c r="AT619" s="270"/>
      <c r="AU619" s="270"/>
      <c r="AV619" s="270"/>
      <c r="AW619" s="270"/>
      <c r="AX619" s="270"/>
      <c r="AY619" s="270"/>
      <c r="AZ619" s="270"/>
      <c r="BA619" s="270">
        <f>IF(Table1[[#This Row],[Data de Início]]="","",YEAR(Table1[[#This Row],[Data de Início]]))</f>
        <v>2025</v>
      </c>
      <c r="BB619" s="270">
        <f>IF(Table1[[#This Row],[Data de Início]]="","",MONTH(Table1[[#This Row],[Data de Início]]))</f>
        <v>11</v>
      </c>
      <c r="BC619" s="270"/>
    </row>
    <row r="620" spans="2:55" ht="15" customHeight="1" x14ac:dyDescent="0.25">
      <c r="B620" s="489">
        <v>45978.541666666664</v>
      </c>
      <c r="C620" s="490">
        <v>45979.361111111109</v>
      </c>
      <c r="D620" s="477" cm="1">
        <f t="array" ref="D620">IFERROR(HorasUteisFabrica2Turnos(B620,C620), "")</f>
        <v>5.6666666668024845</v>
      </c>
      <c r="E620" s="478">
        <f t="shared" si="9"/>
        <v>264.52941175836565</v>
      </c>
      <c r="F620" s="479" t="s">
        <v>378</v>
      </c>
      <c r="G620" s="266" t="s">
        <v>1005</v>
      </c>
      <c r="H620" s="479"/>
      <c r="I620" s="480" t="s">
        <v>1014</v>
      </c>
      <c r="J620" s="481" t="s">
        <v>15</v>
      </c>
      <c r="K620" s="482">
        <v>1499</v>
      </c>
      <c r="L620" s="495" t="s">
        <v>1013</v>
      </c>
      <c r="M620" s="483" t="str">
        <f>IFERROR(INDEX([1]Produtos!$C:$C,MATCH(L620,[1]Produtos!$B:$B,0)), "-")</f>
        <v>PERFUME VALENTE</v>
      </c>
      <c r="N620" s="511">
        <f>IFERROR(INDEX([1]Produtos!$E:$E,MATCH(L620,[1]Produtos!$B:$B,0)), "-")</f>
        <v>57</v>
      </c>
      <c r="O620" s="483" t="str">
        <f>IFERROR(INDEX([1]Produtos!$F:$F,MATCH(L620,[1]Produtos!$B:$B,0)), "-")</f>
        <v>ml</v>
      </c>
      <c r="P620" s="483" t="str">
        <f>IFERROR(INDEX([1]Produtos!$G:$G,MATCH(L620,[1]Produtos!$B:$B,0)), "-")</f>
        <v>DYNASTY</v>
      </c>
      <c r="Q620" s="483" t="str">
        <f>IFERROR(INDEX([1]Produtos!$H:$H,MATCH(L620,[1]Produtos!$B:$B,0)), "-")</f>
        <v>PERFUMARIA</v>
      </c>
      <c r="R620" s="483" t="str">
        <f>IFERROR(INDEX([1]Produtos!$I:$I,MATCH(L620,[1]Produtos!$B:$B,0)), "-")</f>
        <v>PERFUME</v>
      </c>
      <c r="S620" s="483" t="str">
        <f>IFERROR(INDEX([1]Produtos!$J:$J,MATCH(L620,[1]Produtos!$B:$B,0)), "-")</f>
        <v>LÍQUIDO</v>
      </c>
      <c r="T620" s="484"/>
      <c r="U620" s="270"/>
      <c r="V620" s="270"/>
      <c r="W620" s="270"/>
      <c r="X620" s="270"/>
      <c r="Y620" s="270"/>
      <c r="Z620" s="270"/>
      <c r="AA620" s="270"/>
      <c r="AB620" s="270"/>
      <c r="AC620" s="270"/>
      <c r="AD620" s="270"/>
      <c r="AE620" s="270"/>
      <c r="AF620" s="270"/>
      <c r="AG620" s="270"/>
      <c r="AH620" s="270"/>
      <c r="AI620" s="270"/>
      <c r="AJ620" s="270"/>
      <c r="AK620" s="270"/>
      <c r="AL620" s="270"/>
      <c r="AM620" s="663"/>
      <c r="AN620" s="663"/>
      <c r="AO620" s="708" t="str">
        <f>IF(OR(Table1[[#This Row],[Início Setup Envase]]="",Table1[[#This Row],[Final Setup Envase]]=""),"",Table1[[#This Row],[Final Setup Envase]]-Table1[[#This Row],[Início Setup Envase]])</f>
        <v/>
      </c>
      <c r="AP620" s="663"/>
      <c r="AQ620" s="663"/>
      <c r="AR620" s="270"/>
      <c r="AS620" s="270"/>
      <c r="AT620" s="270"/>
      <c r="AU620" s="270"/>
      <c r="AV620" s="270"/>
      <c r="AW620" s="270"/>
      <c r="AX620" s="270"/>
      <c r="AY620" s="270"/>
      <c r="AZ620" s="270"/>
      <c r="BA620" s="270">
        <f>IF(Table1[[#This Row],[Data de Início]]="","",YEAR(Table1[[#This Row],[Data de Início]]))</f>
        <v>2025</v>
      </c>
      <c r="BB620" s="270">
        <f>IF(Table1[[#This Row],[Data de Início]]="","",MONTH(Table1[[#This Row],[Data de Início]]))</f>
        <v>11</v>
      </c>
      <c r="BC620" s="270"/>
    </row>
    <row r="621" spans="2:55" ht="15" customHeight="1" x14ac:dyDescent="0.25">
      <c r="B621" s="489">
        <v>45979.361111111109</v>
      </c>
      <c r="C621" s="490">
        <v>45979.604166666664</v>
      </c>
      <c r="D621" s="477" cm="1">
        <f t="array" ref="D621">IFERROR(HorasUteisFabrica2Turnos(B621,C621), "")</f>
        <v>4.8333333333139308</v>
      </c>
      <c r="E621" s="478">
        <f t="shared" si="9"/>
        <v>309.72413793227781</v>
      </c>
      <c r="F621" s="479" t="s">
        <v>1039</v>
      </c>
      <c r="G621" s="266" t="s">
        <v>1005</v>
      </c>
      <c r="H621" s="479"/>
      <c r="I621" s="480" t="s">
        <v>1009</v>
      </c>
      <c r="J621" s="481" t="s">
        <v>15</v>
      </c>
      <c r="K621" s="482">
        <v>1497</v>
      </c>
      <c r="L621" s="495" t="s">
        <v>1007</v>
      </c>
      <c r="M621" s="483" t="str">
        <f>IFERROR(INDEX([1]Produtos!$C:$C,MATCH(L621,[1]Produtos!$B:$B,0)), "-")</f>
        <v>PERFUME SELVER INTENSE</v>
      </c>
      <c r="N621" s="511">
        <f>IFERROR(INDEX([1]Produtos!$E:$E,MATCH(L621,[1]Produtos!$B:$B,0)), "-")</f>
        <v>57</v>
      </c>
      <c r="O621" s="483" t="str">
        <f>IFERROR(INDEX([1]Produtos!$F:$F,MATCH(L621,[1]Produtos!$B:$B,0)), "-")</f>
        <v>ml</v>
      </c>
      <c r="P621" s="483" t="str">
        <f>IFERROR(INDEX([1]Produtos!$G:$G,MATCH(L621,[1]Produtos!$B:$B,0)), "-")</f>
        <v>DYNASTY</v>
      </c>
      <c r="Q621" s="483" t="str">
        <f>IFERROR(INDEX([1]Produtos!$H:$H,MATCH(L621,[1]Produtos!$B:$B,0)), "-")</f>
        <v>PERFUMARIA</v>
      </c>
      <c r="R621" s="483" t="str">
        <f>IFERROR(INDEX([1]Produtos!$I:$I,MATCH(L621,[1]Produtos!$B:$B,0)), "-")</f>
        <v>PERFUME</v>
      </c>
      <c r="S621" s="483" t="str">
        <f>IFERROR(INDEX([1]Produtos!$J:$J,MATCH(L621,[1]Produtos!$B:$B,0)), "-")</f>
        <v>LÍQUIDO</v>
      </c>
      <c r="T621" s="484"/>
      <c r="U621" s="270"/>
      <c r="V621" s="270"/>
      <c r="W621" s="270"/>
      <c r="X621" s="270"/>
      <c r="Y621" s="270"/>
      <c r="Z621" s="270"/>
      <c r="AA621" s="270"/>
      <c r="AB621" s="270"/>
      <c r="AC621" s="270"/>
      <c r="AD621" s="270"/>
      <c r="AE621" s="270"/>
      <c r="AF621" s="270"/>
      <c r="AG621" s="270"/>
      <c r="AH621" s="270"/>
      <c r="AI621" s="270"/>
      <c r="AJ621" s="270"/>
      <c r="AK621" s="270"/>
      <c r="AL621" s="270"/>
      <c r="AM621" s="663"/>
      <c r="AN621" s="663"/>
      <c r="AO621" s="708" t="str">
        <f>IF(OR(Table1[[#This Row],[Início Setup Envase]]="",Table1[[#This Row],[Final Setup Envase]]=""),"",Table1[[#This Row],[Final Setup Envase]]-Table1[[#This Row],[Início Setup Envase]])</f>
        <v/>
      </c>
      <c r="AP621" s="663"/>
      <c r="AQ621" s="663"/>
      <c r="AR621" s="270"/>
      <c r="AS621" s="270"/>
      <c r="AT621" s="270"/>
      <c r="AU621" s="270"/>
      <c r="AV621" s="270"/>
      <c r="AW621" s="270"/>
      <c r="AX621" s="270"/>
      <c r="AY621" s="270"/>
      <c r="AZ621" s="270"/>
      <c r="BA621" s="270">
        <f>IF(Table1[[#This Row],[Data de Início]]="","",YEAR(Table1[[#This Row],[Data de Início]]))</f>
        <v>2025</v>
      </c>
      <c r="BB621" s="270">
        <f>IF(Table1[[#This Row],[Data de Início]]="","",MONTH(Table1[[#This Row],[Data de Início]]))</f>
        <v>11</v>
      </c>
      <c r="BC621" s="270"/>
    </row>
    <row r="622" spans="2:55" ht="15" customHeight="1" x14ac:dyDescent="0.25">
      <c r="B622" s="489">
        <v>45979.604166666664</v>
      </c>
      <c r="C622" s="490">
        <v>45980.427083333336</v>
      </c>
      <c r="D622" s="477" cm="1">
        <f t="array" ref="D622">IFERROR(HorasUteisFabrica2Turnos(B622,C622), "")</f>
        <v>5.7500000002328306</v>
      </c>
      <c r="E622" s="478">
        <f t="shared" si="9"/>
        <v>95.478260865699085</v>
      </c>
      <c r="F622" s="479" t="s">
        <v>378</v>
      </c>
      <c r="G622" s="266" t="s">
        <v>1005</v>
      </c>
      <c r="H622" s="479"/>
      <c r="I622" s="480" t="s">
        <v>1042</v>
      </c>
      <c r="J622" s="481" t="s">
        <v>15</v>
      </c>
      <c r="K622" s="482">
        <v>549</v>
      </c>
      <c r="L622" s="495" t="s">
        <v>1041</v>
      </c>
      <c r="M622" s="483" t="str">
        <f>IFERROR(INDEX([1]Produtos!$C:$C,MATCH(L622,[1]Produtos!$B:$B,0)), "-")</f>
        <v>PERFUME IRON</v>
      </c>
      <c r="N622" s="511">
        <f>IFERROR(INDEX([1]Produtos!$E:$E,MATCH(L622,[1]Produtos!$B:$B,0)), "-")</f>
        <v>50</v>
      </c>
      <c r="O622" s="483" t="str">
        <f>IFERROR(INDEX([1]Produtos!$F:$F,MATCH(L622,[1]Produtos!$B:$B,0)), "-")</f>
        <v>ml</v>
      </c>
      <c r="P622" s="483" t="str">
        <f>IFERROR(INDEX([1]Produtos!$G:$G,MATCH(L622,[1]Produtos!$B:$B,0)), "-")</f>
        <v>DYNASTY</v>
      </c>
      <c r="Q622" s="483" t="str">
        <f>IFERROR(INDEX([1]Produtos!$H:$H,MATCH(L622,[1]Produtos!$B:$B,0)), "-")</f>
        <v>PERFUMARIA</v>
      </c>
      <c r="R622" s="483" t="str">
        <f>IFERROR(INDEX([1]Produtos!$I:$I,MATCH(L622,[1]Produtos!$B:$B,0)), "-")</f>
        <v>PERFUME</v>
      </c>
      <c r="S622" s="483" t="str">
        <f>IFERROR(INDEX([1]Produtos!$J:$J,MATCH(L622,[1]Produtos!$B:$B,0)), "-")</f>
        <v>LÍQUIDO</v>
      </c>
      <c r="T622" s="484"/>
      <c r="U622" s="270"/>
      <c r="V622" s="270"/>
      <c r="W622" s="270"/>
      <c r="X622" s="270"/>
      <c r="Y622" s="270"/>
      <c r="Z622" s="270"/>
      <c r="AA622" s="270"/>
      <c r="AB622" s="270"/>
      <c r="AC622" s="270"/>
      <c r="AD622" s="270"/>
      <c r="AE622" s="270"/>
      <c r="AF622" s="270"/>
      <c r="AG622" s="270"/>
      <c r="AH622" s="270"/>
      <c r="AI622" s="270"/>
      <c r="AJ622" s="270"/>
      <c r="AK622" s="270"/>
      <c r="AL622" s="270"/>
      <c r="AM622" s="663"/>
      <c r="AN622" s="663"/>
      <c r="AO622" s="708" t="str">
        <f>IF(OR(Table1[[#This Row],[Início Setup Envase]]="",Table1[[#This Row],[Final Setup Envase]]=""),"",Table1[[#This Row],[Final Setup Envase]]-Table1[[#This Row],[Início Setup Envase]])</f>
        <v/>
      </c>
      <c r="AP622" s="663"/>
      <c r="AQ622" s="663"/>
      <c r="AR622" s="270"/>
      <c r="AS622" s="270"/>
      <c r="AT622" s="270"/>
      <c r="AU622" s="270"/>
      <c r="AV622" s="270"/>
      <c r="AW622" s="270"/>
      <c r="AX622" s="270"/>
      <c r="AY622" s="270"/>
      <c r="AZ622" s="270"/>
      <c r="BA622" s="270">
        <f>IF(Table1[[#This Row],[Data de Início]]="","",YEAR(Table1[[#This Row],[Data de Início]]))</f>
        <v>2025</v>
      </c>
      <c r="BB622" s="270">
        <f>IF(Table1[[#This Row],[Data de Início]]="","",MONTH(Table1[[#This Row],[Data de Início]]))</f>
        <v>11</v>
      </c>
      <c r="BC622" s="270"/>
    </row>
    <row r="623" spans="2:55" ht="15" customHeight="1" x14ac:dyDescent="0.25">
      <c r="B623" s="489">
        <v>45979.625</v>
      </c>
      <c r="C623" s="490">
        <v>45979.7</v>
      </c>
      <c r="D623" s="477" cm="1">
        <f t="array" ref="D623">IFERROR(HorasUteisFabrica2Turnos(B623,C623), "")</f>
        <v>1.7999999999301508</v>
      </c>
      <c r="E623" s="478">
        <f t="shared" si="9"/>
        <v>1866.6666667391028</v>
      </c>
      <c r="F623" s="479" t="s">
        <v>378</v>
      </c>
      <c r="G623" s="266" t="s">
        <v>360</v>
      </c>
      <c r="H623" s="479"/>
      <c r="I623" s="480" t="s">
        <v>1010</v>
      </c>
      <c r="J623" s="481" t="s">
        <v>15</v>
      </c>
      <c r="K623" s="482">
        <v>3360</v>
      </c>
      <c r="L623" s="495" t="s">
        <v>1004</v>
      </c>
      <c r="M623" s="483" t="str">
        <f>IFERROR(INDEX([1]Produtos!$C:$C,MATCH(L623,[1]Produtos!$B:$B,0)), "-")</f>
        <v>ESFOLIANTE GLOW TAÇA DE CHAMPAGNE</v>
      </c>
      <c r="N623" s="511">
        <f>IFERROR(INDEX([1]Produtos!$E:$E,MATCH(L623,[1]Produtos!$B:$B,0)), "-")</f>
        <v>150</v>
      </c>
      <c r="O623" s="483" t="str">
        <f>IFERROR(INDEX([1]Produtos!$F:$F,MATCH(L623,[1]Produtos!$B:$B,0)), "-")</f>
        <v>g</v>
      </c>
      <c r="P623" s="483" t="str">
        <f>IFERROR(INDEX([1]Produtos!$G:$G,MATCH(L623,[1]Produtos!$B:$B,0)), "-")</f>
        <v>DAPOP</v>
      </c>
      <c r="Q623" s="483" t="str">
        <f>IFERROR(INDEX([1]Produtos!$H:$H,MATCH(L623,[1]Produtos!$B:$B,0)), "-")</f>
        <v>CORPORAL</v>
      </c>
      <c r="R623" s="483" t="str">
        <f>IFERROR(INDEX([1]Produtos!$I:$I,MATCH(L623,[1]Produtos!$B:$B,0)), "-")</f>
        <v>ESFOLIANTE</v>
      </c>
      <c r="S623" s="483" t="str">
        <f>IFERROR(INDEX([1]Produtos!$J:$J,MATCH(L623,[1]Produtos!$B:$B,0)), "-")</f>
        <v>VISCOSO</v>
      </c>
      <c r="T623" s="484"/>
      <c r="U623" s="270"/>
      <c r="V623" s="270"/>
      <c r="W623" s="270"/>
      <c r="X623" s="270"/>
      <c r="Y623" s="270"/>
      <c r="Z623" s="270"/>
      <c r="AA623" s="270"/>
      <c r="AB623" s="270"/>
      <c r="AC623" s="270"/>
      <c r="AD623" s="270"/>
      <c r="AE623" s="270"/>
      <c r="AF623" s="270"/>
      <c r="AG623" s="270"/>
      <c r="AH623" s="270"/>
      <c r="AI623" s="270"/>
      <c r="AJ623" s="270"/>
      <c r="AK623" s="270"/>
      <c r="AL623" s="270"/>
      <c r="AM623" s="663"/>
      <c r="AN623" s="663"/>
      <c r="AO623" s="708" t="str">
        <f>IF(OR(Table1[[#This Row],[Início Setup Envase]]="",Table1[[#This Row],[Final Setup Envase]]=""),"",Table1[[#This Row],[Final Setup Envase]]-Table1[[#This Row],[Início Setup Envase]])</f>
        <v/>
      </c>
      <c r="AP623" s="663"/>
      <c r="AQ623" s="663"/>
      <c r="AR623" s="270"/>
      <c r="AS623" s="270"/>
      <c r="AT623" s="270"/>
      <c r="AU623" s="270"/>
      <c r="AV623" s="270"/>
      <c r="AW623" s="270"/>
      <c r="AX623" s="270"/>
      <c r="AY623" s="270"/>
      <c r="AZ623" s="270"/>
      <c r="BA623" s="270">
        <f>IF(Table1[[#This Row],[Data de Início]]="","",YEAR(Table1[[#This Row],[Data de Início]]))</f>
        <v>2025</v>
      </c>
      <c r="BB623" s="270">
        <f>IF(Table1[[#This Row],[Data de Início]]="","",MONTH(Table1[[#This Row],[Data de Início]]))</f>
        <v>11</v>
      </c>
      <c r="BC623" s="270"/>
    </row>
    <row r="624" spans="2:55" ht="15" customHeight="1" x14ac:dyDescent="0.25">
      <c r="B624" s="489">
        <v>45980.427083333336</v>
      </c>
      <c r="C624" s="490">
        <v>45980.701388888891</v>
      </c>
      <c r="D624" s="477" cm="1">
        <f t="array" ref="D624">IFERROR(HorasUteisFabrica2Turnos(B624,C624), "")</f>
        <v>5.5833333333139308</v>
      </c>
      <c r="E624" s="478">
        <f t="shared" si="9"/>
        <v>604.65671642001166</v>
      </c>
      <c r="F624" s="479" t="s">
        <v>378</v>
      </c>
      <c r="G624" s="266" t="s">
        <v>360</v>
      </c>
      <c r="H624" s="479"/>
      <c r="I624" s="480" t="s">
        <v>1003</v>
      </c>
      <c r="J624" s="481" t="s">
        <v>15</v>
      </c>
      <c r="K624" s="482">
        <v>3376</v>
      </c>
      <c r="L624" s="495" t="s">
        <v>1004</v>
      </c>
      <c r="M624" s="483" t="str">
        <f>IFERROR(INDEX([1]Produtos!$C:$C,MATCH(L624,[1]Produtos!$B:$B,0)), "-")</f>
        <v>ESFOLIANTE GLOW TAÇA DE CHAMPAGNE</v>
      </c>
      <c r="N624" s="511">
        <f>IFERROR(INDEX([1]Produtos!$E:$E,MATCH(L624,[1]Produtos!$B:$B,0)), "-")</f>
        <v>150</v>
      </c>
      <c r="O624" s="483" t="str">
        <f>IFERROR(INDEX([1]Produtos!$F:$F,MATCH(L624,[1]Produtos!$B:$B,0)), "-")</f>
        <v>g</v>
      </c>
      <c r="P624" s="483" t="str">
        <f>IFERROR(INDEX([1]Produtos!$G:$G,MATCH(L624,[1]Produtos!$B:$B,0)), "-")</f>
        <v>DAPOP</v>
      </c>
      <c r="Q624" s="483" t="str">
        <f>IFERROR(INDEX([1]Produtos!$H:$H,MATCH(L624,[1]Produtos!$B:$B,0)), "-")</f>
        <v>CORPORAL</v>
      </c>
      <c r="R624" s="483" t="str">
        <f>IFERROR(INDEX([1]Produtos!$I:$I,MATCH(L624,[1]Produtos!$B:$B,0)), "-")</f>
        <v>ESFOLIANTE</v>
      </c>
      <c r="S624" s="483" t="str">
        <f>IFERROR(INDEX([1]Produtos!$J:$J,MATCH(L624,[1]Produtos!$B:$B,0)), "-")</f>
        <v>VISCOSO</v>
      </c>
      <c r="T624" s="484"/>
      <c r="U624" s="270"/>
      <c r="V624" s="270"/>
      <c r="W624" s="270"/>
      <c r="X624" s="270"/>
      <c r="Y624" s="270"/>
      <c r="Z624" s="270"/>
      <c r="AA624" s="270"/>
      <c r="AB624" s="270"/>
      <c r="AC624" s="270"/>
      <c r="AD624" s="270"/>
      <c r="AE624" s="270"/>
      <c r="AF624" s="270"/>
      <c r="AG624" s="270"/>
      <c r="AH624" s="270"/>
      <c r="AI624" s="270"/>
      <c r="AJ624" s="270"/>
      <c r="AK624" s="270"/>
      <c r="AL624" s="270"/>
      <c r="AM624" s="663"/>
      <c r="AN624" s="663"/>
      <c r="AO624" s="708" t="str">
        <f>IF(OR(Table1[[#This Row],[Início Setup Envase]]="",Table1[[#This Row],[Final Setup Envase]]=""),"",Table1[[#This Row],[Final Setup Envase]]-Table1[[#This Row],[Início Setup Envase]])</f>
        <v/>
      </c>
      <c r="AP624" s="663"/>
      <c r="AQ624" s="663"/>
      <c r="AR624" s="270"/>
      <c r="AS624" s="270"/>
      <c r="AT624" s="270"/>
      <c r="AU624" s="270"/>
      <c r="AV624" s="270"/>
      <c r="AW624" s="270"/>
      <c r="AX624" s="270"/>
      <c r="AY624" s="270"/>
      <c r="AZ624" s="270"/>
      <c r="BA624" s="270">
        <f>IF(Table1[[#This Row],[Data de Início]]="","",YEAR(Table1[[#This Row],[Data de Início]]))</f>
        <v>2025</v>
      </c>
      <c r="BB624" s="270">
        <f>IF(Table1[[#This Row],[Data de Início]]="","",MONTH(Table1[[#This Row],[Data de Início]]))</f>
        <v>11</v>
      </c>
      <c r="BC624" s="270"/>
    </row>
    <row r="625" spans="2:55" ht="15" customHeight="1" x14ac:dyDescent="0.25">
      <c r="B625" s="489">
        <v>45981.543749999997</v>
      </c>
      <c r="C625" s="490">
        <v>45985.419444444444</v>
      </c>
      <c r="D625" s="477" cm="1">
        <f t="array" ref="D625">IFERROR(HorasUteisFabrica2Turnos(B625,C625), "")</f>
        <v>15.016666666837409</v>
      </c>
      <c r="E625" s="478">
        <f t="shared" si="9"/>
        <v>227.74694783314854</v>
      </c>
      <c r="F625" s="479" t="s">
        <v>378</v>
      </c>
      <c r="G625" s="266" t="s">
        <v>360</v>
      </c>
      <c r="H625" s="479"/>
      <c r="I625" s="480" t="s">
        <v>1011</v>
      </c>
      <c r="J625" s="481" t="s">
        <v>15</v>
      </c>
      <c r="K625" s="482">
        <v>3420</v>
      </c>
      <c r="L625" s="495" t="s">
        <v>1012</v>
      </c>
      <c r="M625" s="483" t="str">
        <f>IFERROR(INDEX([1]Produtos!$C:$C,MATCH(L625,[1]Produtos!$B:$B,0)), "-")</f>
        <v>ESFOLIANTE MATTE SORVETE DE  BAUNILHA</v>
      </c>
      <c r="N625" s="511">
        <f>IFERROR(INDEX([1]Produtos!$E:$E,MATCH(L625,[1]Produtos!$B:$B,0)), "-")</f>
        <v>150</v>
      </c>
      <c r="O625" s="483" t="str">
        <f>IFERROR(INDEX([1]Produtos!$F:$F,MATCH(L625,[1]Produtos!$B:$B,0)), "-")</f>
        <v>g</v>
      </c>
      <c r="P625" s="483" t="str">
        <f>IFERROR(INDEX([1]Produtos!$G:$G,MATCH(L625,[1]Produtos!$B:$B,0)), "-")</f>
        <v>DAPOP</v>
      </c>
      <c r="Q625" s="483" t="str">
        <f>IFERROR(INDEX([1]Produtos!$H:$H,MATCH(L625,[1]Produtos!$B:$B,0)), "-")</f>
        <v>CORPORAL</v>
      </c>
      <c r="R625" s="483" t="str">
        <f>IFERROR(INDEX([1]Produtos!$I:$I,MATCH(L625,[1]Produtos!$B:$B,0)), "-")</f>
        <v>ESFOLIANTE</v>
      </c>
      <c r="S625" s="483" t="str">
        <f>IFERROR(INDEX([1]Produtos!$J:$J,MATCH(L625,[1]Produtos!$B:$B,0)), "-")</f>
        <v>VISCOSO</v>
      </c>
      <c r="T625" s="484"/>
      <c r="U625" s="270"/>
      <c r="V625" s="270"/>
      <c r="W625" s="270"/>
      <c r="X625" s="270"/>
      <c r="Y625" s="270"/>
      <c r="Z625" s="270"/>
      <c r="AA625" s="270"/>
      <c r="AB625" s="270"/>
      <c r="AC625" s="270"/>
      <c r="AD625" s="270"/>
      <c r="AE625" s="270"/>
      <c r="AF625" s="270"/>
      <c r="AG625" s="270"/>
      <c r="AH625" s="270"/>
      <c r="AI625" s="270"/>
      <c r="AJ625" s="270"/>
      <c r="AK625" s="270"/>
      <c r="AL625" s="270"/>
      <c r="AM625" s="663"/>
      <c r="AN625" s="663"/>
      <c r="AO625" s="708" t="str">
        <f>IF(OR(Table1[[#This Row],[Início Setup Envase]]="",Table1[[#This Row],[Final Setup Envase]]=""),"",Table1[[#This Row],[Final Setup Envase]]-Table1[[#This Row],[Início Setup Envase]])</f>
        <v/>
      </c>
      <c r="AP625" s="663"/>
      <c r="AQ625" s="663"/>
      <c r="AR625" s="270"/>
      <c r="AS625" s="270"/>
      <c r="AT625" s="270"/>
      <c r="AU625" s="270"/>
      <c r="AV625" s="270"/>
      <c r="AW625" s="270"/>
      <c r="AX625" s="270"/>
      <c r="AY625" s="270"/>
      <c r="AZ625" s="270"/>
      <c r="BA625" s="270">
        <f>IF(Table1[[#This Row],[Data de Início]]="","",YEAR(Table1[[#This Row],[Data de Início]]))</f>
        <v>2025</v>
      </c>
      <c r="BB625" s="270">
        <f>IF(Table1[[#This Row],[Data de Início]]="","",MONTH(Table1[[#This Row],[Data de Início]]))</f>
        <v>11</v>
      </c>
      <c r="BC625" s="270"/>
    </row>
    <row r="626" spans="2:55" ht="15" customHeight="1" x14ac:dyDescent="0.25">
      <c r="B626" s="489">
        <v>45985.495138888888</v>
      </c>
      <c r="C626" s="490">
        <v>45987.404861111114</v>
      </c>
      <c r="D626" s="477" cm="1">
        <f t="array" ref="D626">IFERROR(HorasUteisFabrica2Turnos(B626,C626), "")</f>
        <v>15.833333333663177</v>
      </c>
      <c r="E626" s="478">
        <f t="shared" si="9"/>
        <v>95.494736840115891</v>
      </c>
      <c r="F626" s="479" t="s">
        <v>377</v>
      </c>
      <c r="G626" s="266" t="s">
        <v>1046</v>
      </c>
      <c r="H626" s="479"/>
      <c r="I626" s="480" t="s">
        <v>1032</v>
      </c>
      <c r="J626" s="481" t="s">
        <v>15</v>
      </c>
      <c r="K626" s="482">
        <v>1512</v>
      </c>
      <c r="L626" s="495" t="s">
        <v>1030</v>
      </c>
      <c r="M626" s="483" t="str">
        <f>IFERROR(INDEX([1]Produtos!$C:$C,MATCH(L626,[1]Produtos!$B:$B,0)), "-")</f>
        <v>BODY MIST BOUQUET CARMIM</v>
      </c>
      <c r="N626" s="511">
        <f>IFERROR(INDEX([1]Produtos!$E:$E,MATCH(L626,[1]Produtos!$B:$B,0)), "-")</f>
        <v>250</v>
      </c>
      <c r="O626" s="483" t="str">
        <f>IFERROR(INDEX([1]Produtos!$F:$F,MATCH(L626,[1]Produtos!$B:$B,0)), "-")</f>
        <v>ml</v>
      </c>
      <c r="P626" s="483" t="str">
        <f>IFERROR(INDEX([1]Produtos!$G:$G,MATCH(L626,[1]Produtos!$B:$B,0)), "-")</f>
        <v>AMEERATI</v>
      </c>
      <c r="Q626" s="483" t="str">
        <f>IFERROR(INDEX([1]Produtos!$H:$H,MATCH(L626,[1]Produtos!$B:$B,0)), "-")</f>
        <v>PERFUMARIA</v>
      </c>
      <c r="R626" s="483" t="str">
        <f>IFERROR(INDEX([1]Produtos!$I:$I,MATCH(L626,[1]Produtos!$B:$B,0)), "-")</f>
        <v>BODY SPLASH</v>
      </c>
      <c r="S626" s="483" t="str">
        <f>IFERROR(INDEX([1]Produtos!$J:$J,MATCH(L626,[1]Produtos!$B:$B,0)), "-")</f>
        <v>LÍQUIDO</v>
      </c>
      <c r="T626" s="484"/>
      <c r="U626" s="270"/>
      <c r="V626" s="270"/>
      <c r="W626" s="270"/>
      <c r="X626" s="270"/>
      <c r="Y626" s="270"/>
      <c r="Z626" s="270"/>
      <c r="AA626" s="270"/>
      <c r="AB626" s="270"/>
      <c r="AC626" s="270"/>
      <c r="AD626" s="270"/>
      <c r="AE626" s="270"/>
      <c r="AF626" s="270"/>
      <c r="AG626" s="270"/>
      <c r="AH626" s="270"/>
      <c r="AI626" s="270"/>
      <c r="AJ626" s="270"/>
      <c r="AK626" s="270"/>
      <c r="AL626" s="270"/>
      <c r="AM626" s="663"/>
      <c r="AN626" s="663"/>
      <c r="AO626" s="708" t="str">
        <f>IF(OR(Table1[[#This Row],[Início Setup Envase]]="",Table1[[#This Row],[Final Setup Envase]]=""),"",Table1[[#This Row],[Final Setup Envase]]-Table1[[#This Row],[Início Setup Envase]])</f>
        <v/>
      </c>
      <c r="AP626" s="663"/>
      <c r="AQ626" s="663"/>
      <c r="AR626" s="270"/>
      <c r="AS626" s="270"/>
      <c r="AT626" s="270"/>
      <c r="AU626" s="270"/>
      <c r="AV626" s="270"/>
      <c r="AW626" s="270"/>
      <c r="AX626" s="270"/>
      <c r="AY626" s="270"/>
      <c r="AZ626" s="270"/>
      <c r="BA626" s="270">
        <f>IF(Table1[[#This Row],[Data de Início]]="","",YEAR(Table1[[#This Row],[Data de Início]]))</f>
        <v>2025</v>
      </c>
      <c r="BB626" s="270">
        <f>IF(Table1[[#This Row],[Data de Início]]="","",MONTH(Table1[[#This Row],[Data de Início]]))</f>
        <v>11</v>
      </c>
      <c r="BC626" s="270"/>
    </row>
    <row r="627" spans="2:55" ht="15" customHeight="1" x14ac:dyDescent="0.25">
      <c r="B627" s="489">
        <v>45987.375</v>
      </c>
      <c r="C627" s="490">
        <v>45987.666666666664</v>
      </c>
      <c r="D627" s="477" cm="1">
        <f t="array" ref="D627">IFERROR(HorasUteisFabrica2Turnos(B627,C627), "")</f>
        <v>5.9999999999417923</v>
      </c>
      <c r="E627" s="478">
        <f t="shared" si="9"/>
        <v>190.66666666851637</v>
      </c>
      <c r="F627" s="479" t="s">
        <v>1039</v>
      </c>
      <c r="G627" s="266" t="s">
        <v>1037</v>
      </c>
      <c r="H627" s="479"/>
      <c r="I627" s="480" t="s">
        <v>1040</v>
      </c>
      <c r="J627" s="481" t="s">
        <v>15</v>
      </c>
      <c r="K627" s="482">
        <v>1144</v>
      </c>
      <c r="L627" s="495" t="s">
        <v>983</v>
      </c>
      <c r="M627" s="483" t="str">
        <f>IFERROR(INDEX([1]Produtos!$C:$C,MATCH(L627,[1]Produtos!$B:$B,0)), "-")</f>
        <v>BASE PARA PERFUME FINA BASE 500ml</v>
      </c>
      <c r="N627" s="511">
        <f>IFERROR(INDEX([1]Produtos!$E:$E,MATCH(L627,[1]Produtos!$B:$B,0)), "-")</f>
        <v>500</v>
      </c>
      <c r="O627" s="483" t="str">
        <f>IFERROR(INDEX([1]Produtos!$F:$F,MATCH(L627,[1]Produtos!$B:$B,0)), "-")</f>
        <v>ml</v>
      </c>
      <c r="P627" s="483" t="str">
        <f>IFERROR(INDEX([1]Produtos!$G:$G,MATCH(L627,[1]Produtos!$B:$B,0)), "-")</f>
        <v>KURYOS</v>
      </c>
      <c r="Q627" s="483" t="str">
        <f>IFERROR(INDEX([1]Produtos!$H:$H,MATCH(L627,[1]Produtos!$B:$B,0)), "-")</f>
        <v>BASE</v>
      </c>
      <c r="R627" s="483" t="str">
        <f>IFERROR(INDEX([1]Produtos!$I:$I,MATCH(L627,[1]Produtos!$B:$B,0)), "-")</f>
        <v>BASE</v>
      </c>
      <c r="S627" s="483" t="str">
        <f>IFERROR(INDEX([1]Produtos!$J:$J,MATCH(L627,[1]Produtos!$B:$B,0)), "-")</f>
        <v>LÍQUIDO</v>
      </c>
      <c r="T627" s="484"/>
      <c r="U627" s="270"/>
      <c r="V627" s="270"/>
      <c r="W627" s="270"/>
      <c r="X627" s="270"/>
      <c r="Y627" s="270"/>
      <c r="Z627" s="270"/>
      <c r="AA627" s="270"/>
      <c r="AB627" s="270"/>
      <c r="AC627" s="270"/>
      <c r="AD627" s="270"/>
      <c r="AE627" s="270"/>
      <c r="AF627" s="270"/>
      <c r="AG627" s="270"/>
      <c r="AH627" s="270"/>
      <c r="AI627" s="270"/>
      <c r="AJ627" s="270"/>
      <c r="AK627" s="270"/>
      <c r="AL627" s="270"/>
      <c r="AM627" s="663"/>
      <c r="AN627" s="663"/>
      <c r="AO627" s="708" t="str">
        <f>IF(OR(Table1[[#This Row],[Início Setup Envase]]="",Table1[[#This Row],[Final Setup Envase]]=""),"",Table1[[#This Row],[Final Setup Envase]]-Table1[[#This Row],[Início Setup Envase]])</f>
        <v/>
      </c>
      <c r="AP627" s="663"/>
      <c r="AQ627" s="663"/>
      <c r="AR627" s="270"/>
      <c r="AS627" s="270"/>
      <c r="AT627" s="270"/>
      <c r="AU627" s="270"/>
      <c r="AV627" s="270"/>
      <c r="AW627" s="270"/>
      <c r="AX627" s="270"/>
      <c r="AY627" s="270"/>
      <c r="AZ627" s="270"/>
      <c r="BA627" s="270">
        <f>IF(Table1[[#This Row],[Data de Início]]="","",YEAR(Table1[[#This Row],[Data de Início]]))</f>
        <v>2025</v>
      </c>
      <c r="BB627" s="270">
        <f>IF(Table1[[#This Row],[Data de Início]]="","",MONTH(Table1[[#This Row],[Data de Início]]))</f>
        <v>11</v>
      </c>
      <c r="BC627" s="270"/>
    </row>
    <row r="628" spans="2:55" ht="15" customHeight="1" x14ac:dyDescent="0.25">
      <c r="B628" s="489">
        <v>45987.427083333336</v>
      </c>
      <c r="C628" s="490">
        <v>45987.486111111109</v>
      </c>
      <c r="D628" s="477" cm="1">
        <f t="array" ref="D628">IFERROR(HorasUteisFabrica2Turnos(B628,C628), "")</f>
        <v>1.4166666665696539</v>
      </c>
      <c r="E628" s="478">
        <f t="shared" si="9"/>
        <v>1115.2941177234338</v>
      </c>
      <c r="F628" s="479" t="s">
        <v>377</v>
      </c>
      <c r="G628" s="266" t="s">
        <v>1046</v>
      </c>
      <c r="H628" s="479"/>
      <c r="I628" s="480" t="s">
        <v>1031</v>
      </c>
      <c r="J628" s="481" t="s">
        <v>15</v>
      </c>
      <c r="K628" s="482">
        <v>1580</v>
      </c>
      <c r="L628" s="495" t="s">
        <v>1030</v>
      </c>
      <c r="M628" s="483" t="str">
        <f>IFERROR(INDEX([1]Produtos!$C:$C,MATCH(L628,[1]Produtos!$B:$B,0)), "-")</f>
        <v>BODY MIST BOUQUET CARMIM</v>
      </c>
      <c r="N628" s="511">
        <f>IFERROR(INDEX([1]Produtos!$E:$E,MATCH(L628,[1]Produtos!$B:$B,0)), "-")</f>
        <v>250</v>
      </c>
      <c r="O628" s="483" t="str">
        <f>IFERROR(INDEX([1]Produtos!$F:$F,MATCH(L628,[1]Produtos!$B:$B,0)), "-")</f>
        <v>ml</v>
      </c>
      <c r="P628" s="483" t="str">
        <f>IFERROR(INDEX([1]Produtos!$G:$G,MATCH(L628,[1]Produtos!$B:$B,0)), "-")</f>
        <v>AMEERATI</v>
      </c>
      <c r="Q628" s="483" t="str">
        <f>IFERROR(INDEX([1]Produtos!$H:$H,MATCH(L628,[1]Produtos!$B:$B,0)), "-")</f>
        <v>PERFUMARIA</v>
      </c>
      <c r="R628" s="483" t="str">
        <f>IFERROR(INDEX([1]Produtos!$I:$I,MATCH(L628,[1]Produtos!$B:$B,0)), "-")</f>
        <v>BODY SPLASH</v>
      </c>
      <c r="S628" s="483" t="str">
        <f>IFERROR(INDEX([1]Produtos!$J:$J,MATCH(L628,[1]Produtos!$B:$B,0)), "-")</f>
        <v>LÍQUIDO</v>
      </c>
      <c r="T628" s="484"/>
      <c r="U628" s="270"/>
      <c r="V628" s="270"/>
      <c r="W628" s="270"/>
      <c r="X628" s="270"/>
      <c r="Y628" s="270"/>
      <c r="Z628" s="270"/>
      <c r="AA628" s="270"/>
      <c r="AB628" s="270"/>
      <c r="AC628" s="270"/>
      <c r="AD628" s="270"/>
      <c r="AE628" s="270"/>
      <c r="AF628" s="270"/>
      <c r="AG628" s="270"/>
      <c r="AH628" s="270"/>
      <c r="AI628" s="270"/>
      <c r="AJ628" s="270"/>
      <c r="AK628" s="270"/>
      <c r="AL628" s="270"/>
      <c r="AM628" s="663"/>
      <c r="AN628" s="663"/>
      <c r="AO628" s="708" t="str">
        <f>IF(OR(Table1[[#This Row],[Início Setup Envase]]="",Table1[[#This Row],[Final Setup Envase]]=""),"",Table1[[#This Row],[Final Setup Envase]]-Table1[[#This Row],[Início Setup Envase]])</f>
        <v/>
      </c>
      <c r="AP628" s="663"/>
      <c r="AQ628" s="663"/>
      <c r="AR628" s="270"/>
      <c r="AS628" s="270"/>
      <c r="AT628" s="270"/>
      <c r="AU628" s="270"/>
      <c r="AV628" s="270"/>
      <c r="AW628" s="270"/>
      <c r="AX628" s="270"/>
      <c r="AY628" s="270"/>
      <c r="AZ628" s="270"/>
      <c r="BA628" s="270">
        <f>IF(Table1[[#This Row],[Data de Início]]="","",YEAR(Table1[[#This Row],[Data de Início]]))</f>
        <v>2025</v>
      </c>
      <c r="BB628" s="270">
        <f>IF(Table1[[#This Row],[Data de Início]]="","",MONTH(Table1[[#This Row],[Data de Início]]))</f>
        <v>11</v>
      </c>
      <c r="BC628" s="270"/>
    </row>
    <row r="629" spans="2:55" ht="15" customHeight="1" x14ac:dyDescent="0.25">
      <c r="B629" s="489">
        <v>45987.625</v>
      </c>
      <c r="C629" s="490">
        <v>45988.382638888892</v>
      </c>
      <c r="D629" s="477" cm="1">
        <f t="array" ref="D629">IFERROR(HorasUteisFabrica2Turnos(B629,C629), "")</f>
        <v>4.1833333335234784</v>
      </c>
      <c r="E629" s="478">
        <f t="shared" si="9"/>
        <v>349.96015934664308</v>
      </c>
      <c r="F629" s="479" t="s">
        <v>378</v>
      </c>
      <c r="G629" s="266" t="s">
        <v>1046</v>
      </c>
      <c r="H629" s="479"/>
      <c r="I629" s="480" t="s">
        <v>1036</v>
      </c>
      <c r="J629" s="481" t="s">
        <v>15</v>
      </c>
      <c r="K629" s="482">
        <v>1464</v>
      </c>
      <c r="L629" s="495" t="s">
        <v>1035</v>
      </c>
      <c r="M629" s="483" t="str">
        <f>IFERROR(INDEX([1]Produtos!$C:$C,MATCH(L629,[1]Produtos!$B:$B,0)), "-")</f>
        <v>BODY MIST SUBLIME CEREJA</v>
      </c>
      <c r="N629" s="511">
        <f>IFERROR(INDEX([1]Produtos!$E:$E,MATCH(L629,[1]Produtos!$B:$B,0)), "-")</f>
        <v>250</v>
      </c>
      <c r="O629" s="483" t="str">
        <f>IFERROR(INDEX([1]Produtos!$F:$F,MATCH(L629,[1]Produtos!$B:$B,0)), "-")</f>
        <v>ml</v>
      </c>
      <c r="P629" s="483" t="str">
        <f>IFERROR(INDEX([1]Produtos!$G:$G,MATCH(L629,[1]Produtos!$B:$B,0)), "-")</f>
        <v>AMEERATI</v>
      </c>
      <c r="Q629" s="483" t="str">
        <f>IFERROR(INDEX([1]Produtos!$H:$H,MATCH(L629,[1]Produtos!$B:$B,0)), "-")</f>
        <v>PERFUMARIA</v>
      </c>
      <c r="R629" s="483" t="str">
        <f>IFERROR(INDEX([1]Produtos!$I:$I,MATCH(L629,[1]Produtos!$B:$B,0)), "-")</f>
        <v>BODY SPLASH</v>
      </c>
      <c r="S629" s="483" t="str">
        <f>IFERROR(INDEX([1]Produtos!$J:$J,MATCH(L629,[1]Produtos!$B:$B,0)), "-")</f>
        <v>LÍQUIDO</v>
      </c>
      <c r="T629" s="484"/>
      <c r="U629" s="270"/>
      <c r="V629" s="270"/>
      <c r="W629" s="270"/>
      <c r="X629" s="270"/>
      <c r="Y629" s="270"/>
      <c r="Z629" s="270"/>
      <c r="AA629" s="270"/>
      <c r="AB629" s="270"/>
      <c r="AC629" s="270"/>
      <c r="AD629" s="270"/>
      <c r="AE629" s="270"/>
      <c r="AF629" s="270"/>
      <c r="AG629" s="270"/>
      <c r="AH629" s="270"/>
      <c r="AI629" s="270"/>
      <c r="AJ629" s="270"/>
      <c r="AK629" s="270"/>
      <c r="AL629" s="270"/>
      <c r="AM629" s="663"/>
      <c r="AN629" s="663"/>
      <c r="AO629" s="708" t="str">
        <f>IF(OR(Table1[[#This Row],[Início Setup Envase]]="",Table1[[#This Row],[Final Setup Envase]]=""),"",Table1[[#This Row],[Final Setup Envase]]-Table1[[#This Row],[Início Setup Envase]])</f>
        <v/>
      </c>
      <c r="AP629" s="663"/>
      <c r="AQ629" s="663"/>
      <c r="AR629" s="270"/>
      <c r="AS629" s="270"/>
      <c r="AT629" s="270"/>
      <c r="AU629" s="270"/>
      <c r="AV629" s="270"/>
      <c r="AW629" s="270"/>
      <c r="AX629" s="270"/>
      <c r="AY629" s="270"/>
      <c r="AZ629" s="270"/>
      <c r="BA629" s="270">
        <f>IF(Table1[[#This Row],[Data de Início]]="","",YEAR(Table1[[#This Row],[Data de Início]]))</f>
        <v>2025</v>
      </c>
      <c r="BB629" s="270">
        <f>IF(Table1[[#This Row],[Data de Início]]="","",MONTH(Table1[[#This Row],[Data de Início]]))</f>
        <v>11</v>
      </c>
      <c r="BC629" s="270"/>
    </row>
    <row r="630" spans="2:55" ht="15" customHeight="1" x14ac:dyDescent="0.25">
      <c r="B630" s="489">
        <v>45987.666666666664</v>
      </c>
      <c r="C630" s="490">
        <v>45988.384722222225</v>
      </c>
      <c r="D630" s="477" cm="1">
        <f t="array" ref="D630">IFERROR(HorasUteisFabrica2Turnos(B630,C630), "")</f>
        <v>3.2333333335700445</v>
      </c>
      <c r="E630" s="478">
        <f t="shared" si="9"/>
        <v>118.76288658924355</v>
      </c>
      <c r="F630" s="479" t="s">
        <v>378</v>
      </c>
      <c r="G630" s="266" t="s">
        <v>1037</v>
      </c>
      <c r="H630" s="479"/>
      <c r="I630" s="480" t="s">
        <v>1038</v>
      </c>
      <c r="J630" s="481" t="s">
        <v>15</v>
      </c>
      <c r="K630" s="482">
        <v>384</v>
      </c>
      <c r="L630" s="495" t="s">
        <v>402</v>
      </c>
      <c r="M630" s="483" t="str">
        <f>IFERROR(INDEX([1]Produtos!$C:$C,MATCH(L630,[1]Produtos!$B:$B,0)), "-")</f>
        <v>BASE PARA PERFUME FINA BASE PREMIUM 1l</v>
      </c>
      <c r="N630" s="511">
        <f>IFERROR(INDEX([1]Produtos!$E:$E,MATCH(L630,[1]Produtos!$B:$B,0)), "-")</f>
        <v>1000</v>
      </c>
      <c r="O630" s="483" t="str">
        <f>IFERROR(INDEX([1]Produtos!$F:$F,MATCH(L630,[1]Produtos!$B:$B,0)), "-")</f>
        <v>ml</v>
      </c>
      <c r="P630" s="483" t="str">
        <f>IFERROR(INDEX([1]Produtos!$G:$G,MATCH(L630,[1]Produtos!$B:$B,0)), "-")</f>
        <v>KURYOS</v>
      </c>
      <c r="Q630" s="483" t="str">
        <f>IFERROR(INDEX([1]Produtos!$H:$H,MATCH(L630,[1]Produtos!$B:$B,0)), "-")</f>
        <v>BASE</v>
      </c>
      <c r="R630" s="483" t="str">
        <f>IFERROR(INDEX([1]Produtos!$I:$I,MATCH(L630,[1]Produtos!$B:$B,0)), "-")</f>
        <v>BASE</v>
      </c>
      <c r="S630" s="483" t="str">
        <f>IFERROR(INDEX([1]Produtos!$J:$J,MATCH(L630,[1]Produtos!$B:$B,0)), "-")</f>
        <v>LÍQUIDO</v>
      </c>
      <c r="T630" s="484"/>
      <c r="U630" s="270"/>
      <c r="V630" s="270"/>
      <c r="W630" s="270"/>
      <c r="X630" s="270"/>
      <c r="Y630" s="270"/>
      <c r="Z630" s="270"/>
      <c r="AA630" s="270"/>
      <c r="AB630" s="270"/>
      <c r="AC630" s="270"/>
      <c r="AD630" s="270"/>
      <c r="AE630" s="270"/>
      <c r="AF630" s="270"/>
      <c r="AG630" s="270"/>
      <c r="AH630" s="270"/>
      <c r="AI630" s="270"/>
      <c r="AJ630" s="270"/>
      <c r="AK630" s="270"/>
      <c r="AL630" s="270"/>
      <c r="AM630" s="663"/>
      <c r="AN630" s="663"/>
      <c r="AO630" s="708" t="str">
        <f>IF(OR(Table1[[#This Row],[Início Setup Envase]]="",Table1[[#This Row],[Final Setup Envase]]=""),"",Table1[[#This Row],[Final Setup Envase]]-Table1[[#This Row],[Início Setup Envase]])</f>
        <v/>
      </c>
      <c r="AP630" s="663"/>
      <c r="AQ630" s="663"/>
      <c r="AR630" s="270"/>
      <c r="AS630" s="270"/>
      <c r="AT630" s="270"/>
      <c r="AU630" s="270"/>
      <c r="AV630" s="270"/>
      <c r="AW630" s="270"/>
      <c r="AX630" s="270"/>
      <c r="AY630" s="270"/>
      <c r="AZ630" s="270"/>
      <c r="BA630" s="270">
        <f>IF(Table1[[#This Row],[Data de Início]]="","",YEAR(Table1[[#This Row],[Data de Início]]))</f>
        <v>2025</v>
      </c>
      <c r="BB630" s="270">
        <f>IF(Table1[[#This Row],[Data de Início]]="","",MONTH(Table1[[#This Row],[Data de Início]]))</f>
        <v>11</v>
      </c>
      <c r="BC630" s="270"/>
    </row>
    <row r="631" spans="2:55" ht="15" customHeight="1" x14ac:dyDescent="0.25">
      <c r="B631" s="489">
        <v>45988.461805555555</v>
      </c>
      <c r="C631" s="490">
        <v>45988.611111111109</v>
      </c>
      <c r="D631" s="477" cm="1">
        <f t="array" ref="D631">IFERROR(HorasUteisFabrica2Turnos(B631,C631), "")</f>
        <v>2.5833333333139308</v>
      </c>
      <c r="E631" s="478">
        <f t="shared" si="9"/>
        <v>650.32258065004567</v>
      </c>
      <c r="F631" s="479" t="s">
        <v>378</v>
      </c>
      <c r="G631" s="266" t="s">
        <v>1046</v>
      </c>
      <c r="H631" s="479"/>
      <c r="I631" s="480" t="s">
        <v>1043</v>
      </c>
      <c r="J631" s="481" t="s">
        <v>15</v>
      </c>
      <c r="K631" s="482">
        <v>1680</v>
      </c>
      <c r="L631" s="495" t="s">
        <v>1035</v>
      </c>
      <c r="M631" s="483" t="str">
        <f>IFERROR(INDEX([1]Produtos!$C:$C,MATCH(L631,[1]Produtos!$B:$B,0)), "-")</f>
        <v>BODY MIST SUBLIME CEREJA</v>
      </c>
      <c r="N631" s="511">
        <f>IFERROR(INDEX([1]Produtos!$E:$E,MATCH(L631,[1]Produtos!$B:$B,0)), "-")</f>
        <v>250</v>
      </c>
      <c r="O631" s="483" t="str">
        <f>IFERROR(INDEX([1]Produtos!$F:$F,MATCH(L631,[1]Produtos!$B:$B,0)), "-")</f>
        <v>ml</v>
      </c>
      <c r="P631" s="483" t="str">
        <f>IFERROR(INDEX([1]Produtos!$G:$G,MATCH(L631,[1]Produtos!$B:$B,0)), "-")</f>
        <v>AMEERATI</v>
      </c>
      <c r="Q631" s="483" t="str">
        <f>IFERROR(INDEX([1]Produtos!$H:$H,MATCH(L631,[1]Produtos!$B:$B,0)), "-")</f>
        <v>PERFUMARIA</v>
      </c>
      <c r="R631" s="483" t="str">
        <f>IFERROR(INDEX([1]Produtos!$I:$I,MATCH(L631,[1]Produtos!$B:$B,0)), "-")</f>
        <v>BODY SPLASH</v>
      </c>
      <c r="S631" s="483" t="str">
        <f>IFERROR(INDEX([1]Produtos!$J:$J,MATCH(L631,[1]Produtos!$B:$B,0)), "-")</f>
        <v>LÍQUIDO</v>
      </c>
      <c r="T631" s="484"/>
      <c r="U631" s="270"/>
      <c r="V631" s="270"/>
      <c r="W631" s="270"/>
      <c r="X631" s="270"/>
      <c r="Y631" s="270"/>
      <c r="Z631" s="270"/>
      <c r="AA631" s="270"/>
      <c r="AB631" s="270"/>
      <c r="AC631" s="270"/>
      <c r="AD631" s="270"/>
      <c r="AE631" s="270"/>
      <c r="AF631" s="270"/>
      <c r="AG631" s="270"/>
      <c r="AH631" s="270"/>
      <c r="AI631" s="270"/>
      <c r="AJ631" s="270"/>
      <c r="AK631" s="270"/>
      <c r="AL631" s="270"/>
      <c r="AM631" s="663"/>
      <c r="AN631" s="663"/>
      <c r="AO631" s="708" t="str">
        <f>IF(OR(Table1[[#This Row],[Início Setup Envase]]="",Table1[[#This Row],[Final Setup Envase]]=""),"",Table1[[#This Row],[Final Setup Envase]]-Table1[[#This Row],[Início Setup Envase]])</f>
        <v/>
      </c>
      <c r="AP631" s="663"/>
      <c r="AQ631" s="663"/>
      <c r="AR631" s="270"/>
      <c r="AS631" s="270"/>
      <c r="AT631" s="270"/>
      <c r="AU631" s="270"/>
      <c r="AV631" s="270"/>
      <c r="AW631" s="270"/>
      <c r="AX631" s="270"/>
      <c r="AY631" s="270"/>
      <c r="AZ631" s="270"/>
      <c r="BA631" s="270">
        <f>IF(Table1[[#This Row],[Data de Início]]="","",YEAR(Table1[[#This Row],[Data de Início]]))</f>
        <v>2025</v>
      </c>
      <c r="BB631" s="270">
        <f>IF(Table1[[#This Row],[Data de Início]]="","",MONTH(Table1[[#This Row],[Data de Início]]))</f>
        <v>11</v>
      </c>
      <c r="BC631" s="270"/>
    </row>
    <row r="632" spans="2:55" ht="15" customHeight="1" x14ac:dyDescent="0.25">
      <c r="B632" s="489">
        <v>45988.548611111109</v>
      </c>
      <c r="C632" s="490">
        <v>45988.616666666669</v>
      </c>
      <c r="D632" s="477" cm="1">
        <f t="array" ref="D632">IFERROR(HorasUteisFabrica2Turnos(B632,C632), "")</f>
        <v>1.6333333334187046</v>
      </c>
      <c r="E632" s="478">
        <f t="shared" si="9"/>
        <v>330.6122448806787</v>
      </c>
      <c r="F632" s="479" t="s">
        <v>378</v>
      </c>
      <c r="G632" s="266" t="s">
        <v>1037</v>
      </c>
      <c r="H632" s="479"/>
      <c r="I632" s="480" t="s">
        <v>1045</v>
      </c>
      <c r="J632" s="481" t="s">
        <v>15</v>
      </c>
      <c r="K632" s="482">
        <v>540</v>
      </c>
      <c r="L632" s="495" t="s">
        <v>886</v>
      </c>
      <c r="M632" s="483" t="str">
        <f>IFERROR(INDEX([1]Produtos!$C:$C,MATCH(L632,[1]Produtos!$B:$B,0)), "-")</f>
        <v>BASE PARA PERFUME FINA BASE 1l</v>
      </c>
      <c r="N632" s="511">
        <f>IFERROR(INDEX([1]Produtos!$E:$E,MATCH(L632,[1]Produtos!$B:$B,0)), "-")</f>
        <v>1000</v>
      </c>
      <c r="O632" s="483" t="str">
        <f>IFERROR(INDEX([1]Produtos!$F:$F,MATCH(L632,[1]Produtos!$B:$B,0)), "-")</f>
        <v>ml</v>
      </c>
      <c r="P632" s="483" t="str">
        <f>IFERROR(INDEX([1]Produtos!$G:$G,MATCH(L632,[1]Produtos!$B:$B,0)), "-")</f>
        <v>KURYOS</v>
      </c>
      <c r="Q632" s="483" t="str">
        <f>IFERROR(INDEX([1]Produtos!$H:$H,MATCH(L632,[1]Produtos!$B:$B,0)), "-")</f>
        <v>BASE</v>
      </c>
      <c r="R632" s="483" t="str">
        <f>IFERROR(INDEX([1]Produtos!$I:$I,MATCH(L632,[1]Produtos!$B:$B,0)), "-")</f>
        <v>BASE</v>
      </c>
      <c r="S632" s="483" t="str">
        <f>IFERROR(INDEX([1]Produtos!$J:$J,MATCH(L632,[1]Produtos!$B:$B,0)), "-")</f>
        <v>LÍQUIDO</v>
      </c>
      <c r="T632" s="484"/>
      <c r="U632" s="270"/>
      <c r="V632" s="270"/>
      <c r="W632" s="270"/>
      <c r="X632" s="270"/>
      <c r="Y632" s="270"/>
      <c r="Z632" s="270"/>
      <c r="AA632" s="270"/>
      <c r="AB632" s="270"/>
      <c r="AC632" s="270"/>
      <c r="AD632" s="270"/>
      <c r="AE632" s="270"/>
      <c r="AF632" s="270"/>
      <c r="AG632" s="270"/>
      <c r="AH632" s="270"/>
      <c r="AI632" s="270"/>
      <c r="AJ632" s="270"/>
      <c r="AK632" s="270"/>
      <c r="AL632" s="270"/>
      <c r="AM632" s="663"/>
      <c r="AN632" s="663"/>
      <c r="AO632" s="708" t="str">
        <f>IF(OR(Table1[[#This Row],[Início Setup Envase]]="",Table1[[#This Row],[Final Setup Envase]]=""),"",Table1[[#This Row],[Final Setup Envase]]-Table1[[#This Row],[Início Setup Envase]])</f>
        <v/>
      </c>
      <c r="AP632" s="663"/>
      <c r="AQ632" s="663"/>
      <c r="AR632" s="270"/>
      <c r="AS632" s="270"/>
      <c r="AT632" s="270"/>
      <c r="AU632" s="270"/>
      <c r="AV632" s="270"/>
      <c r="AW632" s="270"/>
      <c r="AX632" s="270"/>
      <c r="AY632" s="270"/>
      <c r="AZ632" s="270"/>
      <c r="BA632" s="270">
        <f>IF(Table1[[#This Row],[Data de Início]]="","",YEAR(Table1[[#This Row],[Data de Início]]))</f>
        <v>2025</v>
      </c>
      <c r="BB632" s="270">
        <f>IF(Table1[[#This Row],[Data de Início]]="","",MONTH(Table1[[#This Row],[Data de Início]]))</f>
        <v>11</v>
      </c>
      <c r="BC632" s="270"/>
    </row>
    <row r="633" spans="2:55" ht="15" customHeight="1" x14ac:dyDescent="0.25">
      <c r="B633" s="489">
        <v>45988.616666666669</v>
      </c>
      <c r="C633" s="490">
        <v>45989.368055555555</v>
      </c>
      <c r="D633" s="477" cm="1">
        <f t="array" ref="D633">IFERROR(HorasUteisFabrica2Turnos(B633,C633), "")</f>
        <v>4.03333333338378</v>
      </c>
      <c r="E633" s="478">
        <f t="shared" si="9"/>
        <v>122.72727272573772</v>
      </c>
      <c r="F633" s="479" t="s">
        <v>378</v>
      </c>
      <c r="G633" s="266" t="s">
        <v>1037</v>
      </c>
      <c r="H633" s="479"/>
      <c r="I633" s="480" t="s">
        <v>1044</v>
      </c>
      <c r="J633" s="481" t="s">
        <v>15</v>
      </c>
      <c r="K633" s="482">
        <v>495</v>
      </c>
      <c r="L633" s="495" t="s">
        <v>886</v>
      </c>
      <c r="M633" s="483" t="str">
        <f>IFERROR(INDEX([1]Produtos!$C:$C,MATCH(L633,[1]Produtos!$B:$B,0)), "-")</f>
        <v>BASE PARA PERFUME FINA BASE 1l</v>
      </c>
      <c r="N633" s="511">
        <f>IFERROR(INDEX([1]Produtos!$E:$E,MATCH(L633,[1]Produtos!$B:$B,0)), "-")</f>
        <v>1000</v>
      </c>
      <c r="O633" s="483" t="str">
        <f>IFERROR(INDEX([1]Produtos!$F:$F,MATCH(L633,[1]Produtos!$B:$B,0)), "-")</f>
        <v>ml</v>
      </c>
      <c r="P633" s="483" t="str">
        <f>IFERROR(INDEX([1]Produtos!$G:$G,MATCH(L633,[1]Produtos!$B:$B,0)), "-")</f>
        <v>KURYOS</v>
      </c>
      <c r="Q633" s="483" t="str">
        <f>IFERROR(INDEX([1]Produtos!$H:$H,MATCH(L633,[1]Produtos!$B:$B,0)), "-")</f>
        <v>BASE</v>
      </c>
      <c r="R633" s="483" t="str">
        <f>IFERROR(INDEX([1]Produtos!$I:$I,MATCH(L633,[1]Produtos!$B:$B,0)), "-")</f>
        <v>BASE</v>
      </c>
      <c r="S633" s="483" t="str">
        <f>IFERROR(INDEX([1]Produtos!$J:$J,MATCH(L633,[1]Produtos!$B:$B,0)), "-")</f>
        <v>LÍQUIDO</v>
      </c>
      <c r="T633" s="484"/>
      <c r="U633" s="270"/>
      <c r="V633" s="270"/>
      <c r="W633" s="270"/>
      <c r="X633" s="270"/>
      <c r="Y633" s="270"/>
      <c r="Z633" s="270"/>
      <c r="AA633" s="270"/>
      <c r="AB633" s="270"/>
      <c r="AC633" s="270"/>
      <c r="AD633" s="270"/>
      <c r="AE633" s="270"/>
      <c r="AF633" s="270"/>
      <c r="AG633" s="270"/>
      <c r="AH633" s="270"/>
      <c r="AI633" s="270"/>
      <c r="AJ633" s="270"/>
      <c r="AK633" s="270"/>
      <c r="AL633" s="270"/>
      <c r="AM633" s="663"/>
      <c r="AN633" s="663"/>
      <c r="AO633" s="708" t="str">
        <f>IF(OR(Table1[[#This Row],[Início Setup Envase]]="",Table1[[#This Row],[Final Setup Envase]]=""),"",Table1[[#This Row],[Final Setup Envase]]-Table1[[#This Row],[Início Setup Envase]])</f>
        <v/>
      </c>
      <c r="AP633" s="663"/>
      <c r="AQ633" s="663"/>
      <c r="AR633" s="270"/>
      <c r="AS633" s="270"/>
      <c r="AT633" s="270"/>
      <c r="AU633" s="270"/>
      <c r="AV633" s="270"/>
      <c r="AW633" s="270"/>
      <c r="AX633" s="270"/>
      <c r="AY633" s="270"/>
      <c r="AZ633" s="270"/>
      <c r="BA633" s="270">
        <f>IF(Table1[[#This Row],[Data de Início]]="","",YEAR(Table1[[#This Row],[Data de Início]]))</f>
        <v>2025</v>
      </c>
      <c r="BB633" s="270">
        <f>IF(Table1[[#This Row],[Data de Início]]="","",MONTH(Table1[[#This Row],[Data de Início]]))</f>
        <v>11</v>
      </c>
      <c r="BC633" s="270"/>
    </row>
    <row r="634" spans="2:55" ht="15" customHeight="1" x14ac:dyDescent="0.25">
      <c r="B634" s="489">
        <v>45989.635416666664</v>
      </c>
      <c r="C634" s="490">
        <v>45992.368055555555</v>
      </c>
      <c r="D634" s="477" cm="1">
        <f t="array" ref="D634">IFERROR(HorasUteisFabrica2Turnos(B634,C634), "")</f>
        <v>2.5833333333721384</v>
      </c>
      <c r="E634" s="478">
        <f t="shared" si="9"/>
        <v>1254.1935483682571</v>
      </c>
      <c r="F634" s="479" t="s">
        <v>378</v>
      </c>
      <c r="G634" s="266" t="s">
        <v>1046</v>
      </c>
      <c r="H634" s="479"/>
      <c r="I634" s="481" t="s">
        <v>1047</v>
      </c>
      <c r="J634" s="481" t="s">
        <v>15</v>
      </c>
      <c r="K634" s="482">
        <v>3240</v>
      </c>
      <c r="L634" s="480" t="s">
        <v>1048</v>
      </c>
      <c r="M634" s="511" t="str">
        <f>IFERROR(INDEX([1]Produtos!$C:$C,MATCH(L634,[1]Produtos!$B:$B,0)), "-")</f>
        <v>BODY MIST DOCE ROSA</v>
      </c>
      <c r="N634" s="511">
        <f>IFERROR(INDEX([1]Produtos!$E:$E,MATCH(L634,[1]Produtos!$B:$B,0)), "-")</f>
        <v>250</v>
      </c>
      <c r="O634" s="483" t="str">
        <f>IFERROR(INDEX([1]Produtos!$F:$F,MATCH(L634,[1]Produtos!$B:$B,0)), "-")</f>
        <v>ml</v>
      </c>
      <c r="P634" s="483" t="str">
        <f>IFERROR(INDEX([1]Produtos!$G:$G,MATCH(L634,[1]Produtos!$B:$B,0)), "-")</f>
        <v>AMEERATI</v>
      </c>
      <c r="Q634" s="483" t="str">
        <f>IFERROR(INDEX([1]Produtos!$H:$H,MATCH(L634,[1]Produtos!$B:$B,0)), "-")</f>
        <v>PERFUMARIA</v>
      </c>
      <c r="R634" s="483" t="str">
        <f>IFERROR(INDEX([1]Produtos!$I:$I,MATCH(L634,[1]Produtos!$B:$B,0)), "-")</f>
        <v>BODY SPLASH</v>
      </c>
      <c r="S634" s="483" t="str">
        <f>IFERROR(INDEX([1]Produtos!$J:$J,MATCH(L634,[1]Produtos!$B:$B,0)), "-")</f>
        <v>LÍQUIDO</v>
      </c>
      <c r="T634" s="553"/>
      <c r="U634" s="270"/>
      <c r="V634" s="270"/>
      <c r="W634" s="270"/>
      <c r="X634" s="270"/>
      <c r="Y634" s="270"/>
      <c r="Z634" s="270"/>
      <c r="AA634" s="270"/>
      <c r="AB634" s="270"/>
      <c r="AC634" s="270"/>
      <c r="AD634" s="270"/>
      <c r="AE634" s="270"/>
      <c r="AF634" s="270"/>
      <c r="AG634" s="270"/>
      <c r="AH634" s="270"/>
      <c r="AI634" s="270"/>
      <c r="AJ634" s="270"/>
      <c r="AK634" s="270"/>
      <c r="AL634" s="270"/>
      <c r="AM634" s="663"/>
      <c r="AN634" s="663"/>
      <c r="AO634" s="708" t="str">
        <f>IF(OR(Table1[[#This Row],[Início Setup Envase]]="",Table1[[#This Row],[Final Setup Envase]]=""),"",Table1[[#This Row],[Final Setup Envase]]-Table1[[#This Row],[Início Setup Envase]])</f>
        <v/>
      </c>
      <c r="AP634" s="663"/>
      <c r="AQ634" s="663"/>
      <c r="AR634" s="270"/>
      <c r="AS634" s="270"/>
      <c r="AT634" s="270"/>
      <c r="AU634" s="270"/>
      <c r="AV634" s="270"/>
      <c r="AW634" s="270"/>
      <c r="AX634" s="270"/>
      <c r="AY634" s="270"/>
      <c r="AZ634" s="270"/>
      <c r="BA634" s="270">
        <f>IF(Table1[[#This Row],[Data de Início]]="","",YEAR(Table1[[#This Row],[Data de Início]]))</f>
        <v>2025</v>
      </c>
      <c r="BB634" s="270">
        <f>IF(Table1[[#This Row],[Data de Início]]="","",MONTH(Table1[[#This Row],[Data de Início]]))</f>
        <v>11</v>
      </c>
      <c r="BC634" s="270"/>
    </row>
    <row r="635" spans="2:55" ht="15" customHeight="1" x14ac:dyDescent="0.25">
      <c r="B635" s="489">
        <v>45990.578472222223</v>
      </c>
      <c r="C635" s="490">
        <v>45993.385416666664</v>
      </c>
      <c r="D635" s="477" cm="1">
        <f t="array" ref="D635">IFERROR(HorasUteisFabrica2Turnos(B635,C635), "")</f>
        <v>14.366666666814126</v>
      </c>
      <c r="E635" s="478">
        <f t="shared" si="9"/>
        <v>298.53828305958081</v>
      </c>
      <c r="F635" s="479" t="s">
        <v>378</v>
      </c>
      <c r="G635" s="266" t="s">
        <v>360</v>
      </c>
      <c r="H635" s="479"/>
      <c r="I635" s="480" t="s">
        <v>1055</v>
      </c>
      <c r="J635" s="481" t="s">
        <v>15</v>
      </c>
      <c r="K635" s="482">
        <v>4289</v>
      </c>
      <c r="L635" s="480" t="s">
        <v>1012</v>
      </c>
      <c r="M635" s="483" t="str">
        <f>IFERROR(INDEX([1]Produtos!$C:$C,MATCH(L635,[1]Produtos!$B:$B,0)), "-")</f>
        <v>ESFOLIANTE MATTE SORVETE DE  BAUNILHA</v>
      </c>
      <c r="N635" s="511">
        <f>IFERROR(INDEX([1]Produtos!$E:$E,MATCH(L635,[1]Produtos!$B:$B,0)), "-")</f>
        <v>150</v>
      </c>
      <c r="O635" s="483" t="str">
        <f>IFERROR(INDEX([1]Produtos!$F:$F,MATCH(L635,[1]Produtos!$B:$B,0)), "-")</f>
        <v>g</v>
      </c>
      <c r="P635" s="483" t="str">
        <f>IFERROR(INDEX([1]Produtos!$G:$G,MATCH(L635,[1]Produtos!$B:$B,0)), "-")</f>
        <v>DAPOP</v>
      </c>
      <c r="Q635" s="483" t="str">
        <f>IFERROR(INDEX([1]Produtos!$H:$H,MATCH(L635,[1]Produtos!$B:$B,0)), "-")</f>
        <v>CORPORAL</v>
      </c>
      <c r="R635" s="483" t="str">
        <f>IFERROR(INDEX([1]Produtos!$I:$I,MATCH(L635,[1]Produtos!$B:$B,0)), "-")</f>
        <v>ESFOLIANTE</v>
      </c>
      <c r="S635" s="483" t="str">
        <f>IFERROR(INDEX([1]Produtos!$J:$J,MATCH(L635,[1]Produtos!$B:$B,0)), "-")</f>
        <v>VISCOSO</v>
      </c>
      <c r="T635" s="484"/>
      <c r="U635" s="270"/>
      <c r="V635" s="270"/>
      <c r="W635" s="270"/>
      <c r="X635" s="270"/>
      <c r="Y635" s="270"/>
      <c r="Z635" s="270"/>
      <c r="AA635" s="270"/>
      <c r="AB635" s="270"/>
      <c r="AC635" s="270"/>
      <c r="AD635" s="270"/>
      <c r="AE635" s="270"/>
      <c r="AF635" s="270"/>
      <c r="AG635" s="270"/>
      <c r="AH635" s="270"/>
      <c r="AI635" s="270"/>
      <c r="AJ635" s="270"/>
      <c r="AK635" s="270"/>
      <c r="AL635" s="270"/>
      <c r="AM635" s="663"/>
      <c r="AN635" s="663"/>
      <c r="AO635" s="708" t="str">
        <f>IF(OR(Table1[[#This Row],[Início Setup Envase]]="",Table1[[#This Row],[Final Setup Envase]]=""),"",Table1[[#This Row],[Final Setup Envase]]-Table1[[#This Row],[Início Setup Envase]])</f>
        <v/>
      </c>
      <c r="AP635" s="663"/>
      <c r="AQ635" s="663"/>
      <c r="AR635" s="270"/>
      <c r="AS635" s="270"/>
      <c r="AT635" s="270"/>
      <c r="AU635" s="270"/>
      <c r="AV635" s="270"/>
      <c r="AW635" s="270"/>
      <c r="AX635" s="270"/>
      <c r="AY635" s="270"/>
      <c r="AZ635" s="270"/>
      <c r="BA635" s="270">
        <f>IF(Table1[[#This Row],[Data de Início]]="","",YEAR(Table1[[#This Row],[Data de Início]]))</f>
        <v>2025</v>
      </c>
      <c r="BB635" s="270">
        <f>IF(Table1[[#This Row],[Data de Início]]="","",MONTH(Table1[[#This Row],[Data de Início]]))</f>
        <v>11</v>
      </c>
      <c r="BC635" s="270"/>
    </row>
    <row r="636" spans="2:55" ht="15" customHeight="1" x14ac:dyDescent="0.25">
      <c r="B636" s="489">
        <v>45992.370138888888</v>
      </c>
      <c r="C636" s="490">
        <v>45992.618055555555</v>
      </c>
      <c r="D636" s="477" cm="1">
        <f t="array" ref="D636">IFERROR(HorasUteisFabrica2Turnos(B636,C636), "")</f>
        <v>4.9500000000116415</v>
      </c>
      <c r="E636" s="478">
        <f t="shared" si="9"/>
        <v>673.93939393780897</v>
      </c>
      <c r="F636" s="479" t="s">
        <v>377</v>
      </c>
      <c r="G636" s="266" t="s">
        <v>1046</v>
      </c>
      <c r="H636" s="479"/>
      <c r="I636" s="480" t="s">
        <v>1050</v>
      </c>
      <c r="J636" s="481" t="s">
        <v>15</v>
      </c>
      <c r="K636" s="482">
        <v>3336</v>
      </c>
      <c r="L636" s="480" t="s">
        <v>1049</v>
      </c>
      <c r="M636" s="483" t="str">
        <f>IFERROR(INDEX([1]Produtos!$C:$C,MATCH(L636,[1]Produtos!$B:$B,0)), "-")</f>
        <v>BODY MIST SONHO DE PISTACHE</v>
      </c>
      <c r="N636" s="511">
        <f>IFERROR(INDEX([1]Produtos!$E:$E,MATCH(L636,[1]Produtos!$B:$B,0)), "-")</f>
        <v>250</v>
      </c>
      <c r="O636" s="483" t="str">
        <f>IFERROR(INDEX([1]Produtos!$F:$F,MATCH(L636,[1]Produtos!$B:$B,0)), "-")</f>
        <v>ml</v>
      </c>
      <c r="P636" s="483" t="str">
        <f>IFERROR(INDEX([1]Produtos!$G:$G,MATCH(L636,[1]Produtos!$B:$B,0)), "-")</f>
        <v>AMEERATI</v>
      </c>
      <c r="Q636" s="483" t="str">
        <f>IFERROR(INDEX([1]Produtos!$H:$H,MATCH(L636,[1]Produtos!$B:$B,0)), "-")</f>
        <v>PERFUMARIA</v>
      </c>
      <c r="R636" s="483" t="str">
        <f>IFERROR(INDEX([1]Produtos!$I:$I,MATCH(L636,[1]Produtos!$B:$B,0)), "-")</f>
        <v>BODY SPLASH</v>
      </c>
      <c r="S636" s="483" t="str">
        <f>IFERROR(INDEX([1]Produtos!$J:$J,MATCH(L636,[1]Produtos!$B:$B,0)), "-")</f>
        <v>LÍQUIDO</v>
      </c>
      <c r="T636" s="553"/>
      <c r="U636" s="270"/>
      <c r="V636" s="270"/>
      <c r="W636" s="270"/>
      <c r="X636" s="270"/>
      <c r="Y636" s="270"/>
      <c r="Z636" s="270"/>
      <c r="AA636" s="270"/>
      <c r="AB636" s="270"/>
      <c r="AC636" s="270"/>
      <c r="AD636" s="270"/>
      <c r="AE636" s="270"/>
      <c r="AF636" s="270"/>
      <c r="AG636" s="270"/>
      <c r="AH636" s="270"/>
      <c r="AI636" s="270"/>
      <c r="AJ636" s="270"/>
      <c r="AK636" s="270"/>
      <c r="AL636" s="270"/>
      <c r="AM636" s="663"/>
      <c r="AN636" s="663"/>
      <c r="AO636" s="708" t="str">
        <f>IF(OR(Table1[[#This Row],[Início Setup Envase]]="",Table1[[#This Row],[Final Setup Envase]]=""),"",Table1[[#This Row],[Final Setup Envase]]-Table1[[#This Row],[Início Setup Envase]])</f>
        <v/>
      </c>
      <c r="AP636" s="663"/>
      <c r="AQ636" s="663"/>
      <c r="AR636" s="270"/>
      <c r="AS636" s="270"/>
      <c r="AT636" s="270"/>
      <c r="AU636" s="270"/>
      <c r="AV636" s="270"/>
      <c r="AW636" s="270"/>
      <c r="AX636" s="270"/>
      <c r="AY636" s="270"/>
      <c r="AZ636" s="270"/>
      <c r="BA636" s="270">
        <f>IF(Table1[[#This Row],[Data de Início]]="","",YEAR(Table1[[#This Row],[Data de Início]]))</f>
        <v>2025</v>
      </c>
      <c r="BB636" s="270">
        <f>IF(Table1[[#This Row],[Data de Início]]="","",MONTH(Table1[[#This Row],[Data de Início]]))</f>
        <v>12</v>
      </c>
      <c r="BC636" s="270"/>
    </row>
    <row r="637" spans="2:55" ht="15" customHeight="1" x14ac:dyDescent="0.25">
      <c r="B637" s="489">
        <v>45992.618055555555</v>
      </c>
      <c r="C637" s="490">
        <v>45993.270833333336</v>
      </c>
      <c r="D637" s="477" cm="1">
        <f t="array" ref="D637">IFERROR(HorasUteisFabrica2Turnos(B637,C637), "")</f>
        <v>2.1666666667442769</v>
      </c>
      <c r="E637" s="478">
        <f t="shared" si="9"/>
        <v>775.38461535684098</v>
      </c>
      <c r="F637" s="479" t="s">
        <v>378</v>
      </c>
      <c r="G637" s="266" t="s">
        <v>1051</v>
      </c>
      <c r="H637" s="479"/>
      <c r="I637" s="480" t="s">
        <v>1054</v>
      </c>
      <c r="J637" s="481" t="s">
        <v>15</v>
      </c>
      <c r="K637" s="482">
        <v>1680</v>
      </c>
      <c r="L637" s="480" t="s">
        <v>1052</v>
      </c>
      <c r="M637" s="483" t="str">
        <f>IFERROR(INDEX([1]Produtos!$C:$C,MATCH(L637,[1]Produtos!$B:$B,0)), "-")</f>
        <v>ÁGUA MICELAR HONEY</v>
      </c>
      <c r="N637" s="511">
        <f>IFERROR(INDEX([1]Produtos!$E:$E,MATCH(L637,[1]Produtos!$B:$B,0)), "-")</f>
        <v>325</v>
      </c>
      <c r="O637" s="483" t="str">
        <f>IFERROR(INDEX([1]Produtos!$F:$F,MATCH(L637,[1]Produtos!$B:$B,0)), "-")</f>
        <v>ml</v>
      </c>
      <c r="P637" s="483" t="str">
        <f>IFERROR(INDEX([1]Produtos!$G:$G,MATCH(L637,[1]Produtos!$B:$B,0)), "-")</f>
        <v>GLOW MAKE UP</v>
      </c>
      <c r="Q637" s="483" t="str">
        <f>IFERROR(INDEX([1]Produtos!$H:$H,MATCH(L637,[1]Produtos!$B:$B,0)), "-")</f>
        <v>MAQUIAGEM</v>
      </c>
      <c r="R637" s="483" t="str">
        <f>IFERROR(INDEX([1]Produtos!$I:$I,MATCH(L637,[1]Produtos!$B:$B,0)), "-")</f>
        <v>ÁGUA MICELAR</v>
      </c>
      <c r="S637" s="483" t="str">
        <f>IFERROR(INDEX([1]Produtos!$J:$J,MATCH(L637,[1]Produtos!$B:$B,0)), "-")</f>
        <v>LÍQUIDO</v>
      </c>
      <c r="T637" s="484" t="s">
        <v>976</v>
      </c>
      <c r="U637" s="614"/>
      <c r="V637" s="614"/>
      <c r="W637" s="614"/>
      <c r="X637" s="614"/>
      <c r="Y637" s="614"/>
      <c r="Z637" s="614"/>
      <c r="AA637" s="614"/>
      <c r="AB637" s="614"/>
      <c r="AC637" s="614"/>
      <c r="AD637" s="614"/>
      <c r="AE637" s="614"/>
      <c r="AF637" s="614"/>
      <c r="AG637" s="614"/>
      <c r="AH637" s="270"/>
      <c r="AI637" s="270"/>
      <c r="AJ637" s="270"/>
      <c r="AK637" s="270"/>
      <c r="AL637" s="270"/>
      <c r="AM637" s="668"/>
      <c r="AN637" s="668"/>
      <c r="AO637" s="709" t="str">
        <f>IF(OR(Table1[[#This Row],[Início Setup Envase]]="",Table1[[#This Row],[Final Setup Envase]]=""),"",Table1[[#This Row],[Final Setup Envase]]-Table1[[#This Row],[Início Setup Envase]])</f>
        <v/>
      </c>
      <c r="AP637" s="668"/>
      <c r="AQ637" s="668"/>
      <c r="AR637" s="614"/>
      <c r="AS637" s="614"/>
      <c r="AT637" s="270"/>
      <c r="AU637" s="270"/>
      <c r="AV637" s="270"/>
      <c r="AW637" s="270"/>
      <c r="AX637" s="270"/>
      <c r="AY637" s="270"/>
      <c r="AZ637" s="270"/>
      <c r="BA637" s="270">
        <f>IF(Table1[[#This Row],[Data de Início]]="","",YEAR(Table1[[#This Row],[Data de Início]]))</f>
        <v>2025</v>
      </c>
      <c r="BB637" s="270">
        <f>IF(Table1[[#This Row],[Data de Início]]="","",MONTH(Table1[[#This Row],[Data de Início]]))</f>
        <v>12</v>
      </c>
      <c r="BC637" s="270"/>
    </row>
    <row r="638" spans="2:55" ht="15" customHeight="1" x14ac:dyDescent="0.25">
      <c r="B638" s="489">
        <v>45993.270833333336</v>
      </c>
      <c r="C638" s="490">
        <v>45993.415277777778</v>
      </c>
      <c r="D638" s="264" cm="1">
        <f t="array" ref="D638">IFERROR(HorasUteisFabrica2Turnos(B638,C638), "")</f>
        <v>2.9666666667326353</v>
      </c>
      <c r="E638" s="265">
        <f t="shared" si="9"/>
        <v>1035.505617954502</v>
      </c>
      <c r="F638" s="479" t="s">
        <v>378</v>
      </c>
      <c r="G638" s="266" t="s">
        <v>1051</v>
      </c>
      <c r="H638" s="266"/>
      <c r="I638" s="480" t="s">
        <v>1053</v>
      </c>
      <c r="J638" s="481" t="s">
        <v>15</v>
      </c>
      <c r="K638" s="482">
        <v>3072</v>
      </c>
      <c r="L638" s="495" t="s">
        <v>1052</v>
      </c>
      <c r="M638" s="270" t="str">
        <f>IFERROR(INDEX([1]Produtos!$C:$C,MATCH(L638,[1]Produtos!$B:$B,0)), "-")</f>
        <v>ÁGUA MICELAR HONEY</v>
      </c>
      <c r="N638" s="510">
        <f>IFERROR(INDEX([1]Produtos!$E:$E,MATCH(L638,[1]Produtos!$B:$B,0)), "-")</f>
        <v>325</v>
      </c>
      <c r="O638" s="270" t="str">
        <f>IFERROR(INDEX([1]Produtos!$F:$F,MATCH(L638,[1]Produtos!$B:$B,0)), "-")</f>
        <v>ml</v>
      </c>
      <c r="P638" s="270" t="str">
        <f>IFERROR(INDEX([1]Produtos!$G:$G,MATCH(L638,[1]Produtos!$B:$B,0)), "-")</f>
        <v>GLOW MAKE UP</v>
      </c>
      <c r="Q638" s="270" t="str">
        <f>IFERROR(INDEX([1]Produtos!$H:$H,MATCH(L638,[1]Produtos!$B:$B,0)), "-")</f>
        <v>MAQUIAGEM</v>
      </c>
      <c r="R638" s="270" t="str">
        <f>IFERROR(INDEX([1]Produtos!$I:$I,MATCH(L638,[1]Produtos!$B:$B,0)), "-")</f>
        <v>ÁGUA MICELAR</v>
      </c>
      <c r="S638" s="270" t="str">
        <f>IFERROR(INDEX([1]Produtos!$J:$J,MATCH(L638,[1]Produtos!$B:$B,0)), "-")</f>
        <v>LÍQUIDO</v>
      </c>
      <c r="T638" s="474" t="s">
        <v>976</v>
      </c>
      <c r="U638" s="614"/>
      <c r="V638" s="614"/>
      <c r="W638" s="614"/>
      <c r="X638" s="614"/>
      <c r="Y638" s="614"/>
      <c r="Z638" s="614"/>
      <c r="AA638" s="614"/>
      <c r="AB638" s="614"/>
      <c r="AC638" s="614"/>
      <c r="AD638" s="614"/>
      <c r="AE638" s="614"/>
      <c r="AF638" s="614"/>
      <c r="AG638" s="614"/>
      <c r="AH638" s="270"/>
      <c r="AI638" s="270"/>
      <c r="AJ638" s="270"/>
      <c r="AK638" s="270"/>
      <c r="AL638" s="270"/>
      <c r="AM638" s="668"/>
      <c r="AN638" s="668"/>
      <c r="AO638" s="709" t="str">
        <f>IF(OR(Table1[[#This Row],[Início Setup Envase]]="",Table1[[#This Row],[Final Setup Envase]]=""),"",Table1[[#This Row],[Final Setup Envase]]-Table1[[#This Row],[Início Setup Envase]])</f>
        <v/>
      </c>
      <c r="AP638" s="668"/>
      <c r="AQ638" s="668"/>
      <c r="AR638" s="614"/>
      <c r="AS638" s="614"/>
      <c r="AT638" s="270"/>
      <c r="AU638" s="270"/>
      <c r="AV638" s="270"/>
      <c r="AW638" s="270"/>
      <c r="AX638" s="270"/>
      <c r="AY638" s="270"/>
      <c r="AZ638" s="270"/>
      <c r="BA638" s="270">
        <f>IF(Table1[[#This Row],[Data de Início]]="","",YEAR(Table1[[#This Row],[Data de Início]]))</f>
        <v>2025</v>
      </c>
      <c r="BB638" s="270">
        <f>IF(Table1[[#This Row],[Data de Início]]="","",MONTH(Table1[[#This Row],[Data de Início]]))</f>
        <v>12</v>
      </c>
      <c r="BC638" s="270"/>
    </row>
    <row r="639" spans="2:55" ht="15" customHeight="1" x14ac:dyDescent="0.25">
      <c r="B639" s="489">
        <v>45993.415277777778</v>
      </c>
      <c r="C639" s="490">
        <v>45993.590277777781</v>
      </c>
      <c r="D639" s="264" cm="1">
        <f t="array" ref="D639">IFERROR(HorasUteisFabrica2Turnos(B639,C639), "")</f>
        <v>3.2000000000698492</v>
      </c>
      <c r="E639" s="265">
        <f t="shared" si="9"/>
        <v>959.99999997904524</v>
      </c>
      <c r="F639" s="479" t="s">
        <v>378</v>
      </c>
      <c r="G639" s="266" t="s">
        <v>1051</v>
      </c>
      <c r="H639" s="266"/>
      <c r="I639" s="480" t="s">
        <v>1056</v>
      </c>
      <c r="J639" s="481" t="s">
        <v>15</v>
      </c>
      <c r="K639" s="482">
        <v>3072</v>
      </c>
      <c r="L639" s="480" t="s">
        <v>1052</v>
      </c>
      <c r="M639" s="270" t="str">
        <f>IFERROR(INDEX([1]Produtos!$C:$C,MATCH(L639,[1]Produtos!$B:$B,0)), "-")</f>
        <v>ÁGUA MICELAR HONEY</v>
      </c>
      <c r="N639" s="510">
        <f>IFERROR(INDEX([1]Produtos!$E:$E,MATCH(L639,[1]Produtos!$B:$B,0)), "-")</f>
        <v>325</v>
      </c>
      <c r="O639" s="270" t="str">
        <f>IFERROR(INDEX([1]Produtos!$F:$F,MATCH(L639,[1]Produtos!$B:$B,0)), "-")</f>
        <v>ml</v>
      </c>
      <c r="P639" s="270" t="str">
        <f>IFERROR(INDEX([1]Produtos!$G:$G,MATCH(L639,[1]Produtos!$B:$B,0)), "-")</f>
        <v>GLOW MAKE UP</v>
      </c>
      <c r="Q639" s="270" t="str">
        <f>IFERROR(INDEX([1]Produtos!$H:$H,MATCH(L639,[1]Produtos!$B:$B,0)), "-")</f>
        <v>MAQUIAGEM</v>
      </c>
      <c r="R639" s="270" t="str">
        <f>IFERROR(INDEX([1]Produtos!$I:$I,MATCH(L639,[1]Produtos!$B:$B,0)), "-")</f>
        <v>ÁGUA MICELAR</v>
      </c>
      <c r="S639" s="270" t="str">
        <f>IFERROR(INDEX([1]Produtos!$J:$J,MATCH(L639,[1]Produtos!$B:$B,0)), "-")</f>
        <v>LÍQUIDO</v>
      </c>
      <c r="T639" s="475"/>
      <c r="U639" s="614"/>
      <c r="V639" s="614"/>
      <c r="W639" s="614"/>
      <c r="X639" s="614"/>
      <c r="Y639" s="614"/>
      <c r="Z639" s="614"/>
      <c r="AA639" s="614"/>
      <c r="AB639" s="614"/>
      <c r="AC639" s="614"/>
      <c r="AD639" s="614"/>
      <c r="AE639" s="614"/>
      <c r="AF639" s="614"/>
      <c r="AG639" s="614"/>
      <c r="AH639" s="270"/>
      <c r="AI639" s="270"/>
      <c r="AJ639" s="270"/>
      <c r="AK639" s="270"/>
      <c r="AL639" s="270"/>
      <c r="AM639" s="668"/>
      <c r="AN639" s="668"/>
      <c r="AO639" s="709" t="str">
        <f>IF(OR(Table1[[#This Row],[Início Setup Envase]]="",Table1[[#This Row],[Final Setup Envase]]=""),"",Table1[[#This Row],[Final Setup Envase]]-Table1[[#This Row],[Início Setup Envase]])</f>
        <v/>
      </c>
      <c r="AP639" s="668"/>
      <c r="AQ639" s="668"/>
      <c r="AR639" s="614"/>
      <c r="AS639" s="614"/>
      <c r="AT639" s="270"/>
      <c r="AU639" s="270"/>
      <c r="AV639" s="270"/>
      <c r="AW639" s="270"/>
      <c r="AX639" s="270"/>
      <c r="AY639" s="270"/>
      <c r="AZ639" s="270"/>
      <c r="BA639" s="270">
        <f>IF(Table1[[#This Row],[Data de Início]]="","",YEAR(Table1[[#This Row],[Data de Início]]))</f>
        <v>2025</v>
      </c>
      <c r="BB639" s="270">
        <f>IF(Table1[[#This Row],[Data de Início]]="","",MONTH(Table1[[#This Row],[Data de Início]]))</f>
        <v>12</v>
      </c>
      <c r="BC639" s="270"/>
    </row>
    <row r="640" spans="2:55" ht="15" customHeight="1" x14ac:dyDescent="0.25">
      <c r="B640" s="489">
        <v>45993.4375</v>
      </c>
      <c r="C640" s="490">
        <v>45993.680555555555</v>
      </c>
      <c r="D640" s="264" cm="1">
        <f t="array" ref="D640">IFERROR(HorasUteisFabrica2Turnos(B640,C640), "")</f>
        <v>4.8333333333139308</v>
      </c>
      <c r="E640" s="265">
        <f t="shared" si="9"/>
        <v>645.51724138190161</v>
      </c>
      <c r="F640" s="479" t="s">
        <v>377</v>
      </c>
      <c r="G640" s="266" t="s">
        <v>360</v>
      </c>
      <c r="H640" s="266"/>
      <c r="I640" s="480" t="s">
        <v>1057</v>
      </c>
      <c r="J640" s="481" t="s">
        <v>15</v>
      </c>
      <c r="K640" s="482">
        <v>3120</v>
      </c>
      <c r="L640" s="495" t="s">
        <v>1058</v>
      </c>
      <c r="M640" s="270" t="str">
        <f>IFERROR(INDEX([1]Produtos!$C:$C,MATCH(L640,[1]Produtos!$B:$B,0)), "-")</f>
        <v>ESFOLIANTE MATTE DOCE SEDUÇÃO</v>
      </c>
      <c r="N640" s="510">
        <f>IFERROR(INDEX([1]Produtos!$E:$E,MATCH(L640,[1]Produtos!$B:$B,0)), "-")</f>
        <v>150</v>
      </c>
      <c r="O640" s="270" t="str">
        <f>IFERROR(INDEX([1]Produtos!$F:$F,MATCH(L640,[1]Produtos!$B:$B,0)), "-")</f>
        <v>g</v>
      </c>
      <c r="P640" s="270" t="str">
        <f>IFERROR(INDEX([1]Produtos!$G:$G,MATCH(L640,[1]Produtos!$B:$B,0)), "-")</f>
        <v>DAPOP</v>
      </c>
      <c r="Q640" s="270" t="str">
        <f>IFERROR(INDEX([1]Produtos!$H:$H,MATCH(L640,[1]Produtos!$B:$B,0)), "-")</f>
        <v>CORPORAL</v>
      </c>
      <c r="R640" s="270" t="str">
        <f>IFERROR(INDEX([1]Produtos!$I:$I,MATCH(L640,[1]Produtos!$B:$B,0)), "-")</f>
        <v>ESFOLIANTE</v>
      </c>
      <c r="S640" s="270" t="str">
        <f>IFERROR(INDEX([1]Produtos!$J:$J,MATCH(L640,[1]Produtos!$B:$B,0)), "-")</f>
        <v>VISCOSO</v>
      </c>
      <c r="T640" s="475"/>
      <c r="U640" s="270"/>
      <c r="V640" s="270"/>
      <c r="W640" s="270"/>
      <c r="X640" s="270"/>
      <c r="Y640" s="270"/>
      <c r="Z640" s="270"/>
      <c r="AA640" s="270"/>
      <c r="AB640" s="270"/>
      <c r="AC640" s="270"/>
      <c r="AD640" s="270"/>
      <c r="AE640" s="270"/>
      <c r="AF640" s="270"/>
      <c r="AG640" s="270"/>
      <c r="AH640" s="270"/>
      <c r="AI640" s="270"/>
      <c r="AJ640" s="270"/>
      <c r="AK640" s="270"/>
      <c r="AL640" s="270"/>
      <c r="AM640" s="663"/>
      <c r="AN640" s="663"/>
      <c r="AO640" s="708" t="str">
        <f>IF(OR(Table1[[#This Row],[Início Setup Envase]]="",Table1[[#This Row],[Final Setup Envase]]=""),"",Table1[[#This Row],[Final Setup Envase]]-Table1[[#This Row],[Início Setup Envase]])</f>
        <v/>
      </c>
      <c r="AP640" s="663"/>
      <c r="AQ640" s="663"/>
      <c r="AR640" s="270"/>
      <c r="AS640" s="270"/>
      <c r="AT640" s="270"/>
      <c r="AU640" s="270"/>
      <c r="AV640" s="270"/>
      <c r="AW640" s="270"/>
      <c r="AX640" s="270"/>
      <c r="AY640" s="270"/>
      <c r="AZ640" s="270"/>
      <c r="BA640" s="270">
        <f>IF(Table1[[#This Row],[Data de Início]]="","",YEAR(Table1[[#This Row],[Data de Início]]))</f>
        <v>2025</v>
      </c>
      <c r="BB640" s="270">
        <f>IF(Table1[[#This Row],[Data de Início]]="","",MONTH(Table1[[#This Row],[Data de Início]]))</f>
        <v>12</v>
      </c>
      <c r="BC640" s="270"/>
    </row>
    <row r="641" spans="2:55" ht="15" customHeight="1" x14ac:dyDescent="0.25">
      <c r="B641" s="489">
        <v>45993.590277777781</v>
      </c>
      <c r="C641" s="490">
        <v>45993.6875</v>
      </c>
      <c r="D641" s="264" cm="1">
        <f t="array" ref="D641">IFERROR(HorasUteisFabrica2Turnos(B641,C641), "")</f>
        <v>2.3333333332557231</v>
      </c>
      <c r="E641" s="265">
        <f t="shared" si="9"/>
        <v>1316.5714286152197</v>
      </c>
      <c r="F641" s="479" t="s">
        <v>378</v>
      </c>
      <c r="G641" s="266" t="s">
        <v>1051</v>
      </c>
      <c r="H641" s="266"/>
      <c r="I641" s="480" t="s">
        <v>1059</v>
      </c>
      <c r="J641" s="481" t="s">
        <v>15</v>
      </c>
      <c r="K641" s="482">
        <v>3072</v>
      </c>
      <c r="L641" s="495" t="s">
        <v>1052</v>
      </c>
      <c r="M641" s="270" t="str">
        <f>IFERROR(INDEX([1]Produtos!$C:$C,MATCH(L641,[1]Produtos!$B:$B,0)), "-")</f>
        <v>ÁGUA MICELAR HONEY</v>
      </c>
      <c r="N641" s="510">
        <f>IFERROR(INDEX([1]Produtos!$E:$E,MATCH(L641,[1]Produtos!$B:$B,0)), "-")</f>
        <v>325</v>
      </c>
      <c r="O641" s="270" t="str">
        <f>IFERROR(INDEX([1]Produtos!$F:$F,MATCH(L641,[1]Produtos!$B:$B,0)), "-")</f>
        <v>ml</v>
      </c>
      <c r="P641" s="270" t="str">
        <f>IFERROR(INDEX([1]Produtos!$G:$G,MATCH(L641,[1]Produtos!$B:$B,0)), "-")</f>
        <v>GLOW MAKE UP</v>
      </c>
      <c r="Q641" s="270" t="str">
        <f>IFERROR(INDEX([1]Produtos!$H:$H,MATCH(L641,[1]Produtos!$B:$B,0)), "-")</f>
        <v>MAQUIAGEM</v>
      </c>
      <c r="R641" s="270" t="str">
        <f>IFERROR(INDEX([1]Produtos!$I:$I,MATCH(L641,[1]Produtos!$B:$B,0)), "-")</f>
        <v>ÁGUA MICELAR</v>
      </c>
      <c r="S641" s="270" t="str">
        <f>IFERROR(INDEX([1]Produtos!$J:$J,MATCH(L641,[1]Produtos!$B:$B,0)), "-")</f>
        <v>LÍQUIDO</v>
      </c>
      <c r="T641" s="475"/>
      <c r="U641" s="270"/>
      <c r="V641" s="270"/>
      <c r="W641" s="270"/>
      <c r="X641" s="270"/>
      <c r="Y641" s="270"/>
      <c r="Z641" s="270"/>
      <c r="AA641" s="270"/>
      <c r="AB641" s="270"/>
      <c r="AC641" s="270"/>
      <c r="AD641" s="270"/>
      <c r="AE641" s="270"/>
      <c r="AF641" s="270"/>
      <c r="AG641" s="270"/>
      <c r="AH641" s="270"/>
      <c r="AI641" s="270"/>
      <c r="AJ641" s="270"/>
      <c r="AK641" s="270"/>
      <c r="AL641" s="270"/>
      <c r="AM641" s="663"/>
      <c r="AN641" s="663"/>
      <c r="AO641" s="708" t="str">
        <f>IF(OR(Table1[[#This Row],[Início Setup Envase]]="",Table1[[#This Row],[Final Setup Envase]]=""),"",Table1[[#This Row],[Final Setup Envase]]-Table1[[#This Row],[Início Setup Envase]])</f>
        <v/>
      </c>
      <c r="AP641" s="663"/>
      <c r="AQ641" s="663"/>
      <c r="AR641" s="270"/>
      <c r="AS641" s="270"/>
      <c r="AT641" s="270"/>
      <c r="AU641" s="270"/>
      <c r="AV641" s="270"/>
      <c r="AW641" s="270"/>
      <c r="AX641" s="270"/>
      <c r="AY641" s="270"/>
      <c r="AZ641" s="270"/>
      <c r="BA641" s="270">
        <f>IF(Table1[[#This Row],[Data de Início]]="","",YEAR(Table1[[#This Row],[Data de Início]]))</f>
        <v>2025</v>
      </c>
      <c r="BB641" s="270">
        <f>IF(Table1[[#This Row],[Data de Início]]="","",MONTH(Table1[[#This Row],[Data de Início]]))</f>
        <v>12</v>
      </c>
      <c r="BC641" s="270"/>
    </row>
    <row r="642" spans="2:55" ht="15" customHeight="1" x14ac:dyDescent="0.25">
      <c r="B642" s="489">
        <v>45993.680555555555</v>
      </c>
      <c r="C642" s="490">
        <v>45993.895833333336</v>
      </c>
      <c r="D642" s="264" cm="1">
        <f t="array" ref="D642">IFERROR(HorasUteisFabrica2Turnos(B642,C642), "")</f>
        <v>5.1666666667442769</v>
      </c>
      <c r="E642" s="265">
        <f t="shared" si="9"/>
        <v>645.29032257095207</v>
      </c>
      <c r="F642" s="266" t="s">
        <v>377</v>
      </c>
      <c r="G642" s="266" t="s">
        <v>360</v>
      </c>
      <c r="H642" s="266"/>
      <c r="I642" s="480" t="s">
        <v>1060</v>
      </c>
      <c r="J642" s="481" t="s">
        <v>15</v>
      </c>
      <c r="K642" s="482">
        <v>3334</v>
      </c>
      <c r="L642" s="495" t="s">
        <v>1058</v>
      </c>
      <c r="M642" s="270" t="str">
        <f>IFERROR(INDEX([1]Produtos!$C:$C,MATCH(L642,[1]Produtos!$B:$B,0)), "-")</f>
        <v>ESFOLIANTE MATTE DOCE SEDUÇÃO</v>
      </c>
      <c r="N642" s="510">
        <f>IFERROR(INDEX([1]Produtos!$E:$E,MATCH(L642,[1]Produtos!$B:$B,0)), "-")</f>
        <v>150</v>
      </c>
      <c r="O642" s="270" t="str">
        <f>IFERROR(INDEX([1]Produtos!$F:$F,MATCH(L642,[1]Produtos!$B:$B,0)), "-")</f>
        <v>g</v>
      </c>
      <c r="P642" s="270" t="str">
        <f>IFERROR(INDEX([1]Produtos!$G:$G,MATCH(L642,[1]Produtos!$B:$B,0)), "-")</f>
        <v>DAPOP</v>
      </c>
      <c r="Q642" s="270" t="str">
        <f>IFERROR(INDEX([1]Produtos!$H:$H,MATCH(L642,[1]Produtos!$B:$B,0)), "-")</f>
        <v>CORPORAL</v>
      </c>
      <c r="R642" s="270" t="str">
        <f>IFERROR(INDEX([1]Produtos!$I:$I,MATCH(L642,[1]Produtos!$B:$B,0)), "-")</f>
        <v>ESFOLIANTE</v>
      </c>
      <c r="S642" s="270" t="str">
        <f>IFERROR(INDEX([1]Produtos!$J:$J,MATCH(L642,[1]Produtos!$B:$B,0)), "-")</f>
        <v>VISCOSO</v>
      </c>
      <c r="T642" s="475"/>
      <c r="U642" s="270"/>
      <c r="V642" s="270"/>
      <c r="W642" s="270"/>
      <c r="X642" s="270"/>
      <c r="Y642" s="270"/>
      <c r="Z642" s="270"/>
      <c r="AA642" s="270"/>
      <c r="AB642" s="270"/>
      <c r="AC642" s="270"/>
      <c r="AD642" s="270"/>
      <c r="AE642" s="270"/>
      <c r="AF642" s="270"/>
      <c r="AG642" s="270"/>
      <c r="AH642" s="270"/>
      <c r="AI642" s="270"/>
      <c r="AJ642" s="270"/>
      <c r="AK642" s="270"/>
      <c r="AL642" s="270"/>
      <c r="AM642" s="663"/>
      <c r="AN642" s="663"/>
      <c r="AO642" s="708" t="str">
        <f>IF(OR(Table1[[#This Row],[Início Setup Envase]]="",Table1[[#This Row],[Final Setup Envase]]=""),"",Table1[[#This Row],[Final Setup Envase]]-Table1[[#This Row],[Início Setup Envase]])</f>
        <v/>
      </c>
      <c r="AP642" s="663"/>
      <c r="AQ642" s="663"/>
      <c r="AR642" s="270"/>
      <c r="AS642" s="270"/>
      <c r="AT642" s="270"/>
      <c r="AU642" s="270"/>
      <c r="AV642" s="270"/>
      <c r="AW642" s="270"/>
      <c r="AX642" s="270"/>
      <c r="AY642" s="270"/>
      <c r="AZ642" s="270"/>
      <c r="BA642" s="270">
        <f>IF(Table1[[#This Row],[Data de Início]]="","",YEAR(Table1[[#This Row],[Data de Início]]))</f>
        <v>2025</v>
      </c>
      <c r="BB642" s="270">
        <f>IF(Table1[[#This Row],[Data de Início]]="","",MONTH(Table1[[#This Row],[Data de Início]]))</f>
        <v>12</v>
      </c>
      <c r="BC642" s="270"/>
    </row>
    <row r="643" spans="2:55" ht="15" customHeight="1" x14ac:dyDescent="0.25">
      <c r="B643" s="489">
        <v>45993.695833333331</v>
      </c>
      <c r="C643" s="490">
        <v>45994.279166666667</v>
      </c>
      <c r="D643" s="440">
        <v>5</v>
      </c>
      <c r="E643" s="265">
        <f t="shared" ref="E643:E706" si="10">IFERROR(K643/D643, "")</f>
        <v>614.4</v>
      </c>
      <c r="F643" s="479" t="s">
        <v>378</v>
      </c>
      <c r="G643" s="266" t="s">
        <v>1051</v>
      </c>
      <c r="H643" s="266"/>
      <c r="I643" s="480" t="s">
        <v>1061</v>
      </c>
      <c r="J643" s="481" t="s">
        <v>15</v>
      </c>
      <c r="K643" s="482">
        <v>3072</v>
      </c>
      <c r="L643" s="495" t="s">
        <v>1052</v>
      </c>
      <c r="M643" s="270" t="str">
        <f>IFERROR(INDEX([1]Produtos!$C:$C,MATCH(L643,[1]Produtos!$B:$B,0)), "-")</f>
        <v>ÁGUA MICELAR HONEY</v>
      </c>
      <c r="N643" s="510">
        <f>IFERROR(INDEX([1]Produtos!$E:$E,MATCH(L643,[1]Produtos!$B:$B,0)), "-")</f>
        <v>325</v>
      </c>
      <c r="O643" s="270" t="str">
        <f>IFERROR(INDEX([1]Produtos!$F:$F,MATCH(L643,[1]Produtos!$B:$B,0)), "-")</f>
        <v>ml</v>
      </c>
      <c r="P643" s="270" t="str">
        <f>IFERROR(INDEX([1]Produtos!$G:$G,MATCH(L643,[1]Produtos!$B:$B,0)), "-")</f>
        <v>GLOW MAKE UP</v>
      </c>
      <c r="Q643" s="270" t="str">
        <f>IFERROR(INDEX([1]Produtos!$H:$H,MATCH(L643,[1]Produtos!$B:$B,0)), "-")</f>
        <v>MAQUIAGEM</v>
      </c>
      <c r="R643" s="270" t="str">
        <f>IFERROR(INDEX([1]Produtos!$I:$I,MATCH(L643,[1]Produtos!$B:$B,0)), "-")</f>
        <v>ÁGUA MICELAR</v>
      </c>
      <c r="S643" s="270" t="str">
        <f>IFERROR(INDEX([1]Produtos!$J:$J,MATCH(L643,[1]Produtos!$B:$B,0)), "-")</f>
        <v>LÍQUIDO</v>
      </c>
      <c r="T643" s="475"/>
      <c r="U643" s="270"/>
      <c r="V643" s="270"/>
      <c r="W643" s="270"/>
      <c r="X643" s="270"/>
      <c r="Y643" s="270"/>
      <c r="Z643" s="270"/>
      <c r="AA643" s="270"/>
      <c r="AB643" s="270"/>
      <c r="AC643" s="270"/>
      <c r="AD643" s="270"/>
      <c r="AE643" s="270"/>
      <c r="AF643" s="270"/>
      <c r="AG643" s="270"/>
      <c r="AH643" s="270"/>
      <c r="AI643" s="270"/>
      <c r="AJ643" s="270"/>
      <c r="AK643" s="270"/>
      <c r="AL643" s="270"/>
      <c r="AM643" s="663"/>
      <c r="AN643" s="663"/>
      <c r="AO643" s="708" t="str">
        <f>IF(OR(Table1[[#This Row],[Início Setup Envase]]="",Table1[[#This Row],[Final Setup Envase]]=""),"",Table1[[#This Row],[Final Setup Envase]]-Table1[[#This Row],[Início Setup Envase]])</f>
        <v/>
      </c>
      <c r="AP643" s="663"/>
      <c r="AQ643" s="663"/>
      <c r="AR643" s="270"/>
      <c r="AS643" s="270"/>
      <c r="AT643" s="270"/>
      <c r="AU643" s="270"/>
      <c r="AV643" s="270"/>
      <c r="AW643" s="270"/>
      <c r="AX643" s="270"/>
      <c r="AY643" s="270"/>
      <c r="AZ643" s="270"/>
      <c r="BA643" s="270">
        <f>IF(Table1[[#This Row],[Data de Início]]="","",YEAR(Table1[[#This Row],[Data de Início]]))</f>
        <v>2025</v>
      </c>
      <c r="BB643" s="270">
        <f>IF(Table1[[#This Row],[Data de Início]]="","",MONTH(Table1[[#This Row],[Data de Início]]))</f>
        <v>12</v>
      </c>
      <c r="BC643" s="270"/>
    </row>
    <row r="644" spans="2:55" ht="15" customHeight="1" x14ac:dyDescent="0.25">
      <c r="B644" s="489">
        <v>45994.279861111114</v>
      </c>
      <c r="C644" s="490">
        <v>45994.429861111108</v>
      </c>
      <c r="D644" s="264" cm="1">
        <f t="array" ref="D644">IFERROR(HorasUteisFabrica2Turnos(B644,C644), "")</f>
        <v>3.3166666666511446</v>
      </c>
      <c r="E644" s="265">
        <f t="shared" si="10"/>
        <v>926.23115578322927</v>
      </c>
      <c r="F644" s="479" t="s">
        <v>378</v>
      </c>
      <c r="G644" s="266" t="s">
        <v>1051</v>
      </c>
      <c r="H644" s="266"/>
      <c r="I644" s="480" t="s">
        <v>1062</v>
      </c>
      <c r="J644" s="481" t="s">
        <v>15</v>
      </c>
      <c r="K644" s="482">
        <v>3072</v>
      </c>
      <c r="L644" s="495" t="s">
        <v>1052</v>
      </c>
      <c r="M644" s="270" t="str">
        <f>IFERROR(INDEX([1]Produtos!$C:$C,MATCH(L644,[1]Produtos!$B:$B,0)), "-")</f>
        <v>ÁGUA MICELAR HONEY</v>
      </c>
      <c r="N644" s="510">
        <f>IFERROR(INDEX([1]Produtos!$E:$E,MATCH(L644,[1]Produtos!$B:$B,0)), "-")</f>
        <v>325</v>
      </c>
      <c r="O644" s="270" t="str">
        <f>IFERROR(INDEX([1]Produtos!$F:$F,MATCH(L644,[1]Produtos!$B:$B,0)), "-")</f>
        <v>ml</v>
      </c>
      <c r="P644" s="270" t="str">
        <f>IFERROR(INDEX([1]Produtos!$G:$G,MATCH(L644,[1]Produtos!$B:$B,0)), "-")</f>
        <v>GLOW MAKE UP</v>
      </c>
      <c r="Q644" s="270" t="str">
        <f>IFERROR(INDEX([1]Produtos!$H:$H,MATCH(L644,[1]Produtos!$B:$B,0)), "-")</f>
        <v>MAQUIAGEM</v>
      </c>
      <c r="R644" s="270" t="str">
        <f>IFERROR(INDEX([1]Produtos!$I:$I,MATCH(L644,[1]Produtos!$B:$B,0)), "-")</f>
        <v>ÁGUA MICELAR</v>
      </c>
      <c r="S644" s="270" t="str">
        <f>IFERROR(INDEX([1]Produtos!$J:$J,MATCH(L644,[1]Produtos!$B:$B,0)), "-")</f>
        <v>LÍQUIDO</v>
      </c>
      <c r="T644" s="475"/>
      <c r="U644" s="270"/>
      <c r="V644" s="270"/>
      <c r="W644" s="270"/>
      <c r="X644" s="270"/>
      <c r="Y644" s="270"/>
      <c r="Z644" s="270"/>
      <c r="AA644" s="270"/>
      <c r="AB644" s="270"/>
      <c r="AC644" s="270"/>
      <c r="AD644" s="270"/>
      <c r="AE644" s="270"/>
      <c r="AF644" s="270"/>
      <c r="AG644" s="270"/>
      <c r="AH644" s="270"/>
      <c r="AI644" s="270"/>
      <c r="AJ644" s="270"/>
      <c r="AK644" s="270"/>
      <c r="AL644" s="270"/>
      <c r="AM644" s="663"/>
      <c r="AN644" s="663"/>
      <c r="AO644" s="708" t="str">
        <f>IF(OR(Table1[[#This Row],[Início Setup Envase]]="",Table1[[#This Row],[Final Setup Envase]]=""),"",Table1[[#This Row],[Final Setup Envase]]-Table1[[#This Row],[Início Setup Envase]])</f>
        <v/>
      </c>
      <c r="AP644" s="663"/>
      <c r="AQ644" s="663"/>
      <c r="AR644" s="270"/>
      <c r="AS644" s="270"/>
      <c r="AT644" s="270"/>
      <c r="AU644" s="270"/>
      <c r="AV644" s="270"/>
      <c r="AW644" s="270"/>
      <c r="AX644" s="270"/>
      <c r="AY644" s="270"/>
      <c r="AZ644" s="270"/>
      <c r="BA644" s="270">
        <f>IF(Table1[[#This Row],[Data de Início]]="","",YEAR(Table1[[#This Row],[Data de Início]]))</f>
        <v>2025</v>
      </c>
      <c r="BB644" s="270">
        <f>IF(Table1[[#This Row],[Data de Início]]="","",MONTH(Table1[[#This Row],[Data de Início]]))</f>
        <v>12</v>
      </c>
      <c r="BC644" s="270"/>
    </row>
    <row r="645" spans="2:55" ht="15" customHeight="1" x14ac:dyDescent="0.25">
      <c r="B645" s="489">
        <v>45994.429861111108</v>
      </c>
      <c r="C645" s="490">
        <v>45994.537499999999</v>
      </c>
      <c r="D645" s="264" cm="1">
        <f t="array" ref="D645">IFERROR(HorasUteisFabrica2Turnos(B645,C645), "")</f>
        <v>2.5833333333721384</v>
      </c>
      <c r="E645" s="265">
        <f t="shared" si="10"/>
        <v>827.99999998756232</v>
      </c>
      <c r="F645" s="479" t="s">
        <v>378</v>
      </c>
      <c r="G645" s="266" t="s">
        <v>1051</v>
      </c>
      <c r="H645" s="266"/>
      <c r="I645" s="480" t="s">
        <v>1063</v>
      </c>
      <c r="J645" s="481" t="s">
        <v>15</v>
      </c>
      <c r="K645" s="482">
        <v>2139</v>
      </c>
      <c r="L645" s="495" t="s">
        <v>1052</v>
      </c>
      <c r="M645" s="270" t="str">
        <f>IFERROR(INDEX([1]Produtos!$C:$C,MATCH(L645,[1]Produtos!$B:$B,0)), "-")</f>
        <v>ÁGUA MICELAR HONEY</v>
      </c>
      <c r="N645" s="510">
        <f>IFERROR(INDEX([1]Produtos!$E:$E,MATCH(L645,[1]Produtos!$B:$B,0)), "-")</f>
        <v>325</v>
      </c>
      <c r="O645" s="270" t="str">
        <f>IFERROR(INDEX([1]Produtos!$F:$F,MATCH(L645,[1]Produtos!$B:$B,0)), "-")</f>
        <v>ml</v>
      </c>
      <c r="P645" s="270" t="str">
        <f>IFERROR(INDEX([1]Produtos!$G:$G,MATCH(L645,[1]Produtos!$B:$B,0)), "-")</f>
        <v>GLOW MAKE UP</v>
      </c>
      <c r="Q645" s="270" t="str">
        <f>IFERROR(INDEX([1]Produtos!$H:$H,MATCH(L645,[1]Produtos!$B:$B,0)), "-")</f>
        <v>MAQUIAGEM</v>
      </c>
      <c r="R645" s="270" t="str">
        <f>IFERROR(INDEX([1]Produtos!$I:$I,MATCH(L645,[1]Produtos!$B:$B,0)), "-")</f>
        <v>ÁGUA MICELAR</v>
      </c>
      <c r="S645" s="270" t="str">
        <f>IFERROR(INDEX([1]Produtos!$J:$J,MATCH(L645,[1]Produtos!$B:$B,0)), "-")</f>
        <v>LÍQUIDO</v>
      </c>
      <c r="T645" s="475"/>
      <c r="U645" s="270"/>
      <c r="V645" s="270"/>
      <c r="W645" s="270"/>
      <c r="X645" s="270"/>
      <c r="Y645" s="270"/>
      <c r="Z645" s="270"/>
      <c r="AA645" s="270"/>
      <c r="AB645" s="270"/>
      <c r="AC645" s="270"/>
      <c r="AD645" s="270"/>
      <c r="AE645" s="270"/>
      <c r="AF645" s="270"/>
      <c r="AG645" s="270"/>
      <c r="AH645" s="270"/>
      <c r="AI645" s="270"/>
      <c r="AJ645" s="270"/>
      <c r="AK645" s="270"/>
      <c r="AL645" s="270"/>
      <c r="AM645" s="663"/>
      <c r="AN645" s="663"/>
      <c r="AO645" s="708" t="str">
        <f>IF(OR(Table1[[#This Row],[Início Setup Envase]]="",Table1[[#This Row],[Final Setup Envase]]=""),"",Table1[[#This Row],[Final Setup Envase]]-Table1[[#This Row],[Início Setup Envase]])</f>
        <v/>
      </c>
      <c r="AP645" s="663"/>
      <c r="AQ645" s="663"/>
      <c r="AR645" s="270"/>
      <c r="AS645" s="270"/>
      <c r="AT645" s="270"/>
      <c r="AU645" s="270"/>
      <c r="AV645" s="270"/>
      <c r="AW645" s="270"/>
      <c r="AX645" s="270"/>
      <c r="AY645" s="270"/>
      <c r="AZ645" s="270"/>
      <c r="BA645" s="270">
        <f>IF(Table1[[#This Row],[Data de Início]]="","",YEAR(Table1[[#This Row],[Data de Início]]))</f>
        <v>2025</v>
      </c>
      <c r="BB645" s="270">
        <f>IF(Table1[[#This Row],[Data de Início]]="","",MONTH(Table1[[#This Row],[Data de Início]]))</f>
        <v>12</v>
      </c>
      <c r="BC645" s="270"/>
    </row>
    <row r="646" spans="2:55" ht="15" customHeight="1" x14ac:dyDescent="0.25">
      <c r="B646" s="489">
        <v>45994.554861111108</v>
      </c>
      <c r="C646" s="490">
        <v>45994.705555555556</v>
      </c>
      <c r="D646" s="264" cm="1">
        <f t="array" ref="D646">IFERROR(HorasUteisFabrica2Turnos(B646,C646), "")</f>
        <v>3.6166666667559184</v>
      </c>
      <c r="E646" s="265">
        <f t="shared" si="10"/>
        <v>912.44239629084689</v>
      </c>
      <c r="F646" s="479" t="s">
        <v>377</v>
      </c>
      <c r="G646" s="266" t="s">
        <v>360</v>
      </c>
      <c r="H646" s="266"/>
      <c r="I646" s="480" t="s">
        <v>1079</v>
      </c>
      <c r="J646" s="481" t="s">
        <v>15</v>
      </c>
      <c r="K646" s="482">
        <v>3300</v>
      </c>
      <c r="L646" s="495" t="s">
        <v>1080</v>
      </c>
      <c r="M646" s="270" t="str">
        <f>IFERROR(INDEX([1]Produtos!$C:$C,MATCH(L646,[1]Produtos!$B:$B,0)), "-")</f>
        <v>ESFOLIANTE MATTE OITAVA MARAVILHA</v>
      </c>
      <c r="N646" s="510">
        <f>IFERROR(INDEX([1]Produtos!$E:$E,MATCH(L646,[1]Produtos!$B:$B,0)), "-")</f>
        <v>150</v>
      </c>
      <c r="O646" s="270" t="str">
        <f>IFERROR(INDEX([1]Produtos!$F:$F,MATCH(L646,[1]Produtos!$B:$B,0)), "-")</f>
        <v>g</v>
      </c>
      <c r="P646" s="270" t="str">
        <f>IFERROR(INDEX([1]Produtos!$G:$G,MATCH(L646,[1]Produtos!$B:$B,0)), "-")</f>
        <v>DAPOP</v>
      </c>
      <c r="Q646" s="270" t="str">
        <f>IFERROR(INDEX([1]Produtos!$H:$H,MATCH(L646,[1]Produtos!$B:$B,0)), "-")</f>
        <v>CORPORAL</v>
      </c>
      <c r="R646" s="270" t="str">
        <f>IFERROR(INDEX([1]Produtos!$I:$I,MATCH(L646,[1]Produtos!$B:$B,0)), "-")</f>
        <v>ESFOLIANTE</v>
      </c>
      <c r="S646" s="270" t="str">
        <f>IFERROR(INDEX([1]Produtos!$J:$J,MATCH(L646,[1]Produtos!$B:$B,0)), "-")</f>
        <v>VISCOSO</v>
      </c>
      <c r="T646" s="475"/>
      <c r="U646" s="270"/>
      <c r="V646" s="270"/>
      <c r="W646" s="270"/>
      <c r="X646" s="270"/>
      <c r="Y646" s="270"/>
      <c r="Z646" s="270"/>
      <c r="AA646" s="270"/>
      <c r="AB646" s="270"/>
      <c r="AC646" s="270"/>
      <c r="AD646" s="270"/>
      <c r="AE646" s="270"/>
      <c r="AF646" s="270"/>
      <c r="AG646" s="270"/>
      <c r="AH646" s="270"/>
      <c r="AI646" s="270"/>
      <c r="AJ646" s="270"/>
      <c r="AK646" s="270"/>
      <c r="AL646" s="270"/>
      <c r="AM646" s="663"/>
      <c r="AN646" s="663"/>
      <c r="AO646" s="708" t="str">
        <f>IF(OR(Table1[[#This Row],[Início Setup Envase]]="",Table1[[#This Row],[Final Setup Envase]]=""),"",Table1[[#This Row],[Final Setup Envase]]-Table1[[#This Row],[Início Setup Envase]])</f>
        <v/>
      </c>
      <c r="AP646" s="663"/>
      <c r="AQ646" s="663"/>
      <c r="AR646" s="270"/>
      <c r="AS646" s="270"/>
      <c r="AT646" s="270"/>
      <c r="AU646" s="270"/>
      <c r="AV646" s="270"/>
      <c r="AW646" s="270"/>
      <c r="AX646" s="270"/>
      <c r="AY646" s="270"/>
      <c r="AZ646" s="270"/>
      <c r="BA646" s="270">
        <f>IF(Table1[[#This Row],[Data de Início]]="","",YEAR(Table1[[#This Row],[Data de Início]]))</f>
        <v>2025</v>
      </c>
      <c r="BB646" s="270">
        <f>IF(Table1[[#This Row],[Data de Início]]="","",MONTH(Table1[[#This Row],[Data de Início]]))</f>
        <v>12</v>
      </c>
      <c r="BC646" s="270"/>
    </row>
    <row r="647" spans="2:55" ht="15" customHeight="1" x14ac:dyDescent="0.25">
      <c r="B647" s="489">
        <v>45994.694444444445</v>
      </c>
      <c r="C647" s="490">
        <v>45994.895833333336</v>
      </c>
      <c r="D647" s="264" cm="1">
        <f t="array" ref="D647">IFERROR(HorasUteisFabrica2Turnos(B647,C647), "")</f>
        <v>4.8333333333721384</v>
      </c>
      <c r="E647" s="265">
        <f t="shared" si="10"/>
        <v>680.6896551669488</v>
      </c>
      <c r="F647" s="266" t="s">
        <v>377</v>
      </c>
      <c r="G647" s="266" t="s">
        <v>360</v>
      </c>
      <c r="H647" s="266"/>
      <c r="I647" s="480" t="s">
        <v>1081</v>
      </c>
      <c r="J647" s="481" t="s">
        <v>15</v>
      </c>
      <c r="K647" s="482">
        <v>3290</v>
      </c>
      <c r="L647" s="495" t="s">
        <v>1080</v>
      </c>
      <c r="M647" s="270" t="str">
        <f>IFERROR(INDEX([1]Produtos!$C:$C,MATCH(L647,[1]Produtos!$B:$B,0)), "-")</f>
        <v>ESFOLIANTE MATTE OITAVA MARAVILHA</v>
      </c>
      <c r="N647" s="510">
        <f>IFERROR(INDEX([1]Produtos!$E:$E,MATCH(L647,[1]Produtos!$B:$B,0)), "-")</f>
        <v>150</v>
      </c>
      <c r="O647" s="270" t="str">
        <f>IFERROR(INDEX([1]Produtos!$F:$F,MATCH(L647,[1]Produtos!$B:$B,0)), "-")</f>
        <v>g</v>
      </c>
      <c r="P647" s="270" t="str">
        <f>IFERROR(INDEX([1]Produtos!$G:$G,MATCH(L647,[1]Produtos!$B:$B,0)), "-")</f>
        <v>DAPOP</v>
      </c>
      <c r="Q647" s="270" t="str">
        <f>IFERROR(INDEX([1]Produtos!$H:$H,MATCH(L647,[1]Produtos!$B:$B,0)), "-")</f>
        <v>CORPORAL</v>
      </c>
      <c r="R647" s="270" t="str">
        <f>IFERROR(INDEX([1]Produtos!$I:$I,MATCH(L647,[1]Produtos!$B:$B,0)), "-")</f>
        <v>ESFOLIANTE</v>
      </c>
      <c r="S647" s="270" t="str">
        <f>IFERROR(INDEX([1]Produtos!$J:$J,MATCH(L647,[1]Produtos!$B:$B,0)), "-")</f>
        <v>VISCOSO</v>
      </c>
      <c r="T647" s="475"/>
      <c r="U647" s="270"/>
      <c r="V647" s="270"/>
      <c r="W647" s="270"/>
      <c r="X647" s="270"/>
      <c r="Y647" s="270"/>
      <c r="Z647" s="270"/>
      <c r="AA647" s="270"/>
      <c r="AB647" s="270"/>
      <c r="AC647" s="270"/>
      <c r="AD647" s="270"/>
      <c r="AE647" s="270"/>
      <c r="AF647" s="270"/>
      <c r="AG647" s="270"/>
      <c r="AH647" s="270"/>
      <c r="AI647" s="270"/>
      <c r="AJ647" s="270"/>
      <c r="AK647" s="270"/>
      <c r="AL647" s="270"/>
      <c r="AM647" s="663"/>
      <c r="AN647" s="663"/>
      <c r="AO647" s="708" t="str">
        <f>IF(OR(Table1[[#This Row],[Início Setup Envase]]="",Table1[[#This Row],[Final Setup Envase]]=""),"",Table1[[#This Row],[Final Setup Envase]]-Table1[[#This Row],[Início Setup Envase]])</f>
        <v/>
      </c>
      <c r="AP647" s="663"/>
      <c r="AQ647" s="663"/>
      <c r="AR647" s="270"/>
      <c r="AS647" s="270"/>
      <c r="AT647" s="270"/>
      <c r="AU647" s="270"/>
      <c r="AV647" s="270"/>
      <c r="AW647" s="270"/>
      <c r="AX647" s="270"/>
      <c r="AY647" s="270"/>
      <c r="AZ647" s="270"/>
      <c r="BA647" s="270">
        <f>IF(Table1[[#This Row],[Data de Início]]="","",YEAR(Table1[[#This Row],[Data de Início]]))</f>
        <v>2025</v>
      </c>
      <c r="BB647" s="270">
        <f>IF(Table1[[#This Row],[Data de Início]]="","",MONTH(Table1[[#This Row],[Data de Início]]))</f>
        <v>12</v>
      </c>
      <c r="BC647" s="270"/>
    </row>
    <row r="648" spans="2:55" ht="15" customHeight="1" x14ac:dyDescent="0.25">
      <c r="B648" s="489">
        <v>45994.720138888886</v>
      </c>
      <c r="C648" s="490">
        <v>45995.277777777781</v>
      </c>
      <c r="D648" s="264" cm="1">
        <f t="array" ref="D648">IFERROR(HorasUteisFabrica2Turnos(B648,C648), "")</f>
        <v>4.7166666666744277</v>
      </c>
      <c r="E648" s="478">
        <f t="shared" si="10"/>
        <v>865.01766784309962</v>
      </c>
      <c r="F648" s="266" t="s">
        <v>378</v>
      </c>
      <c r="G648" s="266" t="s">
        <v>1076</v>
      </c>
      <c r="H648" s="479"/>
      <c r="I648" s="480" t="s">
        <v>1082</v>
      </c>
      <c r="J648" s="481" t="s">
        <v>15</v>
      </c>
      <c r="K648" s="482">
        <v>4080</v>
      </c>
      <c r="L648" s="495" t="s">
        <v>1078</v>
      </c>
      <c r="M648" s="483" t="str">
        <f>IFERROR(INDEX([1]Produtos!$C:$C,MATCH(L648,[1]Produtos!$B:$B,0)), "-")</f>
        <v>BODY SPLASH SOL TROPICAL 61 120ml</v>
      </c>
      <c r="N648" s="511">
        <f>IFERROR(INDEX([1]Produtos!$E:$E,MATCH(L648,[1]Produtos!$B:$B,0)), "-")</f>
        <v>120</v>
      </c>
      <c r="O648" s="483" t="str">
        <f>IFERROR(INDEX([1]Produtos!$F:$F,MATCH(L648,[1]Produtos!$B:$B,0)), "-")</f>
        <v>ml</v>
      </c>
      <c r="P648" s="483" t="str">
        <f>IFERROR(INDEX([1]Produtos!$G:$G,MATCH(L648,[1]Produtos!$B:$B,0)), "-")</f>
        <v>BRIA BEAUTY</v>
      </c>
      <c r="Q648" s="483" t="str">
        <f>IFERROR(INDEX([1]Produtos!$H:$H,MATCH(L648,[1]Produtos!$B:$B,0)), "-")</f>
        <v>PERFUMARIA</v>
      </c>
      <c r="R648" s="483" t="str">
        <f>IFERROR(INDEX([1]Produtos!$I:$I,MATCH(L648,[1]Produtos!$B:$B,0)), "-")</f>
        <v>BODY SPLASH</v>
      </c>
      <c r="S648" s="483" t="str">
        <f>IFERROR(INDEX([1]Produtos!$J:$J,MATCH(L648,[1]Produtos!$B:$B,0)), "-")</f>
        <v>LÍQUIDO</v>
      </c>
      <c r="T648" s="484"/>
      <c r="U648" s="270"/>
      <c r="V648" s="270"/>
      <c r="W648" s="270"/>
      <c r="X648" s="270"/>
      <c r="Y648" s="270"/>
      <c r="Z648" s="270"/>
      <c r="AA648" s="270"/>
      <c r="AB648" s="270"/>
      <c r="AC648" s="270"/>
      <c r="AD648" s="270"/>
      <c r="AE648" s="270"/>
      <c r="AF648" s="270"/>
      <c r="AG648" s="270"/>
      <c r="AH648" s="270"/>
      <c r="AI648" s="270"/>
      <c r="AJ648" s="270"/>
      <c r="AK648" s="270"/>
      <c r="AL648" s="270"/>
      <c r="AM648" s="663"/>
      <c r="AN648" s="663"/>
      <c r="AO648" s="708" t="str">
        <f>IF(OR(Table1[[#This Row],[Início Setup Envase]]="",Table1[[#This Row],[Final Setup Envase]]=""),"",Table1[[#This Row],[Final Setup Envase]]-Table1[[#This Row],[Início Setup Envase]])</f>
        <v/>
      </c>
      <c r="AP648" s="663"/>
      <c r="AQ648" s="663"/>
      <c r="AR648" s="270"/>
      <c r="AS648" s="270"/>
      <c r="AT648" s="270"/>
      <c r="AU648" s="270"/>
      <c r="AV648" s="270"/>
      <c r="AW648" s="270"/>
      <c r="AX648" s="270"/>
      <c r="AY648" s="270"/>
      <c r="AZ648" s="270"/>
      <c r="BA648" s="270">
        <f>IF(Table1[[#This Row],[Data de Início]]="","",YEAR(Table1[[#This Row],[Data de Início]]))</f>
        <v>2025</v>
      </c>
      <c r="BB648" s="270">
        <f>IF(Table1[[#This Row],[Data de Início]]="","",MONTH(Table1[[#This Row],[Data de Início]]))</f>
        <v>12</v>
      </c>
      <c r="BC648" s="270"/>
    </row>
    <row r="649" spans="2:55" ht="15" customHeight="1" x14ac:dyDescent="0.25">
      <c r="B649" s="489">
        <v>45995.277777777781</v>
      </c>
      <c r="C649" s="490">
        <v>45995.427083333336</v>
      </c>
      <c r="D649" s="264" cm="1">
        <f t="array" ref="D649">IFERROR(HorasUteisFabrica2Turnos(B649,C649), "")</f>
        <v>3.2500000001164153</v>
      </c>
      <c r="E649" s="478">
        <f t="shared" si="10"/>
        <v>1255.3846153396473</v>
      </c>
      <c r="F649" s="479" t="s">
        <v>378</v>
      </c>
      <c r="G649" s="266" t="s">
        <v>1076</v>
      </c>
      <c r="H649" s="266"/>
      <c r="I649" s="480" t="s">
        <v>1077</v>
      </c>
      <c r="J649" s="267" t="s">
        <v>15</v>
      </c>
      <c r="K649" s="482">
        <v>4080</v>
      </c>
      <c r="L649" s="495" t="s">
        <v>1078</v>
      </c>
      <c r="M649" s="270" t="str">
        <f>IFERROR(INDEX([1]Produtos!$C:$C,MATCH(L649,[1]Produtos!$B:$B,0)), "-")</f>
        <v>BODY SPLASH SOL TROPICAL 61 120ml</v>
      </c>
      <c r="N649" s="510">
        <f>IFERROR(INDEX([1]Produtos!$E:$E,MATCH(L649,[1]Produtos!$B:$B,0)), "-")</f>
        <v>120</v>
      </c>
      <c r="O649" s="270" t="str">
        <f>IFERROR(INDEX([1]Produtos!$F:$F,MATCH(L649,[1]Produtos!$B:$B,0)), "-")</f>
        <v>ml</v>
      </c>
      <c r="P649" s="270" t="str">
        <f>IFERROR(INDEX([1]Produtos!$G:$G,MATCH(L649,[1]Produtos!$B:$B,0)), "-")</f>
        <v>BRIA BEAUTY</v>
      </c>
      <c r="Q649" s="270" t="str">
        <f>IFERROR(INDEX([1]Produtos!$H:$H,MATCH(L649,[1]Produtos!$B:$B,0)), "-")</f>
        <v>PERFUMARIA</v>
      </c>
      <c r="R649" s="270" t="str">
        <f>IFERROR(INDEX([1]Produtos!$I:$I,MATCH(L649,[1]Produtos!$B:$B,0)), "-")</f>
        <v>BODY SPLASH</v>
      </c>
      <c r="S649" s="270" t="str">
        <f>IFERROR(INDEX([1]Produtos!$J:$J,MATCH(L649,[1]Produtos!$B:$B,0)), "-")</f>
        <v>LÍQUIDO</v>
      </c>
      <c r="T649" s="475"/>
      <c r="U649" s="270"/>
      <c r="V649" s="270"/>
      <c r="W649" s="270"/>
      <c r="X649" s="270"/>
      <c r="Y649" s="270"/>
      <c r="Z649" s="270"/>
      <c r="AA649" s="270"/>
      <c r="AB649" s="270"/>
      <c r="AC649" s="270"/>
      <c r="AD649" s="270"/>
      <c r="AE649" s="270"/>
      <c r="AF649" s="270"/>
      <c r="AG649" s="270"/>
      <c r="AH649" s="270"/>
      <c r="AI649" s="270"/>
      <c r="AJ649" s="270"/>
      <c r="AK649" s="270"/>
      <c r="AL649" s="270"/>
      <c r="AM649" s="663"/>
      <c r="AN649" s="663"/>
      <c r="AO649" s="708" t="str">
        <f>IF(OR(Table1[[#This Row],[Início Setup Envase]]="",Table1[[#This Row],[Final Setup Envase]]=""),"",Table1[[#This Row],[Final Setup Envase]]-Table1[[#This Row],[Início Setup Envase]])</f>
        <v/>
      </c>
      <c r="AP649" s="663"/>
      <c r="AQ649" s="663"/>
      <c r="AR649" s="270"/>
      <c r="AS649" s="270"/>
      <c r="AT649" s="270"/>
      <c r="AU649" s="270"/>
      <c r="AV649" s="270"/>
      <c r="AW649" s="270"/>
      <c r="AX649" s="270"/>
      <c r="AY649" s="270"/>
      <c r="AZ649" s="270"/>
      <c r="BA649" s="270">
        <f>IF(Table1[[#This Row],[Data de Início]]="","",YEAR(Table1[[#This Row],[Data de Início]]))</f>
        <v>2025</v>
      </c>
      <c r="BB649" s="270">
        <f>IF(Table1[[#This Row],[Data de Início]]="","",MONTH(Table1[[#This Row],[Data de Início]]))</f>
        <v>12</v>
      </c>
      <c r="BC649" s="270"/>
    </row>
    <row r="650" spans="2:55" x14ac:dyDescent="0.25">
      <c r="B650" s="489">
        <v>45995.34652777778</v>
      </c>
      <c r="C650" s="490">
        <v>45996.318749999999</v>
      </c>
      <c r="D650" s="477" cm="1">
        <f t="array" ref="D650">IFERROR(HorasUteisFabrica2Turnos(B650,C650), "")</f>
        <v>8.3333333333721384</v>
      </c>
      <c r="E650" s="478">
        <f t="shared" si="10"/>
        <v>189.11999999911933</v>
      </c>
      <c r="F650" s="479" t="s">
        <v>377</v>
      </c>
      <c r="G650" s="266" t="s">
        <v>1103</v>
      </c>
      <c r="H650" s="266"/>
      <c r="I650" s="480" t="s">
        <v>1088</v>
      </c>
      <c r="J650" s="267" t="s">
        <v>15</v>
      </c>
      <c r="K650" s="482">
        <v>1576</v>
      </c>
      <c r="L650" s="495" t="s">
        <v>1086</v>
      </c>
      <c r="M650" s="270" t="str">
        <f>IFERROR(INDEX([1]Produtos!$C:$C,MATCH(L650,[1]Produtos!$B:$B,0)), "-")</f>
        <v>CREME HIDRATANTE CORPORAL ECLIPSE DOURADO</v>
      </c>
      <c r="N650" s="510">
        <f>IFERROR(INDEX([1]Produtos!$E:$E,MATCH(L650,[1]Produtos!$B:$B,0)), "-")</f>
        <v>200</v>
      </c>
      <c r="O650" s="270" t="str">
        <f>IFERROR(INDEX([1]Produtos!$F:$F,MATCH(L650,[1]Produtos!$B:$B,0)), "-")</f>
        <v>ml</v>
      </c>
      <c r="P650" s="270" t="str">
        <f>IFERROR(INDEX([1]Produtos!$G:$G,MATCH(L650,[1]Produtos!$B:$B,0)), "-")</f>
        <v>MISS RÔSE</v>
      </c>
      <c r="Q650" s="270" t="str">
        <f>IFERROR(INDEX([1]Produtos!$H:$H,MATCH(L650,[1]Produtos!$B:$B,0)), "-")</f>
        <v>CORPORAL</v>
      </c>
      <c r="R650" s="270" t="str">
        <f>IFERROR(INDEX([1]Produtos!$I:$I,MATCH(L650,[1]Produtos!$B:$B,0)), "-")</f>
        <v>CREME HIDRATANTE</v>
      </c>
      <c r="S650" s="270" t="str">
        <f>IFERROR(INDEX([1]Produtos!$J:$J,MATCH(L650,[1]Produtos!$B:$B,0)), "-")</f>
        <v>CREMOSO</v>
      </c>
      <c r="T650" s="475"/>
      <c r="U650" s="270"/>
      <c r="V650" s="270"/>
      <c r="W650" s="270"/>
      <c r="X650" s="270"/>
      <c r="Y650" s="270"/>
      <c r="Z650" s="270"/>
      <c r="AA650" s="270"/>
      <c r="AB650" s="270"/>
      <c r="AC650" s="270"/>
      <c r="AD650" s="270"/>
      <c r="AE650" s="270"/>
      <c r="AF650" s="270"/>
      <c r="AG650" s="270"/>
      <c r="AH650" s="270"/>
      <c r="AI650" s="270"/>
      <c r="AJ650" s="270"/>
      <c r="AK650" s="270"/>
      <c r="AL650" s="270"/>
      <c r="AM650" s="663"/>
      <c r="AN650" s="663"/>
      <c r="AO650" s="708" t="str">
        <f>IF(OR(Table1[[#This Row],[Início Setup Envase]]="",Table1[[#This Row],[Final Setup Envase]]=""),"",Table1[[#This Row],[Final Setup Envase]]-Table1[[#This Row],[Início Setup Envase]])</f>
        <v/>
      </c>
      <c r="AP650" s="663"/>
      <c r="AQ650" s="663"/>
      <c r="AR650" s="270"/>
      <c r="AS650" s="270"/>
      <c r="AT650" s="270"/>
      <c r="AU650" s="270"/>
      <c r="AV650" s="270"/>
      <c r="AW650" s="270"/>
      <c r="AX650" s="270"/>
      <c r="AY650" s="270"/>
      <c r="AZ650" s="270"/>
      <c r="BA650" s="270">
        <f>IF(Table1[[#This Row],[Data de Início]]="","",YEAR(Table1[[#This Row],[Data de Início]]))</f>
        <v>2025</v>
      </c>
      <c r="BB650" s="270">
        <f>IF(Table1[[#This Row],[Data de Início]]="","",MONTH(Table1[[#This Row],[Data de Início]]))</f>
        <v>12</v>
      </c>
      <c r="BC650" s="270"/>
    </row>
    <row r="651" spans="2:55" ht="15" customHeight="1" x14ac:dyDescent="0.25">
      <c r="B651" s="489">
        <v>45995.430555555555</v>
      </c>
      <c r="C651" s="490">
        <v>45995.578472222223</v>
      </c>
      <c r="D651" s="477" cm="1">
        <f t="array" ref="D651">IFERROR(HorasUteisFabrica2Turnos(B651,C651), "")</f>
        <v>2.5500000000465661</v>
      </c>
      <c r="E651" s="478">
        <f t="shared" si="10"/>
        <v>1599.999999970782</v>
      </c>
      <c r="F651" s="266" t="s">
        <v>378</v>
      </c>
      <c r="G651" s="266" t="s">
        <v>1076</v>
      </c>
      <c r="H651" s="266"/>
      <c r="I651" s="480" t="s">
        <v>1084</v>
      </c>
      <c r="J651" s="267" t="s">
        <v>15</v>
      </c>
      <c r="K651" s="482">
        <v>4080</v>
      </c>
      <c r="L651" s="495" t="s">
        <v>1078</v>
      </c>
      <c r="M651" s="270" t="str">
        <f>IFERROR(INDEX([1]Produtos!$C:$C,MATCH(L651,[1]Produtos!$B:$B,0)), "-")</f>
        <v>BODY SPLASH SOL TROPICAL 61 120ml</v>
      </c>
      <c r="N651" s="510">
        <f>IFERROR(INDEX([1]Produtos!$E:$E,MATCH(L651,[1]Produtos!$B:$B,0)), "-")</f>
        <v>120</v>
      </c>
      <c r="O651" s="270" t="str">
        <f>IFERROR(INDEX([1]Produtos!$F:$F,MATCH(L651,[1]Produtos!$B:$B,0)), "-")</f>
        <v>ml</v>
      </c>
      <c r="P651" s="270" t="str">
        <f>IFERROR(INDEX([1]Produtos!$G:$G,MATCH(L651,[1]Produtos!$B:$B,0)), "-")</f>
        <v>BRIA BEAUTY</v>
      </c>
      <c r="Q651" s="270" t="str">
        <f>IFERROR(INDEX([1]Produtos!$H:$H,MATCH(L651,[1]Produtos!$B:$B,0)), "-")</f>
        <v>PERFUMARIA</v>
      </c>
      <c r="R651" s="270" t="str">
        <f>IFERROR(INDEX([1]Produtos!$I:$I,MATCH(L651,[1]Produtos!$B:$B,0)), "-")</f>
        <v>BODY SPLASH</v>
      </c>
      <c r="S651" s="270" t="str">
        <f>IFERROR(INDEX([1]Produtos!$J:$J,MATCH(L651,[1]Produtos!$B:$B,0)), "-")</f>
        <v>LÍQUIDO</v>
      </c>
      <c r="T651" s="475"/>
      <c r="U651" s="270"/>
      <c r="V651" s="270"/>
      <c r="W651" s="270"/>
      <c r="X651" s="270"/>
      <c r="Y651" s="270"/>
      <c r="Z651" s="270"/>
      <c r="AA651" s="270"/>
      <c r="AB651" s="270"/>
      <c r="AC651" s="270"/>
      <c r="AD651" s="270"/>
      <c r="AE651" s="270"/>
      <c r="AF651" s="270"/>
      <c r="AG651" s="270"/>
      <c r="AH651" s="270"/>
      <c r="AI651" s="270"/>
      <c r="AJ651" s="270"/>
      <c r="AK651" s="270"/>
      <c r="AL651" s="270"/>
      <c r="AM651" s="663"/>
      <c r="AN651" s="663"/>
      <c r="AO651" s="708" t="str">
        <f>IF(OR(Table1[[#This Row],[Início Setup Envase]]="",Table1[[#This Row],[Final Setup Envase]]=""),"",Table1[[#This Row],[Final Setup Envase]]-Table1[[#This Row],[Início Setup Envase]])</f>
        <v/>
      </c>
      <c r="AP651" s="663"/>
      <c r="AQ651" s="663"/>
      <c r="AR651" s="270"/>
      <c r="AS651" s="270"/>
      <c r="AT651" s="270"/>
      <c r="AU651" s="270"/>
      <c r="AV651" s="270"/>
      <c r="AW651" s="270"/>
      <c r="AX651" s="270"/>
      <c r="AY651" s="270"/>
      <c r="AZ651" s="270"/>
      <c r="BA651" s="270">
        <f>IF(Table1[[#This Row],[Data de Início]]="","",YEAR(Table1[[#This Row],[Data de Início]]))</f>
        <v>2025</v>
      </c>
      <c r="BB651" s="270">
        <f>IF(Table1[[#This Row],[Data de Início]]="","",MONTH(Table1[[#This Row],[Data de Início]]))</f>
        <v>12</v>
      </c>
      <c r="BC651" s="270"/>
    </row>
    <row r="652" spans="2:55" ht="15" customHeight="1" x14ac:dyDescent="0.25">
      <c r="B652" s="489">
        <v>45995.552777777775</v>
      </c>
      <c r="C652" s="490">
        <v>45995.694444444445</v>
      </c>
      <c r="D652" s="477" cm="1">
        <f t="array" ref="D652">IFERROR(HorasUteisFabrica2Turnos(B652,C652), "")</f>
        <v>3.4000000000814907</v>
      </c>
      <c r="E652" s="478">
        <f t="shared" si="10"/>
        <v>748.23529409971343</v>
      </c>
      <c r="F652" s="266" t="s">
        <v>377</v>
      </c>
      <c r="G652" s="266" t="s">
        <v>1103</v>
      </c>
      <c r="H652" s="266"/>
      <c r="I652" s="480" t="s">
        <v>1085</v>
      </c>
      <c r="J652" s="267" t="s">
        <v>15</v>
      </c>
      <c r="K652" s="482">
        <v>2544</v>
      </c>
      <c r="L652" s="495" t="s">
        <v>1086</v>
      </c>
      <c r="M652" s="270" t="str">
        <f>IFERROR(INDEX([1]Produtos!$C:$C,MATCH(L652,[1]Produtos!$B:$B,0)), "-")</f>
        <v>CREME HIDRATANTE CORPORAL ECLIPSE DOURADO</v>
      </c>
      <c r="N652" s="510">
        <f>IFERROR(INDEX([1]Produtos!$E:$E,MATCH(L652,[1]Produtos!$B:$B,0)), "-")</f>
        <v>200</v>
      </c>
      <c r="O652" s="270" t="str">
        <f>IFERROR(INDEX([1]Produtos!$F:$F,MATCH(L652,[1]Produtos!$B:$B,0)), "-")</f>
        <v>ml</v>
      </c>
      <c r="P652" s="270" t="str">
        <f>IFERROR(INDEX([1]Produtos!$G:$G,MATCH(L652,[1]Produtos!$B:$B,0)), "-")</f>
        <v>MISS RÔSE</v>
      </c>
      <c r="Q652" s="270" t="str">
        <f>IFERROR(INDEX([1]Produtos!$H:$H,MATCH(L652,[1]Produtos!$B:$B,0)), "-")</f>
        <v>CORPORAL</v>
      </c>
      <c r="R652" s="270" t="str">
        <f>IFERROR(INDEX([1]Produtos!$I:$I,MATCH(L652,[1]Produtos!$B:$B,0)), "-")</f>
        <v>CREME HIDRATANTE</v>
      </c>
      <c r="S652" s="270" t="str">
        <f>IFERROR(INDEX([1]Produtos!$J:$J,MATCH(L652,[1]Produtos!$B:$B,0)), "-")</f>
        <v>CREMOSO</v>
      </c>
      <c r="T652" s="475"/>
      <c r="U652" s="270"/>
      <c r="V652" s="270"/>
      <c r="W652" s="270"/>
      <c r="X652" s="270"/>
      <c r="Y652" s="270"/>
      <c r="Z652" s="270"/>
      <c r="AA652" s="270"/>
      <c r="AB652" s="270"/>
      <c r="AC652" s="270"/>
      <c r="AD652" s="270"/>
      <c r="AE652" s="270"/>
      <c r="AF652" s="270"/>
      <c r="AG652" s="270"/>
      <c r="AH652" s="270"/>
      <c r="AI652" s="270"/>
      <c r="AJ652" s="270"/>
      <c r="AK652" s="270"/>
      <c r="AL652" s="270"/>
      <c r="AM652" s="663"/>
      <c r="AN652" s="663"/>
      <c r="AO652" s="708" t="str">
        <f>IF(OR(Table1[[#This Row],[Início Setup Envase]]="",Table1[[#This Row],[Final Setup Envase]]=""),"",Table1[[#This Row],[Final Setup Envase]]-Table1[[#This Row],[Início Setup Envase]])</f>
        <v/>
      </c>
      <c r="AP652" s="663"/>
      <c r="AQ652" s="663"/>
      <c r="AR652" s="270"/>
      <c r="AS652" s="270"/>
      <c r="AT652" s="270"/>
      <c r="AU652" s="270"/>
      <c r="AV652" s="270"/>
      <c r="AW652" s="270"/>
      <c r="AX652" s="270"/>
      <c r="AY652" s="270"/>
      <c r="AZ652" s="270"/>
      <c r="BA652" s="270">
        <f>IF(Table1[[#This Row],[Data de Início]]="","",YEAR(Table1[[#This Row],[Data de Início]]))</f>
        <v>2025</v>
      </c>
      <c r="BB652" s="270">
        <f>IF(Table1[[#This Row],[Data de Início]]="","",MONTH(Table1[[#This Row],[Data de Início]]))</f>
        <v>12</v>
      </c>
      <c r="BC652" s="270"/>
    </row>
    <row r="653" spans="2:55" ht="15" customHeight="1" x14ac:dyDescent="0.25">
      <c r="B653" s="489">
        <v>45995.578472222223</v>
      </c>
      <c r="C653" s="490">
        <v>45995.801388888889</v>
      </c>
      <c r="D653" s="477" cm="1">
        <f t="array" ref="D653">IFERROR(HorasUteisFabrica2Turnos(B653,C653), "")</f>
        <v>5.3499999999767169</v>
      </c>
      <c r="E653" s="478">
        <f t="shared" si="10"/>
        <v>762.61682243322548</v>
      </c>
      <c r="F653" s="266" t="s">
        <v>378</v>
      </c>
      <c r="G653" s="266" t="s">
        <v>1076</v>
      </c>
      <c r="H653" s="479"/>
      <c r="I653" s="480" t="s">
        <v>1090</v>
      </c>
      <c r="J653" s="481" t="s">
        <v>15</v>
      </c>
      <c r="K653" s="482">
        <v>4080</v>
      </c>
      <c r="L653" s="495" t="s">
        <v>1078</v>
      </c>
      <c r="M653" s="483" t="str">
        <f>IFERROR(INDEX([1]Produtos!$C:$C,MATCH(L653,[1]Produtos!$B:$B,0)), "-")</f>
        <v>BODY SPLASH SOL TROPICAL 61 120ml</v>
      </c>
      <c r="N653" s="511">
        <f>IFERROR(INDEX([1]Produtos!$E:$E,MATCH(L653,[1]Produtos!$B:$B,0)), "-")</f>
        <v>120</v>
      </c>
      <c r="O653" s="483" t="str">
        <f>IFERROR(INDEX([1]Produtos!$F:$F,MATCH(L653,[1]Produtos!$B:$B,0)), "-")</f>
        <v>ml</v>
      </c>
      <c r="P653" s="483" t="str">
        <f>IFERROR(INDEX([1]Produtos!$G:$G,MATCH(L653,[1]Produtos!$B:$B,0)), "-")</f>
        <v>BRIA BEAUTY</v>
      </c>
      <c r="Q653" s="483" t="str">
        <f>IFERROR(INDEX([1]Produtos!$H:$H,MATCH(L653,[1]Produtos!$B:$B,0)), "-")</f>
        <v>PERFUMARIA</v>
      </c>
      <c r="R653" s="483" t="str">
        <f>IFERROR(INDEX([1]Produtos!$I:$I,MATCH(L653,[1]Produtos!$B:$B,0)), "-")</f>
        <v>BODY SPLASH</v>
      </c>
      <c r="S653" s="483" t="str">
        <f>IFERROR(INDEX([1]Produtos!$J:$J,MATCH(L653,[1]Produtos!$B:$B,0)), "-")</f>
        <v>LÍQUIDO</v>
      </c>
      <c r="T653" s="484"/>
      <c r="U653" s="270"/>
      <c r="V653" s="270"/>
      <c r="W653" s="270"/>
      <c r="X653" s="270"/>
      <c r="Y653" s="270"/>
      <c r="Z653" s="270"/>
      <c r="AA653" s="270"/>
      <c r="AB653" s="270"/>
      <c r="AC653" s="270"/>
      <c r="AD653" s="270"/>
      <c r="AE653" s="270"/>
      <c r="AF653" s="270"/>
      <c r="AG653" s="270"/>
      <c r="AH653" s="270"/>
      <c r="AI653" s="270"/>
      <c r="AJ653" s="270"/>
      <c r="AK653" s="270"/>
      <c r="AL653" s="270"/>
      <c r="AM653" s="663"/>
      <c r="AN653" s="663"/>
      <c r="AO653" s="708" t="str">
        <f>IF(OR(Table1[[#This Row],[Início Setup Envase]]="",Table1[[#This Row],[Final Setup Envase]]=""),"",Table1[[#This Row],[Final Setup Envase]]-Table1[[#This Row],[Início Setup Envase]])</f>
        <v/>
      </c>
      <c r="AP653" s="663"/>
      <c r="AQ653" s="663"/>
      <c r="AR653" s="270"/>
      <c r="AS653" s="270"/>
      <c r="AT653" s="270"/>
      <c r="AU653" s="270"/>
      <c r="AV653" s="270"/>
      <c r="AW653" s="270"/>
      <c r="AX653" s="270"/>
      <c r="AY653" s="270"/>
      <c r="AZ653" s="270"/>
      <c r="BA653" s="270">
        <f>IF(Table1[[#This Row],[Data de Início]]="","",YEAR(Table1[[#This Row],[Data de Início]]))</f>
        <v>2025</v>
      </c>
      <c r="BB653" s="270">
        <f>IF(Table1[[#This Row],[Data de Início]]="","",MONTH(Table1[[#This Row],[Data de Início]]))</f>
        <v>12</v>
      </c>
      <c r="BC653" s="270"/>
    </row>
    <row r="654" spans="2:55" ht="15" customHeight="1" x14ac:dyDescent="0.25">
      <c r="B654" s="489">
        <v>45995.694444444445</v>
      </c>
      <c r="C654" s="490">
        <v>45995.84652777778</v>
      </c>
      <c r="D654" s="477" cm="1">
        <f t="array" ref="D654">IFERROR(HorasUteisFabrica2Turnos(B654,C654), "")</f>
        <v>3.6500000000232831</v>
      </c>
      <c r="E654" s="478">
        <f t="shared" si="10"/>
        <v>696.98630136541703</v>
      </c>
      <c r="F654" s="479" t="s">
        <v>377</v>
      </c>
      <c r="G654" s="266" t="s">
        <v>1103</v>
      </c>
      <c r="H654" s="479"/>
      <c r="I654" s="480" t="s">
        <v>1087</v>
      </c>
      <c r="J654" s="481" t="s">
        <v>15</v>
      </c>
      <c r="K654" s="482">
        <v>2544</v>
      </c>
      <c r="L654" s="495" t="s">
        <v>1086</v>
      </c>
      <c r="M654" s="483" t="str">
        <f>IFERROR(INDEX([1]Produtos!$C:$C,MATCH(L654,[1]Produtos!$B:$B,0)), "-")</f>
        <v>CREME HIDRATANTE CORPORAL ECLIPSE DOURADO</v>
      </c>
      <c r="N654" s="511">
        <f>IFERROR(INDEX([1]Produtos!$E:$E,MATCH(L654,[1]Produtos!$B:$B,0)), "-")</f>
        <v>200</v>
      </c>
      <c r="O654" s="483" t="str">
        <f>IFERROR(INDEX([1]Produtos!$F:$F,MATCH(L654,[1]Produtos!$B:$B,0)), "-")</f>
        <v>ml</v>
      </c>
      <c r="P654" s="483" t="str">
        <f>IFERROR(INDEX([1]Produtos!$G:$G,MATCH(L654,[1]Produtos!$B:$B,0)), "-")</f>
        <v>MISS RÔSE</v>
      </c>
      <c r="Q654" s="483" t="str">
        <f>IFERROR(INDEX([1]Produtos!$H:$H,MATCH(L654,[1]Produtos!$B:$B,0)), "-")</f>
        <v>CORPORAL</v>
      </c>
      <c r="R654" s="483" t="str">
        <f>IFERROR(INDEX([1]Produtos!$I:$I,MATCH(L654,[1]Produtos!$B:$B,0)), "-")</f>
        <v>CREME HIDRATANTE</v>
      </c>
      <c r="S654" s="483" t="str">
        <f>IFERROR(INDEX([1]Produtos!$J:$J,MATCH(L654,[1]Produtos!$B:$B,0)), "-")</f>
        <v>CREMOSO</v>
      </c>
      <c r="T654" s="484"/>
      <c r="U654" s="270"/>
      <c r="V654" s="270"/>
      <c r="W654" s="270"/>
      <c r="X654" s="270"/>
      <c r="Y654" s="270"/>
      <c r="Z654" s="270"/>
      <c r="AA654" s="270"/>
      <c r="AB654" s="270"/>
      <c r="AC654" s="270"/>
      <c r="AD654" s="270"/>
      <c r="AE654" s="270"/>
      <c r="AF654" s="270"/>
      <c r="AG654" s="270"/>
      <c r="AH654" s="270"/>
      <c r="AI654" s="270"/>
      <c r="AJ654" s="270"/>
      <c r="AK654" s="270"/>
      <c r="AL654" s="270"/>
      <c r="AM654" s="663"/>
      <c r="AN654" s="663"/>
      <c r="AO654" s="708" t="str">
        <f>IF(OR(Table1[[#This Row],[Início Setup Envase]]="",Table1[[#This Row],[Final Setup Envase]]=""),"",Table1[[#This Row],[Final Setup Envase]]-Table1[[#This Row],[Início Setup Envase]])</f>
        <v/>
      </c>
      <c r="AP654" s="663"/>
      <c r="AQ654" s="663"/>
      <c r="AR654" s="270"/>
      <c r="AS654" s="270"/>
      <c r="AT654" s="270"/>
      <c r="AU654" s="270"/>
      <c r="AV654" s="270"/>
      <c r="AW654" s="270"/>
      <c r="AX654" s="270"/>
      <c r="AY654" s="270"/>
      <c r="AZ654" s="270"/>
      <c r="BA654" s="270">
        <f>IF(Table1[[#This Row],[Data de Início]]="","",YEAR(Table1[[#This Row],[Data de Início]]))</f>
        <v>2025</v>
      </c>
      <c r="BB654" s="270">
        <f>IF(Table1[[#This Row],[Data de Início]]="","",MONTH(Table1[[#This Row],[Data de Início]]))</f>
        <v>12</v>
      </c>
      <c r="BC654" s="270"/>
    </row>
    <row r="655" spans="2:55" ht="15" customHeight="1" x14ac:dyDescent="0.25">
      <c r="B655" s="489">
        <v>45995.802083333336</v>
      </c>
      <c r="C655" s="490">
        <v>45995.895833333336</v>
      </c>
      <c r="D655" s="477" cm="1">
        <f t="array" ref="D655">IFERROR(HorasUteisFabrica2Turnos(B655,C655), "")</f>
        <v>2.25</v>
      </c>
      <c r="E655" s="478">
        <f t="shared" si="10"/>
        <v>958.22222222222217</v>
      </c>
      <c r="F655" s="479" t="s">
        <v>378</v>
      </c>
      <c r="G655" s="266" t="s">
        <v>1076</v>
      </c>
      <c r="H655" s="479"/>
      <c r="I655" s="480" t="s">
        <v>1089</v>
      </c>
      <c r="J655" s="481" t="s">
        <v>15</v>
      </c>
      <c r="K655" s="482">
        <v>2156</v>
      </c>
      <c r="L655" s="495" t="s">
        <v>1078</v>
      </c>
      <c r="M655" s="483" t="str">
        <f>IFERROR(INDEX([1]Produtos!$C:$C,MATCH(L655,[1]Produtos!$B:$B,0)), "-")</f>
        <v>BODY SPLASH SOL TROPICAL 61 120ml</v>
      </c>
      <c r="N655" s="511">
        <f>IFERROR(INDEX([1]Produtos!$E:$E,MATCH(L655,[1]Produtos!$B:$B,0)), "-")</f>
        <v>120</v>
      </c>
      <c r="O655" s="483" t="str">
        <f>IFERROR(INDEX([1]Produtos!$F:$F,MATCH(L655,[1]Produtos!$B:$B,0)), "-")</f>
        <v>ml</v>
      </c>
      <c r="P655" s="483" t="str">
        <f>IFERROR(INDEX([1]Produtos!$G:$G,MATCH(L655,[1]Produtos!$B:$B,0)), "-")</f>
        <v>BRIA BEAUTY</v>
      </c>
      <c r="Q655" s="483" t="str">
        <f>IFERROR(INDEX([1]Produtos!$H:$H,MATCH(L655,[1]Produtos!$B:$B,0)), "-")</f>
        <v>PERFUMARIA</v>
      </c>
      <c r="R655" s="483" t="str">
        <f>IFERROR(INDEX([1]Produtos!$I:$I,MATCH(L655,[1]Produtos!$B:$B,0)), "-")</f>
        <v>BODY SPLASH</v>
      </c>
      <c r="S655" s="483" t="str">
        <f>IFERROR(INDEX([1]Produtos!$J:$J,MATCH(L655,[1]Produtos!$B:$B,0)), "-")</f>
        <v>LÍQUIDO</v>
      </c>
      <c r="T655" s="484"/>
      <c r="U655" s="270"/>
      <c r="V655" s="270"/>
      <c r="W655" s="270"/>
      <c r="X655" s="270"/>
      <c r="Y655" s="270"/>
      <c r="Z655" s="270"/>
      <c r="AA655" s="270"/>
      <c r="AB655" s="270"/>
      <c r="AC655" s="270"/>
      <c r="AD655" s="270"/>
      <c r="AE655" s="270"/>
      <c r="AF655" s="270"/>
      <c r="AG655" s="270"/>
      <c r="AH655" s="270"/>
      <c r="AI655" s="270"/>
      <c r="AJ655" s="270"/>
      <c r="AK655" s="270"/>
      <c r="AL655" s="270"/>
      <c r="AM655" s="663"/>
      <c r="AN655" s="663"/>
      <c r="AO655" s="708" t="str">
        <f>IF(OR(Table1[[#This Row],[Início Setup Envase]]="",Table1[[#This Row],[Final Setup Envase]]=""),"",Table1[[#This Row],[Final Setup Envase]]-Table1[[#This Row],[Início Setup Envase]])</f>
        <v/>
      </c>
      <c r="AP655" s="663"/>
      <c r="AQ655" s="663"/>
      <c r="AR655" s="270"/>
      <c r="AS655" s="270"/>
      <c r="AT655" s="270"/>
      <c r="AU655" s="270"/>
      <c r="AV655" s="270"/>
      <c r="AW655" s="270"/>
      <c r="AX655" s="270"/>
      <c r="AY655" s="270"/>
      <c r="AZ655" s="270"/>
      <c r="BA655" s="270">
        <f>IF(Table1[[#This Row],[Data de Início]]="","",YEAR(Table1[[#This Row],[Data de Início]]))</f>
        <v>2025</v>
      </c>
      <c r="BB655" s="270">
        <f>IF(Table1[[#This Row],[Data de Início]]="","",MONTH(Table1[[#This Row],[Data de Início]]))</f>
        <v>12</v>
      </c>
      <c r="BC655" s="270"/>
    </row>
    <row r="656" spans="2:55" ht="15" customHeight="1" x14ac:dyDescent="0.25">
      <c r="B656" s="489">
        <v>45996.298611111109</v>
      </c>
      <c r="C656" s="490">
        <v>45996.427083333336</v>
      </c>
      <c r="D656" s="477" cm="1">
        <f t="array" ref="D656">IFERROR(HorasUteisFabrica2Turnos(B656,C656), "")</f>
        <v>3.0833333334303461</v>
      </c>
      <c r="E656" s="478">
        <f t="shared" si="10"/>
        <v>1323.2432432016092</v>
      </c>
      <c r="F656" s="479" t="s">
        <v>378</v>
      </c>
      <c r="G656" s="266" t="s">
        <v>1076</v>
      </c>
      <c r="H656" s="479"/>
      <c r="I656" s="480" t="s">
        <v>1092</v>
      </c>
      <c r="J656" s="481" t="s">
        <v>15</v>
      </c>
      <c r="K656" s="482">
        <v>4080</v>
      </c>
      <c r="L656" s="495" t="s">
        <v>1091</v>
      </c>
      <c r="M656" s="483" t="str">
        <f>IFERROR(INDEX([1]Produtos!$C:$C,MATCH(L656,[1]Produtos!$B:$B,0)), "-")</f>
        <v>BODY SPLASH SOL TROPICAL 58 120ml</v>
      </c>
      <c r="N656" s="511">
        <f>IFERROR(INDEX([1]Produtos!$E:$E,MATCH(L656,[1]Produtos!$B:$B,0)), "-")</f>
        <v>120</v>
      </c>
      <c r="O656" s="483" t="str">
        <f>IFERROR(INDEX([1]Produtos!$F:$F,MATCH(L656,[1]Produtos!$B:$B,0)), "-")</f>
        <v>ml</v>
      </c>
      <c r="P656" s="483" t="str">
        <f>IFERROR(INDEX([1]Produtos!$G:$G,MATCH(L656,[1]Produtos!$B:$B,0)), "-")</f>
        <v>BRIA BEAUTY</v>
      </c>
      <c r="Q656" s="483" t="str">
        <f>IFERROR(INDEX([1]Produtos!$H:$H,MATCH(L656,[1]Produtos!$B:$B,0)), "-")</f>
        <v>PERFUMARIA</v>
      </c>
      <c r="R656" s="483" t="str">
        <f>IFERROR(INDEX([1]Produtos!$I:$I,MATCH(L656,[1]Produtos!$B:$B,0)), "-")</f>
        <v>BODY SPLASH</v>
      </c>
      <c r="S656" s="483" t="str">
        <f>IFERROR(INDEX([1]Produtos!$J:$J,MATCH(L656,[1]Produtos!$B:$B,0)), "-")</f>
        <v>LÍQUIDO</v>
      </c>
      <c r="T656" s="484"/>
      <c r="U656" s="270"/>
      <c r="V656" s="270"/>
      <c r="W656" s="270"/>
      <c r="X656" s="270"/>
      <c r="Y656" s="270"/>
      <c r="Z656" s="270"/>
      <c r="AA656" s="270"/>
      <c r="AB656" s="270"/>
      <c r="AC656" s="270"/>
      <c r="AD656" s="270"/>
      <c r="AE656" s="270"/>
      <c r="AF656" s="270"/>
      <c r="AG656" s="270"/>
      <c r="AH656" s="270"/>
      <c r="AI656" s="270"/>
      <c r="AJ656" s="270"/>
      <c r="AK656" s="270"/>
      <c r="AL656" s="270"/>
      <c r="AM656" s="663"/>
      <c r="AN656" s="663"/>
      <c r="AO656" s="708" t="str">
        <f>IF(OR(Table1[[#This Row],[Início Setup Envase]]="",Table1[[#This Row],[Final Setup Envase]]=""),"",Table1[[#This Row],[Final Setup Envase]]-Table1[[#This Row],[Início Setup Envase]])</f>
        <v/>
      </c>
      <c r="AP656" s="663"/>
      <c r="AQ656" s="663"/>
      <c r="AR656" s="270"/>
      <c r="AS656" s="270"/>
      <c r="AT656" s="270"/>
      <c r="AU656" s="270"/>
      <c r="AV656" s="270"/>
      <c r="AW656" s="270"/>
      <c r="AX656" s="270"/>
      <c r="AY656" s="270"/>
      <c r="AZ656" s="270"/>
      <c r="BA656" s="270">
        <f>IF(Table1[[#This Row],[Data de Início]]="","",YEAR(Table1[[#This Row],[Data de Início]]))</f>
        <v>2025</v>
      </c>
      <c r="BB656" s="270">
        <f>IF(Table1[[#This Row],[Data de Início]]="","",MONTH(Table1[[#This Row],[Data de Início]]))</f>
        <v>12</v>
      </c>
      <c r="BC656" s="270"/>
    </row>
    <row r="657" spans="2:55" x14ac:dyDescent="0.25">
      <c r="B657" s="489">
        <v>45996.306250000001</v>
      </c>
      <c r="C657" s="490">
        <v>45999.375</v>
      </c>
      <c r="D657" s="477" cm="1">
        <f t="array" ref="D657">IFERROR(HorasUteisFabrica2Turnos(B657,C657), "")</f>
        <v>9.6499999999650754</v>
      </c>
      <c r="E657" s="478">
        <f t="shared" si="10"/>
        <v>65.181347150494972</v>
      </c>
      <c r="F657" s="479" t="s">
        <v>377</v>
      </c>
      <c r="G657" s="266" t="s">
        <v>1103</v>
      </c>
      <c r="H657" s="479"/>
      <c r="I657" s="480" t="s">
        <v>1099</v>
      </c>
      <c r="J657" s="481" t="s">
        <v>15</v>
      </c>
      <c r="K657" s="482">
        <v>629</v>
      </c>
      <c r="L657" s="495" t="s">
        <v>275</v>
      </c>
      <c r="M657" s="483" t="str">
        <f>IFERROR(INDEX([1]Produtos!$C:$C,MATCH(L657,[1]Produtos!$B:$B,0)), "-")</f>
        <v>CREME HIDRATANTE CORPORAL AURORA IMPERIAL</v>
      </c>
      <c r="N657" s="511">
        <f>IFERROR(INDEX([1]Produtos!$E:$E,MATCH(L657,[1]Produtos!$B:$B,0)), "-")</f>
        <v>200</v>
      </c>
      <c r="O657" s="483" t="str">
        <f>IFERROR(INDEX([1]Produtos!$F:$F,MATCH(L657,[1]Produtos!$B:$B,0)), "-")</f>
        <v>ml</v>
      </c>
      <c r="P657" s="483" t="str">
        <f>IFERROR(INDEX([1]Produtos!$G:$G,MATCH(L657,[1]Produtos!$B:$B,0)), "-")</f>
        <v>MISS RÔSE</v>
      </c>
      <c r="Q657" s="483" t="str">
        <f>IFERROR(INDEX([1]Produtos!$H:$H,MATCH(L657,[1]Produtos!$B:$B,0)), "-")</f>
        <v>CORPORAL</v>
      </c>
      <c r="R657" s="483" t="str">
        <f>IFERROR(INDEX([1]Produtos!$I:$I,MATCH(L657,[1]Produtos!$B:$B,0)), "-")</f>
        <v>CREME HIDRATANTE</v>
      </c>
      <c r="S657" s="483" t="str">
        <f>IFERROR(INDEX([1]Produtos!$J:$J,MATCH(L657,[1]Produtos!$B:$B,0)), "-")</f>
        <v>CREMOSO</v>
      </c>
      <c r="T657" s="484"/>
      <c r="U657" s="270"/>
      <c r="V657" s="270"/>
      <c r="W657" s="270"/>
      <c r="X657" s="270"/>
      <c r="Y657" s="270"/>
      <c r="Z657" s="270"/>
      <c r="AA657" s="270"/>
      <c r="AB657" s="270"/>
      <c r="AC657" s="270"/>
      <c r="AD657" s="270"/>
      <c r="AE657" s="270"/>
      <c r="AF657" s="270"/>
      <c r="AG657" s="270"/>
      <c r="AH657" s="270"/>
      <c r="AI657" s="270"/>
      <c r="AJ657" s="270"/>
      <c r="AK657" s="270"/>
      <c r="AL657" s="270"/>
      <c r="AM657" s="663"/>
      <c r="AN657" s="663"/>
      <c r="AO657" s="708" t="str">
        <f>IF(OR(Table1[[#This Row],[Início Setup Envase]]="",Table1[[#This Row],[Final Setup Envase]]=""),"",Table1[[#This Row],[Final Setup Envase]]-Table1[[#This Row],[Início Setup Envase]])</f>
        <v/>
      </c>
      <c r="AP657" s="663"/>
      <c r="AQ657" s="663"/>
      <c r="AR657" s="270"/>
      <c r="AS657" s="270"/>
      <c r="AT657" s="270"/>
      <c r="AU657" s="270"/>
      <c r="AV657" s="270"/>
      <c r="AW657" s="270"/>
      <c r="AX657" s="270"/>
      <c r="AY657" s="270"/>
      <c r="AZ657" s="270"/>
      <c r="BA657" s="270">
        <f>IF(Table1[[#This Row],[Data de Início]]="","",YEAR(Table1[[#This Row],[Data de Início]]))</f>
        <v>2025</v>
      </c>
      <c r="BB657" s="270">
        <f>IF(Table1[[#This Row],[Data de Início]]="","",MONTH(Table1[[#This Row],[Data de Início]]))</f>
        <v>12</v>
      </c>
      <c r="BC657" s="270"/>
    </row>
    <row r="658" spans="2:55" ht="15" customHeight="1" x14ac:dyDescent="0.25">
      <c r="B658" s="489">
        <v>45996.427083333336</v>
      </c>
      <c r="C658" s="490">
        <v>45996.613194444442</v>
      </c>
      <c r="D658" s="477" cm="1">
        <f t="array" ref="D658">IFERROR(HorasUteisFabrica2Turnos(B658,C658), "")</f>
        <v>3.4666666665580124</v>
      </c>
      <c r="E658" s="478">
        <f t="shared" si="10"/>
        <v>1176.9230769599646</v>
      </c>
      <c r="F658" s="479" t="s">
        <v>378</v>
      </c>
      <c r="G658" s="266" t="s">
        <v>1076</v>
      </c>
      <c r="H658" s="479"/>
      <c r="I658" s="480" t="s">
        <v>1093</v>
      </c>
      <c r="J658" s="481" t="s">
        <v>15</v>
      </c>
      <c r="K658" s="482">
        <v>4080</v>
      </c>
      <c r="L658" s="495" t="s">
        <v>1091</v>
      </c>
      <c r="M658" s="483" t="str">
        <f>IFERROR(INDEX([1]Produtos!$C:$C,MATCH(L658,[1]Produtos!$B:$B,0)), "-")</f>
        <v>BODY SPLASH SOL TROPICAL 58 120ml</v>
      </c>
      <c r="N658" s="511">
        <f>IFERROR(INDEX([1]Produtos!$E:$E,MATCH(L658,[1]Produtos!$B:$B,0)), "-")</f>
        <v>120</v>
      </c>
      <c r="O658" s="483" t="str">
        <f>IFERROR(INDEX([1]Produtos!$F:$F,MATCH(L658,[1]Produtos!$B:$B,0)), "-")</f>
        <v>ml</v>
      </c>
      <c r="P658" s="483" t="str">
        <f>IFERROR(INDEX([1]Produtos!$G:$G,MATCH(L658,[1]Produtos!$B:$B,0)), "-")</f>
        <v>BRIA BEAUTY</v>
      </c>
      <c r="Q658" s="483" t="str">
        <f>IFERROR(INDEX([1]Produtos!$H:$H,MATCH(L658,[1]Produtos!$B:$B,0)), "-")</f>
        <v>PERFUMARIA</v>
      </c>
      <c r="R658" s="483" t="str">
        <f>IFERROR(INDEX([1]Produtos!$I:$I,MATCH(L658,[1]Produtos!$B:$B,0)), "-")</f>
        <v>BODY SPLASH</v>
      </c>
      <c r="S658" s="483" t="str">
        <f>IFERROR(INDEX([1]Produtos!$J:$J,MATCH(L658,[1]Produtos!$B:$B,0)), "-")</f>
        <v>LÍQUIDO</v>
      </c>
      <c r="T658" s="484"/>
      <c r="U658" s="270"/>
      <c r="V658" s="270"/>
      <c r="W658" s="270"/>
      <c r="X658" s="270"/>
      <c r="Y658" s="270"/>
      <c r="Z658" s="270"/>
      <c r="AA658" s="270"/>
      <c r="AB658" s="270"/>
      <c r="AC658" s="270"/>
      <c r="AD658" s="270"/>
      <c r="AE658" s="270"/>
      <c r="AF658" s="270"/>
      <c r="AG658" s="270"/>
      <c r="AH658" s="270"/>
      <c r="AI658" s="270"/>
      <c r="AJ658" s="270"/>
      <c r="AK658" s="270"/>
      <c r="AL658" s="270"/>
      <c r="AM658" s="663"/>
      <c r="AN658" s="663"/>
      <c r="AO658" s="708" t="str">
        <f>IF(OR(Table1[[#This Row],[Início Setup Envase]]="",Table1[[#This Row],[Final Setup Envase]]=""),"",Table1[[#This Row],[Final Setup Envase]]-Table1[[#This Row],[Início Setup Envase]])</f>
        <v/>
      </c>
      <c r="AP658" s="663"/>
      <c r="AQ658" s="663"/>
      <c r="AR658" s="270"/>
      <c r="AS658" s="270"/>
      <c r="AT658" s="270"/>
      <c r="AU658" s="270"/>
      <c r="AV658" s="270"/>
      <c r="AW658" s="270"/>
      <c r="AX658" s="270"/>
      <c r="AY658" s="270"/>
      <c r="AZ658" s="270"/>
      <c r="BA658" s="270">
        <f>IF(Table1[[#This Row],[Data de Início]]="","",YEAR(Table1[[#This Row],[Data de Início]]))</f>
        <v>2025</v>
      </c>
      <c r="BB658" s="270">
        <f>IF(Table1[[#This Row],[Data de Início]]="","",MONTH(Table1[[#This Row],[Data de Início]]))</f>
        <v>12</v>
      </c>
      <c r="BC658" s="270"/>
    </row>
    <row r="659" spans="2:55" ht="15" customHeight="1" x14ac:dyDescent="0.25">
      <c r="B659" s="489">
        <v>45996.541666666664</v>
      </c>
      <c r="C659" s="490">
        <v>45996.6875</v>
      </c>
      <c r="D659" s="477" cm="1">
        <f t="array" ref="D659">IFERROR(HorasUteisFabrica2Turnos(B659,C659), "")</f>
        <v>3</v>
      </c>
      <c r="E659" s="478">
        <f t="shared" si="10"/>
        <v>848</v>
      </c>
      <c r="F659" s="479" t="s">
        <v>377</v>
      </c>
      <c r="G659" s="266" t="s">
        <v>1103</v>
      </c>
      <c r="H659" s="479"/>
      <c r="I659" s="480" t="s">
        <v>1095</v>
      </c>
      <c r="J659" s="481" t="s">
        <v>15</v>
      </c>
      <c r="K659" s="482">
        <v>2544</v>
      </c>
      <c r="L659" s="495" t="s">
        <v>275</v>
      </c>
      <c r="M659" s="483" t="str">
        <f>IFERROR(INDEX([1]Produtos!$C:$C,MATCH(L659,[1]Produtos!$B:$B,0)), "-")</f>
        <v>CREME HIDRATANTE CORPORAL AURORA IMPERIAL</v>
      </c>
      <c r="N659" s="511">
        <f>IFERROR(INDEX([1]Produtos!$E:$E,MATCH(L659,[1]Produtos!$B:$B,0)), "-")</f>
        <v>200</v>
      </c>
      <c r="O659" s="483" t="str">
        <f>IFERROR(INDEX([1]Produtos!$F:$F,MATCH(L659,[1]Produtos!$B:$B,0)), "-")</f>
        <v>ml</v>
      </c>
      <c r="P659" s="483" t="str">
        <f>IFERROR(INDEX([1]Produtos!$G:$G,MATCH(L659,[1]Produtos!$B:$B,0)), "-")</f>
        <v>MISS RÔSE</v>
      </c>
      <c r="Q659" s="483" t="str">
        <f>IFERROR(INDEX([1]Produtos!$H:$H,MATCH(L659,[1]Produtos!$B:$B,0)), "-")</f>
        <v>CORPORAL</v>
      </c>
      <c r="R659" s="483" t="str">
        <f>IFERROR(INDEX([1]Produtos!$I:$I,MATCH(L659,[1]Produtos!$B:$B,0)), "-")</f>
        <v>CREME HIDRATANTE</v>
      </c>
      <c r="S659" s="483" t="str">
        <f>IFERROR(INDEX([1]Produtos!$J:$J,MATCH(L659,[1]Produtos!$B:$B,0)), "-")</f>
        <v>CREMOSO</v>
      </c>
      <c r="T659" s="484"/>
      <c r="U659" s="270"/>
      <c r="V659" s="270"/>
      <c r="W659" s="270"/>
      <c r="X659" s="270"/>
      <c r="Y659" s="270"/>
      <c r="Z659" s="270"/>
      <c r="AA659" s="270"/>
      <c r="AB659" s="270"/>
      <c r="AC659" s="270"/>
      <c r="AD659" s="270"/>
      <c r="AE659" s="270"/>
      <c r="AF659" s="270"/>
      <c r="AG659" s="270"/>
      <c r="AH659" s="270"/>
      <c r="AI659" s="270"/>
      <c r="AJ659" s="270"/>
      <c r="AK659" s="270"/>
      <c r="AL659" s="270"/>
      <c r="AM659" s="663"/>
      <c r="AN659" s="663"/>
      <c r="AO659" s="708" t="str">
        <f>IF(OR(Table1[[#This Row],[Início Setup Envase]]="",Table1[[#This Row],[Final Setup Envase]]=""),"",Table1[[#This Row],[Final Setup Envase]]-Table1[[#This Row],[Início Setup Envase]])</f>
        <v/>
      </c>
      <c r="AP659" s="663"/>
      <c r="AQ659" s="663"/>
      <c r="AR659" s="270"/>
      <c r="AS659" s="270"/>
      <c r="AT659" s="270"/>
      <c r="AU659" s="270"/>
      <c r="AV659" s="270"/>
      <c r="AW659" s="270"/>
      <c r="AX659" s="270"/>
      <c r="AY659" s="270"/>
      <c r="AZ659" s="270"/>
      <c r="BA659" s="270">
        <f>IF(Table1[[#This Row],[Data de Início]]="","",YEAR(Table1[[#This Row],[Data de Início]]))</f>
        <v>2025</v>
      </c>
      <c r="BB659" s="270">
        <f>IF(Table1[[#This Row],[Data de Início]]="","",MONTH(Table1[[#This Row],[Data de Início]]))</f>
        <v>12</v>
      </c>
      <c r="BC659" s="270"/>
    </row>
    <row r="660" spans="2:55" ht="15" customHeight="1" x14ac:dyDescent="0.25">
      <c r="B660" s="489">
        <v>45996.613888888889</v>
      </c>
      <c r="C660" s="490">
        <v>45996.777777777781</v>
      </c>
      <c r="D660" s="477" cm="1">
        <f t="array" ref="D660">IFERROR(HorasUteisFabrica2Turnos(B660,C660), "")</f>
        <v>3.933333333407063</v>
      </c>
      <c r="E660" s="478">
        <f t="shared" si="10"/>
        <v>1037.2881355737766</v>
      </c>
      <c r="F660" s="479" t="s">
        <v>378</v>
      </c>
      <c r="G660" s="266" t="s">
        <v>1076</v>
      </c>
      <c r="H660" s="479"/>
      <c r="I660" s="480" t="s">
        <v>1094</v>
      </c>
      <c r="J660" s="481" t="s">
        <v>15</v>
      </c>
      <c r="K660" s="482">
        <v>4080</v>
      </c>
      <c r="L660" s="495" t="s">
        <v>1091</v>
      </c>
      <c r="M660" s="483" t="str">
        <f>IFERROR(INDEX([1]Produtos!$C:$C,MATCH(L660,[1]Produtos!$B:$B,0)), "-")</f>
        <v>BODY SPLASH SOL TROPICAL 58 120ml</v>
      </c>
      <c r="N660" s="511">
        <f>IFERROR(INDEX([1]Produtos!$E:$E,MATCH(L660,[1]Produtos!$B:$B,0)), "-")</f>
        <v>120</v>
      </c>
      <c r="O660" s="483" t="str">
        <f>IFERROR(INDEX([1]Produtos!$F:$F,MATCH(L660,[1]Produtos!$B:$B,0)), "-")</f>
        <v>ml</v>
      </c>
      <c r="P660" s="483" t="str">
        <f>IFERROR(INDEX([1]Produtos!$G:$G,MATCH(L660,[1]Produtos!$B:$B,0)), "-")</f>
        <v>BRIA BEAUTY</v>
      </c>
      <c r="Q660" s="483" t="str">
        <f>IFERROR(INDEX([1]Produtos!$H:$H,MATCH(L660,[1]Produtos!$B:$B,0)), "-")</f>
        <v>PERFUMARIA</v>
      </c>
      <c r="R660" s="483" t="str">
        <f>IFERROR(INDEX([1]Produtos!$I:$I,MATCH(L660,[1]Produtos!$B:$B,0)), "-")</f>
        <v>BODY SPLASH</v>
      </c>
      <c r="S660" s="483" t="str">
        <f>IFERROR(INDEX([1]Produtos!$J:$J,MATCH(L660,[1]Produtos!$B:$B,0)), "-")</f>
        <v>LÍQUIDO</v>
      </c>
      <c r="T660" s="484"/>
      <c r="U660" s="270"/>
      <c r="V660" s="270"/>
      <c r="W660" s="270"/>
      <c r="X660" s="270"/>
      <c r="Y660" s="270"/>
      <c r="Z660" s="270"/>
      <c r="AA660" s="270"/>
      <c r="AB660" s="270"/>
      <c r="AC660" s="270"/>
      <c r="AD660" s="270"/>
      <c r="AE660" s="270"/>
      <c r="AF660" s="270"/>
      <c r="AG660" s="270"/>
      <c r="AH660" s="270"/>
      <c r="AI660" s="270"/>
      <c r="AJ660" s="270"/>
      <c r="AK660" s="270"/>
      <c r="AL660" s="270"/>
      <c r="AM660" s="663"/>
      <c r="AN660" s="663"/>
      <c r="AO660" s="708" t="str">
        <f>IF(OR(Table1[[#This Row],[Início Setup Envase]]="",Table1[[#This Row],[Final Setup Envase]]=""),"",Table1[[#This Row],[Final Setup Envase]]-Table1[[#This Row],[Início Setup Envase]])</f>
        <v/>
      </c>
      <c r="AP660" s="663"/>
      <c r="AQ660" s="663"/>
      <c r="AR660" s="270"/>
      <c r="AS660" s="270"/>
      <c r="AT660" s="270"/>
      <c r="AU660" s="270"/>
      <c r="AV660" s="270"/>
      <c r="AW660" s="270"/>
      <c r="AX660" s="270"/>
      <c r="AY660" s="270"/>
      <c r="AZ660" s="270"/>
      <c r="BA660" s="270">
        <f>IF(Table1[[#This Row],[Data de Início]]="","",YEAR(Table1[[#This Row],[Data de Início]]))</f>
        <v>2025</v>
      </c>
      <c r="BB660" s="270">
        <f>IF(Table1[[#This Row],[Data de Início]]="","",MONTH(Table1[[#This Row],[Data de Início]]))</f>
        <v>12</v>
      </c>
      <c r="BC660" s="270"/>
    </row>
    <row r="661" spans="2:55" ht="15" customHeight="1" x14ac:dyDescent="0.25">
      <c r="B661" s="489">
        <v>45996.6875</v>
      </c>
      <c r="C661" s="490">
        <v>45996.806250000001</v>
      </c>
      <c r="D661" s="477" cm="1">
        <f t="array" ref="D661">IFERROR(HorasUteisFabrica2Turnos(B661,C661), "")</f>
        <v>2.8500000000349246</v>
      </c>
      <c r="E661" s="478">
        <f t="shared" si="10"/>
        <v>892.63157893642995</v>
      </c>
      <c r="F661" s="479" t="s">
        <v>377</v>
      </c>
      <c r="G661" s="266" t="s">
        <v>1103</v>
      </c>
      <c r="H661" s="479"/>
      <c r="I661" s="480" t="s">
        <v>1102</v>
      </c>
      <c r="J661" s="481" t="s">
        <v>15</v>
      </c>
      <c r="K661" s="482">
        <v>2544</v>
      </c>
      <c r="L661" s="495" t="s">
        <v>275</v>
      </c>
      <c r="M661" s="483" t="str">
        <f>IFERROR(INDEX([1]Produtos!$C:$C,MATCH(L661,[1]Produtos!$B:$B,0)), "-")</f>
        <v>CREME HIDRATANTE CORPORAL AURORA IMPERIAL</v>
      </c>
      <c r="N661" s="511">
        <f>IFERROR(INDEX([1]Produtos!$E:$E,MATCH(L661,[1]Produtos!$B:$B,0)), "-")</f>
        <v>200</v>
      </c>
      <c r="O661" s="483" t="str">
        <f>IFERROR(INDEX([1]Produtos!$F:$F,MATCH(L661,[1]Produtos!$B:$B,0)), "-")</f>
        <v>ml</v>
      </c>
      <c r="P661" s="483" t="str">
        <f>IFERROR(INDEX([1]Produtos!$G:$G,MATCH(L661,[1]Produtos!$B:$B,0)), "-")</f>
        <v>MISS RÔSE</v>
      </c>
      <c r="Q661" s="483" t="str">
        <f>IFERROR(INDEX([1]Produtos!$H:$H,MATCH(L661,[1]Produtos!$B:$B,0)), "-")</f>
        <v>CORPORAL</v>
      </c>
      <c r="R661" s="483" t="str">
        <f>IFERROR(INDEX([1]Produtos!$I:$I,MATCH(L661,[1]Produtos!$B:$B,0)), "-")</f>
        <v>CREME HIDRATANTE</v>
      </c>
      <c r="S661" s="483" t="str">
        <f>IFERROR(INDEX([1]Produtos!$J:$J,MATCH(L661,[1]Produtos!$B:$B,0)), "-")</f>
        <v>CREMOSO</v>
      </c>
      <c r="T661" s="484"/>
      <c r="U661" s="270"/>
      <c r="V661" s="270"/>
      <c r="W661" s="270"/>
      <c r="X661" s="270"/>
      <c r="Y661" s="270"/>
      <c r="Z661" s="270"/>
      <c r="AA661" s="270"/>
      <c r="AB661" s="270"/>
      <c r="AC661" s="270"/>
      <c r="AD661" s="270"/>
      <c r="AE661" s="270"/>
      <c r="AF661" s="270"/>
      <c r="AG661" s="270"/>
      <c r="AH661" s="270"/>
      <c r="AI661" s="270"/>
      <c r="AJ661" s="270"/>
      <c r="AK661" s="270"/>
      <c r="AL661" s="270"/>
      <c r="AM661" s="663"/>
      <c r="AN661" s="663"/>
      <c r="AO661" s="708" t="str">
        <f>IF(OR(Table1[[#This Row],[Início Setup Envase]]="",Table1[[#This Row],[Final Setup Envase]]=""),"",Table1[[#This Row],[Final Setup Envase]]-Table1[[#This Row],[Início Setup Envase]])</f>
        <v/>
      </c>
      <c r="AP661" s="663"/>
      <c r="AQ661" s="663"/>
      <c r="AR661" s="270"/>
      <c r="AS661" s="270"/>
      <c r="AT661" s="270"/>
      <c r="AU661" s="270"/>
      <c r="AV661" s="270"/>
      <c r="AW661" s="270"/>
      <c r="AX661" s="270"/>
      <c r="AY661" s="270"/>
      <c r="AZ661" s="270"/>
      <c r="BA661" s="270">
        <f>IF(Table1[[#This Row],[Data de Início]]="","",YEAR(Table1[[#This Row],[Data de Início]]))</f>
        <v>2025</v>
      </c>
      <c r="BB661" s="270">
        <f>IF(Table1[[#This Row],[Data de Início]]="","",MONTH(Table1[[#This Row],[Data de Início]]))</f>
        <v>12</v>
      </c>
      <c r="BC661" s="270"/>
    </row>
    <row r="662" spans="2:55" ht="15" customHeight="1" x14ac:dyDescent="0.25">
      <c r="B662" s="489">
        <v>45996.777777777781</v>
      </c>
      <c r="C662" s="490">
        <v>45999.356249999997</v>
      </c>
      <c r="D662" s="477" cm="1">
        <f t="array" ref="D662">IFERROR(HorasUteisFabrica2Turnos(B662,C662), "")</f>
        <v>4.8833333331858739</v>
      </c>
      <c r="E662" s="478">
        <f t="shared" si="10"/>
        <v>707.30375428756963</v>
      </c>
      <c r="F662" s="479" t="s">
        <v>378</v>
      </c>
      <c r="G662" s="266" t="s">
        <v>1076</v>
      </c>
      <c r="H662" s="479"/>
      <c r="I662" s="480" t="s">
        <v>1096</v>
      </c>
      <c r="J662" s="481" t="s">
        <v>15</v>
      </c>
      <c r="K662" s="482">
        <v>3454</v>
      </c>
      <c r="L662" s="495" t="s">
        <v>1091</v>
      </c>
      <c r="M662" s="483" t="str">
        <f>IFERROR(INDEX([1]Produtos!$C:$C,MATCH(L662,[1]Produtos!$B:$B,0)), "-")</f>
        <v>BODY SPLASH SOL TROPICAL 58 120ml</v>
      </c>
      <c r="N662" s="511">
        <f>IFERROR(INDEX([1]Produtos!$E:$E,MATCH(L662,[1]Produtos!$B:$B,0)), "-")</f>
        <v>120</v>
      </c>
      <c r="O662" s="483" t="str">
        <f>IFERROR(INDEX([1]Produtos!$F:$F,MATCH(L662,[1]Produtos!$B:$B,0)), "-")</f>
        <v>ml</v>
      </c>
      <c r="P662" s="483" t="str">
        <f>IFERROR(INDEX([1]Produtos!$G:$G,MATCH(L662,[1]Produtos!$B:$B,0)), "-")</f>
        <v>BRIA BEAUTY</v>
      </c>
      <c r="Q662" s="483" t="str">
        <f>IFERROR(INDEX([1]Produtos!$H:$H,MATCH(L662,[1]Produtos!$B:$B,0)), "-")</f>
        <v>PERFUMARIA</v>
      </c>
      <c r="R662" s="483" t="str">
        <f>IFERROR(INDEX([1]Produtos!$I:$I,MATCH(L662,[1]Produtos!$B:$B,0)), "-")</f>
        <v>BODY SPLASH</v>
      </c>
      <c r="S662" s="483" t="str">
        <f>IFERROR(INDEX([1]Produtos!$J:$J,MATCH(L662,[1]Produtos!$B:$B,0)), "-")</f>
        <v>LÍQUIDO</v>
      </c>
      <c r="T662" s="484"/>
      <c r="U662" s="270"/>
      <c r="V662" s="270"/>
      <c r="W662" s="270"/>
      <c r="X662" s="270"/>
      <c r="Y662" s="270"/>
      <c r="Z662" s="270"/>
      <c r="AA662" s="270"/>
      <c r="AB662" s="270"/>
      <c r="AC662" s="270"/>
      <c r="AD662" s="270"/>
      <c r="AE662" s="270"/>
      <c r="AF662" s="270"/>
      <c r="AG662" s="270"/>
      <c r="AH662" s="270"/>
      <c r="AI662" s="270"/>
      <c r="AJ662" s="270"/>
      <c r="AK662" s="270"/>
      <c r="AL662" s="270"/>
      <c r="AM662" s="663"/>
      <c r="AN662" s="663"/>
      <c r="AO662" s="708" t="str">
        <f>IF(OR(Table1[[#This Row],[Início Setup Envase]]="",Table1[[#This Row],[Final Setup Envase]]=""),"",Table1[[#This Row],[Final Setup Envase]]-Table1[[#This Row],[Início Setup Envase]])</f>
        <v/>
      </c>
      <c r="AP662" s="663"/>
      <c r="AQ662" s="663"/>
      <c r="AR662" s="270"/>
      <c r="AS662" s="270"/>
      <c r="AT662" s="270"/>
      <c r="AU662" s="270"/>
      <c r="AV662" s="270"/>
      <c r="AW662" s="270"/>
      <c r="AX662" s="270"/>
      <c r="AY662" s="270"/>
      <c r="AZ662" s="270"/>
      <c r="BA662" s="270">
        <f>IF(Table1[[#This Row],[Data de Início]]="","",YEAR(Table1[[#This Row],[Data de Início]]))</f>
        <v>2025</v>
      </c>
      <c r="BB662" s="270">
        <f>IF(Table1[[#This Row],[Data de Início]]="","",MONTH(Table1[[#This Row],[Data de Início]]))</f>
        <v>12</v>
      </c>
      <c r="BC662" s="270"/>
    </row>
    <row r="663" spans="2:55" ht="15" customHeight="1" x14ac:dyDescent="0.25">
      <c r="B663" s="489">
        <v>45999.356249999997</v>
      </c>
      <c r="C663" s="490">
        <v>45999.55</v>
      </c>
      <c r="D663" s="477" cm="1">
        <f t="array" ref="D663">IFERROR(HorasUteisFabrica2Turnos(B663,C663), "")</f>
        <v>3.6500000001396984</v>
      </c>
      <c r="E663" s="478">
        <f t="shared" si="10"/>
        <v>1117.8082191352996</v>
      </c>
      <c r="F663" s="479" t="s">
        <v>378</v>
      </c>
      <c r="G663" s="266" t="s">
        <v>1076</v>
      </c>
      <c r="H663" s="479"/>
      <c r="I663" s="480" t="s">
        <v>1105</v>
      </c>
      <c r="J663" s="481" t="s">
        <v>15</v>
      </c>
      <c r="K663" s="482">
        <v>4080</v>
      </c>
      <c r="L663" s="495" t="s">
        <v>1104</v>
      </c>
      <c r="M663" s="483" t="str">
        <f>IFERROR(INDEX([1]Produtos!$C:$C,MATCH(L663,[1]Produtos!$B:$B,0)), "-")</f>
        <v>BODY SPLASH SOL TROPICAL 86 120ml</v>
      </c>
      <c r="N663" s="511">
        <f>IFERROR(INDEX([1]Produtos!$E:$E,MATCH(L663,[1]Produtos!$B:$B,0)), "-")</f>
        <v>120</v>
      </c>
      <c r="O663" s="483" t="str">
        <f>IFERROR(INDEX([1]Produtos!$F:$F,MATCH(L663,[1]Produtos!$B:$B,0)), "-")</f>
        <v>ml</v>
      </c>
      <c r="P663" s="483" t="str">
        <f>IFERROR(INDEX([1]Produtos!$G:$G,MATCH(L663,[1]Produtos!$B:$B,0)), "-")</f>
        <v>BRIA BEAUTY</v>
      </c>
      <c r="Q663" s="483" t="str">
        <f>IFERROR(INDEX([1]Produtos!$H:$H,MATCH(L663,[1]Produtos!$B:$B,0)), "-")</f>
        <v>PERFUMARIA</v>
      </c>
      <c r="R663" s="483" t="str">
        <f>IFERROR(INDEX([1]Produtos!$I:$I,MATCH(L663,[1]Produtos!$B:$B,0)), "-")</f>
        <v>BODY SPLASH</v>
      </c>
      <c r="S663" s="483" t="str">
        <f>IFERROR(INDEX([1]Produtos!$J:$J,MATCH(L663,[1]Produtos!$B:$B,0)), "-")</f>
        <v>LÍQUIDO</v>
      </c>
      <c r="T663" s="484"/>
      <c r="U663" s="270"/>
      <c r="V663" s="270"/>
      <c r="W663" s="270"/>
      <c r="X663" s="270"/>
      <c r="Y663" s="270"/>
      <c r="Z663" s="270"/>
      <c r="AA663" s="270"/>
      <c r="AB663" s="270"/>
      <c r="AC663" s="270"/>
      <c r="AD663" s="270"/>
      <c r="AE663" s="270"/>
      <c r="AF663" s="270"/>
      <c r="AG663" s="270"/>
      <c r="AH663" s="270"/>
      <c r="AI663" s="270"/>
      <c r="AJ663" s="270"/>
      <c r="AK663" s="270"/>
      <c r="AL663" s="270"/>
      <c r="AM663" s="663"/>
      <c r="AN663" s="663"/>
      <c r="AO663" s="708" t="str">
        <f>IF(OR(Table1[[#This Row],[Início Setup Envase]]="",Table1[[#This Row],[Final Setup Envase]]=""),"",Table1[[#This Row],[Final Setup Envase]]-Table1[[#This Row],[Início Setup Envase]])</f>
        <v/>
      </c>
      <c r="AP663" s="663"/>
      <c r="AQ663" s="663"/>
      <c r="AR663" s="270"/>
      <c r="AS663" s="270"/>
      <c r="AT663" s="270"/>
      <c r="AU663" s="270"/>
      <c r="AV663" s="270"/>
      <c r="AW663" s="270"/>
      <c r="AX663" s="270"/>
      <c r="AY663" s="270"/>
      <c r="AZ663" s="270"/>
      <c r="BA663" s="270">
        <f>IF(Table1[[#This Row],[Data de Início]]="","",YEAR(Table1[[#This Row],[Data de Início]]))</f>
        <v>2025</v>
      </c>
      <c r="BB663" s="270">
        <f>IF(Table1[[#This Row],[Data de Início]]="","",MONTH(Table1[[#This Row],[Data de Início]]))</f>
        <v>12</v>
      </c>
      <c r="BC663" s="270"/>
    </row>
    <row r="664" spans="2:55" ht="15" customHeight="1" x14ac:dyDescent="0.25">
      <c r="B664" s="489">
        <v>45999.386805555558</v>
      </c>
      <c r="C664" s="490">
        <v>45999.458333333336</v>
      </c>
      <c r="D664" s="477" cm="1">
        <f t="array" ref="D664">IFERROR(HorasUteisFabrica2Turnos(B664,C664), "")</f>
        <v>1.7166666666744277</v>
      </c>
      <c r="E664" s="478">
        <f t="shared" si="10"/>
        <v>489.32038834730236</v>
      </c>
      <c r="F664" s="479" t="s">
        <v>377</v>
      </c>
      <c r="G664" s="266" t="s">
        <v>1046</v>
      </c>
      <c r="H664" s="479"/>
      <c r="I664" s="480" t="s">
        <v>1101</v>
      </c>
      <c r="J664" s="481" t="s">
        <v>15</v>
      </c>
      <c r="K664" s="482">
        <v>840</v>
      </c>
      <c r="L664" s="495" t="s">
        <v>1100</v>
      </c>
      <c r="M664" s="483" t="str">
        <f>IFERROR(INDEX([1]Produtos!$C:$C,MATCH(L664,[1]Produtos!$B:$B,0)), "-")</f>
        <v>BODY CREAM BAUNILHA SELVAGEM</v>
      </c>
      <c r="N664" s="511">
        <f>IFERROR(INDEX([1]Produtos!$E:$E,MATCH(L664,[1]Produtos!$B:$B,0)), "-")</f>
        <v>240</v>
      </c>
      <c r="O664" s="483" t="str">
        <f>IFERROR(INDEX([1]Produtos!$F:$F,MATCH(L664,[1]Produtos!$B:$B,0)), "-")</f>
        <v>ml</v>
      </c>
      <c r="P664" s="483" t="str">
        <f>IFERROR(INDEX([1]Produtos!$G:$G,MATCH(L664,[1]Produtos!$B:$B,0)), "-")</f>
        <v>AMEERATI</v>
      </c>
      <c r="Q664" s="483" t="str">
        <f>IFERROR(INDEX([1]Produtos!$H:$H,MATCH(L664,[1]Produtos!$B:$B,0)), "-")</f>
        <v>CORPORAL</v>
      </c>
      <c r="R664" s="483" t="str">
        <f>IFERROR(INDEX([1]Produtos!$I:$I,MATCH(L664,[1]Produtos!$B:$B,0)), "-")</f>
        <v>CREME HIDRATANTE</v>
      </c>
      <c r="S664" s="483" t="str">
        <f>IFERROR(INDEX([1]Produtos!$J:$J,MATCH(L664,[1]Produtos!$B:$B,0)), "-")</f>
        <v>CREMOSO</v>
      </c>
      <c r="T664" s="484"/>
      <c r="U664" s="270"/>
      <c r="V664" s="270"/>
      <c r="W664" s="270"/>
      <c r="X664" s="270"/>
      <c r="Y664" s="270"/>
      <c r="Z664" s="270"/>
      <c r="AA664" s="270"/>
      <c r="AB664" s="270"/>
      <c r="AC664" s="270"/>
      <c r="AD664" s="270"/>
      <c r="AE664" s="270"/>
      <c r="AF664" s="270"/>
      <c r="AG664" s="270"/>
      <c r="AH664" s="270"/>
      <c r="AI664" s="270"/>
      <c r="AJ664" s="270"/>
      <c r="AK664" s="270"/>
      <c r="AL664" s="270"/>
      <c r="AM664" s="663"/>
      <c r="AN664" s="663"/>
      <c r="AO664" s="708" t="str">
        <f>IF(OR(Table1[[#This Row],[Início Setup Envase]]="",Table1[[#This Row],[Final Setup Envase]]=""),"",Table1[[#This Row],[Final Setup Envase]]-Table1[[#This Row],[Início Setup Envase]])</f>
        <v/>
      </c>
      <c r="AP664" s="663"/>
      <c r="AQ664" s="663"/>
      <c r="AR664" s="270"/>
      <c r="AS664" s="270"/>
      <c r="AT664" s="270"/>
      <c r="AU664" s="270"/>
      <c r="AV664" s="270"/>
      <c r="AW664" s="270"/>
      <c r="AX664" s="270"/>
      <c r="AY664" s="270"/>
      <c r="AZ664" s="270"/>
      <c r="BA664" s="270">
        <f>IF(Table1[[#This Row],[Data de Início]]="","",YEAR(Table1[[#This Row],[Data de Início]]))</f>
        <v>2025</v>
      </c>
      <c r="BB664" s="270">
        <f>IF(Table1[[#This Row],[Data de Início]]="","",MONTH(Table1[[#This Row],[Data de Início]]))</f>
        <v>12</v>
      </c>
      <c r="BC664" s="270"/>
    </row>
    <row r="665" spans="2:55" ht="15" customHeight="1" x14ac:dyDescent="0.25">
      <c r="B665" s="489">
        <v>45999.458333333336</v>
      </c>
      <c r="C665" s="490">
        <v>45999.506944444445</v>
      </c>
      <c r="D665" s="477" cm="1">
        <f t="array" ref="D665">IFERROR(HorasUteisFabrica2Turnos(B665,C665), "")</f>
        <v>1.1666666666278616</v>
      </c>
      <c r="E665" s="478">
        <f t="shared" si="10"/>
        <v>720.00000002394825</v>
      </c>
      <c r="F665" s="479" t="s">
        <v>377</v>
      </c>
      <c r="G665" s="266" t="s">
        <v>1046</v>
      </c>
      <c r="H665" s="479"/>
      <c r="I665" s="480" t="s">
        <v>1098</v>
      </c>
      <c r="J665" s="481" t="s">
        <v>15</v>
      </c>
      <c r="K665" s="482">
        <v>840</v>
      </c>
      <c r="L665" s="495" t="s">
        <v>1097</v>
      </c>
      <c r="M665" s="483" t="str">
        <f>IFERROR(INDEX([1]Produtos!$C:$C,MATCH(L665,[1]Produtos!$B:$B,0)), "-")</f>
        <v>BODY CREAM SONHO DE PISTACHE</v>
      </c>
      <c r="N665" s="511">
        <f>IFERROR(INDEX([1]Produtos!$E:$E,MATCH(L665,[1]Produtos!$B:$B,0)), "-")</f>
        <v>240</v>
      </c>
      <c r="O665" s="483" t="str">
        <f>IFERROR(INDEX([1]Produtos!$F:$F,MATCH(L665,[1]Produtos!$B:$B,0)), "-")</f>
        <v>ml</v>
      </c>
      <c r="P665" s="483" t="str">
        <f>IFERROR(INDEX([1]Produtos!$G:$G,MATCH(L665,[1]Produtos!$B:$B,0)), "-")</f>
        <v>AMEERATI</v>
      </c>
      <c r="Q665" s="483" t="str">
        <f>IFERROR(INDEX([1]Produtos!$H:$H,MATCH(L665,[1]Produtos!$B:$B,0)), "-")</f>
        <v>CORPORAL</v>
      </c>
      <c r="R665" s="483" t="str">
        <f>IFERROR(INDEX([1]Produtos!$I:$I,MATCH(L665,[1]Produtos!$B:$B,0)), "-")</f>
        <v>CREME HIDRATANTE</v>
      </c>
      <c r="S665" s="483" t="str">
        <f>IFERROR(INDEX([1]Produtos!$J:$J,MATCH(L665,[1]Produtos!$B:$B,0)), "-")</f>
        <v>CREMOSO</v>
      </c>
      <c r="T665" s="484"/>
      <c r="U665" s="270"/>
      <c r="V665" s="270"/>
      <c r="W665" s="270"/>
      <c r="X665" s="270"/>
      <c r="Y665" s="270"/>
      <c r="Z665" s="270"/>
      <c r="AA665" s="270"/>
      <c r="AB665" s="270"/>
      <c r="AC665" s="270"/>
      <c r="AD665" s="270"/>
      <c r="AE665" s="270"/>
      <c r="AF665" s="270"/>
      <c r="AG665" s="270"/>
      <c r="AH665" s="270"/>
      <c r="AI665" s="270"/>
      <c r="AJ665" s="270"/>
      <c r="AK665" s="270"/>
      <c r="AL665" s="270"/>
      <c r="AM665" s="663"/>
      <c r="AN665" s="663"/>
      <c r="AO665" s="708" t="str">
        <f>IF(OR(Table1[[#This Row],[Início Setup Envase]]="",Table1[[#This Row],[Final Setup Envase]]=""),"",Table1[[#This Row],[Final Setup Envase]]-Table1[[#This Row],[Início Setup Envase]])</f>
        <v/>
      </c>
      <c r="AP665" s="663"/>
      <c r="AQ665" s="663"/>
      <c r="AR665" s="270"/>
      <c r="AS665" s="270"/>
      <c r="AT665" s="270"/>
      <c r="AU665" s="270"/>
      <c r="AV665" s="270"/>
      <c r="AW665" s="270"/>
      <c r="AX665" s="270"/>
      <c r="AY665" s="270"/>
      <c r="AZ665" s="270"/>
      <c r="BA665" s="270">
        <f>IF(Table1[[#This Row],[Data de Início]]="","",YEAR(Table1[[#This Row],[Data de Início]]))</f>
        <v>2025</v>
      </c>
      <c r="BB665" s="270">
        <f>IF(Table1[[#This Row],[Data de Início]]="","",MONTH(Table1[[#This Row],[Data de Início]]))</f>
        <v>12</v>
      </c>
      <c r="BC665" s="270"/>
    </row>
    <row r="666" spans="2:55" ht="15" customHeight="1" x14ac:dyDescent="0.25">
      <c r="B666" s="489">
        <v>45999.541666666664</v>
      </c>
      <c r="C666" s="490">
        <v>45999.590277777781</v>
      </c>
      <c r="D666" s="477" cm="1">
        <f t="array" ref="D666">IFERROR(HorasUteisFabrica2Turnos(B666,C666), "")</f>
        <v>1.1666666668024845</v>
      </c>
      <c r="E666" s="478">
        <f t="shared" si="10"/>
        <v>719.99999991618097</v>
      </c>
      <c r="F666" s="479" t="s">
        <v>377</v>
      </c>
      <c r="G666" s="266" t="s">
        <v>1046</v>
      </c>
      <c r="H666" s="479"/>
      <c r="I666" s="480" t="s">
        <v>1107</v>
      </c>
      <c r="J666" s="481" t="s">
        <v>15</v>
      </c>
      <c r="K666" s="482">
        <v>840</v>
      </c>
      <c r="L666" s="495" t="s">
        <v>1106</v>
      </c>
      <c r="M666" s="483" t="str">
        <f>IFERROR(INDEX([1]Produtos!$C:$C,MATCH(L666,[1]Produtos!$B:$B,0)), "-")</f>
        <v>BODY CREAM FRESCOR LICHIA</v>
      </c>
      <c r="N666" s="511">
        <f>IFERROR(INDEX([1]Produtos!$E:$E,MATCH(L666,[1]Produtos!$B:$B,0)), "-")</f>
        <v>240</v>
      </c>
      <c r="O666" s="483" t="str">
        <f>IFERROR(INDEX([1]Produtos!$F:$F,MATCH(L666,[1]Produtos!$B:$B,0)), "-")</f>
        <v>ml</v>
      </c>
      <c r="P666" s="483" t="str">
        <f>IFERROR(INDEX([1]Produtos!$G:$G,MATCH(L666,[1]Produtos!$B:$B,0)), "-")</f>
        <v>AMEERATI</v>
      </c>
      <c r="Q666" s="483" t="str">
        <f>IFERROR(INDEX([1]Produtos!$H:$H,MATCH(L666,[1]Produtos!$B:$B,0)), "-")</f>
        <v>CORPORAL</v>
      </c>
      <c r="R666" s="483" t="str">
        <f>IFERROR(INDEX([1]Produtos!$I:$I,MATCH(L666,[1]Produtos!$B:$B,0)), "-")</f>
        <v>CREME HIDRATANTE</v>
      </c>
      <c r="S666" s="483" t="str">
        <f>IFERROR(INDEX([1]Produtos!$J:$J,MATCH(L666,[1]Produtos!$B:$B,0)), "-")</f>
        <v>CREMOSO</v>
      </c>
      <c r="T666" s="484"/>
      <c r="U666" s="270"/>
      <c r="V666" s="270"/>
      <c r="W666" s="270"/>
      <c r="X666" s="270"/>
      <c r="Y666" s="270"/>
      <c r="Z666" s="270"/>
      <c r="AA666" s="270"/>
      <c r="AB666" s="270"/>
      <c r="AC666" s="270"/>
      <c r="AD666" s="270"/>
      <c r="AE666" s="270"/>
      <c r="AF666" s="270"/>
      <c r="AG666" s="270"/>
      <c r="AH666" s="270"/>
      <c r="AI666" s="270"/>
      <c r="AJ666" s="270"/>
      <c r="AK666" s="270"/>
      <c r="AL666" s="270"/>
      <c r="AM666" s="663"/>
      <c r="AN666" s="663"/>
      <c r="AO666" s="708" t="str">
        <f>IF(OR(Table1[[#This Row],[Início Setup Envase]]="",Table1[[#This Row],[Final Setup Envase]]=""),"",Table1[[#This Row],[Final Setup Envase]]-Table1[[#This Row],[Início Setup Envase]])</f>
        <v/>
      </c>
      <c r="AP666" s="663"/>
      <c r="AQ666" s="663"/>
      <c r="AR666" s="270"/>
      <c r="AS666" s="270"/>
      <c r="AT666" s="270"/>
      <c r="AU666" s="270"/>
      <c r="AV666" s="270"/>
      <c r="AW666" s="270"/>
      <c r="AX666" s="270"/>
      <c r="AY666" s="270"/>
      <c r="AZ666" s="270"/>
      <c r="BA666" s="270">
        <f>IF(Table1[[#This Row],[Data de Início]]="","",YEAR(Table1[[#This Row],[Data de Início]]))</f>
        <v>2025</v>
      </c>
      <c r="BB666" s="270">
        <f>IF(Table1[[#This Row],[Data de Início]]="","",MONTH(Table1[[#This Row],[Data de Início]]))</f>
        <v>12</v>
      </c>
      <c r="BC666" s="270"/>
    </row>
    <row r="667" spans="2:55" ht="15" customHeight="1" x14ac:dyDescent="0.25">
      <c r="B667" s="489">
        <v>45999.55</v>
      </c>
      <c r="C667" s="490">
        <v>45999.747916666667</v>
      </c>
      <c r="D667" s="477" cm="1">
        <f t="array" ref="D667">IFERROR(HorasUteisFabrica2Turnos(B667,C667), "")</f>
        <v>4.7499999999417923</v>
      </c>
      <c r="E667" s="478">
        <f t="shared" si="10"/>
        <v>858.94736843157841</v>
      </c>
      <c r="F667" s="479" t="s">
        <v>378</v>
      </c>
      <c r="G667" s="266" t="s">
        <v>1076</v>
      </c>
      <c r="H667" s="479"/>
      <c r="I667" s="480" t="s">
        <v>1115</v>
      </c>
      <c r="J667" s="481" t="s">
        <v>15</v>
      </c>
      <c r="K667" s="482">
        <v>4080</v>
      </c>
      <c r="L667" s="495" t="s">
        <v>1104</v>
      </c>
      <c r="M667" s="483" t="str">
        <f>IFERROR(INDEX([1]Produtos!$C:$C,MATCH(L667,[1]Produtos!$B:$B,0)), "-")</f>
        <v>BODY SPLASH SOL TROPICAL 86 120ml</v>
      </c>
      <c r="N667" s="511">
        <f>IFERROR(INDEX([1]Produtos!$E:$E,MATCH(L667,[1]Produtos!$B:$B,0)), "-")</f>
        <v>120</v>
      </c>
      <c r="O667" s="483" t="str">
        <f>IFERROR(INDEX([1]Produtos!$F:$F,MATCH(L667,[1]Produtos!$B:$B,0)), "-")</f>
        <v>ml</v>
      </c>
      <c r="P667" s="483" t="str">
        <f>IFERROR(INDEX([1]Produtos!$G:$G,MATCH(L667,[1]Produtos!$B:$B,0)), "-")</f>
        <v>BRIA BEAUTY</v>
      </c>
      <c r="Q667" s="483" t="str">
        <f>IFERROR(INDEX([1]Produtos!$H:$H,MATCH(L667,[1]Produtos!$B:$B,0)), "-")</f>
        <v>PERFUMARIA</v>
      </c>
      <c r="R667" s="483" t="str">
        <f>IFERROR(INDEX([1]Produtos!$I:$I,MATCH(L667,[1]Produtos!$B:$B,0)), "-")</f>
        <v>BODY SPLASH</v>
      </c>
      <c r="S667" s="483" t="str">
        <f>IFERROR(INDEX([1]Produtos!$J:$J,MATCH(L667,[1]Produtos!$B:$B,0)), "-")</f>
        <v>LÍQUIDO</v>
      </c>
      <c r="T667" s="484"/>
      <c r="U667" s="270"/>
      <c r="V667" s="270"/>
      <c r="W667" s="270"/>
      <c r="X667" s="270"/>
      <c r="Y667" s="270"/>
      <c r="Z667" s="270"/>
      <c r="AA667" s="270"/>
      <c r="AB667" s="270"/>
      <c r="AC667" s="270"/>
      <c r="AD667" s="270"/>
      <c r="AE667" s="270"/>
      <c r="AF667" s="270"/>
      <c r="AG667" s="270"/>
      <c r="AH667" s="270"/>
      <c r="AI667" s="270"/>
      <c r="AJ667" s="270"/>
      <c r="AK667" s="270"/>
      <c r="AL667" s="270"/>
      <c r="AM667" s="663"/>
      <c r="AN667" s="663"/>
      <c r="AO667" s="708" t="str">
        <f>IF(OR(Table1[[#This Row],[Início Setup Envase]]="",Table1[[#This Row],[Final Setup Envase]]=""),"",Table1[[#This Row],[Final Setup Envase]]-Table1[[#This Row],[Início Setup Envase]])</f>
        <v/>
      </c>
      <c r="AP667" s="663"/>
      <c r="AQ667" s="663"/>
      <c r="AR667" s="270"/>
      <c r="AS667" s="270"/>
      <c r="AT667" s="270"/>
      <c r="AU667" s="270"/>
      <c r="AV667" s="270"/>
      <c r="AW667" s="270"/>
      <c r="AX667" s="270"/>
      <c r="AY667" s="270"/>
      <c r="AZ667" s="270"/>
      <c r="BA667" s="270">
        <f>IF(Table1[[#This Row],[Data de Início]]="","",YEAR(Table1[[#This Row],[Data de Início]]))</f>
        <v>2025</v>
      </c>
      <c r="BB667" s="270">
        <f>IF(Table1[[#This Row],[Data de Início]]="","",MONTH(Table1[[#This Row],[Data de Início]]))</f>
        <v>12</v>
      </c>
      <c r="BC667" s="270"/>
    </row>
    <row r="668" spans="2:55" ht="15" customHeight="1" x14ac:dyDescent="0.25">
      <c r="B668" s="489">
        <v>45999.595833333333</v>
      </c>
      <c r="C668" s="490">
        <v>45999.647222222222</v>
      </c>
      <c r="D668" s="477" cm="1">
        <f t="array" ref="D668">IFERROR(HorasUteisFabrica2Turnos(B668,C668), "")</f>
        <v>1.2333333333372138</v>
      </c>
      <c r="E668" s="478">
        <f t="shared" si="10"/>
        <v>681.08108107893815</v>
      </c>
      <c r="F668" s="479" t="s">
        <v>378</v>
      </c>
      <c r="G668" s="266" t="s">
        <v>1046</v>
      </c>
      <c r="H668" s="479"/>
      <c r="I668" s="480" t="s">
        <v>1109</v>
      </c>
      <c r="J668" s="481" t="s">
        <v>15</v>
      </c>
      <c r="K668" s="482">
        <v>840</v>
      </c>
      <c r="L668" s="495" t="s">
        <v>1108</v>
      </c>
      <c r="M668" s="483" t="str">
        <f>IFERROR(INDEX([1]Produtos!$C:$C,MATCH(L668,[1]Produtos!$B:$B,0)), "-")</f>
        <v>BODY CREAM VERDE SUPREMO</v>
      </c>
      <c r="N668" s="511">
        <f>IFERROR(INDEX([1]Produtos!$E:$E,MATCH(L668,[1]Produtos!$B:$B,0)), "-")</f>
        <v>240</v>
      </c>
      <c r="O668" s="483" t="str">
        <f>IFERROR(INDEX([1]Produtos!$F:$F,MATCH(L668,[1]Produtos!$B:$B,0)), "-")</f>
        <v>ml</v>
      </c>
      <c r="P668" s="483" t="str">
        <f>IFERROR(INDEX([1]Produtos!$G:$G,MATCH(L668,[1]Produtos!$B:$B,0)), "-")</f>
        <v>AMEERATI</v>
      </c>
      <c r="Q668" s="483" t="str">
        <f>IFERROR(INDEX([1]Produtos!$H:$H,MATCH(L668,[1]Produtos!$B:$B,0)), "-")</f>
        <v>CORPORAL</v>
      </c>
      <c r="R668" s="483" t="str">
        <f>IFERROR(INDEX([1]Produtos!$I:$I,MATCH(L668,[1]Produtos!$B:$B,0)), "-")</f>
        <v>CREME HIDRATANTE</v>
      </c>
      <c r="S668" s="483" t="str">
        <f>IFERROR(INDEX([1]Produtos!$J:$J,MATCH(L668,[1]Produtos!$B:$B,0)), "-")</f>
        <v>CREMOSO</v>
      </c>
      <c r="T668" s="484"/>
      <c r="U668" s="270"/>
      <c r="V668" s="270"/>
      <c r="W668" s="270"/>
      <c r="X668" s="270"/>
      <c r="Y668" s="270"/>
      <c r="Z668" s="270"/>
      <c r="AA668" s="270"/>
      <c r="AB668" s="270"/>
      <c r="AC668" s="270"/>
      <c r="AD668" s="270"/>
      <c r="AE668" s="270"/>
      <c r="AF668" s="270"/>
      <c r="AG668" s="270"/>
      <c r="AH668" s="270"/>
      <c r="AI668" s="270"/>
      <c r="AJ668" s="270"/>
      <c r="AK668" s="270"/>
      <c r="AL668" s="270"/>
      <c r="AM668" s="663"/>
      <c r="AN668" s="663"/>
      <c r="AO668" s="708" t="str">
        <f>IF(OR(Table1[[#This Row],[Início Setup Envase]]="",Table1[[#This Row],[Final Setup Envase]]=""),"",Table1[[#This Row],[Final Setup Envase]]-Table1[[#This Row],[Início Setup Envase]])</f>
        <v/>
      </c>
      <c r="AP668" s="663"/>
      <c r="AQ668" s="663"/>
      <c r="AR668" s="270"/>
      <c r="AS668" s="270"/>
      <c r="AT668" s="270"/>
      <c r="AU668" s="270"/>
      <c r="AV668" s="270"/>
      <c r="AW668" s="270"/>
      <c r="AX668" s="270"/>
      <c r="AY668" s="270"/>
      <c r="AZ668" s="270"/>
      <c r="BA668" s="270">
        <f>IF(Table1[[#This Row],[Data de Início]]="","",YEAR(Table1[[#This Row],[Data de Início]]))</f>
        <v>2025</v>
      </c>
      <c r="BB668" s="270">
        <f>IF(Table1[[#This Row],[Data de Início]]="","",MONTH(Table1[[#This Row],[Data de Início]]))</f>
        <v>12</v>
      </c>
      <c r="BC668" s="270"/>
    </row>
    <row r="669" spans="2:55" ht="15" customHeight="1" x14ac:dyDescent="0.25">
      <c r="B669" s="489">
        <v>45999.625</v>
      </c>
      <c r="C669" s="490">
        <v>45999.708333333336</v>
      </c>
      <c r="D669" s="477" cm="1">
        <f t="array" ref="D669">IFERROR(HorasUteisFabrica2Turnos(B669,C669), "")</f>
        <v>2.0000000000582077</v>
      </c>
      <c r="E669" s="478">
        <f t="shared" si="10"/>
        <v>419.99999998777639</v>
      </c>
      <c r="F669" s="479" t="s">
        <v>377</v>
      </c>
      <c r="G669" s="266" t="s">
        <v>1046</v>
      </c>
      <c r="H669" s="479"/>
      <c r="I669" s="480" t="s">
        <v>1119</v>
      </c>
      <c r="J669" s="481" t="s">
        <v>15</v>
      </c>
      <c r="K669" s="482">
        <v>840</v>
      </c>
      <c r="L669" s="495" t="s">
        <v>1118</v>
      </c>
      <c r="M669" s="483" t="str">
        <f>IFERROR(INDEX([1]Produtos!$C:$C,MATCH(L669,[1]Produtos!$B:$B,0)), "-")</f>
        <v>BODY CREAM DOCE ROSA</v>
      </c>
      <c r="N669" s="511">
        <f>IFERROR(INDEX([1]Produtos!$E:$E,MATCH(L669,[1]Produtos!$B:$B,0)), "-")</f>
        <v>240</v>
      </c>
      <c r="O669" s="483" t="str">
        <f>IFERROR(INDEX([1]Produtos!$F:$F,MATCH(L669,[1]Produtos!$B:$B,0)), "-")</f>
        <v>ml</v>
      </c>
      <c r="P669" s="483" t="str">
        <f>IFERROR(INDEX([1]Produtos!$G:$G,MATCH(L669,[1]Produtos!$B:$B,0)), "-")</f>
        <v>AMEERATI</v>
      </c>
      <c r="Q669" s="483" t="str">
        <f>IFERROR(INDEX([1]Produtos!$H:$H,MATCH(L669,[1]Produtos!$B:$B,0)), "-")</f>
        <v>CORPORAL</v>
      </c>
      <c r="R669" s="483" t="str">
        <f>IFERROR(INDEX([1]Produtos!$I:$I,MATCH(L669,[1]Produtos!$B:$B,0)), "-")</f>
        <v>CREME HIDRATANTE</v>
      </c>
      <c r="S669" s="483" t="str">
        <f>IFERROR(INDEX([1]Produtos!$J:$J,MATCH(L669,[1]Produtos!$B:$B,0)), "-")</f>
        <v>CREMOSO</v>
      </c>
      <c r="T669" s="484"/>
      <c r="U669" s="270"/>
      <c r="V669" s="270"/>
      <c r="W669" s="270"/>
      <c r="X669" s="270"/>
      <c r="Y669" s="270"/>
      <c r="Z669" s="270"/>
      <c r="AA669" s="270"/>
      <c r="AB669" s="270"/>
      <c r="AC669" s="270"/>
      <c r="AD669" s="270"/>
      <c r="AE669" s="270"/>
      <c r="AF669" s="270"/>
      <c r="AG669" s="270"/>
      <c r="AH669" s="270"/>
      <c r="AI669" s="270"/>
      <c r="AJ669" s="270"/>
      <c r="AK669" s="270"/>
      <c r="AL669" s="270"/>
      <c r="AM669" s="663"/>
      <c r="AN669" s="663"/>
      <c r="AO669" s="708" t="str">
        <f>IF(OR(Table1[[#This Row],[Início Setup Envase]]="",Table1[[#This Row],[Final Setup Envase]]=""),"",Table1[[#This Row],[Final Setup Envase]]-Table1[[#This Row],[Início Setup Envase]])</f>
        <v/>
      </c>
      <c r="AP669" s="663"/>
      <c r="AQ669" s="663"/>
      <c r="AR669" s="270"/>
      <c r="AS669" s="270"/>
      <c r="AT669" s="270"/>
      <c r="AU669" s="270"/>
      <c r="AV669" s="270"/>
      <c r="AW669" s="270"/>
      <c r="AX669" s="270"/>
      <c r="AY669" s="270"/>
      <c r="AZ669" s="270"/>
      <c r="BA669" s="270">
        <f>IF(Table1[[#This Row],[Data de Início]]="","",YEAR(Table1[[#This Row],[Data de Início]]))</f>
        <v>2025</v>
      </c>
      <c r="BB669" s="270">
        <f>IF(Table1[[#This Row],[Data de Início]]="","",MONTH(Table1[[#This Row],[Data de Início]]))</f>
        <v>12</v>
      </c>
      <c r="BC669" s="270"/>
    </row>
    <row r="670" spans="2:55" ht="15" customHeight="1" x14ac:dyDescent="0.25">
      <c r="B670" s="489">
        <v>45999.717361111114</v>
      </c>
      <c r="C670" s="490">
        <v>45999.770138888889</v>
      </c>
      <c r="D670" s="477" cm="1">
        <f t="array" ref="D670">IFERROR(HorasUteisFabrica2Turnos(B670,C670), "")</f>
        <v>1.2666666666045785</v>
      </c>
      <c r="E670" s="478">
        <f t="shared" si="10"/>
        <v>663.1578947693481</v>
      </c>
      <c r="F670" s="479" t="s">
        <v>377</v>
      </c>
      <c r="G670" s="266" t="s">
        <v>1046</v>
      </c>
      <c r="H670" s="479"/>
      <c r="I670" s="480" t="s">
        <v>1117</v>
      </c>
      <c r="J670" s="481" t="s">
        <v>15</v>
      </c>
      <c r="K670" s="482">
        <v>840</v>
      </c>
      <c r="L670" s="495" t="s">
        <v>1116</v>
      </c>
      <c r="M670" s="483" t="str">
        <f>IFERROR(INDEX([1]Produtos!$C:$C,MATCH(L670,[1]Produtos!$B:$B,0)), "-")</f>
        <v>BODY CREAM BOUQUET CARMIM</v>
      </c>
      <c r="N670" s="511">
        <f>IFERROR(INDEX([1]Produtos!$E:$E,MATCH(L670,[1]Produtos!$B:$B,0)), "-")</f>
        <v>240</v>
      </c>
      <c r="O670" s="483" t="str">
        <f>IFERROR(INDEX([1]Produtos!$F:$F,MATCH(L670,[1]Produtos!$B:$B,0)), "-")</f>
        <v>ml</v>
      </c>
      <c r="P670" s="483" t="str">
        <f>IFERROR(INDEX([1]Produtos!$G:$G,MATCH(L670,[1]Produtos!$B:$B,0)), "-")</f>
        <v>AMEERATI</v>
      </c>
      <c r="Q670" s="483" t="str">
        <f>IFERROR(INDEX([1]Produtos!$H:$H,MATCH(L670,[1]Produtos!$B:$B,0)), "-")</f>
        <v>CORPORAL</v>
      </c>
      <c r="R670" s="483" t="str">
        <f>IFERROR(INDEX([1]Produtos!$I:$I,MATCH(L670,[1]Produtos!$B:$B,0)), "-")</f>
        <v>CREME HIDRATANTE</v>
      </c>
      <c r="S670" s="483" t="str">
        <f>IFERROR(INDEX([1]Produtos!$J:$J,MATCH(L670,[1]Produtos!$B:$B,0)), "-")</f>
        <v>CREMOSO</v>
      </c>
      <c r="T670" s="484"/>
      <c r="U670" s="270"/>
      <c r="V670" s="270"/>
      <c r="W670" s="270"/>
      <c r="X670" s="270"/>
      <c r="Y670" s="270"/>
      <c r="Z670" s="270"/>
      <c r="AA670" s="270"/>
      <c r="AB670" s="270"/>
      <c r="AC670" s="270"/>
      <c r="AD670" s="270"/>
      <c r="AE670" s="270"/>
      <c r="AF670" s="270"/>
      <c r="AG670" s="270"/>
      <c r="AH670" s="270"/>
      <c r="AI670" s="270"/>
      <c r="AJ670" s="270"/>
      <c r="AK670" s="270"/>
      <c r="AL670" s="270"/>
      <c r="AM670" s="663"/>
      <c r="AN670" s="663"/>
      <c r="AO670" s="708" t="str">
        <f>IF(OR(Table1[[#This Row],[Início Setup Envase]]="",Table1[[#This Row],[Final Setup Envase]]=""),"",Table1[[#This Row],[Final Setup Envase]]-Table1[[#This Row],[Início Setup Envase]])</f>
        <v/>
      </c>
      <c r="AP670" s="663"/>
      <c r="AQ670" s="663"/>
      <c r="AR670" s="270"/>
      <c r="AS670" s="270"/>
      <c r="AT670" s="270"/>
      <c r="AU670" s="270"/>
      <c r="AV670" s="270"/>
      <c r="AW670" s="270"/>
      <c r="AX670" s="270"/>
      <c r="AY670" s="270"/>
      <c r="AZ670" s="270"/>
      <c r="BA670" s="270">
        <f>IF(Table1[[#This Row],[Data de Início]]="","",YEAR(Table1[[#This Row],[Data de Início]]))</f>
        <v>2025</v>
      </c>
      <c r="BB670" s="270">
        <f>IF(Table1[[#This Row],[Data de Início]]="","",MONTH(Table1[[#This Row],[Data de Início]]))</f>
        <v>12</v>
      </c>
      <c r="BC670" s="270"/>
    </row>
    <row r="671" spans="2:55" ht="15" customHeight="1" x14ac:dyDescent="0.25">
      <c r="B671" s="489">
        <v>45999.747916666667</v>
      </c>
      <c r="C671" s="490">
        <v>46000.323611111111</v>
      </c>
      <c r="D671" s="477" cm="1">
        <f t="array" ref="D671">IFERROR(HorasUteisFabrica2Turnos(B671,C671), "")</f>
        <v>4.8166666666511446</v>
      </c>
      <c r="E671" s="478">
        <f t="shared" si="10"/>
        <v>847.05882353214145</v>
      </c>
      <c r="F671" s="479" t="s">
        <v>378</v>
      </c>
      <c r="G671" s="266" t="s">
        <v>1076</v>
      </c>
      <c r="H671" s="479"/>
      <c r="I671" s="480" t="s">
        <v>1110</v>
      </c>
      <c r="J671" s="481" t="s">
        <v>15</v>
      </c>
      <c r="K671" s="482">
        <v>4080</v>
      </c>
      <c r="L671" s="495" t="s">
        <v>1104</v>
      </c>
      <c r="M671" s="483" t="str">
        <f>IFERROR(INDEX([1]Produtos!$C:$C,MATCH(L671,[1]Produtos!$B:$B,0)), "-")</f>
        <v>BODY SPLASH SOL TROPICAL 86 120ml</v>
      </c>
      <c r="N671" s="511">
        <f>IFERROR(INDEX([1]Produtos!$E:$E,MATCH(L671,[1]Produtos!$B:$B,0)), "-")</f>
        <v>120</v>
      </c>
      <c r="O671" s="483" t="str">
        <f>IFERROR(INDEX([1]Produtos!$F:$F,MATCH(L671,[1]Produtos!$B:$B,0)), "-")</f>
        <v>ml</v>
      </c>
      <c r="P671" s="483" t="str">
        <f>IFERROR(INDEX([1]Produtos!$G:$G,MATCH(L671,[1]Produtos!$B:$B,0)), "-")</f>
        <v>BRIA BEAUTY</v>
      </c>
      <c r="Q671" s="483" t="str">
        <f>IFERROR(INDEX([1]Produtos!$H:$H,MATCH(L671,[1]Produtos!$B:$B,0)), "-")</f>
        <v>PERFUMARIA</v>
      </c>
      <c r="R671" s="483" t="str">
        <f>IFERROR(INDEX([1]Produtos!$I:$I,MATCH(L671,[1]Produtos!$B:$B,0)), "-")</f>
        <v>BODY SPLASH</v>
      </c>
      <c r="S671" s="483" t="str">
        <f>IFERROR(INDEX([1]Produtos!$J:$J,MATCH(L671,[1]Produtos!$B:$B,0)), "-")</f>
        <v>LÍQUIDO</v>
      </c>
      <c r="T671" s="484"/>
      <c r="U671" s="270"/>
      <c r="V671" s="270"/>
      <c r="W671" s="270"/>
      <c r="X671" s="270"/>
      <c r="Y671" s="270"/>
      <c r="Z671" s="270"/>
      <c r="AA671" s="270"/>
      <c r="AB671" s="270"/>
      <c r="AC671" s="270"/>
      <c r="AD671" s="270"/>
      <c r="AE671" s="270"/>
      <c r="AF671" s="270"/>
      <c r="AG671" s="270"/>
      <c r="AH671" s="270"/>
      <c r="AI671" s="270"/>
      <c r="AJ671" s="270"/>
      <c r="AK671" s="270"/>
      <c r="AL671" s="270"/>
      <c r="AM671" s="663"/>
      <c r="AN671" s="663"/>
      <c r="AO671" s="708" t="str">
        <f>IF(OR(Table1[[#This Row],[Início Setup Envase]]="",Table1[[#This Row],[Final Setup Envase]]=""),"",Table1[[#This Row],[Final Setup Envase]]-Table1[[#This Row],[Início Setup Envase]])</f>
        <v/>
      </c>
      <c r="AP671" s="663"/>
      <c r="AQ671" s="663"/>
      <c r="AR671" s="270"/>
      <c r="AS671" s="270"/>
      <c r="AT671" s="270"/>
      <c r="AU671" s="270"/>
      <c r="AV671" s="270"/>
      <c r="AW671" s="270"/>
      <c r="AX671" s="270"/>
      <c r="AY671" s="270"/>
      <c r="AZ671" s="270"/>
      <c r="BA671" s="270">
        <f>IF(Table1[[#This Row],[Data de Início]]="","",YEAR(Table1[[#This Row],[Data de Início]]))</f>
        <v>2025</v>
      </c>
      <c r="BB671" s="270">
        <f>IF(Table1[[#This Row],[Data de Início]]="","",MONTH(Table1[[#This Row],[Data de Início]]))</f>
        <v>12</v>
      </c>
      <c r="BC671" s="616"/>
    </row>
    <row r="672" spans="2:55" ht="15" customHeight="1" x14ac:dyDescent="0.25">
      <c r="B672" s="489">
        <v>45999.770138888889</v>
      </c>
      <c r="C672" s="490">
        <v>45999.895833333336</v>
      </c>
      <c r="D672" s="477" cm="1">
        <f t="array" ref="D672">IFERROR(HorasUteisFabrica2Turnos(B672,C672), "")</f>
        <v>3.0166666667209938</v>
      </c>
      <c r="E672" s="478">
        <f t="shared" si="10"/>
        <v>276.46408839281122</v>
      </c>
      <c r="F672" s="479" t="s">
        <v>377</v>
      </c>
      <c r="G672" s="266" t="s">
        <v>1046</v>
      </c>
      <c r="H672" s="479"/>
      <c r="I672" s="480" t="s">
        <v>1113</v>
      </c>
      <c r="J672" s="481" t="s">
        <v>15</v>
      </c>
      <c r="K672" s="482">
        <v>834</v>
      </c>
      <c r="L672" s="495" t="s">
        <v>1114</v>
      </c>
      <c r="M672" s="483" t="str">
        <f>IFERROR(INDEX([1]Produtos!$C:$C,MATCH(L672,[1]Produtos!$B:$B,0)), "-")</f>
        <v>BODY CREAM NECTAR DA PERA</v>
      </c>
      <c r="N672" s="511">
        <f>IFERROR(INDEX([1]Produtos!$E:$E,MATCH(L672,[1]Produtos!$B:$B,0)), "-")</f>
        <v>240</v>
      </c>
      <c r="O672" s="483" t="str">
        <f>IFERROR(INDEX([1]Produtos!$F:$F,MATCH(L672,[1]Produtos!$B:$B,0)), "-")</f>
        <v>ml</v>
      </c>
      <c r="P672" s="483" t="str">
        <f>IFERROR(INDEX([1]Produtos!$G:$G,MATCH(L672,[1]Produtos!$B:$B,0)), "-")</f>
        <v>AMEERATI</v>
      </c>
      <c r="Q672" s="483" t="str">
        <f>IFERROR(INDEX([1]Produtos!$H:$H,MATCH(L672,[1]Produtos!$B:$B,0)), "-")</f>
        <v>CORPORAL</v>
      </c>
      <c r="R672" s="483" t="str">
        <f>IFERROR(INDEX([1]Produtos!$I:$I,MATCH(L672,[1]Produtos!$B:$B,0)), "-")</f>
        <v>CREME HIDRATANTE</v>
      </c>
      <c r="S672" s="483" t="str">
        <f>IFERROR(INDEX([1]Produtos!$J:$J,MATCH(L672,[1]Produtos!$B:$B,0)), "-")</f>
        <v>CREMOSO</v>
      </c>
      <c r="T672" s="484"/>
      <c r="U672" s="270"/>
      <c r="V672" s="270"/>
      <c r="W672" s="270"/>
      <c r="X672" s="270"/>
      <c r="Y672" s="270"/>
      <c r="Z672" s="270"/>
      <c r="AA672" s="270"/>
      <c r="AB672" s="270"/>
      <c r="AC672" s="270"/>
      <c r="AD672" s="270"/>
      <c r="AE672" s="270"/>
      <c r="AF672" s="270"/>
      <c r="AG672" s="270"/>
      <c r="AH672" s="270"/>
      <c r="AI672" s="270"/>
      <c r="AJ672" s="270"/>
      <c r="AK672" s="270"/>
      <c r="AL672" s="270"/>
      <c r="AM672" s="663"/>
      <c r="AN672" s="663"/>
      <c r="AO672" s="708" t="str">
        <f>IF(OR(Table1[[#This Row],[Início Setup Envase]]="",Table1[[#This Row],[Final Setup Envase]]=""),"",Table1[[#This Row],[Final Setup Envase]]-Table1[[#This Row],[Início Setup Envase]])</f>
        <v/>
      </c>
      <c r="AP672" s="663"/>
      <c r="AQ672" s="663"/>
      <c r="AR672" s="270"/>
      <c r="AS672" s="270"/>
      <c r="AT672" s="270"/>
      <c r="AU672" s="270"/>
      <c r="AV672" s="270"/>
      <c r="AW672" s="270"/>
      <c r="AX672" s="270"/>
      <c r="AY672" s="270"/>
      <c r="AZ672" s="270"/>
      <c r="BA672" s="270">
        <f>IF(Table1[[#This Row],[Data de Início]]="","",YEAR(Table1[[#This Row],[Data de Início]]))</f>
        <v>2025</v>
      </c>
      <c r="BB672" s="270">
        <f>IF(Table1[[#This Row],[Data de Início]]="","",MONTH(Table1[[#This Row],[Data de Início]]))</f>
        <v>12</v>
      </c>
      <c r="BC672" s="270"/>
    </row>
    <row r="673" spans="2:55" ht="15" customHeight="1" x14ac:dyDescent="0.25">
      <c r="B673" s="489">
        <v>45999.895833333336</v>
      </c>
      <c r="C673" s="490">
        <v>46000.329861111109</v>
      </c>
      <c r="D673" s="477" cm="1">
        <f t="array" ref="D673">IFERROR(HorasUteisFabrica2Turnos(B673,C673), "")</f>
        <v>1.4166666665696539</v>
      </c>
      <c r="E673" s="478">
        <f t="shared" si="10"/>
        <v>442.58823532442591</v>
      </c>
      <c r="F673" s="479" t="s">
        <v>377</v>
      </c>
      <c r="G673" s="266" t="s">
        <v>1046</v>
      </c>
      <c r="H673" s="479"/>
      <c r="I673" s="480" t="s">
        <v>1112</v>
      </c>
      <c r="J673" s="481" t="s">
        <v>15</v>
      </c>
      <c r="K673" s="482">
        <v>627</v>
      </c>
      <c r="L673" s="495" t="s">
        <v>1111</v>
      </c>
      <c r="M673" s="483" t="str">
        <f>IFERROR(INDEX([1]Produtos!$C:$C,MATCH(L673,[1]Produtos!$B:$B,0)), "-")</f>
        <v>BODY CREAM SUBLIME CEREJA</v>
      </c>
      <c r="N673" s="511">
        <f>IFERROR(INDEX([1]Produtos!$E:$E,MATCH(L673,[1]Produtos!$B:$B,0)), "-")</f>
        <v>240</v>
      </c>
      <c r="O673" s="483" t="str">
        <f>IFERROR(INDEX([1]Produtos!$F:$F,MATCH(L673,[1]Produtos!$B:$B,0)), "-")</f>
        <v>ml</v>
      </c>
      <c r="P673" s="483" t="str">
        <f>IFERROR(INDEX([1]Produtos!$G:$G,MATCH(L673,[1]Produtos!$B:$B,0)), "-")</f>
        <v>AMEERATI</v>
      </c>
      <c r="Q673" s="483" t="str">
        <f>IFERROR(INDEX([1]Produtos!$H:$H,MATCH(L673,[1]Produtos!$B:$B,0)), "-")</f>
        <v>CORPORAL</v>
      </c>
      <c r="R673" s="483" t="str">
        <f>IFERROR(INDEX([1]Produtos!$I:$I,MATCH(L673,[1]Produtos!$B:$B,0)), "-")</f>
        <v>CREME HIDRATANTE</v>
      </c>
      <c r="S673" s="483" t="str">
        <f>IFERROR(INDEX([1]Produtos!$J:$J,MATCH(L673,[1]Produtos!$B:$B,0)), "-")</f>
        <v>CREMOSO</v>
      </c>
      <c r="T673" s="484"/>
      <c r="U673" s="270"/>
      <c r="V673" s="270"/>
      <c r="W673" s="270"/>
      <c r="X673" s="270"/>
      <c r="Y673" s="270"/>
      <c r="Z673" s="270"/>
      <c r="AA673" s="270"/>
      <c r="AB673" s="270"/>
      <c r="AC673" s="270"/>
      <c r="AD673" s="270"/>
      <c r="AE673" s="270"/>
      <c r="AF673" s="270"/>
      <c r="AG673" s="270"/>
      <c r="AH673" s="270"/>
      <c r="AI673" s="270"/>
      <c r="AJ673" s="270"/>
      <c r="AK673" s="270"/>
      <c r="AL673" s="270"/>
      <c r="AM673" s="663"/>
      <c r="AN673" s="663"/>
      <c r="AO673" s="708" t="str">
        <f>IF(OR(Table1[[#This Row],[Início Setup Envase]]="",Table1[[#This Row],[Final Setup Envase]]=""),"",Table1[[#This Row],[Final Setup Envase]]-Table1[[#This Row],[Início Setup Envase]])</f>
        <v/>
      </c>
      <c r="AP673" s="663"/>
      <c r="AQ673" s="663"/>
      <c r="AR673" s="270"/>
      <c r="AS673" s="270"/>
      <c r="AT673" s="270"/>
      <c r="AU673" s="270"/>
      <c r="AV673" s="270"/>
      <c r="AW673" s="270"/>
      <c r="AX673" s="270"/>
      <c r="AY673" s="270"/>
      <c r="AZ673" s="270"/>
      <c r="BA673" s="270">
        <f>IF(Table1[[#This Row],[Data de Início]]="","",YEAR(Table1[[#This Row],[Data de Início]]))</f>
        <v>2025</v>
      </c>
      <c r="BB673" s="270">
        <f>IF(Table1[[#This Row],[Data de Início]]="","",MONTH(Table1[[#This Row],[Data de Início]]))</f>
        <v>12</v>
      </c>
      <c r="BC673" s="270"/>
    </row>
    <row r="674" spans="2:55" ht="15" customHeight="1" x14ac:dyDescent="0.25">
      <c r="B674" s="489">
        <v>46000.324999999997</v>
      </c>
      <c r="C674" s="490">
        <v>46000.503472222219</v>
      </c>
      <c r="D674" s="477" cm="1">
        <f t="array" ref="D674">IFERROR(HorasUteisFabrica2Turnos(B674,C674), "")</f>
        <v>4.2833333333255723</v>
      </c>
      <c r="E674" s="478">
        <f t="shared" si="10"/>
        <v>1083.2684824922351</v>
      </c>
      <c r="F674" s="479" t="s">
        <v>378</v>
      </c>
      <c r="G674" s="266" t="s">
        <v>1076</v>
      </c>
      <c r="H674" s="479"/>
      <c r="I674" s="480" t="s">
        <v>1120</v>
      </c>
      <c r="J674" s="481" t="s">
        <v>15</v>
      </c>
      <c r="K674" s="482">
        <v>4640</v>
      </c>
      <c r="L674" s="495" t="s">
        <v>1104</v>
      </c>
      <c r="M674" s="483" t="str">
        <f>IFERROR(INDEX([1]Produtos!$C:$C,MATCH(L674,[1]Produtos!$B:$B,0)), "-")</f>
        <v>BODY SPLASH SOL TROPICAL 86 120ml</v>
      </c>
      <c r="N674" s="511">
        <f>IFERROR(INDEX([1]Produtos!$E:$E,MATCH(L674,[1]Produtos!$B:$B,0)), "-")</f>
        <v>120</v>
      </c>
      <c r="O674" s="483" t="str">
        <f>IFERROR(INDEX([1]Produtos!$F:$F,MATCH(L674,[1]Produtos!$B:$B,0)), "-")</f>
        <v>ml</v>
      </c>
      <c r="P674" s="483" t="str">
        <f>IFERROR(INDEX([1]Produtos!$G:$G,MATCH(L674,[1]Produtos!$B:$B,0)), "-")</f>
        <v>BRIA BEAUTY</v>
      </c>
      <c r="Q674" s="483" t="str">
        <f>IFERROR(INDEX([1]Produtos!$H:$H,MATCH(L674,[1]Produtos!$B:$B,0)), "-")</f>
        <v>PERFUMARIA</v>
      </c>
      <c r="R674" s="483" t="str">
        <f>IFERROR(INDEX([1]Produtos!$I:$I,MATCH(L674,[1]Produtos!$B:$B,0)), "-")</f>
        <v>BODY SPLASH</v>
      </c>
      <c r="S674" s="483" t="str">
        <f>IFERROR(INDEX([1]Produtos!$J:$J,MATCH(L674,[1]Produtos!$B:$B,0)), "-")</f>
        <v>LÍQUIDO</v>
      </c>
      <c r="T674" s="484"/>
      <c r="U674" s="270"/>
      <c r="V674" s="270"/>
      <c r="W674" s="270"/>
      <c r="X674" s="270"/>
      <c r="Y674" s="270"/>
      <c r="Z674" s="270"/>
      <c r="AA674" s="270"/>
      <c r="AB674" s="270"/>
      <c r="AC674" s="270"/>
      <c r="AD674" s="270"/>
      <c r="AE674" s="270"/>
      <c r="AF674" s="270"/>
      <c r="AG674" s="270"/>
      <c r="AH674" s="270"/>
      <c r="AI674" s="270"/>
      <c r="AJ674" s="270"/>
      <c r="AK674" s="270"/>
      <c r="AL674" s="270"/>
      <c r="AM674" s="663"/>
      <c r="AN674" s="663"/>
      <c r="AO674" s="708" t="str">
        <f>IF(OR(Table1[[#This Row],[Início Setup Envase]]="",Table1[[#This Row],[Final Setup Envase]]=""),"",Table1[[#This Row],[Final Setup Envase]]-Table1[[#This Row],[Início Setup Envase]])</f>
        <v/>
      </c>
      <c r="AP674" s="663"/>
      <c r="AQ674" s="663"/>
      <c r="AR674" s="270"/>
      <c r="AS674" s="270"/>
      <c r="AT674" s="270"/>
      <c r="AU674" s="270"/>
      <c r="AV674" s="270"/>
      <c r="AW674" s="270"/>
      <c r="AX674" s="270"/>
      <c r="AY674" s="270"/>
      <c r="AZ674" s="270"/>
      <c r="BA674" s="270">
        <f>IF(Table1[[#This Row],[Data de Início]]="","",YEAR(Table1[[#This Row],[Data de Início]]))</f>
        <v>2025</v>
      </c>
      <c r="BB674" s="270">
        <f>IF(Table1[[#This Row],[Data de Início]]="","",MONTH(Table1[[#This Row],[Data de Início]]))</f>
        <v>12</v>
      </c>
      <c r="BC674" s="270"/>
    </row>
    <row r="675" spans="2:55" ht="15" customHeight="1" x14ac:dyDescent="0.25">
      <c r="B675" s="489">
        <v>46000.401388888888</v>
      </c>
      <c r="C675" s="490">
        <v>46000.616666666669</v>
      </c>
      <c r="D675" s="477" cm="1">
        <f t="array" ref="D675">IFERROR(HorasUteisFabrica2Turnos(B675,C675), "")</f>
        <v>4.1666666667442769</v>
      </c>
      <c r="E675" s="478">
        <f t="shared" si="10"/>
        <v>610.5599999886274</v>
      </c>
      <c r="F675" s="479" t="s">
        <v>377</v>
      </c>
      <c r="G675" s="266" t="s">
        <v>1103</v>
      </c>
      <c r="H675" s="479"/>
      <c r="I675" s="480" t="s">
        <v>1122</v>
      </c>
      <c r="J675" s="481" t="s">
        <v>15</v>
      </c>
      <c r="K675" s="482">
        <v>2544</v>
      </c>
      <c r="L675" s="495" t="s">
        <v>1121</v>
      </c>
      <c r="M675" s="483" t="str">
        <f>IFERROR(INDEX([1]Produtos!$C:$C,MATCH(L675,[1]Produtos!$B:$B,0)), "-")</f>
        <v>CREME HIDRATANTE CORPORAL NÉCTAR DAS TÂMARAS</v>
      </c>
      <c r="N675" s="511">
        <f>IFERROR(INDEX([1]Produtos!$E:$E,MATCH(L675,[1]Produtos!$B:$B,0)), "-")</f>
        <v>200</v>
      </c>
      <c r="O675" s="483" t="str">
        <f>IFERROR(INDEX([1]Produtos!$F:$F,MATCH(L675,[1]Produtos!$B:$B,0)), "-")</f>
        <v>ml</v>
      </c>
      <c r="P675" s="483" t="str">
        <f>IFERROR(INDEX([1]Produtos!$G:$G,MATCH(L675,[1]Produtos!$B:$B,0)), "-")</f>
        <v>MISS RÔSE</v>
      </c>
      <c r="Q675" s="483" t="str">
        <f>IFERROR(INDEX([1]Produtos!$H:$H,MATCH(L675,[1]Produtos!$B:$B,0)), "-")</f>
        <v>CORPORAL</v>
      </c>
      <c r="R675" s="483" t="str">
        <f>IFERROR(INDEX([1]Produtos!$I:$I,MATCH(L675,[1]Produtos!$B:$B,0)), "-")</f>
        <v>CREME HIDRATANTE</v>
      </c>
      <c r="S675" s="483" t="str">
        <f>IFERROR(INDEX([1]Produtos!$J:$J,MATCH(L675,[1]Produtos!$B:$B,0)), "-")</f>
        <v>CREMOSO</v>
      </c>
      <c r="T675" s="484"/>
      <c r="U675" s="270"/>
      <c r="V675" s="270"/>
      <c r="W675" s="270"/>
      <c r="X675" s="270"/>
      <c r="Y675" s="270"/>
      <c r="Z675" s="270"/>
      <c r="AA675" s="270"/>
      <c r="AB675" s="270"/>
      <c r="AC675" s="270"/>
      <c r="AD675" s="270"/>
      <c r="AE675" s="270"/>
      <c r="AF675" s="270"/>
      <c r="AG675" s="270"/>
      <c r="AH675" s="270"/>
      <c r="AI675" s="270"/>
      <c r="AJ675" s="270"/>
      <c r="AK675" s="270"/>
      <c r="AL675" s="270"/>
      <c r="AM675" s="663"/>
      <c r="AN675" s="663"/>
      <c r="AO675" s="708" t="str">
        <f>IF(OR(Table1[[#This Row],[Início Setup Envase]]="",Table1[[#This Row],[Final Setup Envase]]=""),"",Table1[[#This Row],[Final Setup Envase]]-Table1[[#This Row],[Início Setup Envase]])</f>
        <v/>
      </c>
      <c r="AP675" s="663"/>
      <c r="AQ675" s="663"/>
      <c r="AR675" s="270"/>
      <c r="AS675" s="270"/>
      <c r="AT675" s="270"/>
      <c r="AU675" s="270"/>
      <c r="AV675" s="270"/>
      <c r="AW675" s="270"/>
      <c r="AX675" s="270"/>
      <c r="AY675" s="270"/>
      <c r="AZ675" s="270"/>
      <c r="BA675" s="270">
        <f>IF(Table1[[#This Row],[Data de Início]]="","",YEAR(Table1[[#This Row],[Data de Início]]))</f>
        <v>2025</v>
      </c>
      <c r="BB675" s="270">
        <f>IF(Table1[[#This Row],[Data de Início]]="","",MONTH(Table1[[#This Row],[Data de Início]]))</f>
        <v>12</v>
      </c>
      <c r="BC675" s="270"/>
    </row>
    <row r="676" spans="2:55" ht="15" customHeight="1" x14ac:dyDescent="0.25">
      <c r="B676" s="489">
        <v>46000.525000000001</v>
      </c>
      <c r="C676" s="490">
        <v>46000.536111111112</v>
      </c>
      <c r="D676" s="477" cm="1">
        <f t="array" ref="D676">IFERROR(HorasUteisFabrica2Turnos(B676,C676), "")</f>
        <v>0.26666666666278616</v>
      </c>
      <c r="E676" s="478">
        <f t="shared" si="10"/>
        <v>3165.0000000460568</v>
      </c>
      <c r="F676" s="479" t="s">
        <v>378</v>
      </c>
      <c r="G676" s="266" t="s">
        <v>1076</v>
      </c>
      <c r="H676" s="479"/>
      <c r="I676" s="480" t="s">
        <v>1175</v>
      </c>
      <c r="J676" s="481" t="s">
        <v>15</v>
      </c>
      <c r="K676" s="482">
        <v>844</v>
      </c>
      <c r="L676" s="495" t="s">
        <v>1104</v>
      </c>
      <c r="M676" s="483" t="str">
        <f>IFERROR(INDEX([1]Produtos!$C:$C,MATCH(L676,[1]Produtos!$B:$B,0)), "-")</f>
        <v>BODY SPLASH SOL TROPICAL 86 120ml</v>
      </c>
      <c r="N676" s="511">
        <f>IFERROR(INDEX([1]Produtos!$E:$E,MATCH(L676,[1]Produtos!$B:$B,0)), "-")</f>
        <v>120</v>
      </c>
      <c r="O676" s="483" t="str">
        <f>IFERROR(INDEX([1]Produtos!$F:$F,MATCH(L676,[1]Produtos!$B:$B,0)), "-")</f>
        <v>ml</v>
      </c>
      <c r="P676" s="483" t="str">
        <f>IFERROR(INDEX([1]Produtos!$G:$G,MATCH(L676,[1]Produtos!$B:$B,0)), "-")</f>
        <v>BRIA BEAUTY</v>
      </c>
      <c r="Q676" s="483" t="str">
        <f>IFERROR(INDEX([1]Produtos!$H:$H,MATCH(L676,[1]Produtos!$B:$B,0)), "-")</f>
        <v>PERFUMARIA</v>
      </c>
      <c r="R676" s="483" t="str">
        <f>IFERROR(INDEX([1]Produtos!$I:$I,MATCH(L676,[1]Produtos!$B:$B,0)), "-")</f>
        <v>BODY SPLASH</v>
      </c>
      <c r="S676" s="483" t="str">
        <f>IFERROR(INDEX([1]Produtos!$J:$J,MATCH(L676,[1]Produtos!$B:$B,0)), "-")</f>
        <v>LÍQUIDO</v>
      </c>
      <c r="T676" s="484"/>
      <c r="U676" s="270"/>
      <c r="V676" s="270"/>
      <c r="W676" s="270"/>
      <c r="X676" s="270"/>
      <c r="Y676" s="270"/>
      <c r="Z676" s="270"/>
      <c r="AA676" s="270"/>
      <c r="AB676" s="270"/>
      <c r="AC676" s="270"/>
      <c r="AD676" s="270"/>
      <c r="AE676" s="270"/>
      <c r="AF676" s="270"/>
      <c r="AG676" s="270"/>
      <c r="AH676" s="270"/>
      <c r="AI676" s="270"/>
      <c r="AJ676" s="270"/>
      <c r="AK676" s="270"/>
      <c r="AL676" s="270"/>
      <c r="AM676" s="663"/>
      <c r="AN676" s="663"/>
      <c r="AO676" s="708" t="str">
        <f>IF(OR(Table1[[#This Row],[Início Setup Envase]]="",Table1[[#This Row],[Final Setup Envase]]=""),"",Table1[[#This Row],[Final Setup Envase]]-Table1[[#This Row],[Início Setup Envase]])</f>
        <v/>
      </c>
      <c r="AP676" s="663"/>
      <c r="AQ676" s="663"/>
      <c r="AR676" s="270"/>
      <c r="AS676" s="270"/>
      <c r="AT676" s="270"/>
      <c r="AU676" s="270"/>
      <c r="AV676" s="270"/>
      <c r="AW676" s="270"/>
      <c r="AX676" s="270"/>
      <c r="AY676" s="270"/>
      <c r="AZ676" s="270"/>
      <c r="BA676" s="270">
        <f>IF(Table1[[#This Row],[Data de Início]]="","",YEAR(Table1[[#This Row],[Data de Início]]))</f>
        <v>2025</v>
      </c>
      <c r="BB676" s="270">
        <f>IF(Table1[[#This Row],[Data de Início]]="","",MONTH(Table1[[#This Row],[Data de Início]]))</f>
        <v>12</v>
      </c>
      <c r="BC676" s="270"/>
    </row>
    <row r="677" spans="2:55" ht="15" customHeight="1" x14ac:dyDescent="0.25">
      <c r="B677" s="489">
        <v>46000.534722222219</v>
      </c>
      <c r="C677" s="490">
        <v>46000.708333333336</v>
      </c>
      <c r="D677" s="477" cm="1">
        <f t="array" ref="D677">IFERROR(HorasUteisFabrica2Turnos(B677,C677), "")</f>
        <v>4.1666666668024845</v>
      </c>
      <c r="E677" s="478">
        <f t="shared" si="10"/>
        <v>979.19999996808167</v>
      </c>
      <c r="F677" s="479" t="s">
        <v>378</v>
      </c>
      <c r="G677" s="266" t="s">
        <v>1076</v>
      </c>
      <c r="H677" s="479"/>
      <c r="I677" s="480" t="s">
        <v>1126</v>
      </c>
      <c r="J677" s="481" t="s">
        <v>15</v>
      </c>
      <c r="K677" s="482">
        <v>4080</v>
      </c>
      <c r="L677" s="495" t="s">
        <v>1123</v>
      </c>
      <c r="M677" s="483" t="str">
        <f>IFERROR(INDEX([1]Produtos!$C:$C,MATCH(L677,[1]Produtos!$B:$B,0)), "-")</f>
        <v>BODY SPLASH LUNAR 120ml</v>
      </c>
      <c r="N677" s="511">
        <f>IFERROR(INDEX([1]Produtos!$E:$E,MATCH(L677,[1]Produtos!$B:$B,0)), "-")</f>
        <v>120</v>
      </c>
      <c r="O677" s="483" t="str">
        <f>IFERROR(INDEX([1]Produtos!$F:$F,MATCH(L677,[1]Produtos!$B:$B,0)), "-")</f>
        <v>ml</v>
      </c>
      <c r="P677" s="483" t="str">
        <f>IFERROR(INDEX([1]Produtos!$G:$G,MATCH(L677,[1]Produtos!$B:$B,0)), "-")</f>
        <v>BRIA BEAUTY</v>
      </c>
      <c r="Q677" s="483" t="str">
        <f>IFERROR(INDEX([1]Produtos!$H:$H,MATCH(L677,[1]Produtos!$B:$B,0)), "-")</f>
        <v>PERFUMARIA</v>
      </c>
      <c r="R677" s="483" t="str">
        <f>IFERROR(INDEX([1]Produtos!$I:$I,MATCH(L677,[1]Produtos!$B:$B,0)), "-")</f>
        <v>BODY SPLASH</v>
      </c>
      <c r="S677" s="483" t="str">
        <f>IFERROR(INDEX([1]Produtos!$J:$J,MATCH(L677,[1]Produtos!$B:$B,0)), "-")</f>
        <v>LÍQUIDO</v>
      </c>
      <c r="T677" s="484"/>
      <c r="U677" s="270"/>
      <c r="V677" s="270"/>
      <c r="W677" s="270"/>
      <c r="X677" s="270"/>
      <c r="Y677" s="270"/>
      <c r="Z677" s="270"/>
      <c r="AA677" s="270"/>
      <c r="AB677" s="270"/>
      <c r="AC677" s="270"/>
      <c r="AD677" s="270"/>
      <c r="AE677" s="270"/>
      <c r="AF677" s="270"/>
      <c r="AG677" s="270"/>
      <c r="AH677" s="270"/>
      <c r="AI677" s="270"/>
      <c r="AJ677" s="270"/>
      <c r="AK677" s="270"/>
      <c r="AL677" s="270"/>
      <c r="AM677" s="663"/>
      <c r="AN677" s="663"/>
      <c r="AO677" s="708" t="str">
        <f>IF(OR(Table1[[#This Row],[Início Setup Envase]]="",Table1[[#This Row],[Final Setup Envase]]=""),"",Table1[[#This Row],[Final Setup Envase]]-Table1[[#This Row],[Início Setup Envase]])</f>
        <v/>
      </c>
      <c r="AP677" s="663"/>
      <c r="AQ677" s="663"/>
      <c r="AR677" s="270"/>
      <c r="AS677" s="270"/>
      <c r="AT677" s="270"/>
      <c r="AU677" s="270"/>
      <c r="AV677" s="270"/>
      <c r="AW677" s="270"/>
      <c r="AX677" s="270"/>
      <c r="AY677" s="270"/>
      <c r="AZ677" s="270"/>
      <c r="BA677" s="270">
        <f>IF(Table1[[#This Row],[Data de Início]]="","",YEAR(Table1[[#This Row],[Data de Início]]))</f>
        <v>2025</v>
      </c>
      <c r="BB677" s="270">
        <f>IF(Table1[[#This Row],[Data de Início]]="","",MONTH(Table1[[#This Row],[Data de Início]]))</f>
        <v>12</v>
      </c>
      <c r="BC677" s="270"/>
    </row>
    <row r="678" spans="2:55" ht="15" customHeight="1" x14ac:dyDescent="0.25">
      <c r="B678" s="489">
        <v>46000.616666666669</v>
      </c>
      <c r="C678" s="490">
        <v>46001.408333333333</v>
      </c>
      <c r="D678" s="477" cm="1">
        <f t="array" ref="D678">IFERROR(HorasUteisFabrica2Turnos(B678,C678), "")</f>
        <v>5.0000000000582077</v>
      </c>
      <c r="E678" s="478">
        <f t="shared" si="10"/>
        <v>508.79999999407681</v>
      </c>
      <c r="F678" s="479" t="s">
        <v>377</v>
      </c>
      <c r="G678" s="266" t="s">
        <v>1103</v>
      </c>
      <c r="H678" s="479"/>
      <c r="I678" s="480" t="s">
        <v>1135</v>
      </c>
      <c r="J678" s="481" t="s">
        <v>15</v>
      </c>
      <c r="K678" s="482">
        <v>2544</v>
      </c>
      <c r="L678" s="495" t="s">
        <v>1121</v>
      </c>
      <c r="M678" s="483" t="str">
        <f>IFERROR(INDEX([1]Produtos!$C:$C,MATCH(L678,[1]Produtos!$B:$B,0)), "-")</f>
        <v>CREME HIDRATANTE CORPORAL NÉCTAR DAS TÂMARAS</v>
      </c>
      <c r="N678" s="511">
        <f>IFERROR(INDEX([1]Produtos!$E:$E,MATCH(L678,[1]Produtos!$B:$B,0)), "-")</f>
        <v>200</v>
      </c>
      <c r="O678" s="483" t="str">
        <f>IFERROR(INDEX([1]Produtos!$F:$F,MATCH(L678,[1]Produtos!$B:$B,0)), "-")</f>
        <v>ml</v>
      </c>
      <c r="P678" s="483" t="str">
        <f>IFERROR(INDEX([1]Produtos!$G:$G,MATCH(L678,[1]Produtos!$B:$B,0)), "-")</f>
        <v>MISS RÔSE</v>
      </c>
      <c r="Q678" s="483" t="str">
        <f>IFERROR(INDEX([1]Produtos!$H:$H,MATCH(L678,[1]Produtos!$B:$B,0)), "-")</f>
        <v>CORPORAL</v>
      </c>
      <c r="R678" s="483" t="str">
        <f>IFERROR(INDEX([1]Produtos!$I:$I,MATCH(L678,[1]Produtos!$B:$B,0)), "-")</f>
        <v>CREME HIDRATANTE</v>
      </c>
      <c r="S678" s="483" t="str">
        <f>IFERROR(INDEX([1]Produtos!$J:$J,MATCH(L678,[1]Produtos!$B:$B,0)), "-")</f>
        <v>CREMOSO</v>
      </c>
      <c r="T678" s="484"/>
      <c r="U678" s="270"/>
      <c r="V678" s="270"/>
      <c r="W678" s="270"/>
      <c r="X678" s="270"/>
      <c r="Y678" s="270"/>
      <c r="Z678" s="270"/>
      <c r="AA678" s="270"/>
      <c r="AB678" s="270"/>
      <c r="AC678" s="270"/>
      <c r="AD678" s="270"/>
      <c r="AE678" s="270"/>
      <c r="AF678" s="270"/>
      <c r="AG678" s="270"/>
      <c r="AH678" s="270"/>
      <c r="AI678" s="270"/>
      <c r="AJ678" s="270"/>
      <c r="AK678" s="270"/>
      <c r="AL678" s="270"/>
      <c r="AM678" s="663"/>
      <c r="AN678" s="663"/>
      <c r="AO678" s="708" t="str">
        <f>IF(OR(Table1[[#This Row],[Início Setup Envase]]="",Table1[[#This Row],[Final Setup Envase]]=""),"",Table1[[#This Row],[Final Setup Envase]]-Table1[[#This Row],[Início Setup Envase]])</f>
        <v/>
      </c>
      <c r="AP678" s="663"/>
      <c r="AQ678" s="663"/>
      <c r="AR678" s="270"/>
      <c r="AS678" s="270"/>
      <c r="AT678" s="270"/>
      <c r="AU678" s="270"/>
      <c r="AV678" s="270"/>
      <c r="AW678" s="270"/>
      <c r="AX678" s="270"/>
      <c r="AY678" s="270"/>
      <c r="AZ678" s="270"/>
      <c r="BA678" s="270">
        <f>IF(Table1[[#This Row],[Data de Início]]="","",YEAR(Table1[[#This Row],[Data de Início]]))</f>
        <v>2025</v>
      </c>
      <c r="BB678" s="270">
        <f>IF(Table1[[#This Row],[Data de Início]]="","",MONTH(Table1[[#This Row],[Data de Início]]))</f>
        <v>12</v>
      </c>
      <c r="BC678" s="270"/>
    </row>
    <row r="679" spans="2:55" ht="15" customHeight="1" x14ac:dyDescent="0.25">
      <c r="B679" s="489">
        <v>46000.715277777781</v>
      </c>
      <c r="C679" s="490">
        <v>46001.304861111108</v>
      </c>
      <c r="D679" s="477" cm="1">
        <f t="array" ref="D679">IFERROR(HorasUteisFabrica2Turnos(B679,C679), "")</f>
        <v>5.1499999998486601</v>
      </c>
      <c r="E679" s="478">
        <f t="shared" si="10"/>
        <v>792.23300973201879</v>
      </c>
      <c r="F679" s="479" t="s">
        <v>378</v>
      </c>
      <c r="G679" s="266" t="s">
        <v>1076</v>
      </c>
      <c r="H679" s="479"/>
      <c r="I679" s="480" t="s">
        <v>1125</v>
      </c>
      <c r="J679" s="481" t="s">
        <v>15</v>
      </c>
      <c r="K679" s="482">
        <v>4080</v>
      </c>
      <c r="L679" s="495" t="s">
        <v>1123</v>
      </c>
      <c r="M679" s="483" t="str">
        <f>IFERROR(INDEX([1]Produtos!$C:$C,MATCH(L679,[1]Produtos!$B:$B,0)), "-")</f>
        <v>BODY SPLASH LUNAR 120ml</v>
      </c>
      <c r="N679" s="511">
        <f>IFERROR(INDEX([1]Produtos!$E:$E,MATCH(L679,[1]Produtos!$B:$B,0)), "-")</f>
        <v>120</v>
      </c>
      <c r="O679" s="483" t="str">
        <f>IFERROR(INDEX([1]Produtos!$F:$F,MATCH(L679,[1]Produtos!$B:$B,0)), "-")</f>
        <v>ml</v>
      </c>
      <c r="P679" s="483" t="str">
        <f>IFERROR(INDEX([1]Produtos!$G:$G,MATCH(L679,[1]Produtos!$B:$B,0)), "-")</f>
        <v>BRIA BEAUTY</v>
      </c>
      <c r="Q679" s="483" t="str">
        <f>IFERROR(INDEX([1]Produtos!$H:$H,MATCH(L679,[1]Produtos!$B:$B,0)), "-")</f>
        <v>PERFUMARIA</v>
      </c>
      <c r="R679" s="483" t="str">
        <f>IFERROR(INDEX([1]Produtos!$I:$I,MATCH(L679,[1]Produtos!$B:$B,0)), "-")</f>
        <v>BODY SPLASH</v>
      </c>
      <c r="S679" s="483" t="str">
        <f>IFERROR(INDEX([1]Produtos!$J:$J,MATCH(L679,[1]Produtos!$B:$B,0)), "-")</f>
        <v>LÍQUIDO</v>
      </c>
      <c r="T679" s="484"/>
      <c r="U679" s="270"/>
      <c r="V679" s="270"/>
      <c r="W679" s="270"/>
      <c r="X679" s="270"/>
      <c r="Y679" s="270"/>
      <c r="Z679" s="270"/>
      <c r="AA679" s="270"/>
      <c r="AB679" s="270"/>
      <c r="AC679" s="270"/>
      <c r="AD679" s="270"/>
      <c r="AE679" s="270"/>
      <c r="AF679" s="270"/>
      <c r="AG679" s="270"/>
      <c r="AH679" s="270"/>
      <c r="AI679" s="270"/>
      <c r="AJ679" s="270"/>
      <c r="AK679" s="270"/>
      <c r="AL679" s="270"/>
      <c r="AM679" s="663"/>
      <c r="AN679" s="663"/>
      <c r="AO679" s="708" t="str">
        <f>IF(OR(Table1[[#This Row],[Início Setup Envase]]="",Table1[[#This Row],[Final Setup Envase]]=""),"",Table1[[#This Row],[Final Setup Envase]]-Table1[[#This Row],[Início Setup Envase]])</f>
        <v/>
      </c>
      <c r="AP679" s="663"/>
      <c r="AQ679" s="663"/>
      <c r="AR679" s="270"/>
      <c r="AS679" s="270"/>
      <c r="AT679" s="270"/>
      <c r="AU679" s="270"/>
      <c r="AV679" s="270"/>
      <c r="AW679" s="270"/>
      <c r="AX679" s="270"/>
      <c r="AY679" s="270"/>
      <c r="AZ679" s="270"/>
      <c r="BA679" s="270">
        <f>IF(Table1[[#This Row],[Data de Início]]="","",YEAR(Table1[[#This Row],[Data de Início]]))</f>
        <v>2025</v>
      </c>
      <c r="BB679" s="270">
        <f>IF(Table1[[#This Row],[Data de Início]]="","",MONTH(Table1[[#This Row],[Data de Início]]))</f>
        <v>12</v>
      </c>
      <c r="BC679" s="270"/>
    </row>
    <row r="680" spans="2:55" ht="15" customHeight="1" x14ac:dyDescent="0.25">
      <c r="B680" s="489">
        <v>46001.305555555555</v>
      </c>
      <c r="C680" s="490">
        <v>46001.46597222222</v>
      </c>
      <c r="D680" s="477" cm="1">
        <f t="array" ref="D680">IFERROR(HorasUteisFabrica2Turnos(B680,C680), "")</f>
        <v>3.8499999999767169</v>
      </c>
      <c r="E680" s="478">
        <f t="shared" si="10"/>
        <v>1059.7402597466685</v>
      </c>
      <c r="F680" s="479" t="s">
        <v>378</v>
      </c>
      <c r="G680" s="266" t="s">
        <v>1076</v>
      </c>
      <c r="H680" s="479"/>
      <c r="I680" s="480" t="s">
        <v>1124</v>
      </c>
      <c r="J680" s="481" t="s">
        <v>15</v>
      </c>
      <c r="K680" s="482">
        <v>4080</v>
      </c>
      <c r="L680" s="495" t="s">
        <v>1123</v>
      </c>
      <c r="M680" s="483" t="str">
        <f>IFERROR(INDEX([1]Produtos!$C:$C,MATCH(L680,[1]Produtos!$B:$B,0)), "-")</f>
        <v>BODY SPLASH LUNAR 120ml</v>
      </c>
      <c r="N680" s="511">
        <f>IFERROR(INDEX([1]Produtos!$E:$E,MATCH(L680,[1]Produtos!$B:$B,0)), "-")</f>
        <v>120</v>
      </c>
      <c r="O680" s="483" t="str">
        <f>IFERROR(INDEX([1]Produtos!$F:$F,MATCH(L680,[1]Produtos!$B:$B,0)), "-")</f>
        <v>ml</v>
      </c>
      <c r="P680" s="483" t="str">
        <f>IFERROR(INDEX([1]Produtos!$G:$G,MATCH(L680,[1]Produtos!$B:$B,0)), "-")</f>
        <v>BRIA BEAUTY</v>
      </c>
      <c r="Q680" s="483" t="str">
        <f>IFERROR(INDEX([1]Produtos!$H:$H,MATCH(L680,[1]Produtos!$B:$B,0)), "-")</f>
        <v>PERFUMARIA</v>
      </c>
      <c r="R680" s="483" t="str">
        <f>IFERROR(INDEX([1]Produtos!$I:$I,MATCH(L680,[1]Produtos!$B:$B,0)), "-")</f>
        <v>BODY SPLASH</v>
      </c>
      <c r="S680" s="483" t="str">
        <f>IFERROR(INDEX([1]Produtos!$J:$J,MATCH(L680,[1]Produtos!$B:$B,0)), "-")</f>
        <v>LÍQUIDO</v>
      </c>
      <c r="T680" s="484"/>
      <c r="U680" s="270"/>
      <c r="V680" s="270"/>
      <c r="W680" s="270"/>
      <c r="X680" s="270"/>
      <c r="Y680" s="270"/>
      <c r="Z680" s="270"/>
      <c r="AA680" s="270"/>
      <c r="AB680" s="270"/>
      <c r="AC680" s="270"/>
      <c r="AD680" s="270"/>
      <c r="AE680" s="270"/>
      <c r="AF680" s="270"/>
      <c r="AG680" s="270"/>
      <c r="AH680" s="270"/>
      <c r="AI680" s="270"/>
      <c r="AJ680" s="270"/>
      <c r="AK680" s="270"/>
      <c r="AL680" s="270"/>
      <c r="AM680" s="663"/>
      <c r="AN680" s="663"/>
      <c r="AO680" s="708" t="str">
        <f>IF(OR(Table1[[#This Row],[Início Setup Envase]]="",Table1[[#This Row],[Final Setup Envase]]=""),"",Table1[[#This Row],[Final Setup Envase]]-Table1[[#This Row],[Início Setup Envase]])</f>
        <v/>
      </c>
      <c r="AP680" s="663"/>
      <c r="AQ680" s="663"/>
      <c r="AR680" s="270"/>
      <c r="AS680" s="270"/>
      <c r="AT680" s="270"/>
      <c r="AU680" s="270"/>
      <c r="AV680" s="270"/>
      <c r="AW680" s="270"/>
      <c r="AX680" s="270"/>
      <c r="AY680" s="270"/>
      <c r="AZ680" s="270"/>
      <c r="BA680" s="270">
        <f>IF(Table1[[#This Row],[Data de Início]]="","",YEAR(Table1[[#This Row],[Data de Início]]))</f>
        <v>2025</v>
      </c>
      <c r="BB680" s="270">
        <f>IF(Table1[[#This Row],[Data de Início]]="","",MONTH(Table1[[#This Row],[Data de Início]]))</f>
        <v>12</v>
      </c>
      <c r="BC680" s="270"/>
    </row>
    <row r="681" spans="2:55" ht="15" customHeight="1" x14ac:dyDescent="0.25">
      <c r="B681" s="489">
        <v>46001.427083333336</v>
      </c>
      <c r="C681" s="490">
        <v>46001.470833333333</v>
      </c>
      <c r="D681" s="477" cm="1">
        <f t="array" ref="D681">IFERROR(HorasUteisFabrica2Turnos(B681,C681), "")</f>
        <v>1.0499999999301508</v>
      </c>
      <c r="E681" s="478">
        <f t="shared" si="10"/>
        <v>1485.7142858131199</v>
      </c>
      <c r="F681" s="479" t="s">
        <v>377</v>
      </c>
      <c r="G681" s="266" t="s">
        <v>1103</v>
      </c>
      <c r="H681" s="479"/>
      <c r="I681" s="480" t="s">
        <v>1136</v>
      </c>
      <c r="J681" s="481" t="s">
        <v>15</v>
      </c>
      <c r="K681" s="482">
        <v>1560</v>
      </c>
      <c r="L681" s="495" t="s">
        <v>1121</v>
      </c>
      <c r="M681" s="483" t="str">
        <f>IFERROR(INDEX([1]Produtos!$C:$C,MATCH(L681,[1]Produtos!$B:$B,0)), "-")</f>
        <v>CREME HIDRATANTE CORPORAL NÉCTAR DAS TÂMARAS</v>
      </c>
      <c r="N681" s="511">
        <f>IFERROR(INDEX([1]Produtos!$E:$E,MATCH(L681,[1]Produtos!$B:$B,0)), "-")</f>
        <v>200</v>
      </c>
      <c r="O681" s="483" t="str">
        <f>IFERROR(INDEX([1]Produtos!$F:$F,MATCH(L681,[1]Produtos!$B:$B,0)), "-")</f>
        <v>ml</v>
      </c>
      <c r="P681" s="483" t="str">
        <f>IFERROR(INDEX([1]Produtos!$G:$G,MATCH(L681,[1]Produtos!$B:$B,0)), "-")</f>
        <v>MISS RÔSE</v>
      </c>
      <c r="Q681" s="483" t="str">
        <f>IFERROR(INDEX([1]Produtos!$H:$H,MATCH(L681,[1]Produtos!$B:$B,0)), "-")</f>
        <v>CORPORAL</v>
      </c>
      <c r="R681" s="483" t="str">
        <f>IFERROR(INDEX([1]Produtos!$I:$I,MATCH(L681,[1]Produtos!$B:$B,0)), "-")</f>
        <v>CREME HIDRATANTE</v>
      </c>
      <c r="S681" s="483" t="str">
        <f>IFERROR(INDEX([1]Produtos!$J:$J,MATCH(L681,[1]Produtos!$B:$B,0)), "-")</f>
        <v>CREMOSO</v>
      </c>
      <c r="T681" s="484"/>
      <c r="U681" s="270"/>
      <c r="V681" s="270"/>
      <c r="W681" s="270"/>
      <c r="X681" s="270"/>
      <c r="Y681" s="270"/>
      <c r="Z681" s="270"/>
      <c r="AA681" s="270"/>
      <c r="AB681" s="270"/>
      <c r="AC681" s="270"/>
      <c r="AD681" s="270"/>
      <c r="AE681" s="270"/>
      <c r="AF681" s="270"/>
      <c r="AG681" s="270"/>
      <c r="AH681" s="270"/>
      <c r="AI681" s="270"/>
      <c r="AJ681" s="270"/>
      <c r="AK681" s="270"/>
      <c r="AL681" s="270"/>
      <c r="AM681" s="663"/>
      <c r="AN681" s="663"/>
      <c r="AO681" s="708" t="str">
        <f>IF(OR(Table1[[#This Row],[Início Setup Envase]]="",Table1[[#This Row],[Final Setup Envase]]=""),"",Table1[[#This Row],[Final Setup Envase]]-Table1[[#This Row],[Início Setup Envase]])</f>
        <v/>
      </c>
      <c r="AP681" s="663"/>
      <c r="AQ681" s="663"/>
      <c r="AR681" s="270"/>
      <c r="AS681" s="270"/>
      <c r="AT681" s="270"/>
      <c r="AU681" s="270"/>
      <c r="AV681" s="270"/>
      <c r="AW681" s="270"/>
      <c r="AX681" s="270"/>
      <c r="AY681" s="270"/>
      <c r="AZ681" s="270"/>
      <c r="BA681" s="270">
        <f>IF(Table1[[#This Row],[Data de Início]]="","",YEAR(Table1[[#This Row],[Data de Início]]))</f>
        <v>2025</v>
      </c>
      <c r="BB681" s="270">
        <f>IF(Table1[[#This Row],[Data de Início]]="","",MONTH(Table1[[#This Row],[Data de Início]]))</f>
        <v>12</v>
      </c>
      <c r="BC681" s="270"/>
    </row>
    <row r="682" spans="2:55" x14ac:dyDescent="0.25">
      <c r="B682" s="489">
        <v>46001.46597222222</v>
      </c>
      <c r="C682" s="490">
        <v>46002.747916666667</v>
      </c>
      <c r="D682" s="477" cm="1">
        <f t="array" ref="D682">IFERROR(HorasUteisFabrica2Turnos(B682,C682), "")</f>
        <v>19.766666666720994</v>
      </c>
      <c r="E682" s="478">
        <f t="shared" si="10"/>
        <v>206.4080944345086</v>
      </c>
      <c r="F682" s="479" t="s">
        <v>378</v>
      </c>
      <c r="G682" s="266" t="s">
        <v>1076</v>
      </c>
      <c r="H682" s="479"/>
      <c r="I682" s="480" t="s">
        <v>1138</v>
      </c>
      <c r="J682" s="481" t="s">
        <v>15</v>
      </c>
      <c r="K682" s="482">
        <v>4080</v>
      </c>
      <c r="L682" s="495" t="s">
        <v>1123</v>
      </c>
      <c r="M682" s="483" t="str">
        <f>IFERROR(INDEX([1]Produtos!$C:$C,MATCH(L682,[1]Produtos!$B:$B,0)), "-")</f>
        <v>BODY SPLASH LUNAR 120ml</v>
      </c>
      <c r="N682" s="511">
        <f>IFERROR(INDEX([1]Produtos!$E:$E,MATCH(L682,[1]Produtos!$B:$B,0)), "-")</f>
        <v>120</v>
      </c>
      <c r="O682" s="483" t="str">
        <f>IFERROR(INDEX([1]Produtos!$F:$F,MATCH(L682,[1]Produtos!$B:$B,0)), "-")</f>
        <v>ml</v>
      </c>
      <c r="P682" s="483" t="str">
        <f>IFERROR(INDEX([1]Produtos!$G:$G,MATCH(L682,[1]Produtos!$B:$B,0)), "-")</f>
        <v>BRIA BEAUTY</v>
      </c>
      <c r="Q682" s="483" t="str">
        <f>IFERROR(INDEX([1]Produtos!$H:$H,MATCH(L682,[1]Produtos!$B:$B,0)), "-")</f>
        <v>PERFUMARIA</v>
      </c>
      <c r="R682" s="483" t="str">
        <f>IFERROR(INDEX([1]Produtos!$I:$I,MATCH(L682,[1]Produtos!$B:$B,0)), "-")</f>
        <v>BODY SPLASH</v>
      </c>
      <c r="S682" s="483" t="str">
        <f>IFERROR(INDEX([1]Produtos!$J:$J,MATCH(L682,[1]Produtos!$B:$B,0)), "-")</f>
        <v>LÍQUIDO</v>
      </c>
      <c r="T682" s="484"/>
      <c r="U682" s="270"/>
      <c r="V682" s="270"/>
      <c r="W682" s="270"/>
      <c r="X682" s="270"/>
      <c r="Y682" s="270"/>
      <c r="Z682" s="270"/>
      <c r="AA682" s="270"/>
      <c r="AB682" s="270"/>
      <c r="AC682" s="270"/>
      <c r="AD682" s="270"/>
      <c r="AE682" s="270"/>
      <c r="AF682" s="270"/>
      <c r="AG682" s="270"/>
      <c r="AH682" s="270"/>
      <c r="AI682" s="270"/>
      <c r="AJ682" s="270"/>
      <c r="AK682" s="270"/>
      <c r="AL682" s="270"/>
      <c r="AM682" s="663"/>
      <c r="AN682" s="663"/>
      <c r="AO682" s="708" t="str">
        <f>IF(OR(Table1[[#This Row],[Início Setup Envase]]="",Table1[[#This Row],[Final Setup Envase]]=""),"",Table1[[#This Row],[Final Setup Envase]]-Table1[[#This Row],[Início Setup Envase]])</f>
        <v/>
      </c>
      <c r="AP682" s="663"/>
      <c r="AQ682" s="663"/>
      <c r="AR682" s="270"/>
      <c r="AS682" s="270"/>
      <c r="AT682" s="270"/>
      <c r="AU682" s="270"/>
      <c r="AV682" s="270"/>
      <c r="AW682" s="270"/>
      <c r="AX682" s="270"/>
      <c r="AY682" s="270"/>
      <c r="AZ682" s="270"/>
      <c r="BA682" s="270">
        <f>IF(Table1[[#This Row],[Data de Início]]="","",YEAR(Table1[[#This Row],[Data de Início]]))</f>
        <v>2025</v>
      </c>
      <c r="BB682" s="270">
        <f>IF(Table1[[#This Row],[Data de Início]]="","",MONTH(Table1[[#This Row],[Data de Início]]))</f>
        <v>12</v>
      </c>
      <c r="BC682" s="270"/>
    </row>
    <row r="683" spans="2:55" ht="15" customHeight="1" x14ac:dyDescent="0.25">
      <c r="B683" s="489">
        <v>46002.319444444445</v>
      </c>
      <c r="C683" s="490">
        <v>46002.361111111109</v>
      </c>
      <c r="D683" s="477" cm="1">
        <f t="array" ref="D683">IFERROR(HorasUteisFabrica2Turnos(B683,C683), "")</f>
        <v>0.99999999994179234</v>
      </c>
      <c r="E683" s="478">
        <f t="shared" si="10"/>
        <v>838.00000004877802</v>
      </c>
      <c r="F683" s="479" t="s">
        <v>378</v>
      </c>
      <c r="G683" s="266" t="s">
        <v>1046</v>
      </c>
      <c r="H683" s="479"/>
      <c r="I683" s="480" t="s">
        <v>1128</v>
      </c>
      <c r="J683" s="481" t="s">
        <v>15</v>
      </c>
      <c r="K683" s="482">
        <v>838</v>
      </c>
      <c r="L683" s="495" t="s">
        <v>1127</v>
      </c>
      <c r="M683" s="483" t="str">
        <f>IFERROR(INDEX([1]Produtos!$C:$C,MATCH(L683,[1]Produtos!$B:$B,0)), "-")</f>
        <v>BODY MIST NECTAR DA PERA</v>
      </c>
      <c r="N683" s="511">
        <f>IFERROR(INDEX([1]Produtos!$E:$E,MATCH(L683,[1]Produtos!$B:$B,0)), "-")</f>
        <v>250</v>
      </c>
      <c r="O683" s="483" t="str">
        <f>IFERROR(INDEX([1]Produtos!$F:$F,MATCH(L683,[1]Produtos!$B:$B,0)), "-")</f>
        <v>ml</v>
      </c>
      <c r="P683" s="483" t="str">
        <f>IFERROR(INDEX([1]Produtos!$G:$G,MATCH(L683,[1]Produtos!$B:$B,0)), "-")</f>
        <v>AMEERATI</v>
      </c>
      <c r="Q683" s="483" t="str">
        <f>IFERROR(INDEX([1]Produtos!$H:$H,MATCH(L683,[1]Produtos!$B:$B,0)), "-")</f>
        <v>PERFUMARIA</v>
      </c>
      <c r="R683" s="483" t="str">
        <f>IFERROR(INDEX([1]Produtos!$I:$I,MATCH(L683,[1]Produtos!$B:$B,0)), "-")</f>
        <v>BODY SPLASH</v>
      </c>
      <c r="S683" s="483" t="str">
        <f>IFERROR(INDEX([1]Produtos!$J:$J,MATCH(L683,[1]Produtos!$B:$B,0)), "-")</f>
        <v>LÍQUIDO</v>
      </c>
      <c r="T683" s="484"/>
      <c r="U683" s="270"/>
      <c r="V683" s="270"/>
      <c r="W683" s="270"/>
      <c r="X683" s="270"/>
      <c r="Y683" s="270"/>
      <c r="Z683" s="270"/>
      <c r="AA683" s="270"/>
      <c r="AB683" s="270"/>
      <c r="AC683" s="270"/>
      <c r="AD683" s="270"/>
      <c r="AE683" s="270"/>
      <c r="AF683" s="270"/>
      <c r="AG683" s="270"/>
      <c r="AH683" s="270"/>
      <c r="AI683" s="270"/>
      <c r="AJ683" s="270"/>
      <c r="AK683" s="270"/>
      <c r="AL683" s="270"/>
      <c r="AM683" s="663"/>
      <c r="AN683" s="663"/>
      <c r="AO683" s="708" t="str">
        <f>IF(OR(Table1[[#This Row],[Início Setup Envase]]="",Table1[[#This Row],[Final Setup Envase]]=""),"",Table1[[#This Row],[Final Setup Envase]]-Table1[[#This Row],[Início Setup Envase]])</f>
        <v/>
      </c>
      <c r="AP683" s="663"/>
      <c r="AQ683" s="663"/>
      <c r="AR683" s="270"/>
      <c r="AS683" s="270"/>
      <c r="AT683" s="270"/>
      <c r="AU683" s="270"/>
      <c r="AV683" s="270"/>
      <c r="AW683" s="270"/>
      <c r="AX683" s="270"/>
      <c r="AY683" s="270"/>
      <c r="AZ683" s="270"/>
      <c r="BA683" s="270">
        <f>IF(Table1[[#This Row],[Data de Início]]="","",YEAR(Table1[[#This Row],[Data de Início]]))</f>
        <v>2025</v>
      </c>
      <c r="BB683" s="270">
        <f>IF(Table1[[#This Row],[Data de Início]]="","",MONTH(Table1[[#This Row],[Data de Início]]))</f>
        <v>12</v>
      </c>
      <c r="BC683" s="270"/>
    </row>
    <row r="684" spans="2:55" ht="15" customHeight="1" x14ac:dyDescent="0.25">
      <c r="B684" s="489">
        <v>46002.319444444445</v>
      </c>
      <c r="C684" s="490">
        <v>46002.361111111109</v>
      </c>
      <c r="D684" s="477" cm="1">
        <f t="array" ref="D684">IFERROR(HorasUteisFabrica2Turnos(B684,C684), "")</f>
        <v>0.99999999994179234</v>
      </c>
      <c r="E684" s="478">
        <f t="shared" si="10"/>
        <v>799.00000004650792</v>
      </c>
      <c r="F684" s="479" t="s">
        <v>378</v>
      </c>
      <c r="G684" s="266" t="s">
        <v>1046</v>
      </c>
      <c r="H684" s="479"/>
      <c r="I684" s="480" t="s">
        <v>1129</v>
      </c>
      <c r="J684" s="481" t="s">
        <v>15</v>
      </c>
      <c r="K684" s="482">
        <v>799</v>
      </c>
      <c r="L684" s="495" t="s">
        <v>1130</v>
      </c>
      <c r="M684" s="483" t="str">
        <f>IFERROR(INDEX([1]Produtos!$C:$C,MATCH(L684,[1]Produtos!$B:$B,0)), "-")</f>
        <v>BODY MIST VERDE SUPREMO</v>
      </c>
      <c r="N684" s="511">
        <f>IFERROR(INDEX([1]Produtos!$E:$E,MATCH(L684,[1]Produtos!$B:$B,0)), "-")</f>
        <v>250</v>
      </c>
      <c r="O684" s="483" t="str">
        <f>IFERROR(INDEX([1]Produtos!$F:$F,MATCH(L684,[1]Produtos!$B:$B,0)), "-")</f>
        <v>ml</v>
      </c>
      <c r="P684" s="483" t="str">
        <f>IFERROR(INDEX([1]Produtos!$G:$G,MATCH(L684,[1]Produtos!$B:$B,0)), "-")</f>
        <v>AMEERATI</v>
      </c>
      <c r="Q684" s="483" t="str">
        <f>IFERROR(INDEX([1]Produtos!$H:$H,MATCH(L684,[1]Produtos!$B:$B,0)), "-")</f>
        <v>PERFUMARIA</v>
      </c>
      <c r="R684" s="483" t="str">
        <f>IFERROR(INDEX([1]Produtos!$I:$I,MATCH(L684,[1]Produtos!$B:$B,0)), "-")</f>
        <v>BODY SPLASH</v>
      </c>
      <c r="S684" s="483" t="str">
        <f>IFERROR(INDEX([1]Produtos!$J:$J,MATCH(L684,[1]Produtos!$B:$B,0)), "-")</f>
        <v>LÍQUIDO</v>
      </c>
      <c r="T684" s="484"/>
      <c r="U684" s="270"/>
      <c r="V684" s="270"/>
      <c r="W684" s="270"/>
      <c r="X684" s="270"/>
      <c r="Y684" s="270"/>
      <c r="Z684" s="270"/>
      <c r="AA684" s="270"/>
      <c r="AB684" s="270"/>
      <c r="AC684" s="270"/>
      <c r="AD684" s="270"/>
      <c r="AE684" s="270"/>
      <c r="AF684" s="270"/>
      <c r="AG684" s="270"/>
      <c r="AH684" s="270"/>
      <c r="AI684" s="270"/>
      <c r="AJ684" s="270"/>
      <c r="AK684" s="270"/>
      <c r="AL684" s="270"/>
      <c r="AM684" s="663"/>
      <c r="AN684" s="663"/>
      <c r="AO684" s="708" t="str">
        <f>IF(OR(Table1[[#This Row],[Início Setup Envase]]="",Table1[[#This Row],[Final Setup Envase]]=""),"",Table1[[#This Row],[Final Setup Envase]]-Table1[[#This Row],[Início Setup Envase]])</f>
        <v/>
      </c>
      <c r="AP684" s="663"/>
      <c r="AQ684" s="663"/>
      <c r="AR684" s="270"/>
      <c r="AS684" s="270"/>
      <c r="AT684" s="270"/>
      <c r="AU684" s="270"/>
      <c r="AV684" s="270"/>
      <c r="AW684" s="270"/>
      <c r="AX684" s="270"/>
      <c r="AY684" s="270"/>
      <c r="AZ684" s="270"/>
      <c r="BA684" s="270">
        <f>IF(Table1[[#This Row],[Data de Início]]="","",YEAR(Table1[[#This Row],[Data de Início]]))</f>
        <v>2025</v>
      </c>
      <c r="BB684" s="270">
        <f>IF(Table1[[#This Row],[Data de Início]]="","",MONTH(Table1[[#This Row],[Data de Início]]))</f>
        <v>12</v>
      </c>
      <c r="BC684" s="270"/>
    </row>
    <row r="685" spans="2:55" ht="15" customHeight="1" x14ac:dyDescent="0.25">
      <c r="B685" s="489">
        <v>46002.361111111109</v>
      </c>
      <c r="C685" s="490">
        <v>46002.402777777781</v>
      </c>
      <c r="D685" s="477" cm="1">
        <f t="array" ref="D685">IFERROR(HorasUteisFabrica2Turnos(B685,C685), "")</f>
        <v>1.0000000001164153</v>
      </c>
      <c r="E685" s="478">
        <f t="shared" si="10"/>
        <v>842.99999990186188</v>
      </c>
      <c r="F685" s="479" t="s">
        <v>378</v>
      </c>
      <c r="G685" s="266" t="s">
        <v>1046</v>
      </c>
      <c r="H685" s="479"/>
      <c r="I685" s="480" t="s">
        <v>1134</v>
      </c>
      <c r="J685" s="481" t="s">
        <v>15</v>
      </c>
      <c r="K685" s="482">
        <v>843</v>
      </c>
      <c r="L685" s="495" t="s">
        <v>1133</v>
      </c>
      <c r="M685" s="483" t="str">
        <f>IFERROR(INDEX([1]Produtos!$C:$C,MATCH(L685,[1]Produtos!$B:$B,0)), "-")</f>
        <v>BODY MIST BAUNILHA SELVAGEM</v>
      </c>
      <c r="N685" s="511">
        <f>IFERROR(INDEX([1]Produtos!$E:$E,MATCH(L685,[1]Produtos!$B:$B,0)), "-")</f>
        <v>250</v>
      </c>
      <c r="O685" s="483" t="str">
        <f>IFERROR(INDEX([1]Produtos!$F:$F,MATCH(L685,[1]Produtos!$B:$B,0)), "-")</f>
        <v>ml</v>
      </c>
      <c r="P685" s="483" t="str">
        <f>IFERROR(INDEX([1]Produtos!$G:$G,MATCH(L685,[1]Produtos!$B:$B,0)), "-")</f>
        <v>AMEERATI</v>
      </c>
      <c r="Q685" s="483" t="str">
        <f>IFERROR(INDEX([1]Produtos!$H:$H,MATCH(L685,[1]Produtos!$B:$B,0)), "-")</f>
        <v>PERFUMARIA</v>
      </c>
      <c r="R685" s="483" t="str">
        <f>IFERROR(INDEX([1]Produtos!$I:$I,MATCH(L685,[1]Produtos!$B:$B,0)), "-")</f>
        <v>BODY SPLASH</v>
      </c>
      <c r="S685" s="483" t="str">
        <f>IFERROR(INDEX([1]Produtos!$J:$J,MATCH(L685,[1]Produtos!$B:$B,0)), "-")</f>
        <v>LÍQUIDO</v>
      </c>
      <c r="T685" s="484"/>
      <c r="U685" s="270"/>
      <c r="V685" s="270"/>
      <c r="W685" s="270"/>
      <c r="X685" s="270"/>
      <c r="Y685" s="270"/>
      <c r="Z685" s="270"/>
      <c r="AA685" s="270"/>
      <c r="AB685" s="270"/>
      <c r="AC685" s="270"/>
      <c r="AD685" s="270"/>
      <c r="AE685" s="270"/>
      <c r="AF685" s="270"/>
      <c r="AG685" s="270"/>
      <c r="AH685" s="270"/>
      <c r="AI685" s="270"/>
      <c r="AJ685" s="270"/>
      <c r="AK685" s="270"/>
      <c r="AL685" s="270"/>
      <c r="AM685" s="663"/>
      <c r="AN685" s="663"/>
      <c r="AO685" s="708" t="str">
        <f>IF(OR(Table1[[#This Row],[Início Setup Envase]]="",Table1[[#This Row],[Final Setup Envase]]=""),"",Table1[[#This Row],[Final Setup Envase]]-Table1[[#This Row],[Início Setup Envase]])</f>
        <v/>
      </c>
      <c r="AP685" s="663"/>
      <c r="AQ685" s="663"/>
      <c r="AR685" s="270"/>
      <c r="AS685" s="270"/>
      <c r="AT685" s="270"/>
      <c r="AU685" s="270"/>
      <c r="AV685" s="270"/>
      <c r="AW685" s="270"/>
      <c r="AX685" s="270"/>
      <c r="AY685" s="270"/>
      <c r="AZ685" s="270"/>
      <c r="BA685" s="270">
        <f>IF(Table1[[#This Row],[Data de Início]]="","",YEAR(Table1[[#This Row],[Data de Início]]))</f>
        <v>2025</v>
      </c>
      <c r="BB685" s="270">
        <f>IF(Table1[[#This Row],[Data de Início]]="","",MONTH(Table1[[#This Row],[Data de Início]]))</f>
        <v>12</v>
      </c>
      <c r="BC685" s="270"/>
    </row>
    <row r="686" spans="2:55" x14ac:dyDescent="0.25">
      <c r="B686" s="489">
        <v>46002.402777777781</v>
      </c>
      <c r="C686" s="490">
        <v>46002.444444444445</v>
      </c>
      <c r="D686" s="477" cm="1">
        <f t="array" ref="D686">IFERROR(HorasUteisFabrica2Turnos(B686,C686), "")</f>
        <v>0.99999999994179234</v>
      </c>
      <c r="E686" s="478">
        <f t="shared" si="10"/>
        <v>820.00000004773028</v>
      </c>
      <c r="F686" s="479" t="s">
        <v>378</v>
      </c>
      <c r="G686" s="266" t="s">
        <v>1046</v>
      </c>
      <c r="H686" s="479"/>
      <c r="I686" s="480" t="s">
        <v>1132</v>
      </c>
      <c r="J686" s="481" t="s">
        <v>15</v>
      </c>
      <c r="K686" s="482">
        <v>820</v>
      </c>
      <c r="L686" s="495" t="s">
        <v>1131</v>
      </c>
      <c r="M686" s="483" t="str">
        <f>IFERROR(INDEX([1]Produtos!$C:$C,MATCH(L686,[1]Produtos!$B:$B,0)), "-")</f>
        <v>BODY MIST FRESCOR LICHIA</v>
      </c>
      <c r="N686" s="511">
        <f>IFERROR(INDEX([1]Produtos!$E:$E,MATCH(L686,[1]Produtos!$B:$B,0)), "-")</f>
        <v>250</v>
      </c>
      <c r="O686" s="483" t="str">
        <f>IFERROR(INDEX([1]Produtos!$F:$F,MATCH(L686,[1]Produtos!$B:$B,0)), "-")</f>
        <v>ml</v>
      </c>
      <c r="P686" s="483" t="str">
        <f>IFERROR(INDEX([1]Produtos!$G:$G,MATCH(L686,[1]Produtos!$B:$B,0)), "-")</f>
        <v>AMEERATI</v>
      </c>
      <c r="Q686" s="483" t="str">
        <f>IFERROR(INDEX([1]Produtos!$H:$H,MATCH(L686,[1]Produtos!$B:$B,0)), "-")</f>
        <v>PERFUMARIA</v>
      </c>
      <c r="R686" s="483" t="str">
        <f>IFERROR(INDEX([1]Produtos!$I:$I,MATCH(L686,[1]Produtos!$B:$B,0)), "-")</f>
        <v>BODY SPLASH</v>
      </c>
      <c r="S686" s="483" t="str">
        <f>IFERROR(INDEX([1]Produtos!$J:$J,MATCH(L686,[1]Produtos!$B:$B,0)), "-")</f>
        <v>LÍQUIDO</v>
      </c>
      <c r="T686" s="484"/>
      <c r="U686" s="270"/>
      <c r="V686" s="270"/>
      <c r="W686" s="270"/>
      <c r="X686" s="270"/>
      <c r="Y686" s="270"/>
      <c r="Z686" s="270"/>
      <c r="AA686" s="270"/>
      <c r="AB686" s="270"/>
      <c r="AC686" s="270"/>
      <c r="AD686" s="270"/>
      <c r="AE686" s="270"/>
      <c r="AF686" s="270"/>
      <c r="AG686" s="270"/>
      <c r="AH686" s="270"/>
      <c r="AI686" s="270"/>
      <c r="AJ686" s="270"/>
      <c r="AK686" s="270"/>
      <c r="AL686" s="270"/>
      <c r="AM686" s="663"/>
      <c r="AN686" s="663"/>
      <c r="AO686" s="708" t="str">
        <f>IF(OR(Table1[[#This Row],[Início Setup Envase]]="",Table1[[#This Row],[Final Setup Envase]]=""),"",Table1[[#This Row],[Final Setup Envase]]-Table1[[#This Row],[Início Setup Envase]])</f>
        <v/>
      </c>
      <c r="AP686" s="663"/>
      <c r="AQ686" s="663"/>
      <c r="AR686" s="270"/>
      <c r="AS686" s="270"/>
      <c r="AT686" s="270"/>
      <c r="AU686" s="270"/>
      <c r="AV686" s="270"/>
      <c r="AW686" s="270"/>
      <c r="AX686" s="270"/>
      <c r="AY686" s="270"/>
      <c r="AZ686" s="270"/>
      <c r="BA686" s="270">
        <f>IF(Table1[[#This Row],[Data de Início]]="","",YEAR(Table1[[#This Row],[Data de Início]]))</f>
        <v>2025</v>
      </c>
      <c r="BB686" s="270">
        <f>IF(Table1[[#This Row],[Data de Início]]="","",MONTH(Table1[[#This Row],[Data de Início]]))</f>
        <v>12</v>
      </c>
      <c r="BC686" s="270"/>
    </row>
    <row r="687" spans="2:55" x14ac:dyDescent="0.25">
      <c r="B687" s="489">
        <v>46002.486111111109</v>
      </c>
      <c r="C687" s="490">
        <v>46002.620138888888</v>
      </c>
      <c r="D687" s="477" cm="1">
        <f t="array" ref="D687">IFERROR(HorasUteisFabrica2Turnos(B687,C687), "")</f>
        <v>2.2166666666744277</v>
      </c>
      <c r="E687" s="478">
        <f t="shared" si="10"/>
        <v>1147.6691729283125</v>
      </c>
      <c r="F687" s="479" t="s">
        <v>377</v>
      </c>
      <c r="G687" s="266" t="s">
        <v>1103</v>
      </c>
      <c r="H687" s="479"/>
      <c r="I687" s="480" t="s">
        <v>1137</v>
      </c>
      <c r="J687" s="481" t="s">
        <v>15</v>
      </c>
      <c r="K687" s="482">
        <v>2544</v>
      </c>
      <c r="L687" s="495" t="s">
        <v>276</v>
      </c>
      <c r="M687" s="483" t="str">
        <f>IFERROR(INDEX([1]Produtos!$C:$C,MATCH(L687,[1]Produtos!$B:$B,0)), "-")</f>
        <v>CREME HIDRATANTE CORPORAL DEUSA DO NILO</v>
      </c>
      <c r="N687" s="511">
        <f>IFERROR(INDEX([1]Produtos!$E:$E,MATCH(L687,[1]Produtos!$B:$B,0)), "-")</f>
        <v>200</v>
      </c>
      <c r="O687" s="483" t="str">
        <f>IFERROR(INDEX([1]Produtos!$F:$F,MATCH(L687,[1]Produtos!$B:$B,0)), "-")</f>
        <v>ml</v>
      </c>
      <c r="P687" s="483" t="str">
        <f>IFERROR(INDEX([1]Produtos!$G:$G,MATCH(L687,[1]Produtos!$B:$B,0)), "-")</f>
        <v>MISS RÔSE</v>
      </c>
      <c r="Q687" s="483" t="str">
        <f>IFERROR(INDEX([1]Produtos!$H:$H,MATCH(L687,[1]Produtos!$B:$B,0)), "-")</f>
        <v>CORPORAL</v>
      </c>
      <c r="R687" s="483" t="str">
        <f>IFERROR(INDEX([1]Produtos!$I:$I,MATCH(L687,[1]Produtos!$B:$B,0)), "-")</f>
        <v>CREME HIDRATANTE</v>
      </c>
      <c r="S687" s="483" t="str">
        <f>IFERROR(INDEX([1]Produtos!$J:$J,MATCH(L687,[1]Produtos!$B:$B,0)), "-")</f>
        <v>CREMOSO</v>
      </c>
      <c r="T687" s="484"/>
      <c r="U687" s="270"/>
      <c r="V687" s="270"/>
      <c r="W687" s="270"/>
      <c r="X687" s="270"/>
      <c r="Y687" s="270"/>
      <c r="Z687" s="270"/>
      <c r="AA687" s="270"/>
      <c r="AB687" s="270"/>
      <c r="AC687" s="270"/>
      <c r="AD687" s="270"/>
      <c r="AE687" s="270"/>
      <c r="AF687" s="270"/>
      <c r="AG687" s="270"/>
      <c r="AH687" s="270"/>
      <c r="AI687" s="270"/>
      <c r="AJ687" s="270"/>
      <c r="AK687" s="270"/>
      <c r="AL687" s="270"/>
      <c r="AM687" s="663"/>
      <c r="AN687" s="663"/>
      <c r="AO687" s="708" t="str">
        <f>IF(OR(Table1[[#This Row],[Início Setup Envase]]="",Table1[[#This Row],[Final Setup Envase]]=""),"",Table1[[#This Row],[Final Setup Envase]]-Table1[[#This Row],[Início Setup Envase]])</f>
        <v/>
      </c>
      <c r="AP687" s="663"/>
      <c r="AQ687" s="663"/>
      <c r="AR687" s="270"/>
      <c r="AS687" s="270"/>
      <c r="AT687" s="270"/>
      <c r="AU687" s="270"/>
      <c r="AV687" s="270"/>
      <c r="AW687" s="270"/>
      <c r="AX687" s="270"/>
      <c r="AY687" s="270"/>
      <c r="AZ687" s="270"/>
      <c r="BA687" s="270">
        <f>IF(Table1[[#This Row],[Data de Início]]="","",YEAR(Table1[[#This Row],[Data de Início]]))</f>
        <v>2025</v>
      </c>
      <c r="BB687" s="270">
        <f>IF(Table1[[#This Row],[Data de Início]]="","",MONTH(Table1[[#This Row],[Data de Início]]))</f>
        <v>12</v>
      </c>
      <c r="BC687" s="270"/>
    </row>
    <row r="688" spans="2:55" x14ac:dyDescent="0.25">
      <c r="B688" s="489">
        <v>46002.620138888888</v>
      </c>
      <c r="C688" s="490">
        <v>46002.866666666669</v>
      </c>
      <c r="D688" s="477" cm="1">
        <f t="array" ref="D688">IFERROR(HorasUteisFabrica2Turnos(B688,C688), "")</f>
        <v>5.9166666667442769</v>
      </c>
      <c r="E688" s="478">
        <f t="shared" si="10"/>
        <v>429.97183098027546</v>
      </c>
      <c r="F688" s="479" t="s">
        <v>377</v>
      </c>
      <c r="G688" s="266" t="s">
        <v>1103</v>
      </c>
      <c r="H688" s="479"/>
      <c r="I688" s="480" t="s">
        <v>1142</v>
      </c>
      <c r="J688" s="481" t="s">
        <v>15</v>
      </c>
      <c r="K688" s="482">
        <v>2544</v>
      </c>
      <c r="L688" s="495" t="s">
        <v>276</v>
      </c>
      <c r="M688" s="483" t="str">
        <f>IFERROR(INDEX([1]Produtos!$C:$C,MATCH(L688,[1]Produtos!$B:$B,0)), "-")</f>
        <v>CREME HIDRATANTE CORPORAL DEUSA DO NILO</v>
      </c>
      <c r="N688" s="511">
        <f>IFERROR(INDEX([1]Produtos!$E:$E,MATCH(L688,[1]Produtos!$B:$B,0)), "-")</f>
        <v>200</v>
      </c>
      <c r="O688" s="483" t="str">
        <f>IFERROR(INDEX([1]Produtos!$F:$F,MATCH(L688,[1]Produtos!$B:$B,0)), "-")</f>
        <v>ml</v>
      </c>
      <c r="P688" s="483" t="str">
        <f>IFERROR(INDEX([1]Produtos!$G:$G,MATCH(L688,[1]Produtos!$B:$B,0)), "-")</f>
        <v>MISS RÔSE</v>
      </c>
      <c r="Q688" s="483" t="str">
        <f>IFERROR(INDEX([1]Produtos!$H:$H,MATCH(L688,[1]Produtos!$B:$B,0)), "-")</f>
        <v>CORPORAL</v>
      </c>
      <c r="R688" s="483" t="str">
        <f>IFERROR(INDEX([1]Produtos!$I:$I,MATCH(L688,[1]Produtos!$B:$B,0)), "-")</f>
        <v>CREME HIDRATANTE</v>
      </c>
      <c r="S688" s="483" t="str">
        <f>IFERROR(INDEX([1]Produtos!$J:$J,MATCH(L688,[1]Produtos!$B:$B,0)), "-")</f>
        <v>CREMOSO</v>
      </c>
      <c r="T688" s="484"/>
      <c r="U688" s="270"/>
      <c r="V688" s="270"/>
      <c r="W688" s="270"/>
      <c r="X688" s="270"/>
      <c r="Y688" s="270"/>
      <c r="Z688" s="270"/>
      <c r="AA688" s="270"/>
      <c r="AB688" s="270"/>
      <c r="AC688" s="270"/>
      <c r="AD688" s="270"/>
      <c r="AE688" s="270"/>
      <c r="AF688" s="270"/>
      <c r="AG688" s="270"/>
      <c r="AH688" s="270"/>
      <c r="AI688" s="270"/>
      <c r="AJ688" s="270"/>
      <c r="AK688" s="270"/>
      <c r="AL688" s="270"/>
      <c r="AM688" s="663"/>
      <c r="AN688" s="663"/>
      <c r="AO688" s="708" t="str">
        <f>IF(OR(Table1[[#This Row],[Início Setup Envase]]="",Table1[[#This Row],[Final Setup Envase]]=""),"",Table1[[#This Row],[Final Setup Envase]]-Table1[[#This Row],[Início Setup Envase]])</f>
        <v/>
      </c>
      <c r="AP688" s="663"/>
      <c r="AQ688" s="663"/>
      <c r="AR688" s="270"/>
      <c r="AS688" s="270"/>
      <c r="AT688" s="270"/>
      <c r="AU688" s="270"/>
      <c r="AV688" s="270"/>
      <c r="AW688" s="270"/>
      <c r="AX688" s="270"/>
      <c r="AY688" s="270"/>
      <c r="AZ688" s="270"/>
      <c r="BA688" s="270">
        <f>IF(Table1[[#This Row],[Data de Início]]="","",YEAR(Table1[[#This Row],[Data de Início]]))</f>
        <v>2025</v>
      </c>
      <c r="BB688" s="270">
        <f>IF(Table1[[#This Row],[Data de Início]]="","",MONTH(Table1[[#This Row],[Data de Início]]))</f>
        <v>12</v>
      </c>
      <c r="BC688" s="270"/>
    </row>
    <row r="689" spans="2:55" x14ac:dyDescent="0.25">
      <c r="B689" s="489">
        <v>46002.747916666667</v>
      </c>
      <c r="C689" s="490">
        <v>46003.324305555558</v>
      </c>
      <c r="D689" s="477" cm="1">
        <f t="array" ref="D689">IFERROR(HorasUteisFabrica2Turnos(B689,C689), "")</f>
        <v>4.8333333333721384</v>
      </c>
      <c r="E689" s="478">
        <f t="shared" si="10"/>
        <v>844.13793102770546</v>
      </c>
      <c r="F689" s="479" t="s">
        <v>378</v>
      </c>
      <c r="G689" s="266" t="s">
        <v>1076</v>
      </c>
      <c r="H689" s="479"/>
      <c r="I689" s="480" t="s">
        <v>1143</v>
      </c>
      <c r="J689" s="481" t="s">
        <v>15</v>
      </c>
      <c r="K689" s="482">
        <v>4080</v>
      </c>
      <c r="L689" s="495" t="s">
        <v>1123</v>
      </c>
      <c r="M689" s="483" t="str">
        <f>IFERROR(INDEX([1]Produtos!$C:$C,MATCH(L689,[1]Produtos!$B:$B,0)), "-")</f>
        <v>BODY SPLASH LUNAR 120ml</v>
      </c>
      <c r="N689" s="511">
        <f>IFERROR(INDEX([1]Produtos!$E:$E,MATCH(L689,[1]Produtos!$B:$B,0)), "-")</f>
        <v>120</v>
      </c>
      <c r="O689" s="483" t="str">
        <f>IFERROR(INDEX([1]Produtos!$F:$F,MATCH(L689,[1]Produtos!$B:$B,0)), "-")</f>
        <v>ml</v>
      </c>
      <c r="P689" s="483" t="str">
        <f>IFERROR(INDEX([1]Produtos!$G:$G,MATCH(L689,[1]Produtos!$B:$B,0)), "-")</f>
        <v>BRIA BEAUTY</v>
      </c>
      <c r="Q689" s="483" t="str">
        <f>IFERROR(INDEX([1]Produtos!$H:$H,MATCH(L689,[1]Produtos!$B:$B,0)), "-")</f>
        <v>PERFUMARIA</v>
      </c>
      <c r="R689" s="483" t="str">
        <f>IFERROR(INDEX([1]Produtos!$I:$I,MATCH(L689,[1]Produtos!$B:$B,0)), "-")</f>
        <v>BODY SPLASH</v>
      </c>
      <c r="S689" s="483" t="str">
        <f>IFERROR(INDEX([1]Produtos!$J:$J,MATCH(L689,[1]Produtos!$B:$B,0)), "-")</f>
        <v>LÍQUIDO</v>
      </c>
      <c r="T689" s="484"/>
      <c r="U689" s="270"/>
      <c r="V689" s="270"/>
      <c r="W689" s="270"/>
      <c r="X689" s="270"/>
      <c r="Y689" s="270"/>
      <c r="Z689" s="270"/>
      <c r="AA689" s="270"/>
      <c r="AB689" s="270"/>
      <c r="AC689" s="270"/>
      <c r="AD689" s="270"/>
      <c r="AE689" s="270"/>
      <c r="AF689" s="270"/>
      <c r="AG689" s="270"/>
      <c r="AH689" s="270"/>
      <c r="AI689" s="270"/>
      <c r="AJ689" s="270"/>
      <c r="AK689" s="270"/>
      <c r="AL689" s="270"/>
      <c r="AM689" s="663"/>
      <c r="AN689" s="663"/>
      <c r="AO689" s="708" t="str">
        <f>IF(OR(Table1[[#This Row],[Início Setup Envase]]="",Table1[[#This Row],[Final Setup Envase]]=""),"",Table1[[#This Row],[Final Setup Envase]]-Table1[[#This Row],[Início Setup Envase]])</f>
        <v/>
      </c>
      <c r="AP689" s="663"/>
      <c r="AQ689" s="663"/>
      <c r="AR689" s="270"/>
      <c r="AS689" s="270"/>
      <c r="AT689" s="270"/>
      <c r="AU689" s="270"/>
      <c r="AV689" s="270"/>
      <c r="AW689" s="270"/>
      <c r="AX689" s="270"/>
      <c r="AY689" s="270"/>
      <c r="AZ689" s="270"/>
      <c r="BA689" s="270">
        <f>IF(Table1[[#This Row],[Data de Início]]="","",YEAR(Table1[[#This Row],[Data de Início]]))</f>
        <v>2025</v>
      </c>
      <c r="BB689" s="270">
        <f>IF(Table1[[#This Row],[Data de Início]]="","",MONTH(Table1[[#This Row],[Data de Início]]))</f>
        <v>12</v>
      </c>
      <c r="BC689" s="270"/>
    </row>
    <row r="690" spans="2:55" x14ac:dyDescent="0.25">
      <c r="B690" s="489">
        <v>46002.866666666669</v>
      </c>
      <c r="C690" s="490">
        <v>46003.326388888891</v>
      </c>
      <c r="D690" s="477" cm="1">
        <f t="array" ref="D690">IFERROR(HorasUteisFabrica2Turnos(B690,C690), "")</f>
        <v>2.0333333333255723</v>
      </c>
      <c r="E690" s="478">
        <f t="shared" si="10"/>
        <v>779.01639344559635</v>
      </c>
      <c r="F690" s="479" t="s">
        <v>377</v>
      </c>
      <c r="G690" s="266" t="s">
        <v>1103</v>
      </c>
      <c r="H690" s="479"/>
      <c r="I690" s="480" t="s">
        <v>1141</v>
      </c>
      <c r="J690" s="481" t="s">
        <v>15</v>
      </c>
      <c r="K690" s="482">
        <v>1584</v>
      </c>
      <c r="L690" s="495" t="s">
        <v>276</v>
      </c>
      <c r="M690" s="483" t="str">
        <f>IFERROR(INDEX([1]Produtos!$C:$C,MATCH(L690,[1]Produtos!$B:$B,0)), "-")</f>
        <v>CREME HIDRATANTE CORPORAL DEUSA DO NILO</v>
      </c>
      <c r="N690" s="511">
        <f>IFERROR(INDEX([1]Produtos!$E:$E,MATCH(L690,[1]Produtos!$B:$B,0)), "-")</f>
        <v>200</v>
      </c>
      <c r="O690" s="483" t="str">
        <f>IFERROR(INDEX([1]Produtos!$F:$F,MATCH(L690,[1]Produtos!$B:$B,0)), "-")</f>
        <v>ml</v>
      </c>
      <c r="P690" s="483" t="str">
        <f>IFERROR(INDEX([1]Produtos!$G:$G,MATCH(L690,[1]Produtos!$B:$B,0)), "-")</f>
        <v>MISS RÔSE</v>
      </c>
      <c r="Q690" s="483" t="str">
        <f>IFERROR(INDEX([1]Produtos!$H:$H,MATCH(L690,[1]Produtos!$B:$B,0)), "-")</f>
        <v>CORPORAL</v>
      </c>
      <c r="R690" s="483" t="str">
        <f>IFERROR(INDEX([1]Produtos!$I:$I,MATCH(L690,[1]Produtos!$B:$B,0)), "-")</f>
        <v>CREME HIDRATANTE</v>
      </c>
      <c r="S690" s="483" t="str">
        <f>IFERROR(INDEX([1]Produtos!$J:$J,MATCH(L690,[1]Produtos!$B:$B,0)), "-")</f>
        <v>CREMOSO</v>
      </c>
      <c r="T690" s="484"/>
      <c r="U690" s="270"/>
      <c r="V690" s="270"/>
      <c r="W690" s="270"/>
      <c r="X690" s="270"/>
      <c r="Y690" s="270"/>
      <c r="Z690" s="270"/>
      <c r="AA690" s="270"/>
      <c r="AB690" s="270"/>
      <c r="AC690" s="270"/>
      <c r="AD690" s="270"/>
      <c r="AE690" s="270"/>
      <c r="AF690" s="270"/>
      <c r="AG690" s="270"/>
      <c r="AH690" s="270"/>
      <c r="AI690" s="270"/>
      <c r="AJ690" s="270"/>
      <c r="AK690" s="270"/>
      <c r="AL690" s="270"/>
      <c r="AM690" s="663"/>
      <c r="AN690" s="663"/>
      <c r="AO690" s="708" t="str">
        <f>IF(OR(Table1[[#This Row],[Início Setup Envase]]="",Table1[[#This Row],[Final Setup Envase]]=""),"",Table1[[#This Row],[Final Setup Envase]]-Table1[[#This Row],[Início Setup Envase]])</f>
        <v/>
      </c>
      <c r="AP690" s="663"/>
      <c r="AQ690" s="663"/>
      <c r="AR690" s="270"/>
      <c r="AS690" s="270"/>
      <c r="AT690" s="270"/>
      <c r="AU690" s="270"/>
      <c r="AV690" s="270"/>
      <c r="AW690" s="270"/>
      <c r="AX690" s="270"/>
      <c r="AY690" s="270"/>
      <c r="AZ690" s="270"/>
      <c r="BA690" s="270">
        <f>IF(Table1[[#This Row],[Data de Início]]="","",YEAR(Table1[[#This Row],[Data de Início]]))</f>
        <v>2025</v>
      </c>
      <c r="BB690" s="270">
        <f>IF(Table1[[#This Row],[Data de Início]]="","",MONTH(Table1[[#This Row],[Data de Início]]))</f>
        <v>12</v>
      </c>
      <c r="BC690" s="270"/>
    </row>
    <row r="691" spans="2:55" ht="15" customHeight="1" x14ac:dyDescent="0.25">
      <c r="B691" s="489">
        <v>46003.323611111111</v>
      </c>
      <c r="C691" s="490">
        <v>46003.548611111109</v>
      </c>
      <c r="D691" s="477" cm="1">
        <f t="array" ref="D691">IFERROR(HorasUteisFabrica2Turnos(B691,C691), "")</f>
        <v>4.3999999999650754</v>
      </c>
      <c r="E691" s="478">
        <f t="shared" si="10"/>
        <v>927.27272728008745</v>
      </c>
      <c r="F691" s="479" t="s">
        <v>378</v>
      </c>
      <c r="G691" s="266" t="s">
        <v>1076</v>
      </c>
      <c r="H691" s="479"/>
      <c r="I691" s="480" t="s">
        <v>1140</v>
      </c>
      <c r="J691" s="481" t="s">
        <v>15</v>
      </c>
      <c r="K691" s="482">
        <v>4080</v>
      </c>
      <c r="L691" s="495" t="s">
        <v>1139</v>
      </c>
      <c r="M691" s="483" t="str">
        <f>IFERROR(INDEX([1]Produtos!$C:$C,MATCH(L691,[1]Produtos!$B:$B,0)), "-")</f>
        <v>BODY SPLASH ZAHRA 120ml</v>
      </c>
      <c r="N691" s="511">
        <f>IFERROR(INDEX([1]Produtos!$E:$E,MATCH(L691,[1]Produtos!$B:$B,0)), "-")</f>
        <v>120</v>
      </c>
      <c r="O691" s="483" t="str">
        <f>IFERROR(INDEX([1]Produtos!$F:$F,MATCH(L691,[1]Produtos!$B:$B,0)), "-")</f>
        <v>ml</v>
      </c>
      <c r="P691" s="483" t="str">
        <f>IFERROR(INDEX([1]Produtos!$G:$G,MATCH(L691,[1]Produtos!$B:$B,0)), "-")</f>
        <v>BRIA BEAUTY</v>
      </c>
      <c r="Q691" s="483" t="str">
        <f>IFERROR(INDEX([1]Produtos!$H:$H,MATCH(L691,[1]Produtos!$B:$B,0)), "-")</f>
        <v>PERFUMARIA</v>
      </c>
      <c r="R691" s="483" t="str">
        <f>IFERROR(INDEX([1]Produtos!$I:$I,MATCH(L691,[1]Produtos!$B:$B,0)), "-")</f>
        <v>BODY SPLASH</v>
      </c>
      <c r="S691" s="483" t="str">
        <f>IFERROR(INDEX([1]Produtos!$J:$J,MATCH(L691,[1]Produtos!$B:$B,0)), "-")</f>
        <v>LÍQUIDO</v>
      </c>
      <c r="T691" s="484"/>
      <c r="U691" s="270"/>
      <c r="V691" s="270"/>
      <c r="W691" s="270"/>
      <c r="X691" s="270"/>
      <c r="Y691" s="270"/>
      <c r="Z691" s="270"/>
      <c r="AA691" s="270"/>
      <c r="AB691" s="270"/>
      <c r="AC691" s="270"/>
      <c r="AD691" s="270"/>
      <c r="AE691" s="270"/>
      <c r="AF691" s="270"/>
      <c r="AG691" s="270"/>
      <c r="AH691" s="270"/>
      <c r="AI691" s="270"/>
      <c r="AJ691" s="270"/>
      <c r="AK691" s="270"/>
      <c r="AL691" s="270"/>
      <c r="AM691" s="663"/>
      <c r="AN691" s="663"/>
      <c r="AO691" s="708" t="str">
        <f>IF(OR(Table1[[#This Row],[Início Setup Envase]]="",Table1[[#This Row],[Final Setup Envase]]=""),"",Table1[[#This Row],[Final Setup Envase]]-Table1[[#This Row],[Início Setup Envase]])</f>
        <v/>
      </c>
      <c r="AP691" s="663"/>
      <c r="AQ691" s="663"/>
      <c r="AR691" s="270"/>
      <c r="AS691" s="270"/>
      <c r="AT691" s="270"/>
      <c r="AU691" s="270"/>
      <c r="AV691" s="270"/>
      <c r="AW691" s="270"/>
      <c r="AX691" s="270"/>
      <c r="AY691" s="270"/>
      <c r="AZ691" s="270"/>
      <c r="BA691" s="270">
        <f>IF(Table1[[#This Row],[Data de Início]]="","",YEAR(Table1[[#This Row],[Data de Início]]))</f>
        <v>2025</v>
      </c>
      <c r="BB691" s="270">
        <f>IF(Table1[[#This Row],[Data de Início]]="","",MONTH(Table1[[#This Row],[Data de Início]]))</f>
        <v>12</v>
      </c>
      <c r="BC691" s="270"/>
    </row>
    <row r="692" spans="2:55" ht="15" customHeight="1" x14ac:dyDescent="0.25">
      <c r="B692" s="489">
        <v>46003.400694444441</v>
      </c>
      <c r="C692" s="490">
        <v>46003.770833333336</v>
      </c>
      <c r="D692" s="477" cm="1">
        <f t="array" ref="D692">IFERROR(HorasUteisFabrica2Turnos(B692,C692), "")</f>
        <v>7.8833333334769122</v>
      </c>
      <c r="E692" s="478">
        <f t="shared" si="10"/>
        <v>517.54756870093331</v>
      </c>
      <c r="F692" s="479" t="s">
        <v>378</v>
      </c>
      <c r="G692" s="266" t="s">
        <v>1076</v>
      </c>
      <c r="H692" s="479"/>
      <c r="I692" s="480" t="s">
        <v>1145</v>
      </c>
      <c r="J692" s="481" t="s">
        <v>15</v>
      </c>
      <c r="K692" s="482">
        <v>4080</v>
      </c>
      <c r="L692" s="495" t="s">
        <v>1139</v>
      </c>
      <c r="M692" s="483" t="str">
        <f>IFERROR(INDEX([1]Produtos!$C:$C,MATCH(L692,[1]Produtos!$B:$B,0)), "-")</f>
        <v>BODY SPLASH ZAHRA 120ml</v>
      </c>
      <c r="N692" s="511">
        <f>IFERROR(INDEX([1]Produtos!$E:$E,MATCH(L692,[1]Produtos!$B:$B,0)), "-")</f>
        <v>120</v>
      </c>
      <c r="O692" s="483" t="str">
        <f>IFERROR(INDEX([1]Produtos!$F:$F,MATCH(L692,[1]Produtos!$B:$B,0)), "-")</f>
        <v>ml</v>
      </c>
      <c r="P692" s="483" t="str">
        <f>IFERROR(INDEX([1]Produtos!$G:$G,MATCH(L692,[1]Produtos!$B:$B,0)), "-")</f>
        <v>BRIA BEAUTY</v>
      </c>
      <c r="Q692" s="483" t="str">
        <f>IFERROR(INDEX([1]Produtos!$H:$H,MATCH(L692,[1]Produtos!$B:$B,0)), "-")</f>
        <v>PERFUMARIA</v>
      </c>
      <c r="R692" s="483" t="str">
        <f>IFERROR(INDEX([1]Produtos!$I:$I,MATCH(L692,[1]Produtos!$B:$B,0)), "-")</f>
        <v>BODY SPLASH</v>
      </c>
      <c r="S692" s="483" t="str">
        <f>IFERROR(INDEX([1]Produtos!$J:$J,MATCH(L692,[1]Produtos!$B:$B,0)), "-")</f>
        <v>LÍQUIDO</v>
      </c>
      <c r="T692" s="484"/>
      <c r="U692" s="270"/>
      <c r="V692" s="270"/>
      <c r="W692" s="270"/>
      <c r="X692" s="270"/>
      <c r="Y692" s="270"/>
      <c r="Z692" s="270"/>
      <c r="AA692" s="270"/>
      <c r="AB692" s="270"/>
      <c r="AC692" s="270"/>
      <c r="AD692" s="270"/>
      <c r="AE692" s="270"/>
      <c r="AF692" s="270"/>
      <c r="AG692" s="270"/>
      <c r="AH692" s="270"/>
      <c r="AI692" s="270"/>
      <c r="AJ692" s="270"/>
      <c r="AK692" s="270"/>
      <c r="AL692" s="270"/>
      <c r="AM692" s="663"/>
      <c r="AN692" s="663"/>
      <c r="AO692" s="708" t="str">
        <f>IF(OR(Table1[[#This Row],[Início Setup Envase]]="",Table1[[#This Row],[Final Setup Envase]]=""),"",Table1[[#This Row],[Final Setup Envase]]-Table1[[#This Row],[Início Setup Envase]])</f>
        <v/>
      </c>
      <c r="AP692" s="663"/>
      <c r="AQ692" s="663"/>
      <c r="AR692" s="270"/>
      <c r="AS692" s="270"/>
      <c r="AT692" s="270"/>
      <c r="AU692" s="270"/>
      <c r="AV692" s="270"/>
      <c r="AW692" s="270"/>
      <c r="AX692" s="270"/>
      <c r="AY692" s="270"/>
      <c r="AZ692" s="270"/>
      <c r="BA692" s="270">
        <f>IF(Table1[[#This Row],[Data de Início]]="","",YEAR(Table1[[#This Row],[Data de Início]]))</f>
        <v>2025</v>
      </c>
      <c r="BB692" s="270">
        <f>IF(Table1[[#This Row],[Data de Início]]="","",MONTH(Table1[[#This Row],[Data de Início]]))</f>
        <v>12</v>
      </c>
      <c r="BC692" s="270"/>
    </row>
    <row r="693" spans="2:55" ht="15" customHeight="1" x14ac:dyDescent="0.25">
      <c r="B693" s="489">
        <v>46003.548611111109</v>
      </c>
      <c r="C693" s="490">
        <v>46003.833333333336</v>
      </c>
      <c r="D693" s="477" cm="1">
        <f t="array" ref="D693">IFERROR(HorasUteisFabrica2Turnos(B693,C693), "")</f>
        <v>6.8333333334303461</v>
      </c>
      <c r="E693" s="478">
        <f t="shared" si="10"/>
        <v>597.07317072323065</v>
      </c>
      <c r="F693" s="479" t="s">
        <v>378</v>
      </c>
      <c r="G693" s="266" t="s">
        <v>1076</v>
      </c>
      <c r="H693" s="479"/>
      <c r="I693" s="480" t="s">
        <v>1147</v>
      </c>
      <c r="J693" s="481" t="s">
        <v>15</v>
      </c>
      <c r="K693" s="482">
        <v>4080</v>
      </c>
      <c r="L693" s="495" t="s">
        <v>1139</v>
      </c>
      <c r="M693" s="483" t="str">
        <f>IFERROR(INDEX([1]Produtos!$C:$C,MATCH(L693,[1]Produtos!$B:$B,0)), "-")</f>
        <v>BODY SPLASH ZAHRA 120ml</v>
      </c>
      <c r="N693" s="511">
        <f>IFERROR(INDEX([1]Produtos!$E:$E,MATCH(L693,[1]Produtos!$B:$B,0)), "-")</f>
        <v>120</v>
      </c>
      <c r="O693" s="483" t="str">
        <f>IFERROR(INDEX([1]Produtos!$F:$F,MATCH(L693,[1]Produtos!$B:$B,0)), "-")</f>
        <v>ml</v>
      </c>
      <c r="P693" s="483" t="str">
        <f>IFERROR(INDEX([1]Produtos!$G:$G,MATCH(L693,[1]Produtos!$B:$B,0)), "-")</f>
        <v>BRIA BEAUTY</v>
      </c>
      <c r="Q693" s="483" t="str">
        <f>IFERROR(INDEX([1]Produtos!$H:$H,MATCH(L693,[1]Produtos!$B:$B,0)), "-")</f>
        <v>PERFUMARIA</v>
      </c>
      <c r="R693" s="483" t="str">
        <f>IFERROR(INDEX([1]Produtos!$I:$I,MATCH(L693,[1]Produtos!$B:$B,0)), "-")</f>
        <v>BODY SPLASH</v>
      </c>
      <c r="S693" s="483" t="str">
        <f>IFERROR(INDEX([1]Produtos!$J:$J,MATCH(L693,[1]Produtos!$B:$B,0)), "-")</f>
        <v>LÍQUIDO</v>
      </c>
      <c r="T693" s="484"/>
      <c r="U693" s="270"/>
      <c r="V693" s="270"/>
      <c r="W693" s="270"/>
      <c r="X693" s="270"/>
      <c r="Y693" s="270"/>
      <c r="Z693" s="270"/>
      <c r="AA693" s="270"/>
      <c r="AB693" s="270"/>
      <c r="AC693" s="270"/>
      <c r="AD693" s="270"/>
      <c r="AE693" s="270"/>
      <c r="AF693" s="270"/>
      <c r="AG693" s="270"/>
      <c r="AH693" s="270"/>
      <c r="AI693" s="270"/>
      <c r="AJ693" s="270"/>
      <c r="AK693" s="270"/>
      <c r="AL693" s="270"/>
      <c r="AM693" s="663"/>
      <c r="AN693" s="663"/>
      <c r="AO693" s="708" t="str">
        <f>IF(OR(Table1[[#This Row],[Início Setup Envase]]="",Table1[[#This Row],[Final Setup Envase]]=""),"",Table1[[#This Row],[Final Setup Envase]]-Table1[[#This Row],[Início Setup Envase]])</f>
        <v/>
      </c>
      <c r="AP693" s="663"/>
      <c r="AQ693" s="663"/>
      <c r="AR693" s="270"/>
      <c r="AS693" s="270"/>
      <c r="AT693" s="270"/>
      <c r="AU693" s="270"/>
      <c r="AV693" s="270"/>
      <c r="AW693" s="270"/>
      <c r="AX693" s="270"/>
      <c r="AY693" s="270"/>
      <c r="AZ693" s="270"/>
      <c r="BA693" s="270">
        <f>IF(Table1[[#This Row],[Data de Início]]="","",YEAR(Table1[[#This Row],[Data de Início]]))</f>
        <v>2025</v>
      </c>
      <c r="BB693" s="270">
        <f>IF(Table1[[#This Row],[Data de Início]]="","",MONTH(Table1[[#This Row],[Data de Início]]))</f>
        <v>12</v>
      </c>
      <c r="BC693" s="270"/>
    </row>
    <row r="694" spans="2:55" ht="15" customHeight="1" x14ac:dyDescent="0.25">
      <c r="B694" s="489">
        <v>46003.625</v>
      </c>
      <c r="C694" s="490">
        <v>46008.70416666667</v>
      </c>
      <c r="D694" s="477" cm="1">
        <f t="array" ref="D694">IFERROR(HorasUteisFabrica2Turnos(B694,C694), "")</f>
        <v>27.900000000314321</v>
      </c>
      <c r="E694" s="478">
        <f t="shared" si="10"/>
        <v>30.824372759509362</v>
      </c>
      <c r="F694" s="479" t="s">
        <v>377</v>
      </c>
      <c r="G694" s="266" t="s">
        <v>1046</v>
      </c>
      <c r="H694" s="479"/>
      <c r="I694" s="480" t="s">
        <v>1183</v>
      </c>
      <c r="J694" s="481" t="s">
        <v>15</v>
      </c>
      <c r="K694" s="482">
        <v>860</v>
      </c>
      <c r="L694" s="495" t="s">
        <v>1184</v>
      </c>
      <c r="M694" s="483" t="str">
        <f>IFERROR(INDEX([1]Produtos!$C:$C,MATCH(L694,[1]Produtos!$B:$B,0)), "-")</f>
        <v>BODY MIST ENCANTO PERSA</v>
      </c>
      <c r="N694" s="511">
        <f>IFERROR(INDEX([1]Produtos!$E:$E,MATCH(L694,[1]Produtos!$B:$B,0)), "-")</f>
        <v>250</v>
      </c>
      <c r="O694" s="483" t="str">
        <f>IFERROR(INDEX([1]Produtos!$F:$F,MATCH(L694,[1]Produtos!$B:$B,0)), "-")</f>
        <v>ml</v>
      </c>
      <c r="P694" s="483" t="str">
        <f>IFERROR(INDEX([1]Produtos!$G:$G,MATCH(L694,[1]Produtos!$B:$B,0)), "-")</f>
        <v>AMEERATI</v>
      </c>
      <c r="Q694" s="483" t="str">
        <f>IFERROR(INDEX([1]Produtos!$H:$H,MATCH(L694,[1]Produtos!$B:$B,0)), "-")</f>
        <v>PERFUMARIA</v>
      </c>
      <c r="R694" s="483" t="str">
        <f>IFERROR(INDEX([1]Produtos!$I:$I,MATCH(L694,[1]Produtos!$B:$B,0)), "-")</f>
        <v>BODY SPLASH</v>
      </c>
      <c r="S694" s="483" t="str">
        <f>IFERROR(INDEX([1]Produtos!$J:$J,MATCH(L694,[1]Produtos!$B:$B,0)), "-")</f>
        <v>LÍQUIDO</v>
      </c>
      <c r="T694" s="484"/>
      <c r="U694" s="270"/>
      <c r="V694" s="270"/>
      <c r="W694" s="270"/>
      <c r="X694" s="270"/>
      <c r="Y694" s="270"/>
      <c r="Z694" s="270"/>
      <c r="AA694" s="270"/>
      <c r="AB694" s="270"/>
      <c r="AC694" s="270"/>
      <c r="AD694" s="270"/>
      <c r="AE694" s="270"/>
      <c r="AF694" s="270"/>
      <c r="AG694" s="270"/>
      <c r="AH694" s="270"/>
      <c r="AI694" s="270"/>
      <c r="AJ694" s="270"/>
      <c r="AK694" s="270"/>
      <c r="AL694" s="270"/>
      <c r="AM694" s="663"/>
      <c r="AN694" s="663"/>
      <c r="AO694" s="708" t="str">
        <f>IF(OR(Table1[[#This Row],[Início Setup Envase]]="",Table1[[#This Row],[Final Setup Envase]]=""),"",Table1[[#This Row],[Final Setup Envase]]-Table1[[#This Row],[Início Setup Envase]])</f>
        <v/>
      </c>
      <c r="AP694" s="663"/>
      <c r="AQ694" s="663"/>
      <c r="AR694" s="270"/>
      <c r="AS694" s="270"/>
      <c r="AT694" s="270"/>
      <c r="AU694" s="270"/>
      <c r="AV694" s="270"/>
      <c r="AW694" s="270"/>
      <c r="AX694" s="270"/>
      <c r="AY694" s="270"/>
      <c r="AZ694" s="270"/>
      <c r="BA694" s="270">
        <f>IF(Table1[[#This Row],[Data de Início]]="","",YEAR(Table1[[#This Row],[Data de Início]]))</f>
        <v>2025</v>
      </c>
      <c r="BB694" s="270">
        <f>IF(Table1[[#This Row],[Data de Início]]="","",MONTH(Table1[[#This Row],[Data de Início]]))</f>
        <v>12</v>
      </c>
      <c r="BC694" s="270"/>
    </row>
    <row r="695" spans="2:55" ht="15" customHeight="1" x14ac:dyDescent="0.25">
      <c r="B695" s="489">
        <v>46003.770833333336</v>
      </c>
      <c r="C695" s="490">
        <v>46006.301388888889</v>
      </c>
      <c r="D695" s="477" cm="1">
        <f t="array" ref="D695">IFERROR(HorasUteisFabrica2Turnos(B695,C695), "")</f>
        <v>3.7333333332790062</v>
      </c>
      <c r="E695" s="478">
        <f t="shared" si="10"/>
        <v>1092.8571428730461</v>
      </c>
      <c r="F695" s="479" t="s">
        <v>378</v>
      </c>
      <c r="G695" s="266" t="s">
        <v>1076</v>
      </c>
      <c r="H695" s="479"/>
      <c r="I695" s="480" t="s">
        <v>1144</v>
      </c>
      <c r="J695" s="481" t="s">
        <v>15</v>
      </c>
      <c r="K695" s="482">
        <v>4080</v>
      </c>
      <c r="L695" s="495" t="s">
        <v>1139</v>
      </c>
      <c r="M695" s="483" t="str">
        <f>IFERROR(INDEX([1]Produtos!$C:$C,MATCH(L695,[1]Produtos!$B:$B,0)), "-")</f>
        <v>BODY SPLASH ZAHRA 120ml</v>
      </c>
      <c r="N695" s="511">
        <f>IFERROR(INDEX([1]Produtos!$E:$E,MATCH(L695,[1]Produtos!$B:$B,0)), "-")</f>
        <v>120</v>
      </c>
      <c r="O695" s="483" t="str">
        <f>IFERROR(INDEX([1]Produtos!$F:$F,MATCH(L695,[1]Produtos!$B:$B,0)), "-")</f>
        <v>ml</v>
      </c>
      <c r="P695" s="483" t="str">
        <f>IFERROR(INDEX([1]Produtos!$G:$G,MATCH(L695,[1]Produtos!$B:$B,0)), "-")</f>
        <v>BRIA BEAUTY</v>
      </c>
      <c r="Q695" s="483" t="str">
        <f>IFERROR(INDEX([1]Produtos!$H:$H,MATCH(L695,[1]Produtos!$B:$B,0)), "-")</f>
        <v>PERFUMARIA</v>
      </c>
      <c r="R695" s="483" t="str">
        <f>IFERROR(INDEX([1]Produtos!$I:$I,MATCH(L695,[1]Produtos!$B:$B,0)), "-")</f>
        <v>BODY SPLASH</v>
      </c>
      <c r="S695" s="483" t="str">
        <f>IFERROR(INDEX([1]Produtos!$J:$J,MATCH(L695,[1]Produtos!$B:$B,0)), "-")</f>
        <v>LÍQUIDO</v>
      </c>
      <c r="T695" s="484"/>
      <c r="U695" s="270"/>
      <c r="V695" s="270"/>
      <c r="W695" s="270"/>
      <c r="X695" s="270"/>
      <c r="Y695" s="270"/>
      <c r="Z695" s="270"/>
      <c r="AA695" s="270"/>
      <c r="AB695" s="270"/>
      <c r="AC695" s="270"/>
      <c r="AD695" s="270"/>
      <c r="AE695" s="270"/>
      <c r="AF695" s="270"/>
      <c r="AG695" s="270"/>
      <c r="AH695" s="270"/>
      <c r="AI695" s="270"/>
      <c r="AJ695" s="270"/>
      <c r="AK695" s="270"/>
      <c r="AL695" s="270"/>
      <c r="AM695" s="663"/>
      <c r="AN695" s="663"/>
      <c r="AO695" s="708" t="str">
        <f>IF(OR(Table1[[#This Row],[Início Setup Envase]]="",Table1[[#This Row],[Final Setup Envase]]=""),"",Table1[[#This Row],[Final Setup Envase]]-Table1[[#This Row],[Início Setup Envase]])</f>
        <v/>
      </c>
      <c r="AP695" s="663"/>
      <c r="AQ695" s="663"/>
      <c r="AR695" s="270"/>
      <c r="AS695" s="270"/>
      <c r="AT695" s="270"/>
      <c r="AU695" s="270"/>
      <c r="AV695" s="270"/>
      <c r="AW695" s="270"/>
      <c r="AX695" s="270"/>
      <c r="AY695" s="270"/>
      <c r="AZ695" s="270"/>
      <c r="BA695" s="270">
        <f>IF(Table1[[#This Row],[Data de Início]]="","",YEAR(Table1[[#This Row],[Data de Início]]))</f>
        <v>2025</v>
      </c>
      <c r="BB695" s="270">
        <f>IF(Table1[[#This Row],[Data de Início]]="","",MONTH(Table1[[#This Row],[Data de Início]]))</f>
        <v>12</v>
      </c>
      <c r="BC695" s="270"/>
    </row>
    <row r="696" spans="2:55" ht="15" customHeight="1" x14ac:dyDescent="0.25">
      <c r="B696" s="489">
        <v>46006.3</v>
      </c>
      <c r="C696" s="490">
        <v>46006.416666666664</v>
      </c>
      <c r="D696" s="477" cm="1">
        <f t="array" ref="D696">IFERROR(HorasUteisFabrica2Turnos(B696,C696), "")</f>
        <v>2.7999999998719431</v>
      </c>
      <c r="E696" s="478">
        <f t="shared" si="10"/>
        <v>828.57142860932299</v>
      </c>
      <c r="F696" s="479" t="s">
        <v>377</v>
      </c>
      <c r="G696" s="266" t="s">
        <v>1076</v>
      </c>
      <c r="H696" s="479"/>
      <c r="I696" s="480" t="s">
        <v>1146</v>
      </c>
      <c r="J696" s="481" t="s">
        <v>15</v>
      </c>
      <c r="K696" s="482">
        <v>2320</v>
      </c>
      <c r="L696" s="495" t="s">
        <v>1139</v>
      </c>
      <c r="M696" s="483" t="str">
        <f>IFERROR(INDEX([1]Produtos!$C:$C,MATCH(L696,[1]Produtos!$B:$B,0)), "-")</f>
        <v>BODY SPLASH ZAHRA 120ml</v>
      </c>
      <c r="N696" s="511">
        <f>IFERROR(INDEX([1]Produtos!$E:$E,MATCH(L696,[1]Produtos!$B:$B,0)), "-")</f>
        <v>120</v>
      </c>
      <c r="O696" s="483" t="str">
        <f>IFERROR(INDEX([1]Produtos!$F:$F,MATCH(L696,[1]Produtos!$B:$B,0)), "-")</f>
        <v>ml</v>
      </c>
      <c r="P696" s="483" t="str">
        <f>IFERROR(INDEX([1]Produtos!$G:$G,MATCH(L696,[1]Produtos!$B:$B,0)), "-")</f>
        <v>BRIA BEAUTY</v>
      </c>
      <c r="Q696" s="483" t="str">
        <f>IFERROR(INDEX([1]Produtos!$H:$H,MATCH(L696,[1]Produtos!$B:$B,0)), "-")</f>
        <v>PERFUMARIA</v>
      </c>
      <c r="R696" s="483" t="str">
        <f>IFERROR(INDEX([1]Produtos!$I:$I,MATCH(L696,[1]Produtos!$B:$B,0)), "-")</f>
        <v>BODY SPLASH</v>
      </c>
      <c r="S696" s="483" t="str">
        <f>IFERROR(INDEX([1]Produtos!$J:$J,MATCH(L696,[1]Produtos!$B:$B,0)), "-")</f>
        <v>LÍQUIDO</v>
      </c>
      <c r="T696" s="484"/>
      <c r="U696" s="270"/>
      <c r="V696" s="270"/>
      <c r="W696" s="270"/>
      <c r="X696" s="270"/>
      <c r="Y696" s="270"/>
      <c r="Z696" s="270"/>
      <c r="AA696" s="270"/>
      <c r="AB696" s="270"/>
      <c r="AC696" s="270"/>
      <c r="AD696" s="270"/>
      <c r="AE696" s="270"/>
      <c r="AF696" s="270"/>
      <c r="AG696" s="270"/>
      <c r="AH696" s="270"/>
      <c r="AI696" s="270"/>
      <c r="AJ696" s="270"/>
      <c r="AK696" s="270"/>
      <c r="AL696" s="270"/>
      <c r="AM696" s="663"/>
      <c r="AN696" s="663"/>
      <c r="AO696" s="708" t="str">
        <f>IF(OR(Table1[[#This Row],[Início Setup Envase]]="",Table1[[#This Row],[Final Setup Envase]]=""),"",Table1[[#This Row],[Final Setup Envase]]-Table1[[#This Row],[Início Setup Envase]])</f>
        <v/>
      </c>
      <c r="AP696" s="663"/>
      <c r="AQ696" s="663"/>
      <c r="AR696" s="270"/>
      <c r="AS696" s="270"/>
      <c r="AT696" s="270"/>
      <c r="AU696" s="270"/>
      <c r="AV696" s="270"/>
      <c r="AW696" s="270"/>
      <c r="AX696" s="270"/>
      <c r="AY696" s="270"/>
      <c r="AZ696" s="270"/>
      <c r="BA696" s="270">
        <f>IF(Table1[[#This Row],[Data de Início]]="","",YEAR(Table1[[#This Row],[Data de Início]]))</f>
        <v>2025</v>
      </c>
      <c r="BB696" s="270">
        <f>IF(Table1[[#This Row],[Data de Início]]="","",MONTH(Table1[[#This Row],[Data de Início]]))</f>
        <v>12</v>
      </c>
      <c r="BC696" s="270"/>
    </row>
    <row r="697" spans="2:55" ht="15" customHeight="1" x14ac:dyDescent="0.25">
      <c r="B697" s="489">
        <v>46006.404861111114</v>
      </c>
      <c r="C697" s="490">
        <v>46006.519444444442</v>
      </c>
      <c r="D697" s="477" cm="1">
        <f t="array" ref="D697">IFERROR(HorasUteisFabrica2Turnos(B697,C697), "")</f>
        <v>2.7499999998835847</v>
      </c>
      <c r="E697" s="478">
        <f t="shared" si="10"/>
        <v>925.09090913007083</v>
      </c>
      <c r="F697" s="479" t="s">
        <v>378</v>
      </c>
      <c r="G697" s="266" t="s">
        <v>1103</v>
      </c>
      <c r="H697" s="479"/>
      <c r="I697" s="480" t="s">
        <v>1164</v>
      </c>
      <c r="J697" s="481" t="s">
        <v>15</v>
      </c>
      <c r="K697" s="482">
        <v>2544</v>
      </c>
      <c r="L697" s="495" t="s">
        <v>214</v>
      </c>
      <c r="M697" s="483" t="str">
        <f>IFERROR(INDEX([1]Produtos!$C:$C,MATCH(L697,[1]Produtos!$B:$B,0)), "-")</f>
        <v>BODY SPLASH ECLIPSE DOURADO</v>
      </c>
      <c r="N697" s="511">
        <f>IFERROR(INDEX([1]Produtos!$E:$E,MATCH(L697,[1]Produtos!$B:$B,0)), "-")</f>
        <v>220</v>
      </c>
      <c r="O697" s="483" t="str">
        <f>IFERROR(INDEX([1]Produtos!$F:$F,MATCH(L697,[1]Produtos!$B:$B,0)), "-")</f>
        <v>ml</v>
      </c>
      <c r="P697" s="483" t="str">
        <f>IFERROR(INDEX([1]Produtos!$G:$G,MATCH(L697,[1]Produtos!$B:$B,0)), "-")</f>
        <v>MISS RÔSE</v>
      </c>
      <c r="Q697" s="483" t="str">
        <f>IFERROR(INDEX([1]Produtos!$H:$H,MATCH(L697,[1]Produtos!$B:$B,0)), "-")</f>
        <v>PERFUMARIA</v>
      </c>
      <c r="R697" s="483" t="str">
        <f>IFERROR(INDEX([1]Produtos!$I:$I,MATCH(L697,[1]Produtos!$B:$B,0)), "-")</f>
        <v>BODY SPLASH</v>
      </c>
      <c r="S697" s="483" t="str">
        <f>IFERROR(INDEX([1]Produtos!$J:$J,MATCH(L697,[1]Produtos!$B:$B,0)), "-")</f>
        <v>LÍQUIDO</v>
      </c>
      <c r="T697" s="484"/>
      <c r="U697" s="270"/>
      <c r="V697" s="270"/>
      <c r="W697" s="270"/>
      <c r="X697" s="270"/>
      <c r="Y697" s="270"/>
      <c r="Z697" s="270"/>
      <c r="AA697" s="270"/>
      <c r="AB697" s="270"/>
      <c r="AC697" s="270"/>
      <c r="AD697" s="270"/>
      <c r="AE697" s="270"/>
      <c r="AF697" s="270"/>
      <c r="AG697" s="270"/>
      <c r="AH697" s="270"/>
      <c r="AI697" s="270"/>
      <c r="AJ697" s="270"/>
      <c r="AK697" s="270"/>
      <c r="AL697" s="270"/>
      <c r="AM697" s="663"/>
      <c r="AN697" s="663"/>
      <c r="AO697" s="708" t="str">
        <f>IF(OR(Table1[[#This Row],[Início Setup Envase]]="",Table1[[#This Row],[Final Setup Envase]]=""),"",Table1[[#This Row],[Final Setup Envase]]-Table1[[#This Row],[Início Setup Envase]])</f>
        <v/>
      </c>
      <c r="AP697" s="663"/>
      <c r="AQ697" s="663"/>
      <c r="AR697" s="270"/>
      <c r="AS697" s="270"/>
      <c r="AT697" s="270"/>
      <c r="AU697" s="270"/>
      <c r="AV697" s="270"/>
      <c r="AW697" s="270"/>
      <c r="AX697" s="270"/>
      <c r="AY697" s="270"/>
      <c r="AZ697" s="270"/>
      <c r="BA697" s="270">
        <f>IF(Table1[[#This Row],[Data de Início]]="","",YEAR(Table1[[#This Row],[Data de Início]]))</f>
        <v>2025</v>
      </c>
      <c r="BB697" s="270">
        <f>IF(Table1[[#This Row],[Data de Início]]="","",MONTH(Table1[[#This Row],[Data de Início]]))</f>
        <v>12</v>
      </c>
      <c r="BC697" s="270"/>
    </row>
    <row r="698" spans="2:55" ht="15" customHeight="1" x14ac:dyDescent="0.25">
      <c r="B698" s="489">
        <v>46006.472222222219</v>
      </c>
      <c r="C698" s="490">
        <v>46006.625</v>
      </c>
      <c r="D698" s="477" cm="1">
        <f t="array" ref="D698">IFERROR(HorasUteisFabrica2Turnos(B698,C698), "")</f>
        <v>2.6666666667442769</v>
      </c>
      <c r="E698" s="478">
        <f t="shared" si="10"/>
        <v>953.99999997223495</v>
      </c>
      <c r="F698" s="479" t="s">
        <v>377</v>
      </c>
      <c r="G698" s="266" t="s">
        <v>1103</v>
      </c>
      <c r="H698" s="479"/>
      <c r="I698" s="480" t="s">
        <v>1163</v>
      </c>
      <c r="J698" s="481" t="s">
        <v>15</v>
      </c>
      <c r="K698" s="482">
        <v>2544</v>
      </c>
      <c r="L698" s="495" t="s">
        <v>214</v>
      </c>
      <c r="M698" s="483" t="str">
        <f>IFERROR(INDEX([1]Produtos!$C:$C,MATCH(L698,[1]Produtos!$B:$B,0)), "-")</f>
        <v>BODY SPLASH ECLIPSE DOURADO</v>
      </c>
      <c r="N698" s="511">
        <f>IFERROR(INDEX([1]Produtos!$E:$E,MATCH(L698,[1]Produtos!$B:$B,0)), "-")</f>
        <v>220</v>
      </c>
      <c r="O698" s="483" t="str">
        <f>IFERROR(INDEX([1]Produtos!$F:$F,MATCH(L698,[1]Produtos!$B:$B,0)), "-")</f>
        <v>ml</v>
      </c>
      <c r="P698" s="483" t="str">
        <f>IFERROR(INDEX([1]Produtos!$G:$G,MATCH(L698,[1]Produtos!$B:$B,0)), "-")</f>
        <v>MISS RÔSE</v>
      </c>
      <c r="Q698" s="483" t="str">
        <f>IFERROR(INDEX([1]Produtos!$H:$H,MATCH(L698,[1]Produtos!$B:$B,0)), "-")</f>
        <v>PERFUMARIA</v>
      </c>
      <c r="R698" s="483" t="str">
        <f>IFERROR(INDEX([1]Produtos!$I:$I,MATCH(L698,[1]Produtos!$B:$B,0)), "-")</f>
        <v>BODY SPLASH</v>
      </c>
      <c r="S698" s="483" t="str">
        <f>IFERROR(INDEX([1]Produtos!$J:$J,MATCH(L698,[1]Produtos!$B:$B,0)), "-")</f>
        <v>LÍQUIDO</v>
      </c>
      <c r="T698" s="484"/>
      <c r="U698" s="270"/>
      <c r="V698" s="270"/>
      <c r="W698" s="270"/>
      <c r="X698" s="270"/>
      <c r="Y698" s="270"/>
      <c r="Z698" s="270"/>
      <c r="AA698" s="270"/>
      <c r="AB698" s="270"/>
      <c r="AC698" s="270"/>
      <c r="AD698" s="270"/>
      <c r="AE698" s="270"/>
      <c r="AF698" s="270"/>
      <c r="AG698" s="270"/>
      <c r="AH698" s="270"/>
      <c r="AI698" s="270"/>
      <c r="AJ698" s="270"/>
      <c r="AK698" s="270"/>
      <c r="AL698" s="270"/>
      <c r="AM698" s="663"/>
      <c r="AN698" s="663"/>
      <c r="AO698" s="708" t="str">
        <f>IF(OR(Table1[[#This Row],[Início Setup Envase]]="",Table1[[#This Row],[Final Setup Envase]]=""),"",Table1[[#This Row],[Final Setup Envase]]-Table1[[#This Row],[Início Setup Envase]])</f>
        <v/>
      </c>
      <c r="AP698" s="663"/>
      <c r="AQ698" s="663"/>
      <c r="AR698" s="270"/>
      <c r="AS698" s="270"/>
      <c r="AT698" s="270"/>
      <c r="AU698" s="270"/>
      <c r="AV698" s="270"/>
      <c r="AW698" s="270"/>
      <c r="AX698" s="270"/>
      <c r="AY698" s="270"/>
      <c r="AZ698" s="270"/>
      <c r="BA698" s="270">
        <f>IF(Table1[[#This Row],[Data de Início]]="","",YEAR(Table1[[#This Row],[Data de Início]]))</f>
        <v>2025</v>
      </c>
      <c r="BB698" s="270">
        <f>IF(Table1[[#This Row],[Data de Início]]="","",MONTH(Table1[[#This Row],[Data de Início]]))</f>
        <v>12</v>
      </c>
      <c r="BC698" s="270"/>
    </row>
    <row r="699" spans="2:55" ht="15" customHeight="1" x14ac:dyDescent="0.25">
      <c r="B699" s="489">
        <v>46006.519444444442</v>
      </c>
      <c r="C699" s="490">
        <v>46006.625</v>
      </c>
      <c r="D699" s="477" cm="1">
        <f t="array" ref="D699">IFERROR(HorasUteisFabrica2Turnos(B699,C699), "")</f>
        <v>2.53333333338378</v>
      </c>
      <c r="E699" s="478">
        <f t="shared" si="10"/>
        <v>1004.2105262957925</v>
      </c>
      <c r="F699" s="479" t="s">
        <v>378</v>
      </c>
      <c r="G699" s="266" t="s">
        <v>1103</v>
      </c>
      <c r="H699" s="479"/>
      <c r="I699" s="480" t="s">
        <v>1162</v>
      </c>
      <c r="J699" s="481" t="s">
        <v>15</v>
      </c>
      <c r="K699" s="482">
        <v>2544</v>
      </c>
      <c r="L699" s="495" t="s">
        <v>214</v>
      </c>
      <c r="M699" s="483" t="str">
        <f>IFERROR(INDEX([1]Produtos!$C:$C,MATCH(L699,[1]Produtos!$B:$B,0)), "-")</f>
        <v>BODY SPLASH ECLIPSE DOURADO</v>
      </c>
      <c r="N699" s="511">
        <f>IFERROR(INDEX([1]Produtos!$E:$E,MATCH(L699,[1]Produtos!$B:$B,0)), "-")</f>
        <v>220</v>
      </c>
      <c r="O699" s="483" t="str">
        <f>IFERROR(INDEX([1]Produtos!$F:$F,MATCH(L699,[1]Produtos!$B:$B,0)), "-")</f>
        <v>ml</v>
      </c>
      <c r="P699" s="483" t="str">
        <f>IFERROR(INDEX([1]Produtos!$G:$G,MATCH(L699,[1]Produtos!$B:$B,0)), "-")</f>
        <v>MISS RÔSE</v>
      </c>
      <c r="Q699" s="483" t="str">
        <f>IFERROR(INDEX([1]Produtos!$H:$H,MATCH(L699,[1]Produtos!$B:$B,0)), "-")</f>
        <v>PERFUMARIA</v>
      </c>
      <c r="R699" s="483" t="str">
        <f>IFERROR(INDEX([1]Produtos!$I:$I,MATCH(L699,[1]Produtos!$B:$B,0)), "-")</f>
        <v>BODY SPLASH</v>
      </c>
      <c r="S699" s="483" t="str">
        <f>IFERROR(INDEX([1]Produtos!$J:$J,MATCH(L699,[1]Produtos!$B:$B,0)), "-")</f>
        <v>LÍQUIDO</v>
      </c>
      <c r="T699" s="484"/>
      <c r="U699" s="270"/>
      <c r="V699" s="270"/>
      <c r="W699" s="270"/>
      <c r="X699" s="270"/>
      <c r="Y699" s="270"/>
      <c r="Z699" s="270"/>
      <c r="AA699" s="270"/>
      <c r="AB699" s="270"/>
      <c r="AC699" s="270"/>
      <c r="AD699" s="270"/>
      <c r="AE699" s="270"/>
      <c r="AF699" s="270"/>
      <c r="AG699" s="270"/>
      <c r="AH699" s="270"/>
      <c r="AI699" s="270"/>
      <c r="AJ699" s="270"/>
      <c r="AK699" s="270"/>
      <c r="AL699" s="270"/>
      <c r="AM699" s="663"/>
      <c r="AN699" s="663"/>
      <c r="AO699" s="708" t="str">
        <f>IF(OR(Table1[[#This Row],[Início Setup Envase]]="",Table1[[#This Row],[Final Setup Envase]]=""),"",Table1[[#This Row],[Final Setup Envase]]-Table1[[#This Row],[Início Setup Envase]])</f>
        <v/>
      </c>
      <c r="AP699" s="663"/>
      <c r="AQ699" s="663"/>
      <c r="AR699" s="270"/>
      <c r="AS699" s="270"/>
      <c r="AT699" s="270"/>
      <c r="AU699" s="270"/>
      <c r="AV699" s="270"/>
      <c r="AW699" s="270"/>
      <c r="AX699" s="270"/>
      <c r="AY699" s="270"/>
      <c r="AZ699" s="270"/>
      <c r="BA699" s="270">
        <f>IF(Table1[[#This Row],[Data de Início]]="","",YEAR(Table1[[#This Row],[Data de Início]]))</f>
        <v>2025</v>
      </c>
      <c r="BB699" s="270">
        <f>IF(Table1[[#This Row],[Data de Início]]="","",MONTH(Table1[[#This Row],[Data de Início]]))</f>
        <v>12</v>
      </c>
      <c r="BC699" s="270"/>
    </row>
    <row r="700" spans="2:55" ht="15" customHeight="1" x14ac:dyDescent="0.25">
      <c r="B700" s="489">
        <v>46006.625</v>
      </c>
      <c r="C700" s="490">
        <v>46006.736111111109</v>
      </c>
      <c r="D700" s="477" cm="1">
        <f t="array" ref="D700">IFERROR(HorasUteisFabrica2Turnos(B700,C700), "")</f>
        <v>2.6666666666278616</v>
      </c>
      <c r="E700" s="478">
        <f t="shared" si="10"/>
        <v>954.00000001388253</v>
      </c>
      <c r="F700" s="479" t="s">
        <v>378</v>
      </c>
      <c r="G700" s="266" t="s">
        <v>1103</v>
      </c>
      <c r="H700" s="479"/>
      <c r="I700" s="480" t="s">
        <v>1156</v>
      </c>
      <c r="J700" s="481" t="s">
        <v>15</v>
      </c>
      <c r="K700" s="482">
        <v>2544</v>
      </c>
      <c r="L700" s="495" t="s">
        <v>214</v>
      </c>
      <c r="M700" s="483" t="str">
        <f>IFERROR(INDEX([1]Produtos!$C:$C,MATCH(L700,[1]Produtos!$B:$B,0)), "-")</f>
        <v>BODY SPLASH ECLIPSE DOURADO</v>
      </c>
      <c r="N700" s="511">
        <f>IFERROR(INDEX([1]Produtos!$E:$E,MATCH(L700,[1]Produtos!$B:$B,0)), "-")</f>
        <v>220</v>
      </c>
      <c r="O700" s="483" t="str">
        <f>IFERROR(INDEX([1]Produtos!$F:$F,MATCH(L700,[1]Produtos!$B:$B,0)), "-")</f>
        <v>ml</v>
      </c>
      <c r="P700" s="483" t="str">
        <f>IFERROR(INDEX([1]Produtos!$G:$G,MATCH(L700,[1]Produtos!$B:$B,0)), "-")</f>
        <v>MISS RÔSE</v>
      </c>
      <c r="Q700" s="483" t="str">
        <f>IFERROR(INDEX([1]Produtos!$H:$H,MATCH(L700,[1]Produtos!$B:$B,0)), "-")</f>
        <v>PERFUMARIA</v>
      </c>
      <c r="R700" s="483" t="str">
        <f>IFERROR(INDEX([1]Produtos!$I:$I,MATCH(L700,[1]Produtos!$B:$B,0)), "-")</f>
        <v>BODY SPLASH</v>
      </c>
      <c r="S700" s="483" t="str">
        <f>IFERROR(INDEX([1]Produtos!$J:$J,MATCH(L700,[1]Produtos!$B:$B,0)), "-")</f>
        <v>LÍQUIDO</v>
      </c>
      <c r="T700" s="484"/>
      <c r="U700" s="270"/>
      <c r="V700" s="270"/>
      <c r="W700" s="270"/>
      <c r="X700" s="270"/>
      <c r="Y700" s="270"/>
      <c r="Z700" s="270"/>
      <c r="AA700" s="270"/>
      <c r="AB700" s="270"/>
      <c r="AC700" s="270"/>
      <c r="AD700" s="270"/>
      <c r="AE700" s="270"/>
      <c r="AF700" s="270"/>
      <c r="AG700" s="270"/>
      <c r="AH700" s="270"/>
      <c r="AI700" s="270"/>
      <c r="AJ700" s="270"/>
      <c r="AK700" s="270"/>
      <c r="AL700" s="270"/>
      <c r="AM700" s="663"/>
      <c r="AN700" s="663"/>
      <c r="AO700" s="708" t="str">
        <f>IF(OR(Table1[[#This Row],[Início Setup Envase]]="",Table1[[#This Row],[Final Setup Envase]]=""),"",Table1[[#This Row],[Final Setup Envase]]-Table1[[#This Row],[Início Setup Envase]])</f>
        <v/>
      </c>
      <c r="AP700" s="663"/>
      <c r="AQ700" s="663"/>
      <c r="AR700" s="270"/>
      <c r="AS700" s="270"/>
      <c r="AT700" s="270"/>
      <c r="AU700" s="270"/>
      <c r="AV700" s="270"/>
      <c r="AW700" s="270"/>
      <c r="AX700" s="270"/>
      <c r="AY700" s="270"/>
      <c r="AZ700" s="270"/>
      <c r="BA700" s="270">
        <f>IF(Table1[[#This Row],[Data de Início]]="","",YEAR(Table1[[#This Row],[Data de Início]]))</f>
        <v>2025</v>
      </c>
      <c r="BB700" s="270">
        <f>IF(Table1[[#This Row],[Data de Início]]="","",MONTH(Table1[[#This Row],[Data de Início]]))</f>
        <v>12</v>
      </c>
      <c r="BC700" s="270"/>
    </row>
    <row r="701" spans="2:55" ht="15" customHeight="1" x14ac:dyDescent="0.25">
      <c r="B701" s="489">
        <v>46006.652777777781</v>
      </c>
      <c r="C701" s="490">
        <v>46006.75</v>
      </c>
      <c r="D701" s="477" cm="1">
        <f t="array" ref="D701">IFERROR(HorasUteisFabrica2Turnos(B701,C701), "")</f>
        <v>2.3333333332557231</v>
      </c>
      <c r="E701" s="478">
        <f t="shared" si="10"/>
        <v>1090.285714321979</v>
      </c>
      <c r="F701" s="479" t="s">
        <v>377</v>
      </c>
      <c r="G701" s="266" t="s">
        <v>1103</v>
      </c>
      <c r="H701" s="479"/>
      <c r="I701" s="480" t="s">
        <v>1159</v>
      </c>
      <c r="J701" s="481" t="s">
        <v>15</v>
      </c>
      <c r="K701" s="482">
        <v>2544</v>
      </c>
      <c r="L701" s="495" t="s">
        <v>213</v>
      </c>
      <c r="M701" s="483" t="str">
        <f>IFERROR(INDEX([1]Produtos!$C:$C,MATCH(L701,[1]Produtos!$B:$B,0)), "-")</f>
        <v>BODY SPLASH DEUSA DO NILO</v>
      </c>
      <c r="N701" s="511">
        <f>IFERROR(INDEX([1]Produtos!$E:$E,MATCH(L701,[1]Produtos!$B:$B,0)), "-")</f>
        <v>220</v>
      </c>
      <c r="O701" s="483" t="str">
        <f>IFERROR(INDEX([1]Produtos!$F:$F,MATCH(L701,[1]Produtos!$B:$B,0)), "-")</f>
        <v>ml</v>
      </c>
      <c r="P701" s="483" t="str">
        <f>IFERROR(INDEX([1]Produtos!$G:$G,MATCH(L701,[1]Produtos!$B:$B,0)), "-")</f>
        <v>MISS RÔSE</v>
      </c>
      <c r="Q701" s="483" t="str">
        <f>IFERROR(INDEX([1]Produtos!$H:$H,MATCH(L701,[1]Produtos!$B:$B,0)), "-")</f>
        <v>PERFUMARIA</v>
      </c>
      <c r="R701" s="483" t="str">
        <f>IFERROR(INDEX([1]Produtos!$I:$I,MATCH(L701,[1]Produtos!$B:$B,0)), "-")</f>
        <v>BODY SPLASH</v>
      </c>
      <c r="S701" s="483" t="str">
        <f>IFERROR(INDEX([1]Produtos!$J:$J,MATCH(L701,[1]Produtos!$B:$B,0)), "-")</f>
        <v>LÍQUIDO</v>
      </c>
      <c r="T701" s="484"/>
      <c r="U701" s="270"/>
      <c r="V701" s="270"/>
      <c r="W701" s="270"/>
      <c r="X701" s="270"/>
      <c r="Y701" s="270"/>
      <c r="Z701" s="270"/>
      <c r="AA701" s="270"/>
      <c r="AB701" s="270"/>
      <c r="AC701" s="270"/>
      <c r="AD701" s="270"/>
      <c r="AE701" s="270"/>
      <c r="AF701" s="270"/>
      <c r="AG701" s="270"/>
      <c r="AH701" s="270"/>
      <c r="AI701" s="270"/>
      <c r="AJ701" s="270"/>
      <c r="AK701" s="270"/>
      <c r="AL701" s="270"/>
      <c r="AM701" s="663"/>
      <c r="AN701" s="663"/>
      <c r="AO701" s="708" t="str">
        <f>IF(OR(Table1[[#This Row],[Início Setup Envase]]="",Table1[[#This Row],[Final Setup Envase]]=""),"",Table1[[#This Row],[Final Setup Envase]]-Table1[[#This Row],[Início Setup Envase]])</f>
        <v/>
      </c>
      <c r="AP701" s="663"/>
      <c r="AQ701" s="663"/>
      <c r="AR701" s="270"/>
      <c r="AS701" s="270"/>
      <c r="AT701" s="270"/>
      <c r="AU701" s="270"/>
      <c r="AV701" s="270"/>
      <c r="AW701" s="270"/>
      <c r="AX701" s="270"/>
      <c r="AY701" s="270"/>
      <c r="AZ701" s="270"/>
      <c r="BA701" s="270">
        <f>IF(Table1[[#This Row],[Data de Início]]="","",YEAR(Table1[[#This Row],[Data de Início]]))</f>
        <v>2025</v>
      </c>
      <c r="BB701" s="270">
        <f>IF(Table1[[#This Row],[Data de Início]]="","",MONTH(Table1[[#This Row],[Data de Início]]))</f>
        <v>12</v>
      </c>
      <c r="BC701" s="270"/>
    </row>
    <row r="702" spans="2:55" ht="15" customHeight="1" x14ac:dyDescent="0.25">
      <c r="B702" s="489">
        <v>46006.729166666664</v>
      </c>
      <c r="C702" s="490">
        <v>46007.291666666664</v>
      </c>
      <c r="D702" s="477" cm="1">
        <f t="array" ref="D702">IFERROR(HorasUteisFabrica2Turnos(B702,C702), "")</f>
        <v>4.5</v>
      </c>
      <c r="E702" s="478">
        <f t="shared" si="10"/>
        <v>736</v>
      </c>
      <c r="F702" s="479" t="s">
        <v>378</v>
      </c>
      <c r="G702" s="266" t="s">
        <v>1103</v>
      </c>
      <c r="H702" s="479"/>
      <c r="I702" s="480" t="s">
        <v>1174</v>
      </c>
      <c r="J702" s="481" t="s">
        <v>15</v>
      </c>
      <c r="K702" s="482">
        <v>3312</v>
      </c>
      <c r="L702" s="495" t="s">
        <v>213</v>
      </c>
      <c r="M702" s="483" t="str">
        <f>IFERROR(INDEX([1]Produtos!$C:$C,MATCH(L702,[1]Produtos!$B:$B,0)), "-")</f>
        <v>BODY SPLASH DEUSA DO NILO</v>
      </c>
      <c r="N702" s="511">
        <f>IFERROR(INDEX([1]Produtos!$E:$E,MATCH(L702,[1]Produtos!$B:$B,0)), "-")</f>
        <v>220</v>
      </c>
      <c r="O702" s="483" t="str">
        <f>IFERROR(INDEX([1]Produtos!$F:$F,MATCH(L702,[1]Produtos!$B:$B,0)), "-")</f>
        <v>ml</v>
      </c>
      <c r="P702" s="483" t="str">
        <f>IFERROR(INDEX([1]Produtos!$G:$G,MATCH(L702,[1]Produtos!$B:$B,0)), "-")</f>
        <v>MISS RÔSE</v>
      </c>
      <c r="Q702" s="483" t="str">
        <f>IFERROR(INDEX([1]Produtos!$H:$H,MATCH(L702,[1]Produtos!$B:$B,0)), "-")</f>
        <v>PERFUMARIA</v>
      </c>
      <c r="R702" s="483" t="str">
        <f>IFERROR(INDEX([1]Produtos!$I:$I,MATCH(L702,[1]Produtos!$B:$B,0)), "-")</f>
        <v>BODY SPLASH</v>
      </c>
      <c r="S702" s="483" t="str">
        <f>IFERROR(INDEX([1]Produtos!$J:$J,MATCH(L702,[1]Produtos!$B:$B,0)), "-")</f>
        <v>LÍQUIDO</v>
      </c>
      <c r="T702" s="484"/>
      <c r="U702" s="270"/>
      <c r="V702" s="270"/>
      <c r="W702" s="270"/>
      <c r="X702" s="270"/>
      <c r="Y702" s="270"/>
      <c r="Z702" s="270"/>
      <c r="AA702" s="270"/>
      <c r="AB702" s="270"/>
      <c r="AC702" s="270"/>
      <c r="AD702" s="270"/>
      <c r="AE702" s="270"/>
      <c r="AF702" s="270"/>
      <c r="AG702" s="270"/>
      <c r="AH702" s="270"/>
      <c r="AI702" s="270"/>
      <c r="AJ702" s="270"/>
      <c r="AK702" s="270"/>
      <c r="AL702" s="270"/>
      <c r="AM702" s="663"/>
      <c r="AN702" s="663"/>
      <c r="AO702" s="708" t="str">
        <f>IF(OR(Table1[[#This Row],[Início Setup Envase]]="",Table1[[#This Row],[Final Setup Envase]]=""),"",Table1[[#This Row],[Final Setup Envase]]-Table1[[#This Row],[Início Setup Envase]])</f>
        <v/>
      </c>
      <c r="AP702" s="663"/>
      <c r="AQ702" s="663"/>
      <c r="AR702" s="270"/>
      <c r="AS702" s="270"/>
      <c r="AT702" s="270"/>
      <c r="AU702" s="270"/>
      <c r="AV702" s="270"/>
      <c r="AW702" s="270"/>
      <c r="AX702" s="270"/>
      <c r="AY702" s="270"/>
      <c r="AZ702" s="270"/>
      <c r="BA702" s="270">
        <f>IF(Table1[[#This Row],[Data de Início]]="","",YEAR(Table1[[#This Row],[Data de Início]]))</f>
        <v>2025</v>
      </c>
      <c r="BB702" s="270">
        <f>IF(Table1[[#This Row],[Data de Início]]="","",MONTH(Table1[[#This Row],[Data de Início]]))</f>
        <v>12</v>
      </c>
      <c r="BC702" s="270"/>
    </row>
    <row r="703" spans="2:55" ht="15" customHeight="1" x14ac:dyDescent="0.25">
      <c r="B703" s="489">
        <v>46006.743055555555</v>
      </c>
      <c r="C703" s="490">
        <v>46007.298611111109</v>
      </c>
      <c r="D703" s="477" cm="1">
        <f t="array" ref="D703">IFERROR(HorasUteisFabrica2Turnos(B703,C703), "")</f>
        <v>4.3333333333139308</v>
      </c>
      <c r="E703" s="478">
        <f t="shared" si="10"/>
        <v>764.30769231111447</v>
      </c>
      <c r="F703" s="479" t="s">
        <v>378</v>
      </c>
      <c r="G703" s="266" t="s">
        <v>1103</v>
      </c>
      <c r="H703" s="479"/>
      <c r="I703" s="480" t="s">
        <v>1157</v>
      </c>
      <c r="J703" s="481" t="s">
        <v>15</v>
      </c>
      <c r="K703" s="482">
        <v>3312</v>
      </c>
      <c r="L703" s="495" t="s">
        <v>214</v>
      </c>
      <c r="M703" s="483" t="str">
        <f>IFERROR(INDEX([1]Produtos!$C:$C,MATCH(L703,[1]Produtos!$B:$B,0)), "-")</f>
        <v>BODY SPLASH ECLIPSE DOURADO</v>
      </c>
      <c r="N703" s="511">
        <f>IFERROR(INDEX([1]Produtos!$E:$E,MATCH(L703,[1]Produtos!$B:$B,0)), "-")</f>
        <v>220</v>
      </c>
      <c r="O703" s="483" t="str">
        <f>IFERROR(INDEX([1]Produtos!$F:$F,MATCH(L703,[1]Produtos!$B:$B,0)), "-")</f>
        <v>ml</v>
      </c>
      <c r="P703" s="483" t="str">
        <f>IFERROR(INDEX([1]Produtos!$G:$G,MATCH(L703,[1]Produtos!$B:$B,0)), "-")</f>
        <v>MISS RÔSE</v>
      </c>
      <c r="Q703" s="483" t="str">
        <f>IFERROR(INDEX([1]Produtos!$H:$H,MATCH(L703,[1]Produtos!$B:$B,0)), "-")</f>
        <v>PERFUMARIA</v>
      </c>
      <c r="R703" s="483" t="str">
        <f>IFERROR(INDEX([1]Produtos!$I:$I,MATCH(L703,[1]Produtos!$B:$B,0)), "-")</f>
        <v>BODY SPLASH</v>
      </c>
      <c r="S703" s="483" t="str">
        <f>IFERROR(INDEX([1]Produtos!$J:$J,MATCH(L703,[1]Produtos!$B:$B,0)), "-")</f>
        <v>LÍQUIDO</v>
      </c>
      <c r="T703" s="484"/>
      <c r="U703" s="270"/>
      <c r="V703" s="270"/>
      <c r="W703" s="270"/>
      <c r="X703" s="270"/>
      <c r="Y703" s="270"/>
      <c r="Z703" s="270"/>
      <c r="AA703" s="270"/>
      <c r="AB703" s="270"/>
      <c r="AC703" s="270"/>
      <c r="AD703" s="270"/>
      <c r="AE703" s="270"/>
      <c r="AF703" s="270"/>
      <c r="AG703" s="270"/>
      <c r="AH703" s="270"/>
      <c r="AI703" s="270"/>
      <c r="AJ703" s="270"/>
      <c r="AK703" s="270"/>
      <c r="AL703" s="270"/>
      <c r="AM703" s="663"/>
      <c r="AN703" s="663"/>
      <c r="AO703" s="708" t="str">
        <f>IF(OR(Table1[[#This Row],[Início Setup Envase]]="",Table1[[#This Row],[Final Setup Envase]]=""),"",Table1[[#This Row],[Final Setup Envase]]-Table1[[#This Row],[Início Setup Envase]])</f>
        <v/>
      </c>
      <c r="AP703" s="663"/>
      <c r="AQ703" s="663"/>
      <c r="AR703" s="270"/>
      <c r="AS703" s="270"/>
      <c r="AT703" s="270"/>
      <c r="AU703" s="270"/>
      <c r="AV703" s="270"/>
      <c r="AW703" s="270"/>
      <c r="AX703" s="270"/>
      <c r="AY703" s="270"/>
      <c r="AZ703" s="270"/>
      <c r="BA703" s="270">
        <f>IF(Table1[[#This Row],[Data de Início]]="","",YEAR(Table1[[#This Row],[Data de Início]]))</f>
        <v>2025</v>
      </c>
      <c r="BB703" s="270">
        <f>IF(Table1[[#This Row],[Data de Início]]="","",MONTH(Table1[[#This Row],[Data de Início]]))</f>
        <v>12</v>
      </c>
      <c r="BC703" s="270"/>
    </row>
    <row r="704" spans="2:55" ht="15" customHeight="1" x14ac:dyDescent="0.25">
      <c r="B704" s="489">
        <v>46006.75</v>
      </c>
      <c r="C704" s="490">
        <v>46007.311805555553</v>
      </c>
      <c r="D704" s="477" cm="1">
        <f t="array" ref="D704">IFERROR(HorasUteisFabrica2Turnos(B704,C704), "")</f>
        <v>4.4833333332790062</v>
      </c>
      <c r="E704" s="478">
        <f t="shared" si="10"/>
        <v>567.43494424479411</v>
      </c>
      <c r="F704" s="479" t="s">
        <v>377</v>
      </c>
      <c r="G704" s="266" t="s">
        <v>1103</v>
      </c>
      <c r="H704" s="479"/>
      <c r="I704" s="480" t="s">
        <v>1158</v>
      </c>
      <c r="J704" s="481" t="s">
        <v>15</v>
      </c>
      <c r="K704" s="482">
        <v>2544</v>
      </c>
      <c r="L704" s="269" t="s">
        <v>213</v>
      </c>
      <c r="M704" s="483" t="str">
        <f>IFERROR(INDEX([1]Produtos!$C:$C,MATCH(L704,[1]Produtos!$B:$B,0)), "-")</f>
        <v>BODY SPLASH DEUSA DO NILO</v>
      </c>
      <c r="N704" s="511">
        <f>IFERROR(INDEX([1]Produtos!$E:$E,MATCH(L704,[1]Produtos!$B:$B,0)), "-")</f>
        <v>220</v>
      </c>
      <c r="O704" s="483" t="str">
        <f>IFERROR(INDEX([1]Produtos!$F:$F,MATCH(L704,[1]Produtos!$B:$B,0)), "-")</f>
        <v>ml</v>
      </c>
      <c r="P704" s="483" t="str">
        <f>IFERROR(INDEX([1]Produtos!$G:$G,MATCH(L704,[1]Produtos!$B:$B,0)), "-")</f>
        <v>MISS RÔSE</v>
      </c>
      <c r="Q704" s="483" t="str">
        <f>IFERROR(INDEX([1]Produtos!$H:$H,MATCH(L704,[1]Produtos!$B:$B,0)), "-")</f>
        <v>PERFUMARIA</v>
      </c>
      <c r="R704" s="483" t="str">
        <f>IFERROR(INDEX([1]Produtos!$I:$I,MATCH(L704,[1]Produtos!$B:$B,0)), "-")</f>
        <v>BODY SPLASH</v>
      </c>
      <c r="S704" s="483" t="str">
        <f>IFERROR(INDEX([1]Produtos!$J:$J,MATCH(L704,[1]Produtos!$B:$B,0)), "-")</f>
        <v>LÍQUIDO</v>
      </c>
      <c r="T704" s="484"/>
      <c r="U704" s="270"/>
      <c r="V704" s="270"/>
      <c r="W704" s="270"/>
      <c r="X704" s="270"/>
      <c r="Y704" s="270"/>
      <c r="Z704" s="270"/>
      <c r="AA704" s="270"/>
      <c r="AB704" s="270"/>
      <c r="AC704" s="270"/>
      <c r="AD704" s="270"/>
      <c r="AE704" s="270"/>
      <c r="AF704" s="270"/>
      <c r="AG704" s="270"/>
      <c r="AH704" s="270"/>
      <c r="AI704" s="270"/>
      <c r="AJ704" s="270"/>
      <c r="AK704" s="270"/>
      <c r="AL704" s="270"/>
      <c r="AM704" s="663"/>
      <c r="AN704" s="663"/>
      <c r="AO704" s="708" t="str">
        <f>IF(OR(Table1[[#This Row],[Início Setup Envase]]="",Table1[[#This Row],[Final Setup Envase]]=""),"",Table1[[#This Row],[Final Setup Envase]]-Table1[[#This Row],[Início Setup Envase]])</f>
        <v/>
      </c>
      <c r="AP704" s="663"/>
      <c r="AQ704" s="663"/>
      <c r="AR704" s="270"/>
      <c r="AS704" s="270"/>
      <c r="AT704" s="270"/>
      <c r="AU704" s="270"/>
      <c r="AV704" s="270"/>
      <c r="AW704" s="270"/>
      <c r="AX704" s="270"/>
      <c r="AY704" s="270"/>
      <c r="AZ704" s="270"/>
      <c r="BA704" s="270">
        <f>IF(Table1[[#This Row],[Data de Início]]="","",YEAR(Table1[[#This Row],[Data de Início]]))</f>
        <v>2025</v>
      </c>
      <c r="BB704" s="270">
        <f>IF(Table1[[#This Row],[Data de Início]]="","",MONTH(Table1[[#This Row],[Data de Início]]))</f>
        <v>12</v>
      </c>
      <c r="BC704" s="270"/>
    </row>
    <row r="705" spans="2:55" ht="15" customHeight="1" x14ac:dyDescent="0.25">
      <c r="B705" s="489">
        <v>46007.311805555553</v>
      </c>
      <c r="C705" s="490">
        <v>46007.468055555553</v>
      </c>
      <c r="D705" s="477" cm="1">
        <f t="array" ref="D705">IFERROR(HorasUteisFabrica2Turnos(B705,C705), "")</f>
        <v>3.75</v>
      </c>
      <c r="E705" s="478">
        <f t="shared" si="10"/>
        <v>678.4</v>
      </c>
      <c r="F705" s="479" t="s">
        <v>377</v>
      </c>
      <c r="G705" s="266" t="s">
        <v>1103</v>
      </c>
      <c r="H705" s="479"/>
      <c r="I705" s="480" t="s">
        <v>1161</v>
      </c>
      <c r="J705" s="481" t="s">
        <v>15</v>
      </c>
      <c r="K705" s="482">
        <v>2544</v>
      </c>
      <c r="L705" s="495" t="s">
        <v>213</v>
      </c>
      <c r="M705" s="483" t="str">
        <f>IFERROR(INDEX([1]Produtos!$C:$C,MATCH(L705,[1]Produtos!$B:$B,0)), "-")</f>
        <v>BODY SPLASH DEUSA DO NILO</v>
      </c>
      <c r="N705" s="511">
        <f>IFERROR(INDEX([1]Produtos!$E:$E,MATCH(L705,[1]Produtos!$B:$B,0)), "-")</f>
        <v>220</v>
      </c>
      <c r="O705" s="483" t="str">
        <f>IFERROR(INDEX([1]Produtos!$F:$F,MATCH(L705,[1]Produtos!$B:$B,0)), "-")</f>
        <v>ml</v>
      </c>
      <c r="P705" s="483" t="str">
        <f>IFERROR(INDEX([1]Produtos!$G:$G,MATCH(L705,[1]Produtos!$B:$B,0)), "-")</f>
        <v>MISS RÔSE</v>
      </c>
      <c r="Q705" s="483" t="str">
        <f>IFERROR(INDEX([1]Produtos!$H:$H,MATCH(L705,[1]Produtos!$B:$B,0)), "-")</f>
        <v>PERFUMARIA</v>
      </c>
      <c r="R705" s="483" t="str">
        <f>IFERROR(INDEX([1]Produtos!$I:$I,MATCH(L705,[1]Produtos!$B:$B,0)), "-")</f>
        <v>BODY SPLASH</v>
      </c>
      <c r="S705" s="483" t="str">
        <f>IFERROR(INDEX([1]Produtos!$J:$J,MATCH(L705,[1]Produtos!$B:$B,0)), "-")</f>
        <v>LÍQUIDO</v>
      </c>
      <c r="T705" s="484"/>
      <c r="U705" s="270"/>
      <c r="V705" s="270"/>
      <c r="W705" s="270"/>
      <c r="X705" s="270"/>
      <c r="Y705" s="270"/>
      <c r="Z705" s="270"/>
      <c r="AA705" s="270"/>
      <c r="AB705" s="270"/>
      <c r="AC705" s="270"/>
      <c r="AD705" s="270"/>
      <c r="AE705" s="270"/>
      <c r="AF705" s="270"/>
      <c r="AG705" s="270"/>
      <c r="AH705" s="270"/>
      <c r="AI705" s="270"/>
      <c r="AJ705" s="270"/>
      <c r="AK705" s="270"/>
      <c r="AL705" s="270"/>
      <c r="AM705" s="663"/>
      <c r="AN705" s="663"/>
      <c r="AO705" s="708" t="str">
        <f>IF(OR(Table1[[#This Row],[Início Setup Envase]]="",Table1[[#This Row],[Final Setup Envase]]=""),"",Table1[[#This Row],[Final Setup Envase]]-Table1[[#This Row],[Início Setup Envase]])</f>
        <v/>
      </c>
      <c r="AP705" s="663"/>
      <c r="AQ705" s="663"/>
      <c r="AR705" s="270"/>
      <c r="AS705" s="270"/>
      <c r="AT705" s="270"/>
      <c r="AU705" s="270"/>
      <c r="AV705" s="270"/>
      <c r="AW705" s="270"/>
      <c r="AX705" s="270"/>
      <c r="AY705" s="270"/>
      <c r="AZ705" s="270"/>
      <c r="BA705" s="270">
        <f>IF(Table1[[#This Row],[Data de Início]]="","",YEAR(Table1[[#This Row],[Data de Início]]))</f>
        <v>2025</v>
      </c>
      <c r="BB705" s="270">
        <f>IF(Table1[[#This Row],[Data de Início]]="","",MONTH(Table1[[#This Row],[Data de Início]]))</f>
        <v>12</v>
      </c>
      <c r="BC705" s="270"/>
    </row>
    <row r="706" spans="2:55" ht="15" customHeight="1" x14ac:dyDescent="0.25">
      <c r="B706" s="489">
        <v>46007.320833333331</v>
      </c>
      <c r="C706" s="490">
        <v>46007.458333333336</v>
      </c>
      <c r="D706" s="477" cm="1">
        <f t="array" ref="D706">IFERROR(HorasUteisFabrica2Turnos(B706,C706), "")</f>
        <v>3.3000000001047738</v>
      </c>
      <c r="E706" s="478">
        <f t="shared" si="10"/>
        <v>770.90909088461478</v>
      </c>
      <c r="F706" s="479" t="s">
        <v>378</v>
      </c>
      <c r="G706" s="266" t="s">
        <v>1103</v>
      </c>
      <c r="H706" s="479"/>
      <c r="I706" s="480" t="s">
        <v>1160</v>
      </c>
      <c r="J706" s="481" t="s">
        <v>15</v>
      </c>
      <c r="K706" s="482">
        <v>2544</v>
      </c>
      <c r="L706" s="495" t="s">
        <v>213</v>
      </c>
      <c r="M706" s="483" t="str">
        <f>IFERROR(INDEX([1]Produtos!$C:$C,MATCH(L706,[1]Produtos!$B:$B,0)), "-")</f>
        <v>BODY SPLASH DEUSA DO NILO</v>
      </c>
      <c r="N706" s="511">
        <f>IFERROR(INDEX([1]Produtos!$E:$E,MATCH(L706,[1]Produtos!$B:$B,0)), "-")</f>
        <v>220</v>
      </c>
      <c r="O706" s="483" t="str">
        <f>IFERROR(INDEX([1]Produtos!$F:$F,MATCH(L706,[1]Produtos!$B:$B,0)), "-")</f>
        <v>ml</v>
      </c>
      <c r="P706" s="483" t="str">
        <f>IFERROR(INDEX([1]Produtos!$G:$G,MATCH(L706,[1]Produtos!$B:$B,0)), "-")</f>
        <v>MISS RÔSE</v>
      </c>
      <c r="Q706" s="483" t="str">
        <f>IFERROR(INDEX([1]Produtos!$H:$H,MATCH(L706,[1]Produtos!$B:$B,0)), "-")</f>
        <v>PERFUMARIA</v>
      </c>
      <c r="R706" s="483" t="str">
        <f>IFERROR(INDEX([1]Produtos!$I:$I,MATCH(L706,[1]Produtos!$B:$B,0)), "-")</f>
        <v>BODY SPLASH</v>
      </c>
      <c r="S706" s="483" t="str">
        <f>IFERROR(INDEX([1]Produtos!$J:$J,MATCH(L706,[1]Produtos!$B:$B,0)), "-")</f>
        <v>LÍQUIDO</v>
      </c>
      <c r="T706" s="484"/>
      <c r="U706" s="270"/>
      <c r="V706" s="270"/>
      <c r="W706" s="270"/>
      <c r="X706" s="270"/>
      <c r="Y706" s="270"/>
      <c r="Z706" s="270"/>
      <c r="AA706" s="270"/>
      <c r="AB706" s="270"/>
      <c r="AC706" s="270"/>
      <c r="AD706" s="270"/>
      <c r="AE706" s="270"/>
      <c r="AF706" s="270"/>
      <c r="AG706" s="270"/>
      <c r="AH706" s="270"/>
      <c r="AI706" s="270"/>
      <c r="AJ706" s="270"/>
      <c r="AK706" s="270"/>
      <c r="AL706" s="270"/>
      <c r="AM706" s="663"/>
      <c r="AN706" s="663"/>
      <c r="AO706" s="708" t="str">
        <f>IF(OR(Table1[[#This Row],[Início Setup Envase]]="",Table1[[#This Row],[Final Setup Envase]]=""),"",Table1[[#This Row],[Final Setup Envase]]-Table1[[#This Row],[Início Setup Envase]])</f>
        <v/>
      </c>
      <c r="AP706" s="663"/>
      <c r="AQ706" s="663"/>
      <c r="AR706" s="270"/>
      <c r="AS706" s="270"/>
      <c r="AT706" s="270"/>
      <c r="AU706" s="270"/>
      <c r="AV706" s="270"/>
      <c r="AW706" s="270"/>
      <c r="AX706" s="270"/>
      <c r="AY706" s="270"/>
      <c r="AZ706" s="270"/>
      <c r="BA706" s="270">
        <f>IF(Table1[[#This Row],[Data de Início]]="","",YEAR(Table1[[#This Row],[Data de Início]]))</f>
        <v>2025</v>
      </c>
      <c r="BB706" s="270">
        <f>IF(Table1[[#This Row],[Data de Início]]="","",MONTH(Table1[[#This Row],[Data de Início]]))</f>
        <v>12</v>
      </c>
      <c r="BC706" s="270"/>
    </row>
    <row r="707" spans="2:55" ht="15" customHeight="1" x14ac:dyDescent="0.25">
      <c r="B707" s="489">
        <v>46007.635416666664</v>
      </c>
      <c r="C707" s="490">
        <v>46007.902777777781</v>
      </c>
      <c r="D707" s="477" cm="1">
        <f t="array" ref="D707">IFERROR(HorasUteisFabrica2Turnos(B707,C707), "")</f>
        <v>6.4166666668024845</v>
      </c>
      <c r="E707" s="478">
        <f t="shared" ref="E707:E770" si="11">IFERROR(K707/D707, "")</f>
        <v>89.142857140970307</v>
      </c>
      <c r="F707" s="479" t="s">
        <v>377</v>
      </c>
      <c r="G707" s="266" t="s">
        <v>1037</v>
      </c>
      <c r="H707" s="479"/>
      <c r="I707" s="480" t="s">
        <v>1165</v>
      </c>
      <c r="J707" s="481" t="s">
        <v>15</v>
      </c>
      <c r="K707" s="482">
        <v>572</v>
      </c>
      <c r="L707" s="518" t="s">
        <v>402</v>
      </c>
      <c r="M707" s="483" t="str">
        <f>IFERROR(INDEX([1]Produtos!$C:$C,MATCH(L707,[1]Produtos!$B:$B,0)), "-")</f>
        <v>BASE PARA PERFUME FINA BASE PREMIUM 1l</v>
      </c>
      <c r="N707" s="511">
        <f>IFERROR(INDEX([1]Produtos!$E:$E,MATCH(L707,[1]Produtos!$B:$B,0)), "-")</f>
        <v>1000</v>
      </c>
      <c r="O707" s="483" t="str">
        <f>IFERROR(INDEX([1]Produtos!$F:$F,MATCH(L707,[1]Produtos!$B:$B,0)), "-")</f>
        <v>ml</v>
      </c>
      <c r="P707" s="483" t="str">
        <f>IFERROR(INDEX([1]Produtos!$G:$G,MATCH(L707,[1]Produtos!$B:$B,0)), "-")</f>
        <v>KURYOS</v>
      </c>
      <c r="Q707" s="483" t="str">
        <f>IFERROR(INDEX([1]Produtos!$H:$H,MATCH(L707,[1]Produtos!$B:$B,0)), "-")</f>
        <v>BASE</v>
      </c>
      <c r="R707" s="483" t="str">
        <f>IFERROR(INDEX([1]Produtos!$I:$I,MATCH(L707,[1]Produtos!$B:$B,0)), "-")</f>
        <v>BASE</v>
      </c>
      <c r="S707" s="483" t="str">
        <f>IFERROR(INDEX([1]Produtos!$J:$J,MATCH(L707,[1]Produtos!$B:$B,0)), "-")</f>
        <v>LÍQUIDO</v>
      </c>
      <c r="T707" s="484"/>
      <c r="U707" s="270"/>
      <c r="V707" s="270"/>
      <c r="W707" s="270"/>
      <c r="X707" s="270"/>
      <c r="Y707" s="270"/>
      <c r="Z707" s="270"/>
      <c r="AA707" s="270"/>
      <c r="AB707" s="270"/>
      <c r="AC707" s="270"/>
      <c r="AD707" s="270"/>
      <c r="AE707" s="270"/>
      <c r="AF707" s="270"/>
      <c r="AG707" s="270"/>
      <c r="AH707" s="270"/>
      <c r="AI707" s="270"/>
      <c r="AJ707" s="270"/>
      <c r="AK707" s="270"/>
      <c r="AL707" s="270"/>
      <c r="AM707" s="663"/>
      <c r="AN707" s="663"/>
      <c r="AO707" s="708" t="str">
        <f>IF(OR(Table1[[#This Row],[Início Setup Envase]]="",Table1[[#This Row],[Final Setup Envase]]=""),"",Table1[[#This Row],[Final Setup Envase]]-Table1[[#This Row],[Início Setup Envase]])</f>
        <v/>
      </c>
      <c r="AP707" s="663"/>
      <c r="AQ707" s="663"/>
      <c r="AR707" s="270"/>
      <c r="AS707" s="270"/>
      <c r="AT707" s="270"/>
      <c r="AU707" s="270"/>
      <c r="AV707" s="270"/>
      <c r="AW707" s="270"/>
      <c r="AX707" s="270"/>
      <c r="AY707" s="270"/>
      <c r="AZ707" s="270"/>
      <c r="BA707" s="270">
        <f>IF(Table1[[#This Row],[Data de Início]]="","",YEAR(Table1[[#This Row],[Data de Início]]))</f>
        <v>2025</v>
      </c>
      <c r="BB707" s="270">
        <f>IF(Table1[[#This Row],[Data de Início]]="","",MONTH(Table1[[#This Row],[Data de Início]]))</f>
        <v>12</v>
      </c>
      <c r="BC707" s="270"/>
    </row>
    <row r="708" spans="2:55" ht="15" customHeight="1" x14ac:dyDescent="0.25">
      <c r="B708" s="489">
        <v>46007.636111111111</v>
      </c>
      <c r="C708" s="490">
        <v>46007.715277777781</v>
      </c>
      <c r="D708" s="477" cm="1">
        <f t="array" ref="D708">IFERROR(HorasUteisFabrica2Turnos(B708,C708), "")</f>
        <v>1.9000000000814907</v>
      </c>
      <c r="E708" s="478">
        <f t="shared" si="11"/>
        <v>451.5789473490529</v>
      </c>
      <c r="F708" s="479" t="s">
        <v>377</v>
      </c>
      <c r="G708" s="266" t="s">
        <v>1046</v>
      </c>
      <c r="H708" s="479"/>
      <c r="I708" s="480" t="s">
        <v>1167</v>
      </c>
      <c r="J708" s="481" t="s">
        <v>15</v>
      </c>
      <c r="K708" s="482">
        <v>858</v>
      </c>
      <c r="L708" s="495" t="s">
        <v>1166</v>
      </c>
      <c r="M708" s="483" t="str">
        <f>IFERROR(INDEX([1]Produtos!$C:$C,MATCH(L708,[1]Produtos!$B:$B,0)), "-")</f>
        <v>BODY MIST TESOURO DO OASIS</v>
      </c>
      <c r="N708" s="511">
        <f>IFERROR(INDEX([1]Produtos!$E:$E,MATCH(L708,[1]Produtos!$B:$B,0)), "-")</f>
        <v>250</v>
      </c>
      <c r="O708" s="483" t="str">
        <f>IFERROR(INDEX([1]Produtos!$F:$F,MATCH(L708,[1]Produtos!$B:$B,0)), "-")</f>
        <v>ml</v>
      </c>
      <c r="P708" s="483" t="str">
        <f>IFERROR(INDEX([1]Produtos!$G:$G,MATCH(L708,[1]Produtos!$B:$B,0)), "-")</f>
        <v>AMEERATI</v>
      </c>
      <c r="Q708" s="483" t="str">
        <f>IFERROR(INDEX([1]Produtos!$H:$H,MATCH(L708,[1]Produtos!$B:$B,0)), "-")</f>
        <v>PERFUMARIA</v>
      </c>
      <c r="R708" s="483" t="str">
        <f>IFERROR(INDEX([1]Produtos!$I:$I,MATCH(L708,[1]Produtos!$B:$B,0)), "-")</f>
        <v>BODY SPLASH</v>
      </c>
      <c r="S708" s="483" t="str">
        <f>IFERROR(INDEX([1]Produtos!$J:$J,MATCH(L708,[1]Produtos!$B:$B,0)), "-")</f>
        <v>LÍQUIDO</v>
      </c>
      <c r="T708" s="484"/>
      <c r="U708" s="270"/>
      <c r="V708" s="270"/>
      <c r="W708" s="270"/>
      <c r="X708" s="270"/>
      <c r="Y708" s="270"/>
      <c r="Z708" s="270"/>
      <c r="AA708" s="270"/>
      <c r="AB708" s="270"/>
      <c r="AC708" s="270"/>
      <c r="AD708" s="270"/>
      <c r="AE708" s="270"/>
      <c r="AF708" s="270"/>
      <c r="AG708" s="270"/>
      <c r="AH708" s="270"/>
      <c r="AI708" s="270"/>
      <c r="AJ708" s="270"/>
      <c r="AK708" s="270"/>
      <c r="AL708" s="270"/>
      <c r="AM708" s="663"/>
      <c r="AN708" s="663"/>
      <c r="AO708" s="708" t="str">
        <f>IF(OR(Table1[[#This Row],[Início Setup Envase]]="",Table1[[#This Row],[Final Setup Envase]]=""),"",Table1[[#This Row],[Final Setup Envase]]-Table1[[#This Row],[Início Setup Envase]])</f>
        <v/>
      </c>
      <c r="AP708" s="663"/>
      <c r="AQ708" s="663"/>
      <c r="AR708" s="270"/>
      <c r="AS708" s="270"/>
      <c r="AT708" s="270"/>
      <c r="AU708" s="270"/>
      <c r="AV708" s="270"/>
      <c r="AW708" s="270"/>
      <c r="AX708" s="270"/>
      <c r="AY708" s="270"/>
      <c r="AZ708" s="270"/>
      <c r="BA708" s="270">
        <f>IF(Table1[[#This Row],[Data de Início]]="","",YEAR(Table1[[#This Row],[Data de Início]]))</f>
        <v>2025</v>
      </c>
      <c r="BB708" s="270">
        <f>IF(Table1[[#This Row],[Data de Início]]="","",MONTH(Table1[[#This Row],[Data de Início]]))</f>
        <v>12</v>
      </c>
      <c r="BC708" s="270"/>
    </row>
    <row r="709" spans="2:55" ht="15" customHeight="1" x14ac:dyDescent="0.25">
      <c r="B709" s="489">
        <v>46007.729166666664</v>
      </c>
      <c r="C709" s="490">
        <v>46007.833333333336</v>
      </c>
      <c r="D709" s="477" cm="1">
        <f t="array" ref="D709">IFERROR(HorasUteisFabrica2Turnos(B709,C709), "")</f>
        <v>2.5000000001164153</v>
      </c>
      <c r="E709" s="478">
        <f t="shared" si="11"/>
        <v>341.99999998407441</v>
      </c>
      <c r="F709" s="479" t="s">
        <v>377</v>
      </c>
      <c r="G709" s="266" t="s">
        <v>1046</v>
      </c>
      <c r="H709" s="479"/>
      <c r="I709" s="480" t="s">
        <v>1169</v>
      </c>
      <c r="J709" s="481" t="s">
        <v>15</v>
      </c>
      <c r="K709" s="482">
        <v>855</v>
      </c>
      <c r="L709" s="495" t="s">
        <v>1168</v>
      </c>
      <c r="M709" s="483" t="str">
        <f>IFERROR(INDEX([1]Produtos!$C:$C,MATCH(L709,[1]Produtos!$B:$B,0)), "-")</f>
        <v>BODY MIST JARDINS DO ORIENTE</v>
      </c>
      <c r="N709" s="511">
        <f>IFERROR(INDEX([1]Produtos!$E:$E,MATCH(L709,[1]Produtos!$B:$B,0)), "-")</f>
        <v>250</v>
      </c>
      <c r="O709" s="483" t="str">
        <f>IFERROR(INDEX([1]Produtos!$F:$F,MATCH(L709,[1]Produtos!$B:$B,0)), "-")</f>
        <v>ml</v>
      </c>
      <c r="P709" s="483" t="str">
        <f>IFERROR(INDEX([1]Produtos!$G:$G,MATCH(L709,[1]Produtos!$B:$B,0)), "-")</f>
        <v>AMEERATI</v>
      </c>
      <c r="Q709" s="483" t="str">
        <f>IFERROR(INDEX([1]Produtos!$H:$H,MATCH(L709,[1]Produtos!$B:$B,0)), "-")</f>
        <v>PERFUMARIA</v>
      </c>
      <c r="R709" s="483" t="str">
        <f>IFERROR(INDEX([1]Produtos!$I:$I,MATCH(L709,[1]Produtos!$B:$B,0)), "-")</f>
        <v>BODY SPLASH</v>
      </c>
      <c r="S709" s="483" t="str">
        <f>IFERROR(INDEX([1]Produtos!$J:$J,MATCH(L709,[1]Produtos!$B:$B,0)), "-")</f>
        <v>LÍQUIDO</v>
      </c>
      <c r="T709" s="484"/>
      <c r="U709" s="270"/>
      <c r="V709" s="270"/>
      <c r="W709" s="270"/>
      <c r="X709" s="270"/>
      <c r="Y709" s="270"/>
      <c r="Z709" s="270"/>
      <c r="AA709" s="270"/>
      <c r="AB709" s="270"/>
      <c r="AC709" s="270"/>
      <c r="AD709" s="270"/>
      <c r="AE709" s="270"/>
      <c r="AF709" s="270"/>
      <c r="AG709" s="270"/>
      <c r="AH709" s="270"/>
      <c r="AI709" s="270"/>
      <c r="AJ709" s="270"/>
      <c r="AK709" s="270"/>
      <c r="AL709" s="270"/>
      <c r="AM709" s="663"/>
      <c r="AN709" s="663"/>
      <c r="AO709" s="708" t="str">
        <f>IF(OR(Table1[[#This Row],[Início Setup Envase]]="",Table1[[#This Row],[Final Setup Envase]]=""),"",Table1[[#This Row],[Final Setup Envase]]-Table1[[#This Row],[Início Setup Envase]])</f>
        <v/>
      </c>
      <c r="AP709" s="663"/>
      <c r="AQ709" s="663"/>
      <c r="AR709" s="270"/>
      <c r="AS709" s="270"/>
      <c r="AT709" s="270"/>
      <c r="AU709" s="270"/>
      <c r="AV709" s="270"/>
      <c r="AW709" s="270"/>
      <c r="AX709" s="270"/>
      <c r="AY709" s="270"/>
      <c r="AZ709" s="270"/>
      <c r="BA709" s="270">
        <f>IF(Table1[[#This Row],[Data de Início]]="","",YEAR(Table1[[#This Row],[Data de Início]]))</f>
        <v>2025</v>
      </c>
      <c r="BB709" s="270">
        <f>IF(Table1[[#This Row],[Data de Início]]="","",MONTH(Table1[[#This Row],[Data de Início]]))</f>
        <v>12</v>
      </c>
      <c r="BC709" s="270"/>
    </row>
    <row r="710" spans="2:55" ht="15" customHeight="1" x14ac:dyDescent="0.25">
      <c r="B710" s="489">
        <v>46007.833333333336</v>
      </c>
      <c r="C710" s="490">
        <v>46007.916666666664</v>
      </c>
      <c r="D710" s="477" cm="1">
        <f t="array" ref="D710">IFERROR(HorasUteisFabrica2Turnos(B710,C710), "")</f>
        <v>1.9999999998835847</v>
      </c>
      <c r="E710" s="478">
        <f t="shared" si="11"/>
        <v>429.00000002497109</v>
      </c>
      <c r="F710" s="479" t="s">
        <v>377</v>
      </c>
      <c r="G710" s="266" t="s">
        <v>1046</v>
      </c>
      <c r="H710" s="479"/>
      <c r="I710" s="480" t="s">
        <v>1179</v>
      </c>
      <c r="J710" s="481" t="s">
        <v>15</v>
      </c>
      <c r="K710" s="482">
        <v>858</v>
      </c>
      <c r="L710" s="495" t="s">
        <v>1178</v>
      </c>
      <c r="M710" s="483" t="str">
        <f>IFERROR(INDEX([1]Produtos!$C:$C,MATCH(L710,[1]Produtos!$B:$B,0)), "-")</f>
        <v>BODY MIST PEROLA DO DESERTO</v>
      </c>
      <c r="N710" s="511">
        <f>IFERROR(INDEX([1]Produtos!$E:$E,MATCH(L710,[1]Produtos!$B:$B,0)), "-")</f>
        <v>250</v>
      </c>
      <c r="O710" s="483" t="str">
        <f>IFERROR(INDEX([1]Produtos!$F:$F,MATCH(L710,[1]Produtos!$B:$B,0)), "-")</f>
        <v>ml</v>
      </c>
      <c r="P710" s="483" t="str">
        <f>IFERROR(INDEX([1]Produtos!$G:$G,MATCH(L710,[1]Produtos!$B:$B,0)), "-")</f>
        <v>AMEERATI</v>
      </c>
      <c r="Q710" s="483" t="str">
        <f>IFERROR(INDEX([1]Produtos!$H:$H,MATCH(L710,[1]Produtos!$B:$B,0)), "-")</f>
        <v>PERFUMARIA</v>
      </c>
      <c r="R710" s="483" t="str">
        <f>IFERROR(INDEX([1]Produtos!$I:$I,MATCH(L710,[1]Produtos!$B:$B,0)), "-")</f>
        <v>BODY SPLASH</v>
      </c>
      <c r="S710" s="483" t="str">
        <f>IFERROR(INDEX([1]Produtos!$J:$J,MATCH(L710,[1]Produtos!$B:$B,0)), "-")</f>
        <v>LÍQUIDO</v>
      </c>
      <c r="T710" s="484"/>
      <c r="U710" s="270"/>
      <c r="V710" s="270"/>
      <c r="W710" s="270"/>
      <c r="X710" s="270"/>
      <c r="Y710" s="270"/>
      <c r="Z710" s="270"/>
      <c r="AA710" s="270"/>
      <c r="AB710" s="270"/>
      <c r="AC710" s="270"/>
      <c r="AD710" s="270"/>
      <c r="AE710" s="270"/>
      <c r="AF710" s="270"/>
      <c r="AG710" s="270"/>
      <c r="AH710" s="270"/>
      <c r="AI710" s="270"/>
      <c r="AJ710" s="270"/>
      <c r="AK710" s="270"/>
      <c r="AL710" s="270"/>
      <c r="AM710" s="663"/>
      <c r="AN710" s="663"/>
      <c r="AO710" s="708" t="str">
        <f>IF(OR(Table1[[#This Row],[Início Setup Envase]]="",Table1[[#This Row],[Final Setup Envase]]=""),"",Table1[[#This Row],[Final Setup Envase]]-Table1[[#This Row],[Início Setup Envase]])</f>
        <v/>
      </c>
      <c r="AP710" s="663"/>
      <c r="AQ710" s="663"/>
      <c r="AR710" s="270"/>
      <c r="AS710" s="270"/>
      <c r="AT710" s="270"/>
      <c r="AU710" s="270"/>
      <c r="AV710" s="270"/>
      <c r="AW710" s="270"/>
      <c r="AX710" s="270"/>
      <c r="AY710" s="270"/>
      <c r="AZ710" s="270"/>
      <c r="BA710" s="270">
        <f>IF(Table1[[#This Row],[Data de Início]]="","",YEAR(Table1[[#This Row],[Data de Início]]))</f>
        <v>2025</v>
      </c>
      <c r="BB710" s="270">
        <f>IF(Table1[[#This Row],[Data de Início]]="","",MONTH(Table1[[#This Row],[Data de Início]]))</f>
        <v>12</v>
      </c>
      <c r="BC710" s="270"/>
    </row>
    <row r="711" spans="2:55" ht="15" customHeight="1" x14ac:dyDescent="0.25">
      <c r="B711" s="489">
        <v>46008.319444444445</v>
      </c>
      <c r="C711" s="490">
        <v>46008.4</v>
      </c>
      <c r="D711" s="477" cm="1">
        <f t="array" ref="D711">IFERROR(HorasUteisFabrica2Turnos(B711,C711), "")</f>
        <v>1.9333333333488554</v>
      </c>
      <c r="E711" s="478">
        <f t="shared" si="11"/>
        <v>442.24137930679422</v>
      </c>
      <c r="F711" s="479" t="s">
        <v>377</v>
      </c>
      <c r="G711" s="266" t="s">
        <v>1046</v>
      </c>
      <c r="H711" s="479"/>
      <c r="I711" s="480" t="s">
        <v>1173</v>
      </c>
      <c r="J711" s="481" t="s">
        <v>15</v>
      </c>
      <c r="K711" s="482">
        <v>855</v>
      </c>
      <c r="L711" s="495" t="s">
        <v>1172</v>
      </c>
      <c r="M711" s="483" t="str">
        <f>IFERROR(INDEX([1]Produtos!$C:$C,MATCH(L711,[1]Produtos!$B:$B,0)), "-")</f>
        <v>BODY MIST FLOR DO DESERTO</v>
      </c>
      <c r="N711" s="511">
        <f>IFERROR(INDEX([1]Produtos!$E:$E,MATCH(L711,[1]Produtos!$B:$B,0)), "-")</f>
        <v>250</v>
      </c>
      <c r="O711" s="483" t="str">
        <f>IFERROR(INDEX([1]Produtos!$F:$F,MATCH(L711,[1]Produtos!$B:$B,0)), "-")</f>
        <v>ml</v>
      </c>
      <c r="P711" s="483" t="str">
        <f>IFERROR(INDEX([1]Produtos!$G:$G,MATCH(L711,[1]Produtos!$B:$B,0)), "-")</f>
        <v>AMEERATI</v>
      </c>
      <c r="Q711" s="483" t="str">
        <f>IFERROR(INDEX([1]Produtos!$H:$H,MATCH(L711,[1]Produtos!$B:$B,0)), "-")</f>
        <v>PERFUMARIA</v>
      </c>
      <c r="R711" s="483" t="str">
        <f>IFERROR(INDEX([1]Produtos!$I:$I,MATCH(L711,[1]Produtos!$B:$B,0)), "-")</f>
        <v>BODY SPLASH</v>
      </c>
      <c r="S711" s="483" t="str">
        <f>IFERROR(INDEX([1]Produtos!$J:$J,MATCH(L711,[1]Produtos!$B:$B,0)), "-")</f>
        <v>LÍQUIDO</v>
      </c>
      <c r="T711" s="484"/>
      <c r="U711" s="270"/>
      <c r="V711" s="270"/>
      <c r="W711" s="270"/>
      <c r="X711" s="270"/>
      <c r="Y711" s="270"/>
      <c r="Z711" s="270"/>
      <c r="AA711" s="270"/>
      <c r="AB711" s="270"/>
      <c r="AC711" s="270"/>
      <c r="AD711" s="270"/>
      <c r="AE711" s="270"/>
      <c r="AF711" s="270"/>
      <c r="AG711" s="270"/>
      <c r="AH711" s="270"/>
      <c r="AI711" s="270"/>
      <c r="AJ711" s="270"/>
      <c r="AK711" s="270"/>
      <c r="AL711" s="270"/>
      <c r="AM711" s="663"/>
      <c r="AN711" s="663"/>
      <c r="AO711" s="708" t="str">
        <f>IF(OR(Table1[[#This Row],[Início Setup Envase]]="",Table1[[#This Row],[Final Setup Envase]]=""),"",Table1[[#This Row],[Final Setup Envase]]-Table1[[#This Row],[Início Setup Envase]])</f>
        <v/>
      </c>
      <c r="AP711" s="663"/>
      <c r="AQ711" s="663"/>
      <c r="AR711" s="270"/>
      <c r="AS711" s="270"/>
      <c r="AT711" s="270"/>
      <c r="AU711" s="270"/>
      <c r="AV711" s="270"/>
      <c r="AW711" s="270"/>
      <c r="AX711" s="270"/>
      <c r="AY711" s="270"/>
      <c r="AZ711" s="270"/>
      <c r="BA711" s="270">
        <f>IF(Table1[[#This Row],[Data de Início]]="","",YEAR(Table1[[#This Row],[Data de Início]]))</f>
        <v>2025</v>
      </c>
      <c r="BB711" s="270">
        <f>IF(Table1[[#This Row],[Data de Início]]="","",MONTH(Table1[[#This Row],[Data de Início]]))</f>
        <v>12</v>
      </c>
      <c r="BC711" s="270"/>
    </row>
    <row r="712" spans="2:55" ht="15" customHeight="1" x14ac:dyDescent="0.25">
      <c r="B712" s="489">
        <v>46008.400694444441</v>
      </c>
      <c r="C712" s="490">
        <v>46008.472222222219</v>
      </c>
      <c r="D712" s="477" cm="1">
        <f t="array" ref="D712">IFERROR(HorasUteisFabrica2Turnos(B712,C712), "")</f>
        <v>1.7166666666744277</v>
      </c>
      <c r="E712" s="478">
        <f t="shared" si="11"/>
        <v>501.55339805598493</v>
      </c>
      <c r="F712" s="479" t="s">
        <v>377</v>
      </c>
      <c r="G712" s="266" t="s">
        <v>1046</v>
      </c>
      <c r="H712" s="479"/>
      <c r="I712" s="480" t="s">
        <v>1170</v>
      </c>
      <c r="J712" s="481" t="s">
        <v>15</v>
      </c>
      <c r="K712" s="482">
        <v>861</v>
      </c>
      <c r="L712" s="495" t="s">
        <v>1171</v>
      </c>
      <c r="M712" s="483" t="str">
        <f>IFERROR(INDEX([1]Produtos!$C:$C,MATCH(L712,[1]Produtos!$B:$B,0)), "-")</f>
        <v>BODY MIST RARO ELIXIR</v>
      </c>
      <c r="N712" s="511">
        <f>IFERROR(INDEX([1]Produtos!$E:$E,MATCH(L712,[1]Produtos!$B:$B,0)), "-")</f>
        <v>250</v>
      </c>
      <c r="O712" s="483" t="str">
        <f>IFERROR(INDEX([1]Produtos!$F:$F,MATCH(L712,[1]Produtos!$B:$B,0)), "-")</f>
        <v>ml</v>
      </c>
      <c r="P712" s="483" t="str">
        <f>IFERROR(INDEX([1]Produtos!$G:$G,MATCH(L712,[1]Produtos!$B:$B,0)), "-")</f>
        <v>AMEERATI</v>
      </c>
      <c r="Q712" s="483" t="str">
        <f>IFERROR(INDEX([1]Produtos!$H:$H,MATCH(L712,[1]Produtos!$B:$B,0)), "-")</f>
        <v>PERFUMARIA</v>
      </c>
      <c r="R712" s="483" t="str">
        <f>IFERROR(INDEX([1]Produtos!$I:$I,MATCH(L712,[1]Produtos!$B:$B,0)), "-")</f>
        <v>BODY SPLASH</v>
      </c>
      <c r="S712" s="483" t="str">
        <f>IFERROR(INDEX([1]Produtos!$J:$J,MATCH(L712,[1]Produtos!$B:$B,0)), "-")</f>
        <v>LÍQUIDO</v>
      </c>
      <c r="T712" s="484"/>
      <c r="U712" s="270"/>
      <c r="V712" s="270"/>
      <c r="W712" s="270"/>
      <c r="X712" s="270"/>
      <c r="Y712" s="270"/>
      <c r="Z712" s="270"/>
      <c r="AA712" s="270"/>
      <c r="AB712" s="270"/>
      <c r="AC712" s="270"/>
      <c r="AD712" s="270"/>
      <c r="AE712" s="270"/>
      <c r="AF712" s="270"/>
      <c r="AG712" s="270"/>
      <c r="AH712" s="270"/>
      <c r="AI712" s="270"/>
      <c r="AJ712" s="270"/>
      <c r="AK712" s="270"/>
      <c r="AL712" s="270"/>
      <c r="AM712" s="663"/>
      <c r="AN712" s="663"/>
      <c r="AO712" s="708" t="str">
        <f>IF(OR(Table1[[#This Row],[Início Setup Envase]]="",Table1[[#This Row],[Final Setup Envase]]=""),"",Table1[[#This Row],[Final Setup Envase]]-Table1[[#This Row],[Início Setup Envase]])</f>
        <v/>
      </c>
      <c r="AP712" s="663"/>
      <c r="AQ712" s="663"/>
      <c r="AR712" s="270"/>
      <c r="AS712" s="270"/>
      <c r="AT712" s="270"/>
      <c r="AU712" s="270"/>
      <c r="AV712" s="270"/>
      <c r="AW712" s="270"/>
      <c r="AX712" s="270"/>
      <c r="AY712" s="270"/>
      <c r="AZ712" s="270"/>
      <c r="BA712" s="270">
        <f>IF(Table1[[#This Row],[Data de Início]]="","",YEAR(Table1[[#This Row],[Data de Início]]))</f>
        <v>2025</v>
      </c>
      <c r="BB712" s="270">
        <f>IF(Table1[[#This Row],[Data de Início]]="","",MONTH(Table1[[#This Row],[Data de Início]]))</f>
        <v>12</v>
      </c>
      <c r="BC712" s="270"/>
    </row>
    <row r="713" spans="2:55" ht="15" customHeight="1" x14ac:dyDescent="0.25">
      <c r="B713" s="489">
        <v>46008.458333333336</v>
      </c>
      <c r="C713" s="490">
        <v>46008.645833333336</v>
      </c>
      <c r="D713" s="477" cm="1">
        <f t="array" ref="D713">IFERROR(HorasUteisFabrica2Turnos(B713,C713), "")</f>
        <v>3.5</v>
      </c>
      <c r="E713" s="478">
        <f t="shared" si="11"/>
        <v>132</v>
      </c>
      <c r="F713" s="479" t="s">
        <v>378</v>
      </c>
      <c r="G713" s="266" t="s">
        <v>1037</v>
      </c>
      <c r="H713" s="479"/>
      <c r="I713" s="480" t="s">
        <v>1180</v>
      </c>
      <c r="J713" s="481" t="s">
        <v>15</v>
      </c>
      <c r="K713" s="482">
        <v>462</v>
      </c>
      <c r="L713" s="271" t="s">
        <v>402</v>
      </c>
      <c r="M713" s="483" t="str">
        <f>IFERROR(INDEX([1]Produtos!$C:$C,MATCH(L713,[1]Produtos!$B:$B,0)), "-")</f>
        <v>BASE PARA PERFUME FINA BASE PREMIUM 1l</v>
      </c>
      <c r="N713" s="511">
        <f>IFERROR(INDEX([1]Produtos!$E:$E,MATCH(L713,[1]Produtos!$B:$B,0)), "-")</f>
        <v>1000</v>
      </c>
      <c r="O713" s="483" t="str">
        <f>IFERROR(INDEX([1]Produtos!$F:$F,MATCH(L713,[1]Produtos!$B:$B,0)), "-")</f>
        <v>ml</v>
      </c>
      <c r="P713" s="483" t="str">
        <f>IFERROR(INDEX([1]Produtos!$G:$G,MATCH(L713,[1]Produtos!$B:$B,0)), "-")</f>
        <v>KURYOS</v>
      </c>
      <c r="Q713" s="483" t="str">
        <f>IFERROR(INDEX([1]Produtos!$H:$H,MATCH(L713,[1]Produtos!$B:$B,0)), "-")</f>
        <v>BASE</v>
      </c>
      <c r="R713" s="483" t="str">
        <f>IFERROR(INDEX([1]Produtos!$I:$I,MATCH(L713,[1]Produtos!$B:$B,0)), "-")</f>
        <v>BASE</v>
      </c>
      <c r="S713" s="483" t="str">
        <f>IFERROR(INDEX([1]Produtos!$J:$J,MATCH(L713,[1]Produtos!$B:$B,0)), "-")</f>
        <v>LÍQUIDO</v>
      </c>
      <c r="T713" s="484"/>
      <c r="U713" s="270"/>
      <c r="V713" s="270"/>
      <c r="W713" s="270"/>
      <c r="X713" s="270"/>
      <c r="Y713" s="270"/>
      <c r="Z713" s="270"/>
      <c r="AA713" s="270"/>
      <c r="AB713" s="270"/>
      <c r="AC713" s="270"/>
      <c r="AD713" s="270"/>
      <c r="AE713" s="270"/>
      <c r="AF713" s="270"/>
      <c r="AG713" s="270"/>
      <c r="AH713" s="270"/>
      <c r="AI713" s="270"/>
      <c r="AJ713" s="270"/>
      <c r="AK713" s="270"/>
      <c r="AL713" s="270"/>
      <c r="AM713" s="663"/>
      <c r="AN713" s="663"/>
      <c r="AO713" s="708" t="str">
        <f>IF(OR(Table1[[#This Row],[Início Setup Envase]]="",Table1[[#This Row],[Final Setup Envase]]=""),"",Table1[[#This Row],[Final Setup Envase]]-Table1[[#This Row],[Início Setup Envase]])</f>
        <v/>
      </c>
      <c r="AP713" s="663"/>
      <c r="AQ713" s="663"/>
      <c r="AR713" s="270"/>
      <c r="AS713" s="270"/>
      <c r="AT713" s="270"/>
      <c r="AU713" s="270"/>
      <c r="AV713" s="270"/>
      <c r="AW713" s="270"/>
      <c r="AX713" s="270"/>
      <c r="AY713" s="270"/>
      <c r="AZ713" s="270"/>
      <c r="BA713" s="270">
        <f>IF(Table1[[#This Row],[Data de Início]]="","",YEAR(Table1[[#This Row],[Data de Início]]))</f>
        <v>2025</v>
      </c>
      <c r="BB713" s="270">
        <f>IF(Table1[[#This Row],[Data de Início]]="","",MONTH(Table1[[#This Row],[Data de Início]]))</f>
        <v>12</v>
      </c>
      <c r="BC713" s="270"/>
    </row>
    <row r="714" spans="2:55" ht="15" customHeight="1" x14ac:dyDescent="0.25">
      <c r="B714" s="489">
        <v>46008.472222222219</v>
      </c>
      <c r="C714" s="490">
        <v>46008.606249999997</v>
      </c>
      <c r="D714" s="477" cm="1">
        <f t="array" ref="D714">IFERROR(HorasUteisFabrica2Turnos(B714,C714), "")</f>
        <v>2.2166666666744277</v>
      </c>
      <c r="E714" s="478">
        <f t="shared" si="11"/>
        <v>392.03007518659734</v>
      </c>
      <c r="F714" s="479" t="s">
        <v>377</v>
      </c>
      <c r="G714" s="266" t="s">
        <v>1046</v>
      </c>
      <c r="H714" s="479"/>
      <c r="I714" s="480" t="s">
        <v>1176</v>
      </c>
      <c r="J714" s="481" t="s">
        <v>15</v>
      </c>
      <c r="K714" s="482">
        <v>869</v>
      </c>
      <c r="L714" s="495" t="s">
        <v>1177</v>
      </c>
      <c r="M714" s="483" t="str">
        <f>IFERROR(INDEX([1]Produtos!$C:$C,MATCH(L714,[1]Produtos!$B:$B,0)), "-")</f>
        <v>BODY MIST MEL DE ESPECIARIAS</v>
      </c>
      <c r="N714" s="511">
        <f>IFERROR(INDEX([1]Produtos!$E:$E,MATCH(L714,[1]Produtos!$B:$B,0)), "-")</f>
        <v>250</v>
      </c>
      <c r="O714" s="483" t="str">
        <f>IFERROR(INDEX([1]Produtos!$F:$F,MATCH(L714,[1]Produtos!$B:$B,0)), "-")</f>
        <v>ml</v>
      </c>
      <c r="P714" s="483" t="str">
        <f>IFERROR(INDEX([1]Produtos!$G:$G,MATCH(L714,[1]Produtos!$B:$B,0)), "-")</f>
        <v>AMEERATI</v>
      </c>
      <c r="Q714" s="483" t="str">
        <f>IFERROR(INDEX([1]Produtos!$H:$H,MATCH(L714,[1]Produtos!$B:$B,0)), "-")</f>
        <v>PERFUMARIA</v>
      </c>
      <c r="R714" s="483" t="str">
        <f>IFERROR(INDEX([1]Produtos!$I:$I,MATCH(L714,[1]Produtos!$B:$B,0)), "-")</f>
        <v>BODY SPLASH</v>
      </c>
      <c r="S714" s="483" t="str">
        <f>IFERROR(INDEX([1]Produtos!$J:$J,MATCH(L714,[1]Produtos!$B:$B,0)), "-")</f>
        <v>LÍQUIDO</v>
      </c>
      <c r="T714" s="484"/>
      <c r="U714" s="270"/>
      <c r="V714" s="270"/>
      <c r="W714" s="270"/>
      <c r="X714" s="270"/>
      <c r="Y714" s="270"/>
      <c r="Z714" s="270"/>
      <c r="AA714" s="270"/>
      <c r="AB714" s="270"/>
      <c r="AC714" s="270"/>
      <c r="AD714" s="270"/>
      <c r="AE714" s="270"/>
      <c r="AF714" s="270"/>
      <c r="AG714" s="270"/>
      <c r="AH714" s="270"/>
      <c r="AI714" s="270"/>
      <c r="AJ714" s="270"/>
      <c r="AK714" s="270"/>
      <c r="AL714" s="270"/>
      <c r="AM714" s="663"/>
      <c r="AN714" s="663"/>
      <c r="AO714" s="708" t="str">
        <f>IF(OR(Table1[[#This Row],[Início Setup Envase]]="",Table1[[#This Row],[Final Setup Envase]]=""),"",Table1[[#This Row],[Final Setup Envase]]-Table1[[#This Row],[Início Setup Envase]])</f>
        <v/>
      </c>
      <c r="AP714" s="663"/>
      <c r="AQ714" s="663"/>
      <c r="AR714" s="270"/>
      <c r="AS714" s="270"/>
      <c r="AT714" s="270"/>
      <c r="AU714" s="270"/>
      <c r="AV714" s="270"/>
      <c r="AW714" s="270"/>
      <c r="AX714" s="270"/>
      <c r="AY714" s="270"/>
      <c r="AZ714" s="270"/>
      <c r="BA714" s="270">
        <f>IF(Table1[[#This Row],[Data de Início]]="","",YEAR(Table1[[#This Row],[Data de Início]]))</f>
        <v>2025</v>
      </c>
      <c r="BB714" s="270">
        <f>IF(Table1[[#This Row],[Data de Início]]="","",MONTH(Table1[[#This Row],[Data de Início]]))</f>
        <v>12</v>
      </c>
      <c r="BC714" s="270"/>
    </row>
    <row r="715" spans="2:55" ht="15" customHeight="1" x14ac:dyDescent="0.25">
      <c r="B715" s="489">
        <v>46009.304861111108</v>
      </c>
      <c r="C715" s="490">
        <v>46009.381944444445</v>
      </c>
      <c r="D715" s="477" cm="1">
        <f t="array" ref="D715">IFERROR(HorasUteisFabrica2Turnos(B715,C715), "")</f>
        <v>1.8500000000931323</v>
      </c>
      <c r="E715" s="478">
        <f t="shared" si="11"/>
        <v>476.756756732756</v>
      </c>
      <c r="F715" s="479" t="s">
        <v>377</v>
      </c>
      <c r="G715" s="266" t="s">
        <v>1046</v>
      </c>
      <c r="H715" s="479"/>
      <c r="I715" s="480" t="s">
        <v>1181</v>
      </c>
      <c r="J715" s="481" t="s">
        <v>15</v>
      </c>
      <c r="K715" s="482">
        <v>882</v>
      </c>
      <c r="L715" s="495" t="s">
        <v>1182</v>
      </c>
      <c r="M715" s="483" t="str">
        <f>IFERROR(INDEX([1]Produtos!$C:$C,MATCH(L715,[1]Produtos!$B:$B,0)), "-")</f>
        <v>BODY MIST ROSA IMPERIAL</v>
      </c>
      <c r="N715" s="511">
        <f>IFERROR(INDEX([1]Produtos!$E:$E,MATCH(L715,[1]Produtos!$B:$B,0)), "-")</f>
        <v>250</v>
      </c>
      <c r="O715" s="483" t="str">
        <f>IFERROR(INDEX([1]Produtos!$F:$F,MATCH(L715,[1]Produtos!$B:$B,0)), "-")</f>
        <v>ml</v>
      </c>
      <c r="P715" s="483" t="str">
        <f>IFERROR(INDEX([1]Produtos!$G:$G,MATCH(L715,[1]Produtos!$B:$B,0)), "-")</f>
        <v>AMEERATI</v>
      </c>
      <c r="Q715" s="483" t="str">
        <f>IFERROR(INDEX([1]Produtos!$H:$H,MATCH(L715,[1]Produtos!$B:$B,0)), "-")</f>
        <v>PERFUMARIA</v>
      </c>
      <c r="R715" s="483" t="str">
        <f>IFERROR(INDEX([1]Produtos!$I:$I,MATCH(L715,[1]Produtos!$B:$B,0)), "-")</f>
        <v>BODY SPLASH</v>
      </c>
      <c r="S715" s="483" t="str">
        <f>IFERROR(INDEX([1]Produtos!$J:$J,MATCH(L715,[1]Produtos!$B:$B,0)), "-")</f>
        <v>LÍQUIDO</v>
      </c>
      <c r="T715" s="484"/>
      <c r="U715" s="270"/>
      <c r="V715" s="270"/>
      <c r="W715" s="270"/>
      <c r="X715" s="270"/>
      <c r="Y715" s="270"/>
      <c r="Z715" s="270"/>
      <c r="AA715" s="270"/>
      <c r="AB715" s="270"/>
      <c r="AC715" s="270"/>
      <c r="AD715" s="270"/>
      <c r="AE715" s="270"/>
      <c r="AF715" s="270"/>
      <c r="AG715" s="270"/>
      <c r="AH715" s="270"/>
      <c r="AI715" s="270"/>
      <c r="AJ715" s="270"/>
      <c r="AK715" s="270"/>
      <c r="AL715" s="270"/>
      <c r="AM715" s="663"/>
      <c r="AN715" s="663"/>
      <c r="AO715" s="708" t="str">
        <f>IF(OR(Table1[[#This Row],[Início Setup Envase]]="",Table1[[#This Row],[Final Setup Envase]]=""),"",Table1[[#This Row],[Final Setup Envase]]-Table1[[#This Row],[Início Setup Envase]])</f>
        <v/>
      </c>
      <c r="AP715" s="663"/>
      <c r="AQ715" s="663"/>
      <c r="AR715" s="270"/>
      <c r="AS715" s="270"/>
      <c r="AT715" s="270"/>
      <c r="AU715" s="270"/>
      <c r="AV715" s="270"/>
      <c r="AW715" s="270"/>
      <c r="AX715" s="270"/>
      <c r="AY715" s="270"/>
      <c r="AZ715" s="270"/>
      <c r="BA715" s="270">
        <f>IF(Table1[[#This Row],[Data de Início]]="","",YEAR(Table1[[#This Row],[Data de Início]]))</f>
        <v>2025</v>
      </c>
      <c r="BB715" s="270">
        <f>IF(Table1[[#This Row],[Data de Início]]="","",MONTH(Table1[[#This Row],[Data de Início]]))</f>
        <v>12</v>
      </c>
      <c r="BC715" s="270"/>
    </row>
    <row r="716" spans="2:55" ht="15" customHeight="1" x14ac:dyDescent="0.25">
      <c r="B716" s="489">
        <v>46009.395833333336</v>
      </c>
      <c r="C716" s="490">
        <v>46009.428472222222</v>
      </c>
      <c r="D716" s="477" cm="1">
        <f t="array" ref="D716">IFERROR(HorasUteisFabrica2Turnos(B716,C716), "")</f>
        <v>0.78333333326736465</v>
      </c>
      <c r="E716" s="478">
        <f t="shared" si="11"/>
        <v>635.74468090460323</v>
      </c>
      <c r="F716" s="479" t="s">
        <v>377</v>
      </c>
      <c r="G716" s="266" t="s">
        <v>1046</v>
      </c>
      <c r="H716" s="479"/>
      <c r="I716" s="480" t="s">
        <v>1185</v>
      </c>
      <c r="J716" s="481" t="s">
        <v>15</v>
      </c>
      <c r="K716" s="482">
        <v>498</v>
      </c>
      <c r="L716" s="495" t="s">
        <v>1186</v>
      </c>
      <c r="M716" s="483" t="str">
        <f>IFERROR(INDEX([1]Produtos!$C:$C,MATCH(L716,[1]Produtos!$B:$B,0)), "-")</f>
        <v>BODY CREAM TESOURO DO OASIS</v>
      </c>
      <c r="N716" s="511">
        <f>IFERROR(INDEX([1]Produtos!$E:$E,MATCH(L716,[1]Produtos!$B:$B,0)), "-")</f>
        <v>240</v>
      </c>
      <c r="O716" s="483" t="str">
        <f>IFERROR(INDEX([1]Produtos!$F:$F,MATCH(L716,[1]Produtos!$B:$B,0)), "-")</f>
        <v>ml</v>
      </c>
      <c r="P716" s="483" t="str">
        <f>IFERROR(INDEX([1]Produtos!$G:$G,MATCH(L716,[1]Produtos!$B:$B,0)), "-")</f>
        <v>AMEERATI</v>
      </c>
      <c r="Q716" s="483" t="str">
        <f>IFERROR(INDEX([1]Produtos!$H:$H,MATCH(L716,[1]Produtos!$B:$B,0)), "-")</f>
        <v>CORPORAL</v>
      </c>
      <c r="R716" s="483" t="str">
        <f>IFERROR(INDEX([1]Produtos!$I:$I,MATCH(L716,[1]Produtos!$B:$B,0)), "-")</f>
        <v>CREME HIDRATANTE</v>
      </c>
      <c r="S716" s="483" t="str">
        <f>IFERROR(INDEX([1]Produtos!$J:$J,MATCH(L716,[1]Produtos!$B:$B,0)), "-")</f>
        <v>CREMOSO</v>
      </c>
      <c r="T716" s="484"/>
      <c r="U716" s="270"/>
      <c r="V716" s="270"/>
      <c r="W716" s="270"/>
      <c r="X716" s="270"/>
      <c r="Y716" s="270"/>
      <c r="Z716" s="270"/>
      <c r="AA716" s="270"/>
      <c r="AB716" s="270"/>
      <c r="AC716" s="270"/>
      <c r="AD716" s="270"/>
      <c r="AE716" s="270"/>
      <c r="AF716" s="270"/>
      <c r="AG716" s="270"/>
      <c r="AH716" s="270"/>
      <c r="AI716" s="270"/>
      <c r="AJ716" s="270"/>
      <c r="AK716" s="270"/>
      <c r="AL716" s="270"/>
      <c r="AM716" s="663"/>
      <c r="AN716" s="663"/>
      <c r="AO716" s="708" t="str">
        <f>IF(OR(Table1[[#This Row],[Início Setup Envase]]="",Table1[[#This Row],[Final Setup Envase]]=""),"",Table1[[#This Row],[Final Setup Envase]]-Table1[[#This Row],[Início Setup Envase]])</f>
        <v/>
      </c>
      <c r="AP716" s="663"/>
      <c r="AQ716" s="663"/>
      <c r="AR716" s="270"/>
      <c r="AS716" s="270"/>
      <c r="AT716" s="270"/>
      <c r="AU716" s="270"/>
      <c r="AV716" s="270"/>
      <c r="AW716" s="270"/>
      <c r="AX716" s="270"/>
      <c r="AY716" s="270"/>
      <c r="AZ716" s="270"/>
      <c r="BA716" s="270">
        <f>IF(Table1[[#This Row],[Data de Início]]="","",YEAR(Table1[[#This Row],[Data de Início]]))</f>
        <v>2025</v>
      </c>
      <c r="BB716" s="270">
        <f>IF(Table1[[#This Row],[Data de Início]]="","",MONTH(Table1[[#This Row],[Data de Início]]))</f>
        <v>12</v>
      </c>
      <c r="BC716" s="270"/>
    </row>
    <row r="717" spans="2:55" ht="15" customHeight="1" x14ac:dyDescent="0.25">
      <c r="B717" s="489">
        <v>46009.429861111108</v>
      </c>
      <c r="C717" s="490">
        <v>46009.45416666667</v>
      </c>
      <c r="D717" s="477" cm="1">
        <f t="array" ref="D717">IFERROR(HorasUteisFabrica2Turnos(B717,C717), "")</f>
        <v>0.58333333348855376</v>
      </c>
      <c r="E717" s="478">
        <f t="shared" si="11"/>
        <v>845.14285691797124</v>
      </c>
      <c r="F717" s="479" t="s">
        <v>377</v>
      </c>
      <c r="G717" s="266" t="s">
        <v>1046</v>
      </c>
      <c r="H717" s="479"/>
      <c r="I717" s="480" t="s">
        <v>1193</v>
      </c>
      <c r="J717" s="481" t="s">
        <v>15</v>
      </c>
      <c r="K717" s="482">
        <v>493</v>
      </c>
      <c r="L717" s="495" t="s">
        <v>1194</v>
      </c>
      <c r="M717" s="483" t="str">
        <f>IFERROR(INDEX([1]Produtos!$C:$C,MATCH(L717,[1]Produtos!$B:$B,0)), "-")</f>
        <v>BODY CREAM JARDINS DO ORIENTE</v>
      </c>
      <c r="N717" s="511">
        <f>IFERROR(INDEX([1]Produtos!$E:$E,MATCH(L717,[1]Produtos!$B:$B,0)), "-")</f>
        <v>240</v>
      </c>
      <c r="O717" s="483" t="str">
        <f>IFERROR(INDEX([1]Produtos!$F:$F,MATCH(L717,[1]Produtos!$B:$B,0)), "-")</f>
        <v>ml</v>
      </c>
      <c r="P717" s="483" t="str">
        <f>IFERROR(INDEX([1]Produtos!$G:$G,MATCH(L717,[1]Produtos!$B:$B,0)), "-")</f>
        <v>AMEERATI</v>
      </c>
      <c r="Q717" s="483" t="str">
        <f>IFERROR(INDEX([1]Produtos!$H:$H,MATCH(L717,[1]Produtos!$B:$B,0)), "-")</f>
        <v>CORPORAL</v>
      </c>
      <c r="R717" s="483" t="str">
        <f>IFERROR(INDEX([1]Produtos!$I:$I,MATCH(L717,[1]Produtos!$B:$B,0)), "-")</f>
        <v>CREME HIDRATANTE</v>
      </c>
      <c r="S717" s="483" t="str">
        <f>IFERROR(INDEX([1]Produtos!$J:$J,MATCH(L717,[1]Produtos!$B:$B,0)), "-")</f>
        <v>CREMOSO</v>
      </c>
      <c r="T717" s="484"/>
      <c r="U717" s="270"/>
      <c r="V717" s="270"/>
      <c r="W717" s="270"/>
      <c r="X717" s="270"/>
      <c r="Y717" s="270"/>
      <c r="Z717" s="270"/>
      <c r="AA717" s="270"/>
      <c r="AB717" s="270"/>
      <c r="AC717" s="270"/>
      <c r="AD717" s="270"/>
      <c r="AE717" s="270"/>
      <c r="AF717" s="270"/>
      <c r="AG717" s="270"/>
      <c r="AH717" s="270"/>
      <c r="AI717" s="270"/>
      <c r="AJ717" s="270"/>
      <c r="AK717" s="270"/>
      <c r="AL717" s="270"/>
      <c r="AM717" s="663"/>
      <c r="AN717" s="663"/>
      <c r="AO717" s="708" t="str">
        <f>IF(OR(Table1[[#This Row],[Início Setup Envase]]="",Table1[[#This Row],[Final Setup Envase]]=""),"",Table1[[#This Row],[Final Setup Envase]]-Table1[[#This Row],[Início Setup Envase]])</f>
        <v/>
      </c>
      <c r="AP717" s="663"/>
      <c r="AQ717" s="663"/>
      <c r="AR717" s="270"/>
      <c r="AS717" s="270"/>
      <c r="AT717" s="270"/>
      <c r="AU717" s="270"/>
      <c r="AV717" s="270"/>
      <c r="AW717" s="270"/>
      <c r="AX717" s="270"/>
      <c r="AY717" s="270"/>
      <c r="AZ717" s="270"/>
      <c r="BA717" s="270">
        <f>IF(Table1[[#This Row],[Data de Início]]="","",YEAR(Table1[[#This Row],[Data de Início]]))</f>
        <v>2025</v>
      </c>
      <c r="BB717" s="270">
        <f>IF(Table1[[#This Row],[Data de Início]]="","",MONTH(Table1[[#This Row],[Data de Início]]))</f>
        <v>12</v>
      </c>
      <c r="BC717" s="270"/>
    </row>
    <row r="718" spans="2:55" ht="15" customHeight="1" x14ac:dyDescent="0.25">
      <c r="B718" s="489">
        <v>46009.45416666667</v>
      </c>
      <c r="C718" s="490">
        <v>46009.474305555559</v>
      </c>
      <c r="D718" s="477" cm="1">
        <f t="array" ref="D718">IFERROR(HorasUteisFabrica2Turnos(B718,C718), "")</f>
        <v>0.48333333333721384</v>
      </c>
      <c r="E718" s="478">
        <f t="shared" si="11"/>
        <v>871.03448275162748</v>
      </c>
      <c r="F718" s="479" t="s">
        <v>377</v>
      </c>
      <c r="G718" s="266" t="s">
        <v>1046</v>
      </c>
      <c r="H718" s="479"/>
      <c r="I718" s="480" t="s">
        <v>1195</v>
      </c>
      <c r="J718" s="481" t="s">
        <v>15</v>
      </c>
      <c r="K718" s="482">
        <v>421</v>
      </c>
      <c r="L718" s="495" t="s">
        <v>1196</v>
      </c>
      <c r="M718" s="483" t="str">
        <f>IFERROR(INDEX([1]Produtos!$C:$C,MATCH(L718,[1]Produtos!$B:$B,0)), "-")</f>
        <v>BODY CREAM FLOR DO DESERTO</v>
      </c>
      <c r="N718" s="511">
        <f>IFERROR(INDEX([1]Produtos!$E:$E,MATCH(L718,[1]Produtos!$B:$B,0)), "-")</f>
        <v>240</v>
      </c>
      <c r="O718" s="483" t="str">
        <f>IFERROR(INDEX([1]Produtos!$F:$F,MATCH(L718,[1]Produtos!$B:$B,0)), "-")</f>
        <v>ml</v>
      </c>
      <c r="P718" s="483" t="str">
        <f>IFERROR(INDEX([1]Produtos!$G:$G,MATCH(L718,[1]Produtos!$B:$B,0)), "-")</f>
        <v>AMEERATI</v>
      </c>
      <c r="Q718" s="483" t="str">
        <f>IFERROR(INDEX([1]Produtos!$H:$H,MATCH(L718,[1]Produtos!$B:$B,0)), "-")</f>
        <v>CORPORAL</v>
      </c>
      <c r="R718" s="483" t="str">
        <f>IFERROR(INDEX([1]Produtos!$I:$I,MATCH(L718,[1]Produtos!$B:$B,0)), "-")</f>
        <v>CREME HIDRATANTE</v>
      </c>
      <c r="S718" s="483" t="str">
        <f>IFERROR(INDEX([1]Produtos!$J:$J,MATCH(L718,[1]Produtos!$B:$B,0)), "-")</f>
        <v>CREMOSO</v>
      </c>
      <c r="T718" s="484"/>
      <c r="U718" s="270"/>
      <c r="V718" s="270"/>
      <c r="W718" s="270"/>
      <c r="X718" s="270"/>
      <c r="Y718" s="270"/>
      <c r="Z718" s="270"/>
      <c r="AA718" s="270"/>
      <c r="AB718" s="270"/>
      <c r="AC718" s="270"/>
      <c r="AD718" s="270"/>
      <c r="AE718" s="270"/>
      <c r="AF718" s="270"/>
      <c r="AG718" s="270"/>
      <c r="AH718" s="270"/>
      <c r="AI718" s="270"/>
      <c r="AJ718" s="270"/>
      <c r="AK718" s="270"/>
      <c r="AL718" s="270"/>
      <c r="AM718" s="663"/>
      <c r="AN718" s="663"/>
      <c r="AO718" s="708" t="str">
        <f>IF(OR(Table1[[#This Row],[Início Setup Envase]]="",Table1[[#This Row],[Final Setup Envase]]=""),"",Table1[[#This Row],[Final Setup Envase]]-Table1[[#This Row],[Início Setup Envase]])</f>
        <v/>
      </c>
      <c r="AP718" s="663"/>
      <c r="AQ718" s="663"/>
      <c r="AR718" s="270"/>
      <c r="AS718" s="270"/>
      <c r="AT718" s="270"/>
      <c r="AU718" s="270"/>
      <c r="AV718" s="270"/>
      <c r="AW718" s="270"/>
      <c r="AX718" s="270"/>
      <c r="AY718" s="270"/>
      <c r="AZ718" s="270"/>
      <c r="BA718" s="270">
        <f>IF(Table1[[#This Row],[Data de Início]]="","",YEAR(Table1[[#This Row],[Data de Início]]))</f>
        <v>2025</v>
      </c>
      <c r="BB718" s="270">
        <f>IF(Table1[[#This Row],[Data de Início]]="","",MONTH(Table1[[#This Row],[Data de Início]]))</f>
        <v>12</v>
      </c>
      <c r="BC718" s="270"/>
    </row>
    <row r="719" spans="2:55" ht="15" customHeight="1" x14ac:dyDescent="0.25">
      <c r="B719" s="489">
        <v>46009.479861111111</v>
      </c>
      <c r="C719" s="490">
        <v>46009.55</v>
      </c>
      <c r="D719" s="477" cm="1">
        <f t="array" ref="D719">IFERROR(HorasUteisFabrica2Turnos(B719,C719), "")</f>
        <v>0.68333333340706304</v>
      </c>
      <c r="E719" s="478">
        <f t="shared" si="11"/>
        <v>620.48780481109998</v>
      </c>
      <c r="F719" s="479" t="s">
        <v>377</v>
      </c>
      <c r="G719" s="266" t="s">
        <v>1046</v>
      </c>
      <c r="H719" s="479"/>
      <c r="I719" s="480" t="s">
        <v>1189</v>
      </c>
      <c r="J719" s="481" t="s">
        <v>15</v>
      </c>
      <c r="K719" s="482">
        <v>424</v>
      </c>
      <c r="L719" s="495" t="s">
        <v>1190</v>
      </c>
      <c r="M719" s="483" t="str">
        <f>IFERROR(INDEX([1]Produtos!$C:$C,MATCH(L719,[1]Produtos!$B:$B,0)), "-")</f>
        <v>BODY CREAM PEROLA DO DESERTO</v>
      </c>
      <c r="N719" s="511">
        <f>IFERROR(INDEX([1]Produtos!$E:$E,MATCH(L719,[1]Produtos!$B:$B,0)), "-")</f>
        <v>240</v>
      </c>
      <c r="O719" s="483" t="str">
        <f>IFERROR(INDEX([1]Produtos!$F:$F,MATCH(L719,[1]Produtos!$B:$B,0)), "-")</f>
        <v>ml</v>
      </c>
      <c r="P719" s="483" t="str">
        <f>IFERROR(INDEX([1]Produtos!$G:$G,MATCH(L719,[1]Produtos!$B:$B,0)), "-")</f>
        <v>AMEERATI</v>
      </c>
      <c r="Q719" s="483" t="str">
        <f>IFERROR(INDEX([1]Produtos!$H:$H,MATCH(L719,[1]Produtos!$B:$B,0)), "-")</f>
        <v>CORPORAL</v>
      </c>
      <c r="R719" s="483" t="str">
        <f>IFERROR(INDEX([1]Produtos!$I:$I,MATCH(L719,[1]Produtos!$B:$B,0)), "-")</f>
        <v>CREME HIDRATANTE</v>
      </c>
      <c r="S719" s="483" t="str">
        <f>IFERROR(INDEX([1]Produtos!$J:$J,MATCH(L719,[1]Produtos!$B:$B,0)), "-")</f>
        <v>CREMOSO</v>
      </c>
      <c r="T719" s="484"/>
      <c r="U719" s="270"/>
      <c r="V719" s="270"/>
      <c r="W719" s="270"/>
      <c r="X719" s="270"/>
      <c r="Y719" s="270"/>
      <c r="Z719" s="270"/>
      <c r="AA719" s="270"/>
      <c r="AB719" s="270"/>
      <c r="AC719" s="270"/>
      <c r="AD719" s="270"/>
      <c r="AE719" s="270"/>
      <c r="AF719" s="270"/>
      <c r="AG719" s="270"/>
      <c r="AH719" s="270"/>
      <c r="AI719" s="270"/>
      <c r="AJ719" s="270"/>
      <c r="AK719" s="270"/>
      <c r="AL719" s="270"/>
      <c r="AM719" s="663"/>
      <c r="AN719" s="663"/>
      <c r="AO719" s="708" t="str">
        <f>IF(OR(Table1[[#This Row],[Início Setup Envase]]="",Table1[[#This Row],[Final Setup Envase]]=""),"",Table1[[#This Row],[Final Setup Envase]]-Table1[[#This Row],[Início Setup Envase]])</f>
        <v/>
      </c>
      <c r="AP719" s="663"/>
      <c r="AQ719" s="663"/>
      <c r="AR719" s="270"/>
      <c r="AS719" s="270"/>
      <c r="AT719" s="270"/>
      <c r="AU719" s="270"/>
      <c r="AV719" s="270"/>
      <c r="AW719" s="270"/>
      <c r="AX719" s="270"/>
      <c r="AY719" s="270"/>
      <c r="AZ719" s="270"/>
      <c r="BA719" s="270">
        <f>IF(Table1[[#This Row],[Data de Início]]="","",YEAR(Table1[[#This Row],[Data de Início]]))</f>
        <v>2025</v>
      </c>
      <c r="BB719" s="270">
        <f>IF(Table1[[#This Row],[Data de Início]]="","",MONTH(Table1[[#This Row],[Data de Início]]))</f>
        <v>12</v>
      </c>
      <c r="BC719" s="270"/>
    </row>
    <row r="720" spans="2:55" ht="15" customHeight="1" x14ac:dyDescent="0.25">
      <c r="B720" s="489">
        <v>46009.55</v>
      </c>
      <c r="C720" s="490">
        <v>46009.576388888891</v>
      </c>
      <c r="D720" s="477" cm="1">
        <f t="array" ref="D720">IFERROR(HorasUteisFabrica2Turnos(B720,C720), "")</f>
        <v>0.63333333330228925</v>
      </c>
      <c r="E720" s="478">
        <f t="shared" si="11"/>
        <v>682.10526319132953</v>
      </c>
      <c r="F720" s="479" t="s">
        <v>377</v>
      </c>
      <c r="G720" s="266" t="s">
        <v>1046</v>
      </c>
      <c r="H720" s="479"/>
      <c r="I720" s="480" t="s">
        <v>1187</v>
      </c>
      <c r="J720" s="481" t="s">
        <v>15</v>
      </c>
      <c r="K720" s="482">
        <v>432</v>
      </c>
      <c r="L720" s="495" t="s">
        <v>1188</v>
      </c>
      <c r="M720" s="483" t="str">
        <f>IFERROR(INDEX([1]Produtos!$C:$C,MATCH(L720,[1]Produtos!$B:$B,0)), "-")</f>
        <v>BODY CREAM RARO ELIXIR</v>
      </c>
      <c r="N720" s="511">
        <f>IFERROR(INDEX([1]Produtos!$E:$E,MATCH(L720,[1]Produtos!$B:$B,0)), "-")</f>
        <v>240</v>
      </c>
      <c r="O720" s="483" t="str">
        <f>IFERROR(INDEX([1]Produtos!$F:$F,MATCH(L720,[1]Produtos!$B:$B,0)), "-")</f>
        <v>ml</v>
      </c>
      <c r="P720" s="483" t="str">
        <f>IFERROR(INDEX([1]Produtos!$G:$G,MATCH(L720,[1]Produtos!$B:$B,0)), "-")</f>
        <v>AMEERATI</v>
      </c>
      <c r="Q720" s="483" t="str">
        <f>IFERROR(INDEX([1]Produtos!$H:$H,MATCH(L720,[1]Produtos!$B:$B,0)), "-")</f>
        <v>CORPORAL</v>
      </c>
      <c r="R720" s="483" t="str">
        <f>IFERROR(INDEX([1]Produtos!$I:$I,MATCH(L720,[1]Produtos!$B:$B,0)), "-")</f>
        <v>CREME HIDRATANTE</v>
      </c>
      <c r="S720" s="483" t="str">
        <f>IFERROR(INDEX([1]Produtos!$J:$J,MATCH(L720,[1]Produtos!$B:$B,0)), "-")</f>
        <v>CREMOSO</v>
      </c>
      <c r="T720" s="484"/>
      <c r="U720" s="270"/>
      <c r="V720" s="270"/>
      <c r="W720" s="270"/>
      <c r="X720" s="270"/>
      <c r="Y720" s="270"/>
      <c r="Z720" s="270"/>
      <c r="AA720" s="270"/>
      <c r="AB720" s="270"/>
      <c r="AC720" s="270"/>
      <c r="AD720" s="270"/>
      <c r="AE720" s="270"/>
      <c r="AF720" s="270"/>
      <c r="AG720" s="270"/>
      <c r="AH720" s="270"/>
      <c r="AI720" s="270"/>
      <c r="AJ720" s="270"/>
      <c r="AK720" s="270"/>
      <c r="AL720" s="270"/>
      <c r="AM720" s="663"/>
      <c r="AN720" s="663"/>
      <c r="AO720" s="708" t="str">
        <f>IF(OR(Table1[[#This Row],[Início Setup Envase]]="",Table1[[#This Row],[Final Setup Envase]]=""),"",Table1[[#This Row],[Final Setup Envase]]-Table1[[#This Row],[Início Setup Envase]])</f>
        <v/>
      </c>
      <c r="AP720" s="663"/>
      <c r="AQ720" s="663"/>
      <c r="AR720" s="270"/>
      <c r="AS720" s="270"/>
      <c r="AT720" s="270"/>
      <c r="AU720" s="270"/>
      <c r="AV720" s="270"/>
      <c r="AW720" s="270"/>
      <c r="AX720" s="270"/>
      <c r="AY720" s="270"/>
      <c r="AZ720" s="270"/>
      <c r="BA720" s="270">
        <f>IF(Table1[[#This Row],[Data de Início]]="","",YEAR(Table1[[#This Row],[Data de Início]]))</f>
        <v>2025</v>
      </c>
      <c r="BB720" s="270">
        <f>IF(Table1[[#This Row],[Data de Início]]="","",MONTH(Table1[[#This Row],[Data de Início]]))</f>
        <v>12</v>
      </c>
      <c r="BC720" s="270"/>
    </row>
    <row r="721" spans="2:55" ht="15" customHeight="1" x14ac:dyDescent="0.25">
      <c r="B721" s="489">
        <v>46009.576388888891</v>
      </c>
      <c r="C721" s="490">
        <v>46009.604166666664</v>
      </c>
      <c r="D721" s="477" cm="1">
        <f t="array" ref="D721">IFERROR(HorasUteisFabrica2Turnos(B721,C721), "")</f>
        <v>0.6666666665696539</v>
      </c>
      <c r="E721" s="478">
        <f t="shared" si="11"/>
        <v>694.50000010106305</v>
      </c>
      <c r="F721" s="479" t="s">
        <v>377</v>
      </c>
      <c r="G721" s="266" t="s">
        <v>1046</v>
      </c>
      <c r="H721" s="479"/>
      <c r="I721" s="480" t="s">
        <v>1192</v>
      </c>
      <c r="J721" s="481" t="s">
        <v>15</v>
      </c>
      <c r="K721" s="482">
        <v>463</v>
      </c>
      <c r="L721" s="495" t="s">
        <v>1191</v>
      </c>
      <c r="M721" s="483" t="str">
        <f>IFERROR(INDEX([1]Produtos!$C:$C,MATCH(L721,[1]Produtos!$B:$B,0)), "-")</f>
        <v>BODY CREAM ENCANTO PERSA</v>
      </c>
      <c r="N721" s="511">
        <f>IFERROR(INDEX([1]Produtos!$E:$E,MATCH(L721,[1]Produtos!$B:$B,0)), "-")</f>
        <v>240</v>
      </c>
      <c r="O721" s="483" t="str">
        <f>IFERROR(INDEX([1]Produtos!$F:$F,MATCH(L721,[1]Produtos!$B:$B,0)), "-")</f>
        <v>ml</v>
      </c>
      <c r="P721" s="483" t="str">
        <f>IFERROR(INDEX([1]Produtos!$G:$G,MATCH(L721,[1]Produtos!$B:$B,0)), "-")</f>
        <v>AMEERATI</v>
      </c>
      <c r="Q721" s="483" t="str">
        <f>IFERROR(INDEX([1]Produtos!$H:$H,MATCH(L721,[1]Produtos!$B:$B,0)), "-")</f>
        <v>CORPORAL</v>
      </c>
      <c r="R721" s="483" t="str">
        <f>IFERROR(INDEX([1]Produtos!$I:$I,MATCH(L721,[1]Produtos!$B:$B,0)), "-")</f>
        <v>CREME HIDRATANTE</v>
      </c>
      <c r="S721" s="483" t="str">
        <f>IFERROR(INDEX([1]Produtos!$J:$J,MATCH(L721,[1]Produtos!$B:$B,0)), "-")</f>
        <v>CREMOSO</v>
      </c>
      <c r="T721" s="484"/>
      <c r="U721" s="270"/>
      <c r="V721" s="270"/>
      <c r="W721" s="270"/>
      <c r="X721" s="270"/>
      <c r="Y721" s="270"/>
      <c r="Z721" s="270"/>
      <c r="AA721" s="270"/>
      <c r="AB721" s="270"/>
      <c r="AC721" s="270"/>
      <c r="AD721" s="270"/>
      <c r="AE721" s="270"/>
      <c r="AF721" s="270"/>
      <c r="AG721" s="270"/>
      <c r="AH721" s="270"/>
      <c r="AI721" s="270"/>
      <c r="AJ721" s="270"/>
      <c r="AK721" s="270"/>
      <c r="AL721" s="270"/>
      <c r="AM721" s="663"/>
      <c r="AN721" s="663"/>
      <c r="AO721" s="708" t="str">
        <f>IF(OR(Table1[[#This Row],[Início Setup Envase]]="",Table1[[#This Row],[Final Setup Envase]]=""),"",Table1[[#This Row],[Final Setup Envase]]-Table1[[#This Row],[Início Setup Envase]])</f>
        <v/>
      </c>
      <c r="AP721" s="663"/>
      <c r="AQ721" s="663"/>
      <c r="AR721" s="270"/>
      <c r="AS721" s="270"/>
      <c r="AT721" s="270"/>
      <c r="AU721" s="270"/>
      <c r="AV721" s="270"/>
      <c r="AW721" s="270"/>
      <c r="AX721" s="270"/>
      <c r="AY721" s="270"/>
      <c r="AZ721" s="270"/>
      <c r="BA721" s="270">
        <f>IF(Table1[[#This Row],[Data de Início]]="","",YEAR(Table1[[#This Row],[Data de Início]]))</f>
        <v>2025</v>
      </c>
      <c r="BB721" s="270">
        <f>IF(Table1[[#This Row],[Data de Início]]="","",MONTH(Table1[[#This Row],[Data de Início]]))</f>
        <v>12</v>
      </c>
      <c r="BC721" s="270"/>
    </row>
    <row r="722" spans="2:55" ht="15" customHeight="1" x14ac:dyDescent="0.25">
      <c r="B722" s="489">
        <v>46009.600694444445</v>
      </c>
      <c r="C722" s="490">
        <v>46009.625</v>
      </c>
      <c r="D722" s="477" cm="1">
        <f t="array" ref="D722">IFERROR(HorasUteisFabrica2Turnos(B722,C722), "")</f>
        <v>0.58333333331393078</v>
      </c>
      <c r="E722" s="478">
        <f t="shared" si="11"/>
        <v>721.71428573829098</v>
      </c>
      <c r="F722" s="479" t="s">
        <v>377</v>
      </c>
      <c r="G722" s="266" t="s">
        <v>1046</v>
      </c>
      <c r="H722" s="479"/>
      <c r="I722" s="480" t="s">
        <v>1197</v>
      </c>
      <c r="J722" s="481" t="s">
        <v>15</v>
      </c>
      <c r="K722" s="482">
        <v>421</v>
      </c>
      <c r="L722" s="495" t="s">
        <v>1198</v>
      </c>
      <c r="M722" s="483" t="str">
        <f>IFERROR(INDEX([1]Produtos!$C:$C,MATCH(L722,[1]Produtos!$B:$B,0)), "-")</f>
        <v>BODY CREAM MEL DE ESPECIARIAS</v>
      </c>
      <c r="N722" s="511">
        <f>IFERROR(INDEX([1]Produtos!$E:$E,MATCH(L722,[1]Produtos!$B:$B,0)), "-")</f>
        <v>240</v>
      </c>
      <c r="O722" s="483" t="str">
        <f>IFERROR(INDEX([1]Produtos!$F:$F,MATCH(L722,[1]Produtos!$B:$B,0)), "-")</f>
        <v>ml</v>
      </c>
      <c r="P722" s="483" t="str">
        <f>IFERROR(INDEX([1]Produtos!$G:$G,MATCH(L722,[1]Produtos!$B:$B,0)), "-")</f>
        <v>AMEERATI</v>
      </c>
      <c r="Q722" s="483" t="str">
        <f>IFERROR(INDEX([1]Produtos!$H:$H,MATCH(L722,[1]Produtos!$B:$B,0)), "-")</f>
        <v>CORPORAL</v>
      </c>
      <c r="R722" s="483" t="str">
        <f>IFERROR(INDEX([1]Produtos!$I:$I,MATCH(L722,[1]Produtos!$B:$B,0)), "-")</f>
        <v>CREME HIDRATANTE</v>
      </c>
      <c r="S722" s="483" t="str">
        <f>IFERROR(INDEX([1]Produtos!$J:$J,MATCH(L722,[1]Produtos!$B:$B,0)), "-")</f>
        <v>CREMOSO</v>
      </c>
      <c r="T722" s="484"/>
      <c r="U722" s="270"/>
      <c r="V722" s="270"/>
      <c r="W722" s="270"/>
      <c r="X722" s="270"/>
      <c r="Y722" s="270"/>
      <c r="Z722" s="270"/>
      <c r="AA722" s="270"/>
      <c r="AB722" s="270"/>
      <c r="AC722" s="270"/>
      <c r="AD722" s="270"/>
      <c r="AE722" s="270"/>
      <c r="AF722" s="270"/>
      <c r="AG722" s="270"/>
      <c r="AH722" s="270"/>
      <c r="AI722" s="270"/>
      <c r="AJ722" s="270"/>
      <c r="AK722" s="270"/>
      <c r="AL722" s="270"/>
      <c r="AM722" s="663"/>
      <c r="AN722" s="663"/>
      <c r="AO722" s="708" t="str">
        <f>IF(OR(Table1[[#This Row],[Início Setup Envase]]="",Table1[[#This Row],[Final Setup Envase]]=""),"",Table1[[#This Row],[Final Setup Envase]]-Table1[[#This Row],[Início Setup Envase]])</f>
        <v/>
      </c>
      <c r="AP722" s="663"/>
      <c r="AQ722" s="663"/>
      <c r="AR722" s="270"/>
      <c r="AS722" s="270"/>
      <c r="AT722" s="270"/>
      <c r="AU722" s="270"/>
      <c r="AV722" s="270"/>
      <c r="AW722" s="270"/>
      <c r="AX722" s="270"/>
      <c r="AY722" s="270"/>
      <c r="AZ722" s="270"/>
      <c r="BA722" s="270">
        <f>IF(Table1[[#This Row],[Data de Início]]="","",YEAR(Table1[[#This Row],[Data de Início]]))</f>
        <v>2025</v>
      </c>
      <c r="BB722" s="270">
        <f>IF(Table1[[#This Row],[Data de Início]]="","",MONTH(Table1[[#This Row],[Data de Início]]))</f>
        <v>12</v>
      </c>
      <c r="BC722" s="270"/>
    </row>
    <row r="723" spans="2:55" ht="15" customHeight="1" x14ac:dyDescent="0.25">
      <c r="B723" s="489">
        <v>46009.645833333336</v>
      </c>
      <c r="C723" s="490">
        <v>46009.666666666664</v>
      </c>
      <c r="D723" s="477" cm="1">
        <f t="array" ref="D723">IFERROR(HorasUteisFabrica2Turnos(B723,C723), "")</f>
        <v>0.49999999988358468</v>
      </c>
      <c r="E723" s="478">
        <f t="shared" si="11"/>
        <v>1388.0000003231689</v>
      </c>
      <c r="F723" s="479" t="s">
        <v>377</v>
      </c>
      <c r="G723" s="266" t="s">
        <v>1046</v>
      </c>
      <c r="H723" s="479"/>
      <c r="I723" s="480" t="s">
        <v>1236</v>
      </c>
      <c r="J723" s="481" t="s">
        <v>15</v>
      </c>
      <c r="K723" s="482">
        <v>694</v>
      </c>
      <c r="L723" s="495" t="s">
        <v>1237</v>
      </c>
      <c r="M723" s="483" t="str">
        <f>IFERROR(INDEX([1]Produtos!$C:$C,MATCH(L723,[1]Produtos!$B:$B,0)), "-")</f>
        <v>BODY CREAM ROSA IMPERIAL</v>
      </c>
      <c r="N723" s="511">
        <f>IFERROR(INDEX([1]Produtos!$E:$E,MATCH(L723,[1]Produtos!$B:$B,0)), "-")</f>
        <v>240</v>
      </c>
      <c r="O723" s="483" t="str">
        <f>IFERROR(INDEX([1]Produtos!$F:$F,MATCH(L723,[1]Produtos!$B:$B,0)), "-")</f>
        <v>ml</v>
      </c>
      <c r="P723" s="483" t="str">
        <f>IFERROR(INDEX([1]Produtos!$G:$G,MATCH(L723,[1]Produtos!$B:$B,0)), "-")</f>
        <v>AMEERATI</v>
      </c>
      <c r="Q723" s="483" t="str">
        <f>IFERROR(INDEX([1]Produtos!$H:$H,MATCH(L723,[1]Produtos!$B:$B,0)), "-")</f>
        <v>CORPORAL</v>
      </c>
      <c r="R723" s="483" t="str">
        <f>IFERROR(INDEX([1]Produtos!$I:$I,MATCH(L723,[1]Produtos!$B:$B,0)), "-")</f>
        <v>CREME HIDRATANTE</v>
      </c>
      <c r="S723" s="483" t="str">
        <f>IFERROR(INDEX([1]Produtos!$J:$J,MATCH(L723,[1]Produtos!$B:$B,0)), "-")</f>
        <v>CREMOSO</v>
      </c>
      <c r="T723" s="484"/>
      <c r="U723" s="270"/>
      <c r="V723" s="270"/>
      <c r="W723" s="270"/>
      <c r="X723" s="270"/>
      <c r="Y723" s="270"/>
      <c r="Z723" s="270"/>
      <c r="AA723" s="270"/>
      <c r="AB723" s="270"/>
      <c r="AC723" s="270"/>
      <c r="AD723" s="270"/>
      <c r="AE723" s="270"/>
      <c r="AF723" s="270"/>
      <c r="AG723" s="270"/>
      <c r="AH723" s="270"/>
      <c r="AI723" s="270"/>
      <c r="AJ723" s="270"/>
      <c r="AK723" s="270"/>
      <c r="AL723" s="270"/>
      <c r="AM723" s="663"/>
      <c r="AN723" s="663"/>
      <c r="AO723" s="708" t="str">
        <f>IF(OR(Table1[[#This Row],[Início Setup Envase]]="",Table1[[#This Row],[Final Setup Envase]]=""),"",Table1[[#This Row],[Final Setup Envase]]-Table1[[#This Row],[Início Setup Envase]])</f>
        <v/>
      </c>
      <c r="AP723" s="663"/>
      <c r="AQ723" s="663"/>
      <c r="AR723" s="270"/>
      <c r="AS723" s="270"/>
      <c r="AT723" s="270"/>
      <c r="AU723" s="270"/>
      <c r="AV723" s="270"/>
      <c r="AW723" s="270"/>
      <c r="AX723" s="270"/>
      <c r="AY723" s="270"/>
      <c r="AZ723" s="270"/>
      <c r="BA723" s="270">
        <f>IF(Table1[[#This Row],[Data de Início]]="","",YEAR(Table1[[#This Row],[Data de Início]]))</f>
        <v>2025</v>
      </c>
      <c r="BB723" s="270">
        <f>IF(Table1[[#This Row],[Data de Início]]="","",MONTH(Table1[[#This Row],[Data de Início]]))</f>
        <v>12</v>
      </c>
      <c r="BC723" s="270"/>
    </row>
    <row r="724" spans="2:55" ht="15" customHeight="1" x14ac:dyDescent="0.25">
      <c r="B724" s="489">
        <v>46034.305555555555</v>
      </c>
      <c r="C724" s="490">
        <v>46035.406944444447</v>
      </c>
      <c r="D724" s="477" cm="1">
        <f t="array" ref="D724">IFERROR(HorasUteisFabrica2Turnos(B724,C724), "")</f>
        <v>11.433333333523478</v>
      </c>
      <c r="E724" s="478">
        <f t="shared" si="11"/>
        <v>661.22448978492173</v>
      </c>
      <c r="F724" s="479" t="s">
        <v>377</v>
      </c>
      <c r="G724" s="266" t="s">
        <v>1076</v>
      </c>
      <c r="H724" s="479"/>
      <c r="I724" s="480" t="s">
        <v>1247</v>
      </c>
      <c r="J724" s="481" t="s">
        <v>15</v>
      </c>
      <c r="K724" s="482">
        <v>7560</v>
      </c>
      <c r="L724" s="495" t="s">
        <v>1245</v>
      </c>
      <c r="M724" s="483" t="str">
        <f>IFERROR(INDEX([1]Produtos!$C:$C,MATCH(L724,[1]Produtos!$B:$B,0)), "-")</f>
        <v>PERFUME CAPILAR SOL TROPICAL 61</v>
      </c>
      <c r="N724" s="511">
        <f>IFERROR(INDEX([1]Produtos!$E:$E,MATCH(L724,[1]Produtos!$B:$B,0)), "-")</f>
        <v>60</v>
      </c>
      <c r="O724" s="483" t="str">
        <f>IFERROR(INDEX([1]Produtos!$F:$F,MATCH(L724,[1]Produtos!$B:$B,0)), "-")</f>
        <v>ml</v>
      </c>
      <c r="P724" s="483" t="str">
        <f>IFERROR(INDEX([1]Produtos!$G:$G,MATCH(L724,[1]Produtos!$B:$B,0)), "-")</f>
        <v>BRIA BEAUTY</v>
      </c>
      <c r="Q724" s="483" t="str">
        <f>IFERROR(INDEX([1]Produtos!$H:$H,MATCH(L724,[1]Produtos!$B:$B,0)), "-")</f>
        <v>PERFUMARIA</v>
      </c>
      <c r="R724" s="483" t="str">
        <f>IFERROR(INDEX([1]Produtos!$I:$I,MATCH(L724,[1]Produtos!$B:$B,0)), "-")</f>
        <v>PERFUME CAPILAR</v>
      </c>
      <c r="S724" s="483" t="str">
        <f>IFERROR(INDEX([1]Produtos!$J:$J,MATCH(L724,[1]Produtos!$B:$B,0)), "-")</f>
        <v>LÍQUIDO ESPESSO</v>
      </c>
      <c r="T724" s="484"/>
      <c r="U724" s="270"/>
      <c r="V724" s="270"/>
      <c r="W724" s="270"/>
      <c r="X724" s="270"/>
      <c r="Y724" s="270"/>
      <c r="Z724" s="270"/>
      <c r="AA724" s="270"/>
      <c r="AB724" s="270"/>
      <c r="AC724" s="270"/>
      <c r="AD724" s="270"/>
      <c r="AE724" s="270"/>
      <c r="AF724" s="270"/>
      <c r="AG724" s="270"/>
      <c r="AH724" s="270"/>
      <c r="AI724" s="270"/>
      <c r="AJ724" s="270"/>
      <c r="AK724" s="270"/>
      <c r="AL724" s="270"/>
      <c r="AM724" s="663"/>
      <c r="AN724" s="663"/>
      <c r="AO724" s="708" t="str">
        <f>IF(OR(Table1[[#This Row],[Início Setup Envase]]="",Table1[[#This Row],[Final Setup Envase]]=""),"",Table1[[#This Row],[Final Setup Envase]]-Table1[[#This Row],[Início Setup Envase]])</f>
        <v/>
      </c>
      <c r="AP724" s="663"/>
      <c r="AQ724" s="663"/>
      <c r="AR724" s="270"/>
      <c r="AS724" s="270"/>
      <c r="AT724" s="270"/>
      <c r="AU724" s="270"/>
      <c r="AV724" s="270"/>
      <c r="AW724" s="270"/>
      <c r="AX724" s="270"/>
      <c r="AY724" s="270"/>
      <c r="AZ724" s="270"/>
      <c r="BA724" s="270">
        <f>IF(Table1[[#This Row],[Data de Início]]="","",YEAR(Table1[[#This Row],[Data de Início]]))</f>
        <v>2026</v>
      </c>
      <c r="BB724" s="270">
        <f>IF(Table1[[#This Row],[Data de Início]]="","",MONTH(Table1[[#This Row],[Data de Início]]))</f>
        <v>1</v>
      </c>
      <c r="BC724" s="270"/>
    </row>
    <row r="725" spans="2:55" ht="15" customHeight="1" x14ac:dyDescent="0.25">
      <c r="B725" s="489">
        <v>46034.409722222219</v>
      </c>
      <c r="C725" s="490">
        <v>46035.333333333336</v>
      </c>
      <c r="D725" s="477" cm="1">
        <f t="array" ref="D725">IFERROR(HorasUteisFabrica2Turnos(B725,C725), "")</f>
        <v>7.1666666669188999</v>
      </c>
      <c r="E725" s="478">
        <f t="shared" si="11"/>
        <v>1054.8837208931056</v>
      </c>
      <c r="F725" s="479" t="s">
        <v>378</v>
      </c>
      <c r="G725" s="266" t="s">
        <v>1076</v>
      </c>
      <c r="H725" s="479"/>
      <c r="I725" s="480" t="s">
        <v>1246</v>
      </c>
      <c r="J725" s="481" t="s">
        <v>15</v>
      </c>
      <c r="K725" s="482">
        <v>7560</v>
      </c>
      <c r="L725" s="495" t="s">
        <v>1245</v>
      </c>
      <c r="M725" s="483" t="str">
        <f>IFERROR(INDEX([1]Produtos!$C:$C,MATCH(L725,[1]Produtos!$B:$B,0)), "-")</f>
        <v>PERFUME CAPILAR SOL TROPICAL 61</v>
      </c>
      <c r="N725" s="511">
        <f>IFERROR(INDEX([1]Produtos!$E:$E,MATCH(L725,[1]Produtos!$B:$B,0)), "-")</f>
        <v>60</v>
      </c>
      <c r="O725" s="483" t="str">
        <f>IFERROR(INDEX([1]Produtos!$F:$F,MATCH(L725,[1]Produtos!$B:$B,0)), "-")</f>
        <v>ml</v>
      </c>
      <c r="P725" s="483" t="str">
        <f>IFERROR(INDEX([1]Produtos!$G:$G,MATCH(L725,[1]Produtos!$B:$B,0)), "-")</f>
        <v>BRIA BEAUTY</v>
      </c>
      <c r="Q725" s="483" t="str">
        <f>IFERROR(INDEX([1]Produtos!$H:$H,MATCH(L725,[1]Produtos!$B:$B,0)), "-")</f>
        <v>PERFUMARIA</v>
      </c>
      <c r="R725" s="483" t="str">
        <f>IFERROR(INDEX([1]Produtos!$I:$I,MATCH(L725,[1]Produtos!$B:$B,0)), "-")</f>
        <v>PERFUME CAPILAR</v>
      </c>
      <c r="S725" s="483" t="str">
        <f>IFERROR(INDEX([1]Produtos!$J:$J,MATCH(L725,[1]Produtos!$B:$B,0)), "-")</f>
        <v>LÍQUIDO ESPESSO</v>
      </c>
      <c r="T725" s="484"/>
      <c r="U725" s="270"/>
      <c r="V725" s="270"/>
      <c r="W725" s="270"/>
      <c r="X725" s="270"/>
      <c r="Y725" s="270"/>
      <c r="Z725" s="270"/>
      <c r="AA725" s="270"/>
      <c r="AB725" s="270"/>
      <c r="AC725" s="270"/>
      <c r="AD725" s="270"/>
      <c r="AE725" s="270"/>
      <c r="AF725" s="270"/>
      <c r="AG725" s="270"/>
      <c r="AH725" s="270"/>
      <c r="AI725" s="270"/>
      <c r="AJ725" s="270"/>
      <c r="AK725" s="270"/>
      <c r="AL725" s="270"/>
      <c r="AM725" s="663"/>
      <c r="AN725" s="663"/>
      <c r="AO725" s="708" t="str">
        <f>IF(OR(Table1[[#This Row],[Início Setup Envase]]="",Table1[[#This Row],[Final Setup Envase]]=""),"",Table1[[#This Row],[Final Setup Envase]]-Table1[[#This Row],[Início Setup Envase]])</f>
        <v/>
      </c>
      <c r="AP725" s="663"/>
      <c r="AQ725" s="663"/>
      <c r="AR725" s="270"/>
      <c r="AS725" s="270"/>
      <c r="AT725" s="270"/>
      <c r="AU725" s="270"/>
      <c r="AV725" s="270"/>
      <c r="AW725" s="270"/>
      <c r="AX725" s="270"/>
      <c r="AY725" s="270"/>
      <c r="AZ725" s="270"/>
      <c r="BA725" s="270">
        <f>IF(Table1[[#This Row],[Data de Início]]="","",YEAR(Table1[[#This Row],[Data de Início]]))</f>
        <v>2026</v>
      </c>
      <c r="BB725" s="270">
        <f>IF(Table1[[#This Row],[Data de Início]]="","",MONTH(Table1[[#This Row],[Data de Início]]))</f>
        <v>1</v>
      </c>
      <c r="BC725" s="270"/>
    </row>
    <row r="726" spans="2:55" ht="15" customHeight="1" x14ac:dyDescent="0.25">
      <c r="B726" s="489">
        <v>46035.337500000001</v>
      </c>
      <c r="C726" s="490">
        <v>46035.649305555555</v>
      </c>
      <c r="D726" s="477" cm="1">
        <f t="array" ref="D726">IFERROR(HorasUteisFabrica2Turnos(B726,C726), "")</f>
        <v>6.4833333332790062</v>
      </c>
      <c r="E726" s="478">
        <f t="shared" si="11"/>
        <v>1166.0668380560435</v>
      </c>
      <c r="F726" s="479" t="s">
        <v>378</v>
      </c>
      <c r="G726" s="266" t="s">
        <v>1076</v>
      </c>
      <c r="H726" s="479"/>
      <c r="I726" s="480" t="s">
        <v>1248</v>
      </c>
      <c r="J726" s="481" t="s">
        <v>15</v>
      </c>
      <c r="K726" s="482">
        <v>7560</v>
      </c>
      <c r="L726" s="495" t="s">
        <v>1249</v>
      </c>
      <c r="M726" s="483" t="str">
        <f>IFERROR(INDEX([1]Produtos!$C:$C,MATCH(L726,[1]Produtos!$B:$B,0)), "-")</f>
        <v>PERFUME CAPILAR SOL TROPICAL 86</v>
      </c>
      <c r="N726" s="511">
        <f>IFERROR(INDEX([1]Produtos!$E:$E,MATCH(L726,[1]Produtos!$B:$B,0)), "-")</f>
        <v>60</v>
      </c>
      <c r="O726" s="483" t="str">
        <f>IFERROR(INDEX([1]Produtos!$F:$F,MATCH(L726,[1]Produtos!$B:$B,0)), "-")</f>
        <v>ml</v>
      </c>
      <c r="P726" s="483" t="str">
        <f>IFERROR(INDEX([1]Produtos!$G:$G,MATCH(L726,[1]Produtos!$B:$B,0)), "-")</f>
        <v>BRIA BEAUTY</v>
      </c>
      <c r="Q726" s="483" t="str">
        <f>IFERROR(INDEX([1]Produtos!$H:$H,MATCH(L726,[1]Produtos!$B:$B,0)), "-")</f>
        <v>PERFUMARIA</v>
      </c>
      <c r="R726" s="483" t="str">
        <f>IFERROR(INDEX([1]Produtos!$I:$I,MATCH(L726,[1]Produtos!$B:$B,0)), "-")</f>
        <v>PERFUME CAPILAR</v>
      </c>
      <c r="S726" s="483" t="str">
        <f>IFERROR(INDEX([1]Produtos!$J:$J,MATCH(L726,[1]Produtos!$B:$B,0)), "-")</f>
        <v>LÍQUIDO ESPESSO</v>
      </c>
      <c r="T726" s="484"/>
      <c r="U726" s="270"/>
      <c r="V726" s="270"/>
      <c r="W726" s="270"/>
      <c r="X726" s="270"/>
      <c r="Y726" s="270"/>
      <c r="Z726" s="270"/>
      <c r="AA726" s="270"/>
      <c r="AB726" s="270"/>
      <c r="AC726" s="270"/>
      <c r="AD726" s="270"/>
      <c r="AE726" s="270"/>
      <c r="AF726" s="270"/>
      <c r="AG726" s="270"/>
      <c r="AH726" s="270"/>
      <c r="AI726" s="270"/>
      <c r="AJ726" s="270"/>
      <c r="AK726" s="270"/>
      <c r="AL726" s="270"/>
      <c r="AM726" s="663"/>
      <c r="AN726" s="663"/>
      <c r="AO726" s="708" t="str">
        <f>IF(OR(Table1[[#This Row],[Início Setup Envase]]="",Table1[[#This Row],[Final Setup Envase]]=""),"",Table1[[#This Row],[Final Setup Envase]]-Table1[[#This Row],[Início Setup Envase]])</f>
        <v/>
      </c>
      <c r="AP726" s="663"/>
      <c r="AQ726" s="663"/>
      <c r="AR726" s="270"/>
      <c r="AS726" s="270"/>
      <c r="AT726" s="270"/>
      <c r="AU726" s="270"/>
      <c r="AV726" s="270"/>
      <c r="AW726" s="270"/>
      <c r="AX726" s="270"/>
      <c r="AY726" s="270"/>
      <c r="AZ726" s="270"/>
      <c r="BA726" s="270">
        <f>IF(Table1[[#This Row],[Data de Início]]="","",YEAR(Table1[[#This Row],[Data de Início]]))</f>
        <v>2026</v>
      </c>
      <c r="BB726" s="270">
        <f>IF(Table1[[#This Row],[Data de Início]]="","",MONTH(Table1[[#This Row],[Data de Início]]))</f>
        <v>1</v>
      </c>
      <c r="BC726" s="270"/>
    </row>
    <row r="727" spans="2:55" ht="15" customHeight="1" x14ac:dyDescent="0.25">
      <c r="B727" s="489">
        <v>46035.430555555555</v>
      </c>
      <c r="C727" s="490">
        <v>46036.395833333336</v>
      </c>
      <c r="D727" s="477" cm="1">
        <f t="array" ref="D727">IFERROR(HorasUteisFabrica2Turnos(B727,C727), "")</f>
        <v>8.1666666668606922</v>
      </c>
      <c r="E727" s="478">
        <f t="shared" si="11"/>
        <v>404.57142856181667</v>
      </c>
      <c r="F727" s="479" t="s">
        <v>377</v>
      </c>
      <c r="G727" s="266" t="s">
        <v>1250</v>
      </c>
      <c r="H727" s="479"/>
      <c r="I727" s="480" t="s">
        <v>1251</v>
      </c>
      <c r="J727" s="481" t="s">
        <v>15</v>
      </c>
      <c r="K727" s="482">
        <v>3304</v>
      </c>
      <c r="L727" s="495" t="s">
        <v>270</v>
      </c>
      <c r="M727" s="483" t="str">
        <f>IFERROR(INDEX([1]Produtos!$C:$C,MATCH(L727,[1]Produtos!$B:$B,0)), "-")</f>
        <v>GEL FACIAL ANTI OLEOSIDADE PITAYA</v>
      </c>
      <c r="N727" s="511">
        <f>IFERROR(INDEX([1]Produtos!$E:$E,MATCH(L727,[1]Produtos!$B:$B,0)), "-")</f>
        <v>100</v>
      </c>
      <c r="O727" s="483" t="str">
        <f>IFERROR(INDEX([1]Produtos!$F:$F,MATCH(L727,[1]Produtos!$B:$B,0)), "-")</f>
        <v>ml</v>
      </c>
      <c r="P727" s="483" t="str">
        <f>IFERROR(INDEX([1]Produtos!$G:$G,MATCH(L727,[1]Produtos!$B:$B,0)), "-")</f>
        <v>SAFIRA</v>
      </c>
      <c r="Q727" s="483" t="str">
        <f>IFERROR(INDEX([1]Produtos!$H:$H,MATCH(L727,[1]Produtos!$B:$B,0)), "-")</f>
        <v>FACIAL</v>
      </c>
      <c r="R727" s="483" t="str">
        <f>IFERROR(INDEX([1]Produtos!$I:$I,MATCH(L727,[1]Produtos!$B:$B,0)), "-")</f>
        <v>GEL</v>
      </c>
      <c r="S727" s="483" t="str">
        <f>IFERROR(INDEX([1]Produtos!$J:$J,MATCH(L727,[1]Produtos!$B:$B,0)), "-")</f>
        <v>CREMOSO</v>
      </c>
      <c r="T727" s="484"/>
      <c r="U727" s="270"/>
      <c r="V727" s="270"/>
      <c r="W727" s="270"/>
      <c r="X727" s="270"/>
      <c r="Y727" s="270"/>
      <c r="Z727" s="270"/>
      <c r="AA727" s="270"/>
      <c r="AB727" s="270"/>
      <c r="AC727" s="270"/>
      <c r="AD727" s="270"/>
      <c r="AE727" s="270"/>
      <c r="AF727" s="270"/>
      <c r="AG727" s="270"/>
      <c r="AH727" s="270"/>
      <c r="AI727" s="270"/>
      <c r="AJ727" s="270"/>
      <c r="AK727" s="270"/>
      <c r="AL727" s="270"/>
      <c r="AM727" s="663"/>
      <c r="AN727" s="663"/>
      <c r="AO727" s="708" t="str">
        <f>IF(OR(Table1[[#This Row],[Início Setup Envase]]="",Table1[[#This Row],[Final Setup Envase]]=""),"",Table1[[#This Row],[Final Setup Envase]]-Table1[[#This Row],[Início Setup Envase]])</f>
        <v/>
      </c>
      <c r="AP727" s="663"/>
      <c r="AQ727" s="663"/>
      <c r="AR727" s="270"/>
      <c r="AS727" s="270"/>
      <c r="AT727" s="270"/>
      <c r="AU727" s="270"/>
      <c r="AV727" s="270"/>
      <c r="AW727" s="270"/>
      <c r="AX727" s="270"/>
      <c r="AY727" s="270"/>
      <c r="AZ727" s="270"/>
      <c r="BA727" s="270">
        <f>IF(Table1[[#This Row],[Data de Início]]="","",YEAR(Table1[[#This Row],[Data de Início]]))</f>
        <v>2026</v>
      </c>
      <c r="BB727" s="270">
        <f>IF(Table1[[#This Row],[Data de Início]]="","",MONTH(Table1[[#This Row],[Data de Início]]))</f>
        <v>1</v>
      </c>
      <c r="BC727" s="270"/>
    </row>
    <row r="728" spans="2:55" ht="15" customHeight="1" x14ac:dyDescent="0.25">
      <c r="B728" s="489">
        <v>46035.649305555555</v>
      </c>
      <c r="C728" s="490">
        <v>46036.572222222225</v>
      </c>
      <c r="D728" s="477" cm="1">
        <f t="array" ref="D728">IFERROR(HorasUteisFabrica2Turnos(B728,C728), "")</f>
        <v>7.150000000197906</v>
      </c>
      <c r="E728" s="478">
        <f t="shared" si="11"/>
        <v>1057.3426573133909</v>
      </c>
      <c r="F728" s="479" t="s">
        <v>378</v>
      </c>
      <c r="G728" s="266" t="s">
        <v>1076</v>
      </c>
      <c r="H728" s="479"/>
      <c r="I728" s="480" t="s">
        <v>1252</v>
      </c>
      <c r="J728" s="481" t="s">
        <v>15</v>
      </c>
      <c r="K728" s="482">
        <v>7560</v>
      </c>
      <c r="L728" s="495" t="s">
        <v>1249</v>
      </c>
      <c r="M728" s="483" t="str">
        <f>IFERROR(INDEX([1]Produtos!$C:$C,MATCH(L728,[1]Produtos!$B:$B,0)), "-")</f>
        <v>PERFUME CAPILAR SOL TROPICAL 86</v>
      </c>
      <c r="N728" s="511">
        <f>IFERROR(INDEX([1]Produtos!$E:$E,MATCH(L728,[1]Produtos!$B:$B,0)), "-")</f>
        <v>60</v>
      </c>
      <c r="O728" s="483" t="str">
        <f>IFERROR(INDEX([1]Produtos!$F:$F,MATCH(L728,[1]Produtos!$B:$B,0)), "-")</f>
        <v>ml</v>
      </c>
      <c r="P728" s="483" t="str">
        <f>IFERROR(INDEX([1]Produtos!$G:$G,MATCH(L728,[1]Produtos!$B:$B,0)), "-")</f>
        <v>BRIA BEAUTY</v>
      </c>
      <c r="Q728" s="483" t="str">
        <f>IFERROR(INDEX([1]Produtos!$H:$H,MATCH(L728,[1]Produtos!$B:$B,0)), "-")</f>
        <v>PERFUMARIA</v>
      </c>
      <c r="R728" s="483" t="str">
        <f>IFERROR(INDEX([1]Produtos!$I:$I,MATCH(L728,[1]Produtos!$B:$B,0)), "-")</f>
        <v>PERFUME CAPILAR</v>
      </c>
      <c r="S728" s="483" t="str">
        <f>IFERROR(INDEX([1]Produtos!$J:$J,MATCH(L728,[1]Produtos!$B:$B,0)), "-")</f>
        <v>LÍQUIDO ESPESSO</v>
      </c>
      <c r="T728" s="484"/>
      <c r="U728" s="270"/>
      <c r="V728" s="270"/>
      <c r="W728" s="270"/>
      <c r="X728" s="270"/>
      <c r="Y728" s="270"/>
      <c r="Z728" s="270"/>
      <c r="AA728" s="270"/>
      <c r="AB728" s="270"/>
      <c r="AC728" s="270"/>
      <c r="AD728" s="270"/>
      <c r="AE728" s="270"/>
      <c r="AF728" s="270"/>
      <c r="AG728" s="270"/>
      <c r="AH728" s="270"/>
      <c r="AI728" s="270"/>
      <c r="AJ728" s="270"/>
      <c r="AK728" s="270"/>
      <c r="AL728" s="270"/>
      <c r="AM728" s="663"/>
      <c r="AN728" s="663"/>
      <c r="AO728" s="708" t="str">
        <f>IF(OR(Table1[[#This Row],[Início Setup Envase]]="",Table1[[#This Row],[Final Setup Envase]]=""),"",Table1[[#This Row],[Final Setup Envase]]-Table1[[#This Row],[Início Setup Envase]])</f>
        <v/>
      </c>
      <c r="AP728" s="663"/>
      <c r="AQ728" s="663"/>
      <c r="AR728" s="270"/>
      <c r="AS728" s="270"/>
      <c r="AT728" s="270"/>
      <c r="AU728" s="270"/>
      <c r="AV728" s="270"/>
      <c r="AW728" s="270"/>
      <c r="AX728" s="270"/>
      <c r="AY728" s="270"/>
      <c r="AZ728" s="270"/>
      <c r="BA728" s="270">
        <f>IF(Table1[[#This Row],[Data de Início]]="","",YEAR(Table1[[#This Row],[Data de Início]]))</f>
        <v>2026</v>
      </c>
      <c r="BB728" s="270">
        <f>IF(Table1[[#This Row],[Data de Início]]="","",MONTH(Table1[[#This Row],[Data de Início]]))</f>
        <v>1</v>
      </c>
      <c r="BC728" s="270"/>
    </row>
    <row r="729" spans="2:55" ht="15" customHeight="1" x14ac:dyDescent="0.25">
      <c r="B729" s="489">
        <v>46035.65347222222</v>
      </c>
      <c r="C729" s="490">
        <v>46036.645833333336</v>
      </c>
      <c r="D729" s="477" cm="1">
        <f t="array" ref="D729">IFERROR(HorasUteisFabrica2Turnos(B729,C729), "")</f>
        <v>8.8166666668839753</v>
      </c>
      <c r="E729" s="478">
        <f t="shared" si="11"/>
        <v>331.41776936801284</v>
      </c>
      <c r="F729" s="479" t="s">
        <v>377</v>
      </c>
      <c r="G729" s="266" t="s">
        <v>1250</v>
      </c>
      <c r="H729" s="479"/>
      <c r="I729" s="480" t="s">
        <v>1253</v>
      </c>
      <c r="J729" s="481" t="s">
        <v>15</v>
      </c>
      <c r="K729" s="482">
        <v>2922</v>
      </c>
      <c r="L729" s="495" t="s">
        <v>271</v>
      </c>
      <c r="M729" s="511" t="str">
        <f>IFERROR(INDEX([1]Produtos!$C:$C,MATCH(L729,[1]Produtos!$B:$B,0)), "-")</f>
        <v>GEL FACIAL ANTI OLEOSIDADE VITAMINA C</v>
      </c>
      <c r="N729" s="511">
        <f>IFERROR(INDEX([1]Produtos!$E:$E,MATCH(L729,[1]Produtos!$B:$B,0)), "-")</f>
        <v>100</v>
      </c>
      <c r="O729" s="483" t="str">
        <f>IFERROR(INDEX([1]Produtos!$F:$F,MATCH(L729,[1]Produtos!$B:$B,0)), "-")</f>
        <v>ml</v>
      </c>
      <c r="P729" s="483" t="str">
        <f>IFERROR(INDEX([1]Produtos!$G:$G,MATCH(L729,[1]Produtos!$B:$B,0)), "-")</f>
        <v>SAFIRA</v>
      </c>
      <c r="Q729" s="483" t="str">
        <f>IFERROR(INDEX([1]Produtos!$H:$H,MATCH(L729,[1]Produtos!$B:$B,0)), "-")</f>
        <v>FACIAL</v>
      </c>
      <c r="R729" s="483" t="str">
        <f>IFERROR(INDEX([1]Produtos!$I:$I,MATCH(L729,[1]Produtos!$B:$B,0)), "-")</f>
        <v>GEL</v>
      </c>
      <c r="S729" s="483" t="str">
        <f>IFERROR(INDEX([1]Produtos!$J:$J,MATCH(L729,[1]Produtos!$B:$B,0)), "-")</f>
        <v>CREMOSO</v>
      </c>
      <c r="T729" s="533"/>
      <c r="U729" s="263"/>
      <c r="V729" s="264"/>
      <c r="W729" s="265"/>
      <c r="X729" s="266"/>
      <c r="Y729" s="266"/>
      <c r="Z729" s="269"/>
      <c r="AA729" s="267"/>
      <c r="AB729" s="268"/>
      <c r="AC729" s="269"/>
      <c r="AD729" s="270"/>
      <c r="AE729" s="510"/>
      <c r="AF729" s="510"/>
      <c r="AG729" s="270"/>
      <c r="AH729" s="270"/>
      <c r="AI729" s="270"/>
      <c r="AJ729" s="270"/>
      <c r="AK729" s="270"/>
      <c r="AL729" s="616"/>
      <c r="AM729" s="669"/>
      <c r="AN729" s="669"/>
      <c r="AO729" s="710" t="str">
        <f>IF(OR(Table1[[#This Row],[Início Setup Envase]]="",Table1[[#This Row],[Final Setup Envase]]=""),"",Table1[[#This Row],[Final Setup Envase]]-Table1[[#This Row],[Início Setup Envase]])</f>
        <v/>
      </c>
      <c r="AP729" s="663"/>
      <c r="AQ729" s="663"/>
      <c r="AR729" s="510"/>
      <c r="AS729" s="270"/>
      <c r="AT729" s="270"/>
      <c r="AU729" s="270"/>
      <c r="AV729" s="270"/>
      <c r="AW729" s="270"/>
      <c r="AX729" s="616"/>
      <c r="AY729" s="616"/>
      <c r="AZ729" s="616"/>
      <c r="BA729" s="730">
        <f>IF(Table1[[#This Row],[Data de Início]]="","",YEAR(Table1[[#This Row],[Data de Início]]))</f>
        <v>2026</v>
      </c>
      <c r="BB729" s="730">
        <f>IF(Table1[[#This Row],[Data de Início]]="","",MONTH(Table1[[#This Row],[Data de Início]]))</f>
        <v>1</v>
      </c>
      <c r="BC729" s="616"/>
    </row>
    <row r="730" spans="2:55" ht="15" customHeight="1" x14ac:dyDescent="0.25">
      <c r="B730" s="489">
        <v>46036.430555555555</v>
      </c>
      <c r="C730" s="490">
        <v>46037.565972222219</v>
      </c>
      <c r="D730" s="477" cm="1">
        <f t="array" ref="D730">IFERROR(HorasUteisFabrica2Turnos(B730,C730), "")</f>
        <v>11.250000000058208</v>
      </c>
      <c r="E730" s="478">
        <f t="shared" si="11"/>
        <v>661.33333332991162</v>
      </c>
      <c r="F730" s="479" t="s">
        <v>377</v>
      </c>
      <c r="G730" s="266" t="s">
        <v>1076</v>
      </c>
      <c r="H730" s="479"/>
      <c r="I730" s="480" t="s">
        <v>1256</v>
      </c>
      <c r="J730" s="481" t="s">
        <v>15</v>
      </c>
      <c r="K730" s="482">
        <v>7440</v>
      </c>
      <c r="L730" s="495" t="s">
        <v>1255</v>
      </c>
      <c r="M730" s="511" t="str">
        <f>IFERROR(INDEX([1]Produtos!$C:$C,MATCH(L730,[1]Produtos!$B:$B,0)), "-")</f>
        <v>PERFUME CAPILAR LUNAR</v>
      </c>
      <c r="N730" s="511">
        <f>IFERROR(INDEX([1]Produtos!$E:$E,MATCH(L730,[1]Produtos!$B:$B,0)), "-")</f>
        <v>60</v>
      </c>
      <c r="O730" s="483" t="str">
        <f>IFERROR(INDEX([1]Produtos!$F:$F,MATCH(L730,[1]Produtos!$B:$B,0)), "-")</f>
        <v>ml</v>
      </c>
      <c r="P730" s="483" t="str">
        <f>IFERROR(INDEX([1]Produtos!$G:$G,MATCH(L730,[1]Produtos!$B:$B,0)), "-")</f>
        <v>BRIA BEAUTY</v>
      </c>
      <c r="Q730" s="483" t="str">
        <f>IFERROR(INDEX([1]Produtos!$H:$H,MATCH(L730,[1]Produtos!$B:$B,0)), "-")</f>
        <v>PERFUMARIA</v>
      </c>
      <c r="R730" s="483" t="str">
        <f>IFERROR(INDEX([1]Produtos!$I:$I,MATCH(L730,[1]Produtos!$B:$B,0)), "-")</f>
        <v>PERFUME CAPILAR</v>
      </c>
      <c r="S730" s="483" t="str">
        <f>IFERROR(INDEX([1]Produtos!$J:$J,MATCH(L730,[1]Produtos!$B:$B,0)), "-")</f>
        <v>LÍQUIDO ESPESSO</v>
      </c>
      <c r="T730" s="484"/>
      <c r="U730" s="263"/>
      <c r="V730" s="264"/>
      <c r="W730" s="265"/>
      <c r="X730" s="266"/>
      <c r="Y730" s="266"/>
      <c r="Z730" s="269"/>
      <c r="AA730" s="267"/>
      <c r="AB730" s="268"/>
      <c r="AC730" s="269"/>
      <c r="AD730" s="270"/>
      <c r="AE730" s="510"/>
      <c r="AF730" s="510"/>
      <c r="AG730" s="270"/>
      <c r="AH730" s="270"/>
      <c r="AI730" s="270"/>
      <c r="AJ730" s="270"/>
      <c r="AK730" s="270"/>
      <c r="AL730" s="616"/>
      <c r="AM730" s="669"/>
      <c r="AN730" s="669"/>
      <c r="AO730" s="710" t="str">
        <f>IF(OR(Table1[[#This Row],[Início Setup Envase]]="",Table1[[#This Row],[Final Setup Envase]]=""),"",Table1[[#This Row],[Final Setup Envase]]-Table1[[#This Row],[Início Setup Envase]])</f>
        <v/>
      </c>
      <c r="AP730" s="663"/>
      <c r="AQ730" s="663"/>
      <c r="AR730" s="510"/>
      <c r="AS730" s="270"/>
      <c r="AT730" s="270"/>
      <c r="AU730" s="270"/>
      <c r="AV730" s="270"/>
      <c r="AW730" s="270"/>
      <c r="AX730" s="616"/>
      <c r="AY730" s="616"/>
      <c r="AZ730" s="616"/>
      <c r="BA730" s="730">
        <f>IF(Table1[[#This Row],[Data de Início]]="","",YEAR(Table1[[#This Row],[Data de Início]]))</f>
        <v>2026</v>
      </c>
      <c r="BB730" s="730">
        <f>IF(Table1[[#This Row],[Data de Início]]="","",MONTH(Table1[[#This Row],[Data de Início]]))</f>
        <v>1</v>
      </c>
      <c r="BC730" s="270"/>
    </row>
    <row r="731" spans="2:55" ht="15" customHeight="1" x14ac:dyDescent="0.25">
      <c r="B731" s="489">
        <v>46036.57916666667</v>
      </c>
      <c r="C731" s="490">
        <v>46037.45</v>
      </c>
      <c r="D731" s="477" cm="1">
        <f t="array" ref="D731">IFERROR(HorasUteisFabrica2Turnos(B731,C731), "")</f>
        <v>6.8999999999650754</v>
      </c>
      <c r="E731" s="478">
        <f t="shared" si="11"/>
        <v>1095.6521739185891</v>
      </c>
      <c r="F731" s="479" t="s">
        <v>378</v>
      </c>
      <c r="G731" s="266" t="s">
        <v>1076</v>
      </c>
      <c r="H731" s="479"/>
      <c r="I731" s="480" t="s">
        <v>1254</v>
      </c>
      <c r="J731" s="481" t="s">
        <v>15</v>
      </c>
      <c r="K731" s="482">
        <v>7560</v>
      </c>
      <c r="L731" s="495" t="s">
        <v>1255</v>
      </c>
      <c r="M731" s="511" t="str">
        <f>IFERROR(INDEX([1]Produtos!$C:$C,MATCH(L731,[1]Produtos!$B:$B,0)), "-")</f>
        <v>PERFUME CAPILAR LUNAR</v>
      </c>
      <c r="N731" s="511">
        <f>IFERROR(INDEX([1]Produtos!$E:$E,MATCH(L731,[1]Produtos!$B:$B,0)), "-")</f>
        <v>60</v>
      </c>
      <c r="O731" s="483" t="str">
        <f>IFERROR(INDEX([1]Produtos!$F:$F,MATCH(L731,[1]Produtos!$B:$B,0)), "-")</f>
        <v>ml</v>
      </c>
      <c r="P731" s="483" t="str">
        <f>IFERROR(INDEX([1]Produtos!$G:$G,MATCH(L731,[1]Produtos!$B:$B,0)), "-")</f>
        <v>BRIA BEAUTY</v>
      </c>
      <c r="Q731" s="483" t="str">
        <f>IFERROR(INDEX([1]Produtos!$H:$H,MATCH(L731,[1]Produtos!$B:$B,0)), "-")</f>
        <v>PERFUMARIA</v>
      </c>
      <c r="R731" s="483" t="str">
        <f>IFERROR(INDEX([1]Produtos!$I:$I,MATCH(L731,[1]Produtos!$B:$B,0)), "-")</f>
        <v>PERFUME CAPILAR</v>
      </c>
      <c r="S731" s="483" t="str">
        <f>IFERROR(INDEX([1]Produtos!$J:$J,MATCH(L731,[1]Produtos!$B:$B,0)), "-")</f>
        <v>LÍQUIDO ESPESSO</v>
      </c>
      <c r="T731" s="533"/>
      <c r="U731" s="263"/>
      <c r="V731" s="264"/>
      <c r="W731" s="265"/>
      <c r="X731" s="266"/>
      <c r="Y731" s="269"/>
      <c r="Z731" s="269"/>
      <c r="AA731" s="267"/>
      <c r="AB731" s="268"/>
      <c r="AC731" s="269"/>
      <c r="AD731" s="510"/>
      <c r="AE731" s="510"/>
      <c r="AF731" s="510"/>
      <c r="AG731" s="270"/>
      <c r="AH731" s="270"/>
      <c r="AI731" s="270"/>
      <c r="AJ731" s="270"/>
      <c r="AK731" s="616"/>
      <c r="AL731" s="263"/>
      <c r="AM731" s="669"/>
      <c r="AN731" s="669"/>
      <c r="AO731" s="710" t="str">
        <f>IF(OR(Table1[[#This Row],[Início Setup Envase]]="",Table1[[#This Row],[Final Setup Envase]]=""),"",Table1[[#This Row],[Final Setup Envase]]-Table1[[#This Row],[Início Setup Envase]])</f>
        <v/>
      </c>
      <c r="AP731" s="663"/>
      <c r="AQ731" s="663"/>
      <c r="AR731" s="510"/>
      <c r="AS731" s="270"/>
      <c r="AT731" s="270"/>
      <c r="AU731" s="270"/>
      <c r="AV731" s="270"/>
      <c r="AW731" s="616"/>
      <c r="AX731" s="263"/>
      <c r="AY731" s="263"/>
      <c r="AZ731" s="263"/>
      <c r="BA731" s="269">
        <f>IF(Table1[[#This Row],[Data de Início]]="","",YEAR(Table1[[#This Row],[Data de Início]]))</f>
        <v>2026</v>
      </c>
      <c r="BB731" s="269">
        <f>IF(Table1[[#This Row],[Data de Início]]="","",MONTH(Table1[[#This Row],[Data de Início]]))</f>
        <v>1</v>
      </c>
      <c r="BC731" s="270"/>
    </row>
    <row r="732" spans="2:55" ht="15" customHeight="1" x14ac:dyDescent="0.25">
      <c r="B732" s="489">
        <v>46037.458333333336</v>
      </c>
      <c r="C732" s="490">
        <v>46038.354166666664</v>
      </c>
      <c r="D732" s="477" cm="1">
        <f t="array" ref="D732">IFERROR(HorasUteisFabrica2Turnos(B732,C732), "")</f>
        <v>6.5</v>
      </c>
      <c r="E732" s="478">
        <f t="shared" si="11"/>
        <v>622</v>
      </c>
      <c r="F732" s="479" t="s">
        <v>377</v>
      </c>
      <c r="G732" s="266" t="s">
        <v>1250</v>
      </c>
      <c r="H732" s="479"/>
      <c r="I732" s="480" t="s">
        <v>1258</v>
      </c>
      <c r="J732" s="481" t="s">
        <v>15</v>
      </c>
      <c r="K732" s="482">
        <v>4043</v>
      </c>
      <c r="L732" s="495" t="s">
        <v>272</v>
      </c>
      <c r="M732" s="511" t="str">
        <f>IFERROR(INDEX([1]Produtos!$C:$C,MATCH(L732,[1]Produtos!$B:$B,0)), "-")</f>
        <v>SABONETE DEMAQUILANTE PITAYA</v>
      </c>
      <c r="N732" s="511">
        <f>IFERROR(INDEX([1]Produtos!$E:$E,MATCH(L732,[1]Produtos!$B:$B,0)), "-")</f>
        <v>100</v>
      </c>
      <c r="O732" s="483" t="str">
        <f>IFERROR(INDEX([1]Produtos!$F:$F,MATCH(L732,[1]Produtos!$B:$B,0)), "-")</f>
        <v>ml</v>
      </c>
      <c r="P732" s="483" t="str">
        <f>IFERROR(INDEX([1]Produtos!$G:$G,MATCH(L732,[1]Produtos!$B:$B,0)), "-")</f>
        <v>SAFIRA</v>
      </c>
      <c r="Q732" s="483" t="str">
        <f>IFERROR(INDEX([1]Produtos!$H:$H,MATCH(L732,[1]Produtos!$B:$B,0)), "-")</f>
        <v>MAQUIAGEM</v>
      </c>
      <c r="R732" s="483" t="str">
        <f>IFERROR(INDEX([1]Produtos!$I:$I,MATCH(L732,[1]Produtos!$B:$B,0)), "-")</f>
        <v>SABONETE</v>
      </c>
      <c r="S732" s="483" t="str">
        <f>IFERROR(INDEX([1]Produtos!$J:$J,MATCH(L732,[1]Produtos!$B:$B,0)), "-")</f>
        <v>VISCOSO</v>
      </c>
      <c r="T732" s="484"/>
      <c r="U732" s="263"/>
      <c r="V732" s="264"/>
      <c r="W732" s="265"/>
      <c r="X732" s="266"/>
      <c r="Y732" s="269"/>
      <c r="Z732" s="269"/>
      <c r="AA732" s="267"/>
      <c r="AB732" s="268"/>
      <c r="AC732" s="269"/>
      <c r="AD732" s="510"/>
      <c r="AE732" s="510"/>
      <c r="AF732" s="510"/>
      <c r="AG732" s="270"/>
      <c r="AH732" s="270"/>
      <c r="AI732" s="270"/>
      <c r="AJ732" s="616"/>
      <c r="AK732" s="263"/>
      <c r="AL732" s="616"/>
      <c r="AM732" s="669"/>
      <c r="AN732" s="669"/>
      <c r="AO732" s="710" t="str">
        <f>IF(OR(Table1[[#This Row],[Início Setup Envase]]="",Table1[[#This Row],[Final Setup Envase]]=""),"",Table1[[#This Row],[Final Setup Envase]]-Table1[[#This Row],[Início Setup Envase]])</f>
        <v/>
      </c>
      <c r="AP732" s="663"/>
      <c r="AQ732" s="663"/>
      <c r="AR732" s="510"/>
      <c r="AS732" s="270"/>
      <c r="AT732" s="270"/>
      <c r="AU732" s="270"/>
      <c r="AV732" s="616"/>
      <c r="AW732" s="263"/>
      <c r="AX732" s="616"/>
      <c r="AY732" s="616"/>
      <c r="AZ732" s="616"/>
      <c r="BA732" s="730">
        <f>IF(Table1[[#This Row],[Data de Início]]="","",YEAR(Table1[[#This Row],[Data de Início]]))</f>
        <v>2026</v>
      </c>
      <c r="BB732" s="730">
        <f>IF(Table1[[#This Row],[Data de Início]]="","",MONTH(Table1[[#This Row],[Data de Início]]))</f>
        <v>1</v>
      </c>
      <c r="BC732" s="616"/>
    </row>
    <row r="733" spans="2:55" ht="15" customHeight="1" x14ac:dyDescent="0.25">
      <c r="B733" s="489">
        <v>46038.333333333336</v>
      </c>
      <c r="C733" s="490">
        <v>46038.481944444444</v>
      </c>
      <c r="D733" s="477" cm="1">
        <f t="array" ref="D733">IFERROR(HorasUteisFabrica2Turnos(B733,C733), "")</f>
        <v>3.566666666592937</v>
      </c>
      <c r="E733" s="478">
        <f t="shared" si="11"/>
        <v>713.2710280521278</v>
      </c>
      <c r="F733" s="479" t="s">
        <v>378</v>
      </c>
      <c r="G733" s="266" t="s">
        <v>1262</v>
      </c>
      <c r="H733" s="479"/>
      <c r="I733" s="480" t="s">
        <v>1264</v>
      </c>
      <c r="J733" s="481" t="s">
        <v>15</v>
      </c>
      <c r="K733" s="482">
        <v>2544</v>
      </c>
      <c r="L733" s="495" t="s">
        <v>1260</v>
      </c>
      <c r="M733" s="511" t="str">
        <f>IFERROR(INDEX([1]Produtos!$C:$C,MATCH(L733,[1]Produtos!$B:$B,0)), "-")</f>
        <v>BODY SPLASH FLOR D AURA 200ml</v>
      </c>
      <c r="N733" s="511">
        <f>IFERROR(INDEX([1]Produtos!$E:$E,MATCH(L733,[1]Produtos!$B:$B,0)), "-")</f>
        <v>215</v>
      </c>
      <c r="O733" s="483" t="str">
        <f>IFERROR(INDEX([1]Produtos!$F:$F,MATCH(L733,[1]Produtos!$B:$B,0)), "-")</f>
        <v>ml</v>
      </c>
      <c r="P733" s="483" t="str">
        <f>IFERROR(INDEX([1]Produtos!$G:$G,MATCH(L733,[1]Produtos!$B:$B,0)), "-")</f>
        <v>MISS RÔSE</v>
      </c>
      <c r="Q733" s="483" t="str">
        <f>IFERROR(INDEX([1]Produtos!$H:$H,MATCH(L733,[1]Produtos!$B:$B,0)), "-")</f>
        <v>PERFUMARIA</v>
      </c>
      <c r="R733" s="483" t="str">
        <f>IFERROR(INDEX([1]Produtos!$I:$I,MATCH(L733,[1]Produtos!$B:$B,0)), "-")</f>
        <v>BODY SPLASH</v>
      </c>
      <c r="S733" s="483" t="str">
        <f>IFERROR(INDEX([1]Produtos!$J:$J,MATCH(L733,[1]Produtos!$B:$B,0)), "-")</f>
        <v>LÍQUIDO</v>
      </c>
      <c r="T733" s="484"/>
      <c r="U733" s="263"/>
      <c r="V733" s="264"/>
      <c r="W733" s="265"/>
      <c r="X733" s="266"/>
      <c r="Y733" s="269"/>
      <c r="Z733" s="269"/>
      <c r="AA733" s="267"/>
      <c r="AB733" s="268"/>
      <c r="AC733" s="269"/>
      <c r="AD733" s="510"/>
      <c r="AE733" s="510"/>
      <c r="AF733" s="510"/>
      <c r="AG733" s="270"/>
      <c r="AH733" s="270"/>
      <c r="AI733" s="270"/>
      <c r="AJ733" s="270"/>
      <c r="AK733" s="270"/>
      <c r="AL733" s="616"/>
      <c r="AM733" s="669"/>
      <c r="AN733" s="669"/>
      <c r="AO733" s="710" t="str">
        <f>IF(OR(Table1[[#This Row],[Início Setup Envase]]="",Table1[[#This Row],[Final Setup Envase]]=""),"",Table1[[#This Row],[Final Setup Envase]]-Table1[[#This Row],[Início Setup Envase]])</f>
        <v/>
      </c>
      <c r="AP733" s="663"/>
      <c r="AQ733" s="663"/>
      <c r="AR733" s="510"/>
      <c r="AS733" s="270"/>
      <c r="AT733" s="270"/>
      <c r="AU733" s="270"/>
      <c r="AV733" s="270"/>
      <c r="AW733" s="270"/>
      <c r="AX733" s="616"/>
      <c r="AY733" s="616"/>
      <c r="AZ733" s="616"/>
      <c r="BA733" s="730">
        <f>IF(Table1[[#This Row],[Data de Início]]="","",YEAR(Table1[[#This Row],[Data de Início]]))</f>
        <v>2026</v>
      </c>
      <c r="BB733" s="730">
        <f>IF(Table1[[#This Row],[Data de Início]]="","",MONTH(Table1[[#This Row],[Data de Início]]))</f>
        <v>1</v>
      </c>
      <c r="BC733" s="616"/>
    </row>
    <row r="734" spans="2:55" ht="15" customHeight="1" x14ac:dyDescent="0.25">
      <c r="B734" s="489">
        <v>46038.354166666664</v>
      </c>
      <c r="C734" s="490">
        <v>46041.314583333333</v>
      </c>
      <c r="D734" s="477" cm="1">
        <f t="array" ref="D734">IFERROR(HorasUteisFabrica2Turnos(B734,C734), "")</f>
        <v>7.0500000000465661</v>
      </c>
      <c r="E734" s="478">
        <f t="shared" si="11"/>
        <v>456.73758864946547</v>
      </c>
      <c r="F734" s="479" t="s">
        <v>377</v>
      </c>
      <c r="G734" s="266" t="s">
        <v>1250</v>
      </c>
      <c r="H734" s="479"/>
      <c r="I734" s="480" t="s">
        <v>1263</v>
      </c>
      <c r="J734" s="481" t="s">
        <v>15</v>
      </c>
      <c r="K734" s="482">
        <v>3220</v>
      </c>
      <c r="L734" s="495" t="s">
        <v>273</v>
      </c>
      <c r="M734" s="511" t="str">
        <f>IFERROR(INDEX([1]Produtos!$C:$C,MATCH(L734,[1]Produtos!$B:$B,0)), "-")</f>
        <v>SABONETE DEMAQUILANTE VITAMINA C</v>
      </c>
      <c r="N734" s="511">
        <f>IFERROR(INDEX([1]Produtos!$E:$E,MATCH(L734,[1]Produtos!$B:$B,0)), "-")</f>
        <v>100</v>
      </c>
      <c r="O734" s="483" t="str">
        <f>IFERROR(INDEX([1]Produtos!$F:$F,MATCH(L734,[1]Produtos!$B:$B,0)), "-")</f>
        <v>ml</v>
      </c>
      <c r="P734" s="483" t="str">
        <f>IFERROR(INDEX([1]Produtos!$G:$G,MATCH(L734,[1]Produtos!$B:$B,0)), "-")</f>
        <v>SAFIRA</v>
      </c>
      <c r="Q734" s="483" t="str">
        <f>IFERROR(INDEX([1]Produtos!$H:$H,MATCH(L734,[1]Produtos!$B:$B,0)), "-")</f>
        <v>MAQUIAGEM</v>
      </c>
      <c r="R734" s="483" t="str">
        <f>IFERROR(INDEX([1]Produtos!$I:$I,MATCH(L734,[1]Produtos!$B:$B,0)), "-")</f>
        <v>SABONETE</v>
      </c>
      <c r="S734" s="483" t="str">
        <f>IFERROR(INDEX([1]Produtos!$J:$J,MATCH(L734,[1]Produtos!$B:$B,0)), "-")</f>
        <v>VISCOSO</v>
      </c>
      <c r="T734" s="484"/>
      <c r="U734" s="263"/>
      <c r="V734" s="264"/>
      <c r="W734" s="265"/>
      <c r="X734" s="266"/>
      <c r="Y734" s="266"/>
      <c r="Z734" s="269"/>
      <c r="AA734" s="267"/>
      <c r="AB734" s="268"/>
      <c r="AC734" s="269"/>
      <c r="AD734" s="510"/>
      <c r="AE734" s="510"/>
      <c r="AF734" s="510"/>
      <c r="AG734" s="270"/>
      <c r="AH734" s="270"/>
      <c r="AI734" s="270"/>
      <c r="AJ734" s="270"/>
      <c r="AK734" s="270"/>
      <c r="AL734" s="616"/>
      <c r="AM734" s="669"/>
      <c r="AN734" s="669"/>
      <c r="AO734" s="710" t="str">
        <f>IF(OR(Table1[[#This Row],[Início Setup Envase]]="",Table1[[#This Row],[Final Setup Envase]]=""),"",Table1[[#This Row],[Final Setup Envase]]-Table1[[#This Row],[Início Setup Envase]])</f>
        <v/>
      </c>
      <c r="AP734" s="663"/>
      <c r="AQ734" s="663"/>
      <c r="AR734" s="510"/>
      <c r="AS734" s="270"/>
      <c r="AT734" s="270"/>
      <c r="AU734" s="270"/>
      <c r="AV734" s="270"/>
      <c r="AW734" s="270"/>
      <c r="AX734" s="616"/>
      <c r="AY734" s="616"/>
      <c r="AZ734" s="616"/>
      <c r="BA734" s="730">
        <f>IF(Table1[[#This Row],[Data de Início]]="","",YEAR(Table1[[#This Row],[Data de Início]]))</f>
        <v>2026</v>
      </c>
      <c r="BB734" s="730">
        <f>IF(Table1[[#This Row],[Data de Início]]="","",MONTH(Table1[[#This Row],[Data de Início]]))</f>
        <v>1</v>
      </c>
      <c r="BC734" s="616"/>
    </row>
    <row r="735" spans="2:55" ht="15" customHeight="1" x14ac:dyDescent="0.25">
      <c r="B735" s="489">
        <v>46038.481944444444</v>
      </c>
      <c r="C735" s="490">
        <v>46041.334722222222</v>
      </c>
      <c r="D735" s="477" cm="1">
        <f t="array" ref="D735">IFERROR(HorasUteisFabrica2Turnos(B735,C735), "")</f>
        <v>4.4666666666744277</v>
      </c>
      <c r="E735" s="478">
        <f t="shared" si="11"/>
        <v>526.5671641781895</v>
      </c>
      <c r="F735" s="479" t="s">
        <v>378</v>
      </c>
      <c r="G735" s="266" t="s">
        <v>1262</v>
      </c>
      <c r="H735" s="479"/>
      <c r="I735" s="480" t="s">
        <v>1261</v>
      </c>
      <c r="J735" s="481" t="s">
        <v>15</v>
      </c>
      <c r="K735" s="482">
        <v>2352</v>
      </c>
      <c r="L735" s="495" t="s">
        <v>1260</v>
      </c>
      <c r="M735" s="511" t="str">
        <f>IFERROR(INDEX([1]Produtos!$C:$C,MATCH(L735,[1]Produtos!$B:$B,0)), "-")</f>
        <v>BODY SPLASH FLOR D AURA 200ml</v>
      </c>
      <c r="N735" s="511">
        <f>IFERROR(INDEX([1]Produtos!$E:$E,MATCH(L735,[1]Produtos!$B:$B,0)), "-")</f>
        <v>215</v>
      </c>
      <c r="O735" s="483" t="str">
        <f>IFERROR(INDEX([1]Produtos!$F:$F,MATCH(L735,[1]Produtos!$B:$B,0)), "-")</f>
        <v>ml</v>
      </c>
      <c r="P735" s="483" t="str">
        <f>IFERROR(INDEX([1]Produtos!$G:$G,MATCH(L735,[1]Produtos!$B:$B,0)), "-")</f>
        <v>MISS RÔSE</v>
      </c>
      <c r="Q735" s="483" t="str">
        <f>IFERROR(INDEX([1]Produtos!$H:$H,MATCH(L735,[1]Produtos!$B:$B,0)), "-")</f>
        <v>PERFUMARIA</v>
      </c>
      <c r="R735" s="483" t="str">
        <f>IFERROR(INDEX([1]Produtos!$I:$I,MATCH(L735,[1]Produtos!$B:$B,0)), "-")</f>
        <v>BODY SPLASH</v>
      </c>
      <c r="S735" s="483" t="str">
        <f>IFERROR(INDEX([1]Produtos!$J:$J,MATCH(L735,[1]Produtos!$B:$B,0)), "-")</f>
        <v>LÍQUIDO</v>
      </c>
      <c r="T735" s="484"/>
      <c r="U735" s="263"/>
      <c r="V735" s="264"/>
      <c r="W735" s="265"/>
      <c r="X735" s="266"/>
      <c r="Y735" s="269"/>
      <c r="Z735" s="269"/>
      <c r="AA735" s="267"/>
      <c r="AB735" s="268"/>
      <c r="AC735" s="269"/>
      <c r="AD735" s="510"/>
      <c r="AE735" s="510"/>
      <c r="AF735" s="510"/>
      <c r="AG735" s="270"/>
      <c r="AH735" s="270"/>
      <c r="AI735" s="270"/>
      <c r="AJ735" s="270"/>
      <c r="AK735" s="616"/>
      <c r="AL735" s="616"/>
      <c r="AM735" s="669"/>
      <c r="AN735" s="669"/>
      <c r="AO735" s="710" t="str">
        <f>IF(OR(Table1[[#This Row],[Início Setup Envase]]="",Table1[[#This Row],[Final Setup Envase]]=""),"",Table1[[#This Row],[Final Setup Envase]]-Table1[[#This Row],[Início Setup Envase]])</f>
        <v/>
      </c>
      <c r="AP735" s="663"/>
      <c r="AQ735" s="663"/>
      <c r="AR735" s="510"/>
      <c r="AS735" s="270"/>
      <c r="AT735" s="270"/>
      <c r="AU735" s="270"/>
      <c r="AV735" s="270"/>
      <c r="AW735" s="616"/>
      <c r="AX735" s="616"/>
      <c r="AY735" s="616"/>
      <c r="AZ735" s="616"/>
      <c r="BA735" s="730">
        <f>IF(Table1[[#This Row],[Data de Início]]="","",YEAR(Table1[[#This Row],[Data de Início]]))</f>
        <v>2026</v>
      </c>
      <c r="BB735" s="730">
        <f>IF(Table1[[#This Row],[Data de Início]]="","",MONTH(Table1[[#This Row],[Data de Início]]))</f>
        <v>1</v>
      </c>
      <c r="BC735" s="616"/>
    </row>
    <row r="736" spans="2:55" ht="15" customHeight="1" x14ac:dyDescent="0.25">
      <c r="B736" s="489">
        <v>46041.334722222222</v>
      </c>
      <c r="C736" s="490">
        <v>46041.563888888886</v>
      </c>
      <c r="D736" s="477" cm="1">
        <f t="array" ref="D736">IFERROR(HorasUteisFabrica2Turnos(B736,C736), "")</f>
        <v>4.4999999999417923</v>
      </c>
      <c r="E736" s="478">
        <f t="shared" si="11"/>
        <v>533.333333340232</v>
      </c>
      <c r="F736" s="479" t="s">
        <v>378</v>
      </c>
      <c r="G736" s="266" t="s">
        <v>1262</v>
      </c>
      <c r="H736" s="479"/>
      <c r="I736" s="480" t="s">
        <v>1265</v>
      </c>
      <c r="J736" s="481" t="s">
        <v>15</v>
      </c>
      <c r="K736" s="482">
        <v>2400</v>
      </c>
      <c r="L736" s="495" t="s">
        <v>1260</v>
      </c>
      <c r="M736" s="511" t="str">
        <f>IFERROR(INDEX([1]Produtos!$C:$C,MATCH(L736,[1]Produtos!$B:$B,0)), "-")</f>
        <v>BODY SPLASH FLOR D AURA 200ml</v>
      </c>
      <c r="N736" s="511">
        <f>IFERROR(INDEX([1]Produtos!$E:$E,MATCH(L736,[1]Produtos!$B:$B,0)), "-")</f>
        <v>215</v>
      </c>
      <c r="O736" s="483" t="str">
        <f>IFERROR(INDEX([1]Produtos!$F:$F,MATCH(L736,[1]Produtos!$B:$B,0)), "-")</f>
        <v>ml</v>
      </c>
      <c r="P736" s="483" t="str">
        <f>IFERROR(INDEX([1]Produtos!$G:$G,MATCH(L736,[1]Produtos!$B:$B,0)), "-")</f>
        <v>MISS RÔSE</v>
      </c>
      <c r="Q736" s="483" t="str">
        <f>IFERROR(INDEX([1]Produtos!$H:$H,MATCH(L736,[1]Produtos!$B:$B,0)), "-")</f>
        <v>PERFUMARIA</v>
      </c>
      <c r="R736" s="483" t="str">
        <f>IFERROR(INDEX([1]Produtos!$I:$I,MATCH(L736,[1]Produtos!$B:$B,0)), "-")</f>
        <v>BODY SPLASH</v>
      </c>
      <c r="S736" s="483" t="str">
        <f>IFERROR(INDEX([1]Produtos!$J:$J,MATCH(L736,[1]Produtos!$B:$B,0)), "-")</f>
        <v>LÍQUIDO</v>
      </c>
      <c r="T736" s="484"/>
      <c r="U736" s="270"/>
      <c r="V736" s="270"/>
      <c r="W736" s="270"/>
      <c r="X736" s="270"/>
      <c r="Y736" s="270"/>
      <c r="Z736" s="270"/>
      <c r="AA736" s="270"/>
      <c r="AB736" s="270"/>
      <c r="AC736" s="270"/>
      <c r="AD736" s="270"/>
      <c r="AE736" s="270"/>
      <c r="AF736" s="270"/>
      <c r="AG736" s="270"/>
      <c r="AH736" s="270"/>
      <c r="AI736" s="270"/>
      <c r="AJ736" s="270"/>
      <c r="AK736" s="270"/>
      <c r="AL736" s="270"/>
      <c r="AM736" s="663"/>
      <c r="AN736" s="663"/>
      <c r="AO736" s="708" t="str">
        <f>IF(OR(Table1[[#This Row],[Início Setup Envase]]="",Table1[[#This Row],[Final Setup Envase]]=""),"",Table1[[#This Row],[Final Setup Envase]]-Table1[[#This Row],[Início Setup Envase]])</f>
        <v/>
      </c>
      <c r="AP736" s="663"/>
      <c r="AQ736" s="663"/>
      <c r="AR736" s="270"/>
      <c r="AS736" s="270"/>
      <c r="AT736" s="270"/>
      <c r="AU736" s="270"/>
      <c r="AV736" s="270"/>
      <c r="AW736" s="270"/>
      <c r="AX736" s="270"/>
      <c r="AY736" s="270"/>
      <c r="AZ736" s="270"/>
      <c r="BA736" s="270">
        <f>IF(Table1[[#This Row],[Data de Início]]="","",YEAR(Table1[[#This Row],[Data de Início]]))</f>
        <v>2026</v>
      </c>
      <c r="BB736" s="270">
        <f>IF(Table1[[#This Row],[Data de Início]]="","",MONTH(Table1[[#This Row],[Data de Início]]))</f>
        <v>1</v>
      </c>
      <c r="BC736" s="270"/>
    </row>
    <row r="737" spans="2:55" ht="15" customHeight="1" x14ac:dyDescent="0.25">
      <c r="B737" s="489">
        <v>46041.552083333336</v>
      </c>
      <c r="C737" s="490">
        <v>46042.486111111109</v>
      </c>
      <c r="D737" s="477" cm="1">
        <f t="array" ref="D737">IFERROR(HorasUteisFabrica2Turnos(B737,C737), "")</f>
        <v>8.4166666666860692</v>
      </c>
      <c r="E737" s="478">
        <f t="shared" si="11"/>
        <v>633.02970296883768</v>
      </c>
      <c r="F737" s="479" t="s">
        <v>377</v>
      </c>
      <c r="G737" s="266" t="s">
        <v>1250</v>
      </c>
      <c r="H737" s="479"/>
      <c r="I737" s="480" t="s">
        <v>1271</v>
      </c>
      <c r="J737" s="481" t="s">
        <v>15</v>
      </c>
      <c r="K737" s="482">
        <v>5328</v>
      </c>
      <c r="L737" s="495" t="s">
        <v>268</v>
      </c>
      <c r="M737" s="511" t="str">
        <f>IFERROR(INDEX([1]Produtos!$C:$C,MATCH(L737,[1]Produtos!$B:$B,0)), "-")</f>
        <v>ESFOLIANTE FACIAL PITAYA</v>
      </c>
      <c r="N737" s="511">
        <f>IFERROR(INDEX([1]Produtos!$E:$E,MATCH(L737,[1]Produtos!$B:$B,0)), "-")</f>
        <v>100</v>
      </c>
      <c r="O737" s="483" t="str">
        <f>IFERROR(INDEX([1]Produtos!$F:$F,MATCH(L737,[1]Produtos!$B:$B,0)), "-")</f>
        <v>ml</v>
      </c>
      <c r="P737" s="483" t="str">
        <f>IFERROR(INDEX([1]Produtos!$G:$G,MATCH(L737,[1]Produtos!$B:$B,0)), "-")</f>
        <v>SAFIRA</v>
      </c>
      <c r="Q737" s="483" t="str">
        <f>IFERROR(INDEX([1]Produtos!$H:$H,MATCH(L737,[1]Produtos!$B:$B,0)), "-")</f>
        <v>FACIAL</v>
      </c>
      <c r="R737" s="483" t="str">
        <f>IFERROR(INDEX([1]Produtos!$I:$I,MATCH(L737,[1]Produtos!$B:$B,0)), "-")</f>
        <v>ESFOLIANTE</v>
      </c>
      <c r="S737" s="483" t="str">
        <f>IFERROR(INDEX([1]Produtos!$J:$J,MATCH(L737,[1]Produtos!$B:$B,0)), "-")</f>
        <v>VISCOSO</v>
      </c>
      <c r="T737" s="484"/>
      <c r="U737" s="270"/>
      <c r="V737" s="270"/>
      <c r="W737" s="270"/>
      <c r="X737" s="270"/>
      <c r="Y737" s="270"/>
      <c r="Z737" s="270"/>
      <c r="AA737" s="270"/>
      <c r="AB737" s="270"/>
      <c r="AC737" s="270"/>
      <c r="AD737" s="270"/>
      <c r="AE737" s="270"/>
      <c r="AF737" s="270"/>
      <c r="AG737" s="270"/>
      <c r="AH737" s="270"/>
      <c r="AI737" s="270"/>
      <c r="AJ737" s="270"/>
      <c r="AK737" s="270"/>
      <c r="AL737" s="270"/>
      <c r="AM737" s="663"/>
      <c r="AN737" s="663"/>
      <c r="AO737" s="708" t="str">
        <f>IF(OR(Table1[[#This Row],[Início Setup Envase]]="",Table1[[#This Row],[Final Setup Envase]]=""),"",Table1[[#This Row],[Final Setup Envase]]-Table1[[#This Row],[Início Setup Envase]])</f>
        <v/>
      </c>
      <c r="AP737" s="663"/>
      <c r="AQ737" s="663"/>
      <c r="AR737" s="270"/>
      <c r="AS737" s="270"/>
      <c r="AT737" s="270"/>
      <c r="AU737" s="270"/>
      <c r="AV737" s="270"/>
      <c r="AW737" s="270"/>
      <c r="AX737" s="270"/>
      <c r="AY737" s="270"/>
      <c r="AZ737" s="270"/>
      <c r="BA737" s="270">
        <f>IF(Table1[[#This Row],[Data de Início]]="","",YEAR(Table1[[#This Row],[Data de Início]]))</f>
        <v>2026</v>
      </c>
      <c r="BB737" s="270">
        <f>IF(Table1[[#This Row],[Data de Início]]="","",MONTH(Table1[[#This Row],[Data de Início]]))</f>
        <v>1</v>
      </c>
      <c r="BC737" s="270"/>
    </row>
    <row r="738" spans="2:55" ht="15" customHeight="1" x14ac:dyDescent="0.25">
      <c r="B738" s="489">
        <v>46041.564583333333</v>
      </c>
      <c r="C738" s="490">
        <v>46042.313888888886</v>
      </c>
      <c r="D738" s="477" cm="1">
        <f t="array" ref="D738">IFERROR(HorasUteisFabrica2Turnos(B738,C738), "")</f>
        <v>3.9833333333954215</v>
      </c>
      <c r="E738" s="478">
        <f t="shared" si="11"/>
        <v>626.61087865132095</v>
      </c>
      <c r="F738" s="479" t="s">
        <v>378</v>
      </c>
      <c r="G738" s="266" t="s">
        <v>1262</v>
      </c>
      <c r="H738" s="479"/>
      <c r="I738" s="480" t="s">
        <v>1266</v>
      </c>
      <c r="J738" s="481" t="s">
        <v>15</v>
      </c>
      <c r="K738" s="482">
        <v>2496</v>
      </c>
      <c r="L738" s="495" t="s">
        <v>1260</v>
      </c>
      <c r="M738" s="511" t="str">
        <f>IFERROR(INDEX([1]Produtos!$C:$C,MATCH(L738,[1]Produtos!$B:$B,0)), "-")</f>
        <v>BODY SPLASH FLOR D AURA 200ml</v>
      </c>
      <c r="N738" s="511">
        <f>IFERROR(INDEX([1]Produtos!$E:$E,MATCH(L738,[1]Produtos!$B:$B,0)), "-")</f>
        <v>215</v>
      </c>
      <c r="O738" s="483" t="str">
        <f>IFERROR(INDEX([1]Produtos!$F:$F,MATCH(L738,[1]Produtos!$B:$B,0)), "-")</f>
        <v>ml</v>
      </c>
      <c r="P738" s="483" t="str">
        <f>IFERROR(INDEX([1]Produtos!$G:$G,MATCH(L738,[1]Produtos!$B:$B,0)), "-")</f>
        <v>MISS RÔSE</v>
      </c>
      <c r="Q738" s="483" t="str">
        <f>IFERROR(INDEX([1]Produtos!$H:$H,MATCH(L738,[1]Produtos!$B:$B,0)), "-")</f>
        <v>PERFUMARIA</v>
      </c>
      <c r="R738" s="483" t="str">
        <f>IFERROR(INDEX([1]Produtos!$I:$I,MATCH(L738,[1]Produtos!$B:$B,0)), "-")</f>
        <v>BODY SPLASH</v>
      </c>
      <c r="S738" s="483" t="str">
        <f>IFERROR(INDEX([1]Produtos!$J:$J,MATCH(L738,[1]Produtos!$B:$B,0)), "-")</f>
        <v>LÍQUIDO</v>
      </c>
      <c r="T738" s="484"/>
      <c r="U738" s="270"/>
      <c r="V738" s="270"/>
      <c r="W738" s="270"/>
      <c r="X738" s="270"/>
      <c r="Y738" s="270"/>
      <c r="Z738" s="270"/>
      <c r="AA738" s="270"/>
      <c r="AB738" s="270"/>
      <c r="AC738" s="270"/>
      <c r="AD738" s="270"/>
      <c r="AE738" s="270"/>
      <c r="AF738" s="270"/>
      <c r="AG738" s="270"/>
      <c r="AH738" s="270"/>
      <c r="AI738" s="270"/>
      <c r="AJ738" s="270"/>
      <c r="AK738" s="270"/>
      <c r="AL738" s="270"/>
      <c r="AM738" s="663"/>
      <c r="AN738" s="663"/>
      <c r="AO738" s="708" t="str">
        <f>IF(OR(Table1[[#This Row],[Início Setup Envase]]="",Table1[[#This Row],[Final Setup Envase]]=""),"",Table1[[#This Row],[Final Setup Envase]]-Table1[[#This Row],[Início Setup Envase]])</f>
        <v/>
      </c>
      <c r="AP738" s="663"/>
      <c r="AQ738" s="663"/>
      <c r="AR738" s="270"/>
      <c r="AS738" s="270"/>
      <c r="AT738" s="270"/>
      <c r="AU738" s="270"/>
      <c r="AV738" s="270"/>
      <c r="AW738" s="270"/>
      <c r="AX738" s="270"/>
      <c r="AY738" s="270"/>
      <c r="AZ738" s="270"/>
      <c r="BA738" s="270">
        <f>IF(Table1[[#This Row],[Data de Início]]="","",YEAR(Table1[[#This Row],[Data de Início]]))</f>
        <v>2026</v>
      </c>
      <c r="BB738" s="270">
        <f>IF(Table1[[#This Row],[Data de Início]]="","",MONTH(Table1[[#This Row],[Data de Início]]))</f>
        <v>1</v>
      </c>
      <c r="BC738" s="270"/>
    </row>
    <row r="739" spans="2:55" ht="15" customHeight="1" x14ac:dyDescent="0.25">
      <c r="B739" s="489">
        <v>46042.314583333333</v>
      </c>
      <c r="C739" s="490">
        <v>46042.486111111109</v>
      </c>
      <c r="D739" s="477" cm="1">
        <f t="array" ref="D739">IFERROR(HorasUteisFabrica2Turnos(B739,C739), "")</f>
        <v>4.1166666666395031</v>
      </c>
      <c r="E739" s="478">
        <f t="shared" si="11"/>
        <v>629.63562753451902</v>
      </c>
      <c r="F739" s="479" t="s">
        <v>378</v>
      </c>
      <c r="G739" s="266" t="s">
        <v>1262</v>
      </c>
      <c r="H739" s="479"/>
      <c r="I739" s="480" t="s">
        <v>1267</v>
      </c>
      <c r="J739" s="481" t="s">
        <v>15</v>
      </c>
      <c r="K739" s="482">
        <v>2592</v>
      </c>
      <c r="L739" s="495" t="s">
        <v>1260</v>
      </c>
      <c r="M739" s="511" t="str">
        <f>IFERROR(INDEX([1]Produtos!$C:$C,MATCH(L739,[1]Produtos!$B:$B,0)), "-")</f>
        <v>BODY SPLASH FLOR D AURA 200ml</v>
      </c>
      <c r="N739" s="511">
        <f>IFERROR(INDEX([1]Produtos!$E:$E,MATCH(L739,[1]Produtos!$B:$B,0)), "-")</f>
        <v>215</v>
      </c>
      <c r="O739" s="483" t="str">
        <f>IFERROR(INDEX([1]Produtos!$F:$F,MATCH(L739,[1]Produtos!$B:$B,0)), "-")</f>
        <v>ml</v>
      </c>
      <c r="P739" s="483" t="str">
        <f>IFERROR(INDEX([1]Produtos!$G:$G,MATCH(L739,[1]Produtos!$B:$B,0)), "-")</f>
        <v>MISS RÔSE</v>
      </c>
      <c r="Q739" s="483" t="str">
        <f>IFERROR(INDEX([1]Produtos!$H:$H,MATCH(L739,[1]Produtos!$B:$B,0)), "-")</f>
        <v>PERFUMARIA</v>
      </c>
      <c r="R739" s="483" t="str">
        <f>IFERROR(INDEX([1]Produtos!$I:$I,MATCH(L739,[1]Produtos!$B:$B,0)), "-")</f>
        <v>BODY SPLASH</v>
      </c>
      <c r="S739" s="483" t="str">
        <f>IFERROR(INDEX([1]Produtos!$J:$J,MATCH(L739,[1]Produtos!$B:$B,0)), "-")</f>
        <v>LÍQUIDO</v>
      </c>
      <c r="T739" s="484"/>
      <c r="U739" s="270"/>
      <c r="V739" s="270"/>
      <c r="W739" s="270"/>
      <c r="X739" s="270"/>
      <c r="Y739" s="270"/>
      <c r="Z739" s="270"/>
      <c r="AA739" s="270"/>
      <c r="AB739" s="270"/>
      <c r="AC739" s="270"/>
      <c r="AD739" s="270"/>
      <c r="AE739" s="270"/>
      <c r="AF739" s="270"/>
      <c r="AG739" s="270"/>
      <c r="AH739" s="270"/>
      <c r="AI739" s="270"/>
      <c r="AJ739" s="270"/>
      <c r="AK739" s="270"/>
      <c r="AL739" s="270"/>
      <c r="AM739" s="663"/>
      <c r="AN739" s="663"/>
      <c r="AO739" s="708" t="str">
        <f>IF(OR(Table1[[#This Row],[Início Setup Envase]]="",Table1[[#This Row],[Final Setup Envase]]=""),"",Table1[[#This Row],[Final Setup Envase]]-Table1[[#This Row],[Início Setup Envase]])</f>
        <v/>
      </c>
      <c r="AP739" s="663"/>
      <c r="AQ739" s="663"/>
      <c r="AR739" s="270"/>
      <c r="AS739" s="270"/>
      <c r="AT739" s="270"/>
      <c r="AU739" s="270"/>
      <c r="AV739" s="270"/>
      <c r="AW739" s="270"/>
      <c r="AX739" s="270"/>
      <c r="AY739" s="270"/>
      <c r="AZ739" s="270"/>
      <c r="BA739" s="270">
        <f>IF(Table1[[#This Row],[Data de Início]]="","",YEAR(Table1[[#This Row],[Data de Início]]))</f>
        <v>2026</v>
      </c>
      <c r="BB739" s="270">
        <f>IF(Table1[[#This Row],[Data de Início]]="","",MONTH(Table1[[#This Row],[Data de Início]]))</f>
        <v>1</v>
      </c>
      <c r="BC739" s="270"/>
    </row>
    <row r="740" spans="2:55" ht="15" customHeight="1" x14ac:dyDescent="0.25">
      <c r="B740" s="489">
        <v>46042.486111111109</v>
      </c>
      <c r="C740" s="490">
        <v>46043.486111111109</v>
      </c>
      <c r="D740" s="477" cm="1">
        <f t="array" ref="D740">IFERROR(HorasUteisFabrica2Turnos(B740,C740), "")</f>
        <v>9.0000000001164153</v>
      </c>
      <c r="E740" s="478">
        <f t="shared" si="11"/>
        <v>464.66666666065618</v>
      </c>
      <c r="F740" s="479" t="s">
        <v>377</v>
      </c>
      <c r="G740" s="266" t="s">
        <v>1250</v>
      </c>
      <c r="H740" s="479"/>
      <c r="I740" s="480" t="s">
        <v>1276</v>
      </c>
      <c r="J740" s="481" t="s">
        <v>15</v>
      </c>
      <c r="K740" s="482">
        <v>4182</v>
      </c>
      <c r="L740" s="495" t="s">
        <v>269</v>
      </c>
      <c r="M740" s="483" t="str">
        <f>IFERROR(INDEX([1]Produtos!$C:$C,MATCH(L740,[1]Produtos!$B:$B,0)), "-")</f>
        <v>ESFOLIANTE FACIAL VITAMINA C</v>
      </c>
      <c r="N740" s="511">
        <f>IFERROR(INDEX([1]Produtos!$E:$E,MATCH(L740,[1]Produtos!$B:$B,0)), "-")</f>
        <v>100</v>
      </c>
      <c r="O740" s="483" t="str">
        <f>IFERROR(INDEX([1]Produtos!$F:$F,MATCH(L740,[1]Produtos!$B:$B,0)), "-")</f>
        <v>ml</v>
      </c>
      <c r="P740" s="483" t="str">
        <f>IFERROR(INDEX([1]Produtos!$G:$G,MATCH(L740,[1]Produtos!$B:$B,0)), "-")</f>
        <v>SAFIRA</v>
      </c>
      <c r="Q740" s="483" t="str">
        <f>IFERROR(INDEX([1]Produtos!$H:$H,MATCH(L740,[1]Produtos!$B:$B,0)), "-")</f>
        <v>FACIAL</v>
      </c>
      <c r="R740" s="483" t="str">
        <f>IFERROR(INDEX([1]Produtos!$I:$I,MATCH(L740,[1]Produtos!$B:$B,0)), "-")</f>
        <v>ESFOLIANTE</v>
      </c>
      <c r="S740" s="483" t="str">
        <f>IFERROR(INDEX([1]Produtos!$J:$J,MATCH(L740,[1]Produtos!$B:$B,0)), "-")</f>
        <v>VISCOSO</v>
      </c>
      <c r="T740" s="484"/>
      <c r="U740" s="270"/>
      <c r="V740" s="270"/>
      <c r="W740" s="270"/>
      <c r="X740" s="270"/>
      <c r="Y740" s="270"/>
      <c r="Z740" s="270"/>
      <c r="AA740" s="270"/>
      <c r="AB740" s="270"/>
      <c r="AC740" s="270"/>
      <c r="AD740" s="270"/>
      <c r="AE740" s="270"/>
      <c r="AF740" s="270"/>
      <c r="AG740" s="270"/>
      <c r="AH740" s="270"/>
      <c r="AI740" s="270"/>
      <c r="AJ740" s="270"/>
      <c r="AK740" s="270"/>
      <c r="AL740" s="270"/>
      <c r="AM740" s="663"/>
      <c r="AN740" s="663"/>
      <c r="AO740" s="708" t="str">
        <f>IF(OR(Table1[[#This Row],[Início Setup Envase]]="",Table1[[#This Row],[Final Setup Envase]]=""),"",Table1[[#This Row],[Final Setup Envase]]-Table1[[#This Row],[Início Setup Envase]])</f>
        <v/>
      </c>
      <c r="AP740" s="663"/>
      <c r="AQ740" s="663"/>
      <c r="AR740" s="270"/>
      <c r="AS740" s="270"/>
      <c r="AT740" s="270"/>
      <c r="AU740" s="270"/>
      <c r="AV740" s="270"/>
      <c r="AW740" s="270"/>
      <c r="AX740" s="270"/>
      <c r="AY740" s="270"/>
      <c r="AZ740" s="270"/>
      <c r="BA740" s="270">
        <f>IF(Table1[[#This Row],[Data de Início]]="","",YEAR(Table1[[#This Row],[Data de Início]]))</f>
        <v>2026</v>
      </c>
      <c r="BB740" s="270">
        <f>IF(Table1[[#This Row],[Data de Início]]="","",MONTH(Table1[[#This Row],[Data de Início]]))</f>
        <v>1</v>
      </c>
      <c r="BC740" s="270"/>
    </row>
    <row r="741" spans="2:55" ht="15" customHeight="1" x14ac:dyDescent="0.25">
      <c r="B741" s="489">
        <v>46042.569444444445</v>
      </c>
      <c r="C741" s="490">
        <v>46042.661805555559</v>
      </c>
      <c r="D741" s="477" cm="1">
        <f t="array" ref="D741">IFERROR(HorasUteisFabrica2Turnos(B741,C741), "")</f>
        <v>2.2166666667326353</v>
      </c>
      <c r="E741" s="478">
        <f t="shared" si="11"/>
        <v>1047.0676691417714</v>
      </c>
      <c r="F741" s="479" t="s">
        <v>378</v>
      </c>
      <c r="G741" s="266" t="s">
        <v>1262</v>
      </c>
      <c r="H741" s="479"/>
      <c r="I741" s="480" t="s">
        <v>1270</v>
      </c>
      <c r="J741" s="481" t="s">
        <v>15</v>
      </c>
      <c r="K741" s="482">
        <v>2321</v>
      </c>
      <c r="L741" s="495" t="s">
        <v>1260</v>
      </c>
      <c r="M741" s="511" t="str">
        <f>IFERROR(INDEX([1]Produtos!$C:$C,MATCH(L741,[1]Produtos!$B:$B,0)), "-")</f>
        <v>BODY SPLASH FLOR D AURA 200ml</v>
      </c>
      <c r="N741" s="511">
        <f>IFERROR(INDEX([1]Produtos!$E:$E,MATCH(L741,[1]Produtos!$B:$B,0)), "-")</f>
        <v>215</v>
      </c>
      <c r="O741" s="483" t="str">
        <f>IFERROR(INDEX([1]Produtos!$F:$F,MATCH(L741,[1]Produtos!$B:$B,0)), "-")</f>
        <v>ml</v>
      </c>
      <c r="P741" s="483" t="str">
        <f>IFERROR(INDEX([1]Produtos!$G:$G,MATCH(L741,[1]Produtos!$B:$B,0)), "-")</f>
        <v>MISS RÔSE</v>
      </c>
      <c r="Q741" s="483" t="str">
        <f>IFERROR(INDEX([1]Produtos!$H:$H,MATCH(L741,[1]Produtos!$B:$B,0)), "-")</f>
        <v>PERFUMARIA</v>
      </c>
      <c r="R741" s="483" t="str">
        <f>IFERROR(INDEX([1]Produtos!$I:$I,MATCH(L741,[1]Produtos!$B:$B,0)), "-")</f>
        <v>BODY SPLASH</v>
      </c>
      <c r="S741" s="483" t="str">
        <f>IFERROR(INDEX([1]Produtos!$J:$J,MATCH(L741,[1]Produtos!$B:$B,0)), "-")</f>
        <v>LÍQUIDO</v>
      </c>
      <c r="T741" s="484"/>
      <c r="U741" s="270"/>
      <c r="V741" s="270"/>
      <c r="W741" s="270"/>
      <c r="X741" s="270"/>
      <c r="Y741" s="270"/>
      <c r="Z741" s="270"/>
      <c r="AA741" s="270"/>
      <c r="AB741" s="270"/>
      <c r="AC741" s="270"/>
      <c r="AD741" s="270"/>
      <c r="AE741" s="270"/>
      <c r="AF741" s="270"/>
      <c r="AG741" s="270"/>
      <c r="AH741" s="270"/>
      <c r="AI741" s="270"/>
      <c r="AJ741" s="270"/>
      <c r="AK741" s="270"/>
      <c r="AL741" s="270"/>
      <c r="AM741" s="663"/>
      <c r="AN741" s="663"/>
      <c r="AO741" s="708" t="str">
        <f>IF(OR(Table1[[#This Row],[Início Setup Envase]]="",Table1[[#This Row],[Final Setup Envase]]=""),"",Table1[[#This Row],[Final Setup Envase]]-Table1[[#This Row],[Início Setup Envase]])</f>
        <v/>
      </c>
      <c r="AP741" s="663"/>
      <c r="AQ741" s="663"/>
      <c r="AR741" s="270"/>
      <c r="AS741" s="270"/>
      <c r="AT741" s="270"/>
      <c r="AU741" s="270"/>
      <c r="AV741" s="270"/>
      <c r="AW741" s="270"/>
      <c r="AX741" s="270"/>
      <c r="AY741" s="270"/>
      <c r="AZ741" s="270"/>
      <c r="BA741" s="270">
        <f>IF(Table1[[#This Row],[Data de Início]]="","",YEAR(Table1[[#This Row],[Data de Início]]))</f>
        <v>2026</v>
      </c>
      <c r="BB741" s="270">
        <f>IF(Table1[[#This Row],[Data de Início]]="","",MONTH(Table1[[#This Row],[Data de Início]]))</f>
        <v>1</v>
      </c>
      <c r="BC741" s="270"/>
    </row>
    <row r="742" spans="2:55" ht="15" customHeight="1" x14ac:dyDescent="0.25">
      <c r="B742" s="489">
        <v>46042.661805555559</v>
      </c>
      <c r="C742" s="490">
        <v>46043.368055555555</v>
      </c>
      <c r="D742" s="477" cm="1">
        <f t="array" ref="D742">IFERROR(HorasUteisFabrica2Turnos(B742,C742), "")</f>
        <v>2.9500000000116415</v>
      </c>
      <c r="E742" s="478">
        <f t="shared" si="11"/>
        <v>862.37288135252902</v>
      </c>
      <c r="F742" s="479" t="s">
        <v>378</v>
      </c>
      <c r="G742" s="266" t="s">
        <v>1262</v>
      </c>
      <c r="H742" s="479"/>
      <c r="I742" s="480" t="s">
        <v>1272</v>
      </c>
      <c r="J742" s="481" t="s">
        <v>15</v>
      </c>
      <c r="K742" s="482">
        <v>2544</v>
      </c>
      <c r="L742" s="495" t="s">
        <v>1273</v>
      </c>
      <c r="M742" s="511" t="str">
        <f>IFERROR(INDEX([1]Produtos!$C:$C,MATCH(L742,[1]Produtos!$B:$B,0)), "-")</f>
        <v>BODY SPLASH LEAO DO DESERTO BOURBON 200ml</v>
      </c>
      <c r="N742" s="511">
        <f>IFERROR(INDEX([1]Produtos!$E:$E,MATCH(L742,[1]Produtos!$B:$B,0)), "-")</f>
        <v>215</v>
      </c>
      <c r="O742" s="483" t="str">
        <f>IFERROR(INDEX([1]Produtos!$F:$F,MATCH(L742,[1]Produtos!$B:$B,0)), "-")</f>
        <v>ml</v>
      </c>
      <c r="P742" s="483" t="str">
        <f>IFERROR(INDEX([1]Produtos!$G:$G,MATCH(L742,[1]Produtos!$B:$B,0)), "-")</f>
        <v>MISS RÔSE</v>
      </c>
      <c r="Q742" s="483" t="str">
        <f>IFERROR(INDEX([1]Produtos!$H:$H,MATCH(L742,[1]Produtos!$B:$B,0)), "-")</f>
        <v>PERFUMARIA</v>
      </c>
      <c r="R742" s="483" t="str">
        <f>IFERROR(INDEX([1]Produtos!$I:$I,MATCH(L742,[1]Produtos!$B:$B,0)), "-")</f>
        <v>BODY SPLASH</v>
      </c>
      <c r="S742" s="483" t="str">
        <f>IFERROR(INDEX([1]Produtos!$J:$J,MATCH(L742,[1]Produtos!$B:$B,0)), "-")</f>
        <v>LÍQUIDO</v>
      </c>
      <c r="T742" s="484"/>
      <c r="U742" s="270"/>
      <c r="V742" s="270"/>
      <c r="W742" s="270"/>
      <c r="X742" s="270"/>
      <c r="Y742" s="270"/>
      <c r="Z742" s="270"/>
      <c r="AA742" s="270"/>
      <c r="AB742" s="270"/>
      <c r="AC742" s="270"/>
      <c r="AD742" s="270"/>
      <c r="AE742" s="270"/>
      <c r="AF742" s="270"/>
      <c r="AG742" s="270"/>
      <c r="AH742" s="270"/>
      <c r="AI742" s="270"/>
      <c r="AJ742" s="270"/>
      <c r="AK742" s="270"/>
      <c r="AL742" s="270"/>
      <c r="AM742" s="663"/>
      <c r="AN742" s="663"/>
      <c r="AO742" s="708" t="str">
        <f>IF(OR(Table1[[#This Row],[Início Setup Envase]]="",Table1[[#This Row],[Final Setup Envase]]=""),"",Table1[[#This Row],[Final Setup Envase]]-Table1[[#This Row],[Início Setup Envase]])</f>
        <v/>
      </c>
      <c r="AP742" s="663"/>
      <c r="AQ742" s="663"/>
      <c r="AR742" s="270"/>
      <c r="AS742" s="270"/>
      <c r="AT742" s="270"/>
      <c r="AU742" s="270"/>
      <c r="AV742" s="270"/>
      <c r="AW742" s="270"/>
      <c r="AX742" s="270"/>
      <c r="AY742" s="270"/>
      <c r="AZ742" s="270"/>
      <c r="BA742" s="270">
        <f>IF(Table1[[#This Row],[Data de Início]]="","",YEAR(Table1[[#This Row],[Data de Início]]))</f>
        <v>2026</v>
      </c>
      <c r="BB742" s="270">
        <f>IF(Table1[[#This Row],[Data de Início]]="","",MONTH(Table1[[#This Row],[Data de Início]]))</f>
        <v>1</v>
      </c>
      <c r="BC742" s="270"/>
    </row>
    <row r="743" spans="2:55" ht="15" customHeight="1" x14ac:dyDescent="0.25">
      <c r="B743" s="489">
        <v>46043.375</v>
      </c>
      <c r="C743" s="490">
        <v>46043.575694444444</v>
      </c>
      <c r="D743" s="477" cm="1">
        <f t="array" ref="D743">IFERROR(HorasUteisFabrica2Turnos(B743,C743), "")</f>
        <v>3.8166666666511446</v>
      </c>
      <c r="E743" s="478">
        <f t="shared" si="11"/>
        <v>676.76855895471738</v>
      </c>
      <c r="F743" s="479" t="s">
        <v>378</v>
      </c>
      <c r="G743" s="266" t="s">
        <v>1262</v>
      </c>
      <c r="H743" s="479"/>
      <c r="I743" s="480" t="s">
        <v>1274</v>
      </c>
      <c r="J743" s="481" t="s">
        <v>15</v>
      </c>
      <c r="K743" s="482">
        <v>2583</v>
      </c>
      <c r="L743" s="495" t="s">
        <v>1275</v>
      </c>
      <c r="M743" s="483" t="str">
        <f>IFERROR(INDEX([1]Produtos!$C:$C,MATCH(L743,[1]Produtos!$B:$B,0)), "-")</f>
        <v>BODY SPLASH DESPERTAR DAS FLORES 200ml</v>
      </c>
      <c r="N743" s="511">
        <f>IFERROR(INDEX([1]Produtos!$E:$E,MATCH(L743,[1]Produtos!$B:$B,0)), "-")</f>
        <v>215</v>
      </c>
      <c r="O743" s="483" t="str">
        <f>IFERROR(INDEX([1]Produtos!$F:$F,MATCH(L743,[1]Produtos!$B:$B,0)), "-")</f>
        <v>ml</v>
      </c>
      <c r="P743" s="483" t="str">
        <f>IFERROR(INDEX([1]Produtos!$G:$G,MATCH(L743,[1]Produtos!$B:$B,0)), "-")</f>
        <v>MISS RÔSE</v>
      </c>
      <c r="Q743" s="483" t="str">
        <f>IFERROR(INDEX([1]Produtos!$H:$H,MATCH(L743,[1]Produtos!$B:$B,0)), "-")</f>
        <v>PERFUMARIA</v>
      </c>
      <c r="R743" s="483" t="str">
        <f>IFERROR(INDEX([1]Produtos!$I:$I,MATCH(L743,[1]Produtos!$B:$B,0)), "-")</f>
        <v>BODY SPLASH</v>
      </c>
      <c r="S743" s="483" t="str">
        <f>IFERROR(INDEX([1]Produtos!$J:$J,MATCH(L743,[1]Produtos!$B:$B,0)), "-")</f>
        <v>LÍQUIDO</v>
      </c>
      <c r="T743" s="484"/>
      <c r="U743" s="270"/>
      <c r="V743" s="270"/>
      <c r="W743" s="270"/>
      <c r="X743" s="270"/>
      <c r="Y743" s="270"/>
      <c r="Z743" s="270"/>
      <c r="AA743" s="270"/>
      <c r="AB743" s="270"/>
      <c r="AC743" s="270"/>
      <c r="AD743" s="270"/>
      <c r="AE743" s="270"/>
      <c r="AF743" s="270"/>
      <c r="AG743" s="270"/>
      <c r="AH743" s="270"/>
      <c r="AI743" s="270"/>
      <c r="AJ743" s="270"/>
      <c r="AK743" s="270"/>
      <c r="AL743" s="270"/>
      <c r="AM743" s="663"/>
      <c r="AN743" s="663"/>
      <c r="AO743" s="708" t="str">
        <f>IF(OR(Table1[[#This Row],[Início Setup Envase]]="",Table1[[#This Row],[Final Setup Envase]]=""),"",Table1[[#This Row],[Final Setup Envase]]-Table1[[#This Row],[Início Setup Envase]])</f>
        <v/>
      </c>
      <c r="AP743" s="663"/>
      <c r="AQ743" s="663"/>
      <c r="AR743" s="270"/>
      <c r="AS743" s="270"/>
      <c r="AT743" s="270"/>
      <c r="AU743" s="270"/>
      <c r="AV743" s="270"/>
      <c r="AW743" s="270"/>
      <c r="AX743" s="270"/>
      <c r="AY743" s="270"/>
      <c r="AZ743" s="270"/>
      <c r="BA743" s="270">
        <f>IF(Table1[[#This Row],[Data de Início]]="","",YEAR(Table1[[#This Row],[Data de Início]]))</f>
        <v>2026</v>
      </c>
      <c r="BB743" s="270">
        <f>IF(Table1[[#This Row],[Data de Início]]="","",MONTH(Table1[[#This Row],[Data de Início]]))</f>
        <v>1</v>
      </c>
      <c r="BC743" s="270"/>
    </row>
    <row r="744" spans="2:55" x14ac:dyDescent="0.25">
      <c r="B744" s="489">
        <v>46043.444444444445</v>
      </c>
      <c r="C744" s="490">
        <v>46044.625694444447</v>
      </c>
      <c r="D744" s="477" cm="1">
        <f t="array" ref="D744">IFERROR(HorasUteisFabrica2Turnos(B744,C744), "")</f>
        <v>12.35000000015134</v>
      </c>
      <c r="E744" s="478">
        <f t="shared" si="11"/>
        <v>213.76518218361528</v>
      </c>
      <c r="F744" s="479" t="s">
        <v>378</v>
      </c>
      <c r="G744" s="266" t="s">
        <v>1262</v>
      </c>
      <c r="H744" s="479"/>
      <c r="I744" s="480" t="s">
        <v>1288</v>
      </c>
      <c r="J744" s="481" t="s">
        <v>15</v>
      </c>
      <c r="K744" s="482">
        <v>2640</v>
      </c>
      <c r="L744" s="495" t="s">
        <v>1284</v>
      </c>
      <c r="M744" s="483" t="str">
        <f>IFERROR(INDEX([1]Produtos!$C:$C,MATCH(L744,[1]Produtos!$B:$B,0)), "-")</f>
        <v>BODY SPLASH AMBAR REAL 200ml</v>
      </c>
      <c r="N744" s="511">
        <f>IFERROR(INDEX([1]Produtos!$E:$E,MATCH(L744,[1]Produtos!$B:$B,0)), "-")</f>
        <v>215</v>
      </c>
      <c r="O744" s="483" t="str">
        <f>IFERROR(INDEX([1]Produtos!$F:$F,MATCH(L744,[1]Produtos!$B:$B,0)), "-")</f>
        <v>ml</v>
      </c>
      <c r="P744" s="483" t="str">
        <f>IFERROR(INDEX([1]Produtos!$G:$G,MATCH(L744,[1]Produtos!$B:$B,0)), "-")</f>
        <v>MISS RÔSE</v>
      </c>
      <c r="Q744" s="483" t="str">
        <f>IFERROR(INDEX([1]Produtos!$H:$H,MATCH(L744,[1]Produtos!$B:$B,0)), "-")</f>
        <v>PERFUMARIA</v>
      </c>
      <c r="R744" s="483" t="str">
        <f>IFERROR(INDEX([1]Produtos!$I:$I,MATCH(L744,[1]Produtos!$B:$B,0)), "-")</f>
        <v>BODY SPLASH</v>
      </c>
      <c r="S744" s="483" t="str">
        <f>IFERROR(INDEX([1]Produtos!$J:$J,MATCH(L744,[1]Produtos!$B:$B,0)), "-")</f>
        <v>LÍQUIDO</v>
      </c>
      <c r="T744" s="484"/>
      <c r="U744" s="270"/>
      <c r="V744" s="270"/>
      <c r="W744" s="270"/>
      <c r="X744" s="270"/>
      <c r="Y744" s="270"/>
      <c r="Z744" s="270"/>
      <c r="AA744" s="270"/>
      <c r="AB744" s="270"/>
      <c r="AC744" s="270"/>
      <c r="AD744" s="270"/>
      <c r="AE744" s="270"/>
      <c r="AF744" s="270"/>
      <c r="AG744" s="270"/>
      <c r="AH744" s="270"/>
      <c r="AI744" s="270"/>
      <c r="AJ744" s="270"/>
      <c r="AK744" s="270"/>
      <c r="AL744" s="270"/>
      <c r="AM744" s="663"/>
      <c r="AN744" s="663"/>
      <c r="AO744" s="708" t="str">
        <f>IF(OR(Table1[[#This Row],[Início Setup Envase]]="",Table1[[#This Row],[Final Setup Envase]]=""),"",Table1[[#This Row],[Final Setup Envase]]-Table1[[#This Row],[Início Setup Envase]])</f>
        <v/>
      </c>
      <c r="AP744" s="663"/>
      <c r="AQ744" s="663"/>
      <c r="AR744" s="270"/>
      <c r="AS744" s="270"/>
      <c r="AT744" s="270"/>
      <c r="AU744" s="270"/>
      <c r="AV744" s="270"/>
      <c r="AW744" s="270"/>
      <c r="AX744" s="270"/>
      <c r="AY744" s="270"/>
      <c r="AZ744" s="270"/>
      <c r="BA744" s="270">
        <f>IF(Table1[[#This Row],[Data de Início]]="","",YEAR(Table1[[#This Row],[Data de Início]]))</f>
        <v>2026</v>
      </c>
      <c r="BB744" s="270">
        <f>IF(Table1[[#This Row],[Data de Início]]="","",MONTH(Table1[[#This Row],[Data de Início]]))</f>
        <v>1</v>
      </c>
      <c r="BC744" s="270"/>
    </row>
    <row r="745" spans="2:55" ht="15" customHeight="1" x14ac:dyDescent="0.25">
      <c r="B745" s="489">
        <v>46043.54791666667</v>
      </c>
      <c r="C745" s="490">
        <v>46044.309027777781</v>
      </c>
      <c r="D745" s="477" cm="1">
        <f t="array" ref="D745">IFERROR(HorasUteisFabrica2Turnos(B745,C745), "")</f>
        <v>4.2666666667792015</v>
      </c>
      <c r="E745" s="478">
        <f t="shared" si="11"/>
        <v>612.65624998384101</v>
      </c>
      <c r="F745" s="479" t="s">
        <v>377</v>
      </c>
      <c r="G745" s="266" t="s">
        <v>1262</v>
      </c>
      <c r="H745" s="479"/>
      <c r="I745" s="480" t="s">
        <v>1279</v>
      </c>
      <c r="J745" s="481" t="s">
        <v>15</v>
      </c>
      <c r="K745" s="482">
        <v>2614</v>
      </c>
      <c r="L745" s="495" t="s">
        <v>1280</v>
      </c>
      <c r="M745" s="483" t="str">
        <f>IFERROR(INDEX([1]Produtos!$C:$C,MATCH(L745,[1]Produtos!$B:$B,0)), "-")</f>
        <v>BODY SPLASH CEU CELESTE 200ml</v>
      </c>
      <c r="N745" s="511">
        <f>IFERROR(INDEX([1]Produtos!$E:$E,MATCH(L745,[1]Produtos!$B:$B,0)), "-")</f>
        <v>215</v>
      </c>
      <c r="O745" s="483" t="str">
        <f>IFERROR(INDEX([1]Produtos!$F:$F,MATCH(L745,[1]Produtos!$B:$B,0)), "-")</f>
        <v>ml</v>
      </c>
      <c r="P745" s="483" t="str">
        <f>IFERROR(INDEX([1]Produtos!$G:$G,MATCH(L745,[1]Produtos!$B:$B,0)), "-")</f>
        <v>MISS RÔSE</v>
      </c>
      <c r="Q745" s="483" t="str">
        <f>IFERROR(INDEX([1]Produtos!$H:$H,MATCH(L745,[1]Produtos!$B:$B,0)), "-")</f>
        <v>PERFUMARIA</v>
      </c>
      <c r="R745" s="483" t="str">
        <f>IFERROR(INDEX([1]Produtos!$I:$I,MATCH(L745,[1]Produtos!$B:$B,0)), "-")</f>
        <v>BODY SPLASH</v>
      </c>
      <c r="S745" s="483" t="str">
        <f>IFERROR(INDEX([1]Produtos!$J:$J,MATCH(L745,[1]Produtos!$B:$B,0)), "-")</f>
        <v>LÍQUIDO</v>
      </c>
      <c r="T745" s="484"/>
      <c r="U745" s="270"/>
      <c r="V745" s="270"/>
      <c r="W745" s="270"/>
      <c r="X745" s="270"/>
      <c r="Y745" s="270"/>
      <c r="Z745" s="270"/>
      <c r="AA745" s="270"/>
      <c r="AB745" s="270"/>
      <c r="AC745" s="270"/>
      <c r="AD745" s="270"/>
      <c r="AE745" s="270"/>
      <c r="AF745" s="270"/>
      <c r="AG745" s="270"/>
      <c r="AH745" s="270"/>
      <c r="AI745" s="270"/>
      <c r="AJ745" s="270"/>
      <c r="AK745" s="270"/>
      <c r="AL745" s="270"/>
      <c r="AM745" s="663"/>
      <c r="AN745" s="663"/>
      <c r="AO745" s="708" t="str">
        <f>IF(OR(Table1[[#This Row],[Início Setup Envase]]="",Table1[[#This Row],[Final Setup Envase]]=""),"",Table1[[#This Row],[Final Setup Envase]]-Table1[[#This Row],[Início Setup Envase]])</f>
        <v/>
      </c>
      <c r="AP745" s="663"/>
      <c r="AQ745" s="663"/>
      <c r="AR745" s="270"/>
      <c r="AS745" s="270"/>
      <c r="AT745" s="270"/>
      <c r="AU745" s="270"/>
      <c r="AV745" s="270"/>
      <c r="AW745" s="270"/>
      <c r="AX745" s="270"/>
      <c r="AY745" s="270"/>
      <c r="AZ745" s="270"/>
      <c r="BA745" s="270">
        <f>IF(Table1[[#This Row],[Data de Início]]="","",YEAR(Table1[[#This Row],[Data de Início]]))</f>
        <v>2026</v>
      </c>
      <c r="BB745" s="270">
        <f>IF(Table1[[#This Row],[Data de Início]]="","",MONTH(Table1[[#This Row],[Data de Início]]))</f>
        <v>1</v>
      </c>
      <c r="BC745" s="270"/>
    </row>
    <row r="746" spans="2:55" ht="15" customHeight="1" x14ac:dyDescent="0.25">
      <c r="B746" s="489">
        <v>46043.583333333336</v>
      </c>
      <c r="C746" s="490">
        <v>46044.309027777781</v>
      </c>
      <c r="D746" s="477" cm="1">
        <f t="array" ref="D746">IFERROR(HorasUteisFabrica2Turnos(B746,C746), "")</f>
        <v>3.4166666668024845</v>
      </c>
      <c r="E746" s="478">
        <f t="shared" si="11"/>
        <v>749.85365850677749</v>
      </c>
      <c r="F746" s="479" t="s">
        <v>378</v>
      </c>
      <c r="G746" s="266" t="s">
        <v>1262</v>
      </c>
      <c r="H746" s="479"/>
      <c r="I746" s="480" t="s">
        <v>1282</v>
      </c>
      <c r="J746" s="481" t="s">
        <v>15</v>
      </c>
      <c r="K746" s="482">
        <v>2562</v>
      </c>
      <c r="L746" s="495" t="s">
        <v>1281</v>
      </c>
      <c r="M746" s="483" t="str">
        <f>IFERROR(INDEX([1]Produtos!$C:$C,MATCH(L746,[1]Produtos!$B:$B,0)), "-")</f>
        <v>BODY SPLASH CEU INFINITO 200ml</v>
      </c>
      <c r="N746" s="511">
        <f>IFERROR(INDEX([1]Produtos!$E:$E,MATCH(L746,[1]Produtos!$B:$B,0)), "-")</f>
        <v>215</v>
      </c>
      <c r="O746" s="483" t="str">
        <f>IFERROR(INDEX([1]Produtos!$F:$F,MATCH(L746,[1]Produtos!$B:$B,0)), "-")</f>
        <v>ml</v>
      </c>
      <c r="P746" s="483" t="str">
        <f>IFERROR(INDEX([1]Produtos!$G:$G,MATCH(L746,[1]Produtos!$B:$B,0)), "-")</f>
        <v>MISS RÔSE</v>
      </c>
      <c r="Q746" s="483" t="str">
        <f>IFERROR(INDEX([1]Produtos!$H:$H,MATCH(L746,[1]Produtos!$B:$B,0)), "-")</f>
        <v>PERFUMARIA</v>
      </c>
      <c r="R746" s="483" t="str">
        <f>IFERROR(INDEX([1]Produtos!$I:$I,MATCH(L746,[1]Produtos!$B:$B,0)), "-")</f>
        <v>BODY SPLASH</v>
      </c>
      <c r="S746" s="483" t="str">
        <f>IFERROR(INDEX([1]Produtos!$J:$J,MATCH(L746,[1]Produtos!$B:$B,0)), "-")</f>
        <v>LÍQUIDO</v>
      </c>
      <c r="T746" s="484"/>
      <c r="U746" s="270"/>
      <c r="V746" s="270"/>
      <c r="W746" s="270"/>
      <c r="X746" s="270"/>
      <c r="Y746" s="270"/>
      <c r="Z746" s="270"/>
      <c r="AA746" s="270"/>
      <c r="AB746" s="270"/>
      <c r="AC746" s="270"/>
      <c r="AD746" s="270"/>
      <c r="AE746" s="270"/>
      <c r="AF746" s="270"/>
      <c r="AG746" s="270"/>
      <c r="AH746" s="270"/>
      <c r="AI746" s="270"/>
      <c r="AJ746" s="270"/>
      <c r="AK746" s="270"/>
      <c r="AL746" s="270"/>
      <c r="AM746" s="663"/>
      <c r="AN746" s="663"/>
      <c r="AO746" s="708" t="str">
        <f>IF(OR(Table1[[#This Row],[Início Setup Envase]]="",Table1[[#This Row],[Final Setup Envase]]=""),"",Table1[[#This Row],[Final Setup Envase]]-Table1[[#This Row],[Início Setup Envase]])</f>
        <v/>
      </c>
      <c r="AP746" s="663"/>
      <c r="AQ746" s="663"/>
      <c r="AR746" s="270"/>
      <c r="AS746" s="270"/>
      <c r="AT746" s="270"/>
      <c r="AU746" s="270"/>
      <c r="AV746" s="270"/>
      <c r="AW746" s="270"/>
      <c r="AX746" s="270"/>
      <c r="AY746" s="270"/>
      <c r="AZ746" s="270"/>
      <c r="BA746" s="270">
        <f>IF(Table1[[#This Row],[Data de Início]]="","",YEAR(Table1[[#This Row],[Data de Início]]))</f>
        <v>2026</v>
      </c>
      <c r="BB746" s="270">
        <f>IF(Table1[[#This Row],[Data de Início]]="","",MONTH(Table1[[#This Row],[Data de Início]]))</f>
        <v>1</v>
      </c>
      <c r="BC746" s="270"/>
    </row>
    <row r="747" spans="2:55" ht="15" customHeight="1" x14ac:dyDescent="0.25">
      <c r="B747" s="489">
        <v>46044.309027777781</v>
      </c>
      <c r="C747" s="490">
        <v>46044.44027777778</v>
      </c>
      <c r="D747" s="477" cm="1">
        <f t="array" ref="D747">IFERROR(HorasUteisFabrica2Turnos(B747,C747), "")</f>
        <v>3.1499999999650754</v>
      </c>
      <c r="E747" s="478">
        <f t="shared" si="11"/>
        <v>822.85714286626603</v>
      </c>
      <c r="F747" s="479" t="s">
        <v>377</v>
      </c>
      <c r="G747" s="266" t="s">
        <v>1262</v>
      </c>
      <c r="H747" s="479"/>
      <c r="I747" s="480" t="s">
        <v>1283</v>
      </c>
      <c r="J747" s="481" t="s">
        <v>15</v>
      </c>
      <c r="K747" s="482">
        <v>2592</v>
      </c>
      <c r="L747" s="495" t="s">
        <v>1284</v>
      </c>
      <c r="M747" s="483" t="str">
        <f>IFERROR(INDEX([1]Produtos!$C:$C,MATCH(L747,[1]Produtos!$B:$B,0)), "-")</f>
        <v>BODY SPLASH AMBAR REAL 200ml</v>
      </c>
      <c r="N747" s="511">
        <f>IFERROR(INDEX([1]Produtos!$E:$E,MATCH(L747,[1]Produtos!$B:$B,0)), "-")</f>
        <v>215</v>
      </c>
      <c r="O747" s="483" t="str">
        <f>IFERROR(INDEX([1]Produtos!$F:$F,MATCH(L747,[1]Produtos!$B:$B,0)), "-")</f>
        <v>ml</v>
      </c>
      <c r="P747" s="483" t="str">
        <f>IFERROR(INDEX([1]Produtos!$G:$G,MATCH(L747,[1]Produtos!$B:$B,0)), "-")</f>
        <v>MISS RÔSE</v>
      </c>
      <c r="Q747" s="483" t="str">
        <f>IFERROR(INDEX([1]Produtos!$H:$H,MATCH(L747,[1]Produtos!$B:$B,0)), "-")</f>
        <v>PERFUMARIA</v>
      </c>
      <c r="R747" s="483" t="str">
        <f>IFERROR(INDEX([1]Produtos!$I:$I,MATCH(L747,[1]Produtos!$B:$B,0)), "-")</f>
        <v>BODY SPLASH</v>
      </c>
      <c r="S747" s="483" t="str">
        <f>IFERROR(INDEX([1]Produtos!$J:$J,MATCH(L747,[1]Produtos!$B:$B,0)), "-")</f>
        <v>LÍQUIDO</v>
      </c>
      <c r="T747" s="484"/>
      <c r="U747" s="270"/>
      <c r="V747" s="270"/>
      <c r="W747" s="270"/>
      <c r="X747" s="270"/>
      <c r="Y747" s="270"/>
      <c r="Z747" s="270"/>
      <c r="AA747" s="270"/>
      <c r="AB747" s="270"/>
      <c r="AC747" s="270"/>
      <c r="AD747" s="270"/>
      <c r="AE747" s="270"/>
      <c r="AF747" s="270"/>
      <c r="AG747" s="270"/>
      <c r="AH747" s="270"/>
      <c r="AI747" s="270"/>
      <c r="AJ747" s="270"/>
      <c r="AK747" s="270"/>
      <c r="AL747" s="270"/>
      <c r="AM747" s="663"/>
      <c r="AN747" s="663"/>
      <c r="AO747" s="708" t="str">
        <f>IF(OR(Table1[[#This Row],[Início Setup Envase]]="",Table1[[#This Row],[Final Setup Envase]]=""),"",Table1[[#This Row],[Final Setup Envase]]-Table1[[#This Row],[Início Setup Envase]])</f>
        <v/>
      </c>
      <c r="AP747" s="663"/>
      <c r="AQ747" s="663"/>
      <c r="AR747" s="270"/>
      <c r="AS747" s="270"/>
      <c r="AT747" s="270"/>
      <c r="AU747" s="270"/>
      <c r="AV747" s="270"/>
      <c r="AW747" s="270"/>
      <c r="AX747" s="270"/>
      <c r="AY747" s="270"/>
      <c r="AZ747" s="270"/>
      <c r="BA747" s="270">
        <f>IF(Table1[[#This Row],[Data de Início]]="","",YEAR(Table1[[#This Row],[Data de Início]]))</f>
        <v>2026</v>
      </c>
      <c r="BB747" s="270">
        <f>IF(Table1[[#This Row],[Data de Início]]="","",MONTH(Table1[[#This Row],[Data de Início]]))</f>
        <v>1</v>
      </c>
      <c r="BC747" s="270"/>
    </row>
    <row r="748" spans="2:55" ht="15" customHeight="1" x14ac:dyDescent="0.25">
      <c r="B748" s="489">
        <v>46044.309027777781</v>
      </c>
      <c r="C748" s="490">
        <v>46044.444444444445</v>
      </c>
      <c r="D748" s="477" cm="1">
        <f t="array" ref="D748">IFERROR(HorasUteisFabrica2Turnos(B748,C748), "")</f>
        <v>3.2499999999417923</v>
      </c>
      <c r="E748" s="478">
        <f t="shared" si="11"/>
        <v>782.76923078325024</v>
      </c>
      <c r="F748" s="479" t="s">
        <v>378</v>
      </c>
      <c r="G748" s="266" t="s">
        <v>1262</v>
      </c>
      <c r="H748" s="479"/>
      <c r="I748" s="480" t="s">
        <v>1285</v>
      </c>
      <c r="J748" s="481" t="s">
        <v>15</v>
      </c>
      <c r="K748" s="482">
        <v>2544</v>
      </c>
      <c r="L748" s="495" t="s">
        <v>1284</v>
      </c>
      <c r="M748" s="483" t="str">
        <f>IFERROR(INDEX([1]Produtos!$C:$C,MATCH(L748,[1]Produtos!$B:$B,0)), "-")</f>
        <v>BODY SPLASH AMBAR REAL 200ml</v>
      </c>
      <c r="N748" s="511">
        <f>IFERROR(INDEX([1]Produtos!$E:$E,MATCH(L748,[1]Produtos!$B:$B,0)), "-")</f>
        <v>215</v>
      </c>
      <c r="O748" s="483" t="str">
        <f>IFERROR(INDEX([1]Produtos!$F:$F,MATCH(L748,[1]Produtos!$B:$B,0)), "-")</f>
        <v>ml</v>
      </c>
      <c r="P748" s="483" t="str">
        <f>IFERROR(INDEX([1]Produtos!$G:$G,MATCH(L748,[1]Produtos!$B:$B,0)), "-")</f>
        <v>MISS RÔSE</v>
      </c>
      <c r="Q748" s="483" t="str">
        <f>IFERROR(INDEX([1]Produtos!$H:$H,MATCH(L748,[1]Produtos!$B:$B,0)), "-")</f>
        <v>PERFUMARIA</v>
      </c>
      <c r="R748" s="483" t="str">
        <f>IFERROR(INDEX([1]Produtos!$I:$I,MATCH(L748,[1]Produtos!$B:$B,0)), "-")</f>
        <v>BODY SPLASH</v>
      </c>
      <c r="S748" s="483" t="str">
        <f>IFERROR(INDEX([1]Produtos!$J:$J,MATCH(L748,[1]Produtos!$B:$B,0)), "-")</f>
        <v>LÍQUIDO</v>
      </c>
      <c r="T748" s="484"/>
      <c r="U748" s="270"/>
      <c r="V748" s="270"/>
      <c r="W748" s="270"/>
      <c r="X748" s="270"/>
      <c r="Y748" s="270"/>
      <c r="Z748" s="270"/>
      <c r="AA748" s="270"/>
      <c r="AB748" s="270"/>
      <c r="AC748" s="270"/>
      <c r="AD748" s="270"/>
      <c r="AE748" s="270"/>
      <c r="AF748" s="270"/>
      <c r="AG748" s="270"/>
      <c r="AH748" s="270"/>
      <c r="AI748" s="270"/>
      <c r="AJ748" s="270"/>
      <c r="AK748" s="270"/>
      <c r="AL748" s="270"/>
      <c r="AM748" s="663"/>
      <c r="AN748" s="663"/>
      <c r="AO748" s="708" t="str">
        <f>IF(OR(Table1[[#This Row],[Início Setup Envase]]="",Table1[[#This Row],[Final Setup Envase]]=""),"",Table1[[#This Row],[Final Setup Envase]]-Table1[[#This Row],[Início Setup Envase]])</f>
        <v/>
      </c>
      <c r="AP748" s="663"/>
      <c r="AQ748" s="663"/>
      <c r="AR748" s="270"/>
      <c r="AS748" s="270"/>
      <c r="AT748" s="270"/>
      <c r="AU748" s="270"/>
      <c r="AV748" s="270"/>
      <c r="AW748" s="270"/>
      <c r="AX748" s="270"/>
      <c r="AY748" s="270"/>
      <c r="AZ748" s="270"/>
      <c r="BA748" s="270">
        <f>IF(Table1[[#This Row],[Data de Início]]="","",YEAR(Table1[[#This Row],[Data de Início]]))</f>
        <v>2026</v>
      </c>
      <c r="BB748" s="270">
        <f>IF(Table1[[#This Row],[Data de Início]]="","",MONTH(Table1[[#This Row],[Data de Início]]))</f>
        <v>1</v>
      </c>
      <c r="BC748" s="270"/>
    </row>
    <row r="749" spans="2:55" ht="15" customHeight="1" x14ac:dyDescent="0.25">
      <c r="B749" s="489">
        <v>46044.440972222219</v>
      </c>
      <c r="C749" s="490">
        <v>46044.618055555555</v>
      </c>
      <c r="D749" s="477" cm="1">
        <f t="array" ref="D749">IFERROR(HorasUteisFabrica2Turnos(B749,C749), "")</f>
        <v>3.2500000000582077</v>
      </c>
      <c r="E749" s="478">
        <f t="shared" si="11"/>
        <v>797.53846152417759</v>
      </c>
      <c r="F749" s="479" t="s">
        <v>377</v>
      </c>
      <c r="G749" s="266" t="s">
        <v>1262</v>
      </c>
      <c r="H749" s="479"/>
      <c r="I749" s="480" t="s">
        <v>1287</v>
      </c>
      <c r="J749" s="481" t="s">
        <v>15</v>
      </c>
      <c r="K749" s="482">
        <v>2592</v>
      </c>
      <c r="L749" s="495" t="s">
        <v>1284</v>
      </c>
      <c r="M749" s="483" t="str">
        <f>IFERROR(INDEX([1]Produtos!$C:$C,MATCH(L749,[1]Produtos!$B:$B,0)), "-")</f>
        <v>BODY SPLASH AMBAR REAL 200ml</v>
      </c>
      <c r="N749" s="511">
        <f>IFERROR(INDEX([1]Produtos!$E:$E,MATCH(L749,[1]Produtos!$B:$B,0)), "-")</f>
        <v>215</v>
      </c>
      <c r="O749" s="483" t="str">
        <f>IFERROR(INDEX([1]Produtos!$F:$F,MATCH(L749,[1]Produtos!$B:$B,0)), "-")</f>
        <v>ml</v>
      </c>
      <c r="P749" s="483" t="str">
        <f>IFERROR(INDEX([1]Produtos!$G:$G,MATCH(L749,[1]Produtos!$B:$B,0)), "-")</f>
        <v>MISS RÔSE</v>
      </c>
      <c r="Q749" s="483" t="str">
        <f>IFERROR(INDEX([1]Produtos!$H:$H,MATCH(L749,[1]Produtos!$B:$B,0)), "-")</f>
        <v>PERFUMARIA</v>
      </c>
      <c r="R749" s="483" t="str">
        <f>IFERROR(INDEX([1]Produtos!$I:$I,MATCH(L749,[1]Produtos!$B:$B,0)), "-")</f>
        <v>BODY SPLASH</v>
      </c>
      <c r="S749" s="483" t="str">
        <f>IFERROR(INDEX([1]Produtos!$J:$J,MATCH(L749,[1]Produtos!$B:$B,0)), "-")</f>
        <v>LÍQUIDO</v>
      </c>
      <c r="T749" s="484"/>
      <c r="U749" s="270"/>
      <c r="V749" s="270"/>
      <c r="W749" s="270"/>
      <c r="X749" s="270"/>
      <c r="Y749" s="270"/>
      <c r="Z749" s="270"/>
      <c r="AA749" s="270"/>
      <c r="AB749" s="270"/>
      <c r="AC749" s="270"/>
      <c r="AD749" s="270"/>
      <c r="AE749" s="270"/>
      <c r="AF749" s="270"/>
      <c r="AG749" s="270"/>
      <c r="AH749" s="270"/>
      <c r="AI749" s="270"/>
      <c r="AJ749" s="270"/>
      <c r="AK749" s="270"/>
      <c r="AL749" s="270"/>
      <c r="AM749" s="663"/>
      <c r="AN749" s="663"/>
      <c r="AO749" s="708" t="str">
        <f>IF(OR(Table1[[#This Row],[Início Setup Envase]]="",Table1[[#This Row],[Final Setup Envase]]=""),"",Table1[[#This Row],[Final Setup Envase]]-Table1[[#This Row],[Início Setup Envase]])</f>
        <v/>
      </c>
      <c r="AP749" s="663"/>
      <c r="AQ749" s="663"/>
      <c r="AR749" s="270"/>
      <c r="AS749" s="270"/>
      <c r="AT749" s="270"/>
      <c r="AU749" s="270"/>
      <c r="AV749" s="270"/>
      <c r="AW749" s="270"/>
      <c r="AX749" s="270"/>
      <c r="AY749" s="270"/>
      <c r="AZ749" s="270"/>
      <c r="BA749" s="270">
        <f>IF(Table1[[#This Row],[Data de Início]]="","",YEAR(Table1[[#This Row],[Data de Início]]))</f>
        <v>2026</v>
      </c>
      <c r="BB749" s="270">
        <f>IF(Table1[[#This Row],[Data de Início]]="","",MONTH(Table1[[#This Row],[Data de Início]]))</f>
        <v>1</v>
      </c>
      <c r="BC749" s="270"/>
    </row>
    <row r="750" spans="2:55" ht="15" customHeight="1" x14ac:dyDescent="0.25">
      <c r="B750" s="489">
        <v>46044.618055555555</v>
      </c>
      <c r="C750" s="490">
        <v>46045.340277777781</v>
      </c>
      <c r="D750" s="477" cm="1">
        <f t="array" ref="D750">IFERROR(HorasUteisFabrica2Turnos(B750,C750), "")</f>
        <v>3.3333333335467614</v>
      </c>
      <c r="E750" s="478">
        <f t="shared" si="11"/>
        <v>700.49999995514804</v>
      </c>
      <c r="F750" s="479" t="s">
        <v>377</v>
      </c>
      <c r="G750" s="266" t="s">
        <v>1262</v>
      </c>
      <c r="H750" s="479"/>
      <c r="I750" s="480" t="s">
        <v>1290</v>
      </c>
      <c r="J750" s="481" t="s">
        <v>15</v>
      </c>
      <c r="K750" s="482">
        <v>2335</v>
      </c>
      <c r="L750" s="495" t="s">
        <v>1284</v>
      </c>
      <c r="M750" s="483" t="str">
        <f>IFERROR(INDEX([1]Produtos!$C:$C,MATCH(L750,[1]Produtos!$B:$B,0)), "-")</f>
        <v>BODY SPLASH AMBAR REAL 200ml</v>
      </c>
      <c r="N750" s="511">
        <f>IFERROR(INDEX([1]Produtos!$E:$E,MATCH(L750,[1]Produtos!$B:$B,0)), "-")</f>
        <v>215</v>
      </c>
      <c r="O750" s="483" t="str">
        <f>IFERROR(INDEX([1]Produtos!$F:$F,MATCH(L750,[1]Produtos!$B:$B,0)), "-")</f>
        <v>ml</v>
      </c>
      <c r="P750" s="483" t="str">
        <f>IFERROR(INDEX([1]Produtos!$G:$G,MATCH(L750,[1]Produtos!$B:$B,0)), "-")</f>
        <v>MISS RÔSE</v>
      </c>
      <c r="Q750" s="483" t="str">
        <f>IFERROR(INDEX([1]Produtos!$H:$H,MATCH(L750,[1]Produtos!$B:$B,0)), "-")</f>
        <v>PERFUMARIA</v>
      </c>
      <c r="R750" s="483" t="str">
        <f>IFERROR(INDEX([1]Produtos!$I:$I,MATCH(L750,[1]Produtos!$B:$B,0)), "-")</f>
        <v>BODY SPLASH</v>
      </c>
      <c r="S750" s="483" t="str">
        <f>IFERROR(INDEX([1]Produtos!$J:$J,MATCH(L750,[1]Produtos!$B:$B,0)), "-")</f>
        <v>LÍQUIDO</v>
      </c>
      <c r="T750" s="484"/>
      <c r="U750" s="270"/>
      <c r="V750" s="270"/>
      <c r="W750" s="270"/>
      <c r="X750" s="270"/>
      <c r="Y750" s="270"/>
      <c r="Z750" s="270"/>
      <c r="AA750" s="270"/>
      <c r="AB750" s="270"/>
      <c r="AC750" s="270"/>
      <c r="AD750" s="270"/>
      <c r="AE750" s="270"/>
      <c r="AF750" s="270"/>
      <c r="AG750" s="270"/>
      <c r="AH750" s="270"/>
      <c r="AI750" s="270"/>
      <c r="AJ750" s="270"/>
      <c r="AK750" s="270"/>
      <c r="AL750" s="270"/>
      <c r="AM750" s="663"/>
      <c r="AN750" s="663"/>
      <c r="AO750" s="708" t="str">
        <f>IF(OR(Table1[[#This Row],[Início Setup Envase]]="",Table1[[#This Row],[Final Setup Envase]]=""),"",Table1[[#This Row],[Final Setup Envase]]-Table1[[#This Row],[Início Setup Envase]])</f>
        <v/>
      </c>
      <c r="AP750" s="663"/>
      <c r="AQ750" s="663"/>
      <c r="AR750" s="270"/>
      <c r="AS750" s="270"/>
      <c r="AT750" s="270"/>
      <c r="AU750" s="270"/>
      <c r="AV750" s="270"/>
      <c r="AW750" s="270"/>
      <c r="AX750" s="270"/>
      <c r="AY750" s="270"/>
      <c r="AZ750" s="270"/>
      <c r="BA750" s="270">
        <f>IF(Table1[[#This Row],[Data de Início]]="","",YEAR(Table1[[#This Row],[Data de Início]]))</f>
        <v>2026</v>
      </c>
      <c r="BB750" s="270">
        <f>IF(Table1[[#This Row],[Data de Início]]="","",MONTH(Table1[[#This Row],[Data de Início]]))</f>
        <v>1</v>
      </c>
      <c r="BC750" s="270"/>
    </row>
    <row r="751" spans="2:55" ht="15" customHeight="1" x14ac:dyDescent="0.25">
      <c r="B751" s="489">
        <v>46044.625694444447</v>
      </c>
      <c r="C751" s="490">
        <v>46045.340277777781</v>
      </c>
      <c r="D751" s="477" cm="1">
        <f t="array" ref="D751">IFERROR(HorasUteisFabrica2Turnos(B751,C751), "")</f>
        <v>3.1500000001396984</v>
      </c>
      <c r="E751" s="478">
        <f t="shared" si="11"/>
        <v>736.82539679271963</v>
      </c>
      <c r="F751" s="479" t="s">
        <v>378</v>
      </c>
      <c r="G751" s="266" t="s">
        <v>1262</v>
      </c>
      <c r="H751" s="479"/>
      <c r="I751" s="480" t="s">
        <v>1289</v>
      </c>
      <c r="J751" s="481" t="s">
        <v>15</v>
      </c>
      <c r="K751" s="482">
        <v>2321</v>
      </c>
      <c r="L751" s="495" t="s">
        <v>1284</v>
      </c>
      <c r="M751" s="483" t="str">
        <f>IFERROR(INDEX([1]Produtos!$C:$C,MATCH(L751,[1]Produtos!$B:$B,0)), "-")</f>
        <v>BODY SPLASH AMBAR REAL 200ml</v>
      </c>
      <c r="N751" s="511">
        <f>IFERROR(INDEX([1]Produtos!$E:$E,MATCH(L751,[1]Produtos!$B:$B,0)), "-")</f>
        <v>215</v>
      </c>
      <c r="O751" s="483" t="str">
        <f>IFERROR(INDEX([1]Produtos!$F:$F,MATCH(L751,[1]Produtos!$B:$B,0)), "-")</f>
        <v>ml</v>
      </c>
      <c r="P751" s="483" t="str">
        <f>IFERROR(INDEX([1]Produtos!$G:$G,MATCH(L751,[1]Produtos!$B:$B,0)), "-")</f>
        <v>MISS RÔSE</v>
      </c>
      <c r="Q751" s="483" t="str">
        <f>IFERROR(INDEX([1]Produtos!$H:$H,MATCH(L751,[1]Produtos!$B:$B,0)), "-")</f>
        <v>PERFUMARIA</v>
      </c>
      <c r="R751" s="483" t="str">
        <f>IFERROR(INDEX([1]Produtos!$I:$I,MATCH(L751,[1]Produtos!$B:$B,0)), "-")</f>
        <v>BODY SPLASH</v>
      </c>
      <c r="S751" s="483" t="str">
        <f>IFERROR(INDEX([1]Produtos!$J:$J,MATCH(L751,[1]Produtos!$B:$B,0)), "-")</f>
        <v>LÍQUIDO</v>
      </c>
      <c r="T751" s="484"/>
      <c r="U751" s="270"/>
      <c r="V751" s="270"/>
      <c r="W751" s="270"/>
      <c r="X751" s="270"/>
      <c r="Y751" s="270"/>
      <c r="Z751" s="270"/>
      <c r="AA751" s="270"/>
      <c r="AB751" s="270"/>
      <c r="AC751" s="270"/>
      <c r="AD751" s="270"/>
      <c r="AE751" s="270"/>
      <c r="AF751" s="270"/>
      <c r="AG751" s="270"/>
      <c r="AH751" s="270"/>
      <c r="AI751" s="270"/>
      <c r="AJ751" s="270"/>
      <c r="AK751" s="270"/>
      <c r="AL751" s="270"/>
      <c r="AM751" s="663"/>
      <c r="AN751" s="663"/>
      <c r="AO751" s="708" t="str">
        <f>IF(OR(Table1[[#This Row],[Início Setup Envase]]="",Table1[[#This Row],[Final Setup Envase]]=""),"",Table1[[#This Row],[Final Setup Envase]]-Table1[[#This Row],[Início Setup Envase]])</f>
        <v/>
      </c>
      <c r="AP751" s="663"/>
      <c r="AQ751" s="663"/>
      <c r="AR751" s="270"/>
      <c r="AS751" s="270"/>
      <c r="AT751" s="270"/>
      <c r="AU751" s="270"/>
      <c r="AV751" s="270"/>
      <c r="AW751" s="270"/>
      <c r="AX751" s="270"/>
      <c r="AY751" s="270"/>
      <c r="AZ751" s="270"/>
      <c r="BA751" s="270">
        <f>IF(Table1[[#This Row],[Data de Início]]="","",YEAR(Table1[[#This Row],[Data de Início]]))</f>
        <v>2026</v>
      </c>
      <c r="BB751" s="270">
        <f>IF(Table1[[#This Row],[Data de Início]]="","",MONTH(Table1[[#This Row],[Data de Início]]))</f>
        <v>1</v>
      </c>
      <c r="BC751" s="270"/>
    </row>
    <row r="752" spans="2:55" ht="15" customHeight="1" x14ac:dyDescent="0.25">
      <c r="B752" s="489">
        <v>46045.356944444444</v>
      </c>
      <c r="C752" s="490">
        <v>46048.3125</v>
      </c>
      <c r="D752" s="477" cm="1">
        <f t="array" ref="D752">IFERROR(HorasUteisFabrica2Turnos(B752,C752), "")</f>
        <v>6.9333333333488554</v>
      </c>
      <c r="E752" s="478">
        <f t="shared" si="11"/>
        <v>699.23076922920382</v>
      </c>
      <c r="F752" s="479" t="s">
        <v>378</v>
      </c>
      <c r="G752" s="266" t="s">
        <v>1262</v>
      </c>
      <c r="H752" s="479"/>
      <c r="I752" s="480" t="s">
        <v>1291</v>
      </c>
      <c r="J752" s="481" t="s">
        <v>15</v>
      </c>
      <c r="K752" s="482">
        <v>4848</v>
      </c>
      <c r="L752" s="495" t="s">
        <v>1273</v>
      </c>
      <c r="M752" s="483" t="str">
        <f>IFERROR(INDEX([1]Produtos!$C:$C,MATCH(L752,[1]Produtos!$B:$B,0)), "-")</f>
        <v>BODY SPLASH LEAO DO DESERTO BOURBON 200ml</v>
      </c>
      <c r="N752" s="511">
        <f>IFERROR(INDEX([1]Produtos!$E:$E,MATCH(L752,[1]Produtos!$B:$B,0)), "-")</f>
        <v>215</v>
      </c>
      <c r="O752" s="483" t="str">
        <f>IFERROR(INDEX([1]Produtos!$F:$F,MATCH(L752,[1]Produtos!$B:$B,0)), "-")</f>
        <v>ml</v>
      </c>
      <c r="P752" s="483" t="str">
        <f>IFERROR(INDEX([1]Produtos!$G:$G,MATCH(L752,[1]Produtos!$B:$B,0)), "-")</f>
        <v>MISS RÔSE</v>
      </c>
      <c r="Q752" s="483" t="str">
        <f>IFERROR(INDEX([1]Produtos!$H:$H,MATCH(L752,[1]Produtos!$B:$B,0)), "-")</f>
        <v>PERFUMARIA</v>
      </c>
      <c r="R752" s="483" t="str">
        <f>IFERROR(INDEX([1]Produtos!$I:$I,MATCH(L752,[1]Produtos!$B:$B,0)), "-")</f>
        <v>BODY SPLASH</v>
      </c>
      <c r="S752" s="483" t="str">
        <f>IFERROR(INDEX([1]Produtos!$J:$J,MATCH(L752,[1]Produtos!$B:$B,0)), "-")</f>
        <v>LÍQUIDO</v>
      </c>
      <c r="T752" s="484"/>
      <c r="U752" s="270"/>
      <c r="V752" s="270"/>
      <c r="W752" s="270"/>
      <c r="X752" s="270"/>
      <c r="Y752" s="270"/>
      <c r="Z752" s="270"/>
      <c r="AA752" s="270"/>
      <c r="AB752" s="270"/>
      <c r="AC752" s="270"/>
      <c r="AD752" s="270"/>
      <c r="AE752" s="270"/>
      <c r="AF752" s="270"/>
      <c r="AG752" s="270"/>
      <c r="AH752" s="270"/>
      <c r="AI752" s="270"/>
      <c r="AJ752" s="270"/>
      <c r="AK752" s="270"/>
      <c r="AL752" s="270"/>
      <c r="AM752" s="663"/>
      <c r="AN752" s="663"/>
      <c r="AO752" s="708" t="str">
        <f>IF(OR(Table1[[#This Row],[Início Setup Envase]]="",Table1[[#This Row],[Final Setup Envase]]=""),"",Table1[[#This Row],[Final Setup Envase]]-Table1[[#This Row],[Início Setup Envase]])</f>
        <v/>
      </c>
      <c r="AP752" s="663"/>
      <c r="AQ752" s="663"/>
      <c r="AR752" s="270"/>
      <c r="AS752" s="270"/>
      <c r="AT752" s="270"/>
      <c r="AU752" s="270"/>
      <c r="AV752" s="270"/>
      <c r="AW752" s="270"/>
      <c r="AX752" s="270"/>
      <c r="AY752" s="270"/>
      <c r="AZ752" s="270"/>
      <c r="BA752" s="270">
        <f>IF(Table1[[#This Row],[Data de Início]]="","",YEAR(Table1[[#This Row],[Data de Início]]))</f>
        <v>2026</v>
      </c>
      <c r="BB752" s="270">
        <f>IF(Table1[[#This Row],[Data de Início]]="","",MONTH(Table1[[#This Row],[Data de Início]]))</f>
        <v>1</v>
      </c>
      <c r="BC752" s="270"/>
    </row>
    <row r="753" spans="2:55" ht="15" customHeight="1" x14ac:dyDescent="0.25">
      <c r="B753" s="489">
        <v>46045.361111111109</v>
      </c>
      <c r="C753" s="490">
        <v>46045.482638888891</v>
      </c>
      <c r="D753" s="477" cm="1">
        <f t="array" ref="D753">IFERROR(HorasUteisFabrica2Turnos(B753,C753), "")</f>
        <v>2.9166666667442769</v>
      </c>
      <c r="E753" s="478">
        <f t="shared" si="11"/>
        <v>872.22857140536212</v>
      </c>
      <c r="F753" s="479" t="s">
        <v>377</v>
      </c>
      <c r="G753" s="266" t="s">
        <v>1262</v>
      </c>
      <c r="H753" s="479"/>
      <c r="I753" s="480" t="s">
        <v>1305</v>
      </c>
      <c r="J753" s="481" t="s">
        <v>15</v>
      </c>
      <c r="K753" s="482">
        <v>2544</v>
      </c>
      <c r="L753" s="495" t="s">
        <v>1273</v>
      </c>
      <c r="M753" s="483" t="str">
        <f>IFERROR(INDEX([1]Produtos!$C:$C,MATCH(L753,[1]Produtos!$B:$B,0)), "-")</f>
        <v>BODY SPLASH LEAO DO DESERTO BOURBON 200ml</v>
      </c>
      <c r="N753" s="511">
        <f>IFERROR(INDEX([1]Produtos!$E:$E,MATCH(L753,[1]Produtos!$B:$B,0)), "-")</f>
        <v>215</v>
      </c>
      <c r="O753" s="483" t="str">
        <f>IFERROR(INDEX([1]Produtos!$F:$F,MATCH(L753,[1]Produtos!$B:$B,0)), "-")</f>
        <v>ml</v>
      </c>
      <c r="P753" s="483" t="str">
        <f>IFERROR(INDEX([1]Produtos!$G:$G,MATCH(L753,[1]Produtos!$B:$B,0)), "-")</f>
        <v>MISS RÔSE</v>
      </c>
      <c r="Q753" s="483" t="str">
        <f>IFERROR(INDEX([1]Produtos!$H:$H,MATCH(L753,[1]Produtos!$B:$B,0)), "-")</f>
        <v>PERFUMARIA</v>
      </c>
      <c r="R753" s="483" t="str">
        <f>IFERROR(INDEX([1]Produtos!$I:$I,MATCH(L753,[1]Produtos!$B:$B,0)), "-")</f>
        <v>BODY SPLASH</v>
      </c>
      <c r="S753" s="483" t="str">
        <f>IFERROR(INDEX([1]Produtos!$J:$J,MATCH(L753,[1]Produtos!$B:$B,0)), "-")</f>
        <v>LÍQUIDO</v>
      </c>
      <c r="T753" s="484"/>
      <c r="U753" s="270"/>
      <c r="V753" s="270"/>
      <c r="W753" s="270"/>
      <c r="X753" s="270"/>
      <c r="Y753" s="270"/>
      <c r="Z753" s="270"/>
      <c r="AA753" s="270"/>
      <c r="AB753" s="270"/>
      <c r="AC753" s="270"/>
      <c r="AD753" s="270"/>
      <c r="AE753" s="270"/>
      <c r="AF753" s="270"/>
      <c r="AG753" s="270"/>
      <c r="AH753" s="270"/>
      <c r="AI753" s="270"/>
      <c r="AJ753" s="270"/>
      <c r="AK753" s="270"/>
      <c r="AL753" s="270"/>
      <c r="AM753" s="663"/>
      <c r="AN753" s="663"/>
      <c r="AO753" s="708" t="str">
        <f>IF(OR(Table1[[#This Row],[Início Setup Envase]]="",Table1[[#This Row],[Final Setup Envase]]=""),"",Table1[[#This Row],[Final Setup Envase]]-Table1[[#This Row],[Início Setup Envase]])</f>
        <v/>
      </c>
      <c r="AP753" s="663"/>
      <c r="AQ753" s="663"/>
      <c r="AR753" s="270"/>
      <c r="AS753" s="270"/>
      <c r="AT753" s="270"/>
      <c r="AU753" s="270"/>
      <c r="AV753" s="270"/>
      <c r="AW753" s="270"/>
      <c r="AX753" s="270"/>
      <c r="AY753" s="270"/>
      <c r="AZ753" s="270"/>
      <c r="BA753" s="270">
        <f>IF(Table1[[#This Row],[Data de Início]]="","",YEAR(Table1[[#This Row],[Data de Início]]))</f>
        <v>2026</v>
      </c>
      <c r="BB753" s="270">
        <f>IF(Table1[[#This Row],[Data de Início]]="","",MONTH(Table1[[#This Row],[Data de Início]]))</f>
        <v>1</v>
      </c>
      <c r="BC753" s="270"/>
    </row>
    <row r="754" spans="2:55" ht="15" customHeight="1" x14ac:dyDescent="0.25">
      <c r="B754" s="489">
        <v>46045.482638888891</v>
      </c>
      <c r="C754" s="490">
        <v>46045.652777777781</v>
      </c>
      <c r="D754" s="477" cm="1">
        <f t="array" ref="D754">IFERROR(HorasUteisFabrica2Turnos(B754,C754), "")</f>
        <v>3.0833333333721384</v>
      </c>
      <c r="E754" s="478">
        <f t="shared" si="11"/>
        <v>825.08108107069711</v>
      </c>
      <c r="F754" s="479" t="s">
        <v>377</v>
      </c>
      <c r="G754" s="266" t="s">
        <v>1262</v>
      </c>
      <c r="H754" s="479"/>
      <c r="I754" s="480" t="s">
        <v>1292</v>
      </c>
      <c r="J754" s="481" t="s">
        <v>15</v>
      </c>
      <c r="K754" s="482">
        <v>2544</v>
      </c>
      <c r="L754" s="495" t="s">
        <v>1273</v>
      </c>
      <c r="M754" s="483" t="str">
        <f>IFERROR(INDEX([1]Produtos!$C:$C,MATCH(L754,[1]Produtos!$B:$B,0)), "-")</f>
        <v>BODY SPLASH LEAO DO DESERTO BOURBON 200ml</v>
      </c>
      <c r="N754" s="511">
        <f>IFERROR(INDEX([1]Produtos!$E:$E,MATCH(L754,[1]Produtos!$B:$B,0)), "-")</f>
        <v>215</v>
      </c>
      <c r="O754" s="483" t="str">
        <f>IFERROR(INDEX([1]Produtos!$F:$F,MATCH(L754,[1]Produtos!$B:$B,0)), "-")</f>
        <v>ml</v>
      </c>
      <c r="P754" s="483" t="str">
        <f>IFERROR(INDEX([1]Produtos!$G:$G,MATCH(L754,[1]Produtos!$B:$B,0)), "-")</f>
        <v>MISS RÔSE</v>
      </c>
      <c r="Q754" s="483" t="str">
        <f>IFERROR(INDEX([1]Produtos!$H:$H,MATCH(L754,[1]Produtos!$B:$B,0)), "-")</f>
        <v>PERFUMARIA</v>
      </c>
      <c r="R754" s="483" t="str">
        <f>IFERROR(INDEX([1]Produtos!$I:$I,MATCH(L754,[1]Produtos!$B:$B,0)), "-")</f>
        <v>BODY SPLASH</v>
      </c>
      <c r="S754" s="483" t="str">
        <f>IFERROR(INDEX([1]Produtos!$J:$J,MATCH(L754,[1]Produtos!$B:$B,0)), "-")</f>
        <v>LÍQUIDO</v>
      </c>
      <c r="T754" s="484"/>
      <c r="U754" s="270"/>
      <c r="V754" s="270"/>
      <c r="W754" s="270"/>
      <c r="X754" s="270"/>
      <c r="Y754" s="270"/>
      <c r="Z754" s="270"/>
      <c r="AA754" s="270"/>
      <c r="AB754" s="270"/>
      <c r="AC754" s="270"/>
      <c r="AD754" s="270"/>
      <c r="AE754" s="270"/>
      <c r="AF754" s="270"/>
      <c r="AG754" s="270"/>
      <c r="AH754" s="270"/>
      <c r="AI754" s="270"/>
      <c r="AJ754" s="270"/>
      <c r="AK754" s="270"/>
      <c r="AL754" s="270"/>
      <c r="AM754" s="663"/>
      <c r="AN754" s="663"/>
      <c r="AO754" s="708" t="str">
        <f>IF(OR(Table1[[#This Row],[Início Setup Envase]]="",Table1[[#This Row],[Final Setup Envase]]=""),"",Table1[[#This Row],[Final Setup Envase]]-Table1[[#This Row],[Início Setup Envase]])</f>
        <v/>
      </c>
      <c r="AP754" s="663"/>
      <c r="AQ754" s="663"/>
      <c r="AR754" s="270"/>
      <c r="AS754" s="270"/>
      <c r="AT754" s="270"/>
      <c r="AU754" s="270"/>
      <c r="AV754" s="270"/>
      <c r="AW754" s="270"/>
      <c r="AX754" s="270"/>
      <c r="AY754" s="270"/>
      <c r="AZ754" s="270"/>
      <c r="BA754" s="270">
        <f>IF(Table1[[#This Row],[Data de Início]]="","",YEAR(Table1[[#This Row],[Data de Início]]))</f>
        <v>2026</v>
      </c>
      <c r="BB754" s="270">
        <f>IF(Table1[[#This Row],[Data de Início]]="","",MONTH(Table1[[#This Row],[Data de Início]]))</f>
        <v>1</v>
      </c>
      <c r="BC754" s="270"/>
    </row>
    <row r="755" spans="2:55" ht="15" customHeight="1" x14ac:dyDescent="0.25">
      <c r="B755" s="489">
        <v>46048.3125</v>
      </c>
      <c r="C755" s="490">
        <v>46048.416666666664</v>
      </c>
      <c r="D755" s="477" cm="1">
        <f t="array" ref="D755">IFERROR(HorasUteisFabrica2Turnos(B755,C755), "")</f>
        <v>2.4999999999417923</v>
      </c>
      <c r="E755" s="478">
        <f t="shared" si="11"/>
        <v>1022.0000000237953</v>
      </c>
      <c r="F755" s="479" t="s">
        <v>378</v>
      </c>
      <c r="G755" s="266" t="s">
        <v>1262</v>
      </c>
      <c r="H755" s="479"/>
      <c r="I755" s="480" t="s">
        <v>1294</v>
      </c>
      <c r="J755" s="481" t="s">
        <v>15</v>
      </c>
      <c r="K755" s="482">
        <v>2555</v>
      </c>
      <c r="L755" s="495" t="s">
        <v>1273</v>
      </c>
      <c r="M755" s="483" t="str">
        <f>IFERROR(INDEX([1]Produtos!$C:$C,MATCH(L755,[1]Produtos!$B:$B,0)), "-")</f>
        <v>BODY SPLASH LEAO DO DESERTO BOURBON 200ml</v>
      </c>
      <c r="N755" s="511">
        <f>IFERROR(INDEX([1]Produtos!$E:$E,MATCH(L755,[1]Produtos!$B:$B,0)), "-")</f>
        <v>215</v>
      </c>
      <c r="O755" s="483" t="str">
        <f>IFERROR(INDEX([1]Produtos!$F:$F,MATCH(L755,[1]Produtos!$B:$B,0)), "-")</f>
        <v>ml</v>
      </c>
      <c r="P755" s="483" t="str">
        <f>IFERROR(INDEX([1]Produtos!$G:$G,MATCH(L755,[1]Produtos!$B:$B,0)), "-")</f>
        <v>MISS RÔSE</v>
      </c>
      <c r="Q755" s="483" t="str">
        <f>IFERROR(INDEX([1]Produtos!$H:$H,MATCH(L755,[1]Produtos!$B:$B,0)), "-")</f>
        <v>PERFUMARIA</v>
      </c>
      <c r="R755" s="483" t="str">
        <f>IFERROR(INDEX([1]Produtos!$I:$I,MATCH(L755,[1]Produtos!$B:$B,0)), "-")</f>
        <v>BODY SPLASH</v>
      </c>
      <c r="S755" s="483" t="str">
        <f>IFERROR(INDEX([1]Produtos!$J:$J,MATCH(L755,[1]Produtos!$B:$B,0)), "-")</f>
        <v>LÍQUIDO</v>
      </c>
      <c r="T755" s="484"/>
      <c r="U755" s="270"/>
      <c r="V755" s="270"/>
      <c r="W755" s="270"/>
      <c r="X755" s="270"/>
      <c r="Y755" s="270"/>
      <c r="Z755" s="270"/>
      <c r="AA755" s="270"/>
      <c r="AB755" s="270"/>
      <c r="AC755" s="270"/>
      <c r="AD755" s="270"/>
      <c r="AE755" s="270"/>
      <c r="AF755" s="270"/>
      <c r="AG755" s="270"/>
      <c r="AH755" s="270"/>
      <c r="AI755" s="270"/>
      <c r="AJ755" s="270"/>
      <c r="AK755" s="270"/>
      <c r="AL755" s="270"/>
      <c r="AM755" s="663"/>
      <c r="AN755" s="663"/>
      <c r="AO755" s="708" t="str">
        <f>IF(OR(Table1[[#This Row],[Início Setup Envase]]="",Table1[[#This Row],[Final Setup Envase]]=""),"",Table1[[#This Row],[Final Setup Envase]]-Table1[[#This Row],[Início Setup Envase]])</f>
        <v/>
      </c>
      <c r="AP755" s="663"/>
      <c r="AQ755" s="663"/>
      <c r="AR755" s="270"/>
      <c r="AS755" s="270"/>
      <c r="AT755" s="270"/>
      <c r="AU755" s="270"/>
      <c r="AV755" s="270"/>
      <c r="AW755" s="270"/>
      <c r="AX755" s="270"/>
      <c r="AY755" s="270"/>
      <c r="AZ755" s="270"/>
      <c r="BA755" s="270">
        <f>IF(Table1[[#This Row],[Data de Início]]="","",YEAR(Table1[[#This Row],[Data de Início]]))</f>
        <v>2026</v>
      </c>
      <c r="BB755" s="270">
        <f>IF(Table1[[#This Row],[Data de Início]]="","",MONTH(Table1[[#This Row],[Data de Início]]))</f>
        <v>1</v>
      </c>
      <c r="BC755" s="270"/>
    </row>
    <row r="756" spans="2:55" ht="15" customHeight="1" x14ac:dyDescent="0.25">
      <c r="B756" s="489">
        <v>46048.445833333331</v>
      </c>
      <c r="C756" s="490">
        <v>46048.666666666664</v>
      </c>
      <c r="D756" s="477" cm="1">
        <f t="array" ref="D756">IFERROR(HorasUteisFabrica2Turnos(B756,C756), "")</f>
        <v>4.2999999999883585</v>
      </c>
      <c r="E756" s="478">
        <f t="shared" si="11"/>
        <v>580.46511628064127</v>
      </c>
      <c r="F756" s="479" t="s">
        <v>378</v>
      </c>
      <c r="G756" s="266" t="s">
        <v>1262</v>
      </c>
      <c r="H756" s="479"/>
      <c r="I756" s="480" t="s">
        <v>1295</v>
      </c>
      <c r="J756" s="481" t="s">
        <v>15</v>
      </c>
      <c r="K756" s="482">
        <v>2496</v>
      </c>
      <c r="L756" s="495" t="s">
        <v>1281</v>
      </c>
      <c r="M756" s="483" t="str">
        <f>IFERROR(INDEX([1]Produtos!$C:$C,MATCH(L756,[1]Produtos!$B:$B,0)), "-")</f>
        <v>BODY SPLASH CEU INFINITO 200ml</v>
      </c>
      <c r="N756" s="511">
        <f>IFERROR(INDEX([1]Produtos!$E:$E,MATCH(L756,[1]Produtos!$B:$B,0)), "-")</f>
        <v>215</v>
      </c>
      <c r="O756" s="483" t="str">
        <f>IFERROR(INDEX([1]Produtos!$F:$F,MATCH(L756,[1]Produtos!$B:$B,0)), "-")</f>
        <v>ml</v>
      </c>
      <c r="P756" s="483" t="str">
        <f>IFERROR(INDEX([1]Produtos!$G:$G,MATCH(L756,[1]Produtos!$B:$B,0)), "-")</f>
        <v>MISS RÔSE</v>
      </c>
      <c r="Q756" s="483" t="str">
        <f>IFERROR(INDEX([1]Produtos!$H:$H,MATCH(L756,[1]Produtos!$B:$B,0)), "-")</f>
        <v>PERFUMARIA</v>
      </c>
      <c r="R756" s="483" t="str">
        <f>IFERROR(INDEX([1]Produtos!$I:$I,MATCH(L756,[1]Produtos!$B:$B,0)), "-")</f>
        <v>BODY SPLASH</v>
      </c>
      <c r="S756" s="483" t="str">
        <f>IFERROR(INDEX([1]Produtos!$J:$J,MATCH(L756,[1]Produtos!$B:$B,0)), "-")</f>
        <v>LÍQUIDO</v>
      </c>
      <c r="T756" s="484"/>
      <c r="U756" s="270"/>
      <c r="V756" s="270"/>
      <c r="W756" s="270"/>
      <c r="X756" s="270"/>
      <c r="Y756" s="270"/>
      <c r="Z756" s="270"/>
      <c r="AA756" s="270"/>
      <c r="AB756" s="270"/>
      <c r="AC756" s="270"/>
      <c r="AD756" s="270"/>
      <c r="AE756" s="270"/>
      <c r="AF756" s="270"/>
      <c r="AG756" s="270"/>
      <c r="AH756" s="270"/>
      <c r="AI756" s="270"/>
      <c r="AJ756" s="270"/>
      <c r="AK756" s="270"/>
      <c r="AL756" s="270"/>
      <c r="AM756" s="663"/>
      <c r="AN756" s="663"/>
      <c r="AO756" s="708" t="str">
        <f>IF(OR(Table1[[#This Row],[Início Setup Envase]]="",Table1[[#This Row],[Final Setup Envase]]=""),"",Table1[[#This Row],[Final Setup Envase]]-Table1[[#This Row],[Início Setup Envase]])</f>
        <v/>
      </c>
      <c r="AP756" s="663"/>
      <c r="AQ756" s="663"/>
      <c r="AR756" s="270"/>
      <c r="AS756" s="270"/>
      <c r="AT756" s="270"/>
      <c r="AU756" s="270"/>
      <c r="AV756" s="270"/>
      <c r="AW756" s="270"/>
      <c r="AX756" s="270"/>
      <c r="AY756" s="270"/>
      <c r="AZ756" s="270"/>
      <c r="BA756" s="270">
        <f>IF(Table1[[#This Row],[Data de Início]]="","",YEAR(Table1[[#This Row],[Data de Início]]))</f>
        <v>2026</v>
      </c>
      <c r="BB756" s="270">
        <f>IF(Table1[[#This Row],[Data de Início]]="","",MONTH(Table1[[#This Row],[Data de Início]]))</f>
        <v>1</v>
      </c>
      <c r="BC756" s="270"/>
    </row>
    <row r="757" spans="2:55" ht="15" customHeight="1" x14ac:dyDescent="0.25">
      <c r="B757" s="489">
        <v>46048.451388888891</v>
      </c>
      <c r="C757" s="490">
        <v>46049.375</v>
      </c>
      <c r="D757" s="477" cm="1">
        <f t="array" ref="D757">IFERROR(HorasUteisFabrica2Turnos(B757,C757), "")</f>
        <v>7.1666666667442769</v>
      </c>
      <c r="E757" s="478">
        <f t="shared" si="11"/>
        <v>663.06976743467987</v>
      </c>
      <c r="F757" s="479" t="s">
        <v>377</v>
      </c>
      <c r="G757" s="266" t="s">
        <v>1262</v>
      </c>
      <c r="H757" s="479"/>
      <c r="I757" s="480" t="s">
        <v>1296</v>
      </c>
      <c r="J757" s="481" t="s">
        <v>15</v>
      </c>
      <c r="K757" s="482">
        <v>4752</v>
      </c>
      <c r="L757" s="495" t="s">
        <v>1281</v>
      </c>
      <c r="M757" s="483" t="str">
        <f>IFERROR(INDEX([1]Produtos!$C:$C,MATCH(L757,[1]Produtos!$B:$B,0)), "-")</f>
        <v>BODY SPLASH CEU INFINITO 200ml</v>
      </c>
      <c r="N757" s="511">
        <f>IFERROR(INDEX([1]Produtos!$E:$E,MATCH(L757,[1]Produtos!$B:$B,0)), "-")</f>
        <v>215</v>
      </c>
      <c r="O757" s="483" t="str">
        <f>IFERROR(INDEX([1]Produtos!$F:$F,MATCH(L757,[1]Produtos!$B:$B,0)), "-")</f>
        <v>ml</v>
      </c>
      <c r="P757" s="483" t="str">
        <f>IFERROR(INDEX([1]Produtos!$G:$G,MATCH(L757,[1]Produtos!$B:$B,0)), "-")</f>
        <v>MISS RÔSE</v>
      </c>
      <c r="Q757" s="483" t="str">
        <f>IFERROR(INDEX([1]Produtos!$H:$H,MATCH(L757,[1]Produtos!$B:$B,0)), "-")</f>
        <v>PERFUMARIA</v>
      </c>
      <c r="R757" s="483" t="str">
        <f>IFERROR(INDEX([1]Produtos!$I:$I,MATCH(L757,[1]Produtos!$B:$B,0)), "-")</f>
        <v>BODY SPLASH</v>
      </c>
      <c r="S757" s="483" t="str">
        <f>IFERROR(INDEX([1]Produtos!$J:$J,MATCH(L757,[1]Produtos!$B:$B,0)), "-")</f>
        <v>LÍQUIDO</v>
      </c>
      <c r="T757" s="484"/>
      <c r="U757" s="270"/>
      <c r="V757" s="270"/>
      <c r="W757" s="270"/>
      <c r="X757" s="270"/>
      <c r="Y757" s="270"/>
      <c r="Z757" s="270"/>
      <c r="AA757" s="270"/>
      <c r="AB757" s="270"/>
      <c r="AC757" s="270"/>
      <c r="AD757" s="270"/>
      <c r="AE757" s="270"/>
      <c r="AF757" s="270"/>
      <c r="AG757" s="270"/>
      <c r="AH757" s="270"/>
      <c r="AI757" s="270"/>
      <c r="AJ757" s="270"/>
      <c r="AK757" s="270"/>
      <c r="AL757" s="270"/>
      <c r="AM757" s="663"/>
      <c r="AN757" s="663"/>
      <c r="AO757" s="708" t="str">
        <f>IF(OR(Table1[[#This Row],[Início Setup Envase]]="",Table1[[#This Row],[Final Setup Envase]]=""),"",Table1[[#This Row],[Final Setup Envase]]-Table1[[#This Row],[Início Setup Envase]])</f>
        <v/>
      </c>
      <c r="AP757" s="663"/>
      <c r="AQ757" s="663"/>
      <c r="AR757" s="270"/>
      <c r="AS757" s="270"/>
      <c r="AT757" s="270"/>
      <c r="AU757" s="270"/>
      <c r="AV757" s="270"/>
      <c r="AW757" s="270"/>
      <c r="AX757" s="270"/>
      <c r="AY757" s="270"/>
      <c r="AZ757" s="270"/>
      <c r="BA757" s="270">
        <f>IF(Table1[[#This Row],[Data de Início]]="","",YEAR(Table1[[#This Row],[Data de Início]]))</f>
        <v>2026</v>
      </c>
      <c r="BB757" s="270">
        <f>IF(Table1[[#This Row],[Data de Início]]="","",MONTH(Table1[[#This Row],[Data de Início]]))</f>
        <v>1</v>
      </c>
      <c r="BC757" s="270"/>
    </row>
    <row r="758" spans="2:55" ht="15" customHeight="1" x14ac:dyDescent="0.25">
      <c r="B758" s="489">
        <v>46048.666666666664</v>
      </c>
      <c r="C758" s="490">
        <v>46049.458333333336</v>
      </c>
      <c r="D758" s="477" cm="1">
        <f t="array" ref="D758">IFERROR(HorasUteisFabrica2Turnos(B758,C758), "")</f>
        <v>5.0000000002328306</v>
      </c>
      <c r="E758" s="478">
        <f t="shared" si="11"/>
        <v>979.19999995440241</v>
      </c>
      <c r="F758" s="479" t="s">
        <v>378</v>
      </c>
      <c r="G758" s="266" t="s">
        <v>1262</v>
      </c>
      <c r="H758" s="479"/>
      <c r="I758" s="480" t="s">
        <v>1297</v>
      </c>
      <c r="J758" s="481" t="s">
        <v>15</v>
      </c>
      <c r="K758" s="482">
        <v>4896</v>
      </c>
      <c r="L758" s="495" t="s">
        <v>1281</v>
      </c>
      <c r="M758" s="483" t="str">
        <f>IFERROR(INDEX([1]Produtos!$C:$C,MATCH(L758,[1]Produtos!$B:$B,0)), "-")</f>
        <v>BODY SPLASH CEU INFINITO 200ml</v>
      </c>
      <c r="N758" s="511">
        <f>IFERROR(INDEX([1]Produtos!$E:$E,MATCH(L758,[1]Produtos!$B:$B,0)), "-")</f>
        <v>215</v>
      </c>
      <c r="O758" s="483" t="str">
        <f>IFERROR(INDEX([1]Produtos!$F:$F,MATCH(L758,[1]Produtos!$B:$B,0)), "-")</f>
        <v>ml</v>
      </c>
      <c r="P758" s="483" t="str">
        <f>IFERROR(INDEX([1]Produtos!$G:$G,MATCH(L758,[1]Produtos!$B:$B,0)), "-")</f>
        <v>MISS RÔSE</v>
      </c>
      <c r="Q758" s="483" t="str">
        <f>IFERROR(INDEX([1]Produtos!$H:$H,MATCH(L758,[1]Produtos!$B:$B,0)), "-")</f>
        <v>PERFUMARIA</v>
      </c>
      <c r="R758" s="483" t="str">
        <f>IFERROR(INDEX([1]Produtos!$I:$I,MATCH(L758,[1]Produtos!$B:$B,0)), "-")</f>
        <v>BODY SPLASH</v>
      </c>
      <c r="S758" s="483" t="str">
        <f>IFERROR(INDEX([1]Produtos!$J:$J,MATCH(L758,[1]Produtos!$B:$B,0)), "-")</f>
        <v>LÍQUIDO</v>
      </c>
      <c r="T758" s="484"/>
      <c r="U758" s="270"/>
      <c r="V758" s="270"/>
      <c r="W758" s="270"/>
      <c r="X758" s="270"/>
      <c r="Y758" s="270"/>
      <c r="Z758" s="270"/>
      <c r="AA758" s="270"/>
      <c r="AB758" s="270"/>
      <c r="AC758" s="270"/>
      <c r="AD758" s="270"/>
      <c r="AE758" s="270"/>
      <c r="AF758" s="270"/>
      <c r="AG758" s="270"/>
      <c r="AH758" s="270"/>
      <c r="AI758" s="270"/>
      <c r="AJ758" s="270"/>
      <c r="AK758" s="270"/>
      <c r="AL758" s="270"/>
      <c r="AM758" s="663"/>
      <c r="AN758" s="663"/>
      <c r="AO758" s="708" t="str">
        <f>IF(OR(Table1[[#This Row],[Início Setup Envase]]="",Table1[[#This Row],[Final Setup Envase]]=""),"",Table1[[#This Row],[Final Setup Envase]]-Table1[[#This Row],[Início Setup Envase]])</f>
        <v/>
      </c>
      <c r="AP758" s="663"/>
      <c r="AQ758" s="663"/>
      <c r="AR758" s="270"/>
      <c r="AS758" s="270"/>
      <c r="AT758" s="270"/>
      <c r="AU758" s="270"/>
      <c r="AV758" s="270"/>
      <c r="AW758" s="270"/>
      <c r="AX758" s="270"/>
      <c r="AY758" s="270"/>
      <c r="AZ758" s="270"/>
      <c r="BA758" s="270">
        <f>IF(Table1[[#This Row],[Data de Início]]="","",YEAR(Table1[[#This Row],[Data de Início]]))</f>
        <v>2026</v>
      </c>
      <c r="BB758" s="270">
        <f>IF(Table1[[#This Row],[Data de Início]]="","",MONTH(Table1[[#This Row],[Data de Início]]))</f>
        <v>1</v>
      </c>
      <c r="BC758" s="270"/>
    </row>
    <row r="759" spans="2:55" ht="15" customHeight="1" x14ac:dyDescent="0.25">
      <c r="B759" s="489">
        <v>46049.465277777781</v>
      </c>
      <c r="C759" s="490">
        <v>46049.625</v>
      </c>
      <c r="D759" s="477" cm="1">
        <f t="array" ref="D759">IFERROR(HorasUteisFabrica2Turnos(B759,C759), "")</f>
        <v>2.8333333332557231</v>
      </c>
      <c r="E759" s="478">
        <f t="shared" si="11"/>
        <v>897.88235296577113</v>
      </c>
      <c r="F759" s="479" t="s">
        <v>377</v>
      </c>
      <c r="G759" s="266" t="s">
        <v>1262</v>
      </c>
      <c r="H759" s="479"/>
      <c r="I759" s="480" t="s">
        <v>1299</v>
      </c>
      <c r="J759" s="481" t="s">
        <v>15</v>
      </c>
      <c r="K759" s="482">
        <v>2544</v>
      </c>
      <c r="L759" s="495" t="s">
        <v>1280</v>
      </c>
      <c r="M759" s="483" t="str">
        <f>IFERROR(INDEX([1]Produtos!$C:$C,MATCH(L759,[1]Produtos!$B:$B,0)), "-")</f>
        <v>BODY SPLASH CEU CELESTE 200ml</v>
      </c>
      <c r="N759" s="511">
        <f>IFERROR(INDEX([1]Produtos!$E:$E,MATCH(L759,[1]Produtos!$B:$B,0)), "-")</f>
        <v>215</v>
      </c>
      <c r="O759" s="483" t="str">
        <f>IFERROR(INDEX([1]Produtos!$F:$F,MATCH(L759,[1]Produtos!$B:$B,0)), "-")</f>
        <v>ml</v>
      </c>
      <c r="P759" s="483" t="str">
        <f>IFERROR(INDEX([1]Produtos!$G:$G,MATCH(L759,[1]Produtos!$B:$B,0)), "-")</f>
        <v>MISS RÔSE</v>
      </c>
      <c r="Q759" s="483" t="str">
        <f>IFERROR(INDEX([1]Produtos!$H:$H,MATCH(L759,[1]Produtos!$B:$B,0)), "-")</f>
        <v>PERFUMARIA</v>
      </c>
      <c r="R759" s="483" t="str">
        <f>IFERROR(INDEX([1]Produtos!$I:$I,MATCH(L759,[1]Produtos!$B:$B,0)), "-")</f>
        <v>BODY SPLASH</v>
      </c>
      <c r="S759" s="483" t="str">
        <f>IFERROR(INDEX([1]Produtos!$J:$J,MATCH(L759,[1]Produtos!$B:$B,0)), "-")</f>
        <v>LÍQUIDO</v>
      </c>
      <c r="T759" s="484"/>
      <c r="U759" s="270"/>
      <c r="V759" s="270"/>
      <c r="W759" s="270"/>
      <c r="X759" s="270"/>
      <c r="Y759" s="270"/>
      <c r="Z759" s="270"/>
      <c r="AA759" s="270"/>
      <c r="AB759" s="270"/>
      <c r="AC759" s="270"/>
      <c r="AD759" s="270"/>
      <c r="AE759" s="270"/>
      <c r="AF759" s="270"/>
      <c r="AG759" s="270"/>
      <c r="AH759" s="270"/>
      <c r="AI759" s="270"/>
      <c r="AJ759" s="270"/>
      <c r="AK759" s="270"/>
      <c r="AL759" s="270"/>
      <c r="AM759" s="663"/>
      <c r="AN759" s="663"/>
      <c r="AO759" s="708" t="str">
        <f>IF(OR(Table1[[#This Row],[Início Setup Envase]]="",Table1[[#This Row],[Final Setup Envase]]=""),"",Table1[[#This Row],[Final Setup Envase]]-Table1[[#This Row],[Início Setup Envase]])</f>
        <v/>
      </c>
      <c r="AP759" s="663"/>
      <c r="AQ759" s="663"/>
      <c r="AR759" s="270"/>
      <c r="AS759" s="270"/>
      <c r="AT759" s="270"/>
      <c r="AU759" s="270"/>
      <c r="AV759" s="270"/>
      <c r="AW759" s="270"/>
      <c r="AX759" s="270"/>
      <c r="AY759" s="270"/>
      <c r="AZ759" s="270"/>
      <c r="BA759" s="270">
        <f>IF(Table1[[#This Row],[Data de Início]]="","",YEAR(Table1[[#This Row],[Data de Início]]))</f>
        <v>2026</v>
      </c>
      <c r="BB759" s="270">
        <f>IF(Table1[[#This Row],[Data de Início]]="","",MONTH(Table1[[#This Row],[Data de Início]]))</f>
        <v>1</v>
      </c>
      <c r="BC759" s="270"/>
    </row>
    <row r="760" spans="2:55" ht="15" customHeight="1" x14ac:dyDescent="0.25">
      <c r="B760" s="489">
        <v>46049.625</v>
      </c>
      <c r="C760" s="490">
        <v>46050.433333333334</v>
      </c>
      <c r="D760" s="477" cm="1">
        <f t="array" ref="D760">IFERROR(HorasUteisFabrica2Turnos(B760,C760), "")</f>
        <v>5.4000000001396984</v>
      </c>
      <c r="E760" s="478">
        <f t="shared" si="11"/>
        <v>897.77777775455218</v>
      </c>
      <c r="F760" s="479" t="s">
        <v>377</v>
      </c>
      <c r="G760" s="266" t="s">
        <v>1262</v>
      </c>
      <c r="H760" s="479"/>
      <c r="I760" s="480" t="s">
        <v>1304</v>
      </c>
      <c r="J760" s="481" t="s">
        <v>15</v>
      </c>
      <c r="K760" s="482">
        <v>4848</v>
      </c>
      <c r="L760" s="495" t="s">
        <v>1280</v>
      </c>
      <c r="M760" s="483" t="str">
        <f>IFERROR(INDEX([1]Produtos!$C:$C,MATCH(L760,[1]Produtos!$B:$B,0)), "-")</f>
        <v>BODY SPLASH CEU CELESTE 200ml</v>
      </c>
      <c r="N760" s="511">
        <f>IFERROR(INDEX([1]Produtos!$E:$E,MATCH(L760,[1]Produtos!$B:$B,0)), "-")</f>
        <v>215</v>
      </c>
      <c r="O760" s="483" t="str">
        <f>IFERROR(INDEX([1]Produtos!$F:$F,MATCH(L760,[1]Produtos!$B:$B,0)), "-")</f>
        <v>ml</v>
      </c>
      <c r="P760" s="483" t="str">
        <f>IFERROR(INDEX([1]Produtos!$G:$G,MATCH(L760,[1]Produtos!$B:$B,0)), "-")</f>
        <v>MISS RÔSE</v>
      </c>
      <c r="Q760" s="483" t="str">
        <f>IFERROR(INDEX([1]Produtos!$H:$H,MATCH(L760,[1]Produtos!$B:$B,0)), "-")</f>
        <v>PERFUMARIA</v>
      </c>
      <c r="R760" s="483" t="str">
        <f>IFERROR(INDEX([1]Produtos!$I:$I,MATCH(L760,[1]Produtos!$B:$B,0)), "-")</f>
        <v>BODY SPLASH</v>
      </c>
      <c r="S760" s="483" t="str">
        <f>IFERROR(INDEX([1]Produtos!$J:$J,MATCH(L760,[1]Produtos!$B:$B,0)), "-")</f>
        <v>LÍQUIDO</v>
      </c>
      <c r="T760" s="484"/>
      <c r="U760" s="270"/>
      <c r="V760" s="270"/>
      <c r="W760" s="270"/>
      <c r="X760" s="270"/>
      <c r="Y760" s="270"/>
      <c r="Z760" s="270"/>
      <c r="AA760" s="270"/>
      <c r="AB760" s="270"/>
      <c r="AC760" s="270"/>
      <c r="AD760" s="270"/>
      <c r="AE760" s="270"/>
      <c r="AF760" s="270"/>
      <c r="AG760" s="270"/>
      <c r="AH760" s="270"/>
      <c r="AI760" s="270"/>
      <c r="AJ760" s="270"/>
      <c r="AK760" s="270"/>
      <c r="AL760" s="270"/>
      <c r="AM760" s="663"/>
      <c r="AN760" s="663"/>
      <c r="AO760" s="708" t="str">
        <f>IF(OR(Table1[[#This Row],[Início Setup Envase]]="",Table1[[#This Row],[Final Setup Envase]]=""),"",Table1[[#This Row],[Final Setup Envase]]-Table1[[#This Row],[Início Setup Envase]])</f>
        <v/>
      </c>
      <c r="AP760" s="663"/>
      <c r="AQ760" s="663"/>
      <c r="AR760" s="270"/>
      <c r="AS760" s="270"/>
      <c r="AT760" s="270"/>
      <c r="AU760" s="270"/>
      <c r="AV760" s="270"/>
      <c r="AW760" s="270"/>
      <c r="AX760" s="270"/>
      <c r="AY760" s="270"/>
      <c r="AZ760" s="270"/>
      <c r="BA760" s="270">
        <f>IF(Table1[[#This Row],[Data de Início]]="","",YEAR(Table1[[#This Row],[Data de Início]]))</f>
        <v>2026</v>
      </c>
      <c r="BB760" s="270">
        <f>IF(Table1[[#This Row],[Data de Início]]="","",MONTH(Table1[[#This Row],[Data de Início]]))</f>
        <v>1</v>
      </c>
      <c r="BC760" s="270"/>
    </row>
    <row r="761" spans="2:55" ht="15" customHeight="1" x14ac:dyDescent="0.25">
      <c r="B761" s="489">
        <v>46050.314583333333</v>
      </c>
      <c r="C761" s="490">
        <v>46050.659722222219</v>
      </c>
      <c r="D761" s="477" cm="1">
        <f t="array" ref="D761">IFERROR(HorasUteisFabrica2Turnos(B761,C761), "")</f>
        <v>7.2833333332673647</v>
      </c>
      <c r="E761" s="478">
        <f t="shared" si="11"/>
        <v>682.65446224874609</v>
      </c>
      <c r="F761" s="479" t="s">
        <v>377</v>
      </c>
      <c r="G761" s="266" t="s">
        <v>1262</v>
      </c>
      <c r="H761" s="479"/>
      <c r="I761" s="480" t="s">
        <v>1308</v>
      </c>
      <c r="J761" s="481" t="s">
        <v>15</v>
      </c>
      <c r="K761" s="482">
        <v>4972</v>
      </c>
      <c r="L761" s="495" t="s">
        <v>1280</v>
      </c>
      <c r="M761" s="483" t="str">
        <f>IFERROR(INDEX([1]Produtos!$C:$C,MATCH(L761,[1]Produtos!$B:$B,0)), "-")</f>
        <v>BODY SPLASH CEU CELESTE 200ml</v>
      </c>
      <c r="N761" s="511">
        <f>IFERROR(INDEX([1]Produtos!$E:$E,MATCH(L761,[1]Produtos!$B:$B,0)), "-")</f>
        <v>215</v>
      </c>
      <c r="O761" s="483" t="str">
        <f>IFERROR(INDEX([1]Produtos!$F:$F,MATCH(L761,[1]Produtos!$B:$B,0)), "-")</f>
        <v>ml</v>
      </c>
      <c r="P761" s="483" t="str">
        <f>IFERROR(INDEX([1]Produtos!$G:$G,MATCH(L761,[1]Produtos!$B:$B,0)), "-")</f>
        <v>MISS RÔSE</v>
      </c>
      <c r="Q761" s="483" t="str">
        <f>IFERROR(INDEX([1]Produtos!$H:$H,MATCH(L761,[1]Produtos!$B:$B,0)), "-")</f>
        <v>PERFUMARIA</v>
      </c>
      <c r="R761" s="483" t="str">
        <f>IFERROR(INDEX([1]Produtos!$I:$I,MATCH(L761,[1]Produtos!$B:$B,0)), "-")</f>
        <v>BODY SPLASH</v>
      </c>
      <c r="S761" s="483" t="str">
        <f>IFERROR(INDEX([1]Produtos!$J:$J,MATCH(L761,[1]Produtos!$B:$B,0)), "-")</f>
        <v>LÍQUIDO</v>
      </c>
      <c r="T761" s="484"/>
      <c r="U761" s="270"/>
      <c r="V761" s="270"/>
      <c r="W761" s="270"/>
      <c r="X761" s="270"/>
      <c r="Y761" s="270"/>
      <c r="Z761" s="270"/>
      <c r="AA761" s="270"/>
      <c r="AB761" s="270"/>
      <c r="AC761" s="270"/>
      <c r="AD761" s="270"/>
      <c r="AE761" s="270"/>
      <c r="AF761" s="270"/>
      <c r="AG761" s="270"/>
      <c r="AH761" s="270"/>
      <c r="AI761" s="270"/>
      <c r="AJ761" s="270"/>
      <c r="AK761" s="270"/>
      <c r="AL761" s="270"/>
      <c r="AM761" s="663"/>
      <c r="AN761" s="663"/>
      <c r="AO761" s="708" t="str">
        <f>IF(OR(Table1[[#This Row],[Início Setup Envase]]="",Table1[[#This Row],[Final Setup Envase]]=""),"",Table1[[#This Row],[Final Setup Envase]]-Table1[[#This Row],[Início Setup Envase]])</f>
        <v/>
      </c>
      <c r="AP761" s="663"/>
      <c r="AQ761" s="663"/>
      <c r="AR761" s="270"/>
      <c r="AS761" s="270"/>
      <c r="AT761" s="270"/>
      <c r="AU761" s="270"/>
      <c r="AV761" s="270"/>
      <c r="AW761" s="270"/>
      <c r="AX761" s="270"/>
      <c r="AY761" s="270"/>
      <c r="AZ761" s="270"/>
      <c r="BA761" s="270">
        <f>IF(Table1[[#This Row],[Data de Início]]="","",YEAR(Table1[[#This Row],[Data de Início]]))</f>
        <v>2026</v>
      </c>
      <c r="BB761" s="270">
        <f>IF(Table1[[#This Row],[Data de Início]]="","",MONTH(Table1[[#This Row],[Data de Início]]))</f>
        <v>1</v>
      </c>
      <c r="BC761" s="270"/>
    </row>
    <row r="762" spans="2:55" ht="15" customHeight="1" x14ac:dyDescent="0.25">
      <c r="B762" s="489">
        <v>46050.541666666664</v>
      </c>
      <c r="C762" s="490">
        <v>46050.666666666664</v>
      </c>
      <c r="D762" s="477" cm="1">
        <f t="array" ref="D762">IFERROR(HorasUteisFabrica2Turnos(B762,C762), "")</f>
        <v>3</v>
      </c>
      <c r="E762" s="478">
        <f t="shared" si="11"/>
        <v>848</v>
      </c>
      <c r="F762" s="479" t="s">
        <v>378</v>
      </c>
      <c r="G762" s="266" t="s">
        <v>1262</v>
      </c>
      <c r="H762" s="479"/>
      <c r="I762" s="480" t="s">
        <v>1309</v>
      </c>
      <c r="J762" s="481" t="s">
        <v>15</v>
      </c>
      <c r="K762" s="482">
        <v>2544</v>
      </c>
      <c r="L762" s="495" t="s">
        <v>1275</v>
      </c>
      <c r="M762" s="483" t="str">
        <f>IFERROR(INDEX([1]Produtos!$C:$C,MATCH(L762,[1]Produtos!$B:$B,0)), "-")</f>
        <v>BODY SPLASH DESPERTAR DAS FLORES 200ml</v>
      </c>
      <c r="N762" s="511">
        <f>IFERROR(INDEX([1]Produtos!$E:$E,MATCH(L762,[1]Produtos!$B:$B,0)), "-")</f>
        <v>215</v>
      </c>
      <c r="O762" s="483" t="str">
        <f>IFERROR(INDEX([1]Produtos!$F:$F,MATCH(L762,[1]Produtos!$B:$B,0)), "-")</f>
        <v>ml</v>
      </c>
      <c r="P762" s="483" t="str">
        <f>IFERROR(INDEX([1]Produtos!$G:$G,MATCH(L762,[1]Produtos!$B:$B,0)), "-")</f>
        <v>MISS RÔSE</v>
      </c>
      <c r="Q762" s="483" t="str">
        <f>IFERROR(INDEX([1]Produtos!$H:$H,MATCH(L762,[1]Produtos!$B:$B,0)), "-")</f>
        <v>PERFUMARIA</v>
      </c>
      <c r="R762" s="483" t="str">
        <f>IFERROR(INDEX([1]Produtos!$I:$I,MATCH(L762,[1]Produtos!$B:$B,0)), "-")</f>
        <v>BODY SPLASH</v>
      </c>
      <c r="S762" s="483" t="str">
        <f>IFERROR(INDEX([1]Produtos!$J:$J,MATCH(L762,[1]Produtos!$B:$B,0)), "-")</f>
        <v>LÍQUIDO</v>
      </c>
      <c r="T762" s="484"/>
      <c r="U762" s="270"/>
      <c r="V762" s="270"/>
      <c r="W762" s="270"/>
      <c r="X762" s="270"/>
      <c r="Y762" s="270"/>
      <c r="Z762" s="270"/>
      <c r="AA762" s="270"/>
      <c r="AB762" s="270"/>
      <c r="AC762" s="270"/>
      <c r="AD762" s="270"/>
      <c r="AE762" s="270"/>
      <c r="AF762" s="270"/>
      <c r="AG762" s="270"/>
      <c r="AH762" s="270"/>
      <c r="AI762" s="270"/>
      <c r="AJ762" s="270"/>
      <c r="AK762" s="270"/>
      <c r="AL762" s="270"/>
      <c r="AM762" s="663"/>
      <c r="AN762" s="663"/>
      <c r="AO762" s="708" t="str">
        <f>IF(OR(Table1[[#This Row],[Início Setup Envase]]="",Table1[[#This Row],[Final Setup Envase]]=""),"",Table1[[#This Row],[Final Setup Envase]]-Table1[[#This Row],[Início Setup Envase]])</f>
        <v/>
      </c>
      <c r="AP762" s="663"/>
      <c r="AQ762" s="663"/>
      <c r="AR762" s="270"/>
      <c r="AS762" s="270"/>
      <c r="AT762" s="270"/>
      <c r="AU762" s="270"/>
      <c r="AV762" s="270"/>
      <c r="AW762" s="270"/>
      <c r="AX762" s="270"/>
      <c r="AY762" s="270"/>
      <c r="AZ762" s="270"/>
      <c r="BA762" s="270">
        <f>IF(Table1[[#This Row],[Data de Início]]="","",YEAR(Table1[[#This Row],[Data de Início]]))</f>
        <v>2026</v>
      </c>
      <c r="BB762" s="270">
        <f>IF(Table1[[#This Row],[Data de Início]]="","",MONTH(Table1[[#This Row],[Data de Início]]))</f>
        <v>1</v>
      </c>
      <c r="BC762" s="270"/>
    </row>
    <row r="763" spans="2:55" ht="15" customHeight="1" x14ac:dyDescent="0.25">
      <c r="B763" s="489">
        <v>46050.652777777781</v>
      </c>
      <c r="C763" s="490">
        <v>46051.478472222225</v>
      </c>
      <c r="D763" s="477" cm="1">
        <f t="array" ref="D763">IFERROR(HorasUteisFabrica2Turnos(B763,C763), "")</f>
        <v>5.8166666667675599</v>
      </c>
      <c r="E763" s="478">
        <f t="shared" si="11"/>
        <v>826.59025786531845</v>
      </c>
      <c r="F763" s="479" t="s">
        <v>377</v>
      </c>
      <c r="G763" s="266" t="s">
        <v>1262</v>
      </c>
      <c r="H763" s="479"/>
      <c r="I763" s="480" t="s">
        <v>1313</v>
      </c>
      <c r="J763" s="481" t="s">
        <v>15</v>
      </c>
      <c r="K763" s="482">
        <v>4808</v>
      </c>
      <c r="L763" s="495" t="s">
        <v>1275</v>
      </c>
      <c r="M763" s="483" t="str">
        <f>IFERROR(INDEX([1]Produtos!$C:$C,MATCH(L763,[1]Produtos!$B:$B,0)), "-")</f>
        <v>BODY SPLASH DESPERTAR DAS FLORES 200ml</v>
      </c>
      <c r="N763" s="511">
        <f>IFERROR(INDEX([1]Produtos!$E:$E,MATCH(L763,[1]Produtos!$B:$B,0)), "-")</f>
        <v>215</v>
      </c>
      <c r="O763" s="483" t="str">
        <f>IFERROR(INDEX([1]Produtos!$F:$F,MATCH(L763,[1]Produtos!$B:$B,0)), "-")</f>
        <v>ml</v>
      </c>
      <c r="P763" s="483" t="str">
        <f>IFERROR(INDEX([1]Produtos!$G:$G,MATCH(L763,[1]Produtos!$B:$B,0)), "-")</f>
        <v>MISS RÔSE</v>
      </c>
      <c r="Q763" s="483" t="str">
        <f>IFERROR(INDEX([1]Produtos!$H:$H,MATCH(L763,[1]Produtos!$B:$B,0)), "-")</f>
        <v>PERFUMARIA</v>
      </c>
      <c r="R763" s="483" t="str">
        <f>IFERROR(INDEX([1]Produtos!$I:$I,MATCH(L763,[1]Produtos!$B:$B,0)), "-")</f>
        <v>BODY SPLASH</v>
      </c>
      <c r="S763" s="483" t="str">
        <f>IFERROR(INDEX([1]Produtos!$J:$J,MATCH(L763,[1]Produtos!$B:$B,0)), "-")</f>
        <v>LÍQUIDO</v>
      </c>
      <c r="T763" s="484"/>
      <c r="U763" s="270"/>
      <c r="V763" s="270"/>
      <c r="W763" s="270"/>
      <c r="X763" s="270"/>
      <c r="Y763" s="270"/>
      <c r="Z763" s="270"/>
      <c r="AA763" s="270"/>
      <c r="AB763" s="270"/>
      <c r="AC763" s="270"/>
      <c r="AD763" s="270"/>
      <c r="AE763" s="270"/>
      <c r="AF763" s="270"/>
      <c r="AG763" s="270"/>
      <c r="AH763" s="270"/>
      <c r="AI763" s="270"/>
      <c r="AJ763" s="270"/>
      <c r="AK763" s="270"/>
      <c r="AL763" s="270"/>
      <c r="AM763" s="663"/>
      <c r="AN763" s="663"/>
      <c r="AO763" s="708" t="str">
        <f>IF(OR(Table1[[#This Row],[Início Setup Envase]]="",Table1[[#This Row],[Final Setup Envase]]=""),"",Table1[[#This Row],[Final Setup Envase]]-Table1[[#This Row],[Início Setup Envase]])</f>
        <v/>
      </c>
      <c r="AP763" s="663"/>
      <c r="AQ763" s="663"/>
      <c r="AR763" s="270"/>
      <c r="AS763" s="270"/>
      <c r="AT763" s="270"/>
      <c r="AU763" s="270"/>
      <c r="AV763" s="270"/>
      <c r="AW763" s="270"/>
      <c r="AX763" s="270"/>
      <c r="AY763" s="270"/>
      <c r="AZ763" s="270"/>
      <c r="BA763" s="270">
        <f>IF(Table1[[#This Row],[Data de Início]]="","",YEAR(Table1[[#This Row],[Data de Início]]))</f>
        <v>2026</v>
      </c>
      <c r="BB763" s="270">
        <f>IF(Table1[[#This Row],[Data de Início]]="","",MONTH(Table1[[#This Row],[Data de Início]]))</f>
        <v>1</v>
      </c>
      <c r="BC763" s="270"/>
    </row>
    <row r="764" spans="2:55" ht="15" customHeight="1" x14ac:dyDescent="0.25">
      <c r="B764" s="489">
        <v>46050.677083333336</v>
      </c>
      <c r="C764" s="490">
        <v>46051.5625</v>
      </c>
      <c r="D764" s="477" cm="1">
        <f t="array" ref="D764">IFERROR(HorasUteisFabrica2Turnos(B764,C764), "")</f>
        <v>6.2500000000582077</v>
      </c>
      <c r="E764" s="478">
        <f t="shared" si="11"/>
        <v>780.7999999927282</v>
      </c>
      <c r="F764" s="479" t="s">
        <v>378</v>
      </c>
      <c r="G764" s="266" t="s">
        <v>1262</v>
      </c>
      <c r="H764" s="479"/>
      <c r="I764" s="480" t="s">
        <v>1315</v>
      </c>
      <c r="J764" s="481" t="s">
        <v>15</v>
      </c>
      <c r="K764" s="482">
        <v>4880</v>
      </c>
      <c r="L764" s="495" t="s">
        <v>1275</v>
      </c>
      <c r="M764" s="483" t="str">
        <f>IFERROR(INDEX([1]Produtos!$C:$C,MATCH(L764,[1]Produtos!$B:$B,0)), "-")</f>
        <v>BODY SPLASH DESPERTAR DAS FLORES 200ml</v>
      </c>
      <c r="N764" s="511">
        <f>IFERROR(INDEX([1]Produtos!$E:$E,MATCH(L764,[1]Produtos!$B:$B,0)), "-")</f>
        <v>215</v>
      </c>
      <c r="O764" s="483" t="str">
        <f>IFERROR(INDEX([1]Produtos!$F:$F,MATCH(L764,[1]Produtos!$B:$B,0)), "-")</f>
        <v>ml</v>
      </c>
      <c r="P764" s="483" t="str">
        <f>IFERROR(INDEX([1]Produtos!$G:$G,MATCH(L764,[1]Produtos!$B:$B,0)), "-")</f>
        <v>MISS RÔSE</v>
      </c>
      <c r="Q764" s="483" t="str">
        <f>IFERROR(INDEX([1]Produtos!$H:$H,MATCH(L764,[1]Produtos!$B:$B,0)), "-")</f>
        <v>PERFUMARIA</v>
      </c>
      <c r="R764" s="483" t="str">
        <f>IFERROR(INDEX([1]Produtos!$I:$I,MATCH(L764,[1]Produtos!$B:$B,0)), "-")</f>
        <v>BODY SPLASH</v>
      </c>
      <c r="S764" s="483" t="str">
        <f>IFERROR(INDEX([1]Produtos!$J:$J,MATCH(L764,[1]Produtos!$B:$B,0)), "-")</f>
        <v>LÍQUIDO</v>
      </c>
      <c r="T764" s="484"/>
      <c r="U764" s="270"/>
      <c r="V764" s="270"/>
      <c r="W764" s="270"/>
      <c r="X764" s="270"/>
      <c r="Y764" s="270"/>
      <c r="Z764" s="270"/>
      <c r="AA764" s="270"/>
      <c r="AB764" s="270"/>
      <c r="AC764" s="270"/>
      <c r="AD764" s="270"/>
      <c r="AE764" s="270"/>
      <c r="AF764" s="270"/>
      <c r="AG764" s="270"/>
      <c r="AH764" s="270"/>
      <c r="AI764" s="270"/>
      <c r="AJ764" s="270"/>
      <c r="AK764" s="270"/>
      <c r="AL764" s="270"/>
      <c r="AM764" s="663"/>
      <c r="AN764" s="663"/>
      <c r="AO764" s="708" t="str">
        <f>IF(OR(Table1[[#This Row],[Início Setup Envase]]="",Table1[[#This Row],[Final Setup Envase]]=""),"",Table1[[#This Row],[Final Setup Envase]]-Table1[[#This Row],[Início Setup Envase]])</f>
        <v/>
      </c>
      <c r="AP764" s="663"/>
      <c r="AQ764" s="663"/>
      <c r="AR764" s="270"/>
      <c r="AS764" s="270"/>
      <c r="AT764" s="270"/>
      <c r="AU764" s="270"/>
      <c r="AV764" s="270"/>
      <c r="AW764" s="270"/>
      <c r="AX764" s="270"/>
      <c r="AY764" s="270"/>
      <c r="AZ764" s="270"/>
      <c r="BA764" s="270">
        <f>IF(Table1[[#This Row],[Data de Início]]="","",YEAR(Table1[[#This Row],[Data de Início]]))</f>
        <v>2026</v>
      </c>
      <c r="BB764" s="270">
        <f>IF(Table1[[#This Row],[Data de Início]]="","",MONTH(Table1[[#This Row],[Data de Início]]))</f>
        <v>1</v>
      </c>
      <c r="BC764" s="270"/>
    </row>
    <row r="765" spans="2:55" ht="15" customHeight="1" x14ac:dyDescent="0.25">
      <c r="B765" s="489">
        <v>46051.584027777775</v>
      </c>
      <c r="C765" s="490">
        <v>46051.676388888889</v>
      </c>
      <c r="D765" s="477" cm="1">
        <f t="array" ref="D765">IFERROR(HorasUteisFabrica2Turnos(B765,C765), "")</f>
        <v>2.2166666667326353</v>
      </c>
      <c r="E765" s="478">
        <f t="shared" si="11"/>
        <v>1147.6691728981759</v>
      </c>
      <c r="F765" s="479" t="s">
        <v>377</v>
      </c>
      <c r="G765" s="266" t="s">
        <v>1318</v>
      </c>
      <c r="H765" s="479"/>
      <c r="I765" s="480" t="s">
        <v>1314</v>
      </c>
      <c r="J765" s="481" t="s">
        <v>15</v>
      </c>
      <c r="K765" s="482">
        <v>2544</v>
      </c>
      <c r="L765" s="495" t="s">
        <v>211</v>
      </c>
      <c r="M765" s="483" t="str">
        <f>IFERROR(INDEX([1]Produtos!$C:$C,MATCH(L765,[1]Produtos!$B:$B,0)), "-")</f>
        <v>BODY SPLASH AURORA IMPERIAL</v>
      </c>
      <c r="N765" s="511">
        <f>IFERROR(INDEX([1]Produtos!$E:$E,MATCH(L765,[1]Produtos!$B:$B,0)), "-")</f>
        <v>220</v>
      </c>
      <c r="O765" s="483" t="str">
        <f>IFERROR(INDEX([1]Produtos!$F:$F,MATCH(L765,[1]Produtos!$B:$B,0)), "-")</f>
        <v>ml</v>
      </c>
      <c r="P765" s="483" t="str">
        <f>IFERROR(INDEX([1]Produtos!$G:$G,MATCH(L765,[1]Produtos!$B:$B,0)), "-")</f>
        <v>MISS RÔSE</v>
      </c>
      <c r="Q765" s="483" t="str">
        <f>IFERROR(INDEX([1]Produtos!$H:$H,MATCH(L765,[1]Produtos!$B:$B,0)), "-")</f>
        <v>PERFUMARIA</v>
      </c>
      <c r="R765" s="483" t="str">
        <f>IFERROR(INDEX([1]Produtos!$I:$I,MATCH(L765,[1]Produtos!$B:$B,0)), "-")</f>
        <v>BODY SPLASH</v>
      </c>
      <c r="S765" s="483" t="str">
        <f>IFERROR(INDEX([1]Produtos!$J:$J,MATCH(L765,[1]Produtos!$B:$B,0)), "-")</f>
        <v>LÍQUIDO</v>
      </c>
      <c r="T765" s="484"/>
      <c r="U765" s="270"/>
      <c r="V765" s="270"/>
      <c r="W765" s="270"/>
      <c r="X765" s="270"/>
      <c r="Y765" s="270"/>
      <c r="Z765" s="270"/>
      <c r="AA765" s="270"/>
      <c r="AB765" s="270"/>
      <c r="AC765" s="270"/>
      <c r="AD765" s="270"/>
      <c r="AE765" s="270"/>
      <c r="AF765" s="270"/>
      <c r="AG765" s="270"/>
      <c r="AH765" s="270"/>
      <c r="AI765" s="270"/>
      <c r="AJ765" s="270"/>
      <c r="AK765" s="270"/>
      <c r="AL765" s="270"/>
      <c r="AM765" s="663"/>
      <c r="AN765" s="663"/>
      <c r="AO765" s="708" t="str">
        <f>IF(OR(Table1[[#This Row],[Início Setup Envase]]="",Table1[[#This Row],[Final Setup Envase]]=""),"",Table1[[#This Row],[Final Setup Envase]]-Table1[[#This Row],[Início Setup Envase]])</f>
        <v/>
      </c>
      <c r="AP765" s="663"/>
      <c r="AQ765" s="663"/>
      <c r="AR765" s="270"/>
      <c r="AS765" s="270"/>
      <c r="AT765" s="270"/>
      <c r="AU765" s="270"/>
      <c r="AV765" s="270"/>
      <c r="AW765" s="270"/>
      <c r="AX765" s="270"/>
      <c r="AY765" s="270"/>
      <c r="AZ765" s="270"/>
      <c r="BA765" s="270">
        <f>IF(Table1[[#This Row],[Data de Início]]="","",YEAR(Table1[[#This Row],[Data de Início]]))</f>
        <v>2026</v>
      </c>
      <c r="BB765" s="270">
        <f>IF(Table1[[#This Row],[Data de Início]]="","",MONTH(Table1[[#This Row],[Data de Início]]))</f>
        <v>1</v>
      </c>
      <c r="BC765" s="270"/>
    </row>
    <row r="766" spans="2:55" ht="15" customHeight="1" x14ac:dyDescent="0.25">
      <c r="B766" s="489">
        <v>46051.677083333336</v>
      </c>
      <c r="C766" s="490">
        <v>46052.443749999999</v>
      </c>
      <c r="D766" s="477" cm="1">
        <f t="array" ref="D766">IFERROR(HorasUteisFabrica2Turnos(B766,C766), "")</f>
        <v>4.4000000000232831</v>
      </c>
      <c r="E766" s="478">
        <f t="shared" si="11"/>
        <v>1069.090909085252</v>
      </c>
      <c r="F766" s="479" t="s">
        <v>377</v>
      </c>
      <c r="G766" s="266" t="s">
        <v>1318</v>
      </c>
      <c r="H766" s="479"/>
      <c r="I766" s="480" t="s">
        <v>1345</v>
      </c>
      <c r="J766" s="481" t="s">
        <v>15</v>
      </c>
      <c r="K766" s="482">
        <v>4704</v>
      </c>
      <c r="L766" s="495" t="s">
        <v>211</v>
      </c>
      <c r="M766" s="483" t="str">
        <f>IFERROR(INDEX([1]Produtos!$C:$C,MATCH(L766,[1]Produtos!$B:$B,0)), "-")</f>
        <v>BODY SPLASH AURORA IMPERIAL</v>
      </c>
      <c r="N766" s="511">
        <f>IFERROR(INDEX([1]Produtos!$E:$E,MATCH(L766,[1]Produtos!$B:$B,0)), "-")</f>
        <v>220</v>
      </c>
      <c r="O766" s="483" t="str">
        <f>IFERROR(INDEX([1]Produtos!$F:$F,MATCH(L766,[1]Produtos!$B:$B,0)), "-")</f>
        <v>ml</v>
      </c>
      <c r="P766" s="483" t="str">
        <f>IFERROR(INDEX([1]Produtos!$G:$G,MATCH(L766,[1]Produtos!$B:$B,0)), "-")</f>
        <v>MISS RÔSE</v>
      </c>
      <c r="Q766" s="483" t="str">
        <f>IFERROR(INDEX([1]Produtos!$H:$H,MATCH(L766,[1]Produtos!$B:$B,0)), "-")</f>
        <v>PERFUMARIA</v>
      </c>
      <c r="R766" s="483" t="str">
        <f>IFERROR(INDEX([1]Produtos!$I:$I,MATCH(L766,[1]Produtos!$B:$B,0)), "-")</f>
        <v>BODY SPLASH</v>
      </c>
      <c r="S766" s="483" t="str">
        <f>IFERROR(INDEX([1]Produtos!$J:$J,MATCH(L766,[1]Produtos!$B:$B,0)), "-")</f>
        <v>LÍQUIDO</v>
      </c>
      <c r="T766" s="484"/>
      <c r="U766" s="270"/>
      <c r="V766" s="270"/>
      <c r="W766" s="270"/>
      <c r="X766" s="270"/>
      <c r="Y766" s="270"/>
      <c r="Z766" s="270"/>
      <c r="AA766" s="270"/>
      <c r="AB766" s="270"/>
      <c r="AC766" s="270"/>
      <c r="AD766" s="270"/>
      <c r="AE766" s="270"/>
      <c r="AF766" s="270"/>
      <c r="AG766" s="270"/>
      <c r="AH766" s="270"/>
      <c r="AI766" s="270"/>
      <c r="AJ766" s="270"/>
      <c r="AK766" s="270"/>
      <c r="AL766" s="270"/>
      <c r="AM766" s="663"/>
      <c r="AN766" s="663"/>
      <c r="AO766" s="708" t="str">
        <f>IF(OR(Table1[[#This Row],[Início Setup Envase]]="",Table1[[#This Row],[Final Setup Envase]]=""),"",Table1[[#This Row],[Final Setup Envase]]-Table1[[#This Row],[Início Setup Envase]])</f>
        <v/>
      </c>
      <c r="AP766" s="663"/>
      <c r="AQ766" s="663"/>
      <c r="AR766" s="270"/>
      <c r="AS766" s="270"/>
      <c r="AT766" s="270"/>
      <c r="AU766" s="270"/>
      <c r="AV766" s="270"/>
      <c r="AW766" s="270"/>
      <c r="AX766" s="270"/>
      <c r="AY766" s="270"/>
      <c r="AZ766" s="270"/>
      <c r="BA766" s="270">
        <f>IF(Table1[[#This Row],[Data de Início]]="","",YEAR(Table1[[#This Row],[Data de Início]]))</f>
        <v>2026</v>
      </c>
      <c r="BB766" s="270">
        <f>IF(Table1[[#This Row],[Data de Início]]="","",MONTH(Table1[[#This Row],[Data de Início]]))</f>
        <v>1</v>
      </c>
      <c r="BC766" s="270"/>
    </row>
    <row r="767" spans="2:55" ht="15" customHeight="1" x14ac:dyDescent="0.25">
      <c r="B767" s="489">
        <v>46052.444444444445</v>
      </c>
      <c r="C767" s="490">
        <v>46052.607638888891</v>
      </c>
      <c r="D767" s="477" cm="1">
        <f t="array" ref="D767">IFERROR(HorasUteisFabrica2Turnos(B767,C767), "")</f>
        <v>2.9166666666860692</v>
      </c>
      <c r="E767" s="478">
        <f t="shared" si="11"/>
        <v>1546.9714285611376</v>
      </c>
      <c r="F767" s="479" t="s">
        <v>377</v>
      </c>
      <c r="G767" s="266" t="s">
        <v>1318</v>
      </c>
      <c r="H767" s="479"/>
      <c r="I767" s="480" t="s">
        <v>1317</v>
      </c>
      <c r="J767" s="481" t="s">
        <v>15</v>
      </c>
      <c r="K767" s="482">
        <v>4512</v>
      </c>
      <c r="L767" s="495" t="s">
        <v>211</v>
      </c>
      <c r="M767" s="483" t="str">
        <f>IFERROR(INDEX([1]Produtos!$C:$C,MATCH(L767,[1]Produtos!$B:$B,0)), "-")</f>
        <v>BODY SPLASH AURORA IMPERIAL</v>
      </c>
      <c r="N767" s="511">
        <f>IFERROR(INDEX([1]Produtos!$E:$E,MATCH(L767,[1]Produtos!$B:$B,0)), "-")</f>
        <v>220</v>
      </c>
      <c r="O767" s="483" t="str">
        <f>IFERROR(INDEX([1]Produtos!$F:$F,MATCH(L767,[1]Produtos!$B:$B,0)), "-")</f>
        <v>ml</v>
      </c>
      <c r="P767" s="483" t="str">
        <f>IFERROR(INDEX([1]Produtos!$G:$G,MATCH(L767,[1]Produtos!$B:$B,0)), "-")</f>
        <v>MISS RÔSE</v>
      </c>
      <c r="Q767" s="483" t="str">
        <f>IFERROR(INDEX([1]Produtos!$H:$H,MATCH(L767,[1]Produtos!$B:$B,0)), "-")</f>
        <v>PERFUMARIA</v>
      </c>
      <c r="R767" s="483" t="str">
        <f>IFERROR(INDEX([1]Produtos!$I:$I,MATCH(L767,[1]Produtos!$B:$B,0)), "-")</f>
        <v>BODY SPLASH</v>
      </c>
      <c r="S767" s="483" t="str">
        <f>IFERROR(INDEX([1]Produtos!$J:$J,MATCH(L767,[1]Produtos!$B:$B,0)), "-")</f>
        <v>LÍQUIDO</v>
      </c>
      <c r="T767" s="484"/>
      <c r="U767" s="270"/>
      <c r="V767" s="270"/>
      <c r="W767" s="270"/>
      <c r="X767" s="270"/>
      <c r="Y767" s="270"/>
      <c r="Z767" s="270"/>
      <c r="AA767" s="270"/>
      <c r="AB767" s="270"/>
      <c r="AC767" s="270"/>
      <c r="AD767" s="270"/>
      <c r="AE767" s="270"/>
      <c r="AF767" s="270"/>
      <c r="AG767" s="270"/>
      <c r="AH767" s="270"/>
      <c r="AI767" s="270"/>
      <c r="AJ767" s="270"/>
      <c r="AK767" s="270"/>
      <c r="AL767" s="270"/>
      <c r="AM767" s="663"/>
      <c r="AN767" s="663"/>
      <c r="AO767" s="708" t="str">
        <f>IF(OR(Table1[[#This Row],[Início Setup Envase]]="",Table1[[#This Row],[Final Setup Envase]]=""),"",Table1[[#This Row],[Final Setup Envase]]-Table1[[#This Row],[Início Setup Envase]])</f>
        <v/>
      </c>
      <c r="AP767" s="663"/>
      <c r="AQ767" s="663"/>
      <c r="AR767" s="270"/>
      <c r="AS767" s="270"/>
      <c r="AT767" s="270"/>
      <c r="AU767" s="270"/>
      <c r="AV767" s="270"/>
      <c r="AW767" s="270"/>
      <c r="AX767" s="270"/>
      <c r="AY767" s="270"/>
      <c r="AZ767" s="270"/>
      <c r="BA767" s="270">
        <f>IF(Table1[[#This Row],[Data de Início]]="","",YEAR(Table1[[#This Row],[Data de Início]]))</f>
        <v>2026</v>
      </c>
      <c r="BB767" s="270">
        <f>IF(Table1[[#This Row],[Data de Início]]="","",MONTH(Table1[[#This Row],[Data de Início]]))</f>
        <v>1</v>
      </c>
      <c r="BC767" s="270"/>
    </row>
    <row r="768" spans="2:55" ht="15" customHeight="1" x14ac:dyDescent="0.25">
      <c r="B768" s="489">
        <v>46052.607638888891</v>
      </c>
      <c r="C768" s="490">
        <v>46055.405555555553</v>
      </c>
      <c r="D768" s="477" cm="1">
        <f t="array" ref="D768">IFERROR(HorasUteisFabrica2Turnos(B768,C768), "")</f>
        <v>4.1499999999068677</v>
      </c>
      <c r="E768" s="478">
        <f t="shared" si="11"/>
        <v>1110.3614458080508</v>
      </c>
      <c r="F768" s="479" t="s">
        <v>377</v>
      </c>
      <c r="G768" s="266" t="s">
        <v>1318</v>
      </c>
      <c r="H768" s="479"/>
      <c r="I768" s="480" t="s">
        <v>1321</v>
      </c>
      <c r="J768" s="481" t="s">
        <v>15</v>
      </c>
      <c r="K768" s="482">
        <v>4608</v>
      </c>
      <c r="L768" s="495" t="s">
        <v>211</v>
      </c>
      <c r="M768" s="483" t="str">
        <f>IFERROR(INDEX([1]Produtos!$C:$C,MATCH(L768,[1]Produtos!$B:$B,0)), "-")</f>
        <v>BODY SPLASH AURORA IMPERIAL</v>
      </c>
      <c r="N768" s="511">
        <f>IFERROR(INDEX([1]Produtos!$E:$E,MATCH(L768,[1]Produtos!$B:$B,0)), "-")</f>
        <v>220</v>
      </c>
      <c r="O768" s="483" t="str">
        <f>IFERROR(INDEX([1]Produtos!$F:$F,MATCH(L768,[1]Produtos!$B:$B,0)), "-")</f>
        <v>ml</v>
      </c>
      <c r="P768" s="483" t="str">
        <f>IFERROR(INDEX([1]Produtos!$G:$G,MATCH(L768,[1]Produtos!$B:$B,0)), "-")</f>
        <v>MISS RÔSE</v>
      </c>
      <c r="Q768" s="483" t="str">
        <f>IFERROR(INDEX([1]Produtos!$H:$H,MATCH(L768,[1]Produtos!$B:$B,0)), "-")</f>
        <v>PERFUMARIA</v>
      </c>
      <c r="R768" s="483" t="str">
        <f>IFERROR(INDEX([1]Produtos!$I:$I,MATCH(L768,[1]Produtos!$B:$B,0)), "-")</f>
        <v>BODY SPLASH</v>
      </c>
      <c r="S768" s="483" t="str">
        <f>IFERROR(INDEX([1]Produtos!$J:$J,MATCH(L768,[1]Produtos!$B:$B,0)), "-")</f>
        <v>LÍQUIDO</v>
      </c>
      <c r="T768" s="484"/>
      <c r="U768" s="270"/>
      <c r="V768" s="270"/>
      <c r="W768" s="270"/>
      <c r="X768" s="270"/>
      <c r="Y768" s="270"/>
      <c r="Z768" s="270"/>
      <c r="AA768" s="270"/>
      <c r="AB768" s="270"/>
      <c r="AC768" s="270"/>
      <c r="AD768" s="270"/>
      <c r="AE768" s="270"/>
      <c r="AF768" s="270"/>
      <c r="AG768" s="270"/>
      <c r="AH768" s="270"/>
      <c r="AI768" s="270"/>
      <c r="AJ768" s="270"/>
      <c r="AK768" s="270"/>
      <c r="AL768" s="270"/>
      <c r="AM768" s="663"/>
      <c r="AN768" s="663"/>
      <c r="AO768" s="708" t="str">
        <f>IF(OR(Table1[[#This Row],[Início Setup Envase]]="",Table1[[#This Row],[Final Setup Envase]]=""),"",Table1[[#This Row],[Final Setup Envase]]-Table1[[#This Row],[Início Setup Envase]])</f>
        <v/>
      </c>
      <c r="AP768" s="663"/>
      <c r="AQ768" s="663"/>
      <c r="AR768" s="270"/>
      <c r="AS768" s="270"/>
      <c r="AT768" s="270"/>
      <c r="AU768" s="270"/>
      <c r="AV768" s="270"/>
      <c r="AW768" s="270"/>
      <c r="AX768" s="270"/>
      <c r="AY768" s="270"/>
      <c r="AZ768" s="270"/>
      <c r="BA768" s="270">
        <f>IF(Table1[[#This Row],[Data de Início]]="","",YEAR(Table1[[#This Row],[Data de Início]]))</f>
        <v>2026</v>
      </c>
      <c r="BB768" s="270">
        <f>IF(Table1[[#This Row],[Data de Início]]="","",MONTH(Table1[[#This Row],[Data de Início]]))</f>
        <v>1</v>
      </c>
      <c r="BC768" s="270"/>
    </row>
    <row r="769" spans="2:55" ht="15" customHeight="1" x14ac:dyDescent="0.25">
      <c r="B769" s="489">
        <v>46055.40625</v>
      </c>
      <c r="C769" s="490">
        <v>46056.576388888891</v>
      </c>
      <c r="D769" s="477" cm="1">
        <f t="array" ref="D769">IFERROR(HorasUteisFabrica2Turnos(B769,C769), "")</f>
        <v>12.083333333488554</v>
      </c>
      <c r="E769" s="478">
        <f t="shared" si="11"/>
        <v>266.15172413451211</v>
      </c>
      <c r="F769" s="479" t="s">
        <v>377</v>
      </c>
      <c r="G769" s="266" t="s">
        <v>1318</v>
      </c>
      <c r="H769" s="479"/>
      <c r="I769" s="480" t="s">
        <v>1329</v>
      </c>
      <c r="J769" s="481" t="s">
        <v>15</v>
      </c>
      <c r="K769" s="482">
        <v>3216</v>
      </c>
      <c r="L769" s="495" t="s">
        <v>211</v>
      </c>
      <c r="M769" s="483" t="str">
        <f>IFERROR(INDEX([1]Produtos!$C:$C,MATCH(L769,[1]Produtos!$B:$B,0)), "-")</f>
        <v>BODY SPLASH AURORA IMPERIAL</v>
      </c>
      <c r="N769" s="511">
        <f>IFERROR(INDEX([1]Produtos!$E:$E,MATCH(L769,[1]Produtos!$B:$B,0)), "-")</f>
        <v>220</v>
      </c>
      <c r="O769" s="483" t="str">
        <f>IFERROR(INDEX([1]Produtos!$F:$F,MATCH(L769,[1]Produtos!$B:$B,0)), "-")</f>
        <v>ml</v>
      </c>
      <c r="P769" s="483" t="str">
        <f>IFERROR(INDEX([1]Produtos!$G:$G,MATCH(L769,[1]Produtos!$B:$B,0)), "-")</f>
        <v>MISS RÔSE</v>
      </c>
      <c r="Q769" s="483" t="str">
        <f>IFERROR(INDEX([1]Produtos!$H:$H,MATCH(L769,[1]Produtos!$B:$B,0)), "-")</f>
        <v>PERFUMARIA</v>
      </c>
      <c r="R769" s="483" t="str">
        <f>IFERROR(INDEX([1]Produtos!$I:$I,MATCH(L769,[1]Produtos!$B:$B,0)), "-")</f>
        <v>BODY SPLASH</v>
      </c>
      <c r="S769" s="483" t="str">
        <f>IFERROR(INDEX([1]Produtos!$J:$J,MATCH(L769,[1]Produtos!$B:$B,0)), "-")</f>
        <v>LÍQUIDO</v>
      </c>
      <c r="T769" s="484"/>
      <c r="U769" s="270"/>
      <c r="V769" s="270"/>
      <c r="W769" s="270"/>
      <c r="X769" s="270"/>
      <c r="Y769" s="270"/>
      <c r="Z769" s="270"/>
      <c r="AA769" s="270"/>
      <c r="AB769" s="270"/>
      <c r="AC769" s="270"/>
      <c r="AD769" s="270"/>
      <c r="AE769" s="270"/>
      <c r="AF769" s="270"/>
      <c r="AG769" s="270"/>
      <c r="AH769" s="270"/>
      <c r="AI769" s="270"/>
      <c r="AJ769" s="270"/>
      <c r="AK769" s="270"/>
      <c r="AL769" s="270"/>
      <c r="AM769" s="663"/>
      <c r="AN769" s="663"/>
      <c r="AO769" s="708" t="str">
        <f>IF(OR(Table1[[#This Row],[Início Setup Envase]]="",Table1[[#This Row],[Final Setup Envase]]=""),"",Table1[[#This Row],[Final Setup Envase]]-Table1[[#This Row],[Início Setup Envase]])</f>
        <v/>
      </c>
      <c r="AP769" s="663"/>
      <c r="AQ769" s="663"/>
      <c r="AR769" s="270"/>
      <c r="AS769" s="270"/>
      <c r="AT769" s="270"/>
      <c r="AU769" s="270"/>
      <c r="AV769" s="270"/>
      <c r="AW769" s="270"/>
      <c r="AX769" s="270"/>
      <c r="AY769" s="270"/>
      <c r="AZ769" s="270"/>
      <c r="BA769" s="270">
        <f>IF(Table1[[#This Row],[Data de Início]]="","",YEAR(Table1[[#This Row],[Data de Início]]))</f>
        <v>2026</v>
      </c>
      <c r="BB769" s="270">
        <f>IF(Table1[[#This Row],[Data de Início]]="","",MONTH(Table1[[#This Row],[Data de Início]]))</f>
        <v>2</v>
      </c>
      <c r="BC769" s="270"/>
    </row>
    <row r="770" spans="2:55" ht="15" customHeight="1" x14ac:dyDescent="0.25">
      <c r="B770" s="489">
        <v>46055.486111111109</v>
      </c>
      <c r="C770" s="490">
        <v>46055.666666666664</v>
      </c>
      <c r="D770" s="477" cm="1">
        <f t="array" ref="D770">IFERROR(HorasUteisFabrica2Turnos(B770,C770), "")</f>
        <v>3.3333333333139308</v>
      </c>
      <c r="E770" s="478">
        <f t="shared" si="11"/>
        <v>763.20000000444236</v>
      </c>
      <c r="F770" s="479" t="s">
        <v>378</v>
      </c>
      <c r="G770" s="266" t="s">
        <v>1262</v>
      </c>
      <c r="H770" s="479"/>
      <c r="I770" s="480" t="s">
        <v>1324</v>
      </c>
      <c r="J770" s="481" t="s">
        <v>15</v>
      </c>
      <c r="K770" s="482">
        <v>2544</v>
      </c>
      <c r="L770" s="495" t="s">
        <v>1325</v>
      </c>
      <c r="M770" s="483" t="str">
        <f>IFERROR(INDEX([1]Produtos!$C:$C,MATCH(L770,[1]Produtos!$B:$B,0)), "-")</f>
        <v>BODY SPLASH ROSA RAINHA 200ml</v>
      </c>
      <c r="N770" s="511">
        <f>IFERROR(INDEX([1]Produtos!$E:$E,MATCH(L770,[1]Produtos!$B:$B,0)), "-")</f>
        <v>215</v>
      </c>
      <c r="O770" s="483" t="str">
        <f>IFERROR(INDEX([1]Produtos!$F:$F,MATCH(L770,[1]Produtos!$B:$B,0)), "-")</f>
        <v>ml</v>
      </c>
      <c r="P770" s="483" t="str">
        <f>IFERROR(INDEX([1]Produtos!$G:$G,MATCH(L770,[1]Produtos!$B:$B,0)), "-")</f>
        <v>MISS RÔSE</v>
      </c>
      <c r="Q770" s="483" t="str">
        <f>IFERROR(INDEX([1]Produtos!$H:$H,MATCH(L770,[1]Produtos!$B:$B,0)), "-")</f>
        <v>PERFUMARIA</v>
      </c>
      <c r="R770" s="483" t="str">
        <f>IFERROR(INDEX([1]Produtos!$I:$I,MATCH(L770,[1]Produtos!$B:$B,0)), "-")</f>
        <v>BODY SPLASH</v>
      </c>
      <c r="S770" s="483" t="str">
        <f>IFERROR(INDEX([1]Produtos!$J:$J,MATCH(L770,[1]Produtos!$B:$B,0)), "-")</f>
        <v>LÍQUIDO</v>
      </c>
      <c r="T770" s="484"/>
      <c r="U770" s="270"/>
      <c r="V770" s="270"/>
      <c r="W770" s="270"/>
      <c r="X770" s="270"/>
      <c r="Y770" s="270"/>
      <c r="Z770" s="270"/>
      <c r="AA770" s="270"/>
      <c r="AB770" s="270"/>
      <c r="AC770" s="270"/>
      <c r="AD770" s="270"/>
      <c r="AE770" s="270"/>
      <c r="AF770" s="270"/>
      <c r="AG770" s="270"/>
      <c r="AH770" s="270"/>
      <c r="AI770" s="270"/>
      <c r="AJ770" s="270"/>
      <c r="AK770" s="270"/>
      <c r="AL770" s="270"/>
      <c r="AM770" s="663"/>
      <c r="AN770" s="663"/>
      <c r="AO770" s="708" t="str">
        <f>IF(OR(Table1[[#This Row],[Início Setup Envase]]="",Table1[[#This Row],[Final Setup Envase]]=""),"",Table1[[#This Row],[Final Setup Envase]]-Table1[[#This Row],[Início Setup Envase]])</f>
        <v/>
      </c>
      <c r="AP770" s="663"/>
      <c r="AQ770" s="663"/>
      <c r="AR770" s="270"/>
      <c r="AS770" s="270"/>
      <c r="AT770" s="270"/>
      <c r="AU770" s="270"/>
      <c r="AV770" s="270"/>
      <c r="AW770" s="270"/>
      <c r="AX770" s="270"/>
      <c r="AY770" s="270"/>
      <c r="AZ770" s="270"/>
      <c r="BA770" s="270">
        <f>IF(Table1[[#This Row],[Data de Início]]="","",YEAR(Table1[[#This Row],[Data de Início]]))</f>
        <v>2026</v>
      </c>
      <c r="BB770" s="270">
        <f>IF(Table1[[#This Row],[Data de Início]]="","",MONTH(Table1[[#This Row],[Data de Início]]))</f>
        <v>2</v>
      </c>
      <c r="BC770" s="270"/>
    </row>
    <row r="771" spans="2:55" ht="15" customHeight="1" x14ac:dyDescent="0.25">
      <c r="B771" s="489">
        <v>46055.666666666664</v>
      </c>
      <c r="C771" s="490">
        <v>46056.397222222222</v>
      </c>
      <c r="D771" s="477" cm="1">
        <f t="array" ref="D771">IFERROR(HorasUteisFabrica2Turnos(B771,C771), "")</f>
        <v>3.5333333335001953</v>
      </c>
      <c r="E771" s="478">
        <f t="shared" ref="E771:E834" si="12">IFERROR(K771/D771, "")</f>
        <v>719.99999996599797</v>
      </c>
      <c r="F771" s="479" t="s">
        <v>378</v>
      </c>
      <c r="G771" s="266" t="s">
        <v>1262</v>
      </c>
      <c r="H771" s="479"/>
      <c r="I771" s="480" t="s">
        <v>1327</v>
      </c>
      <c r="J771" s="481" t="s">
        <v>15</v>
      </c>
      <c r="K771" s="482">
        <v>2544</v>
      </c>
      <c r="L771" s="495" t="s">
        <v>1325</v>
      </c>
      <c r="M771" s="483" t="str">
        <f>IFERROR(INDEX([1]Produtos!$C:$C,MATCH(L771,[1]Produtos!$B:$B,0)), "-")</f>
        <v>BODY SPLASH ROSA RAINHA 200ml</v>
      </c>
      <c r="N771" s="511">
        <f>IFERROR(INDEX([1]Produtos!$E:$E,MATCH(L771,[1]Produtos!$B:$B,0)), "-")</f>
        <v>215</v>
      </c>
      <c r="O771" s="483" t="str">
        <f>IFERROR(INDEX([1]Produtos!$F:$F,MATCH(L771,[1]Produtos!$B:$B,0)), "-")</f>
        <v>ml</v>
      </c>
      <c r="P771" s="483" t="str">
        <f>IFERROR(INDEX([1]Produtos!$G:$G,MATCH(L771,[1]Produtos!$B:$B,0)), "-")</f>
        <v>MISS RÔSE</v>
      </c>
      <c r="Q771" s="483" t="str">
        <f>IFERROR(INDEX([1]Produtos!$H:$H,MATCH(L771,[1]Produtos!$B:$B,0)), "-")</f>
        <v>PERFUMARIA</v>
      </c>
      <c r="R771" s="483" t="str">
        <f>IFERROR(INDEX([1]Produtos!$I:$I,MATCH(L771,[1]Produtos!$B:$B,0)), "-")</f>
        <v>BODY SPLASH</v>
      </c>
      <c r="S771" s="483" t="str">
        <f>IFERROR(INDEX([1]Produtos!$J:$J,MATCH(L771,[1]Produtos!$B:$B,0)), "-")</f>
        <v>LÍQUIDO</v>
      </c>
      <c r="T771" s="484"/>
      <c r="U771" s="270"/>
      <c r="V771" s="270"/>
      <c r="W771" s="270"/>
      <c r="X771" s="270"/>
      <c r="Y771" s="270"/>
      <c r="Z771" s="270"/>
      <c r="AA771" s="270"/>
      <c r="AB771" s="270"/>
      <c r="AC771" s="270"/>
      <c r="AD771" s="270"/>
      <c r="AE771" s="270"/>
      <c r="AF771" s="270"/>
      <c r="AG771" s="270"/>
      <c r="AH771" s="270"/>
      <c r="AI771" s="270"/>
      <c r="AJ771" s="270"/>
      <c r="AK771" s="270"/>
      <c r="AL771" s="270"/>
      <c r="AM771" s="663"/>
      <c r="AN771" s="663"/>
      <c r="AO771" s="708" t="str">
        <f>IF(OR(Table1[[#This Row],[Início Setup Envase]]="",Table1[[#This Row],[Final Setup Envase]]=""),"",Table1[[#This Row],[Final Setup Envase]]-Table1[[#This Row],[Início Setup Envase]])</f>
        <v/>
      </c>
      <c r="AP771" s="663"/>
      <c r="AQ771" s="663"/>
      <c r="AR771" s="270"/>
      <c r="AS771" s="270"/>
      <c r="AT771" s="270"/>
      <c r="AU771" s="270"/>
      <c r="AV771" s="270"/>
      <c r="AW771" s="270"/>
      <c r="AX771" s="270"/>
      <c r="AY771" s="270"/>
      <c r="AZ771" s="270"/>
      <c r="BA771" s="270">
        <f>IF(Table1[[#This Row],[Data de Início]]="","",YEAR(Table1[[#This Row],[Data de Início]]))</f>
        <v>2026</v>
      </c>
      <c r="BB771" s="270">
        <f>IF(Table1[[#This Row],[Data de Início]]="","",MONTH(Table1[[#This Row],[Data de Início]]))</f>
        <v>2</v>
      </c>
      <c r="BC771" s="270"/>
    </row>
    <row r="772" spans="2:55" ht="15" customHeight="1" x14ac:dyDescent="0.25">
      <c r="B772" s="489">
        <v>46056.322222222225</v>
      </c>
      <c r="C772" s="490">
        <v>46057.571527777778</v>
      </c>
      <c r="D772" s="477" cm="1">
        <f t="array" ref="D772">IFERROR(HorasUteisFabrica2Turnos(B772,C772), "")</f>
        <v>13.983333333395422</v>
      </c>
      <c r="E772" s="478">
        <f t="shared" si="12"/>
        <v>329.53516090437711</v>
      </c>
      <c r="F772" s="479" t="s">
        <v>377</v>
      </c>
      <c r="G772" s="266" t="s">
        <v>1076</v>
      </c>
      <c r="H772" s="479"/>
      <c r="I772" s="480" t="s">
        <v>1339</v>
      </c>
      <c r="J772" s="481" t="s">
        <v>15</v>
      </c>
      <c r="K772" s="482">
        <v>4608</v>
      </c>
      <c r="L772" s="495" t="s">
        <v>1331</v>
      </c>
      <c r="M772" s="483" t="str">
        <f>IFERROR(INDEX([1]Produtos!$C:$C,MATCH(L772,[1]Produtos!$B:$B,0)), "-")</f>
        <v>BODY SPLASH SOL TROPICAL 61 200ml</v>
      </c>
      <c r="N772" s="511">
        <f>IFERROR(INDEX([1]Produtos!$E:$E,MATCH(L772,[1]Produtos!$B:$B,0)), "-")</f>
        <v>200</v>
      </c>
      <c r="O772" s="483" t="str">
        <f>IFERROR(INDEX([1]Produtos!$F:$F,MATCH(L772,[1]Produtos!$B:$B,0)), "-")</f>
        <v>ml</v>
      </c>
      <c r="P772" s="483" t="str">
        <f>IFERROR(INDEX([1]Produtos!$G:$G,MATCH(L772,[1]Produtos!$B:$B,0)), "-")</f>
        <v>BRIA BEAUTY</v>
      </c>
      <c r="Q772" s="483" t="str">
        <f>IFERROR(INDEX([1]Produtos!$H:$H,MATCH(L772,[1]Produtos!$B:$B,0)), "-")</f>
        <v>PERFUMARIA</v>
      </c>
      <c r="R772" s="483" t="str">
        <f>IFERROR(INDEX([1]Produtos!$I:$I,MATCH(L772,[1]Produtos!$B:$B,0)), "-")</f>
        <v>BODY SPLASH</v>
      </c>
      <c r="S772" s="483" t="str">
        <f>IFERROR(INDEX([1]Produtos!$J:$J,MATCH(L772,[1]Produtos!$B:$B,0)), "-")</f>
        <v>LÍQUIDO</v>
      </c>
      <c r="T772" s="484"/>
      <c r="U772" s="270"/>
      <c r="V772" s="270"/>
      <c r="W772" s="270"/>
      <c r="X772" s="270"/>
      <c r="Y772" s="270"/>
      <c r="Z772" s="270"/>
      <c r="AA772" s="270"/>
      <c r="AB772" s="270"/>
      <c r="AC772" s="270"/>
      <c r="AD772" s="270"/>
      <c r="AE772" s="270"/>
      <c r="AF772" s="270"/>
      <c r="AG772" s="270"/>
      <c r="AH772" s="270"/>
      <c r="AI772" s="270"/>
      <c r="AJ772" s="270"/>
      <c r="AK772" s="270"/>
      <c r="AL772" s="270"/>
      <c r="AM772" s="663"/>
      <c r="AN772" s="663"/>
      <c r="AO772" s="708" t="str">
        <f>IF(OR(Table1[[#This Row],[Início Setup Envase]]="",Table1[[#This Row],[Final Setup Envase]]=""),"",Table1[[#This Row],[Final Setup Envase]]-Table1[[#This Row],[Início Setup Envase]])</f>
        <v/>
      </c>
      <c r="AP772" s="663"/>
      <c r="AQ772" s="663"/>
      <c r="AR772" s="270"/>
      <c r="AS772" s="270"/>
      <c r="AT772" s="270"/>
      <c r="AU772" s="270"/>
      <c r="AV772" s="270"/>
      <c r="AW772" s="270"/>
      <c r="AX772" s="270"/>
      <c r="AY772" s="270"/>
      <c r="AZ772" s="270"/>
      <c r="BA772" s="270">
        <f>IF(Table1[[#This Row],[Data de Início]]="","",YEAR(Table1[[#This Row],[Data de Início]]))</f>
        <v>2026</v>
      </c>
      <c r="BB772" s="270">
        <f>IF(Table1[[#This Row],[Data de Início]]="","",MONTH(Table1[[#This Row],[Data de Início]]))</f>
        <v>2</v>
      </c>
      <c r="BC772" s="270"/>
    </row>
    <row r="773" spans="2:55" ht="15" customHeight="1" x14ac:dyDescent="0.25">
      <c r="B773" s="489">
        <v>46056.397222222222</v>
      </c>
      <c r="C773" s="490">
        <v>46056.575694444444</v>
      </c>
      <c r="D773" s="477" cm="1">
        <f t="array" ref="D773">IFERROR(HorasUteisFabrica2Turnos(B773,C773), "")</f>
        <v>3.2833333333255723</v>
      </c>
      <c r="E773" s="478">
        <f t="shared" si="12"/>
        <v>818.68020304762047</v>
      </c>
      <c r="F773" s="479" t="s">
        <v>378</v>
      </c>
      <c r="G773" s="266" t="s">
        <v>1262</v>
      </c>
      <c r="H773" s="479"/>
      <c r="I773" s="480" t="s">
        <v>1328</v>
      </c>
      <c r="J773" s="481" t="s">
        <v>15</v>
      </c>
      <c r="K773" s="482">
        <v>2688</v>
      </c>
      <c r="L773" s="495" t="s">
        <v>1325</v>
      </c>
      <c r="M773" s="483" t="str">
        <f>IFERROR(INDEX([1]Produtos!$C:$C,MATCH(L773,[1]Produtos!$B:$B,0)), "-")</f>
        <v>BODY SPLASH ROSA RAINHA 200ml</v>
      </c>
      <c r="N773" s="511">
        <f>IFERROR(INDEX([1]Produtos!$E:$E,MATCH(L773,[1]Produtos!$B:$B,0)), "-")</f>
        <v>215</v>
      </c>
      <c r="O773" s="483" t="str">
        <f>IFERROR(INDEX([1]Produtos!$F:$F,MATCH(L773,[1]Produtos!$B:$B,0)), "-")</f>
        <v>ml</v>
      </c>
      <c r="P773" s="483" t="str">
        <f>IFERROR(INDEX([1]Produtos!$G:$G,MATCH(L773,[1]Produtos!$B:$B,0)), "-")</f>
        <v>MISS RÔSE</v>
      </c>
      <c r="Q773" s="483" t="str">
        <f>IFERROR(INDEX([1]Produtos!$H:$H,MATCH(L773,[1]Produtos!$B:$B,0)), "-")</f>
        <v>PERFUMARIA</v>
      </c>
      <c r="R773" s="483" t="str">
        <f>IFERROR(INDEX([1]Produtos!$I:$I,MATCH(L773,[1]Produtos!$B:$B,0)), "-")</f>
        <v>BODY SPLASH</v>
      </c>
      <c r="S773" s="483" t="str">
        <f>IFERROR(INDEX([1]Produtos!$J:$J,MATCH(L773,[1]Produtos!$B:$B,0)), "-")</f>
        <v>LÍQUIDO</v>
      </c>
      <c r="T773" s="484"/>
      <c r="U773" s="270"/>
      <c r="V773" s="270"/>
      <c r="W773" s="270"/>
      <c r="X773" s="270"/>
      <c r="Y773" s="270"/>
      <c r="Z773" s="270"/>
      <c r="AA773" s="270"/>
      <c r="AB773" s="270"/>
      <c r="AC773" s="270"/>
      <c r="AD773" s="270"/>
      <c r="AE773" s="270"/>
      <c r="AF773" s="270"/>
      <c r="AG773" s="270"/>
      <c r="AH773" s="270"/>
      <c r="AI773" s="270"/>
      <c r="AJ773" s="270"/>
      <c r="AK773" s="270"/>
      <c r="AL773" s="270"/>
      <c r="AM773" s="663"/>
      <c r="AN773" s="663"/>
      <c r="AO773" s="708" t="str">
        <f>IF(OR(Table1[[#This Row],[Início Setup Envase]]="",Table1[[#This Row],[Final Setup Envase]]=""),"",Table1[[#This Row],[Final Setup Envase]]-Table1[[#This Row],[Início Setup Envase]])</f>
        <v/>
      </c>
      <c r="AP773" s="663"/>
      <c r="AQ773" s="663"/>
      <c r="AR773" s="270"/>
      <c r="AS773" s="270"/>
      <c r="AT773" s="270"/>
      <c r="AU773" s="270"/>
      <c r="AV773" s="270"/>
      <c r="AW773" s="270"/>
      <c r="AX773" s="270"/>
      <c r="AY773" s="270"/>
      <c r="AZ773" s="270"/>
      <c r="BA773" s="270">
        <f>IF(Table1[[#This Row],[Data de Início]]="","",YEAR(Table1[[#This Row],[Data de Início]]))</f>
        <v>2026</v>
      </c>
      <c r="BB773" s="270">
        <f>IF(Table1[[#This Row],[Data de Início]]="","",MONTH(Table1[[#This Row],[Data de Início]]))</f>
        <v>2</v>
      </c>
      <c r="BC773" s="270"/>
    </row>
    <row r="774" spans="2:55" ht="15" customHeight="1" x14ac:dyDescent="0.25">
      <c r="B774" s="489">
        <v>46056.580555555556</v>
      </c>
      <c r="C774" s="490">
        <v>46057.319444444445</v>
      </c>
      <c r="D774" s="264" cm="1">
        <f t="array" ref="D774">IFERROR(HorasUteisFabrica2Turnos(B774,C774), "")</f>
        <v>3.7333333334536292</v>
      </c>
      <c r="E774" s="265">
        <f t="shared" si="12"/>
        <v>694.28571426334292</v>
      </c>
      <c r="F774" s="479" t="s">
        <v>378</v>
      </c>
      <c r="G774" s="266" t="s">
        <v>1262</v>
      </c>
      <c r="H774" s="266"/>
      <c r="I774" s="480" t="s">
        <v>1334</v>
      </c>
      <c r="J774" s="267" t="s">
        <v>15</v>
      </c>
      <c r="K774" s="482">
        <v>2592</v>
      </c>
      <c r="L774" s="495" t="s">
        <v>1325</v>
      </c>
      <c r="M774" s="270" t="str">
        <f>IFERROR(INDEX([1]Produtos!$C:$C,MATCH(L774,[1]Produtos!$B:$B,0)), "-")</f>
        <v>BODY SPLASH ROSA RAINHA 200ml</v>
      </c>
      <c r="N774" s="510">
        <f>IFERROR(INDEX([1]Produtos!$E:$E,MATCH(L774,[1]Produtos!$B:$B,0)), "-")</f>
        <v>215</v>
      </c>
      <c r="O774" s="270" t="str">
        <f>IFERROR(INDEX([1]Produtos!$F:$F,MATCH(L774,[1]Produtos!$B:$B,0)), "-")</f>
        <v>ml</v>
      </c>
      <c r="P774" s="270" t="str">
        <f>IFERROR(INDEX([1]Produtos!$G:$G,MATCH(L774,[1]Produtos!$B:$B,0)), "-")</f>
        <v>MISS RÔSE</v>
      </c>
      <c r="Q774" s="270" t="str">
        <f>IFERROR(INDEX([1]Produtos!$H:$H,MATCH(L774,[1]Produtos!$B:$B,0)), "-")</f>
        <v>PERFUMARIA</v>
      </c>
      <c r="R774" s="270" t="str">
        <f>IFERROR(INDEX([1]Produtos!$I:$I,MATCH(L774,[1]Produtos!$B:$B,0)), "-")</f>
        <v>BODY SPLASH</v>
      </c>
      <c r="S774" s="270" t="str">
        <f>IFERROR(INDEX([1]Produtos!$J:$J,MATCH(L774,[1]Produtos!$B:$B,0)), "-")</f>
        <v>LÍQUIDO</v>
      </c>
      <c r="T774" s="475"/>
      <c r="U774" s="270"/>
      <c r="V774" s="270"/>
      <c r="W774" s="270"/>
      <c r="X774" s="270"/>
      <c r="Y774" s="270"/>
      <c r="Z774" s="270"/>
      <c r="AA774" s="270"/>
      <c r="AB774" s="270"/>
      <c r="AC774" s="270"/>
      <c r="AD774" s="270"/>
      <c r="AE774" s="270"/>
      <c r="AF774" s="270"/>
      <c r="AG774" s="270"/>
      <c r="AH774" s="270"/>
      <c r="AI774" s="270"/>
      <c r="AJ774" s="270"/>
      <c r="AK774" s="270"/>
      <c r="AL774" s="270"/>
      <c r="AM774" s="663"/>
      <c r="AN774" s="663"/>
      <c r="AO774" s="708" t="str">
        <f>IF(OR(Table1[[#This Row],[Início Setup Envase]]="",Table1[[#This Row],[Final Setup Envase]]=""),"",Table1[[#This Row],[Final Setup Envase]]-Table1[[#This Row],[Início Setup Envase]])</f>
        <v/>
      </c>
      <c r="AP774" s="663"/>
      <c r="AQ774" s="663"/>
      <c r="AR774" s="270"/>
      <c r="AS774" s="270"/>
      <c r="AT774" s="270"/>
      <c r="AU774" s="270"/>
      <c r="AV774" s="270"/>
      <c r="AW774" s="270"/>
      <c r="AX774" s="270"/>
      <c r="AY774" s="270"/>
      <c r="AZ774" s="270"/>
      <c r="BA774" s="270">
        <f>IF(Table1[[#This Row],[Data de Início]]="","",YEAR(Table1[[#This Row],[Data de Início]]))</f>
        <v>2026</v>
      </c>
      <c r="BB774" s="270">
        <f>IF(Table1[[#This Row],[Data de Início]]="","",MONTH(Table1[[#This Row],[Data de Início]]))</f>
        <v>2</v>
      </c>
      <c r="BC774" s="270"/>
    </row>
    <row r="775" spans="2:55" ht="15" customHeight="1" x14ac:dyDescent="0.25">
      <c r="B775" s="489">
        <v>46056.59375</v>
      </c>
      <c r="C775" s="490">
        <v>46056.698611111111</v>
      </c>
      <c r="D775" s="264" cm="1">
        <f t="array" ref="D775">IFERROR(HorasUteisFabrica2Turnos(B775,C775), "")</f>
        <v>2.5166666666627862</v>
      </c>
      <c r="E775" s="265">
        <f t="shared" si="12"/>
        <v>896.42384106098484</v>
      </c>
      <c r="F775" s="479" t="s">
        <v>377</v>
      </c>
      <c r="G775" s="266" t="s">
        <v>1262</v>
      </c>
      <c r="H775" s="266"/>
      <c r="I775" s="480" t="s">
        <v>1333</v>
      </c>
      <c r="J775" s="267" t="s">
        <v>15</v>
      </c>
      <c r="K775" s="482">
        <v>2256</v>
      </c>
      <c r="L775" s="495" t="s">
        <v>1325</v>
      </c>
      <c r="M775" s="270" t="str">
        <f>IFERROR(INDEX([1]Produtos!$C:$C,MATCH(L775,[1]Produtos!$B:$B,0)), "-")</f>
        <v>BODY SPLASH ROSA RAINHA 200ml</v>
      </c>
      <c r="N775" s="510">
        <f>IFERROR(INDEX([1]Produtos!$E:$E,MATCH(L775,[1]Produtos!$B:$B,0)), "-")</f>
        <v>215</v>
      </c>
      <c r="O775" s="270" t="str">
        <f>IFERROR(INDEX([1]Produtos!$F:$F,MATCH(L775,[1]Produtos!$B:$B,0)), "-")</f>
        <v>ml</v>
      </c>
      <c r="P775" s="270" t="str">
        <f>IFERROR(INDEX([1]Produtos!$G:$G,MATCH(L775,[1]Produtos!$B:$B,0)), "-")</f>
        <v>MISS RÔSE</v>
      </c>
      <c r="Q775" s="270" t="str">
        <f>IFERROR(INDEX([1]Produtos!$H:$H,MATCH(L775,[1]Produtos!$B:$B,0)), "-")</f>
        <v>PERFUMARIA</v>
      </c>
      <c r="R775" s="270" t="str">
        <f>IFERROR(INDEX([1]Produtos!$I:$I,MATCH(L775,[1]Produtos!$B:$B,0)), "-")</f>
        <v>BODY SPLASH</v>
      </c>
      <c r="S775" s="270" t="str">
        <f>IFERROR(INDEX([1]Produtos!$J:$J,MATCH(L775,[1]Produtos!$B:$B,0)), "-")</f>
        <v>LÍQUIDO</v>
      </c>
      <c r="T775" s="475"/>
      <c r="U775" s="270"/>
      <c r="V775" s="270"/>
      <c r="W775" s="270"/>
      <c r="X775" s="270"/>
      <c r="Y775" s="270"/>
      <c r="Z775" s="270"/>
      <c r="AA775" s="270"/>
      <c r="AB775" s="270"/>
      <c r="AC775" s="270"/>
      <c r="AD775" s="270"/>
      <c r="AE775" s="270"/>
      <c r="AF775" s="270"/>
      <c r="AG775" s="270"/>
      <c r="AH775" s="270"/>
      <c r="AI775" s="270"/>
      <c r="AJ775" s="270"/>
      <c r="AK775" s="270"/>
      <c r="AL775" s="270"/>
      <c r="AM775" s="663"/>
      <c r="AN775" s="663"/>
      <c r="AO775" s="708" t="str">
        <f>IF(OR(Table1[[#This Row],[Início Setup Envase]]="",Table1[[#This Row],[Final Setup Envase]]=""),"",Table1[[#This Row],[Final Setup Envase]]-Table1[[#This Row],[Início Setup Envase]])</f>
        <v/>
      </c>
      <c r="AP775" s="663"/>
      <c r="AQ775" s="663"/>
      <c r="AR775" s="270"/>
      <c r="AS775" s="270"/>
      <c r="AT775" s="270"/>
      <c r="AU775" s="270"/>
      <c r="AV775" s="270"/>
      <c r="AW775" s="270"/>
      <c r="AX775" s="270"/>
      <c r="AY775" s="270"/>
      <c r="AZ775" s="270"/>
      <c r="BA775" s="270">
        <f>IF(Table1[[#This Row],[Data de Início]]="","",YEAR(Table1[[#This Row],[Data de Início]]))</f>
        <v>2026</v>
      </c>
      <c r="BB775" s="270">
        <f>IF(Table1[[#This Row],[Data de Início]]="","",MONTH(Table1[[#This Row],[Data de Início]]))</f>
        <v>2</v>
      </c>
      <c r="BC775" s="270"/>
    </row>
    <row r="776" spans="2:55" ht="15" customHeight="1" x14ac:dyDescent="0.25">
      <c r="B776" s="489">
        <v>46057.305555555555</v>
      </c>
      <c r="C776" s="490">
        <v>46057.322222222225</v>
      </c>
      <c r="D776" s="477" cm="1">
        <f t="array" ref="D776">IFERROR(HorasUteisFabrica2Turnos(B776,C776), "")</f>
        <v>0.40000000008149073</v>
      </c>
      <c r="E776" s="478">
        <f t="shared" si="12"/>
        <v>959.99999980442226</v>
      </c>
      <c r="F776" s="479" t="s">
        <v>377</v>
      </c>
      <c r="G776" s="266" t="s">
        <v>1076</v>
      </c>
      <c r="H776" s="479"/>
      <c r="I776" s="480" t="s">
        <v>1330</v>
      </c>
      <c r="J776" s="481" t="s">
        <v>15</v>
      </c>
      <c r="K776" s="482">
        <v>384</v>
      </c>
      <c r="L776" s="495" t="s">
        <v>1331</v>
      </c>
      <c r="M776" s="483" t="str">
        <f>IFERROR(INDEX([1]Produtos!$C:$C,MATCH(L776,[1]Produtos!$B:$B,0)), "-")</f>
        <v>BODY SPLASH SOL TROPICAL 61 200ml</v>
      </c>
      <c r="N776" s="511">
        <f>IFERROR(INDEX([1]Produtos!$E:$E,MATCH(L776,[1]Produtos!$B:$B,0)), "-")</f>
        <v>200</v>
      </c>
      <c r="O776" s="483" t="str">
        <f>IFERROR(INDEX([1]Produtos!$F:$F,MATCH(L776,[1]Produtos!$B:$B,0)), "-")</f>
        <v>ml</v>
      </c>
      <c r="P776" s="483" t="str">
        <f>IFERROR(INDEX([1]Produtos!$G:$G,MATCH(L776,[1]Produtos!$B:$B,0)), "-")</f>
        <v>BRIA BEAUTY</v>
      </c>
      <c r="Q776" s="483" t="str">
        <f>IFERROR(INDEX([1]Produtos!$H:$H,MATCH(L776,[1]Produtos!$B:$B,0)), "-")</f>
        <v>PERFUMARIA</v>
      </c>
      <c r="R776" s="483" t="str">
        <f>IFERROR(INDEX([1]Produtos!$I:$I,MATCH(L776,[1]Produtos!$B:$B,0)), "-")</f>
        <v>BODY SPLASH</v>
      </c>
      <c r="S776" s="483" t="str">
        <f>IFERROR(INDEX([1]Produtos!$J:$J,MATCH(L776,[1]Produtos!$B:$B,0)), "-")</f>
        <v>LÍQUIDO</v>
      </c>
      <c r="T776" s="484"/>
      <c r="U776" s="270"/>
      <c r="V776" s="270"/>
      <c r="W776" s="270"/>
      <c r="X776" s="270"/>
      <c r="Y776" s="270"/>
      <c r="Z776" s="270"/>
      <c r="AA776" s="270"/>
      <c r="AB776" s="270"/>
      <c r="AC776" s="270"/>
      <c r="AD776" s="270"/>
      <c r="AE776" s="270"/>
      <c r="AF776" s="270"/>
      <c r="AG776" s="270"/>
      <c r="AH776" s="270"/>
      <c r="AI776" s="270"/>
      <c r="AJ776" s="270"/>
      <c r="AK776" s="270"/>
      <c r="AL776" s="270"/>
      <c r="AM776" s="663"/>
      <c r="AN776" s="663"/>
      <c r="AO776" s="708" t="str">
        <f>IF(OR(Table1[[#This Row],[Início Setup Envase]]="",Table1[[#This Row],[Final Setup Envase]]=""),"",Table1[[#This Row],[Final Setup Envase]]-Table1[[#This Row],[Início Setup Envase]])</f>
        <v/>
      </c>
      <c r="AP776" s="663"/>
      <c r="AQ776" s="663"/>
      <c r="AR776" s="270"/>
      <c r="AS776" s="270"/>
      <c r="AT776" s="270"/>
      <c r="AU776" s="270"/>
      <c r="AV776" s="270"/>
      <c r="AW776" s="270"/>
      <c r="AX776" s="270"/>
      <c r="AY776" s="270"/>
      <c r="AZ776" s="270"/>
      <c r="BA776" s="270">
        <f>IF(Table1[[#This Row],[Data de Início]]="","",YEAR(Table1[[#This Row],[Data de Início]]))</f>
        <v>2026</v>
      </c>
      <c r="BB776" s="270">
        <f>IF(Table1[[#This Row],[Data de Início]]="","",MONTH(Table1[[#This Row],[Data de Início]]))</f>
        <v>2</v>
      </c>
      <c r="BC776" s="270"/>
    </row>
    <row r="777" spans="2:55" ht="15" customHeight="1" x14ac:dyDescent="0.25">
      <c r="B777" s="489">
        <v>46057.319444444445</v>
      </c>
      <c r="C777" s="490">
        <v>46057.388888888891</v>
      </c>
      <c r="D777" s="477" cm="1">
        <f t="array" ref="D777">IFERROR(HorasUteisFabrica2Turnos(B777,C777), "")</f>
        <v>1.6666666666860692</v>
      </c>
      <c r="E777" s="478">
        <f t="shared" si="12"/>
        <v>593.99999999308488</v>
      </c>
      <c r="F777" s="479" t="s">
        <v>378</v>
      </c>
      <c r="G777" s="266" t="s">
        <v>1262</v>
      </c>
      <c r="H777" s="479"/>
      <c r="I777" s="480" t="s">
        <v>1335</v>
      </c>
      <c r="J777" s="481" t="s">
        <v>15</v>
      </c>
      <c r="K777" s="482">
        <v>990</v>
      </c>
      <c r="L777" s="495" t="s">
        <v>1325</v>
      </c>
      <c r="M777" s="483" t="str">
        <f>IFERROR(INDEX([1]Produtos!$C:$C,MATCH(L777,[1]Produtos!$B:$B,0)), "-")</f>
        <v>BODY SPLASH ROSA RAINHA 200ml</v>
      </c>
      <c r="N777" s="511">
        <f>IFERROR(INDEX([1]Produtos!$E:$E,MATCH(L777,[1]Produtos!$B:$B,0)), "-")</f>
        <v>215</v>
      </c>
      <c r="O777" s="483" t="str">
        <f>IFERROR(INDEX([1]Produtos!$F:$F,MATCH(L777,[1]Produtos!$B:$B,0)), "-")</f>
        <v>ml</v>
      </c>
      <c r="P777" s="483" t="str">
        <f>IFERROR(INDEX([1]Produtos!$G:$G,MATCH(L777,[1]Produtos!$B:$B,0)), "-")</f>
        <v>MISS RÔSE</v>
      </c>
      <c r="Q777" s="483" t="str">
        <f>IFERROR(INDEX([1]Produtos!$H:$H,MATCH(L777,[1]Produtos!$B:$B,0)), "-")</f>
        <v>PERFUMARIA</v>
      </c>
      <c r="R777" s="483" t="str">
        <f>IFERROR(INDEX([1]Produtos!$I:$I,MATCH(L777,[1]Produtos!$B:$B,0)), "-")</f>
        <v>BODY SPLASH</v>
      </c>
      <c r="S777" s="483" t="str">
        <f>IFERROR(INDEX([1]Produtos!$J:$J,MATCH(L777,[1]Produtos!$B:$B,0)), "-")</f>
        <v>LÍQUIDO</v>
      </c>
      <c r="T777" s="484"/>
      <c r="U777" s="270"/>
      <c r="V777" s="270"/>
      <c r="W777" s="270"/>
      <c r="X777" s="270"/>
      <c r="Y777" s="270"/>
      <c r="Z777" s="270"/>
      <c r="AA777" s="270"/>
      <c r="AB777" s="270"/>
      <c r="AC777" s="270"/>
      <c r="AD777" s="270"/>
      <c r="AE777" s="270"/>
      <c r="AF777" s="270"/>
      <c r="AG777" s="270"/>
      <c r="AH777" s="270"/>
      <c r="AI777" s="270"/>
      <c r="AJ777" s="270"/>
      <c r="AK777" s="270"/>
      <c r="AL777" s="270"/>
      <c r="AM777" s="663"/>
      <c r="AN777" s="663"/>
      <c r="AO777" s="708" t="str">
        <f>IF(OR(Table1[[#This Row],[Início Setup Envase]]="",Table1[[#This Row],[Final Setup Envase]]=""),"",Table1[[#This Row],[Final Setup Envase]]-Table1[[#This Row],[Início Setup Envase]])</f>
        <v/>
      </c>
      <c r="AP777" s="663"/>
      <c r="AQ777" s="663"/>
      <c r="AR777" s="270"/>
      <c r="AS777" s="270"/>
      <c r="AT777" s="270"/>
      <c r="AU777" s="270"/>
      <c r="AV777" s="270"/>
      <c r="AW777" s="270"/>
      <c r="AX777" s="270"/>
      <c r="AY777" s="270"/>
      <c r="AZ777" s="270"/>
      <c r="BA777" s="270">
        <f>IF(Table1[[#This Row],[Data de Início]]="","",YEAR(Table1[[#This Row],[Data de Início]]))</f>
        <v>2026</v>
      </c>
      <c r="BB777" s="270">
        <f>IF(Table1[[#This Row],[Data de Início]]="","",MONTH(Table1[[#This Row],[Data de Início]]))</f>
        <v>2</v>
      </c>
      <c r="BC777" s="270"/>
    </row>
    <row r="778" spans="2:55" ht="15" customHeight="1" x14ac:dyDescent="0.25">
      <c r="B778" s="489">
        <v>46057.409722222219</v>
      </c>
      <c r="C778" s="490">
        <v>46057.432638888888</v>
      </c>
      <c r="D778" s="477" cm="1">
        <f t="array" ref="D778">IFERROR(HorasUteisFabrica2Turnos(B778,C778), "")</f>
        <v>0.55000000004656613</v>
      </c>
      <c r="E778" s="478">
        <f t="shared" si="12"/>
        <v>698.18181812270609</v>
      </c>
      <c r="F778" s="479" t="s">
        <v>378</v>
      </c>
      <c r="G778" s="266" t="s">
        <v>1076</v>
      </c>
      <c r="H778" s="479"/>
      <c r="I778" s="480" t="s">
        <v>1332</v>
      </c>
      <c r="J778" s="481" t="s">
        <v>15</v>
      </c>
      <c r="K778" s="482">
        <v>384</v>
      </c>
      <c r="L778" s="495" t="s">
        <v>1342</v>
      </c>
      <c r="M778" s="483" t="str">
        <f>IFERROR(INDEX([1]Produtos!$C:$C,MATCH(L778,[1]Produtos!$B:$B,0)), "-")</f>
        <v>BODY SPLASH SOL TROPICAL 86 200ml</v>
      </c>
      <c r="N778" s="511">
        <f>IFERROR(INDEX([1]Produtos!$E:$E,MATCH(L778,[1]Produtos!$B:$B,0)), "-")</f>
        <v>200</v>
      </c>
      <c r="O778" s="483" t="str">
        <f>IFERROR(INDEX([1]Produtos!$F:$F,MATCH(L778,[1]Produtos!$B:$B,0)), "-")</f>
        <v>ml</v>
      </c>
      <c r="P778" s="483" t="str">
        <f>IFERROR(INDEX([1]Produtos!$G:$G,MATCH(L778,[1]Produtos!$B:$B,0)), "-")</f>
        <v>BRIA BEAUTY</v>
      </c>
      <c r="Q778" s="483" t="str">
        <f>IFERROR(INDEX([1]Produtos!$H:$H,MATCH(L778,[1]Produtos!$B:$B,0)), "-")</f>
        <v>PERFUMARIA</v>
      </c>
      <c r="R778" s="483" t="str">
        <f>IFERROR(INDEX([1]Produtos!$I:$I,MATCH(L778,[1]Produtos!$B:$B,0)), "-")</f>
        <v>BODY SPLASH</v>
      </c>
      <c r="S778" s="483" t="str">
        <f>IFERROR(INDEX([1]Produtos!$J:$J,MATCH(L778,[1]Produtos!$B:$B,0)), "-")</f>
        <v>LÍQUIDO</v>
      </c>
      <c r="T778" s="484"/>
      <c r="U778" s="270"/>
      <c r="V778" s="270"/>
      <c r="W778" s="270"/>
      <c r="X778" s="270"/>
      <c r="Y778" s="270"/>
      <c r="Z778" s="270"/>
      <c r="AA778" s="270"/>
      <c r="AB778" s="270"/>
      <c r="AC778" s="270"/>
      <c r="AD778" s="270"/>
      <c r="AE778" s="270"/>
      <c r="AF778" s="270"/>
      <c r="AG778" s="270"/>
      <c r="AH778" s="270"/>
      <c r="AI778" s="270"/>
      <c r="AJ778" s="270"/>
      <c r="AK778" s="270"/>
      <c r="AL778" s="270"/>
      <c r="AM778" s="663"/>
      <c r="AN778" s="663"/>
      <c r="AO778" s="708" t="str">
        <f>IF(OR(Table1[[#This Row],[Início Setup Envase]]="",Table1[[#This Row],[Final Setup Envase]]=""),"",Table1[[#This Row],[Final Setup Envase]]-Table1[[#This Row],[Início Setup Envase]])</f>
        <v/>
      </c>
      <c r="AP778" s="663"/>
      <c r="AQ778" s="663"/>
      <c r="AR778" s="270"/>
      <c r="AS778" s="270"/>
      <c r="AT778" s="270"/>
      <c r="AU778" s="270"/>
      <c r="AV778" s="270"/>
      <c r="AW778" s="270"/>
      <c r="AX778" s="270"/>
      <c r="AY778" s="270"/>
      <c r="AZ778" s="270"/>
      <c r="BA778" s="270">
        <f>IF(Table1[[#This Row],[Data de Início]]="","",YEAR(Table1[[#This Row],[Data de Início]]))</f>
        <v>2026</v>
      </c>
      <c r="BB778" s="270">
        <f>IF(Table1[[#This Row],[Data de Início]]="","",MONTH(Table1[[#This Row],[Data de Início]]))</f>
        <v>2</v>
      </c>
      <c r="BC778" s="270"/>
    </row>
    <row r="779" spans="2:55" ht="15" customHeight="1" x14ac:dyDescent="0.25">
      <c r="B779" s="489">
        <v>46057.427083333336</v>
      </c>
      <c r="C779" s="490">
        <v>46059.398611111108</v>
      </c>
      <c r="D779" s="477" cm="1">
        <f t="array" ref="D779">IFERROR(HorasUteisFabrica2Turnos(B779,C779), "")</f>
        <v>17.31666666676756</v>
      </c>
      <c r="E779" s="478">
        <f t="shared" si="12"/>
        <v>270.0288739156548</v>
      </c>
      <c r="F779" s="479" t="s">
        <v>378</v>
      </c>
      <c r="G779" s="266" t="s">
        <v>1076</v>
      </c>
      <c r="H779" s="479"/>
      <c r="I779" s="480" t="s">
        <v>1348</v>
      </c>
      <c r="J779" s="481" t="s">
        <v>15</v>
      </c>
      <c r="K779" s="482">
        <v>4676</v>
      </c>
      <c r="L779" s="495" t="s">
        <v>1342</v>
      </c>
      <c r="M779" s="483" t="str">
        <f>IFERROR(INDEX([1]Produtos!$C:$C,MATCH(L779,[1]Produtos!$B:$B,0)), "-")</f>
        <v>BODY SPLASH SOL TROPICAL 86 200ml</v>
      </c>
      <c r="N779" s="511">
        <f>IFERROR(INDEX([1]Produtos!$E:$E,MATCH(L779,[1]Produtos!$B:$B,0)), "-")</f>
        <v>200</v>
      </c>
      <c r="O779" s="483" t="str">
        <f>IFERROR(INDEX([1]Produtos!$F:$F,MATCH(L779,[1]Produtos!$B:$B,0)), "-")</f>
        <v>ml</v>
      </c>
      <c r="P779" s="483" t="str">
        <f>IFERROR(INDEX([1]Produtos!$G:$G,MATCH(L779,[1]Produtos!$B:$B,0)), "-")</f>
        <v>BRIA BEAUTY</v>
      </c>
      <c r="Q779" s="483" t="str">
        <f>IFERROR(INDEX([1]Produtos!$H:$H,MATCH(L779,[1]Produtos!$B:$B,0)), "-")</f>
        <v>PERFUMARIA</v>
      </c>
      <c r="R779" s="483" t="str">
        <f>IFERROR(INDEX([1]Produtos!$I:$I,MATCH(L779,[1]Produtos!$B:$B,0)), "-")</f>
        <v>BODY SPLASH</v>
      </c>
      <c r="S779" s="483" t="str">
        <f>IFERROR(INDEX([1]Produtos!$J:$J,MATCH(L779,[1]Produtos!$B:$B,0)), "-")</f>
        <v>LÍQUIDO</v>
      </c>
      <c r="T779" s="484"/>
      <c r="U779" s="270"/>
      <c r="V779" s="270"/>
      <c r="W779" s="270"/>
      <c r="X779" s="270"/>
      <c r="Y779" s="270"/>
      <c r="Z779" s="270"/>
      <c r="AA779" s="270"/>
      <c r="AB779" s="270"/>
      <c r="AC779" s="270"/>
      <c r="AD779" s="270"/>
      <c r="AE779" s="270"/>
      <c r="AF779" s="270"/>
      <c r="AG779" s="270"/>
      <c r="AH779" s="270"/>
      <c r="AI779" s="270"/>
      <c r="AJ779" s="270"/>
      <c r="AK779" s="270"/>
      <c r="AL779" s="270"/>
      <c r="AM779" s="663"/>
      <c r="AN779" s="663"/>
      <c r="AO779" s="708" t="str">
        <f>IF(OR(Table1[[#This Row],[Início Setup Envase]]="",Table1[[#This Row],[Final Setup Envase]]=""),"",Table1[[#This Row],[Final Setup Envase]]-Table1[[#This Row],[Início Setup Envase]])</f>
        <v/>
      </c>
      <c r="AP779" s="663"/>
      <c r="AQ779" s="663"/>
      <c r="AR779" s="270"/>
      <c r="AS779" s="270"/>
      <c r="AT779" s="270"/>
      <c r="AU779" s="270"/>
      <c r="AV779" s="270"/>
      <c r="AW779" s="270"/>
      <c r="AX779" s="270"/>
      <c r="AY779" s="270"/>
      <c r="AZ779" s="270"/>
      <c r="BA779" s="270">
        <f>IF(Table1[[#This Row],[Data de Início]]="","",YEAR(Table1[[#This Row],[Data de Início]]))</f>
        <v>2026</v>
      </c>
      <c r="BB779" s="270">
        <f>IF(Table1[[#This Row],[Data de Início]]="","",MONTH(Table1[[#This Row],[Data de Início]]))</f>
        <v>2</v>
      </c>
      <c r="BC779" s="270"/>
    </row>
    <row r="780" spans="2:55" ht="15" customHeight="1" x14ac:dyDescent="0.25">
      <c r="B780" s="489">
        <v>46057.432638888888</v>
      </c>
      <c r="C780" s="490">
        <v>46058.427083333336</v>
      </c>
      <c r="D780" s="477" cm="1">
        <f t="array" ref="D780">IFERROR(HorasUteisFabrica2Turnos(B780,C780), "")</f>
        <v>8.8666666668723337</v>
      </c>
      <c r="E780" s="478">
        <f t="shared" si="12"/>
        <v>523.42105261943789</v>
      </c>
      <c r="F780" s="479" t="s">
        <v>378</v>
      </c>
      <c r="G780" s="266" t="s">
        <v>1076</v>
      </c>
      <c r="H780" s="479"/>
      <c r="I780" s="480" t="s">
        <v>1340</v>
      </c>
      <c r="J780" s="481" t="s">
        <v>15</v>
      </c>
      <c r="K780" s="482">
        <v>4641</v>
      </c>
      <c r="L780" s="495" t="s">
        <v>1342</v>
      </c>
      <c r="M780" s="483" t="str">
        <f>IFERROR(INDEX([1]Produtos!$C:$C,MATCH(L780,[1]Produtos!$B:$B,0)), "-")</f>
        <v>BODY SPLASH SOL TROPICAL 86 200ml</v>
      </c>
      <c r="N780" s="511">
        <f>IFERROR(INDEX([1]Produtos!$E:$E,MATCH(L780,[1]Produtos!$B:$B,0)), "-")</f>
        <v>200</v>
      </c>
      <c r="O780" s="483" t="str">
        <f>IFERROR(INDEX([1]Produtos!$F:$F,MATCH(L780,[1]Produtos!$B:$B,0)), "-")</f>
        <v>ml</v>
      </c>
      <c r="P780" s="483" t="str">
        <f>IFERROR(INDEX([1]Produtos!$G:$G,MATCH(L780,[1]Produtos!$B:$B,0)), "-")</f>
        <v>BRIA BEAUTY</v>
      </c>
      <c r="Q780" s="483" t="str">
        <f>IFERROR(INDEX([1]Produtos!$H:$H,MATCH(L780,[1]Produtos!$B:$B,0)), "-")</f>
        <v>PERFUMARIA</v>
      </c>
      <c r="R780" s="483" t="str">
        <f>IFERROR(INDEX([1]Produtos!$I:$I,MATCH(L780,[1]Produtos!$B:$B,0)), "-")</f>
        <v>BODY SPLASH</v>
      </c>
      <c r="S780" s="483" t="str">
        <f>IFERROR(INDEX([1]Produtos!$J:$J,MATCH(L780,[1]Produtos!$B:$B,0)), "-")</f>
        <v>LÍQUIDO</v>
      </c>
      <c r="T780" s="484"/>
      <c r="U780" s="270"/>
      <c r="V780" s="270"/>
      <c r="W780" s="270"/>
      <c r="X780" s="270"/>
      <c r="Y780" s="270"/>
      <c r="Z780" s="270"/>
      <c r="AA780" s="270"/>
      <c r="AB780" s="270"/>
      <c r="AC780" s="270"/>
      <c r="AD780" s="270"/>
      <c r="AE780" s="270"/>
      <c r="AF780" s="270"/>
      <c r="AG780" s="270"/>
      <c r="AH780" s="270"/>
      <c r="AI780" s="270"/>
      <c r="AJ780" s="270"/>
      <c r="AK780" s="270"/>
      <c r="AL780" s="270"/>
      <c r="AM780" s="663"/>
      <c r="AN780" s="663"/>
      <c r="AO780" s="708" t="str">
        <f>IF(OR(Table1[[#This Row],[Início Setup Envase]]="",Table1[[#This Row],[Final Setup Envase]]=""),"",Table1[[#This Row],[Final Setup Envase]]-Table1[[#This Row],[Início Setup Envase]])</f>
        <v/>
      </c>
      <c r="AP780" s="663"/>
      <c r="AQ780" s="663"/>
      <c r="AR780" s="270"/>
      <c r="AS780" s="270"/>
      <c r="AT780" s="270"/>
      <c r="AU780" s="270"/>
      <c r="AV780" s="270"/>
      <c r="AW780" s="270"/>
      <c r="AX780" s="270"/>
      <c r="AY780" s="270"/>
      <c r="AZ780" s="270"/>
      <c r="BA780" s="270">
        <f>IF(Table1[[#This Row],[Data de Início]]="","",YEAR(Table1[[#This Row],[Data de Início]]))</f>
        <v>2026</v>
      </c>
      <c r="BB780" s="270">
        <f>IF(Table1[[#This Row],[Data de Início]]="","",MONTH(Table1[[#This Row],[Data de Início]]))</f>
        <v>2</v>
      </c>
      <c r="BC780" s="270"/>
    </row>
    <row r="781" spans="2:55" ht="15" customHeight="1" x14ac:dyDescent="0.25">
      <c r="B781" s="489">
        <v>46057.571527777778</v>
      </c>
      <c r="C781" s="490">
        <v>46058.375694444447</v>
      </c>
      <c r="D781" s="477" cm="1">
        <f t="array" ref="D781">IFERROR(HorasUteisFabrica2Turnos(B781,C781), "")</f>
        <v>5.3000000001629815</v>
      </c>
      <c r="E781" s="478">
        <f t="shared" si="12"/>
        <v>891.13207544429474</v>
      </c>
      <c r="F781" s="479" t="s">
        <v>377</v>
      </c>
      <c r="G781" s="266" t="s">
        <v>1076</v>
      </c>
      <c r="H781" s="479"/>
      <c r="I781" s="480" t="s">
        <v>1343</v>
      </c>
      <c r="J781" s="481" t="s">
        <v>15</v>
      </c>
      <c r="K781" s="482">
        <v>4723</v>
      </c>
      <c r="L781" s="495" t="s">
        <v>1331</v>
      </c>
      <c r="M781" s="483" t="str">
        <f>IFERROR(INDEX([1]Produtos!$C:$C,MATCH(L781,[1]Produtos!$B:$B,0)), "-")</f>
        <v>BODY SPLASH SOL TROPICAL 61 200ml</v>
      </c>
      <c r="N781" s="511">
        <f>IFERROR(INDEX([1]Produtos!$E:$E,MATCH(L781,[1]Produtos!$B:$B,0)), "-")</f>
        <v>200</v>
      </c>
      <c r="O781" s="483" t="str">
        <f>IFERROR(INDEX([1]Produtos!$F:$F,MATCH(L781,[1]Produtos!$B:$B,0)), "-")</f>
        <v>ml</v>
      </c>
      <c r="P781" s="483" t="str">
        <f>IFERROR(INDEX([1]Produtos!$G:$G,MATCH(L781,[1]Produtos!$B:$B,0)), "-")</f>
        <v>BRIA BEAUTY</v>
      </c>
      <c r="Q781" s="483" t="str">
        <f>IFERROR(INDEX([1]Produtos!$H:$H,MATCH(L781,[1]Produtos!$B:$B,0)), "-")</f>
        <v>PERFUMARIA</v>
      </c>
      <c r="R781" s="483" t="str">
        <f>IFERROR(INDEX([1]Produtos!$I:$I,MATCH(L781,[1]Produtos!$B:$B,0)), "-")</f>
        <v>BODY SPLASH</v>
      </c>
      <c r="S781" s="483" t="str">
        <f>IFERROR(INDEX([1]Produtos!$J:$J,MATCH(L781,[1]Produtos!$B:$B,0)), "-")</f>
        <v>LÍQUIDO</v>
      </c>
      <c r="T781" s="484"/>
      <c r="U781" s="270"/>
      <c r="V781" s="270"/>
      <c r="W781" s="270"/>
      <c r="X781" s="270"/>
      <c r="Y781" s="270"/>
      <c r="Z781" s="270"/>
      <c r="AA781" s="270"/>
      <c r="AB781" s="270"/>
      <c r="AC781" s="270"/>
      <c r="AD781" s="270"/>
      <c r="AE781" s="270"/>
      <c r="AF781" s="270"/>
      <c r="AG781" s="270"/>
      <c r="AH781" s="270"/>
      <c r="AI781" s="270"/>
      <c r="AJ781" s="270"/>
      <c r="AK781" s="270"/>
      <c r="AL781" s="270"/>
      <c r="AM781" s="663"/>
      <c r="AN781" s="663"/>
      <c r="AO781" s="708" t="str">
        <f>IF(OR(Table1[[#This Row],[Início Setup Envase]]="",Table1[[#This Row],[Final Setup Envase]]=""),"",Table1[[#This Row],[Final Setup Envase]]-Table1[[#This Row],[Início Setup Envase]])</f>
        <v/>
      </c>
      <c r="AP781" s="663"/>
      <c r="AQ781" s="663"/>
      <c r="AR781" s="270"/>
      <c r="AS781" s="270"/>
      <c r="AT781" s="270"/>
      <c r="AU781" s="270"/>
      <c r="AV781" s="270"/>
      <c r="AW781" s="270"/>
      <c r="AX781" s="270"/>
      <c r="AY781" s="270"/>
      <c r="AZ781" s="270"/>
      <c r="BA781" s="270">
        <f>IF(Table1[[#This Row],[Data de Início]]="","",YEAR(Table1[[#This Row],[Data de Início]]))</f>
        <v>2026</v>
      </c>
      <c r="BB781" s="270">
        <f>IF(Table1[[#This Row],[Data de Início]]="","",MONTH(Table1[[#This Row],[Data de Início]]))</f>
        <v>2</v>
      </c>
      <c r="BC781" s="270"/>
    </row>
    <row r="782" spans="2:55" ht="15" customHeight="1" x14ac:dyDescent="0.25">
      <c r="B782" s="489">
        <v>46058.388194444444</v>
      </c>
      <c r="C782" s="490">
        <v>46058.425000000003</v>
      </c>
      <c r="D782" s="477" cm="1">
        <f t="array" ref="D782">IFERROR(HorasUteisFabrica2Turnos(B782,C782), "")</f>
        <v>0.88333333341870457</v>
      </c>
      <c r="E782" s="478">
        <f t="shared" si="12"/>
        <v>489.05660372631922</v>
      </c>
      <c r="F782" s="479" t="s">
        <v>377</v>
      </c>
      <c r="G782" s="266" t="s">
        <v>1076</v>
      </c>
      <c r="H782" s="479"/>
      <c r="I782" s="480" t="s">
        <v>1341</v>
      </c>
      <c r="J782" s="481" t="s">
        <v>15</v>
      </c>
      <c r="K782" s="482">
        <v>432</v>
      </c>
      <c r="L782" s="495" t="s">
        <v>1347</v>
      </c>
      <c r="M782" s="483" t="str">
        <f>IFERROR(INDEX([1]Produtos!$C:$C,MATCH(L782,[1]Produtos!$B:$B,0)), "-")</f>
        <v>BODY SPLASH LUNAR 200ml</v>
      </c>
      <c r="N782" s="511">
        <f>IFERROR(INDEX([1]Produtos!$E:$E,MATCH(L782,[1]Produtos!$B:$B,0)), "-")</f>
        <v>200</v>
      </c>
      <c r="O782" s="483" t="str">
        <f>IFERROR(INDEX([1]Produtos!$F:$F,MATCH(L782,[1]Produtos!$B:$B,0)), "-")</f>
        <v>ml</v>
      </c>
      <c r="P782" s="483" t="str">
        <f>IFERROR(INDEX([1]Produtos!$G:$G,MATCH(L782,[1]Produtos!$B:$B,0)), "-")</f>
        <v>BRIA BEAUTY</v>
      </c>
      <c r="Q782" s="483" t="str">
        <f>IFERROR(INDEX([1]Produtos!$H:$H,MATCH(L782,[1]Produtos!$B:$B,0)), "-")</f>
        <v>PERFUMARIA</v>
      </c>
      <c r="R782" s="483" t="str">
        <f>IFERROR(INDEX([1]Produtos!$I:$I,MATCH(L782,[1]Produtos!$B:$B,0)), "-")</f>
        <v>BODY SPLASH</v>
      </c>
      <c r="S782" s="483" t="str">
        <f>IFERROR(INDEX([1]Produtos!$J:$J,MATCH(L782,[1]Produtos!$B:$B,0)), "-")</f>
        <v>LÍQUIDO</v>
      </c>
      <c r="T782" s="484"/>
      <c r="U782" s="270"/>
      <c r="V782" s="270"/>
      <c r="W782" s="270"/>
      <c r="X782" s="270"/>
      <c r="Y782" s="270"/>
      <c r="Z782" s="270"/>
      <c r="AA782" s="270"/>
      <c r="AB782" s="270"/>
      <c r="AC782" s="270"/>
      <c r="AD782" s="270"/>
      <c r="AE782" s="270"/>
      <c r="AF782" s="270"/>
      <c r="AG782" s="270"/>
      <c r="AH782" s="270"/>
      <c r="AI782" s="270"/>
      <c r="AJ782" s="270"/>
      <c r="AK782" s="270"/>
      <c r="AL782" s="270"/>
      <c r="AM782" s="663"/>
      <c r="AN782" s="663"/>
      <c r="AO782" s="708" t="str">
        <f>IF(OR(Table1[[#This Row],[Início Setup Envase]]="",Table1[[#This Row],[Final Setup Envase]]=""),"",Table1[[#This Row],[Final Setup Envase]]-Table1[[#This Row],[Início Setup Envase]])</f>
        <v/>
      </c>
      <c r="AP782" s="663"/>
      <c r="AQ782" s="663"/>
      <c r="AR782" s="270"/>
      <c r="AS782" s="270"/>
      <c r="AT782" s="270"/>
      <c r="AU782" s="270"/>
      <c r="AV782" s="270"/>
      <c r="AW782" s="270"/>
      <c r="AX782" s="270"/>
      <c r="AY782" s="270"/>
      <c r="AZ782" s="270"/>
      <c r="BA782" s="270">
        <f>IF(Table1[[#This Row],[Data de Início]]="","",YEAR(Table1[[#This Row],[Data de Início]]))</f>
        <v>2026</v>
      </c>
      <c r="BB782" s="270">
        <f>IF(Table1[[#This Row],[Data de Início]]="","",MONTH(Table1[[#This Row],[Data de Início]]))</f>
        <v>2</v>
      </c>
      <c r="BC782" s="270"/>
    </row>
    <row r="783" spans="2:55" ht="15" customHeight="1" x14ac:dyDescent="0.25">
      <c r="B783" s="489">
        <v>46058.444444444445</v>
      </c>
      <c r="C783" s="490">
        <v>46059.363888888889</v>
      </c>
      <c r="D783" s="477" cm="1">
        <f t="array" ref="D783">IFERROR(HorasUteisFabrica2Turnos(B783,C783), "")</f>
        <v>7.0666666667675599</v>
      </c>
      <c r="E783" s="478">
        <f t="shared" si="12"/>
        <v>658.86792451889505</v>
      </c>
      <c r="F783" s="479" t="s">
        <v>377</v>
      </c>
      <c r="G783" s="266" t="s">
        <v>1076</v>
      </c>
      <c r="H783" s="479"/>
      <c r="I783" s="480" t="s">
        <v>1346</v>
      </c>
      <c r="J783" s="481" t="s">
        <v>15</v>
      </c>
      <c r="K783" s="482">
        <v>4656</v>
      </c>
      <c r="L783" s="495" t="s">
        <v>1347</v>
      </c>
      <c r="M783" s="483" t="str">
        <f>IFERROR(INDEX([1]Produtos!$C:$C,MATCH(L783,[1]Produtos!$B:$B,0)), "-")</f>
        <v>BODY SPLASH LUNAR 200ml</v>
      </c>
      <c r="N783" s="511">
        <f>IFERROR(INDEX([1]Produtos!$E:$E,MATCH(L783,[1]Produtos!$B:$B,0)), "-")</f>
        <v>200</v>
      </c>
      <c r="O783" s="483" t="str">
        <f>IFERROR(INDEX([1]Produtos!$F:$F,MATCH(L783,[1]Produtos!$B:$B,0)), "-")</f>
        <v>ml</v>
      </c>
      <c r="P783" s="483" t="str">
        <f>IFERROR(INDEX([1]Produtos!$G:$G,MATCH(L783,[1]Produtos!$B:$B,0)), "-")</f>
        <v>BRIA BEAUTY</v>
      </c>
      <c r="Q783" s="483" t="str">
        <f>IFERROR(INDEX([1]Produtos!$H:$H,MATCH(L783,[1]Produtos!$B:$B,0)), "-")</f>
        <v>PERFUMARIA</v>
      </c>
      <c r="R783" s="483" t="str">
        <f>IFERROR(INDEX([1]Produtos!$I:$I,MATCH(L783,[1]Produtos!$B:$B,0)), "-")</f>
        <v>BODY SPLASH</v>
      </c>
      <c r="S783" s="483" t="str">
        <f>IFERROR(INDEX([1]Produtos!$J:$J,MATCH(L783,[1]Produtos!$B:$B,0)), "-")</f>
        <v>LÍQUIDO</v>
      </c>
      <c r="T783" s="484"/>
      <c r="U783" s="270"/>
      <c r="V783" s="270"/>
      <c r="W783" s="270"/>
      <c r="X783" s="270"/>
      <c r="Y783" s="270"/>
      <c r="Z783" s="270"/>
      <c r="AA783" s="270"/>
      <c r="AB783" s="270"/>
      <c r="AC783" s="270"/>
      <c r="AD783" s="270"/>
      <c r="AE783" s="270"/>
      <c r="AF783" s="270"/>
      <c r="AG783" s="270"/>
      <c r="AH783" s="270"/>
      <c r="AI783" s="270"/>
      <c r="AJ783" s="270"/>
      <c r="AK783" s="270"/>
      <c r="AL783" s="270"/>
      <c r="AM783" s="663"/>
      <c r="AN783" s="663"/>
      <c r="AO783" s="708" t="str">
        <f>IF(OR(Table1[[#This Row],[Início Setup Envase]]="",Table1[[#This Row],[Final Setup Envase]]=""),"",Table1[[#This Row],[Final Setup Envase]]-Table1[[#This Row],[Início Setup Envase]])</f>
        <v/>
      </c>
      <c r="AP783" s="663"/>
      <c r="AQ783" s="663"/>
      <c r="AR783" s="270"/>
      <c r="AS783" s="270"/>
      <c r="AT783" s="270"/>
      <c r="AU783" s="270"/>
      <c r="AV783" s="270"/>
      <c r="AW783" s="270"/>
      <c r="AX783" s="270"/>
      <c r="AY783" s="270"/>
      <c r="AZ783" s="270"/>
      <c r="BA783" s="270">
        <f>IF(Table1[[#This Row],[Data de Início]]="","",YEAR(Table1[[#This Row],[Data de Início]]))</f>
        <v>2026</v>
      </c>
      <c r="BB783" s="270">
        <f>IF(Table1[[#This Row],[Data de Início]]="","",MONTH(Table1[[#This Row],[Data de Início]]))</f>
        <v>2</v>
      </c>
      <c r="BC783" s="270"/>
    </row>
    <row r="784" spans="2:55" ht="15" customHeight="1" x14ac:dyDescent="0.25">
      <c r="B784" s="489">
        <v>46059.363888888889</v>
      </c>
      <c r="C784" s="490">
        <v>46059.642361111109</v>
      </c>
      <c r="D784" s="477" cm="1">
        <f t="array" ref="D784">IFERROR(HorasUteisFabrica2Turnos(B784,C784), "")</f>
        <v>5.6833333332906477</v>
      </c>
      <c r="E784" s="478">
        <f t="shared" si="12"/>
        <v>827.68328446369446</v>
      </c>
      <c r="F784" s="479" t="s">
        <v>377</v>
      </c>
      <c r="G784" s="266" t="s">
        <v>1076</v>
      </c>
      <c r="H784" s="479"/>
      <c r="I784" s="480" t="s">
        <v>1350</v>
      </c>
      <c r="J784" s="481" t="s">
        <v>15</v>
      </c>
      <c r="K784" s="482">
        <v>4704</v>
      </c>
      <c r="L784" s="495" t="s">
        <v>1347</v>
      </c>
      <c r="M784" s="511" t="str">
        <f>IFERROR(INDEX([1]Produtos!$C:$C,MATCH(L784,[1]Produtos!$B:$B,0)), "-")</f>
        <v>BODY SPLASH LUNAR 200ml</v>
      </c>
      <c r="N784" s="511">
        <f>IFERROR(INDEX([1]Produtos!$E:$E,MATCH(L784,[1]Produtos!$B:$B,0)), "-")</f>
        <v>200</v>
      </c>
      <c r="O784" s="483" t="str">
        <f>IFERROR(INDEX([1]Produtos!$F:$F,MATCH(L784,[1]Produtos!$B:$B,0)), "-")</f>
        <v>ml</v>
      </c>
      <c r="P784" s="483" t="str">
        <f>IFERROR(INDEX([1]Produtos!$G:$G,MATCH(L784,[1]Produtos!$B:$B,0)), "-")</f>
        <v>BRIA BEAUTY</v>
      </c>
      <c r="Q784" s="483" t="str">
        <f>IFERROR(INDEX([1]Produtos!$H:$H,MATCH(L784,[1]Produtos!$B:$B,0)), "-")</f>
        <v>PERFUMARIA</v>
      </c>
      <c r="R784" s="483" t="str">
        <f>IFERROR(INDEX([1]Produtos!$I:$I,MATCH(L784,[1]Produtos!$B:$B,0)), "-")</f>
        <v>BODY SPLASH</v>
      </c>
      <c r="S784" s="483" t="str">
        <f>IFERROR(INDEX([1]Produtos!$J:$J,MATCH(L784,[1]Produtos!$B:$B,0)), "-")</f>
        <v>LÍQUIDO</v>
      </c>
      <c r="T784" s="484"/>
      <c r="U784" s="263"/>
      <c r="V784" s="264"/>
      <c r="W784" s="265"/>
      <c r="X784" s="266"/>
      <c r="Y784" s="266"/>
      <c r="Z784" s="269"/>
      <c r="AA784" s="267"/>
      <c r="AB784" s="268"/>
      <c r="AC784" s="269"/>
      <c r="AD784" s="270"/>
      <c r="AE784" s="510"/>
      <c r="AF784" s="510"/>
      <c r="AG784" s="270"/>
      <c r="AH784" s="270"/>
      <c r="AI784" s="270"/>
      <c r="AJ784" s="270"/>
      <c r="AK784" s="270"/>
      <c r="AL784" s="616"/>
      <c r="AM784" s="669"/>
      <c r="AN784" s="669"/>
      <c r="AO784" s="710" t="str">
        <f>IF(OR(Table1[[#This Row],[Início Setup Envase]]="",Table1[[#This Row],[Final Setup Envase]]=""),"",Table1[[#This Row],[Final Setup Envase]]-Table1[[#This Row],[Início Setup Envase]])</f>
        <v/>
      </c>
      <c r="AP784" s="663"/>
      <c r="AQ784" s="663"/>
      <c r="AR784" s="510"/>
      <c r="AS784" s="270"/>
      <c r="AT784" s="270"/>
      <c r="AU784" s="270"/>
      <c r="AV784" s="270"/>
      <c r="AW784" s="270"/>
      <c r="AX784" s="616"/>
      <c r="AY784" s="616"/>
      <c r="AZ784" s="616"/>
      <c r="BA784" s="730">
        <f>IF(Table1[[#This Row],[Data de Início]]="","",YEAR(Table1[[#This Row],[Data de Início]]))</f>
        <v>2026</v>
      </c>
      <c r="BB784" s="730">
        <f>IF(Table1[[#This Row],[Data de Início]]="","",MONTH(Table1[[#This Row],[Data de Início]]))</f>
        <v>2</v>
      </c>
      <c r="BC784" s="270"/>
    </row>
    <row r="785" spans="2:55" ht="15" customHeight="1" x14ac:dyDescent="0.25">
      <c r="B785" s="489">
        <v>46059.4375</v>
      </c>
      <c r="C785" s="490">
        <v>46059.666666666664</v>
      </c>
      <c r="D785" s="477" cm="1">
        <f t="array" ref="D785">IFERROR(HorasUteisFabrica2Turnos(B785,C785), "")</f>
        <v>4.4999999999417923</v>
      </c>
      <c r="E785" s="478">
        <f t="shared" si="12"/>
        <v>746.66666667632478</v>
      </c>
      <c r="F785" s="479" t="s">
        <v>378</v>
      </c>
      <c r="G785" s="266" t="s">
        <v>1103</v>
      </c>
      <c r="H785" s="479"/>
      <c r="I785" s="480" t="s">
        <v>1349</v>
      </c>
      <c r="J785" s="481" t="s">
        <v>15</v>
      </c>
      <c r="K785" s="482">
        <v>3360</v>
      </c>
      <c r="L785" s="495" t="s">
        <v>214</v>
      </c>
      <c r="M785" s="511" t="str">
        <f>IFERROR(INDEX([1]Produtos!$C:$C,MATCH(L785,[1]Produtos!$B:$B,0)), "-")</f>
        <v>BODY SPLASH ECLIPSE DOURADO</v>
      </c>
      <c r="N785" s="511">
        <f>IFERROR(INDEX([1]Produtos!$E:$E,MATCH(L785,[1]Produtos!$B:$B,0)), "-")</f>
        <v>220</v>
      </c>
      <c r="O785" s="483" t="str">
        <f>IFERROR(INDEX([1]Produtos!$F:$F,MATCH(L785,[1]Produtos!$B:$B,0)), "-")</f>
        <v>ml</v>
      </c>
      <c r="P785" s="483" t="str">
        <f>IFERROR(INDEX([1]Produtos!$G:$G,MATCH(L785,[1]Produtos!$B:$B,0)), "-")</f>
        <v>MISS RÔSE</v>
      </c>
      <c r="Q785" s="483" t="str">
        <f>IFERROR(INDEX([1]Produtos!$H:$H,MATCH(L785,[1]Produtos!$B:$B,0)), "-")</f>
        <v>PERFUMARIA</v>
      </c>
      <c r="R785" s="483" t="str">
        <f>IFERROR(INDEX([1]Produtos!$I:$I,MATCH(L785,[1]Produtos!$B:$B,0)), "-")</f>
        <v>BODY SPLASH</v>
      </c>
      <c r="S785" s="483" t="str">
        <f>IFERROR(INDEX([1]Produtos!$J:$J,MATCH(L785,[1]Produtos!$B:$B,0)), "-")</f>
        <v>LÍQUIDO</v>
      </c>
      <c r="T785" s="484"/>
      <c r="U785" s="270"/>
      <c r="V785" s="270"/>
      <c r="W785" s="270"/>
      <c r="X785" s="270"/>
      <c r="Y785" s="270"/>
      <c r="Z785" s="270"/>
      <c r="AA785" s="270"/>
      <c r="AB785" s="270"/>
      <c r="AC785" s="270"/>
      <c r="AD785" s="270"/>
      <c r="AE785" s="270"/>
      <c r="AF785" s="270"/>
      <c r="AG785" s="270"/>
      <c r="AH785" s="270"/>
      <c r="AI785" s="270"/>
      <c r="AJ785" s="270"/>
      <c r="AK785" s="270"/>
      <c r="AL785" s="270"/>
      <c r="AM785" s="663"/>
      <c r="AN785" s="663"/>
      <c r="AO785" s="708" t="str">
        <f>IF(OR(Table1[[#This Row],[Início Setup Envase]]="",Table1[[#This Row],[Final Setup Envase]]=""),"",Table1[[#This Row],[Final Setup Envase]]-Table1[[#This Row],[Início Setup Envase]])</f>
        <v/>
      </c>
      <c r="AP785" s="663"/>
      <c r="AQ785" s="663"/>
      <c r="AR785" s="270"/>
      <c r="AS785" s="270"/>
      <c r="AT785" s="270"/>
      <c r="AU785" s="270"/>
      <c r="AV785" s="270"/>
      <c r="AW785" s="270"/>
      <c r="AX785" s="270"/>
      <c r="AY785" s="270"/>
      <c r="AZ785" s="270"/>
      <c r="BA785" s="270">
        <f>IF(Table1[[#This Row],[Data de Início]]="","",YEAR(Table1[[#This Row],[Data de Início]]))</f>
        <v>2026</v>
      </c>
      <c r="BB785" s="270">
        <f>IF(Table1[[#This Row],[Data de Início]]="","",MONTH(Table1[[#This Row],[Data de Início]]))</f>
        <v>2</v>
      </c>
      <c r="BC785" s="270"/>
    </row>
    <row r="786" spans="2:55" ht="15" customHeight="1" x14ac:dyDescent="0.25">
      <c r="B786" s="489">
        <v>46062.319444444445</v>
      </c>
      <c r="C786" s="490">
        <v>46062.463888888888</v>
      </c>
      <c r="D786" s="477" cm="1">
        <f t="array" ref="D786">IFERROR(HorasUteisFabrica2Turnos(B786,C786), "")</f>
        <v>3.46666666661622</v>
      </c>
      <c r="E786" s="478">
        <f t="shared" si="12"/>
        <v>943.55769232142291</v>
      </c>
      <c r="F786" s="479" t="s">
        <v>378</v>
      </c>
      <c r="G786" s="266" t="s">
        <v>1103</v>
      </c>
      <c r="H786" s="479"/>
      <c r="I786" s="480" t="s">
        <v>1366</v>
      </c>
      <c r="J786" s="481" t="s">
        <v>15</v>
      </c>
      <c r="K786" s="482">
        <v>3271</v>
      </c>
      <c r="L786" s="495" t="s">
        <v>214</v>
      </c>
      <c r="M786" s="511" t="str">
        <f>IFERROR(INDEX([1]Produtos!$C:$C,MATCH(L786,[1]Produtos!$B:$B,0)), "-")</f>
        <v>BODY SPLASH ECLIPSE DOURADO</v>
      </c>
      <c r="N786" s="511">
        <f>IFERROR(INDEX([1]Produtos!$E:$E,MATCH(L786,[1]Produtos!$B:$B,0)), "-")</f>
        <v>220</v>
      </c>
      <c r="O786" s="483" t="str">
        <f>IFERROR(INDEX([1]Produtos!$F:$F,MATCH(L786,[1]Produtos!$B:$B,0)), "-")</f>
        <v>ml</v>
      </c>
      <c r="P786" s="483" t="str">
        <f>IFERROR(INDEX([1]Produtos!$G:$G,MATCH(L786,[1]Produtos!$B:$B,0)), "-")</f>
        <v>MISS RÔSE</v>
      </c>
      <c r="Q786" s="483" t="str">
        <f>IFERROR(INDEX([1]Produtos!$H:$H,MATCH(L786,[1]Produtos!$B:$B,0)), "-")</f>
        <v>PERFUMARIA</v>
      </c>
      <c r="R786" s="483" t="str">
        <f>IFERROR(INDEX([1]Produtos!$I:$I,MATCH(L786,[1]Produtos!$B:$B,0)), "-")</f>
        <v>BODY SPLASH</v>
      </c>
      <c r="S786" s="483" t="str">
        <f>IFERROR(INDEX([1]Produtos!$J:$J,MATCH(L786,[1]Produtos!$B:$B,0)), "-")</f>
        <v>LÍQUIDO</v>
      </c>
      <c r="T786" s="484"/>
      <c r="U786" s="263"/>
      <c r="V786" s="264"/>
      <c r="W786" s="265"/>
      <c r="X786" s="266"/>
      <c r="Y786" s="266"/>
      <c r="Z786" s="267"/>
      <c r="AA786" s="267"/>
      <c r="AB786" s="269"/>
      <c r="AC786" s="269"/>
      <c r="AD786" s="510"/>
      <c r="AE786" s="510"/>
      <c r="AF786" s="510"/>
      <c r="AG786" s="270"/>
      <c r="AH786" s="270"/>
      <c r="AI786" s="270"/>
      <c r="AJ786" s="270"/>
      <c r="AK786" s="270"/>
      <c r="AL786" s="616"/>
      <c r="AM786" s="669"/>
      <c r="AN786" s="669"/>
      <c r="AO786" s="710" t="str">
        <f>IF(OR(Table1[[#This Row],[Início Setup Envase]]="",Table1[[#This Row],[Final Setup Envase]]=""),"",Table1[[#This Row],[Final Setup Envase]]-Table1[[#This Row],[Início Setup Envase]])</f>
        <v/>
      </c>
      <c r="AP786" s="663"/>
      <c r="AQ786" s="663"/>
      <c r="AR786" s="510"/>
      <c r="AS786" s="270"/>
      <c r="AT786" s="270"/>
      <c r="AU786" s="270"/>
      <c r="AV786" s="270"/>
      <c r="AW786" s="270"/>
      <c r="AX786" s="616"/>
      <c r="AY786" s="616"/>
      <c r="AZ786" s="616"/>
      <c r="BA786" s="730">
        <f>IF(Table1[[#This Row],[Data de Início]]="","",YEAR(Table1[[#This Row],[Data de Início]]))</f>
        <v>2026</v>
      </c>
      <c r="BB786" s="730">
        <f>IF(Table1[[#This Row],[Data de Início]]="","",MONTH(Table1[[#This Row],[Data de Início]]))</f>
        <v>2</v>
      </c>
      <c r="BC786" s="616"/>
    </row>
    <row r="787" spans="2:55" ht="15" customHeight="1" x14ac:dyDescent="0.25">
      <c r="B787" s="489">
        <v>46062.347222222219</v>
      </c>
      <c r="C787" s="490">
        <v>46062.46875</v>
      </c>
      <c r="D787" s="477" cm="1">
        <f t="array" ref="D787">IFERROR(HorasUteisFabrica2Turnos(B787,C787), "")</f>
        <v>2.9166666667442769</v>
      </c>
      <c r="E787" s="478">
        <f t="shared" si="12"/>
        <v>346.97142856219591</v>
      </c>
      <c r="F787" s="479" t="s">
        <v>377</v>
      </c>
      <c r="G787" s="266" t="s">
        <v>1356</v>
      </c>
      <c r="H787" s="479"/>
      <c r="I787" s="480" t="s">
        <v>1357</v>
      </c>
      <c r="J787" s="481" t="s">
        <v>15</v>
      </c>
      <c r="K787" s="482">
        <v>1012</v>
      </c>
      <c r="L787" s="271" t="s">
        <v>1392</v>
      </c>
      <c r="M787" s="511" t="str">
        <f>IFERROR(INDEX([1]Produtos!$C:$C,MATCH(L787,[1]Produtos!$B:$B,0)), "-")</f>
        <v>BASE PARA PERFUME FINA BASE PREMIUM 500ml</v>
      </c>
      <c r="N787" s="511">
        <f>IFERROR(INDEX([1]Produtos!$E:$E,MATCH(L787,[1]Produtos!$B:$B,0)), "-")</f>
        <v>500</v>
      </c>
      <c r="O787" s="483" t="str">
        <f>IFERROR(INDEX([1]Produtos!$F:$F,MATCH(L787,[1]Produtos!$B:$B,0)), "-")</f>
        <v>ml</v>
      </c>
      <c r="P787" s="483" t="str">
        <f>IFERROR(INDEX([1]Produtos!$G:$G,MATCH(L787,[1]Produtos!$B:$B,0)), "-")</f>
        <v>KURYOS</v>
      </c>
      <c r="Q787" s="483" t="str">
        <f>IFERROR(INDEX([1]Produtos!$H:$H,MATCH(L787,[1]Produtos!$B:$B,0)), "-")</f>
        <v>BASE</v>
      </c>
      <c r="R787" s="483" t="str">
        <f>IFERROR(INDEX([1]Produtos!$I:$I,MATCH(L787,[1]Produtos!$B:$B,0)), "-")</f>
        <v>BASE</v>
      </c>
      <c r="S787" s="483" t="str">
        <f>IFERROR(INDEX([1]Produtos!$J:$J,MATCH(L787,[1]Produtos!$B:$B,0)), "-")</f>
        <v>LÍQUIDO</v>
      </c>
      <c r="T787" s="484"/>
      <c r="U787" s="263"/>
      <c r="V787" s="264"/>
      <c r="W787" s="265"/>
      <c r="X787" s="266"/>
      <c r="Y787" s="266"/>
      <c r="Z787" s="267"/>
      <c r="AA787" s="267"/>
      <c r="AB787" s="269"/>
      <c r="AC787" s="269"/>
      <c r="AD787" s="510"/>
      <c r="AE787" s="510"/>
      <c r="AF787" s="510"/>
      <c r="AG787" s="270"/>
      <c r="AH787" s="270"/>
      <c r="AI787" s="270"/>
      <c r="AJ787" s="270"/>
      <c r="AK787" s="270"/>
      <c r="AL787" s="616"/>
      <c r="AM787" s="669"/>
      <c r="AN787" s="669"/>
      <c r="AO787" s="710" t="str">
        <f>IF(OR(Table1[[#This Row],[Início Setup Envase]]="",Table1[[#This Row],[Final Setup Envase]]=""),"",Table1[[#This Row],[Final Setup Envase]]-Table1[[#This Row],[Início Setup Envase]])</f>
        <v/>
      </c>
      <c r="AP787" s="663"/>
      <c r="AQ787" s="663"/>
      <c r="AR787" s="510"/>
      <c r="AS787" s="270"/>
      <c r="AT787" s="270"/>
      <c r="AU787" s="270"/>
      <c r="AV787" s="270"/>
      <c r="AW787" s="270"/>
      <c r="AX787" s="616"/>
      <c r="AY787" s="616"/>
      <c r="AZ787" s="616"/>
      <c r="BA787" s="730">
        <f>IF(Table1[[#This Row],[Data de Início]]="","",YEAR(Table1[[#This Row],[Data de Início]]))</f>
        <v>2026</v>
      </c>
      <c r="BB787" s="730">
        <f>IF(Table1[[#This Row],[Data de Início]]="","",MONTH(Table1[[#This Row],[Data de Início]]))</f>
        <v>2</v>
      </c>
      <c r="BC787" s="616"/>
    </row>
    <row r="788" spans="2:55" ht="15" customHeight="1" x14ac:dyDescent="0.25">
      <c r="B788" s="489">
        <v>46062.470833333333</v>
      </c>
      <c r="C788" s="490">
        <v>46062.584722222222</v>
      </c>
      <c r="D788" s="264" cm="1">
        <f t="array" ref="D788">IFERROR(HorasUteisFabrica2Turnos(B788,C788), "")</f>
        <v>1.7333333333372138</v>
      </c>
      <c r="E788" s="265">
        <f t="shared" si="12"/>
        <v>305.19230769162442</v>
      </c>
      <c r="F788" s="479" t="s">
        <v>378</v>
      </c>
      <c r="G788" s="266" t="s">
        <v>1356</v>
      </c>
      <c r="H788" s="266"/>
      <c r="I788" s="480" t="s">
        <v>1359</v>
      </c>
      <c r="J788" s="267" t="s">
        <v>15</v>
      </c>
      <c r="K788" s="482">
        <v>529</v>
      </c>
      <c r="L788" s="269" t="s">
        <v>402</v>
      </c>
      <c r="M788" s="510" t="str">
        <f>IFERROR(INDEX([1]Produtos!$C:$C,MATCH(L788,[1]Produtos!$B:$B,0)), "-")</f>
        <v>BASE PARA PERFUME FINA BASE PREMIUM 1l</v>
      </c>
      <c r="N788" s="510">
        <f>IFERROR(INDEX([1]Produtos!$E:$E,MATCH(L788,[1]Produtos!$B:$B,0)), "-")</f>
        <v>1000</v>
      </c>
      <c r="O788" s="270" t="str">
        <f>IFERROR(INDEX([1]Produtos!$F:$F,MATCH(L788,[1]Produtos!$B:$B,0)), "-")</f>
        <v>ml</v>
      </c>
      <c r="P788" s="270" t="str">
        <f>IFERROR(INDEX([1]Produtos!$G:$G,MATCH(L788,[1]Produtos!$B:$B,0)), "-")</f>
        <v>KURYOS</v>
      </c>
      <c r="Q788" s="270" t="str">
        <f>IFERROR(INDEX([1]Produtos!$H:$H,MATCH(L788,[1]Produtos!$B:$B,0)), "-")</f>
        <v>BASE</v>
      </c>
      <c r="R788" s="270" t="str">
        <f>IFERROR(INDEX([1]Produtos!$I:$I,MATCH(L788,[1]Produtos!$B:$B,0)), "-")</f>
        <v>BASE</v>
      </c>
      <c r="S788" s="483" t="str">
        <f>IFERROR(INDEX([1]Produtos!$J:$J,MATCH(L788,[1]Produtos!$B:$B,0)), "-")</f>
        <v>LÍQUIDO</v>
      </c>
      <c r="T788" s="475"/>
      <c r="U788" s="263"/>
      <c r="V788" s="264"/>
      <c r="W788" s="265"/>
      <c r="X788" s="266"/>
      <c r="Y788" s="266"/>
      <c r="Z788" s="269"/>
      <c r="AA788" s="267"/>
      <c r="AB788" s="268"/>
      <c r="AC788" s="269"/>
      <c r="AD788" s="510"/>
      <c r="AE788" s="510"/>
      <c r="AF788" s="510"/>
      <c r="AG788" s="270"/>
      <c r="AH788" s="270"/>
      <c r="AI788" s="270"/>
      <c r="AJ788" s="270"/>
      <c r="AK788" s="270"/>
      <c r="AL788" s="616"/>
      <c r="AM788" s="669"/>
      <c r="AN788" s="669"/>
      <c r="AO788" s="710" t="str">
        <f>IF(OR(Table1[[#This Row],[Início Setup Envase]]="",Table1[[#This Row],[Final Setup Envase]]=""),"",Table1[[#This Row],[Final Setup Envase]]-Table1[[#This Row],[Início Setup Envase]])</f>
        <v/>
      </c>
      <c r="AP788" s="663"/>
      <c r="AQ788" s="663"/>
      <c r="AR788" s="510"/>
      <c r="AS788" s="270"/>
      <c r="AT788" s="270"/>
      <c r="AU788" s="270"/>
      <c r="AV788" s="270"/>
      <c r="AW788" s="270"/>
      <c r="AX788" s="616"/>
      <c r="AY788" s="616"/>
      <c r="AZ788" s="616"/>
      <c r="BA788" s="730">
        <f>IF(Table1[[#This Row],[Data de Início]]="","",YEAR(Table1[[#This Row],[Data de Início]]))</f>
        <v>2026</v>
      </c>
      <c r="BB788" s="730">
        <f>IF(Table1[[#This Row],[Data de Início]]="","",MONTH(Table1[[#This Row],[Data de Início]]))</f>
        <v>2</v>
      </c>
      <c r="BC788" s="616"/>
    </row>
    <row r="789" spans="2:55" ht="15" customHeight="1" x14ac:dyDescent="0.25">
      <c r="B789" s="489">
        <v>46062.479166666664</v>
      </c>
      <c r="C789" s="490">
        <v>46062.495833333334</v>
      </c>
      <c r="D789" s="264" cm="1">
        <f t="array" ref="D789">IFERROR(HorasUteisFabrica2Turnos(B789,C789), "")</f>
        <v>0.40000000008149073</v>
      </c>
      <c r="E789" s="265">
        <f t="shared" si="12"/>
        <v>677.49999986197508</v>
      </c>
      <c r="F789" s="479" t="s">
        <v>378</v>
      </c>
      <c r="G789" s="266" t="s">
        <v>1103</v>
      </c>
      <c r="H789" s="266"/>
      <c r="I789" s="480" t="s">
        <v>1355</v>
      </c>
      <c r="J789" s="267" t="s">
        <v>15</v>
      </c>
      <c r="K789" s="482">
        <v>271</v>
      </c>
      <c r="L789" s="495" t="s">
        <v>213</v>
      </c>
      <c r="M789" s="510" t="str">
        <f>IFERROR(INDEX([1]Produtos!$C:$C,MATCH(L789,[1]Produtos!$B:$B,0)), "-")</f>
        <v>BODY SPLASH DEUSA DO NILO</v>
      </c>
      <c r="N789" s="510">
        <f>IFERROR(INDEX([1]Produtos!$E:$E,MATCH(L789,[1]Produtos!$B:$B,0)), "-")</f>
        <v>220</v>
      </c>
      <c r="O789" s="270" t="str">
        <f>IFERROR(INDEX([1]Produtos!$F:$F,MATCH(L789,[1]Produtos!$B:$B,0)), "-")</f>
        <v>ml</v>
      </c>
      <c r="P789" s="270" t="str">
        <f>IFERROR(INDEX([1]Produtos!$G:$G,MATCH(L789,[1]Produtos!$B:$B,0)), "-")</f>
        <v>MISS RÔSE</v>
      </c>
      <c r="Q789" s="270" t="str">
        <f>IFERROR(INDEX([1]Produtos!$H:$H,MATCH(L789,[1]Produtos!$B:$B,0)), "-")</f>
        <v>PERFUMARIA</v>
      </c>
      <c r="R789" s="270" t="str">
        <f>IFERROR(INDEX([1]Produtos!$I:$I,MATCH(L789,[1]Produtos!$B:$B,0)), "-")</f>
        <v>BODY SPLASH</v>
      </c>
      <c r="S789" s="483" t="str">
        <f>IFERROR(INDEX([1]Produtos!$J:$J,MATCH(L789,[1]Produtos!$B:$B,0)), "-")</f>
        <v>LÍQUIDO</v>
      </c>
      <c r="T789" s="475"/>
      <c r="U789" s="263"/>
      <c r="V789" s="264"/>
      <c r="W789" s="265"/>
      <c r="X789" s="266"/>
      <c r="Y789" s="266"/>
      <c r="Z789" s="269"/>
      <c r="AA789" s="267"/>
      <c r="AB789" s="268"/>
      <c r="AC789" s="269"/>
      <c r="AD789" s="510"/>
      <c r="AE789" s="510"/>
      <c r="AF789" s="510"/>
      <c r="AG789" s="270"/>
      <c r="AH789" s="270"/>
      <c r="AI789" s="270"/>
      <c r="AJ789" s="270"/>
      <c r="AK789" s="270"/>
      <c r="AL789" s="616"/>
      <c r="AM789" s="669"/>
      <c r="AN789" s="669"/>
      <c r="AO789" s="710" t="str">
        <f>IF(OR(Table1[[#This Row],[Início Setup Envase]]="",Table1[[#This Row],[Final Setup Envase]]=""),"",Table1[[#This Row],[Final Setup Envase]]-Table1[[#This Row],[Início Setup Envase]])</f>
        <v/>
      </c>
      <c r="AP789" s="663"/>
      <c r="AQ789" s="663"/>
      <c r="AR789" s="510"/>
      <c r="AS789" s="270"/>
      <c r="AT789" s="270"/>
      <c r="AU789" s="270"/>
      <c r="AV789" s="270"/>
      <c r="AW789" s="270"/>
      <c r="AX789" s="616"/>
      <c r="AY789" s="616"/>
      <c r="AZ789" s="616"/>
      <c r="BA789" s="730">
        <f>IF(Table1[[#This Row],[Data de Início]]="","",YEAR(Table1[[#This Row],[Data de Início]]))</f>
        <v>2026</v>
      </c>
      <c r="BB789" s="730">
        <f>IF(Table1[[#This Row],[Data de Início]]="","",MONTH(Table1[[#This Row],[Data de Início]]))</f>
        <v>2</v>
      </c>
      <c r="BC789" s="616"/>
    </row>
    <row r="790" spans="2:55" ht="15" customHeight="1" x14ac:dyDescent="0.25">
      <c r="B790" s="489">
        <v>46062.496527777781</v>
      </c>
      <c r="C790" s="490">
        <v>46062.684027777781</v>
      </c>
      <c r="D790" s="264" cm="1">
        <f t="array" ref="D790">IFERROR(HorasUteisFabrica2Turnos(B790,C790), "")</f>
        <v>3.5</v>
      </c>
      <c r="E790" s="265">
        <f t="shared" si="12"/>
        <v>754.28571428571433</v>
      </c>
      <c r="F790" s="479" t="s">
        <v>378</v>
      </c>
      <c r="G790" s="266" t="s">
        <v>1103</v>
      </c>
      <c r="H790" s="266"/>
      <c r="I790" s="480" t="s">
        <v>1354</v>
      </c>
      <c r="J790" s="267" t="s">
        <v>15</v>
      </c>
      <c r="K790" s="482">
        <v>2640</v>
      </c>
      <c r="L790" s="495" t="s">
        <v>213</v>
      </c>
      <c r="M790" s="510" t="str">
        <f>IFERROR(INDEX([1]Produtos!$C:$C,MATCH(L790,[1]Produtos!$B:$B,0)), "-")</f>
        <v>BODY SPLASH DEUSA DO NILO</v>
      </c>
      <c r="N790" s="510">
        <f>IFERROR(INDEX([1]Produtos!$E:$E,MATCH(L790,[1]Produtos!$B:$B,0)), "-")</f>
        <v>220</v>
      </c>
      <c r="O790" s="270" t="str">
        <f>IFERROR(INDEX([1]Produtos!$F:$F,MATCH(L790,[1]Produtos!$B:$B,0)), "-")</f>
        <v>ml</v>
      </c>
      <c r="P790" s="270" t="str">
        <f>IFERROR(INDEX([1]Produtos!$G:$G,MATCH(L790,[1]Produtos!$B:$B,0)), "-")</f>
        <v>MISS RÔSE</v>
      </c>
      <c r="Q790" s="270" t="str">
        <f>IFERROR(INDEX([1]Produtos!$H:$H,MATCH(L790,[1]Produtos!$B:$B,0)), "-")</f>
        <v>PERFUMARIA</v>
      </c>
      <c r="R790" s="270" t="str">
        <f>IFERROR(INDEX([1]Produtos!$I:$I,MATCH(L790,[1]Produtos!$B:$B,0)), "-")</f>
        <v>BODY SPLASH</v>
      </c>
      <c r="S790" s="483" t="str">
        <f>IFERROR(INDEX([1]Produtos!$J:$J,MATCH(L790,[1]Produtos!$B:$B,0)), "-")</f>
        <v>LÍQUIDO</v>
      </c>
      <c r="T790" s="475"/>
      <c r="U790" s="510"/>
      <c r="V790" s="510"/>
      <c r="W790" s="510"/>
      <c r="X790" s="510"/>
      <c r="Y790" s="510"/>
      <c r="Z790" s="510"/>
      <c r="AA790" s="510"/>
      <c r="AB790" s="510"/>
      <c r="AC790" s="510"/>
      <c r="AD790" s="510"/>
      <c r="AE790" s="510"/>
      <c r="AF790" s="510"/>
      <c r="AG790" s="510"/>
      <c r="AH790" s="510"/>
      <c r="AI790" s="270"/>
      <c r="AJ790" s="270"/>
      <c r="AK790" s="270"/>
      <c r="AL790" s="616"/>
      <c r="AM790" s="663"/>
      <c r="AN790" s="663"/>
      <c r="AO790" s="708" t="str">
        <f>IF(OR(Table1[[#This Row],[Início Setup Envase]]="",Table1[[#This Row],[Final Setup Envase]]=""),"",Table1[[#This Row],[Final Setup Envase]]-Table1[[#This Row],[Início Setup Envase]])</f>
        <v/>
      </c>
      <c r="AP790" s="663"/>
      <c r="AQ790" s="663"/>
      <c r="AR790" s="510"/>
      <c r="AS790" s="510"/>
      <c r="AT790" s="510"/>
      <c r="AU790" s="270"/>
      <c r="AV790" s="270"/>
      <c r="AW790" s="270"/>
      <c r="AX790" s="616"/>
      <c r="AY790" s="616"/>
      <c r="AZ790" s="616"/>
      <c r="BA790" s="730">
        <f>IF(Table1[[#This Row],[Data de Início]]="","",YEAR(Table1[[#This Row],[Data de Início]]))</f>
        <v>2026</v>
      </c>
      <c r="BB790" s="730">
        <f>IF(Table1[[#This Row],[Data de Início]]="","",MONTH(Table1[[#This Row],[Data de Início]]))</f>
        <v>2</v>
      </c>
      <c r="BC790" s="616"/>
    </row>
    <row r="791" spans="2:55" ht="15" customHeight="1" x14ac:dyDescent="0.25">
      <c r="B791" s="489">
        <v>46062.586805555555</v>
      </c>
      <c r="C791" s="490">
        <v>46062.640972222223</v>
      </c>
      <c r="D791" s="477" cm="1">
        <f t="array" ref="D791">IFERROR(HorasUteisFabrica2Turnos(B791,C791), "")</f>
        <v>1.3000000000465661</v>
      </c>
      <c r="E791" s="478">
        <f t="shared" si="12"/>
        <v>337.69230768021151</v>
      </c>
      <c r="F791" s="479" t="s">
        <v>377</v>
      </c>
      <c r="G791" s="266" t="s">
        <v>1356</v>
      </c>
      <c r="H791" s="479"/>
      <c r="I791" s="480" t="s">
        <v>1358</v>
      </c>
      <c r="J791" s="481" t="s">
        <v>15</v>
      </c>
      <c r="K791" s="482">
        <v>439</v>
      </c>
      <c r="L791" s="518" t="s">
        <v>402</v>
      </c>
      <c r="M791" s="511" t="str">
        <f>IFERROR(INDEX([1]Produtos!$C:$C,MATCH(L791,[1]Produtos!$B:$B,0)), "-")</f>
        <v>BASE PARA PERFUME FINA BASE PREMIUM 1l</v>
      </c>
      <c r="N791" s="511">
        <f>IFERROR(INDEX([1]Produtos!$E:$E,MATCH(L791,[1]Produtos!$B:$B,0)), "-")</f>
        <v>1000</v>
      </c>
      <c r="O791" s="483" t="str">
        <f>IFERROR(INDEX([1]Produtos!$F:$F,MATCH(L791,[1]Produtos!$B:$B,0)), "-")</f>
        <v>ml</v>
      </c>
      <c r="P791" s="483" t="str">
        <f>IFERROR(INDEX([1]Produtos!$G:$G,MATCH(L791,[1]Produtos!$B:$B,0)), "-")</f>
        <v>KURYOS</v>
      </c>
      <c r="Q791" s="483" t="str">
        <f>IFERROR(INDEX([1]Produtos!$H:$H,MATCH(L791,[1]Produtos!$B:$B,0)), "-")</f>
        <v>BASE</v>
      </c>
      <c r="R791" s="483" t="str">
        <f>IFERROR(INDEX([1]Produtos!$I:$I,MATCH(L791,[1]Produtos!$B:$B,0)), "-")</f>
        <v>BASE</v>
      </c>
      <c r="S791" s="270" t="str">
        <f>IFERROR(INDEX([1]Produtos!$J:$J,MATCH(L791,[1]Produtos!$B:$B,0)), "-")</f>
        <v>LÍQUIDO</v>
      </c>
      <c r="T791" s="484"/>
      <c r="U791" s="510"/>
      <c r="V791" s="510"/>
      <c r="W791" s="510"/>
      <c r="X791" s="510"/>
      <c r="Y791" s="510"/>
      <c r="Z791" s="510"/>
      <c r="AA791" s="510"/>
      <c r="AB791" s="510"/>
      <c r="AC791" s="510"/>
      <c r="AD791" s="510"/>
      <c r="AE791" s="510"/>
      <c r="AF791" s="510"/>
      <c r="AG791" s="510"/>
      <c r="AH791" s="510"/>
      <c r="AI791" s="270"/>
      <c r="AJ791" s="270"/>
      <c r="AK791" s="270"/>
      <c r="AL791" s="616"/>
      <c r="AM791" s="663"/>
      <c r="AN791" s="663"/>
      <c r="AO791" s="708" t="str">
        <f>IF(OR(Table1[[#This Row],[Início Setup Envase]]="",Table1[[#This Row],[Final Setup Envase]]=""),"",Table1[[#This Row],[Final Setup Envase]]-Table1[[#This Row],[Início Setup Envase]])</f>
        <v/>
      </c>
      <c r="AP791" s="663"/>
      <c r="AQ791" s="663"/>
      <c r="AR791" s="510"/>
      <c r="AS791" s="510"/>
      <c r="AT791" s="510"/>
      <c r="AU791" s="270"/>
      <c r="AV791" s="270"/>
      <c r="AW791" s="270"/>
      <c r="AX791" s="616"/>
      <c r="AY791" s="616"/>
      <c r="AZ791" s="616"/>
      <c r="BA791" s="730">
        <f>IF(Table1[[#This Row],[Data de Início]]="","",YEAR(Table1[[#This Row],[Data de Início]]))</f>
        <v>2026</v>
      </c>
      <c r="BB791" s="730">
        <f>IF(Table1[[#This Row],[Data de Início]]="","",MONTH(Table1[[#This Row],[Data de Início]]))</f>
        <v>2</v>
      </c>
      <c r="BC791" s="616"/>
    </row>
    <row r="792" spans="2:55" ht="15" customHeight="1" x14ac:dyDescent="0.25">
      <c r="B792" s="489">
        <v>46062.684027777781</v>
      </c>
      <c r="C792" s="490">
        <v>46063.39166666667</v>
      </c>
      <c r="D792" s="477" cm="1">
        <f t="array" ref="D792">IFERROR(HorasUteisFabrica2Turnos(B792,C792), "")</f>
        <v>2.9833333334536292</v>
      </c>
      <c r="E792" s="478">
        <f t="shared" si="12"/>
        <v>797.09497203489809</v>
      </c>
      <c r="F792" s="479" t="s">
        <v>378</v>
      </c>
      <c r="G792" s="266" t="s">
        <v>1103</v>
      </c>
      <c r="H792" s="479"/>
      <c r="I792" s="480" t="s">
        <v>1361</v>
      </c>
      <c r="J792" s="481" t="s">
        <v>15</v>
      </c>
      <c r="K792" s="482">
        <v>2378</v>
      </c>
      <c r="L792" s="495" t="s">
        <v>213</v>
      </c>
      <c r="M792" s="511" t="str">
        <f>IFERROR(INDEX([1]Produtos!$C:$C,MATCH(L792,[1]Produtos!$B:$B,0)), "-")</f>
        <v>BODY SPLASH DEUSA DO NILO</v>
      </c>
      <c r="N792" s="511">
        <f>IFERROR(INDEX([1]Produtos!$E:$E,MATCH(L792,[1]Produtos!$B:$B,0)), "-")</f>
        <v>220</v>
      </c>
      <c r="O792" s="483" t="str">
        <f>IFERROR(INDEX([1]Produtos!$F:$F,MATCH(L792,[1]Produtos!$B:$B,0)), "-")</f>
        <v>ml</v>
      </c>
      <c r="P792" s="483" t="str">
        <f>IFERROR(INDEX([1]Produtos!$G:$G,MATCH(L792,[1]Produtos!$B:$B,0)), "-")</f>
        <v>MISS RÔSE</v>
      </c>
      <c r="Q792" s="483" t="str">
        <f>IFERROR(INDEX([1]Produtos!$H:$H,MATCH(L792,[1]Produtos!$B:$B,0)), "-")</f>
        <v>PERFUMARIA</v>
      </c>
      <c r="R792" s="483" t="str">
        <f>IFERROR(INDEX([1]Produtos!$I:$I,MATCH(L792,[1]Produtos!$B:$B,0)), "-")</f>
        <v>BODY SPLASH</v>
      </c>
      <c r="S792" s="270" t="str">
        <f>IFERROR(INDEX([1]Produtos!$J:$J,MATCH(L792,[1]Produtos!$B:$B,0)), "-")</f>
        <v>LÍQUIDO</v>
      </c>
      <c r="T792" s="484"/>
      <c r="U792" s="510"/>
      <c r="V792" s="510"/>
      <c r="W792" s="510"/>
      <c r="X792" s="510"/>
      <c r="Y792" s="510"/>
      <c r="Z792" s="510"/>
      <c r="AA792" s="510"/>
      <c r="AB792" s="510"/>
      <c r="AC792" s="510"/>
      <c r="AD792" s="510"/>
      <c r="AE792" s="510"/>
      <c r="AF792" s="510"/>
      <c r="AG792" s="510"/>
      <c r="AH792" s="510"/>
      <c r="AI792" s="270"/>
      <c r="AJ792" s="270"/>
      <c r="AK792" s="270"/>
      <c r="AL792" s="270"/>
      <c r="AM792" s="663"/>
      <c r="AN792" s="663"/>
      <c r="AO792" s="708" t="str">
        <f>IF(OR(Table1[[#This Row],[Início Setup Envase]]="",Table1[[#This Row],[Final Setup Envase]]=""),"",Table1[[#This Row],[Final Setup Envase]]-Table1[[#This Row],[Início Setup Envase]])</f>
        <v/>
      </c>
      <c r="AP792" s="663"/>
      <c r="AQ792" s="663"/>
      <c r="AR792" s="510"/>
      <c r="AS792" s="510"/>
      <c r="AT792" s="510"/>
      <c r="AU792" s="270"/>
      <c r="AV792" s="270"/>
      <c r="AW792" s="270"/>
      <c r="AX792" s="270"/>
      <c r="AY792" s="270"/>
      <c r="AZ792" s="270"/>
      <c r="BA792" s="270">
        <f>IF(Table1[[#This Row],[Data de Início]]="","",YEAR(Table1[[#This Row],[Data de Início]]))</f>
        <v>2026</v>
      </c>
      <c r="BB792" s="270">
        <f>IF(Table1[[#This Row],[Data de Início]]="","",MONTH(Table1[[#This Row],[Data de Início]]))</f>
        <v>2</v>
      </c>
      <c r="BC792" s="270"/>
    </row>
    <row r="793" spans="2:55" ht="15" customHeight="1" x14ac:dyDescent="0.25">
      <c r="B793" s="489">
        <v>46063.392430555556</v>
      </c>
      <c r="C793" s="490">
        <v>46063.541666666664</v>
      </c>
      <c r="D793" s="477" cm="1">
        <f t="array" ref="D793">IFERROR(HorasUteisFabrica2Turnos(B793,C793), "")</f>
        <v>3.5816666666069068</v>
      </c>
      <c r="E793" s="478">
        <f t="shared" si="12"/>
        <v>734.01582132448527</v>
      </c>
      <c r="F793" s="479" t="s">
        <v>378</v>
      </c>
      <c r="G793" s="266" t="s">
        <v>1103</v>
      </c>
      <c r="H793" s="479"/>
      <c r="I793" s="480" t="s">
        <v>1360</v>
      </c>
      <c r="J793" s="481" t="s">
        <v>15</v>
      </c>
      <c r="K793" s="482">
        <v>2629</v>
      </c>
      <c r="L793" s="495" t="s">
        <v>213</v>
      </c>
      <c r="M793" s="511" t="str">
        <f>IFERROR(INDEX([1]Produtos!$C:$C,MATCH(L793,[1]Produtos!$B:$B,0)), "-")</f>
        <v>BODY SPLASH DEUSA DO NILO</v>
      </c>
      <c r="N793" s="511">
        <f>IFERROR(INDEX([1]Produtos!$E:$E,MATCH(L793,[1]Produtos!$B:$B,0)), "-")</f>
        <v>220</v>
      </c>
      <c r="O793" s="483" t="str">
        <f>IFERROR(INDEX([1]Produtos!$F:$F,MATCH(L793,[1]Produtos!$B:$B,0)), "-")</f>
        <v>ml</v>
      </c>
      <c r="P793" s="483" t="str">
        <f>IFERROR(INDEX([1]Produtos!$G:$G,MATCH(L793,[1]Produtos!$B:$B,0)), "-")</f>
        <v>MISS RÔSE</v>
      </c>
      <c r="Q793" s="483" t="str">
        <f>IFERROR(INDEX([1]Produtos!$H:$H,MATCH(L793,[1]Produtos!$B:$B,0)), "-")</f>
        <v>PERFUMARIA</v>
      </c>
      <c r="R793" s="483" t="str">
        <f>IFERROR(INDEX([1]Produtos!$I:$I,MATCH(L793,[1]Produtos!$B:$B,0)), "-")</f>
        <v>BODY SPLASH</v>
      </c>
      <c r="S793" s="483" t="str">
        <f>IFERROR(INDEX([1]Produtos!$J:$J,MATCH(L793,[1]Produtos!$B:$B,0)), "-")</f>
        <v>LÍQUIDO</v>
      </c>
      <c r="T793" s="484"/>
      <c r="U793" s="510"/>
      <c r="V793" s="510"/>
      <c r="W793" s="510"/>
      <c r="X793" s="510"/>
      <c r="Y793" s="510"/>
      <c r="Z793" s="510"/>
      <c r="AA793" s="510"/>
      <c r="AB793" s="510"/>
      <c r="AC793" s="510"/>
      <c r="AD793" s="510"/>
      <c r="AE793" s="510"/>
      <c r="AF793" s="510"/>
      <c r="AG793" s="510"/>
      <c r="AH793" s="510"/>
      <c r="AI793" s="270"/>
      <c r="AJ793" s="270"/>
      <c r="AK793" s="270"/>
      <c r="AL793" s="270"/>
      <c r="AM793" s="663"/>
      <c r="AN793" s="663"/>
      <c r="AO793" s="708" t="str">
        <f>IF(OR(Table1[[#This Row],[Início Setup Envase]]="",Table1[[#This Row],[Final Setup Envase]]=""),"",Table1[[#This Row],[Final Setup Envase]]-Table1[[#This Row],[Início Setup Envase]])</f>
        <v/>
      </c>
      <c r="AP793" s="663"/>
      <c r="AQ793" s="663"/>
      <c r="AR793" s="510"/>
      <c r="AS793" s="510"/>
      <c r="AT793" s="510"/>
      <c r="AU793" s="270"/>
      <c r="AV793" s="270"/>
      <c r="AW793" s="270"/>
      <c r="AX793" s="270"/>
      <c r="AY793" s="270"/>
      <c r="AZ793" s="270"/>
      <c r="BA793" s="270">
        <f>IF(Table1[[#This Row],[Data de Início]]="","",YEAR(Table1[[#This Row],[Data de Início]]))</f>
        <v>2026</v>
      </c>
      <c r="BB793" s="270">
        <f>IF(Table1[[#This Row],[Data de Início]]="","",MONTH(Table1[[#This Row],[Data de Início]]))</f>
        <v>2</v>
      </c>
      <c r="BC793" s="270"/>
    </row>
    <row r="794" spans="2:55" ht="15" customHeight="1" x14ac:dyDescent="0.25">
      <c r="B794" s="489">
        <v>46063.416666666664</v>
      </c>
      <c r="C794" s="490">
        <v>46063.486805555556</v>
      </c>
      <c r="D794" s="477" cm="1">
        <f t="array" ref="D794">IFERROR(HorasUteisFabrica2Turnos(B794,C794), "")</f>
        <v>1.683333333407063</v>
      </c>
      <c r="E794" s="478">
        <f t="shared" si="12"/>
        <v>343.36633661862396</v>
      </c>
      <c r="F794" s="479" t="s">
        <v>377</v>
      </c>
      <c r="G794" s="266" t="s">
        <v>1356</v>
      </c>
      <c r="H794" s="479"/>
      <c r="I794" s="480" t="s">
        <v>1371</v>
      </c>
      <c r="J794" s="481" t="s">
        <v>15</v>
      </c>
      <c r="K794" s="482">
        <v>578</v>
      </c>
      <c r="L794" s="495" t="s">
        <v>886</v>
      </c>
      <c r="M794" s="511" t="str">
        <f>IFERROR(INDEX([1]Produtos!$C:$C,MATCH(L794,[1]Produtos!$B:$B,0)), "-")</f>
        <v>BASE PARA PERFUME FINA BASE 1l</v>
      </c>
      <c r="N794" s="511">
        <f>IFERROR(INDEX([1]Produtos!$E:$E,MATCH(L794,[1]Produtos!$B:$B,0)), "-")</f>
        <v>1000</v>
      </c>
      <c r="O794" s="483" t="str">
        <f>IFERROR(INDEX([1]Produtos!$F:$F,MATCH(L794,[1]Produtos!$B:$B,0)), "-")</f>
        <v>ml</v>
      </c>
      <c r="P794" s="483" t="str">
        <f>IFERROR(INDEX([1]Produtos!$G:$G,MATCH(L794,[1]Produtos!$B:$B,0)), "-")</f>
        <v>KURYOS</v>
      </c>
      <c r="Q794" s="483" t="str">
        <f>IFERROR(INDEX([1]Produtos!$H:$H,MATCH(L794,[1]Produtos!$B:$B,0)), "-")</f>
        <v>BASE</v>
      </c>
      <c r="R794" s="483" t="str">
        <f>IFERROR(INDEX([1]Produtos!$I:$I,MATCH(L794,[1]Produtos!$B:$B,0)), "-")</f>
        <v>BASE</v>
      </c>
      <c r="S794" s="483" t="str">
        <f>IFERROR(INDEX([1]Produtos!$J:$J,MATCH(L794,[1]Produtos!$B:$B,0)), "-")</f>
        <v>LÍQUIDO</v>
      </c>
      <c r="T794" s="484"/>
      <c r="U794" s="510"/>
      <c r="V794" s="510"/>
      <c r="W794" s="510"/>
      <c r="X794" s="510"/>
      <c r="Y794" s="510"/>
      <c r="Z794" s="510"/>
      <c r="AA794" s="510"/>
      <c r="AB794" s="510"/>
      <c r="AC794" s="510"/>
      <c r="AD794" s="510"/>
      <c r="AE794" s="510"/>
      <c r="AF794" s="510"/>
      <c r="AG794" s="510"/>
      <c r="AH794" s="510"/>
      <c r="AI794" s="270"/>
      <c r="AJ794" s="270"/>
      <c r="AK794" s="270"/>
      <c r="AL794" s="270"/>
      <c r="AM794" s="663"/>
      <c r="AN794" s="663"/>
      <c r="AO794" s="708" t="str">
        <f>IF(OR(Table1[[#This Row],[Início Setup Envase]]="",Table1[[#This Row],[Final Setup Envase]]=""),"",Table1[[#This Row],[Final Setup Envase]]-Table1[[#This Row],[Início Setup Envase]])</f>
        <v/>
      </c>
      <c r="AP794" s="663"/>
      <c r="AQ794" s="663"/>
      <c r="AR794" s="510"/>
      <c r="AS794" s="510"/>
      <c r="AT794" s="510"/>
      <c r="AU794" s="270"/>
      <c r="AV794" s="270"/>
      <c r="AW794" s="270"/>
      <c r="AX794" s="270"/>
      <c r="AY794" s="270"/>
      <c r="AZ794" s="270"/>
      <c r="BA794" s="270">
        <f>IF(Table1[[#This Row],[Data de Início]]="","",YEAR(Table1[[#This Row],[Data de Início]]))</f>
        <v>2026</v>
      </c>
      <c r="BB794" s="270">
        <f>IF(Table1[[#This Row],[Data de Início]]="","",MONTH(Table1[[#This Row],[Data de Início]]))</f>
        <v>2</v>
      </c>
      <c r="BC794" s="270"/>
    </row>
    <row r="795" spans="2:55" ht="15" customHeight="1" x14ac:dyDescent="0.25">
      <c r="B795" s="489">
        <v>46063.486805555556</v>
      </c>
      <c r="C795" s="490">
        <v>46063.677083333336</v>
      </c>
      <c r="D795" s="477" cm="1">
        <f t="array" ref="D795">IFERROR(HorasUteisFabrica2Turnos(B795,C795), "")</f>
        <v>3.5666666667093523</v>
      </c>
      <c r="E795" s="478">
        <f t="shared" si="12"/>
        <v>86.074766354110054</v>
      </c>
      <c r="F795" s="479" t="s">
        <v>377</v>
      </c>
      <c r="G795" s="266" t="s">
        <v>1356</v>
      </c>
      <c r="H795" s="479"/>
      <c r="I795" s="480" t="s">
        <v>1370</v>
      </c>
      <c r="J795" s="481" t="s">
        <v>15</v>
      </c>
      <c r="K795" s="482">
        <v>307</v>
      </c>
      <c r="L795" s="495" t="s">
        <v>886</v>
      </c>
      <c r="M795" s="511" t="s">
        <v>1433</v>
      </c>
      <c r="N795" s="511">
        <f>IFERROR(INDEX([1]Produtos!$E:$E,MATCH(L795,[1]Produtos!$B:$B,0)), "-")</f>
        <v>1000</v>
      </c>
      <c r="O795" s="483" t="str">
        <f>IFERROR(INDEX([1]Produtos!$F:$F,MATCH(L795,[1]Produtos!$B:$B,0)), "-")</f>
        <v>ml</v>
      </c>
      <c r="P795" s="483" t="str">
        <f>IFERROR(INDEX([1]Produtos!$G:$G,MATCH(L795,[1]Produtos!$B:$B,0)), "-")</f>
        <v>KURYOS</v>
      </c>
      <c r="Q795" s="483" t="str">
        <f>IFERROR(INDEX([1]Produtos!$H:$H,MATCH(L795,[1]Produtos!$B:$B,0)), "-")</f>
        <v>BASE</v>
      </c>
      <c r="R795" s="483" t="str">
        <f>IFERROR(INDEX([1]Produtos!$I:$I,MATCH(L795,[1]Produtos!$B:$B,0)), "-")</f>
        <v>BASE</v>
      </c>
      <c r="S795" s="483" t="str">
        <f>IFERROR(INDEX([1]Produtos!$J:$J,MATCH(L795,[1]Produtos!$B:$B,0)), "-")</f>
        <v>LÍQUIDO</v>
      </c>
      <c r="T795" s="484"/>
      <c r="U795" s="510"/>
      <c r="V795" s="510"/>
      <c r="W795" s="510"/>
      <c r="X795" s="510"/>
      <c r="Y795" s="510"/>
      <c r="Z795" s="510"/>
      <c r="AA795" s="510"/>
      <c r="AB795" s="510"/>
      <c r="AC795" s="510"/>
      <c r="AD795" s="510"/>
      <c r="AE795" s="510"/>
      <c r="AF795" s="510"/>
      <c r="AG795" s="510"/>
      <c r="AH795" s="510"/>
      <c r="AI795" s="270"/>
      <c r="AJ795" s="270"/>
      <c r="AK795" s="270"/>
      <c r="AL795" s="270"/>
      <c r="AM795" s="663"/>
      <c r="AN795" s="663"/>
      <c r="AO795" s="708" t="str">
        <f>IF(OR(Table1[[#This Row],[Início Setup Envase]]="",Table1[[#This Row],[Final Setup Envase]]=""),"",Table1[[#This Row],[Final Setup Envase]]-Table1[[#This Row],[Início Setup Envase]])</f>
        <v/>
      </c>
      <c r="AP795" s="663"/>
      <c r="AQ795" s="663"/>
      <c r="AR795" s="510"/>
      <c r="AS795" s="510"/>
      <c r="AT795" s="510"/>
      <c r="AU795" s="270"/>
      <c r="AV795" s="270"/>
      <c r="AW795" s="270"/>
      <c r="AX795" s="270"/>
      <c r="AY795" s="270"/>
      <c r="AZ795" s="270"/>
      <c r="BA795" s="270">
        <f>IF(Table1[[#This Row],[Data de Início]]="","",YEAR(Table1[[#This Row],[Data de Início]]))</f>
        <v>2026</v>
      </c>
      <c r="BB795" s="270">
        <f>IF(Table1[[#This Row],[Data de Início]]="","",MONTH(Table1[[#This Row],[Data de Início]]))</f>
        <v>2</v>
      </c>
      <c r="BC795" s="270"/>
    </row>
    <row r="796" spans="2:55" ht="15" customHeight="1" x14ac:dyDescent="0.25">
      <c r="B796" s="489">
        <v>46063.583333333336</v>
      </c>
      <c r="C796" s="490">
        <v>46063.677083333336</v>
      </c>
      <c r="D796" s="477" cm="1">
        <f t="array" ref="D796">IFERROR(HorasUteisFabrica2Turnos(B796,C796), "")</f>
        <v>2.25</v>
      </c>
      <c r="E796" s="478">
        <f t="shared" si="12"/>
        <v>1015.5555555555555</v>
      </c>
      <c r="F796" s="479" t="s">
        <v>378</v>
      </c>
      <c r="G796" s="266" t="s">
        <v>1103</v>
      </c>
      <c r="H796" s="479"/>
      <c r="I796" s="481" t="s">
        <v>1369</v>
      </c>
      <c r="J796" s="481" t="s">
        <v>15</v>
      </c>
      <c r="K796" s="495">
        <v>2285</v>
      </c>
      <c r="L796" s="495" t="s">
        <v>213</v>
      </c>
      <c r="M796" s="511" t="str">
        <f>IFERROR(INDEX([1]Produtos!$C:$C,MATCH(L796,[1]Produtos!$B:$B,0)), "-")</f>
        <v>BODY SPLASH DEUSA DO NILO</v>
      </c>
      <c r="N796" s="511">
        <f>IFERROR(INDEX([1]Produtos!$E:$E,MATCH(L796,[1]Produtos!$B:$B,0)), "-")</f>
        <v>220</v>
      </c>
      <c r="O796" s="483" t="str">
        <f>IFERROR(INDEX([1]Produtos!$F:$F,MATCH(L796,[1]Produtos!$B:$B,0)), "-")</f>
        <v>ml</v>
      </c>
      <c r="P796" s="483" t="str">
        <f>IFERROR(INDEX([1]Produtos!$G:$G,MATCH(L796,[1]Produtos!$B:$B,0)), "-")</f>
        <v>MISS RÔSE</v>
      </c>
      <c r="Q796" s="483" t="str">
        <f>IFERROR(INDEX([1]Produtos!$H:$H,MATCH(L796,[1]Produtos!$B:$B,0)), "-")</f>
        <v>PERFUMARIA</v>
      </c>
      <c r="R796" s="483" t="str">
        <f>IFERROR(INDEX([1]Produtos!$I:$I,MATCH(L796,[1]Produtos!$B:$B,0)), "-")</f>
        <v>BODY SPLASH</v>
      </c>
      <c r="S796" s="483" t="str">
        <f>IFERROR(INDEX([1]Produtos!$J:$J,MATCH(L796,[1]Produtos!$B:$B,0)), "-")</f>
        <v>LÍQUIDO</v>
      </c>
      <c r="T796" s="484"/>
      <c r="U796" s="510"/>
      <c r="V796" s="510"/>
      <c r="W796" s="510"/>
      <c r="X796" s="510"/>
      <c r="Y796" s="510"/>
      <c r="Z796" s="510"/>
      <c r="AA796" s="510"/>
      <c r="AB796" s="510"/>
      <c r="AC796" s="510"/>
      <c r="AD796" s="510"/>
      <c r="AE796" s="510"/>
      <c r="AF796" s="510"/>
      <c r="AG796" s="510"/>
      <c r="AH796" s="510"/>
      <c r="AI796" s="270"/>
      <c r="AJ796" s="270"/>
      <c r="AK796" s="270"/>
      <c r="AL796" s="270"/>
      <c r="AM796" s="663"/>
      <c r="AN796" s="663"/>
      <c r="AO796" s="708" t="str">
        <f>IF(OR(Table1[[#This Row],[Início Setup Envase]]="",Table1[[#This Row],[Final Setup Envase]]=""),"",Table1[[#This Row],[Final Setup Envase]]-Table1[[#This Row],[Início Setup Envase]])</f>
        <v/>
      </c>
      <c r="AP796" s="663"/>
      <c r="AQ796" s="663"/>
      <c r="AR796" s="510"/>
      <c r="AS796" s="510"/>
      <c r="AT796" s="510"/>
      <c r="AU796" s="270"/>
      <c r="AV796" s="270"/>
      <c r="AW796" s="270"/>
      <c r="AX796" s="270"/>
      <c r="AY796" s="270"/>
      <c r="AZ796" s="270"/>
      <c r="BA796" s="270">
        <f>IF(Table1[[#This Row],[Data de Início]]="","",YEAR(Table1[[#This Row],[Data de Início]]))</f>
        <v>2026</v>
      </c>
      <c r="BB796" s="270">
        <f>IF(Table1[[#This Row],[Data de Início]]="","",MONTH(Table1[[#This Row],[Data de Início]]))</f>
        <v>2</v>
      </c>
      <c r="BC796" s="270"/>
    </row>
    <row r="797" spans="2:55" ht="15" customHeight="1" x14ac:dyDescent="0.25">
      <c r="B797" s="489">
        <v>46064.359027777777</v>
      </c>
      <c r="C797" s="490">
        <v>46064.487500000003</v>
      </c>
      <c r="D797" s="477" cm="1">
        <f t="array" ref="D797">IFERROR(HorasUteisFabrica2Turnos(B797,C797), "")</f>
        <v>3.0833333334303461</v>
      </c>
      <c r="E797" s="478">
        <f t="shared" si="12"/>
        <v>503.3513513355141</v>
      </c>
      <c r="F797" s="479" t="s">
        <v>377</v>
      </c>
      <c r="G797" s="266" t="s">
        <v>1365</v>
      </c>
      <c r="H797" s="479"/>
      <c r="I797" s="480" t="s">
        <v>1367</v>
      </c>
      <c r="J797" s="481" t="s">
        <v>15</v>
      </c>
      <c r="K797" s="482">
        <v>1552</v>
      </c>
      <c r="L797" s="495" t="s">
        <v>503</v>
      </c>
      <c r="M797" s="511" t="str">
        <f>IFERROR(INDEX([1]Produtos!$C:$C,MATCH(L797,[1]Produtos!$B:$B,0)), "-")</f>
        <v>ÁGUA MICELAR ROSA MOSQUETA</v>
      </c>
      <c r="N797" s="511">
        <f>IFERROR(INDEX([1]Produtos!$E:$E,MATCH(L797,[1]Produtos!$B:$B,0)), "-")</f>
        <v>325</v>
      </c>
      <c r="O797" s="483" t="str">
        <f>IFERROR(INDEX([1]Produtos!$F:$F,MATCH(L797,[1]Produtos!$B:$B,0)), "-")</f>
        <v>ml</v>
      </c>
      <c r="P797" s="483" t="str">
        <f>IFERROR(INDEX([1]Produtos!$G:$G,MATCH(L797,[1]Produtos!$B:$B,0)), "-")</f>
        <v>GLOW MAKE UP</v>
      </c>
      <c r="Q797" s="483" t="str">
        <f>IFERROR(INDEX([1]Produtos!$H:$H,MATCH(L797,[1]Produtos!$B:$B,0)), "-")</f>
        <v>MAQUIAGEM</v>
      </c>
      <c r="R797" s="483" t="str">
        <f>IFERROR(INDEX([1]Produtos!$I:$I,MATCH(L797,[1]Produtos!$B:$B,0)), "-")</f>
        <v>ÁGUA MICELAR</v>
      </c>
      <c r="S797" s="483" t="str">
        <f>IFERROR(INDEX([1]Produtos!$J:$J,MATCH(L797,[1]Produtos!$B:$B,0)), "-")</f>
        <v>LÍQUIDO</v>
      </c>
      <c r="T797" s="484"/>
      <c r="U797" s="510"/>
      <c r="V797" s="510"/>
      <c r="W797" s="510"/>
      <c r="X797" s="510"/>
      <c r="Y797" s="510"/>
      <c r="Z797" s="510"/>
      <c r="AA797" s="510"/>
      <c r="AB797" s="510"/>
      <c r="AC797" s="510"/>
      <c r="AD797" s="510"/>
      <c r="AE797" s="510"/>
      <c r="AF797" s="510"/>
      <c r="AG797" s="510"/>
      <c r="AH797" s="510"/>
      <c r="AI797" s="270"/>
      <c r="AJ797" s="270"/>
      <c r="AK797" s="270"/>
      <c r="AL797" s="270"/>
      <c r="AM797" s="663"/>
      <c r="AN797" s="663"/>
      <c r="AO797" s="708" t="str">
        <f>IF(OR(Table1[[#This Row],[Início Setup Envase]]="",Table1[[#This Row],[Final Setup Envase]]=""),"",Table1[[#This Row],[Final Setup Envase]]-Table1[[#This Row],[Início Setup Envase]])</f>
        <v/>
      </c>
      <c r="AP797" s="663"/>
      <c r="AQ797" s="663"/>
      <c r="AR797" s="510"/>
      <c r="AS797" s="510"/>
      <c r="AT797" s="510"/>
      <c r="AU797" s="270"/>
      <c r="AV797" s="270"/>
      <c r="AW797" s="270"/>
      <c r="AX797" s="270"/>
      <c r="AY797" s="270"/>
      <c r="AZ797" s="270"/>
      <c r="BA797" s="270">
        <f>IF(Table1[[#This Row],[Data de Início]]="","",YEAR(Table1[[#This Row],[Data de Início]]))</f>
        <v>2026</v>
      </c>
      <c r="BB797" s="270">
        <f>IF(Table1[[#This Row],[Data de Início]]="","",MONTH(Table1[[#This Row],[Data de Início]]))</f>
        <v>2</v>
      </c>
      <c r="BC797" s="270"/>
    </row>
    <row r="798" spans="2:55" ht="15" customHeight="1" x14ac:dyDescent="0.25">
      <c r="B798" s="489">
        <v>46064.388888888891</v>
      </c>
      <c r="C798" s="490">
        <v>46064.563194444447</v>
      </c>
      <c r="D798" s="477" cm="1">
        <f t="array" ref="D798">IFERROR(HorasUteisFabrica2Turnos(B798,C798), "")</f>
        <v>3.1833333333488554</v>
      </c>
      <c r="E798" s="478">
        <f t="shared" si="12"/>
        <v>583.35078533746969</v>
      </c>
      <c r="F798" s="479" t="s">
        <v>378</v>
      </c>
      <c r="G798" s="266" t="s">
        <v>1365</v>
      </c>
      <c r="H798" s="479"/>
      <c r="I798" s="480" t="s">
        <v>1368</v>
      </c>
      <c r="J798" s="481" t="s">
        <v>15</v>
      </c>
      <c r="K798" s="482">
        <v>1857</v>
      </c>
      <c r="L798" s="495" t="s">
        <v>503</v>
      </c>
      <c r="M798" s="511" t="str">
        <f>IFERROR(INDEX([1]Produtos!$C:$C,MATCH(L798,[1]Produtos!$B:$B,0)), "-")</f>
        <v>ÁGUA MICELAR ROSA MOSQUETA</v>
      </c>
      <c r="N798" s="511">
        <f>IFERROR(INDEX([1]Produtos!$E:$E,MATCH(L798,[1]Produtos!$B:$B,0)), "-")</f>
        <v>325</v>
      </c>
      <c r="O798" s="483" t="str">
        <f>IFERROR(INDEX([1]Produtos!$F:$F,MATCH(L798,[1]Produtos!$B:$B,0)), "-")</f>
        <v>ml</v>
      </c>
      <c r="P798" s="483" t="str">
        <f>IFERROR(INDEX([1]Produtos!$G:$G,MATCH(L798,[1]Produtos!$B:$B,0)), "-")</f>
        <v>GLOW MAKE UP</v>
      </c>
      <c r="Q798" s="483" t="str">
        <f>IFERROR(INDEX([1]Produtos!$H:$H,MATCH(L798,[1]Produtos!$B:$B,0)), "-")</f>
        <v>MAQUIAGEM</v>
      </c>
      <c r="R798" s="483" t="str">
        <f>IFERROR(INDEX([1]Produtos!$I:$I,MATCH(L798,[1]Produtos!$B:$B,0)), "-")</f>
        <v>ÁGUA MICELAR</v>
      </c>
      <c r="S798" s="483" t="str">
        <f>IFERROR(INDEX([1]Produtos!$J:$J,MATCH(L798,[1]Produtos!$B:$B,0)), "-")</f>
        <v>LÍQUIDO</v>
      </c>
      <c r="T798" s="484"/>
      <c r="U798" s="510"/>
      <c r="V798" s="510"/>
      <c r="W798" s="510"/>
      <c r="X798" s="510"/>
      <c r="Y798" s="510"/>
      <c r="Z798" s="510"/>
      <c r="AA798" s="510"/>
      <c r="AB798" s="510"/>
      <c r="AC798" s="510"/>
      <c r="AD798" s="510"/>
      <c r="AE798" s="510"/>
      <c r="AF798" s="510"/>
      <c r="AG798" s="510"/>
      <c r="AH798" s="510"/>
      <c r="AI798" s="270"/>
      <c r="AJ798" s="270"/>
      <c r="AK798" s="270"/>
      <c r="AL798" s="270"/>
      <c r="AM798" s="663"/>
      <c r="AN798" s="663"/>
      <c r="AO798" s="708" t="str">
        <f>IF(OR(Table1[[#This Row],[Início Setup Envase]]="",Table1[[#This Row],[Final Setup Envase]]=""),"",Table1[[#This Row],[Final Setup Envase]]-Table1[[#This Row],[Início Setup Envase]])</f>
        <v/>
      </c>
      <c r="AP798" s="663"/>
      <c r="AQ798" s="663"/>
      <c r="AR798" s="510"/>
      <c r="AS798" s="510"/>
      <c r="AT798" s="510"/>
      <c r="AU798" s="270"/>
      <c r="AV798" s="270"/>
      <c r="AW798" s="270"/>
      <c r="AX798" s="270"/>
      <c r="AY798" s="270"/>
      <c r="AZ798" s="270"/>
      <c r="BA798" s="270">
        <f>IF(Table1[[#This Row],[Data de Início]]="","",YEAR(Table1[[#This Row],[Data de Início]]))</f>
        <v>2026</v>
      </c>
      <c r="BB798" s="270">
        <f>IF(Table1[[#This Row],[Data de Início]]="","",MONTH(Table1[[#This Row],[Data de Início]]))</f>
        <v>2</v>
      </c>
      <c r="BC798" s="270"/>
    </row>
    <row r="799" spans="2:55" ht="15" customHeight="1" x14ac:dyDescent="0.25">
      <c r="B799" s="489">
        <v>46064.541666666664</v>
      </c>
      <c r="C799" s="490">
        <v>46064.642361111109</v>
      </c>
      <c r="D799" s="477" cm="1">
        <f t="array" ref="D799">IFERROR(HorasUteisFabrica2Turnos(B799,C799), "")</f>
        <v>2.4166666666860692</v>
      </c>
      <c r="E799" s="478">
        <f t="shared" si="12"/>
        <v>701.79310344264138</v>
      </c>
      <c r="F799" s="479" t="s">
        <v>377</v>
      </c>
      <c r="G799" s="266" t="s">
        <v>1365</v>
      </c>
      <c r="H799" s="479"/>
      <c r="I799" s="480" t="s">
        <v>1364</v>
      </c>
      <c r="J799" s="481" t="s">
        <v>15</v>
      </c>
      <c r="K799" s="536">
        <v>1696</v>
      </c>
      <c r="L799" s="495" t="s">
        <v>504</v>
      </c>
      <c r="M799" s="511" t="str">
        <f>IFERROR(INDEX([1]Produtos!$C:$C,MATCH(L799,[1]Produtos!$B:$B,0)), "-")</f>
        <v>ÁGUA MICELAR BABA GLOW</v>
      </c>
      <c r="N799" s="511">
        <f>IFERROR(INDEX([1]Produtos!$E:$E,MATCH(L799,[1]Produtos!$B:$B,0)), "-")</f>
        <v>325</v>
      </c>
      <c r="O799" s="483" t="str">
        <f>IFERROR(INDEX([1]Produtos!$F:$F,MATCH(L799,[1]Produtos!$B:$B,0)), "-")</f>
        <v>ml</v>
      </c>
      <c r="P799" s="483" t="str">
        <f>IFERROR(INDEX([1]Produtos!$G:$G,MATCH(L799,[1]Produtos!$B:$B,0)), "-")</f>
        <v>GLOW MAKE UP</v>
      </c>
      <c r="Q799" s="483" t="str">
        <f>IFERROR(INDEX([1]Produtos!$H:$H,MATCH(L799,[1]Produtos!$B:$B,0)), "-")</f>
        <v>MAQUIAGEM</v>
      </c>
      <c r="R799" s="483" t="str">
        <f>IFERROR(INDEX([1]Produtos!$I:$I,MATCH(L799,[1]Produtos!$B:$B,0)), "-")</f>
        <v>ÁGUA MICELAR</v>
      </c>
      <c r="S799" s="483" t="str">
        <f>IFERROR(INDEX([1]Produtos!$J:$J,MATCH(L799,[1]Produtos!$B:$B,0)), "-")</f>
        <v>LÍQUIDO</v>
      </c>
      <c r="T799" s="484"/>
      <c r="U799" s="510"/>
      <c r="V799" s="510"/>
      <c r="W799" s="510"/>
      <c r="X799" s="510"/>
      <c r="Y799" s="510"/>
      <c r="Z799" s="510"/>
      <c r="AA799" s="510"/>
      <c r="AB799" s="510"/>
      <c r="AC799" s="510"/>
      <c r="AD799" s="510"/>
      <c r="AE799" s="510"/>
      <c r="AF799" s="510"/>
      <c r="AG799" s="510"/>
      <c r="AH799" s="510"/>
      <c r="AI799" s="270"/>
      <c r="AJ799" s="270"/>
      <c r="AK799" s="270"/>
      <c r="AL799" s="270"/>
      <c r="AM799" s="663"/>
      <c r="AN799" s="663"/>
      <c r="AO799" s="708" t="str">
        <f>IF(OR(Table1[[#This Row],[Início Setup Envase]]="",Table1[[#This Row],[Final Setup Envase]]=""),"",Table1[[#This Row],[Final Setup Envase]]-Table1[[#This Row],[Início Setup Envase]])</f>
        <v/>
      </c>
      <c r="AP799" s="663"/>
      <c r="AQ799" s="663"/>
      <c r="AR799" s="510"/>
      <c r="AS799" s="510"/>
      <c r="AT799" s="510"/>
      <c r="AU799" s="270"/>
      <c r="AV799" s="270"/>
      <c r="AW799" s="270"/>
      <c r="AX799" s="270"/>
      <c r="AY799" s="270"/>
      <c r="AZ799" s="270"/>
      <c r="BA799" s="270">
        <f>IF(Table1[[#This Row],[Data de Início]]="","",YEAR(Table1[[#This Row],[Data de Início]]))</f>
        <v>2026</v>
      </c>
      <c r="BB799" s="270">
        <f>IF(Table1[[#This Row],[Data de Início]]="","",MONTH(Table1[[#This Row],[Data de Início]]))</f>
        <v>2</v>
      </c>
      <c r="BC799" s="270"/>
    </row>
    <row r="800" spans="2:55" ht="15" customHeight="1" x14ac:dyDescent="0.25">
      <c r="B800" s="489">
        <v>46064.5625</v>
      </c>
      <c r="C800" s="490">
        <v>46064.652777777781</v>
      </c>
      <c r="D800" s="477" cm="1">
        <f t="array" ref="D800">IFERROR(HorasUteisFabrica2Turnos(B800,C800), "")</f>
        <v>2.1666666667442769</v>
      </c>
      <c r="E800" s="478">
        <f t="shared" si="12"/>
        <v>814.15384612468313</v>
      </c>
      <c r="F800" s="479" t="s">
        <v>378</v>
      </c>
      <c r="G800" s="266" t="s">
        <v>1365</v>
      </c>
      <c r="H800" s="479"/>
      <c r="I800" s="480" t="s">
        <v>1373</v>
      </c>
      <c r="J800" s="481" t="s">
        <v>15</v>
      </c>
      <c r="K800" s="480">
        <v>1764</v>
      </c>
      <c r="L800" s="495" t="s">
        <v>504</v>
      </c>
      <c r="M800" s="511" t="str">
        <f>IFERROR(INDEX([1]Produtos!$C:$C,MATCH(L800,[1]Produtos!$B:$B,0)), "-")</f>
        <v>ÁGUA MICELAR BABA GLOW</v>
      </c>
      <c r="N800" s="511">
        <f>IFERROR(INDEX([1]Produtos!$E:$E,MATCH(L800,[1]Produtos!$B:$B,0)), "-")</f>
        <v>325</v>
      </c>
      <c r="O800" s="483" t="str">
        <f>IFERROR(INDEX([1]Produtos!$F:$F,MATCH(L800,[1]Produtos!$B:$B,0)), "-")</f>
        <v>ml</v>
      </c>
      <c r="P800" s="483" t="str">
        <f>IFERROR(INDEX([1]Produtos!$G:$G,MATCH(L800,[1]Produtos!$B:$B,0)), "-")</f>
        <v>GLOW MAKE UP</v>
      </c>
      <c r="Q800" s="483" t="str">
        <f>IFERROR(INDEX([1]Produtos!$H:$H,MATCH(L800,[1]Produtos!$B:$B,0)), "-")</f>
        <v>MAQUIAGEM</v>
      </c>
      <c r="R800" s="270" t="str">
        <f>IFERROR(INDEX([1]Produtos!$I:$I,MATCH(L800,[1]Produtos!$B:$B,0)), "-")</f>
        <v>ÁGUA MICELAR</v>
      </c>
      <c r="S800" s="483" t="str">
        <f>IFERROR(INDEX([1]Produtos!$J:$J,MATCH(L800,[1]Produtos!$B:$B,0)), "-")</f>
        <v>LÍQUIDO</v>
      </c>
      <c r="T800" s="484"/>
      <c r="U800" s="510"/>
      <c r="V800" s="510"/>
      <c r="W800" s="510"/>
      <c r="X800" s="510"/>
      <c r="Y800" s="510"/>
      <c r="Z800" s="510"/>
      <c r="AA800" s="510"/>
      <c r="AB800" s="510"/>
      <c r="AC800" s="510"/>
      <c r="AD800" s="510"/>
      <c r="AE800" s="510"/>
      <c r="AF800" s="510"/>
      <c r="AG800" s="510"/>
      <c r="AH800" s="510"/>
      <c r="AI800" s="270"/>
      <c r="AJ800" s="270"/>
      <c r="AK800" s="270"/>
      <c r="AL800" s="270"/>
      <c r="AM800" s="663"/>
      <c r="AN800" s="663"/>
      <c r="AO800" s="708" t="str">
        <f>IF(OR(Table1[[#This Row],[Início Setup Envase]]="",Table1[[#This Row],[Final Setup Envase]]=""),"",Table1[[#This Row],[Final Setup Envase]]-Table1[[#This Row],[Início Setup Envase]])</f>
        <v/>
      </c>
      <c r="AP800" s="663"/>
      <c r="AQ800" s="663"/>
      <c r="AR800" s="510"/>
      <c r="AS800" s="510"/>
      <c r="AT800" s="510"/>
      <c r="AU800" s="270"/>
      <c r="AV800" s="270"/>
      <c r="AW800" s="270"/>
      <c r="AX800" s="270"/>
      <c r="AY800" s="270"/>
      <c r="AZ800" s="270"/>
      <c r="BA800" s="270">
        <f>IF(Table1[[#This Row],[Data de Início]]="","",YEAR(Table1[[#This Row],[Data de Início]]))</f>
        <v>2026</v>
      </c>
      <c r="BB800" s="270">
        <f>IF(Table1[[#This Row],[Data de Início]]="","",MONTH(Table1[[#This Row],[Data de Início]]))</f>
        <v>2</v>
      </c>
      <c r="BC800" s="270"/>
    </row>
    <row r="801" spans="2:55" ht="15" customHeight="1" x14ac:dyDescent="0.25">
      <c r="B801" s="489">
        <v>46064.645833333336</v>
      </c>
      <c r="C801" s="490">
        <v>46065.354166666664</v>
      </c>
      <c r="D801" s="477" cm="1">
        <f t="array" ref="D801">IFERROR(HorasUteisFabrica2Turnos(B801,C801), "")</f>
        <v>3</v>
      </c>
      <c r="E801" s="478">
        <f t="shared" si="12"/>
        <v>592</v>
      </c>
      <c r="F801" s="479" t="s">
        <v>377</v>
      </c>
      <c r="G801" s="266" t="s">
        <v>1365</v>
      </c>
      <c r="H801" s="479"/>
      <c r="I801" s="480" t="s">
        <v>1377</v>
      </c>
      <c r="J801" s="481" t="s">
        <v>15</v>
      </c>
      <c r="K801" s="482">
        <v>1776</v>
      </c>
      <c r="L801" s="495" t="s">
        <v>504</v>
      </c>
      <c r="M801" s="511" t="str">
        <f>IFERROR(INDEX([1]Produtos!$C:$C,MATCH(L801,[1]Produtos!$B:$B,0)), "-")</f>
        <v>ÁGUA MICELAR BABA GLOW</v>
      </c>
      <c r="N801" s="511">
        <f>IFERROR(INDEX([1]Produtos!$E:$E,MATCH(L801,[1]Produtos!$B:$B,0)), "-")</f>
        <v>325</v>
      </c>
      <c r="O801" s="483" t="str">
        <f>IFERROR(INDEX([1]Produtos!$F:$F,MATCH(L801,[1]Produtos!$B:$B,0)), "-")</f>
        <v>ml</v>
      </c>
      <c r="P801" s="483" t="str">
        <f>IFERROR(INDEX([1]Produtos!$G:$G,MATCH(L801,[1]Produtos!$B:$B,0)), "-")</f>
        <v>GLOW MAKE UP</v>
      </c>
      <c r="Q801" s="483" t="str">
        <f>IFERROR(INDEX([1]Produtos!$H:$H,MATCH(L801,[1]Produtos!$B:$B,0)), "-")</f>
        <v>MAQUIAGEM</v>
      </c>
      <c r="R801" s="270" t="str">
        <f>IFERROR(INDEX([1]Produtos!$I:$I,MATCH(L801,[1]Produtos!$B:$B,0)), "-")</f>
        <v>ÁGUA MICELAR</v>
      </c>
      <c r="S801" s="483" t="str">
        <f>IFERROR(INDEX([1]Produtos!$J:$J,MATCH(L801,[1]Produtos!$B:$B,0)), "-")</f>
        <v>LÍQUIDO</v>
      </c>
      <c r="T801" s="484"/>
      <c r="U801" s="263"/>
      <c r="V801" s="264"/>
      <c r="W801" s="265"/>
      <c r="X801" s="266"/>
      <c r="Y801" s="266"/>
      <c r="Z801" s="269"/>
      <c r="AA801" s="267"/>
      <c r="AB801" s="268"/>
      <c r="AC801" s="269"/>
      <c r="AD801" s="510"/>
      <c r="AE801" s="510"/>
      <c r="AF801" s="510"/>
      <c r="AG801" s="270"/>
      <c r="AH801" s="270"/>
      <c r="AI801" s="270"/>
      <c r="AJ801" s="616"/>
      <c r="AK801" s="616"/>
      <c r="AL801" s="616"/>
      <c r="AM801" s="669"/>
      <c r="AN801" s="669"/>
      <c r="AO801" s="710" t="str">
        <f>IF(OR(Table1[[#This Row],[Início Setup Envase]]="",Table1[[#This Row],[Final Setup Envase]]=""),"",Table1[[#This Row],[Final Setup Envase]]-Table1[[#This Row],[Início Setup Envase]])</f>
        <v/>
      </c>
      <c r="AP801" s="663"/>
      <c r="AQ801" s="663"/>
      <c r="AR801" s="510"/>
      <c r="AS801" s="270"/>
      <c r="AT801" s="270"/>
      <c r="AU801" s="270"/>
      <c r="AV801" s="616"/>
      <c r="AW801" s="616"/>
      <c r="AX801" s="616"/>
      <c r="AY801" s="616"/>
      <c r="AZ801" s="616"/>
      <c r="BA801" s="730">
        <f>IF(Table1[[#This Row],[Data de Início]]="","",YEAR(Table1[[#This Row],[Data de Início]]))</f>
        <v>2026</v>
      </c>
      <c r="BB801" s="730">
        <f>IF(Table1[[#This Row],[Data de Início]]="","",MONTH(Table1[[#This Row],[Data de Início]]))</f>
        <v>2</v>
      </c>
      <c r="BC801" s="616"/>
    </row>
    <row r="802" spans="2:55" ht="15" customHeight="1" x14ac:dyDescent="0.25">
      <c r="B802" s="489">
        <v>46064.690972222219</v>
      </c>
      <c r="C802" s="490">
        <v>46065.386111111111</v>
      </c>
      <c r="D802" s="477" cm="1">
        <f t="array" ref="D802">IFERROR(HorasUteisFabrica2Turnos(B802,C802), "")</f>
        <v>2.6833333335234784</v>
      </c>
      <c r="E802" s="478">
        <f t="shared" si="12"/>
        <v>608.19875772087732</v>
      </c>
      <c r="F802" s="479" t="s">
        <v>378</v>
      </c>
      <c r="G802" s="266" t="s">
        <v>1365</v>
      </c>
      <c r="H802" s="479"/>
      <c r="I802" s="480" t="s">
        <v>1376</v>
      </c>
      <c r="J802" s="481" t="s">
        <v>15</v>
      </c>
      <c r="K802" s="482">
        <v>1632</v>
      </c>
      <c r="L802" s="495" t="s">
        <v>504</v>
      </c>
      <c r="M802" s="511" t="str">
        <f>IFERROR(INDEX([1]Produtos!$C:$C,MATCH(L802,[1]Produtos!$B:$B,0)), "-")</f>
        <v>ÁGUA MICELAR BABA GLOW</v>
      </c>
      <c r="N802" s="511">
        <f>IFERROR(INDEX([1]Produtos!$E:$E,MATCH(L802,[1]Produtos!$B:$B,0)), "-")</f>
        <v>325</v>
      </c>
      <c r="O802" s="483" t="str">
        <f>IFERROR(INDEX([1]Produtos!$F:$F,MATCH(L802,[1]Produtos!$B:$B,0)), "-")</f>
        <v>ml</v>
      </c>
      <c r="P802" s="483" t="str">
        <f>IFERROR(INDEX([1]Produtos!$G:$G,MATCH(L802,[1]Produtos!$B:$B,0)), "-")</f>
        <v>GLOW MAKE UP</v>
      </c>
      <c r="Q802" s="483" t="str">
        <f>IFERROR(INDEX([1]Produtos!$H:$H,MATCH(L802,[1]Produtos!$B:$B,0)), "-")</f>
        <v>MAQUIAGEM</v>
      </c>
      <c r="R802" s="270" t="str">
        <f>IFERROR(INDEX([1]Produtos!$I:$I,MATCH(L802,[1]Produtos!$B:$B,0)), "-")</f>
        <v>ÁGUA MICELAR</v>
      </c>
      <c r="S802" s="483" t="str">
        <f>IFERROR(INDEX([1]Produtos!$J:$J,MATCH(L802,[1]Produtos!$B:$B,0)), "-")</f>
        <v>LÍQUIDO</v>
      </c>
      <c r="T802" s="484"/>
      <c r="U802" s="263"/>
      <c r="V802" s="264"/>
      <c r="W802" s="265"/>
      <c r="X802" s="266"/>
      <c r="Y802" s="266"/>
      <c r="Z802" s="269"/>
      <c r="AA802" s="267"/>
      <c r="AB802" s="268"/>
      <c r="AC802" s="269"/>
      <c r="AD802" s="510"/>
      <c r="AE802" s="510"/>
      <c r="AF802" s="510"/>
      <c r="AG802" s="270"/>
      <c r="AH802" s="270"/>
      <c r="AI802" s="270"/>
      <c r="AJ802" s="616"/>
      <c r="AK802" s="616"/>
      <c r="AL802" s="616"/>
      <c r="AM802" s="669"/>
      <c r="AN802" s="669"/>
      <c r="AO802" s="710" t="str">
        <f>IF(OR(Table1[[#This Row],[Início Setup Envase]]="",Table1[[#This Row],[Final Setup Envase]]=""),"",Table1[[#This Row],[Final Setup Envase]]-Table1[[#This Row],[Início Setup Envase]])</f>
        <v/>
      </c>
      <c r="AP802" s="663"/>
      <c r="AQ802" s="663"/>
      <c r="AR802" s="510"/>
      <c r="AS802" s="270"/>
      <c r="AT802" s="270"/>
      <c r="AU802" s="270"/>
      <c r="AV802" s="616"/>
      <c r="AW802" s="616"/>
      <c r="AX802" s="616"/>
      <c r="AY802" s="616"/>
      <c r="AZ802" s="616"/>
      <c r="BA802" s="730">
        <f>IF(Table1[[#This Row],[Data de Início]]="","",YEAR(Table1[[#This Row],[Data de Início]]))</f>
        <v>2026</v>
      </c>
      <c r="BB802" s="730">
        <f>IF(Table1[[#This Row],[Data de Início]]="","",MONTH(Table1[[#This Row],[Data de Início]]))</f>
        <v>2</v>
      </c>
      <c r="BC802" s="616"/>
    </row>
    <row r="803" spans="2:55" ht="15" customHeight="1" x14ac:dyDescent="0.25">
      <c r="B803" s="489">
        <v>46065.338194444441</v>
      </c>
      <c r="C803" s="490">
        <v>46065.384722222225</v>
      </c>
      <c r="D803" s="477" cm="1">
        <f t="array" ref="D803">IFERROR(HorasUteisFabrica2Turnos(B803,C803), "")</f>
        <v>1.1166666668141261</v>
      </c>
      <c r="E803" s="478">
        <f t="shared" si="12"/>
        <v>1447.1641789133751</v>
      </c>
      <c r="F803" s="479" t="s">
        <v>378</v>
      </c>
      <c r="G803" s="266" t="s">
        <v>1365</v>
      </c>
      <c r="H803" s="479"/>
      <c r="I803" s="481" t="s">
        <v>1405</v>
      </c>
      <c r="J803" s="481" t="s">
        <v>15</v>
      </c>
      <c r="K803" s="482">
        <v>1616</v>
      </c>
      <c r="L803" s="495" t="s">
        <v>504</v>
      </c>
      <c r="M803" s="511" t="str">
        <f>IFERROR(INDEX([1]Produtos!$C:$C,MATCH(L803,[1]Produtos!$B:$B,0)), "-")</f>
        <v>ÁGUA MICELAR BABA GLOW</v>
      </c>
      <c r="N803" s="511">
        <f>IFERROR(INDEX([1]Produtos!$E:$E,MATCH(L803,[1]Produtos!$B:$B,0)), "-")</f>
        <v>325</v>
      </c>
      <c r="O803" s="483" t="str">
        <f>IFERROR(INDEX([1]Produtos!$F:$F,MATCH(L803,[1]Produtos!$B:$B,0)), "-")</f>
        <v>ml</v>
      </c>
      <c r="P803" s="483" t="str">
        <f>IFERROR(INDEX([1]Produtos!$G:$G,MATCH(L803,[1]Produtos!$B:$B,0)), "-")</f>
        <v>GLOW MAKE UP</v>
      </c>
      <c r="Q803" s="483" t="str">
        <f>IFERROR(INDEX([1]Produtos!$H:$H,MATCH(L803,[1]Produtos!$B:$B,0)), "-")</f>
        <v>MAQUIAGEM</v>
      </c>
      <c r="R803" s="483" t="str">
        <f>IFERROR(INDEX([1]Produtos!$I:$I,MATCH(L803,[1]Produtos!$B:$B,0)), "-")</f>
        <v>ÁGUA MICELAR</v>
      </c>
      <c r="S803" s="483" t="str">
        <f>IFERROR(INDEX([1]Produtos!$J:$J,MATCH(L803,[1]Produtos!$B:$B,0)), "-")</f>
        <v>LÍQUIDO</v>
      </c>
      <c r="T803" s="484"/>
      <c r="U803" s="263"/>
      <c r="V803" s="264"/>
      <c r="W803" s="265"/>
      <c r="X803" s="266"/>
      <c r="Y803" s="266"/>
      <c r="Z803" s="269"/>
      <c r="AA803" s="267"/>
      <c r="AB803" s="268"/>
      <c r="AC803" s="269"/>
      <c r="AD803" s="510"/>
      <c r="AE803" s="510"/>
      <c r="AF803" s="510"/>
      <c r="AG803" s="270"/>
      <c r="AH803" s="270"/>
      <c r="AI803" s="270"/>
      <c r="AJ803" s="616"/>
      <c r="AK803" s="616"/>
      <c r="AL803" s="616"/>
      <c r="AM803" s="669"/>
      <c r="AN803" s="669"/>
      <c r="AO803" s="710" t="str">
        <f>IF(OR(Table1[[#This Row],[Início Setup Envase]]="",Table1[[#This Row],[Final Setup Envase]]=""),"",Table1[[#This Row],[Final Setup Envase]]-Table1[[#This Row],[Início Setup Envase]])</f>
        <v/>
      </c>
      <c r="AP803" s="663"/>
      <c r="AQ803" s="663"/>
      <c r="AR803" s="510"/>
      <c r="AS803" s="270"/>
      <c r="AT803" s="270"/>
      <c r="AU803" s="270"/>
      <c r="AV803" s="616"/>
      <c r="AW803" s="616"/>
      <c r="AX803" s="616"/>
      <c r="AY803" s="616"/>
      <c r="AZ803" s="616"/>
      <c r="BA803" s="730">
        <f>IF(Table1[[#This Row],[Data de Início]]="","",YEAR(Table1[[#This Row],[Data de Início]]))</f>
        <v>2026</v>
      </c>
      <c r="BB803" s="730">
        <f>IF(Table1[[#This Row],[Data de Início]]="","",MONTH(Table1[[#This Row],[Data de Início]]))</f>
        <v>2</v>
      </c>
      <c r="BC803" s="616"/>
    </row>
    <row r="804" spans="2:55" ht="15" customHeight="1" x14ac:dyDescent="0.25">
      <c r="B804" s="489">
        <v>46065.397222222222</v>
      </c>
      <c r="C804" s="490">
        <v>46065.5</v>
      </c>
      <c r="D804" s="477" cm="1">
        <f t="array" ref="D804">IFERROR(HorasUteisFabrica2Turnos(B804,C804), "")</f>
        <v>2.4666666666744277</v>
      </c>
      <c r="E804" s="478">
        <f t="shared" si="12"/>
        <v>688.37837837621248</v>
      </c>
      <c r="F804" s="479" t="s">
        <v>377</v>
      </c>
      <c r="G804" s="266" t="s">
        <v>1365</v>
      </c>
      <c r="H804" s="479"/>
      <c r="I804" s="480" t="s">
        <v>1375</v>
      </c>
      <c r="J804" s="481" t="s">
        <v>15</v>
      </c>
      <c r="K804" s="482">
        <v>1698</v>
      </c>
      <c r="L804" s="495" t="s">
        <v>479</v>
      </c>
      <c r="M804" s="511" t="str">
        <f>IFERROR(INDEX([1]Produtos!$C:$C,MATCH(L804,[1]Produtos!$B:$B,0)), "-")</f>
        <v>ÁGUA MICELAR CARVÃO ATIVADO</v>
      </c>
      <c r="N804" s="511">
        <f>IFERROR(INDEX([1]Produtos!$E:$E,MATCH(L804,[1]Produtos!$B:$B,0)), "-")</f>
        <v>325</v>
      </c>
      <c r="O804" s="483" t="str">
        <f>IFERROR(INDEX([1]Produtos!$F:$F,MATCH(L804,[1]Produtos!$B:$B,0)), "-")</f>
        <v>ml</v>
      </c>
      <c r="P804" s="483" t="str">
        <f>IFERROR(INDEX([1]Produtos!$G:$G,MATCH(L804,[1]Produtos!$B:$B,0)), "-")</f>
        <v>GLOW MAKE UP</v>
      </c>
      <c r="Q804" s="270" t="str">
        <f>IFERROR(INDEX([1]Produtos!$H:$H,MATCH(L804,[1]Produtos!$B:$B,0)), "-")</f>
        <v>MAQUIAGEM</v>
      </c>
      <c r="R804" s="483" t="str">
        <f>IFERROR(INDEX([1]Produtos!$I:$I,MATCH(L804,[1]Produtos!$B:$B,0)), "-")</f>
        <v>ÁGUA MICELAR</v>
      </c>
      <c r="S804" s="483" t="str">
        <f>IFERROR(INDEX([1]Produtos!$J:$J,MATCH(L804,[1]Produtos!$B:$B,0)), "-")</f>
        <v>LÍQUIDO</v>
      </c>
      <c r="T804" s="484"/>
      <c r="U804" s="263"/>
      <c r="V804" s="264"/>
      <c r="W804" s="265"/>
      <c r="X804" s="266"/>
      <c r="Y804" s="266"/>
      <c r="Z804" s="269"/>
      <c r="AA804" s="267"/>
      <c r="AB804" s="268"/>
      <c r="AC804" s="269"/>
      <c r="AD804" s="510"/>
      <c r="AE804" s="510"/>
      <c r="AF804" s="510"/>
      <c r="AG804" s="270"/>
      <c r="AH804" s="270"/>
      <c r="AI804" s="270"/>
      <c r="AJ804" s="616"/>
      <c r="AK804" s="616"/>
      <c r="AL804" s="616"/>
      <c r="AM804" s="669"/>
      <c r="AN804" s="669"/>
      <c r="AO804" s="710" t="str">
        <f>IF(OR(Table1[[#This Row],[Início Setup Envase]]="",Table1[[#This Row],[Final Setup Envase]]=""),"",Table1[[#This Row],[Final Setup Envase]]-Table1[[#This Row],[Início Setup Envase]])</f>
        <v/>
      </c>
      <c r="AP804" s="663"/>
      <c r="AQ804" s="663"/>
      <c r="AR804" s="510"/>
      <c r="AS804" s="270"/>
      <c r="AT804" s="270"/>
      <c r="AU804" s="270"/>
      <c r="AV804" s="616"/>
      <c r="AW804" s="616"/>
      <c r="AX804" s="616"/>
      <c r="AY804" s="616"/>
      <c r="AZ804" s="616"/>
      <c r="BA804" s="730">
        <f>IF(Table1[[#This Row],[Data de Início]]="","",YEAR(Table1[[#This Row],[Data de Início]]))</f>
        <v>2026</v>
      </c>
      <c r="BB804" s="730">
        <f>IF(Table1[[#This Row],[Data de Início]]="","",MONTH(Table1[[#This Row],[Data de Início]]))</f>
        <v>2</v>
      </c>
      <c r="BC804" s="616"/>
    </row>
    <row r="805" spans="2:55" ht="15" customHeight="1" x14ac:dyDescent="0.25">
      <c r="B805" s="489">
        <v>46065.494444444441</v>
      </c>
      <c r="C805" s="490">
        <v>46065.63958333333</v>
      </c>
      <c r="D805" s="477" cm="1">
        <f t="array" ref="D805">IFERROR(HorasUteisFabrica2Turnos(B805,C805), "")</f>
        <v>2.4833333333372138</v>
      </c>
      <c r="E805" s="478">
        <f t="shared" si="12"/>
        <v>988.99328858905858</v>
      </c>
      <c r="F805" s="479" t="s">
        <v>378</v>
      </c>
      <c r="G805" s="266" t="s">
        <v>1103</v>
      </c>
      <c r="H805" s="479"/>
      <c r="I805" s="480" t="s">
        <v>1396</v>
      </c>
      <c r="J805" s="481" t="s">
        <v>15</v>
      </c>
      <c r="K805" s="482">
        <v>2456</v>
      </c>
      <c r="L805" s="495" t="s">
        <v>213</v>
      </c>
      <c r="M805" s="511" t="str">
        <f>IFERROR(INDEX([1]Produtos!$C:$C,MATCH(L805,[1]Produtos!$B:$B,0)), "-")</f>
        <v>BODY SPLASH DEUSA DO NILO</v>
      </c>
      <c r="N805" s="511">
        <f>IFERROR(INDEX([1]Produtos!$E:$E,MATCH(L805,[1]Produtos!$B:$B,0)), "-")</f>
        <v>220</v>
      </c>
      <c r="O805" s="483" t="str">
        <f>IFERROR(INDEX([1]Produtos!$F:$F,MATCH(L805,[1]Produtos!$B:$B,0)), "-")</f>
        <v>ml</v>
      </c>
      <c r="P805" s="270" t="str">
        <f>IFERROR(INDEX([1]Produtos!$G:$G,MATCH(L805,[1]Produtos!$B:$B,0)), "-")</f>
        <v>MISS RÔSE</v>
      </c>
      <c r="Q805" s="270" t="str">
        <f>IFERROR(INDEX([1]Produtos!$H:$H,MATCH(L805,[1]Produtos!$B:$B,0)), "-")</f>
        <v>PERFUMARIA</v>
      </c>
      <c r="R805" s="483" t="str">
        <f>IFERROR(INDEX([1]Produtos!$I:$I,MATCH(L805,[1]Produtos!$B:$B,0)), "-")</f>
        <v>BODY SPLASH</v>
      </c>
      <c r="S805" s="483" t="str">
        <f>IFERROR(INDEX([1]Produtos!$J:$J,MATCH(L805,[1]Produtos!$B:$B,0)), "-")</f>
        <v>LÍQUIDO</v>
      </c>
      <c r="T805" s="484"/>
      <c r="U805" s="263"/>
      <c r="V805" s="264"/>
      <c r="W805" s="265"/>
      <c r="X805" s="266"/>
      <c r="Y805" s="266"/>
      <c r="Z805" s="269"/>
      <c r="AA805" s="267"/>
      <c r="AB805" s="268"/>
      <c r="AC805" s="269"/>
      <c r="AD805" s="510"/>
      <c r="AE805" s="510"/>
      <c r="AF805" s="510"/>
      <c r="AG805" s="270"/>
      <c r="AH805" s="270"/>
      <c r="AI805" s="616"/>
      <c r="AJ805" s="616"/>
      <c r="AK805" s="616"/>
      <c r="AL805" s="616"/>
      <c r="AM805" s="669"/>
      <c r="AN805" s="669"/>
      <c r="AO805" s="710" t="str">
        <f>IF(OR(Table1[[#This Row],[Início Setup Envase]]="",Table1[[#This Row],[Final Setup Envase]]=""),"",Table1[[#This Row],[Final Setup Envase]]-Table1[[#This Row],[Início Setup Envase]])</f>
        <v/>
      </c>
      <c r="AP805" s="663"/>
      <c r="AQ805" s="663"/>
      <c r="AR805" s="510"/>
      <c r="AS805" s="270"/>
      <c r="AT805" s="270"/>
      <c r="AU805" s="616"/>
      <c r="AV805" s="616"/>
      <c r="AW805" s="616"/>
      <c r="AX805" s="616"/>
      <c r="AY805" s="616"/>
      <c r="AZ805" s="616"/>
      <c r="BA805" s="730">
        <f>IF(Table1[[#This Row],[Data de Início]]="","",YEAR(Table1[[#This Row],[Data de Início]]))</f>
        <v>2026</v>
      </c>
      <c r="BB805" s="730">
        <f>IF(Table1[[#This Row],[Data de Início]]="","",MONTH(Table1[[#This Row],[Data de Início]]))</f>
        <v>2</v>
      </c>
      <c r="BC805" s="616"/>
    </row>
    <row r="806" spans="2:55" ht="15" customHeight="1" x14ac:dyDescent="0.25">
      <c r="B806" s="489">
        <v>46065.543749999997</v>
      </c>
      <c r="C806" s="490">
        <v>46065.628472222219</v>
      </c>
      <c r="D806" s="477" cm="1">
        <f t="array" ref="D806">IFERROR(HorasUteisFabrica2Turnos(B806,C806), "")</f>
        <v>2.0333333333255723</v>
      </c>
      <c r="E806" s="478">
        <f t="shared" si="12"/>
        <v>795.73770492107008</v>
      </c>
      <c r="F806" s="479" t="s">
        <v>377</v>
      </c>
      <c r="G806" s="266" t="s">
        <v>1365</v>
      </c>
      <c r="H806" s="479"/>
      <c r="I806" s="480" t="s">
        <v>1374</v>
      </c>
      <c r="J806" s="481" t="s">
        <v>15</v>
      </c>
      <c r="K806" s="482">
        <v>1618</v>
      </c>
      <c r="L806" s="495" t="s">
        <v>479</v>
      </c>
      <c r="M806" s="511" t="str">
        <f>IFERROR(INDEX([1]Produtos!$C:$C,MATCH(L806,[1]Produtos!$B:$B,0)), "-")</f>
        <v>ÁGUA MICELAR CARVÃO ATIVADO</v>
      </c>
      <c r="N806" s="511">
        <f>IFERROR(INDEX([1]Produtos!$E:$E,MATCH(L806,[1]Produtos!$B:$B,0)), "-")</f>
        <v>325</v>
      </c>
      <c r="O806" s="483" t="str">
        <f>IFERROR(INDEX([1]Produtos!$F:$F,MATCH(L806,[1]Produtos!$B:$B,0)), "-")</f>
        <v>ml</v>
      </c>
      <c r="P806" s="483" t="str">
        <f>IFERROR(INDEX([1]Produtos!$G:$G,MATCH(L806,[1]Produtos!$B:$B,0)), "-")</f>
        <v>GLOW MAKE UP</v>
      </c>
      <c r="Q806" s="270" t="str">
        <f>IFERROR(INDEX([1]Produtos!$H:$H,MATCH(L806,[1]Produtos!$B:$B,0)), "-")</f>
        <v>MAQUIAGEM</v>
      </c>
      <c r="R806" s="483" t="str">
        <f>IFERROR(INDEX([1]Produtos!$I:$I,MATCH(L806,[1]Produtos!$B:$B,0)), "-")</f>
        <v>ÁGUA MICELAR</v>
      </c>
      <c r="S806" s="483" t="str">
        <f>IFERROR(INDEX([1]Produtos!$J:$J,MATCH(L806,[1]Produtos!$B:$B,0)), "-")</f>
        <v>LÍQUIDO</v>
      </c>
      <c r="T806" s="484"/>
      <c r="U806" s="263"/>
      <c r="V806" s="264"/>
      <c r="W806" s="265"/>
      <c r="X806" s="266"/>
      <c r="Y806" s="266"/>
      <c r="Z806" s="269"/>
      <c r="AA806" s="267"/>
      <c r="AB806" s="268"/>
      <c r="AC806" s="269"/>
      <c r="AD806" s="510"/>
      <c r="AE806" s="510"/>
      <c r="AF806" s="510"/>
      <c r="AG806" s="270"/>
      <c r="AH806" s="270"/>
      <c r="AI806" s="616"/>
      <c r="AJ806" s="616"/>
      <c r="AK806" s="616"/>
      <c r="AL806" s="616"/>
      <c r="AM806" s="669"/>
      <c r="AN806" s="669"/>
      <c r="AO806" s="710" t="str">
        <f>IF(OR(Table1[[#This Row],[Início Setup Envase]]="",Table1[[#This Row],[Final Setup Envase]]=""),"",Table1[[#This Row],[Final Setup Envase]]-Table1[[#This Row],[Início Setup Envase]])</f>
        <v/>
      </c>
      <c r="AP806" s="663"/>
      <c r="AQ806" s="663"/>
      <c r="AR806" s="510"/>
      <c r="AS806" s="270"/>
      <c r="AT806" s="270"/>
      <c r="AU806" s="616"/>
      <c r="AV806" s="616"/>
      <c r="AW806" s="616"/>
      <c r="AX806" s="616"/>
      <c r="AY806" s="616"/>
      <c r="AZ806" s="616"/>
      <c r="BA806" s="730">
        <f>IF(Table1[[#This Row],[Data de Início]]="","",YEAR(Table1[[#This Row],[Data de Início]]))</f>
        <v>2026</v>
      </c>
      <c r="BB806" s="730">
        <f>IF(Table1[[#This Row],[Data de Início]]="","",MONTH(Table1[[#This Row],[Data de Início]]))</f>
        <v>2</v>
      </c>
      <c r="BC806" s="616"/>
    </row>
    <row r="807" spans="2:55" ht="15" customHeight="1" x14ac:dyDescent="0.25">
      <c r="B807" s="489">
        <v>46065.628472222219</v>
      </c>
      <c r="C807" s="490">
        <v>46066.326388888891</v>
      </c>
      <c r="D807" s="477" cm="1">
        <f t="array" ref="D807">IFERROR(HorasUteisFabrica2Turnos(B807,C807), "")</f>
        <v>2.7500000002328306</v>
      </c>
      <c r="E807" s="478">
        <f t="shared" si="12"/>
        <v>575.99999995123255</v>
      </c>
      <c r="F807" s="479" t="s">
        <v>377</v>
      </c>
      <c r="G807" s="266" t="s">
        <v>1365</v>
      </c>
      <c r="H807" s="479"/>
      <c r="I807" s="480" t="s">
        <v>1384</v>
      </c>
      <c r="J807" s="481" t="s">
        <v>15</v>
      </c>
      <c r="K807" s="482">
        <v>1584</v>
      </c>
      <c r="L807" s="495" t="s">
        <v>479</v>
      </c>
      <c r="M807" s="511" t="str">
        <f>IFERROR(INDEX([1]Produtos!$C:$C,MATCH(L807,[1]Produtos!$B:$B,0)), "-")</f>
        <v>ÁGUA MICELAR CARVÃO ATIVADO</v>
      </c>
      <c r="N807" s="511">
        <f>IFERROR(INDEX([1]Produtos!$E:$E,MATCH(L807,[1]Produtos!$B:$B,0)), "-")</f>
        <v>325</v>
      </c>
      <c r="O807" s="483" t="str">
        <f>IFERROR(INDEX([1]Produtos!$F:$F,MATCH(L807,[1]Produtos!$B:$B,0)), "-")</f>
        <v>ml</v>
      </c>
      <c r="P807" s="483" t="str">
        <f>IFERROR(INDEX([1]Produtos!$G:$G,MATCH(L807,[1]Produtos!$B:$B,0)), "-")</f>
        <v>GLOW MAKE UP</v>
      </c>
      <c r="Q807" s="483" t="str">
        <f>IFERROR(INDEX([1]Produtos!$H:$H,MATCH(L807,[1]Produtos!$B:$B,0)), "-")</f>
        <v>MAQUIAGEM</v>
      </c>
      <c r="R807" s="483" t="str">
        <f>IFERROR(INDEX([1]Produtos!$I:$I,MATCH(L807,[1]Produtos!$B:$B,0)), "-")</f>
        <v>ÁGUA MICELAR</v>
      </c>
      <c r="S807" s="270" t="str">
        <f>IFERROR(INDEX([1]Produtos!$J:$J,MATCH(L807,[1]Produtos!$B:$B,0)), "-")</f>
        <v>LÍQUIDO</v>
      </c>
      <c r="T807" s="484"/>
      <c r="U807" s="263"/>
      <c r="V807" s="264"/>
      <c r="W807" s="265"/>
      <c r="X807" s="266"/>
      <c r="Y807" s="266"/>
      <c r="Z807" s="269"/>
      <c r="AA807" s="267"/>
      <c r="AB807" s="268"/>
      <c r="AC807" s="269"/>
      <c r="AD807" s="510"/>
      <c r="AE807" s="510"/>
      <c r="AF807" s="510"/>
      <c r="AG807" s="270"/>
      <c r="AH807" s="270"/>
      <c r="AI807" s="616"/>
      <c r="AJ807" s="616"/>
      <c r="AK807" s="616"/>
      <c r="AL807" s="616"/>
      <c r="AM807" s="669"/>
      <c r="AN807" s="669"/>
      <c r="AO807" s="710" t="str">
        <f>IF(OR(Table1[[#This Row],[Início Setup Envase]]="",Table1[[#This Row],[Final Setup Envase]]=""),"",Table1[[#This Row],[Final Setup Envase]]-Table1[[#This Row],[Início Setup Envase]])</f>
        <v/>
      </c>
      <c r="AP807" s="663"/>
      <c r="AQ807" s="663"/>
      <c r="AR807" s="510"/>
      <c r="AS807" s="270"/>
      <c r="AT807" s="270"/>
      <c r="AU807" s="616"/>
      <c r="AV807" s="616"/>
      <c r="AW807" s="616"/>
      <c r="AX807" s="616"/>
      <c r="AY807" s="616"/>
      <c r="AZ807" s="616"/>
      <c r="BA807" s="730">
        <f>IF(Table1[[#This Row],[Data de Início]]="","",YEAR(Table1[[#This Row],[Data de Início]]))</f>
        <v>2026</v>
      </c>
      <c r="BB807" s="730">
        <f>IF(Table1[[#This Row],[Data de Início]]="","",MONTH(Table1[[#This Row],[Data de Início]]))</f>
        <v>2</v>
      </c>
      <c r="BC807" s="616"/>
    </row>
    <row r="808" spans="2:55" ht="15" customHeight="1" x14ac:dyDescent="0.25">
      <c r="B808" s="489">
        <v>46065.640972222223</v>
      </c>
      <c r="C808" s="490">
        <v>46066.34375</v>
      </c>
      <c r="D808" s="477" cm="1">
        <f t="array" ref="D808">IFERROR(HorasUteisFabrica2Turnos(B808,C808), "")</f>
        <v>2.8666666667559184</v>
      </c>
      <c r="E808" s="478">
        <f t="shared" si="12"/>
        <v>887.44186043748641</v>
      </c>
      <c r="F808" s="479" t="s">
        <v>378</v>
      </c>
      <c r="G808" s="266" t="s">
        <v>1103</v>
      </c>
      <c r="H808" s="479"/>
      <c r="I808" s="480" t="s">
        <v>1404</v>
      </c>
      <c r="J808" s="481" t="s">
        <v>15</v>
      </c>
      <c r="K808" s="482">
        <v>2544</v>
      </c>
      <c r="L808" s="495" t="s">
        <v>213</v>
      </c>
      <c r="M808" s="511" t="str">
        <f>IFERROR(INDEX([1]Produtos!$C:$C,MATCH(L808,[1]Produtos!$B:$B,0)), "-")</f>
        <v>BODY SPLASH DEUSA DO NILO</v>
      </c>
      <c r="N808" s="511">
        <f>IFERROR(INDEX([1]Produtos!$E:$E,MATCH(L808,[1]Produtos!$B:$B,0)), "-")</f>
        <v>220</v>
      </c>
      <c r="O808" s="483" t="str">
        <f>IFERROR(INDEX([1]Produtos!$F:$F,MATCH(L808,[1]Produtos!$B:$B,0)), "-")</f>
        <v>ml</v>
      </c>
      <c r="P808" s="483" t="str">
        <f>IFERROR(INDEX([1]Produtos!$G:$G,MATCH(L808,[1]Produtos!$B:$B,0)), "-")</f>
        <v>MISS RÔSE</v>
      </c>
      <c r="Q808" s="483" t="str">
        <f>IFERROR(INDEX([1]Produtos!$H:$H,MATCH(L808,[1]Produtos!$B:$B,0)), "-")</f>
        <v>PERFUMARIA</v>
      </c>
      <c r="R808" s="483" t="str">
        <f>IFERROR(INDEX([1]Produtos!$I:$I,MATCH(L808,[1]Produtos!$B:$B,0)), "-")</f>
        <v>BODY SPLASH</v>
      </c>
      <c r="S808" s="270" t="str">
        <f>IFERROR(INDEX([1]Produtos!$J:$J,MATCH(L808,[1]Produtos!$B:$B,0)), "-")</f>
        <v>LÍQUIDO</v>
      </c>
      <c r="T808" s="484"/>
      <c r="U808" s="263"/>
      <c r="V808" s="264"/>
      <c r="W808" s="265"/>
      <c r="X808" s="266"/>
      <c r="Y808" s="266"/>
      <c r="Z808" s="269"/>
      <c r="AA808" s="267"/>
      <c r="AB808" s="268"/>
      <c r="AC808" s="269"/>
      <c r="AD808" s="510"/>
      <c r="AE808" s="510"/>
      <c r="AF808" s="510"/>
      <c r="AG808" s="270"/>
      <c r="AH808" s="270"/>
      <c r="AI808" s="616"/>
      <c r="AJ808" s="616"/>
      <c r="AK808" s="616"/>
      <c r="AL808" s="616"/>
      <c r="AM808" s="669"/>
      <c r="AN808" s="669"/>
      <c r="AO808" s="710" t="str">
        <f>IF(OR(Table1[[#This Row],[Início Setup Envase]]="",Table1[[#This Row],[Final Setup Envase]]=""),"",Table1[[#This Row],[Final Setup Envase]]-Table1[[#This Row],[Início Setup Envase]])</f>
        <v/>
      </c>
      <c r="AP808" s="663"/>
      <c r="AQ808" s="663"/>
      <c r="AR808" s="510"/>
      <c r="AS808" s="270"/>
      <c r="AT808" s="270"/>
      <c r="AU808" s="616"/>
      <c r="AV808" s="616"/>
      <c r="AW808" s="616"/>
      <c r="AX808" s="616"/>
      <c r="AY808" s="616"/>
      <c r="AZ808" s="616"/>
      <c r="BA808" s="730">
        <f>IF(Table1[[#This Row],[Data de Início]]="","",YEAR(Table1[[#This Row],[Data de Início]]))</f>
        <v>2026</v>
      </c>
      <c r="BB808" s="730">
        <f>IF(Table1[[#This Row],[Data de Início]]="","",MONTH(Table1[[#This Row],[Data de Início]]))</f>
        <v>2</v>
      </c>
      <c r="BC808" s="616"/>
    </row>
    <row r="809" spans="2:55" ht="15" customHeight="1" x14ac:dyDescent="0.25">
      <c r="B809" s="489">
        <v>46066.32708333333</v>
      </c>
      <c r="C809" s="490">
        <v>46066.395833333336</v>
      </c>
      <c r="D809" s="477" cm="1">
        <f t="array" ref="D809">IFERROR(HorasUteisFabrica2Turnos(B809,C809), "")</f>
        <v>1.6500000001396984</v>
      </c>
      <c r="E809" s="478">
        <f t="shared" si="12"/>
        <v>989.09090900716706</v>
      </c>
      <c r="F809" s="479" t="s">
        <v>377</v>
      </c>
      <c r="G809" s="266" t="s">
        <v>1365</v>
      </c>
      <c r="H809" s="479"/>
      <c r="I809" s="480" t="s">
        <v>1380</v>
      </c>
      <c r="J809" s="481" t="s">
        <v>15</v>
      </c>
      <c r="K809" s="482">
        <v>1632</v>
      </c>
      <c r="L809" s="495" t="s">
        <v>479</v>
      </c>
      <c r="M809" s="511" t="str">
        <f>IFERROR(INDEX([1]Produtos!$C:$C,MATCH(L809,[1]Produtos!$B:$B,0)), "-")</f>
        <v>ÁGUA MICELAR CARVÃO ATIVADO</v>
      </c>
      <c r="N809" s="511">
        <f>IFERROR(INDEX([1]Produtos!$E:$E,MATCH(L809,[1]Produtos!$B:$B,0)), "-")</f>
        <v>325</v>
      </c>
      <c r="O809" s="483" t="str">
        <f>IFERROR(INDEX([1]Produtos!$F:$F,MATCH(L809,[1]Produtos!$B:$B,0)), "-")</f>
        <v>ml</v>
      </c>
      <c r="P809" s="483" t="str">
        <f>IFERROR(INDEX([1]Produtos!$G:$G,MATCH(L809,[1]Produtos!$B:$B,0)), "-")</f>
        <v>GLOW MAKE UP</v>
      </c>
      <c r="Q809" s="483" t="str">
        <f>IFERROR(INDEX([1]Produtos!$H:$H,MATCH(L809,[1]Produtos!$B:$B,0)), "-")</f>
        <v>MAQUIAGEM</v>
      </c>
      <c r="R809" s="270" t="str">
        <f>IFERROR(INDEX([1]Produtos!$I:$I,MATCH(L809,[1]Produtos!$B:$B,0)), "-")</f>
        <v>ÁGUA MICELAR</v>
      </c>
      <c r="S809" s="483" t="str">
        <f>IFERROR(INDEX([1]Produtos!$J:$J,MATCH(L809,[1]Produtos!$B:$B,0)), "-")</f>
        <v>LÍQUIDO</v>
      </c>
      <c r="T809" s="484"/>
      <c r="U809" s="270"/>
      <c r="V809" s="270"/>
      <c r="W809" s="270"/>
      <c r="X809" s="270"/>
      <c r="Y809" s="270"/>
      <c r="Z809" s="270"/>
      <c r="AA809" s="270"/>
      <c r="AB809" s="270"/>
      <c r="AC809" s="270"/>
      <c r="AD809" s="270"/>
      <c r="AE809" s="270"/>
      <c r="AF809" s="270"/>
      <c r="AG809" s="270"/>
      <c r="AH809" s="270"/>
      <c r="AI809" s="270"/>
      <c r="AJ809" s="270"/>
      <c r="AK809" s="270"/>
      <c r="AL809" s="270"/>
      <c r="AM809" s="663"/>
      <c r="AN809" s="663"/>
      <c r="AO809" s="708" t="str">
        <f>IF(OR(Table1[[#This Row],[Início Setup Envase]]="",Table1[[#This Row],[Final Setup Envase]]=""),"",Table1[[#This Row],[Final Setup Envase]]-Table1[[#This Row],[Início Setup Envase]])</f>
        <v/>
      </c>
      <c r="AP809" s="663"/>
      <c r="AQ809" s="663"/>
      <c r="AR809" s="270"/>
      <c r="AS809" s="270"/>
      <c r="AT809" s="270"/>
      <c r="AU809" s="270"/>
      <c r="AV809" s="270"/>
      <c r="AW809" s="270"/>
      <c r="AX809" s="270"/>
      <c r="AY809" s="270"/>
      <c r="AZ809" s="270"/>
      <c r="BA809" s="270">
        <f>IF(Table1[[#This Row],[Data de Início]]="","",YEAR(Table1[[#This Row],[Data de Início]]))</f>
        <v>2026</v>
      </c>
      <c r="BB809" s="270">
        <f>IF(Table1[[#This Row],[Data de Início]]="","",MONTH(Table1[[#This Row],[Data de Início]]))</f>
        <v>2</v>
      </c>
      <c r="BC809" s="270"/>
    </row>
    <row r="810" spans="2:55" ht="15" customHeight="1" x14ac:dyDescent="0.25">
      <c r="B810" s="489">
        <v>46066.395833333336</v>
      </c>
      <c r="C810" s="490">
        <v>46066.482638888891</v>
      </c>
      <c r="D810" s="477" cm="1">
        <f t="array" ref="D810">IFERROR(HorasUteisFabrica2Turnos(B810,C810), "")</f>
        <v>2.0833333333139308</v>
      </c>
      <c r="E810" s="478">
        <f t="shared" si="12"/>
        <v>779.5200000072598</v>
      </c>
      <c r="F810" s="479" t="s">
        <v>377</v>
      </c>
      <c r="G810" s="266" t="s">
        <v>1365</v>
      </c>
      <c r="H810" s="479"/>
      <c r="I810" s="480" t="s">
        <v>1382</v>
      </c>
      <c r="J810" s="481" t="s">
        <v>15</v>
      </c>
      <c r="K810" s="482">
        <v>1624</v>
      </c>
      <c r="L810" s="495" t="s">
        <v>479</v>
      </c>
      <c r="M810" s="511" t="str">
        <f>IFERROR(INDEX([1]Produtos!$C:$C,MATCH(L810,[1]Produtos!$B:$B,0)), "-")</f>
        <v>ÁGUA MICELAR CARVÃO ATIVADO</v>
      </c>
      <c r="N810" s="511">
        <f>IFERROR(INDEX([1]Produtos!$E:$E,MATCH(L810,[1]Produtos!$B:$B,0)), "-")</f>
        <v>325</v>
      </c>
      <c r="O810" s="483" t="str">
        <f>IFERROR(INDEX([1]Produtos!$F:$F,MATCH(L810,[1]Produtos!$B:$B,0)), "-")</f>
        <v>ml</v>
      </c>
      <c r="P810" s="483" t="str">
        <f>IFERROR(INDEX([1]Produtos!$G:$G,MATCH(L810,[1]Produtos!$B:$B,0)), "-")</f>
        <v>GLOW MAKE UP</v>
      </c>
      <c r="Q810" s="483" t="str">
        <f>IFERROR(INDEX([1]Produtos!$H:$H,MATCH(L810,[1]Produtos!$B:$B,0)), "-")</f>
        <v>MAQUIAGEM</v>
      </c>
      <c r="R810" s="483" t="str">
        <f>IFERROR(INDEX([1]Produtos!$I:$I,MATCH(L810,[1]Produtos!$B:$B,0)), "-")</f>
        <v>ÁGUA MICELAR</v>
      </c>
      <c r="S810" s="483" t="str">
        <f>IFERROR(INDEX([1]Produtos!$J:$J,MATCH(L810,[1]Produtos!$B:$B,0)), "-")</f>
        <v>LÍQUIDO</v>
      </c>
      <c r="T810" s="484"/>
      <c r="U810" s="270"/>
      <c r="V810" s="270"/>
      <c r="W810" s="270"/>
      <c r="X810" s="270"/>
      <c r="Y810" s="270"/>
      <c r="Z810" s="270"/>
      <c r="AA810" s="270"/>
      <c r="AB810" s="270"/>
      <c r="AC810" s="270"/>
      <c r="AD810" s="270"/>
      <c r="AE810" s="270"/>
      <c r="AF810" s="270"/>
      <c r="AG810" s="270"/>
      <c r="AH810" s="270"/>
      <c r="AI810" s="270"/>
      <c r="AJ810" s="270"/>
      <c r="AK810" s="270"/>
      <c r="AL810" s="270"/>
      <c r="AM810" s="663"/>
      <c r="AN810" s="663"/>
      <c r="AO810" s="708" t="str">
        <f>IF(OR(Table1[[#This Row],[Início Setup Envase]]="",Table1[[#This Row],[Final Setup Envase]]=""),"",Table1[[#This Row],[Final Setup Envase]]-Table1[[#This Row],[Início Setup Envase]])</f>
        <v/>
      </c>
      <c r="AP810" s="663"/>
      <c r="AQ810" s="663"/>
      <c r="AR810" s="270"/>
      <c r="AS810" s="270"/>
      <c r="AT810" s="270"/>
      <c r="AU810" s="270"/>
      <c r="AV810" s="270"/>
      <c r="AW810" s="270"/>
      <c r="AX810" s="270"/>
      <c r="AY810" s="270"/>
      <c r="AZ810" s="270"/>
      <c r="BA810" s="270">
        <f>IF(Table1[[#This Row],[Data de Início]]="","",YEAR(Table1[[#This Row],[Data de Início]]))</f>
        <v>2026</v>
      </c>
      <c r="BB810" s="270">
        <f>IF(Table1[[#This Row],[Data de Início]]="","",MONTH(Table1[[#This Row],[Data de Início]]))</f>
        <v>2</v>
      </c>
      <c r="BC810" s="270"/>
    </row>
    <row r="811" spans="2:55" ht="15" customHeight="1" x14ac:dyDescent="0.25">
      <c r="B811" s="489">
        <v>46066.409722222219</v>
      </c>
      <c r="C811" s="490">
        <v>46066.488194444442</v>
      </c>
      <c r="D811" s="477" cm="1">
        <f t="array" ref="D811">IFERROR(HorasUteisFabrica2Turnos(B811,C811), "")</f>
        <v>1.8833333333604969</v>
      </c>
      <c r="E811" s="478">
        <f t="shared" si="12"/>
        <v>978.05309733102615</v>
      </c>
      <c r="F811" s="479" t="s">
        <v>377</v>
      </c>
      <c r="G811" s="266" t="s">
        <v>1365</v>
      </c>
      <c r="H811" s="479"/>
      <c r="I811" s="480" t="s">
        <v>1385</v>
      </c>
      <c r="J811" s="481" t="s">
        <v>15</v>
      </c>
      <c r="K811" s="536">
        <v>1842</v>
      </c>
      <c r="L811" s="495" t="s">
        <v>479</v>
      </c>
      <c r="M811" s="511" t="str">
        <f>IFERROR(INDEX([1]Produtos!$C:$C,MATCH(L811,[1]Produtos!$B:$B,0)), "-")</f>
        <v>ÁGUA MICELAR CARVÃO ATIVADO</v>
      </c>
      <c r="N811" s="511">
        <f>IFERROR(INDEX([1]Produtos!$E:$E,MATCH(L811,[1]Produtos!$B:$B,0)), "-")</f>
        <v>325</v>
      </c>
      <c r="O811" s="483" t="str">
        <f>IFERROR(INDEX([1]Produtos!$F:$F,MATCH(L811,[1]Produtos!$B:$B,0)), "-")</f>
        <v>ml</v>
      </c>
      <c r="P811" s="483" t="str">
        <f>IFERROR(INDEX([1]Produtos!$G:$G,MATCH(L811,[1]Produtos!$B:$B,0)), "-")</f>
        <v>GLOW MAKE UP</v>
      </c>
      <c r="Q811" s="483" t="str">
        <f>IFERROR(INDEX([1]Produtos!$H:$H,MATCH(L811,[1]Produtos!$B:$B,0)), "-")</f>
        <v>MAQUIAGEM</v>
      </c>
      <c r="R811" s="483" t="str">
        <f>IFERROR(INDEX([1]Produtos!$I:$I,MATCH(L811,[1]Produtos!$B:$B,0)), "-")</f>
        <v>ÁGUA MICELAR</v>
      </c>
      <c r="S811" s="483" t="str">
        <f>IFERROR(INDEX([1]Produtos!$J:$J,MATCH(L811,[1]Produtos!$B:$B,0)), "-")</f>
        <v>LÍQUIDO</v>
      </c>
      <c r="T811" s="484"/>
      <c r="U811" s="270"/>
      <c r="V811" s="270"/>
      <c r="W811" s="270"/>
      <c r="X811" s="270"/>
      <c r="Y811" s="270"/>
      <c r="Z811" s="270"/>
      <c r="AA811" s="270"/>
      <c r="AB811" s="270"/>
      <c r="AC811" s="270"/>
      <c r="AD811" s="270"/>
      <c r="AE811" s="270"/>
      <c r="AF811" s="270"/>
      <c r="AG811" s="270"/>
      <c r="AH811" s="270"/>
      <c r="AI811" s="270"/>
      <c r="AJ811" s="270"/>
      <c r="AK811" s="270"/>
      <c r="AL811" s="270"/>
      <c r="AM811" s="663"/>
      <c r="AN811" s="663"/>
      <c r="AO811" s="708" t="str">
        <f>IF(OR(Table1[[#This Row],[Início Setup Envase]]="",Table1[[#This Row],[Final Setup Envase]]=""),"",Table1[[#This Row],[Final Setup Envase]]-Table1[[#This Row],[Início Setup Envase]])</f>
        <v/>
      </c>
      <c r="AP811" s="663"/>
      <c r="AQ811" s="663"/>
      <c r="AR811" s="270"/>
      <c r="AS811" s="270"/>
      <c r="AT811" s="270"/>
      <c r="AU811" s="270"/>
      <c r="AV811" s="270"/>
      <c r="AW811" s="270"/>
      <c r="AX811" s="270"/>
      <c r="AY811" s="270"/>
      <c r="AZ811" s="270"/>
      <c r="BA811" s="270">
        <f>IF(Table1[[#This Row],[Data de Início]]="","",YEAR(Table1[[#This Row],[Data de Início]]))</f>
        <v>2026</v>
      </c>
      <c r="BB811" s="270">
        <f>IF(Table1[[#This Row],[Data de Início]]="","",MONTH(Table1[[#This Row],[Data de Início]]))</f>
        <v>2</v>
      </c>
      <c r="BC811" s="270"/>
    </row>
    <row r="812" spans="2:55" ht="15" customHeight="1" x14ac:dyDescent="0.25">
      <c r="B812" s="489">
        <v>46066.486111111109</v>
      </c>
      <c r="C812" s="490">
        <v>46066.637499999997</v>
      </c>
      <c r="D812" s="477" cm="1">
        <f t="array" ref="D812">IFERROR(HorasUteisFabrica2Turnos(B812,C812), "")</f>
        <v>2.6333333333022892</v>
      </c>
      <c r="E812" s="478">
        <f t="shared" si="12"/>
        <v>544.17721519628867</v>
      </c>
      <c r="F812" s="479" t="s">
        <v>377</v>
      </c>
      <c r="G812" s="266" t="s">
        <v>1365</v>
      </c>
      <c r="H812" s="479"/>
      <c r="I812" s="480" t="s">
        <v>1383</v>
      </c>
      <c r="J812" s="481" t="s">
        <v>15</v>
      </c>
      <c r="K812" s="482">
        <v>1433</v>
      </c>
      <c r="L812" s="495" t="s">
        <v>479</v>
      </c>
      <c r="M812" s="511" t="str">
        <f>IFERROR(INDEX([1]Produtos!$C:$C,MATCH(L812,[1]Produtos!$B:$B,0)), "-")</f>
        <v>ÁGUA MICELAR CARVÃO ATIVADO</v>
      </c>
      <c r="N812" s="511">
        <f>IFERROR(INDEX([1]Produtos!$E:$E,MATCH(L812,[1]Produtos!$B:$B,0)), "-")</f>
        <v>325</v>
      </c>
      <c r="O812" s="483" t="str">
        <f>IFERROR(INDEX([1]Produtos!$F:$F,MATCH(L812,[1]Produtos!$B:$B,0)), "-")</f>
        <v>ml</v>
      </c>
      <c r="P812" s="483" t="str">
        <f>IFERROR(INDEX([1]Produtos!$G:$G,MATCH(L812,[1]Produtos!$B:$B,0)), "-")</f>
        <v>GLOW MAKE UP</v>
      </c>
      <c r="Q812" s="483" t="str">
        <f>IFERROR(INDEX([1]Produtos!$H:$H,MATCH(L812,[1]Produtos!$B:$B,0)), "-")</f>
        <v>MAQUIAGEM</v>
      </c>
      <c r="R812" s="483" t="str">
        <f>IFERROR(INDEX([1]Produtos!$I:$I,MATCH(L812,[1]Produtos!$B:$B,0)), "-")</f>
        <v>ÁGUA MICELAR</v>
      </c>
      <c r="S812" s="483" t="str">
        <f>IFERROR(INDEX([1]Produtos!$J:$J,MATCH(L812,[1]Produtos!$B:$B,0)), "-")</f>
        <v>LÍQUIDO</v>
      </c>
      <c r="T812" s="484"/>
      <c r="U812" s="270"/>
      <c r="V812" s="270"/>
      <c r="W812" s="270"/>
      <c r="X812" s="270"/>
      <c r="Y812" s="270"/>
      <c r="Z812" s="270"/>
      <c r="AA812" s="270"/>
      <c r="AB812" s="270"/>
      <c r="AC812" s="270"/>
      <c r="AD812" s="270"/>
      <c r="AE812" s="270"/>
      <c r="AF812" s="270"/>
      <c r="AG812" s="270"/>
      <c r="AH812" s="270"/>
      <c r="AI812" s="270"/>
      <c r="AJ812" s="270"/>
      <c r="AK812" s="270"/>
      <c r="AL812" s="270"/>
      <c r="AM812" s="663"/>
      <c r="AN812" s="663"/>
      <c r="AO812" s="708" t="str">
        <f>IF(OR(Table1[[#This Row],[Início Setup Envase]]="",Table1[[#This Row],[Final Setup Envase]]=""),"",Table1[[#This Row],[Final Setup Envase]]-Table1[[#This Row],[Início Setup Envase]])</f>
        <v/>
      </c>
      <c r="AP812" s="663"/>
      <c r="AQ812" s="663"/>
      <c r="AR812" s="270"/>
      <c r="AS812" s="270"/>
      <c r="AT812" s="270"/>
      <c r="AU812" s="270"/>
      <c r="AV812" s="270"/>
      <c r="AW812" s="270"/>
      <c r="AX812" s="270"/>
      <c r="AY812" s="270"/>
      <c r="AZ812" s="270"/>
      <c r="BA812" s="270">
        <f>IF(Table1[[#This Row],[Data de Início]]="","",YEAR(Table1[[#This Row],[Data de Início]]))</f>
        <v>2026</v>
      </c>
      <c r="BB812" s="270">
        <f>IF(Table1[[#This Row],[Data de Início]]="","",MONTH(Table1[[#This Row],[Data de Início]]))</f>
        <v>2</v>
      </c>
      <c r="BC812" s="270"/>
    </row>
    <row r="813" spans="2:55" ht="15" customHeight="1" x14ac:dyDescent="0.25">
      <c r="B813" s="489">
        <v>46066.554166666669</v>
      </c>
      <c r="C813" s="490">
        <v>46066.652777777781</v>
      </c>
      <c r="D813" s="477" cm="1">
        <f t="array" ref="D813">IFERROR(HorasUteisFabrica2Turnos(B813,C813), "")</f>
        <v>2.3666666666977108</v>
      </c>
      <c r="E813" s="478">
        <f t="shared" si="12"/>
        <v>784.64788731365127</v>
      </c>
      <c r="F813" s="479" t="s">
        <v>377</v>
      </c>
      <c r="G813" s="266" t="s">
        <v>1365</v>
      </c>
      <c r="H813" s="479"/>
      <c r="I813" s="480" t="s">
        <v>1381</v>
      </c>
      <c r="J813" s="481" t="s">
        <v>15</v>
      </c>
      <c r="K813" s="482">
        <v>1857</v>
      </c>
      <c r="L813" s="495" t="s">
        <v>479</v>
      </c>
      <c r="M813" s="511" t="str">
        <f>IFERROR(INDEX([1]Produtos!$C:$C,MATCH(L813,[1]Produtos!$B:$B,0)), "-")</f>
        <v>ÁGUA MICELAR CARVÃO ATIVADO</v>
      </c>
      <c r="N813" s="511">
        <f>IFERROR(INDEX([1]Produtos!$E:$E,MATCH(L813,[1]Produtos!$B:$B,0)), "-")</f>
        <v>325</v>
      </c>
      <c r="O813" s="483" t="str">
        <f>IFERROR(INDEX([1]Produtos!$F:$F,MATCH(L813,[1]Produtos!$B:$B,0)), "-")</f>
        <v>ml</v>
      </c>
      <c r="P813" s="483" t="str">
        <f>IFERROR(INDEX([1]Produtos!$G:$G,MATCH(L813,[1]Produtos!$B:$B,0)), "-")</f>
        <v>GLOW MAKE UP</v>
      </c>
      <c r="Q813" s="483" t="str">
        <f>IFERROR(INDEX([1]Produtos!$H:$H,MATCH(L813,[1]Produtos!$B:$B,0)), "-")</f>
        <v>MAQUIAGEM</v>
      </c>
      <c r="R813" s="483" t="str">
        <f>IFERROR(INDEX([1]Produtos!$I:$I,MATCH(L813,[1]Produtos!$B:$B,0)), "-")</f>
        <v>ÁGUA MICELAR</v>
      </c>
      <c r="S813" s="483" t="str">
        <f>IFERROR(INDEX([1]Produtos!$J:$J,MATCH(L813,[1]Produtos!$B:$B,0)), "-")</f>
        <v>LÍQUIDO</v>
      </c>
      <c r="T813" s="484"/>
      <c r="U813" s="270"/>
      <c r="V813" s="270"/>
      <c r="W813" s="270"/>
      <c r="X813" s="270"/>
      <c r="Y813" s="270"/>
      <c r="Z813" s="270"/>
      <c r="AA813" s="270"/>
      <c r="AB813" s="270"/>
      <c r="AC813" s="270"/>
      <c r="AD813" s="270"/>
      <c r="AE813" s="270"/>
      <c r="AF813" s="270"/>
      <c r="AG813" s="270"/>
      <c r="AH813" s="270"/>
      <c r="AI813" s="270"/>
      <c r="AJ813" s="270"/>
      <c r="AK813" s="270"/>
      <c r="AL813" s="270"/>
      <c r="AM813" s="663"/>
      <c r="AN813" s="663"/>
      <c r="AO813" s="708" t="str">
        <f>IF(OR(Table1[[#This Row],[Início Setup Envase]]="",Table1[[#This Row],[Final Setup Envase]]=""),"",Table1[[#This Row],[Final Setup Envase]]-Table1[[#This Row],[Início Setup Envase]])</f>
        <v/>
      </c>
      <c r="AP813" s="663"/>
      <c r="AQ813" s="663"/>
      <c r="AR813" s="270"/>
      <c r="AS813" s="270"/>
      <c r="AT813" s="270"/>
      <c r="AU813" s="270"/>
      <c r="AV813" s="270"/>
      <c r="AW813" s="270"/>
      <c r="AX813" s="270"/>
      <c r="AY813" s="270"/>
      <c r="AZ813" s="270"/>
      <c r="BA813" s="270">
        <f>IF(Table1[[#This Row],[Data de Início]]="","",YEAR(Table1[[#This Row],[Data de Início]]))</f>
        <v>2026</v>
      </c>
      <c r="BB813" s="270">
        <f>IF(Table1[[#This Row],[Data de Início]]="","",MONTH(Table1[[#This Row],[Data de Início]]))</f>
        <v>2</v>
      </c>
      <c r="BC813" s="270"/>
    </row>
    <row r="814" spans="2:55" ht="15" customHeight="1" x14ac:dyDescent="0.25">
      <c r="B814" s="489">
        <v>46071.344444444447</v>
      </c>
      <c r="C814" s="490">
        <v>46071.423611111109</v>
      </c>
      <c r="D814" s="477" cm="1">
        <f t="array" ref="D814">IFERROR(HorasUteisFabrica2Turnos(B814,C814), "")</f>
        <v>1.8999999999068677</v>
      </c>
      <c r="E814" s="478">
        <f t="shared" si="12"/>
        <v>858.94736846315561</v>
      </c>
      <c r="F814" s="479" t="s">
        <v>378</v>
      </c>
      <c r="G814" s="266" t="s">
        <v>1365</v>
      </c>
      <c r="H814" s="479"/>
      <c r="I814" s="480" t="s">
        <v>1386</v>
      </c>
      <c r="J814" s="481" t="s">
        <v>15</v>
      </c>
      <c r="K814" s="482">
        <v>1632</v>
      </c>
      <c r="L814" s="495" t="s">
        <v>479</v>
      </c>
      <c r="M814" s="511" t="str">
        <f>IFERROR(INDEX([1]Produtos!$C:$C,MATCH(L814,[1]Produtos!$B:$B,0)), "-")</f>
        <v>ÁGUA MICELAR CARVÃO ATIVADO</v>
      </c>
      <c r="N814" s="511">
        <f>IFERROR(INDEX([1]Produtos!$E:$E,MATCH(L814,[1]Produtos!$B:$B,0)), "-")</f>
        <v>325</v>
      </c>
      <c r="O814" s="483" t="str">
        <f>IFERROR(INDEX([1]Produtos!$F:$F,MATCH(L814,[1]Produtos!$B:$B,0)), "-")</f>
        <v>ml</v>
      </c>
      <c r="P814" s="483" t="str">
        <f>IFERROR(INDEX([1]Produtos!$G:$G,MATCH(L814,[1]Produtos!$B:$B,0)), "-")</f>
        <v>GLOW MAKE UP</v>
      </c>
      <c r="Q814" s="483" t="str">
        <f>IFERROR(INDEX([1]Produtos!$H:$H,MATCH(L814,[1]Produtos!$B:$B,0)), "-")</f>
        <v>MAQUIAGEM</v>
      </c>
      <c r="R814" s="483" t="str">
        <f>IFERROR(INDEX([1]Produtos!$I:$I,MATCH(L814,[1]Produtos!$B:$B,0)), "-")</f>
        <v>ÁGUA MICELAR</v>
      </c>
      <c r="S814" s="483" t="str">
        <f>IFERROR(INDEX([1]Produtos!$J:$J,MATCH(L814,[1]Produtos!$B:$B,0)), "-")</f>
        <v>LÍQUIDO</v>
      </c>
      <c r="T814" s="484"/>
      <c r="U814" s="270"/>
      <c r="V814" s="270"/>
      <c r="W814" s="270"/>
      <c r="X814" s="270"/>
      <c r="Y814" s="270"/>
      <c r="Z814" s="270"/>
      <c r="AA814" s="270"/>
      <c r="AB814" s="270"/>
      <c r="AC814" s="270"/>
      <c r="AD814" s="270"/>
      <c r="AE814" s="270"/>
      <c r="AF814" s="270"/>
      <c r="AG814" s="270"/>
      <c r="AH814" s="270"/>
      <c r="AI814" s="270"/>
      <c r="AJ814" s="270"/>
      <c r="AK814" s="270"/>
      <c r="AL814" s="270"/>
      <c r="AM814" s="663"/>
      <c r="AN814" s="663"/>
      <c r="AO814" s="708" t="str">
        <f>IF(OR(Table1[[#This Row],[Início Setup Envase]]="",Table1[[#This Row],[Final Setup Envase]]=""),"",Table1[[#This Row],[Final Setup Envase]]-Table1[[#This Row],[Início Setup Envase]])</f>
        <v/>
      </c>
      <c r="AP814" s="663"/>
      <c r="AQ814" s="663"/>
      <c r="AR814" s="270"/>
      <c r="AS814" s="270"/>
      <c r="AT814" s="270"/>
      <c r="AU814" s="270"/>
      <c r="AV814" s="270"/>
      <c r="AW814" s="270"/>
      <c r="AX814" s="270"/>
      <c r="AY814" s="270"/>
      <c r="AZ814" s="270"/>
      <c r="BA814" s="270">
        <f>IF(Table1[[#This Row],[Data de Início]]="","",YEAR(Table1[[#This Row],[Data de Início]]))</f>
        <v>2026</v>
      </c>
      <c r="BB814" s="270">
        <f>IF(Table1[[#This Row],[Data de Início]]="","",MONTH(Table1[[#This Row],[Data de Início]]))</f>
        <v>2</v>
      </c>
      <c r="BC814" s="270"/>
    </row>
    <row r="815" spans="2:55" ht="15" customHeight="1" x14ac:dyDescent="0.25">
      <c r="B815" s="489">
        <v>46071.381944444445</v>
      </c>
      <c r="C815" s="490">
        <v>46071.450694444444</v>
      </c>
      <c r="D815" s="477" cm="1">
        <f t="array" ref="D815">IFERROR(HorasUteisFabrica2Turnos(B815,C815), "")</f>
        <v>1.6499999999650754</v>
      </c>
      <c r="E815" s="478">
        <f t="shared" si="12"/>
        <v>687.27272728727439</v>
      </c>
      <c r="F815" s="479" t="s">
        <v>377</v>
      </c>
      <c r="G815" s="266" t="s">
        <v>1365</v>
      </c>
      <c r="H815" s="479"/>
      <c r="I815" s="481" t="s">
        <v>1388</v>
      </c>
      <c r="J815" s="481" t="s">
        <v>15</v>
      </c>
      <c r="K815" s="482">
        <v>1134</v>
      </c>
      <c r="L815" s="495" t="s">
        <v>488</v>
      </c>
      <c r="M815" s="511" t="str">
        <f>IFERROR(INDEX([1]Produtos!$C:$C,MATCH(L815,[1]Produtos!$B:$B,0)), "-")</f>
        <v>ÁGUA MICELAR COLÁGENO</v>
      </c>
      <c r="N815" s="511">
        <f>IFERROR(INDEX([1]Produtos!$E:$E,MATCH(L815,[1]Produtos!$B:$B,0)), "-")</f>
        <v>325</v>
      </c>
      <c r="O815" s="483" t="str">
        <f>IFERROR(INDEX([1]Produtos!$F:$F,MATCH(L815,[1]Produtos!$B:$B,0)), "-")</f>
        <v>ml</v>
      </c>
      <c r="P815" s="483" t="str">
        <f>IFERROR(INDEX([1]Produtos!$G:$G,MATCH(L815,[1]Produtos!$B:$B,0)), "-")</f>
        <v>GLOW MAKE UP</v>
      </c>
      <c r="Q815" s="483" t="str">
        <f>IFERROR(INDEX([1]Produtos!$H:$H,MATCH(L815,[1]Produtos!$B:$B,0)), "-")</f>
        <v>MAQUIAGEM</v>
      </c>
      <c r="R815" s="483" t="str">
        <f>IFERROR(INDEX([1]Produtos!$I:$I,MATCH(L815,[1]Produtos!$B:$B,0)), "-")</f>
        <v>ÁGUA MICELAR</v>
      </c>
      <c r="S815" s="483" t="str">
        <f>IFERROR(INDEX([1]Produtos!$J:$J,MATCH(L815,[1]Produtos!$B:$B,0)), "-")</f>
        <v>LÍQUIDO</v>
      </c>
      <c r="T815" s="484"/>
      <c r="U815" s="270"/>
      <c r="V815" s="270"/>
      <c r="W815" s="270"/>
      <c r="X815" s="270"/>
      <c r="Y815" s="270"/>
      <c r="Z815" s="270"/>
      <c r="AA815" s="270"/>
      <c r="AB815" s="270"/>
      <c r="AC815" s="270"/>
      <c r="AD815" s="270"/>
      <c r="AE815" s="270"/>
      <c r="AF815" s="270"/>
      <c r="AG815" s="270"/>
      <c r="AH815" s="270"/>
      <c r="AI815" s="270"/>
      <c r="AJ815" s="270"/>
      <c r="AK815" s="270"/>
      <c r="AL815" s="270"/>
      <c r="AM815" s="663"/>
      <c r="AN815" s="663"/>
      <c r="AO815" s="708" t="str">
        <f>IF(OR(Table1[[#This Row],[Início Setup Envase]]="",Table1[[#This Row],[Final Setup Envase]]=""),"",Table1[[#This Row],[Final Setup Envase]]-Table1[[#This Row],[Início Setup Envase]])</f>
        <v/>
      </c>
      <c r="AP815" s="663"/>
      <c r="AQ815" s="663"/>
      <c r="AR815" s="270"/>
      <c r="AS815" s="270"/>
      <c r="AT815" s="270"/>
      <c r="AU815" s="270"/>
      <c r="AV815" s="270"/>
      <c r="AW815" s="270"/>
      <c r="AX815" s="270"/>
      <c r="AY815" s="270"/>
      <c r="AZ815" s="270"/>
      <c r="BA815" s="270">
        <f>IF(Table1[[#This Row],[Data de Início]]="","",YEAR(Table1[[#This Row],[Data de Início]]))</f>
        <v>2026</v>
      </c>
      <c r="BB815" s="270">
        <f>IF(Table1[[#This Row],[Data de Início]]="","",MONTH(Table1[[#This Row],[Data de Início]]))</f>
        <v>2</v>
      </c>
      <c r="BC815" s="270"/>
    </row>
    <row r="816" spans="2:55" ht="15" customHeight="1" x14ac:dyDescent="0.25">
      <c r="B816" s="489">
        <v>46071.458333333336</v>
      </c>
      <c r="C816" s="490">
        <v>46071.574305555558</v>
      </c>
      <c r="D816" s="477" cm="1">
        <f t="array" ref="D816">IFERROR(HorasUteisFabrica2Turnos(B816,C816), "")</f>
        <v>1.7833333333255723</v>
      </c>
      <c r="E816" s="478">
        <f t="shared" si="12"/>
        <v>869.15887850845547</v>
      </c>
      <c r="F816" s="479" t="s">
        <v>377</v>
      </c>
      <c r="G816" s="266" t="s">
        <v>1365</v>
      </c>
      <c r="H816" s="479"/>
      <c r="I816" s="480" t="s">
        <v>1389</v>
      </c>
      <c r="J816" s="481" t="s">
        <v>15</v>
      </c>
      <c r="K816" s="536">
        <v>1550</v>
      </c>
      <c r="L816" s="495" t="s">
        <v>488</v>
      </c>
      <c r="M816" s="511" t="str">
        <f>IFERROR(INDEX([1]Produtos!$C:$C,MATCH(L816,[1]Produtos!$B:$B,0)), "-")</f>
        <v>ÁGUA MICELAR COLÁGENO</v>
      </c>
      <c r="N816" s="511">
        <f>IFERROR(INDEX([1]Produtos!$E:$E,MATCH(L816,[1]Produtos!$B:$B,0)), "-")</f>
        <v>325</v>
      </c>
      <c r="O816" s="483" t="str">
        <f>IFERROR(INDEX([1]Produtos!$F:$F,MATCH(L816,[1]Produtos!$B:$B,0)), "-")</f>
        <v>ml</v>
      </c>
      <c r="P816" s="483" t="str">
        <f>IFERROR(INDEX([1]Produtos!$G:$G,MATCH(L816,[1]Produtos!$B:$B,0)), "-")</f>
        <v>GLOW MAKE UP</v>
      </c>
      <c r="Q816" s="483" t="str">
        <f>IFERROR(INDEX([1]Produtos!$H:$H,MATCH(L816,[1]Produtos!$B:$B,0)), "-")</f>
        <v>MAQUIAGEM</v>
      </c>
      <c r="R816" s="483" t="str">
        <f>IFERROR(INDEX([1]Produtos!$I:$I,MATCH(L816,[1]Produtos!$B:$B,0)), "-")</f>
        <v>ÁGUA MICELAR</v>
      </c>
      <c r="S816" s="483" t="str">
        <f>IFERROR(INDEX([1]Produtos!$J:$J,MATCH(L816,[1]Produtos!$B:$B,0)), "-")</f>
        <v>LÍQUIDO</v>
      </c>
      <c r="T816" s="484"/>
      <c r="U816" s="270"/>
      <c r="V816" s="270"/>
      <c r="W816" s="270"/>
      <c r="X816" s="270"/>
      <c r="Y816" s="270"/>
      <c r="Z816" s="270"/>
      <c r="AA816" s="270"/>
      <c r="AB816" s="270"/>
      <c r="AC816" s="270"/>
      <c r="AD816" s="270"/>
      <c r="AE816" s="270"/>
      <c r="AF816" s="270"/>
      <c r="AG816" s="270"/>
      <c r="AH816" s="270"/>
      <c r="AI816" s="270"/>
      <c r="AJ816" s="270"/>
      <c r="AK816" s="270"/>
      <c r="AL816" s="270"/>
      <c r="AM816" s="663"/>
      <c r="AN816" s="663"/>
      <c r="AO816" s="708" t="str">
        <f>IF(OR(Table1[[#This Row],[Início Setup Envase]]="",Table1[[#This Row],[Final Setup Envase]]=""),"",Table1[[#This Row],[Final Setup Envase]]-Table1[[#This Row],[Início Setup Envase]])</f>
        <v/>
      </c>
      <c r="AP816" s="663"/>
      <c r="AQ816" s="663"/>
      <c r="AR816" s="270"/>
      <c r="AS816" s="270"/>
      <c r="AT816" s="270"/>
      <c r="AU816" s="270"/>
      <c r="AV816" s="270"/>
      <c r="AW816" s="270"/>
      <c r="AX816" s="270"/>
      <c r="AY816" s="270"/>
      <c r="AZ816" s="270"/>
      <c r="BA816" s="270">
        <f>IF(Table1[[#This Row],[Data de Início]]="","",YEAR(Table1[[#This Row],[Data de Início]]))</f>
        <v>2026</v>
      </c>
      <c r="BB816" s="270">
        <f>IF(Table1[[#This Row],[Data de Início]]="","",MONTH(Table1[[#This Row],[Data de Início]]))</f>
        <v>2</v>
      </c>
      <c r="BC816" s="270"/>
    </row>
    <row r="817" spans="2:55" ht="15" customHeight="1" x14ac:dyDescent="0.25">
      <c r="B817" s="489">
        <v>46071.476388888892</v>
      </c>
      <c r="C817" s="490">
        <v>46071.618750000001</v>
      </c>
      <c r="D817" s="477" cm="1">
        <f t="array" ref="D817">IFERROR(HorasUteisFabrica2Turnos(B817,C817), "")</f>
        <v>2.4166666666278616</v>
      </c>
      <c r="E817" s="478">
        <f t="shared" si="12"/>
        <v>675.31034483842984</v>
      </c>
      <c r="F817" s="479" t="s">
        <v>378</v>
      </c>
      <c r="G817" s="266" t="s">
        <v>1365</v>
      </c>
      <c r="H817" s="479"/>
      <c r="I817" s="480" t="s">
        <v>1387</v>
      </c>
      <c r="J817" s="481" t="s">
        <v>15</v>
      </c>
      <c r="K817" s="482">
        <v>1632</v>
      </c>
      <c r="L817" s="495" t="s">
        <v>474</v>
      </c>
      <c r="M817" s="511" t="str">
        <f>IFERROR(INDEX([1]Produtos!$C:$C,MATCH(L817,[1]Produtos!$B:$B,0)), "-")</f>
        <v>ÁGUA MICELAR ÁCIDO HIAULURÔNICO</v>
      </c>
      <c r="N817" s="511">
        <f>IFERROR(INDEX([1]Produtos!$E:$E,MATCH(L817,[1]Produtos!$B:$B,0)), "-")</f>
        <v>325</v>
      </c>
      <c r="O817" s="483" t="str">
        <f>IFERROR(INDEX([1]Produtos!$F:$F,MATCH(L817,[1]Produtos!$B:$B,0)), "-")</f>
        <v>ml</v>
      </c>
      <c r="P817" s="483" t="str">
        <f>IFERROR(INDEX([1]Produtos!$G:$G,MATCH(L817,[1]Produtos!$B:$B,0)), "-")</f>
        <v>GLOW MAKE UP</v>
      </c>
      <c r="Q817" s="483" t="str">
        <f>IFERROR(INDEX([1]Produtos!$H:$H,MATCH(L817,[1]Produtos!$B:$B,0)), "-")</f>
        <v>MAQUIAGEM</v>
      </c>
      <c r="R817" s="483" t="str">
        <f>IFERROR(INDEX([1]Produtos!$I:$I,MATCH(L817,[1]Produtos!$B:$B,0)), "-")</f>
        <v>ÁGUA MICELAR</v>
      </c>
      <c r="S817" s="483" t="str">
        <f>IFERROR(INDEX([1]Produtos!$J:$J,MATCH(L817,[1]Produtos!$B:$B,0)), "-")</f>
        <v>LÍQUIDO</v>
      </c>
      <c r="T817" s="484"/>
      <c r="U817" s="270"/>
      <c r="V817" s="270"/>
      <c r="W817" s="270"/>
      <c r="X817" s="270"/>
      <c r="Y817" s="270"/>
      <c r="Z817" s="270"/>
      <c r="AA817" s="270"/>
      <c r="AB817" s="270"/>
      <c r="AC817" s="270"/>
      <c r="AD817" s="270"/>
      <c r="AE817" s="270"/>
      <c r="AF817" s="270"/>
      <c r="AG817" s="270"/>
      <c r="AH817" s="270"/>
      <c r="AI817" s="270"/>
      <c r="AJ817" s="270"/>
      <c r="AK817" s="270"/>
      <c r="AL817" s="270"/>
      <c r="AM817" s="663"/>
      <c r="AN817" s="663"/>
      <c r="AO817" s="708" t="str">
        <f>IF(OR(Table1[[#This Row],[Início Setup Envase]]="",Table1[[#This Row],[Final Setup Envase]]=""),"",Table1[[#This Row],[Final Setup Envase]]-Table1[[#This Row],[Início Setup Envase]])</f>
        <v/>
      </c>
      <c r="AP817" s="663"/>
      <c r="AQ817" s="663"/>
      <c r="AR817" s="270"/>
      <c r="AS817" s="270"/>
      <c r="AT817" s="270"/>
      <c r="AU817" s="270"/>
      <c r="AV817" s="270"/>
      <c r="AW817" s="270"/>
      <c r="AX817" s="270"/>
      <c r="AY817" s="270"/>
      <c r="AZ817" s="270"/>
      <c r="BA817" s="270">
        <f>IF(Table1[[#This Row],[Data de Início]]="","",YEAR(Table1[[#This Row],[Data de Início]]))</f>
        <v>2026</v>
      </c>
      <c r="BB817" s="270">
        <f>IF(Table1[[#This Row],[Data de Início]]="","",MONTH(Table1[[#This Row],[Data de Início]]))</f>
        <v>2</v>
      </c>
      <c r="BC817" s="270"/>
    </row>
    <row r="818" spans="2:55" ht="15" customHeight="1" x14ac:dyDescent="0.25">
      <c r="B818" s="489">
        <v>46071.578472222223</v>
      </c>
      <c r="C818" s="490">
        <v>46071.649305555555</v>
      </c>
      <c r="D818" s="477" cm="1">
        <f t="array" ref="D818">IFERROR(HorasUteisFabrica2Turnos(B818,C818), "")</f>
        <v>1.6999999999534339</v>
      </c>
      <c r="E818" s="478">
        <f t="shared" si="12"/>
        <v>979.41176473271025</v>
      </c>
      <c r="F818" s="479" t="s">
        <v>377</v>
      </c>
      <c r="G818" s="266" t="s">
        <v>1365</v>
      </c>
      <c r="H818" s="479"/>
      <c r="I818" s="480" t="s">
        <v>1390</v>
      </c>
      <c r="J818" s="481" t="s">
        <v>15</v>
      </c>
      <c r="K818" s="482">
        <v>1665</v>
      </c>
      <c r="L818" s="495" t="s">
        <v>474</v>
      </c>
      <c r="M818" s="511" t="str">
        <f>IFERROR(INDEX([1]Produtos!$C:$C,MATCH(L818,[1]Produtos!$B:$B,0)), "-")</f>
        <v>ÁGUA MICELAR ÁCIDO HIAULURÔNICO</v>
      </c>
      <c r="N818" s="511">
        <f>IFERROR(INDEX([1]Produtos!$E:$E,MATCH(L818,[1]Produtos!$B:$B,0)), "-")</f>
        <v>325</v>
      </c>
      <c r="O818" s="483" t="str">
        <f>IFERROR(INDEX([1]Produtos!$F:$F,MATCH(L818,[1]Produtos!$B:$B,0)), "-")</f>
        <v>ml</v>
      </c>
      <c r="P818" s="483" t="str">
        <f>IFERROR(INDEX([1]Produtos!$G:$G,MATCH(L818,[1]Produtos!$B:$B,0)), "-")</f>
        <v>GLOW MAKE UP</v>
      </c>
      <c r="Q818" s="483" t="str">
        <f>IFERROR(INDEX([1]Produtos!$H:$H,MATCH(L818,[1]Produtos!$B:$B,0)), "-")</f>
        <v>MAQUIAGEM</v>
      </c>
      <c r="R818" s="483" t="str">
        <f>IFERROR(INDEX([1]Produtos!$I:$I,MATCH(L818,[1]Produtos!$B:$B,0)), "-")</f>
        <v>ÁGUA MICELAR</v>
      </c>
      <c r="S818" s="483" t="str">
        <f>IFERROR(INDEX([1]Produtos!$J:$J,MATCH(L818,[1]Produtos!$B:$B,0)), "-")</f>
        <v>LÍQUIDO</v>
      </c>
      <c r="T818" s="484"/>
      <c r="U818" s="270"/>
      <c r="V818" s="270"/>
      <c r="W818" s="270"/>
      <c r="X818" s="270"/>
      <c r="Y818" s="270"/>
      <c r="Z818" s="270"/>
      <c r="AA818" s="270"/>
      <c r="AB818" s="270"/>
      <c r="AC818" s="270"/>
      <c r="AD818" s="270"/>
      <c r="AE818" s="270"/>
      <c r="AF818" s="270"/>
      <c r="AG818" s="270"/>
      <c r="AH818" s="270"/>
      <c r="AI818" s="270"/>
      <c r="AJ818" s="270"/>
      <c r="AK818" s="270"/>
      <c r="AL818" s="270"/>
      <c r="AM818" s="663"/>
      <c r="AN818" s="663"/>
      <c r="AO818" s="708" t="str">
        <f>IF(OR(Table1[[#This Row],[Início Setup Envase]]="",Table1[[#This Row],[Final Setup Envase]]=""),"",Table1[[#This Row],[Final Setup Envase]]-Table1[[#This Row],[Início Setup Envase]])</f>
        <v/>
      </c>
      <c r="AP818" s="663"/>
      <c r="AQ818" s="663"/>
      <c r="AR818" s="270"/>
      <c r="AS818" s="270"/>
      <c r="AT818" s="270"/>
      <c r="AU818" s="270"/>
      <c r="AV818" s="270"/>
      <c r="AW818" s="270"/>
      <c r="AX818" s="270"/>
      <c r="AY818" s="270"/>
      <c r="AZ818" s="270"/>
      <c r="BA818" s="270">
        <f>IF(Table1[[#This Row],[Data de Início]]="","",YEAR(Table1[[#This Row],[Data de Início]]))</f>
        <v>2026</v>
      </c>
      <c r="BB818" s="270">
        <f>IF(Table1[[#This Row],[Data de Início]]="","",MONTH(Table1[[#This Row],[Data de Início]]))</f>
        <v>2</v>
      </c>
      <c r="BC818" s="270"/>
    </row>
    <row r="819" spans="2:55" ht="15" customHeight="1" x14ac:dyDescent="0.25">
      <c r="B819" s="489">
        <v>46071.618750000001</v>
      </c>
      <c r="C819" s="490">
        <v>46072.304861111108</v>
      </c>
      <c r="D819" s="264" cm="1">
        <f t="array" ref="D819">IFERROR(HorasUteisFabrica2Turnos(B819,C819), "")</f>
        <v>2.4666666666744277</v>
      </c>
      <c r="E819" s="265">
        <f t="shared" si="12"/>
        <v>681.08108107893815</v>
      </c>
      <c r="F819" s="479" t="s">
        <v>378</v>
      </c>
      <c r="G819" s="266" t="s">
        <v>1365</v>
      </c>
      <c r="H819" s="266"/>
      <c r="I819" s="480" t="s">
        <v>1395</v>
      </c>
      <c r="J819" s="267" t="s">
        <v>15</v>
      </c>
      <c r="K819" s="536">
        <v>1680</v>
      </c>
      <c r="L819" s="495" t="s">
        <v>474</v>
      </c>
      <c r="M819" s="510" t="str">
        <f>IFERROR(INDEX([1]Produtos!$C:$C,MATCH(L819,[1]Produtos!$B:$B,0)), "-")</f>
        <v>ÁGUA MICELAR ÁCIDO HIAULURÔNICO</v>
      </c>
      <c r="N819" s="510">
        <f>IFERROR(INDEX([1]Produtos!$E:$E,MATCH(L819,[1]Produtos!$B:$B,0)), "-")</f>
        <v>325</v>
      </c>
      <c r="O819" s="270" t="str">
        <f>IFERROR(INDEX([1]Produtos!$F:$F,MATCH(L819,[1]Produtos!$B:$B,0)), "-")</f>
        <v>ml</v>
      </c>
      <c r="P819" s="270" t="str">
        <f>IFERROR(INDEX([1]Produtos!$G:$G,MATCH(L819,[1]Produtos!$B:$B,0)), "-")</f>
        <v>GLOW MAKE UP</v>
      </c>
      <c r="Q819" s="270" t="str">
        <f>IFERROR(INDEX([1]Produtos!$H:$H,MATCH(L819,[1]Produtos!$B:$B,0)), "-")</f>
        <v>MAQUIAGEM</v>
      </c>
      <c r="R819" s="270" t="str">
        <f>IFERROR(INDEX([1]Produtos!$I:$I,MATCH(L819,[1]Produtos!$B:$B,0)), "-")</f>
        <v>ÁGUA MICELAR</v>
      </c>
      <c r="S819" s="270" t="str">
        <f>IFERROR(INDEX([1]Produtos!$J:$J,MATCH(L819,[1]Produtos!$B:$B,0)), "-")</f>
        <v>LÍQUIDO</v>
      </c>
      <c r="T819" s="475"/>
      <c r="U819" s="270"/>
      <c r="V819" s="270"/>
      <c r="W819" s="270"/>
      <c r="X819" s="270"/>
      <c r="Y819" s="270"/>
      <c r="Z819" s="270"/>
      <c r="AA819" s="270"/>
      <c r="AB819" s="270"/>
      <c r="AC819" s="270"/>
      <c r="AD819" s="270"/>
      <c r="AE819" s="270"/>
      <c r="AF819" s="270"/>
      <c r="AG819" s="270"/>
      <c r="AH819" s="270"/>
      <c r="AI819" s="270"/>
      <c r="AJ819" s="270"/>
      <c r="AK819" s="270"/>
      <c r="AL819" s="270"/>
      <c r="AM819" s="663"/>
      <c r="AN819" s="663"/>
      <c r="AO819" s="708" t="str">
        <f>IF(OR(Table1[[#This Row],[Início Setup Envase]]="",Table1[[#This Row],[Final Setup Envase]]=""),"",Table1[[#This Row],[Final Setup Envase]]-Table1[[#This Row],[Início Setup Envase]])</f>
        <v/>
      </c>
      <c r="AP819" s="663"/>
      <c r="AQ819" s="663"/>
      <c r="AR819" s="270"/>
      <c r="AS819" s="270"/>
      <c r="AT819" s="270"/>
      <c r="AU819" s="270"/>
      <c r="AV819" s="270"/>
      <c r="AW819" s="270"/>
      <c r="AX819" s="270"/>
      <c r="AY819" s="270"/>
      <c r="AZ819" s="270"/>
      <c r="BA819" s="270">
        <f>IF(Table1[[#This Row],[Data de Início]]="","",YEAR(Table1[[#This Row],[Data de Início]]))</f>
        <v>2026</v>
      </c>
      <c r="BB819" s="270">
        <f>IF(Table1[[#This Row],[Data de Início]]="","",MONTH(Table1[[#This Row],[Data de Início]]))</f>
        <v>2</v>
      </c>
      <c r="BC819" s="270"/>
    </row>
    <row r="820" spans="2:55" ht="15" customHeight="1" x14ac:dyDescent="0.25">
      <c r="B820" s="489">
        <v>46071.636805555558</v>
      </c>
      <c r="C820" s="490">
        <v>46072.322916666664</v>
      </c>
      <c r="D820" s="264" cm="1">
        <f t="array" ref="D820">IFERROR(HorasUteisFabrica2Turnos(B820,C820), "")</f>
        <v>2.4666666666744277</v>
      </c>
      <c r="E820" s="265">
        <f t="shared" si="12"/>
        <v>681.08108107893815</v>
      </c>
      <c r="F820" s="479" t="s">
        <v>377</v>
      </c>
      <c r="G820" s="266" t="s">
        <v>1365</v>
      </c>
      <c r="H820" s="266"/>
      <c r="I820" s="480" t="s">
        <v>1394</v>
      </c>
      <c r="J820" s="267" t="s">
        <v>15</v>
      </c>
      <c r="K820" s="480">
        <v>1680</v>
      </c>
      <c r="L820" s="495" t="s">
        <v>474</v>
      </c>
      <c r="M820" s="510" t="str">
        <f>IFERROR(INDEX([1]Produtos!$C:$C,MATCH(L820,[1]Produtos!$B:$B,0)), "-")</f>
        <v>ÁGUA MICELAR ÁCIDO HIAULURÔNICO</v>
      </c>
      <c r="N820" s="510">
        <f>IFERROR(INDEX([1]Produtos!$E:$E,MATCH(L820,[1]Produtos!$B:$B,0)), "-")</f>
        <v>325</v>
      </c>
      <c r="O820" s="270" t="str">
        <f>IFERROR(INDEX([1]Produtos!$F:$F,MATCH(L820,[1]Produtos!$B:$B,0)), "-")</f>
        <v>ml</v>
      </c>
      <c r="P820" s="270" t="str">
        <f>IFERROR(INDEX([1]Produtos!$G:$G,MATCH(L820,[1]Produtos!$B:$B,0)), "-")</f>
        <v>GLOW MAKE UP</v>
      </c>
      <c r="Q820" s="270" t="str">
        <f>IFERROR(INDEX([1]Produtos!$H:$H,MATCH(L820,[1]Produtos!$B:$B,0)), "-")</f>
        <v>MAQUIAGEM</v>
      </c>
      <c r="R820" s="270" t="str">
        <f>IFERROR(INDEX([1]Produtos!$I:$I,MATCH(L820,[1]Produtos!$B:$B,0)), "-")</f>
        <v>ÁGUA MICELAR</v>
      </c>
      <c r="S820" s="270" t="str">
        <f>IFERROR(INDEX([1]Produtos!$J:$J,MATCH(L820,[1]Produtos!$B:$B,0)), "-")</f>
        <v>LÍQUIDO</v>
      </c>
      <c r="T820" s="475"/>
      <c r="U820" s="270"/>
      <c r="V820" s="270"/>
      <c r="W820" s="270"/>
      <c r="X820" s="270"/>
      <c r="Y820" s="270"/>
      <c r="Z820" s="270"/>
      <c r="AA820" s="270"/>
      <c r="AB820" s="270"/>
      <c r="AC820" s="270"/>
      <c r="AD820" s="270"/>
      <c r="AE820" s="270"/>
      <c r="AF820" s="270"/>
      <c r="AG820" s="270"/>
      <c r="AH820" s="270"/>
      <c r="AI820" s="270"/>
      <c r="AJ820" s="270"/>
      <c r="AK820" s="270"/>
      <c r="AL820" s="270"/>
      <c r="AM820" s="663"/>
      <c r="AN820" s="663"/>
      <c r="AO820" s="708" t="str">
        <f>IF(OR(Table1[[#This Row],[Início Setup Envase]]="",Table1[[#This Row],[Final Setup Envase]]=""),"",Table1[[#This Row],[Final Setup Envase]]-Table1[[#This Row],[Início Setup Envase]])</f>
        <v/>
      </c>
      <c r="AP820" s="663"/>
      <c r="AQ820" s="663"/>
      <c r="AR820" s="270"/>
      <c r="AS820" s="270"/>
      <c r="AT820" s="270"/>
      <c r="AU820" s="270"/>
      <c r="AV820" s="270"/>
      <c r="AW820" s="270"/>
      <c r="AX820" s="270"/>
      <c r="AY820" s="270"/>
      <c r="AZ820" s="270"/>
      <c r="BA820" s="270">
        <f>IF(Table1[[#This Row],[Data de Início]]="","",YEAR(Table1[[#This Row],[Data de Início]]))</f>
        <v>2026</v>
      </c>
      <c r="BB820" s="270">
        <f>IF(Table1[[#This Row],[Data de Início]]="","",MONTH(Table1[[#This Row],[Data de Início]]))</f>
        <v>2</v>
      </c>
      <c r="BC820" s="270"/>
    </row>
    <row r="821" spans="2:55" ht="15" customHeight="1" x14ac:dyDescent="0.25">
      <c r="B821" s="489">
        <v>46072.305555555555</v>
      </c>
      <c r="C821" s="490">
        <v>46072.424305555556</v>
      </c>
      <c r="D821" s="477" cm="1">
        <f t="array" ref="D821">IFERROR(HorasUteisFabrica2Turnos(B821,C821), "")</f>
        <v>2.8500000000349246</v>
      </c>
      <c r="E821" s="478">
        <f t="shared" si="12"/>
        <v>639.99999999215731</v>
      </c>
      <c r="F821" s="479" t="s">
        <v>378</v>
      </c>
      <c r="G821" s="266" t="s">
        <v>1365</v>
      </c>
      <c r="H821" s="479"/>
      <c r="I821" s="480" t="s">
        <v>1393</v>
      </c>
      <c r="J821" s="481" t="s">
        <v>15</v>
      </c>
      <c r="K821" s="482">
        <v>1824</v>
      </c>
      <c r="L821" s="495" t="s">
        <v>474</v>
      </c>
      <c r="M821" s="511" t="str">
        <f>IFERROR(INDEX([1]Produtos!$C:$C,MATCH(L821,[1]Produtos!$B:$B,0)), "-")</f>
        <v>ÁGUA MICELAR ÁCIDO HIAULURÔNICO</v>
      </c>
      <c r="N821" s="511">
        <f>IFERROR(INDEX([1]Produtos!$E:$E,MATCH(L821,[1]Produtos!$B:$B,0)), "-")</f>
        <v>325</v>
      </c>
      <c r="O821" s="483" t="str">
        <f>IFERROR(INDEX([1]Produtos!$F:$F,MATCH(L821,[1]Produtos!$B:$B,0)), "-")</f>
        <v>ml</v>
      </c>
      <c r="P821" s="483" t="str">
        <f>IFERROR(INDEX([1]Produtos!$G:$G,MATCH(L821,[1]Produtos!$B:$B,0)), "-")</f>
        <v>GLOW MAKE UP</v>
      </c>
      <c r="Q821" s="483" t="str">
        <f>IFERROR(INDEX([1]Produtos!$H:$H,MATCH(L821,[1]Produtos!$B:$B,0)), "-")</f>
        <v>MAQUIAGEM</v>
      </c>
      <c r="R821" s="483" t="str">
        <f>IFERROR(INDEX([1]Produtos!$I:$I,MATCH(L821,[1]Produtos!$B:$B,0)), "-")</f>
        <v>ÁGUA MICELAR</v>
      </c>
      <c r="S821" s="483" t="str">
        <f>IFERROR(INDEX([1]Produtos!$J:$J,MATCH(L821,[1]Produtos!$B:$B,0)), "-")</f>
        <v>LÍQUIDO</v>
      </c>
      <c r="T821" s="484"/>
      <c r="U821" s="270"/>
      <c r="V821" s="270"/>
      <c r="W821" s="270"/>
      <c r="X821" s="270"/>
      <c r="Y821" s="270"/>
      <c r="Z821" s="270"/>
      <c r="AA821" s="270"/>
      <c r="AB821" s="270"/>
      <c r="AC821" s="270"/>
      <c r="AD821" s="270"/>
      <c r="AE821" s="270"/>
      <c r="AF821" s="270"/>
      <c r="AG821" s="270"/>
      <c r="AH821" s="270"/>
      <c r="AI821" s="270"/>
      <c r="AJ821" s="270"/>
      <c r="AK821" s="270"/>
      <c r="AL821" s="270"/>
      <c r="AM821" s="663"/>
      <c r="AN821" s="663"/>
      <c r="AO821" s="708" t="str">
        <f>IF(OR(Table1[[#This Row],[Início Setup Envase]]="",Table1[[#This Row],[Final Setup Envase]]=""),"",Table1[[#This Row],[Final Setup Envase]]-Table1[[#This Row],[Início Setup Envase]])</f>
        <v/>
      </c>
      <c r="AP821" s="663"/>
      <c r="AQ821" s="663"/>
      <c r="AR821" s="270"/>
      <c r="AS821" s="270"/>
      <c r="AT821" s="270"/>
      <c r="AU821" s="270"/>
      <c r="AV821" s="270"/>
      <c r="AW821" s="270"/>
      <c r="AX821" s="270"/>
      <c r="AY821" s="270"/>
      <c r="AZ821" s="270"/>
      <c r="BA821" s="270">
        <f>IF(Table1[[#This Row],[Data de Início]]="","",YEAR(Table1[[#This Row],[Data de Início]]))</f>
        <v>2026</v>
      </c>
      <c r="BB821" s="270">
        <f>IF(Table1[[#This Row],[Data de Início]]="","",MONTH(Table1[[#This Row],[Data de Início]]))</f>
        <v>2</v>
      </c>
      <c r="BC821" s="270"/>
    </row>
    <row r="822" spans="2:55" ht="15" customHeight="1" x14ac:dyDescent="0.25">
      <c r="B822" s="489">
        <v>46072.323611111111</v>
      </c>
      <c r="C822" s="490">
        <v>46072.416666666664</v>
      </c>
      <c r="D822" s="477" cm="1">
        <f t="array" ref="D822">IFERROR(HorasUteisFabrica2Turnos(B822,C822), "")</f>
        <v>2.2333333332790062</v>
      </c>
      <c r="E822" s="478">
        <f t="shared" si="12"/>
        <v>795.22388061635922</v>
      </c>
      <c r="F822" s="479" t="s">
        <v>377</v>
      </c>
      <c r="G822" s="266" t="s">
        <v>1365</v>
      </c>
      <c r="H822" s="479"/>
      <c r="I822" s="480" t="s">
        <v>1402</v>
      </c>
      <c r="J822" s="481" t="s">
        <v>15</v>
      </c>
      <c r="K822" s="482">
        <v>1776</v>
      </c>
      <c r="L822" s="495" t="s">
        <v>474</v>
      </c>
      <c r="M822" s="511" t="str">
        <f>IFERROR(INDEX([1]Produtos!$C:$C,MATCH(L822,[1]Produtos!$B:$B,0)), "-")</f>
        <v>ÁGUA MICELAR ÁCIDO HIAULURÔNICO</v>
      </c>
      <c r="N822" s="511">
        <f>IFERROR(INDEX([1]Produtos!$E:$E,MATCH(L822,[1]Produtos!$B:$B,0)), "-")</f>
        <v>325</v>
      </c>
      <c r="O822" s="483" t="str">
        <f>IFERROR(INDEX([1]Produtos!$F:$F,MATCH(L822,[1]Produtos!$B:$B,0)), "-")</f>
        <v>ml</v>
      </c>
      <c r="P822" s="483" t="str">
        <f>IFERROR(INDEX([1]Produtos!$G:$G,MATCH(L822,[1]Produtos!$B:$B,0)), "-")</f>
        <v>GLOW MAKE UP</v>
      </c>
      <c r="Q822" s="483" t="str">
        <f>IFERROR(INDEX([1]Produtos!$H:$H,MATCH(L822,[1]Produtos!$B:$B,0)), "-")</f>
        <v>MAQUIAGEM</v>
      </c>
      <c r="R822" s="483" t="str">
        <f>IFERROR(INDEX([1]Produtos!$I:$I,MATCH(L822,[1]Produtos!$B:$B,0)), "-")</f>
        <v>ÁGUA MICELAR</v>
      </c>
      <c r="S822" s="483" t="str">
        <f>IFERROR(INDEX([1]Produtos!$J:$J,MATCH(L822,[1]Produtos!$B:$B,0)), "-")</f>
        <v>LÍQUIDO</v>
      </c>
      <c r="T822" s="484"/>
      <c r="U822" s="270"/>
      <c r="V822" s="270"/>
      <c r="W822" s="270"/>
      <c r="X822" s="270"/>
      <c r="Y822" s="270"/>
      <c r="Z822" s="270"/>
      <c r="AA822" s="270"/>
      <c r="AB822" s="270"/>
      <c r="AC822" s="270"/>
      <c r="AD822" s="270"/>
      <c r="AE822" s="270"/>
      <c r="AF822" s="270"/>
      <c r="AG822" s="270"/>
      <c r="AH822" s="270"/>
      <c r="AI822" s="270"/>
      <c r="AJ822" s="270"/>
      <c r="AK822" s="270"/>
      <c r="AL822" s="270"/>
      <c r="AM822" s="663"/>
      <c r="AN822" s="663"/>
      <c r="AO822" s="708" t="str">
        <f>IF(OR(Table1[[#This Row],[Início Setup Envase]]="",Table1[[#This Row],[Final Setup Envase]]=""),"",Table1[[#This Row],[Final Setup Envase]]-Table1[[#This Row],[Início Setup Envase]])</f>
        <v/>
      </c>
      <c r="AP822" s="663"/>
      <c r="AQ822" s="663"/>
      <c r="AR822" s="270"/>
      <c r="AS822" s="270"/>
      <c r="AT822" s="270"/>
      <c r="AU822" s="270"/>
      <c r="AV822" s="270"/>
      <c r="AW822" s="270"/>
      <c r="AX822" s="270"/>
      <c r="AY822" s="270"/>
      <c r="AZ822" s="270"/>
      <c r="BA822" s="270">
        <f>IF(Table1[[#This Row],[Data de Início]]="","",YEAR(Table1[[#This Row],[Data de Início]]))</f>
        <v>2026</v>
      </c>
      <c r="BB822" s="270">
        <f>IF(Table1[[#This Row],[Data de Início]]="","",MONTH(Table1[[#This Row],[Data de Início]]))</f>
        <v>2</v>
      </c>
      <c r="BC822" s="270"/>
    </row>
    <row r="823" spans="2:55" ht="15" customHeight="1" x14ac:dyDescent="0.25">
      <c r="B823" s="489">
        <v>46072.420138888891</v>
      </c>
      <c r="C823" s="490">
        <v>46072.563888888886</v>
      </c>
      <c r="D823" s="477" cm="1">
        <f t="array" ref="D823">IFERROR(HorasUteisFabrica2Turnos(B823,C823), "")</f>
        <v>2.4499999998952262</v>
      </c>
      <c r="E823" s="478">
        <f t="shared" si="12"/>
        <v>724.89795921467362</v>
      </c>
      <c r="F823" s="479" t="s">
        <v>377</v>
      </c>
      <c r="G823" s="266" t="s">
        <v>1365</v>
      </c>
      <c r="H823" s="479"/>
      <c r="I823" s="480" t="s">
        <v>1401</v>
      </c>
      <c r="J823" s="481" t="s">
        <v>15</v>
      </c>
      <c r="K823" s="482">
        <v>1776</v>
      </c>
      <c r="L823" s="495" t="s">
        <v>474</v>
      </c>
      <c r="M823" s="511" t="str">
        <f>IFERROR(INDEX([1]Produtos!$C:$C,MATCH(L823,[1]Produtos!$B:$B,0)), "-")</f>
        <v>ÁGUA MICELAR ÁCIDO HIAULURÔNICO</v>
      </c>
      <c r="N823" s="511">
        <f>IFERROR(INDEX([1]Produtos!$E:$E,MATCH(L823,[1]Produtos!$B:$B,0)), "-")</f>
        <v>325</v>
      </c>
      <c r="O823" s="483" t="str">
        <f>IFERROR(INDEX([1]Produtos!$F:$F,MATCH(L823,[1]Produtos!$B:$B,0)), "-")</f>
        <v>ml</v>
      </c>
      <c r="P823" s="483" t="str">
        <f>IFERROR(INDEX([1]Produtos!$G:$G,MATCH(L823,[1]Produtos!$B:$B,0)), "-")</f>
        <v>GLOW MAKE UP</v>
      </c>
      <c r="Q823" s="483" t="str">
        <f>IFERROR(INDEX([1]Produtos!$H:$H,MATCH(L823,[1]Produtos!$B:$B,0)), "-")</f>
        <v>MAQUIAGEM</v>
      </c>
      <c r="R823" s="483" t="str">
        <f>IFERROR(INDEX([1]Produtos!$I:$I,MATCH(L823,[1]Produtos!$B:$B,0)), "-")</f>
        <v>ÁGUA MICELAR</v>
      </c>
      <c r="S823" s="483" t="str">
        <f>IFERROR(INDEX([1]Produtos!$J:$J,MATCH(L823,[1]Produtos!$B:$B,0)), "-")</f>
        <v>LÍQUIDO</v>
      </c>
      <c r="T823" s="484"/>
      <c r="U823" s="270"/>
      <c r="V823" s="270"/>
      <c r="W823" s="270"/>
      <c r="X823" s="270"/>
      <c r="Y823" s="270"/>
      <c r="Z823" s="270"/>
      <c r="AA823" s="270"/>
      <c r="AB823" s="270"/>
      <c r="AC823" s="270"/>
      <c r="AD823" s="270"/>
      <c r="AE823" s="270"/>
      <c r="AF823" s="270"/>
      <c r="AG823" s="270"/>
      <c r="AH823" s="270"/>
      <c r="AI823" s="270"/>
      <c r="AJ823" s="270"/>
      <c r="AK823" s="270"/>
      <c r="AL823" s="270"/>
      <c r="AM823" s="663"/>
      <c r="AN823" s="663"/>
      <c r="AO823" s="708" t="str">
        <f>IF(OR(Table1[[#This Row],[Início Setup Envase]]="",Table1[[#This Row],[Final Setup Envase]]=""),"",Table1[[#This Row],[Final Setup Envase]]-Table1[[#This Row],[Início Setup Envase]])</f>
        <v/>
      </c>
      <c r="AP823" s="663"/>
      <c r="AQ823" s="663"/>
      <c r="AR823" s="270"/>
      <c r="AS823" s="270"/>
      <c r="AT823" s="270"/>
      <c r="AU823" s="270"/>
      <c r="AV823" s="270"/>
      <c r="AW823" s="270"/>
      <c r="AX823" s="270"/>
      <c r="AY823" s="270"/>
      <c r="AZ823" s="270"/>
      <c r="BA823" s="270">
        <f>IF(Table1[[#This Row],[Data de Início]]="","",YEAR(Table1[[#This Row],[Data de Início]]))</f>
        <v>2026</v>
      </c>
      <c r="BB823" s="270">
        <f>IF(Table1[[#This Row],[Data de Início]]="","",MONTH(Table1[[#This Row],[Data de Início]]))</f>
        <v>2</v>
      </c>
      <c r="BC823" s="270"/>
    </row>
    <row r="824" spans="2:55" ht="15" customHeight="1" x14ac:dyDescent="0.25">
      <c r="B824" s="489">
        <v>46072.433333333334</v>
      </c>
      <c r="C824" s="490">
        <v>46072.583333333336</v>
      </c>
      <c r="D824" s="477" cm="1">
        <f t="array" ref="D824">IFERROR(HorasUteisFabrica2Turnos(B824,C824), "")</f>
        <v>2.6000000000349246</v>
      </c>
      <c r="E824" s="478">
        <f t="shared" si="12"/>
        <v>646.15384614516665</v>
      </c>
      <c r="F824" s="479" t="s">
        <v>378</v>
      </c>
      <c r="G824" s="266" t="s">
        <v>1365</v>
      </c>
      <c r="H824" s="479"/>
      <c r="I824" s="480" t="s">
        <v>1399</v>
      </c>
      <c r="J824" s="481" t="s">
        <v>15</v>
      </c>
      <c r="K824" s="482">
        <v>1680</v>
      </c>
      <c r="L824" s="495" t="s">
        <v>503</v>
      </c>
      <c r="M824" s="511" t="str">
        <f>IFERROR(INDEX([1]Produtos!$C:$C,MATCH(L824,[1]Produtos!$B:$B,0)), "-")</f>
        <v>ÁGUA MICELAR ROSA MOSQUETA</v>
      </c>
      <c r="N824" s="511">
        <f>IFERROR(INDEX([1]Produtos!$E:$E,MATCH(L824,[1]Produtos!$B:$B,0)), "-")</f>
        <v>325</v>
      </c>
      <c r="O824" s="483" t="str">
        <f>IFERROR(INDEX([1]Produtos!$F:$F,MATCH(L824,[1]Produtos!$B:$B,0)), "-")</f>
        <v>ml</v>
      </c>
      <c r="P824" s="483" t="str">
        <f>IFERROR(INDEX([1]Produtos!$G:$G,MATCH(L824,[1]Produtos!$B:$B,0)), "-")</f>
        <v>GLOW MAKE UP</v>
      </c>
      <c r="Q824" s="483" t="str">
        <f>IFERROR(INDEX([1]Produtos!$H:$H,MATCH(L824,[1]Produtos!$B:$B,0)), "-")</f>
        <v>MAQUIAGEM</v>
      </c>
      <c r="R824" s="483" t="str">
        <f>IFERROR(INDEX([1]Produtos!$I:$I,MATCH(L824,[1]Produtos!$B:$B,0)), "-")</f>
        <v>ÁGUA MICELAR</v>
      </c>
      <c r="S824" s="483" t="str">
        <f>IFERROR(INDEX([1]Produtos!$J:$J,MATCH(L824,[1]Produtos!$B:$B,0)), "-")</f>
        <v>LÍQUIDO</v>
      </c>
      <c r="T824" s="484"/>
      <c r="U824" s="270"/>
      <c r="V824" s="270"/>
      <c r="W824" s="270"/>
      <c r="X824" s="270"/>
      <c r="Y824" s="270"/>
      <c r="Z824" s="270"/>
      <c r="AA824" s="270"/>
      <c r="AB824" s="270"/>
      <c r="AC824" s="270"/>
      <c r="AD824" s="270"/>
      <c r="AE824" s="270"/>
      <c r="AF824" s="270"/>
      <c r="AG824" s="270"/>
      <c r="AH824" s="270"/>
      <c r="AI824" s="270"/>
      <c r="AJ824" s="270"/>
      <c r="AK824" s="270"/>
      <c r="AL824" s="270"/>
      <c r="AM824" s="663"/>
      <c r="AN824" s="663"/>
      <c r="AO824" s="708" t="str">
        <f>IF(OR(Table1[[#This Row],[Início Setup Envase]]="",Table1[[#This Row],[Final Setup Envase]]=""),"",Table1[[#This Row],[Final Setup Envase]]-Table1[[#This Row],[Início Setup Envase]])</f>
        <v/>
      </c>
      <c r="AP824" s="663"/>
      <c r="AQ824" s="663"/>
      <c r="AR824" s="270"/>
      <c r="AS824" s="270"/>
      <c r="AT824" s="270"/>
      <c r="AU824" s="270"/>
      <c r="AV824" s="270"/>
      <c r="AW824" s="270"/>
      <c r="AX824" s="270"/>
      <c r="AY824" s="270"/>
      <c r="AZ824" s="270"/>
      <c r="BA824" s="270">
        <f>IF(Table1[[#This Row],[Data de Início]]="","",YEAR(Table1[[#This Row],[Data de Início]]))</f>
        <v>2026</v>
      </c>
      <c r="BB824" s="270">
        <f>IF(Table1[[#This Row],[Data de Início]]="","",MONTH(Table1[[#This Row],[Data de Início]]))</f>
        <v>2</v>
      </c>
      <c r="BC824" s="270"/>
    </row>
    <row r="825" spans="2:55" ht="15" customHeight="1" x14ac:dyDescent="0.25">
      <c r="B825" s="489">
        <v>46072.565972222219</v>
      </c>
      <c r="C825" s="490">
        <v>46072.666666666664</v>
      </c>
      <c r="D825" s="477" cm="1">
        <f t="array" ref="D825">IFERROR(HorasUteisFabrica2Turnos(B825,C825), "")</f>
        <v>2.4166666666860692</v>
      </c>
      <c r="E825" s="478">
        <f t="shared" si="12"/>
        <v>734.89655171823767</v>
      </c>
      <c r="F825" s="479" t="s">
        <v>377</v>
      </c>
      <c r="G825" s="266" t="s">
        <v>1365</v>
      </c>
      <c r="H825" s="479"/>
      <c r="I825" s="480" t="s">
        <v>1400</v>
      </c>
      <c r="J825" s="481" t="s">
        <v>15</v>
      </c>
      <c r="K825" s="482">
        <v>1776</v>
      </c>
      <c r="L825" s="495" t="s">
        <v>474</v>
      </c>
      <c r="M825" s="511" t="str">
        <f>IFERROR(INDEX([1]Produtos!$C:$C,MATCH(L825,[1]Produtos!$B:$B,0)), "-")</f>
        <v>ÁGUA MICELAR ÁCIDO HIAULURÔNICO</v>
      </c>
      <c r="N825" s="511">
        <f>IFERROR(INDEX([1]Produtos!$E:$E,MATCH(L825,[1]Produtos!$B:$B,0)), "-")</f>
        <v>325</v>
      </c>
      <c r="O825" s="483" t="str">
        <f>IFERROR(INDEX([1]Produtos!$F:$F,MATCH(L825,[1]Produtos!$B:$B,0)), "-")</f>
        <v>ml</v>
      </c>
      <c r="P825" s="483" t="str">
        <f>IFERROR(INDEX([1]Produtos!$G:$G,MATCH(L825,[1]Produtos!$B:$B,0)), "-")</f>
        <v>GLOW MAKE UP</v>
      </c>
      <c r="Q825" s="483" t="str">
        <f>IFERROR(INDEX([1]Produtos!$H:$H,MATCH(L825,[1]Produtos!$B:$B,0)), "-")</f>
        <v>MAQUIAGEM</v>
      </c>
      <c r="R825" s="483" t="str">
        <f>IFERROR(INDEX([1]Produtos!$I:$I,MATCH(L825,[1]Produtos!$B:$B,0)), "-")</f>
        <v>ÁGUA MICELAR</v>
      </c>
      <c r="S825" s="483" t="str">
        <f>IFERROR(INDEX([1]Produtos!$J:$J,MATCH(L825,[1]Produtos!$B:$B,0)), "-")</f>
        <v>LÍQUIDO</v>
      </c>
      <c r="T825" s="484"/>
      <c r="U825" s="270"/>
      <c r="V825" s="270"/>
      <c r="W825" s="270"/>
      <c r="X825" s="270"/>
      <c r="Y825" s="270"/>
      <c r="Z825" s="270"/>
      <c r="AA825" s="270"/>
      <c r="AB825" s="270"/>
      <c r="AC825" s="270"/>
      <c r="AD825" s="270"/>
      <c r="AE825" s="270"/>
      <c r="AF825" s="270"/>
      <c r="AG825" s="270"/>
      <c r="AH825" s="270"/>
      <c r="AI825" s="270"/>
      <c r="AJ825" s="270"/>
      <c r="AK825" s="270"/>
      <c r="AL825" s="270"/>
      <c r="AM825" s="663"/>
      <c r="AN825" s="663"/>
      <c r="AO825" s="708" t="str">
        <f>IF(OR(Table1[[#This Row],[Início Setup Envase]]="",Table1[[#This Row],[Final Setup Envase]]=""),"",Table1[[#This Row],[Final Setup Envase]]-Table1[[#This Row],[Início Setup Envase]])</f>
        <v/>
      </c>
      <c r="AP825" s="663"/>
      <c r="AQ825" s="663"/>
      <c r="AR825" s="270"/>
      <c r="AS825" s="270"/>
      <c r="AT825" s="270"/>
      <c r="AU825" s="270"/>
      <c r="AV825" s="270"/>
      <c r="AW825" s="270"/>
      <c r="AX825" s="270"/>
      <c r="AY825" s="270"/>
      <c r="AZ825" s="270"/>
      <c r="BA825" s="270">
        <f>IF(Table1[[#This Row],[Data de Início]]="","",YEAR(Table1[[#This Row],[Data de Início]]))</f>
        <v>2026</v>
      </c>
      <c r="BB825" s="270">
        <f>IF(Table1[[#This Row],[Data de Início]]="","",MONTH(Table1[[#This Row],[Data de Início]]))</f>
        <v>2</v>
      </c>
      <c r="BC825" s="270"/>
    </row>
    <row r="826" spans="2:55" ht="15" customHeight="1" x14ac:dyDescent="0.25">
      <c r="B826" s="489">
        <v>46072.583333333336</v>
      </c>
      <c r="C826" s="490">
        <v>46073.3125</v>
      </c>
      <c r="D826" s="477" cm="1">
        <f t="array" ref="D826">IFERROR(HorasUteisFabrica2Turnos(B826,C826), "")</f>
        <v>3.5000000000582077</v>
      </c>
      <c r="E826" s="478">
        <f t="shared" si="12"/>
        <v>493.71428570607486</v>
      </c>
      <c r="F826" s="479" t="s">
        <v>378</v>
      </c>
      <c r="G826" s="266" t="s">
        <v>1365</v>
      </c>
      <c r="H826" s="479"/>
      <c r="I826" s="480" t="s">
        <v>1398</v>
      </c>
      <c r="J826" s="481" t="s">
        <v>15</v>
      </c>
      <c r="K826" s="480">
        <v>1728</v>
      </c>
      <c r="L826" s="495" t="s">
        <v>503</v>
      </c>
      <c r="M826" s="511" t="str">
        <f>IFERROR(INDEX([1]Produtos!$C:$C,MATCH(L826,[1]Produtos!$B:$B,0)), "-")</f>
        <v>ÁGUA MICELAR ROSA MOSQUETA</v>
      </c>
      <c r="N826" s="511">
        <f>IFERROR(INDEX([1]Produtos!$E:$E,MATCH(L826,[1]Produtos!$B:$B,0)), "-")</f>
        <v>325</v>
      </c>
      <c r="O826" s="483" t="str">
        <f>IFERROR(INDEX([1]Produtos!$F:$F,MATCH(L826,[1]Produtos!$B:$B,0)), "-")</f>
        <v>ml</v>
      </c>
      <c r="P826" s="483" t="str">
        <f>IFERROR(INDEX([1]Produtos!$G:$G,MATCH(L826,[1]Produtos!$B:$B,0)), "-")</f>
        <v>GLOW MAKE UP</v>
      </c>
      <c r="Q826" s="483" t="str">
        <f>IFERROR(INDEX([1]Produtos!$H:$H,MATCH(L826,[1]Produtos!$B:$B,0)), "-")</f>
        <v>MAQUIAGEM</v>
      </c>
      <c r="R826" s="483" t="str">
        <f>IFERROR(INDEX([1]Produtos!$I:$I,MATCH(L826,[1]Produtos!$B:$B,0)), "-")</f>
        <v>ÁGUA MICELAR</v>
      </c>
      <c r="S826" s="483" t="str">
        <f>IFERROR(INDEX([1]Produtos!$J:$J,MATCH(L826,[1]Produtos!$B:$B,0)), "-")</f>
        <v>LÍQUIDO</v>
      </c>
      <c r="T826" s="484"/>
      <c r="U826" s="270"/>
      <c r="V826" s="270"/>
      <c r="W826" s="270"/>
      <c r="X826" s="270"/>
      <c r="Y826" s="270"/>
      <c r="Z826" s="270"/>
      <c r="AA826" s="270"/>
      <c r="AB826" s="270"/>
      <c r="AC826" s="270"/>
      <c r="AD826" s="270"/>
      <c r="AE826" s="270"/>
      <c r="AF826" s="270"/>
      <c r="AG826" s="270"/>
      <c r="AH826" s="270"/>
      <c r="AI826" s="270"/>
      <c r="AJ826" s="270"/>
      <c r="AK826" s="270"/>
      <c r="AL826" s="270"/>
      <c r="AM826" s="663"/>
      <c r="AN826" s="663"/>
      <c r="AO826" s="708" t="str">
        <f>IF(OR(Table1[[#This Row],[Início Setup Envase]]="",Table1[[#This Row],[Final Setup Envase]]=""),"",Table1[[#This Row],[Final Setup Envase]]-Table1[[#This Row],[Início Setup Envase]])</f>
        <v/>
      </c>
      <c r="AP826" s="663"/>
      <c r="AQ826" s="663"/>
      <c r="AR826" s="270"/>
      <c r="AS826" s="270"/>
      <c r="AT826" s="270"/>
      <c r="AU826" s="270"/>
      <c r="AV826" s="270"/>
      <c r="AW826" s="270"/>
      <c r="AX826" s="270"/>
      <c r="AY826" s="270"/>
      <c r="AZ826" s="270"/>
      <c r="BA826" s="270">
        <f>IF(Table1[[#This Row],[Data de Início]]="","",YEAR(Table1[[#This Row],[Data de Início]]))</f>
        <v>2026</v>
      </c>
      <c r="BB826" s="270">
        <f>IF(Table1[[#This Row],[Data de Início]]="","",MONTH(Table1[[#This Row],[Data de Início]]))</f>
        <v>2</v>
      </c>
      <c r="BC826" s="270"/>
    </row>
    <row r="827" spans="2:55" ht="15" customHeight="1" x14ac:dyDescent="0.25">
      <c r="B827" s="489">
        <v>46072.666666666664</v>
      </c>
      <c r="C827" s="490">
        <v>46073.302777777775</v>
      </c>
      <c r="D827" s="477" cm="1">
        <f t="array" ref="D827">IFERROR(HorasUteisFabrica2Turnos(B827,C827), "")</f>
        <v>1.2666666667792015</v>
      </c>
      <c r="E827" s="478">
        <f t="shared" si="12"/>
        <v>795.78947361351004</v>
      </c>
      <c r="F827" s="479" t="s">
        <v>377</v>
      </c>
      <c r="G827" s="266" t="s">
        <v>1365</v>
      </c>
      <c r="H827" s="479"/>
      <c r="I827" s="480" t="s">
        <v>1403</v>
      </c>
      <c r="J827" s="481" t="s">
        <v>15</v>
      </c>
      <c r="K827" s="482">
        <v>1008</v>
      </c>
      <c r="L827" s="495" t="s">
        <v>474</v>
      </c>
      <c r="M827" s="511" t="str">
        <f>IFERROR(INDEX([1]Produtos!$C:$C,MATCH(L827,[1]Produtos!$B:$B,0)), "-")</f>
        <v>ÁGUA MICELAR ÁCIDO HIAULURÔNICO</v>
      </c>
      <c r="N827" s="511">
        <f>IFERROR(INDEX([1]Produtos!$E:$E,MATCH(L827,[1]Produtos!$B:$B,0)), "-")</f>
        <v>325</v>
      </c>
      <c r="O827" s="483" t="str">
        <f>IFERROR(INDEX([1]Produtos!$F:$F,MATCH(L827,[1]Produtos!$B:$B,0)), "-")</f>
        <v>ml</v>
      </c>
      <c r="P827" s="483" t="str">
        <f>IFERROR(INDEX([1]Produtos!$G:$G,MATCH(L827,[1]Produtos!$B:$B,0)), "-")</f>
        <v>GLOW MAKE UP</v>
      </c>
      <c r="Q827" s="483" t="str">
        <f>IFERROR(INDEX([1]Produtos!$H:$H,MATCH(L827,[1]Produtos!$B:$B,0)), "-")</f>
        <v>MAQUIAGEM</v>
      </c>
      <c r="R827" s="483" t="str">
        <f>IFERROR(INDEX([1]Produtos!$I:$I,MATCH(L827,[1]Produtos!$B:$B,0)), "-")</f>
        <v>ÁGUA MICELAR</v>
      </c>
      <c r="S827" s="483" t="str">
        <f>IFERROR(INDEX([1]Produtos!$J:$J,MATCH(L827,[1]Produtos!$B:$B,0)), "-")</f>
        <v>LÍQUIDO</v>
      </c>
      <c r="T827" s="484"/>
      <c r="U827" s="270"/>
      <c r="V827" s="270"/>
      <c r="W827" s="270"/>
      <c r="X827" s="270"/>
      <c r="Y827" s="270"/>
      <c r="Z827" s="270"/>
      <c r="AA827" s="270"/>
      <c r="AB827" s="270"/>
      <c r="AC827" s="270"/>
      <c r="AD827" s="270"/>
      <c r="AE827" s="270"/>
      <c r="AF827" s="270"/>
      <c r="AG827" s="270"/>
      <c r="AH827" s="270"/>
      <c r="AI827" s="270"/>
      <c r="AJ827" s="270"/>
      <c r="AK827" s="270"/>
      <c r="AL827" s="270"/>
      <c r="AM827" s="663"/>
      <c r="AN827" s="663"/>
      <c r="AO827" s="708" t="str">
        <f>IF(OR(Table1[[#This Row],[Início Setup Envase]]="",Table1[[#This Row],[Final Setup Envase]]=""),"",Table1[[#This Row],[Final Setup Envase]]-Table1[[#This Row],[Início Setup Envase]])</f>
        <v/>
      </c>
      <c r="AP827" s="663"/>
      <c r="AQ827" s="663"/>
      <c r="AR827" s="270"/>
      <c r="AS827" s="270"/>
      <c r="AT827" s="270"/>
      <c r="AU827" s="270"/>
      <c r="AV827" s="270"/>
      <c r="AW827" s="270"/>
      <c r="AX827" s="270"/>
      <c r="AY827" s="270"/>
      <c r="AZ827" s="270"/>
      <c r="BA827" s="270">
        <f>IF(Table1[[#This Row],[Data de Início]]="","",YEAR(Table1[[#This Row],[Data de Início]]))</f>
        <v>2026</v>
      </c>
      <c r="BB827" s="270">
        <f>IF(Table1[[#This Row],[Data de Início]]="","",MONTH(Table1[[#This Row],[Data de Início]]))</f>
        <v>2</v>
      </c>
      <c r="BC827" s="270"/>
    </row>
    <row r="828" spans="2:55" ht="15" customHeight="1" x14ac:dyDescent="0.25">
      <c r="B828" s="489">
        <v>46073.325694444444</v>
      </c>
      <c r="C828" s="490">
        <v>46073.383333333331</v>
      </c>
      <c r="D828" s="477" cm="1">
        <f t="array" ref="D828">IFERROR(HorasUteisFabrica2Turnos(B828,C828), "")</f>
        <v>1.3833333333022892</v>
      </c>
      <c r="E828" s="478">
        <f t="shared" si="12"/>
        <v>1214.4578313525556</v>
      </c>
      <c r="F828" s="479" t="s">
        <v>378</v>
      </c>
      <c r="G828" s="266" t="s">
        <v>1365</v>
      </c>
      <c r="H828" s="479"/>
      <c r="I828" s="481" t="s">
        <v>1397</v>
      </c>
      <c r="J828" s="481" t="s">
        <v>15</v>
      </c>
      <c r="K828" s="482">
        <v>1680</v>
      </c>
      <c r="L828" s="495" t="s">
        <v>503</v>
      </c>
      <c r="M828" s="511" t="str">
        <f>IFERROR(INDEX([1]Produtos!$C:$C,MATCH(L828,[1]Produtos!$B:$B,0)), "-")</f>
        <v>ÁGUA MICELAR ROSA MOSQUETA</v>
      </c>
      <c r="N828" s="511">
        <f>IFERROR(INDEX([1]Produtos!$E:$E,MATCH(L828,[1]Produtos!$B:$B,0)), "-")</f>
        <v>325</v>
      </c>
      <c r="O828" s="483" t="str">
        <f>IFERROR(INDEX([1]Produtos!$F:$F,MATCH(L828,[1]Produtos!$B:$B,0)), "-")</f>
        <v>ml</v>
      </c>
      <c r="P828" s="483" t="str">
        <f>IFERROR(INDEX([1]Produtos!$G:$G,MATCH(L828,[1]Produtos!$B:$B,0)), "-")</f>
        <v>GLOW MAKE UP</v>
      </c>
      <c r="Q828" s="483" t="str">
        <f>IFERROR(INDEX([1]Produtos!$H:$H,MATCH(L828,[1]Produtos!$B:$B,0)), "-")</f>
        <v>MAQUIAGEM</v>
      </c>
      <c r="R828" s="483" t="str">
        <f>IFERROR(INDEX([1]Produtos!$I:$I,MATCH(L828,[1]Produtos!$B:$B,0)), "-")</f>
        <v>ÁGUA MICELAR</v>
      </c>
      <c r="S828" s="483" t="str">
        <f>IFERROR(INDEX([1]Produtos!$J:$J,MATCH(L828,[1]Produtos!$B:$B,0)), "-")</f>
        <v>LÍQUIDO</v>
      </c>
      <c r="T828" s="484"/>
      <c r="U828" s="270"/>
      <c r="V828" s="270"/>
      <c r="W828" s="270"/>
      <c r="X828" s="270"/>
      <c r="Y828" s="270"/>
      <c r="Z828" s="270"/>
      <c r="AA828" s="270"/>
      <c r="AB828" s="270"/>
      <c r="AC828" s="270"/>
      <c r="AD828" s="270"/>
      <c r="AE828" s="270"/>
      <c r="AF828" s="270"/>
      <c r="AG828" s="270"/>
      <c r="AH828" s="270"/>
      <c r="AI828" s="270"/>
      <c r="AJ828" s="270"/>
      <c r="AK828" s="270"/>
      <c r="AL828" s="270"/>
      <c r="AM828" s="663"/>
      <c r="AN828" s="663"/>
      <c r="AO828" s="708" t="str">
        <f>IF(OR(Table1[[#This Row],[Início Setup Envase]]="",Table1[[#This Row],[Final Setup Envase]]=""),"",Table1[[#This Row],[Final Setup Envase]]-Table1[[#This Row],[Início Setup Envase]])</f>
        <v/>
      </c>
      <c r="AP828" s="663"/>
      <c r="AQ828" s="663"/>
      <c r="AR828" s="270"/>
      <c r="AS828" s="270"/>
      <c r="AT828" s="270"/>
      <c r="AU828" s="270"/>
      <c r="AV828" s="270"/>
      <c r="AW828" s="270"/>
      <c r="AX828" s="270"/>
      <c r="AY828" s="270"/>
      <c r="AZ828" s="270"/>
      <c r="BA828" s="270">
        <f>IF(Table1[[#This Row],[Data de Início]]="","",YEAR(Table1[[#This Row],[Data de Início]]))</f>
        <v>2026</v>
      </c>
      <c r="BB828" s="270">
        <f>IF(Table1[[#This Row],[Data de Início]]="","",MONTH(Table1[[#This Row],[Data de Início]]))</f>
        <v>2</v>
      </c>
      <c r="BC828" s="270"/>
    </row>
    <row r="829" spans="2:55" ht="15" customHeight="1" x14ac:dyDescent="0.25">
      <c r="B829" s="489">
        <v>46073.376388888886</v>
      </c>
      <c r="C829" s="490">
        <v>46073.459722222222</v>
      </c>
      <c r="D829" s="477" cm="1">
        <f t="array" ref="D829">IFERROR(HorasUteisFabrica2Turnos(B829,C829), "")</f>
        <v>2.0000000000582077</v>
      </c>
      <c r="E829" s="478">
        <f t="shared" si="12"/>
        <v>839.99999997555278</v>
      </c>
      <c r="F829" s="479" t="s">
        <v>378</v>
      </c>
      <c r="G829" s="266" t="s">
        <v>1365</v>
      </c>
      <c r="H829" s="479"/>
      <c r="I829" s="480" t="s">
        <v>1407</v>
      </c>
      <c r="J829" s="481" t="s">
        <v>15</v>
      </c>
      <c r="K829" s="482">
        <v>1680</v>
      </c>
      <c r="L829" s="495" t="s">
        <v>503</v>
      </c>
      <c r="M829" s="511" t="str">
        <f>IFERROR(INDEX([1]Produtos!$C:$C,MATCH(L829,[1]Produtos!$B:$B,0)), "-")</f>
        <v>ÁGUA MICELAR ROSA MOSQUETA</v>
      </c>
      <c r="N829" s="511">
        <f>IFERROR(INDEX([1]Produtos!$E:$E,MATCH(L829,[1]Produtos!$B:$B,0)), "-")</f>
        <v>325</v>
      </c>
      <c r="O829" s="483" t="str">
        <f>IFERROR(INDEX([1]Produtos!$F:$F,MATCH(L829,[1]Produtos!$B:$B,0)), "-")</f>
        <v>ml</v>
      </c>
      <c r="P829" s="483" t="str">
        <f>IFERROR(INDEX([1]Produtos!$G:$G,MATCH(L829,[1]Produtos!$B:$B,0)), "-")</f>
        <v>GLOW MAKE UP</v>
      </c>
      <c r="Q829" s="483" t="str">
        <f>IFERROR(INDEX([1]Produtos!$H:$H,MATCH(L829,[1]Produtos!$B:$B,0)), "-")</f>
        <v>MAQUIAGEM</v>
      </c>
      <c r="R829" s="483" t="str">
        <f>IFERROR(INDEX([1]Produtos!$I:$I,MATCH(L829,[1]Produtos!$B:$B,0)), "-")</f>
        <v>ÁGUA MICELAR</v>
      </c>
      <c r="S829" s="483" t="str">
        <f>IFERROR(INDEX([1]Produtos!$J:$J,MATCH(L829,[1]Produtos!$B:$B,0)), "-")</f>
        <v>LÍQUIDO</v>
      </c>
      <c r="T829" s="484"/>
      <c r="U829" s="270"/>
      <c r="V829" s="270"/>
      <c r="W829" s="270"/>
      <c r="X829" s="270"/>
      <c r="Y829" s="270"/>
      <c r="Z829" s="270"/>
      <c r="AA829" s="270"/>
      <c r="AB829" s="270"/>
      <c r="AC829" s="270"/>
      <c r="AD829" s="270"/>
      <c r="AE829" s="270"/>
      <c r="AF829" s="270"/>
      <c r="AG829" s="270"/>
      <c r="AH829" s="270"/>
      <c r="AI829" s="270"/>
      <c r="AJ829" s="270"/>
      <c r="AK829" s="270"/>
      <c r="AL829" s="270"/>
      <c r="AM829" s="663"/>
      <c r="AN829" s="663"/>
      <c r="AO829" s="708" t="str">
        <f>IF(OR(Table1[[#This Row],[Início Setup Envase]]="",Table1[[#This Row],[Final Setup Envase]]=""),"",Table1[[#This Row],[Final Setup Envase]]-Table1[[#This Row],[Início Setup Envase]])</f>
        <v/>
      </c>
      <c r="AP829" s="663"/>
      <c r="AQ829" s="663"/>
      <c r="AR829" s="270"/>
      <c r="AS829" s="270"/>
      <c r="AT829" s="270"/>
      <c r="AU829" s="270"/>
      <c r="AV829" s="270"/>
      <c r="AW829" s="270"/>
      <c r="AX829" s="270"/>
      <c r="AY829" s="270"/>
      <c r="AZ829" s="270"/>
      <c r="BA829" s="270">
        <f>IF(Table1[[#This Row],[Data de Início]]="","",YEAR(Table1[[#This Row],[Data de Início]]))</f>
        <v>2026</v>
      </c>
      <c r="BB829" s="270">
        <f>IF(Table1[[#This Row],[Data de Início]]="","",MONTH(Table1[[#This Row],[Data de Início]]))</f>
        <v>2</v>
      </c>
      <c r="BC829" s="270"/>
    </row>
    <row r="830" spans="2:55" ht="15" customHeight="1" x14ac:dyDescent="0.25">
      <c r="B830" s="489">
        <v>46073.385416666664</v>
      </c>
      <c r="C830" s="490">
        <v>46073.472916666666</v>
      </c>
      <c r="D830" s="477" cm="1">
        <f t="array" ref="D830">IFERROR(HorasUteisFabrica2Turnos(B830,C830), "")</f>
        <v>2.1000000000349246</v>
      </c>
      <c r="E830" s="478">
        <f t="shared" si="12"/>
        <v>822.85714284345806</v>
      </c>
      <c r="F830" s="479" t="s">
        <v>377</v>
      </c>
      <c r="G830" s="266" t="s">
        <v>1365</v>
      </c>
      <c r="H830" s="479"/>
      <c r="I830" s="480" t="s">
        <v>1406</v>
      </c>
      <c r="J830" s="481" t="s">
        <v>15</v>
      </c>
      <c r="K830" s="482">
        <v>1728</v>
      </c>
      <c r="L830" s="495" t="s">
        <v>503</v>
      </c>
      <c r="M830" s="511" t="str">
        <f>IFERROR(INDEX([1]Produtos!$C:$C,MATCH(L830,[1]Produtos!$B:$B,0)), "-")</f>
        <v>ÁGUA MICELAR ROSA MOSQUETA</v>
      </c>
      <c r="N830" s="511">
        <f>IFERROR(INDEX([1]Produtos!$E:$E,MATCH(L830,[1]Produtos!$B:$B,0)), "-")</f>
        <v>325</v>
      </c>
      <c r="O830" s="483" t="str">
        <f>IFERROR(INDEX([1]Produtos!$F:$F,MATCH(L830,[1]Produtos!$B:$B,0)), "-")</f>
        <v>ml</v>
      </c>
      <c r="P830" s="483" t="str">
        <f>IFERROR(INDEX([1]Produtos!$G:$G,MATCH(L830,[1]Produtos!$B:$B,0)), "-")</f>
        <v>GLOW MAKE UP</v>
      </c>
      <c r="Q830" s="483" t="str">
        <f>IFERROR(INDEX([1]Produtos!$H:$H,MATCH(L830,[1]Produtos!$B:$B,0)), "-")</f>
        <v>MAQUIAGEM</v>
      </c>
      <c r="R830" s="483" t="str">
        <f>IFERROR(INDEX([1]Produtos!$I:$I,MATCH(L830,[1]Produtos!$B:$B,0)), "-")</f>
        <v>ÁGUA MICELAR</v>
      </c>
      <c r="S830" s="483" t="str">
        <f>IFERROR(INDEX([1]Produtos!$J:$J,MATCH(L830,[1]Produtos!$B:$B,0)), "-")</f>
        <v>LÍQUIDO</v>
      </c>
      <c r="T830" s="484"/>
      <c r="U830" s="270"/>
      <c r="V830" s="270"/>
      <c r="W830" s="270"/>
      <c r="X830" s="270"/>
      <c r="Y830" s="270"/>
      <c r="Z830" s="270"/>
      <c r="AA830" s="270"/>
      <c r="AB830" s="270"/>
      <c r="AC830" s="270"/>
      <c r="AD830" s="270"/>
      <c r="AE830" s="270"/>
      <c r="AF830" s="270"/>
      <c r="AG830" s="270"/>
      <c r="AH830" s="270"/>
      <c r="AI830" s="270"/>
      <c r="AJ830" s="270"/>
      <c r="AK830" s="270"/>
      <c r="AL830" s="270"/>
      <c r="AM830" s="663"/>
      <c r="AN830" s="663"/>
      <c r="AO830" s="708" t="str">
        <f>IF(OR(Table1[[#This Row],[Início Setup Envase]]="",Table1[[#This Row],[Final Setup Envase]]=""),"",Table1[[#This Row],[Final Setup Envase]]-Table1[[#This Row],[Início Setup Envase]])</f>
        <v/>
      </c>
      <c r="AP830" s="663"/>
      <c r="AQ830" s="663"/>
      <c r="AR830" s="270"/>
      <c r="AS830" s="270"/>
      <c r="AT830" s="270"/>
      <c r="AU830" s="270"/>
      <c r="AV830" s="270"/>
      <c r="AW830" s="270"/>
      <c r="AX830" s="270"/>
      <c r="AY830" s="270"/>
      <c r="AZ830" s="270"/>
      <c r="BA830" s="270">
        <f>IF(Table1[[#This Row],[Data de Início]]="","",YEAR(Table1[[#This Row],[Data de Início]]))</f>
        <v>2026</v>
      </c>
      <c r="BB830" s="270">
        <f>IF(Table1[[#This Row],[Data de Início]]="","",MONTH(Table1[[#This Row],[Data de Início]]))</f>
        <v>2</v>
      </c>
      <c r="BC830" s="270"/>
    </row>
    <row r="831" spans="2:55" ht="15" customHeight="1" x14ac:dyDescent="0.25">
      <c r="B831" s="489">
        <v>46073.477777777778</v>
      </c>
      <c r="C831" s="490">
        <v>46073.61041666667</v>
      </c>
      <c r="D831" s="477" cm="1">
        <f t="array" ref="D831">IFERROR(HorasUteisFabrica2Turnos(B831,C831), "")</f>
        <v>2.183333333407063</v>
      </c>
      <c r="E831" s="478">
        <f t="shared" si="12"/>
        <v>769.46564882897746</v>
      </c>
      <c r="F831" s="479" t="s">
        <v>378</v>
      </c>
      <c r="G831" s="266" t="s">
        <v>1365</v>
      </c>
      <c r="H831" s="479"/>
      <c r="I831" s="480" t="s">
        <v>1409</v>
      </c>
      <c r="J831" s="481" t="s">
        <v>15</v>
      </c>
      <c r="K831" s="482">
        <v>1680</v>
      </c>
      <c r="L831" s="495" t="s">
        <v>503</v>
      </c>
      <c r="M831" s="511" t="str">
        <f>IFERROR(INDEX([1]Produtos!$C:$C,MATCH(L831,[1]Produtos!$B:$B,0)), "-")</f>
        <v>ÁGUA MICELAR ROSA MOSQUETA</v>
      </c>
      <c r="N831" s="511">
        <f>IFERROR(INDEX([1]Produtos!$E:$E,MATCH(L831,[1]Produtos!$B:$B,0)), "-")</f>
        <v>325</v>
      </c>
      <c r="O831" s="483" t="str">
        <f>IFERROR(INDEX([1]Produtos!$F:$F,MATCH(L831,[1]Produtos!$B:$B,0)), "-")</f>
        <v>ml</v>
      </c>
      <c r="P831" s="483" t="str">
        <f>IFERROR(INDEX([1]Produtos!$G:$G,MATCH(L831,[1]Produtos!$B:$B,0)), "-")</f>
        <v>GLOW MAKE UP</v>
      </c>
      <c r="Q831" s="483" t="str">
        <f>IFERROR(INDEX([1]Produtos!$H:$H,MATCH(L831,[1]Produtos!$B:$B,0)), "-")</f>
        <v>MAQUIAGEM</v>
      </c>
      <c r="R831" s="483" t="str">
        <f>IFERROR(INDEX([1]Produtos!$I:$I,MATCH(L831,[1]Produtos!$B:$B,0)), "-")</f>
        <v>ÁGUA MICELAR</v>
      </c>
      <c r="S831" s="483" t="str">
        <f>IFERROR(INDEX([1]Produtos!$J:$J,MATCH(L831,[1]Produtos!$B:$B,0)), "-")</f>
        <v>LÍQUIDO</v>
      </c>
      <c r="T831" s="484"/>
      <c r="U831" s="270"/>
      <c r="V831" s="270"/>
      <c r="W831" s="270"/>
      <c r="X831" s="270"/>
      <c r="Y831" s="270"/>
      <c r="Z831" s="270"/>
      <c r="AA831" s="270"/>
      <c r="AB831" s="270"/>
      <c r="AC831" s="270"/>
      <c r="AD831" s="270"/>
      <c r="AE831" s="270"/>
      <c r="AF831" s="270"/>
      <c r="AG831" s="270"/>
      <c r="AH831" s="270"/>
      <c r="AI831" s="270"/>
      <c r="AJ831" s="270"/>
      <c r="AK831" s="270"/>
      <c r="AL831" s="270"/>
      <c r="AM831" s="663"/>
      <c r="AN831" s="663"/>
      <c r="AO831" s="708" t="str">
        <f>IF(OR(Table1[[#This Row],[Início Setup Envase]]="",Table1[[#This Row],[Final Setup Envase]]=""),"",Table1[[#This Row],[Final Setup Envase]]-Table1[[#This Row],[Início Setup Envase]])</f>
        <v/>
      </c>
      <c r="AP831" s="663"/>
      <c r="AQ831" s="663"/>
      <c r="AR831" s="270"/>
      <c r="AS831" s="270"/>
      <c r="AT831" s="270"/>
      <c r="AU831" s="270"/>
      <c r="AV831" s="270"/>
      <c r="AW831" s="270"/>
      <c r="AX831" s="270"/>
      <c r="AY831" s="270"/>
      <c r="AZ831" s="270"/>
      <c r="BA831" s="270">
        <f>IF(Table1[[#This Row],[Data de Início]]="","",YEAR(Table1[[#This Row],[Data de Início]]))</f>
        <v>2026</v>
      </c>
      <c r="BB831" s="270">
        <f>IF(Table1[[#This Row],[Data de Início]]="","",MONTH(Table1[[#This Row],[Data de Início]]))</f>
        <v>2</v>
      </c>
      <c r="BC831" s="270"/>
    </row>
    <row r="832" spans="2:55" ht="15" customHeight="1" x14ac:dyDescent="0.25">
      <c r="B832" s="489">
        <v>46073.568749999999</v>
      </c>
      <c r="C832" s="490">
        <v>46073.643055555556</v>
      </c>
      <c r="D832" s="477" cm="1">
        <f t="array" ref="D832">IFERROR(HorasUteisFabrica2Turnos(B832,C832), "")</f>
        <v>1.78333333338378</v>
      </c>
      <c r="E832" s="478">
        <f t="shared" si="12"/>
        <v>915.14018689000056</v>
      </c>
      <c r="F832" s="479" t="s">
        <v>378</v>
      </c>
      <c r="G832" s="266" t="s">
        <v>1365</v>
      </c>
      <c r="H832" s="479"/>
      <c r="I832" s="480" t="s">
        <v>1408</v>
      </c>
      <c r="J832" s="481" t="s">
        <v>15</v>
      </c>
      <c r="K832" s="536">
        <v>1632</v>
      </c>
      <c r="L832" s="495" t="s">
        <v>504</v>
      </c>
      <c r="M832" s="511" t="str">
        <f>IFERROR(INDEX([1]Produtos!$C:$C,MATCH(L832,[1]Produtos!$B:$B,0)), "-")</f>
        <v>ÁGUA MICELAR BABA GLOW</v>
      </c>
      <c r="N832" s="511">
        <f>IFERROR(INDEX([1]Produtos!$E:$E,MATCH(L832,[1]Produtos!$B:$B,0)), "-")</f>
        <v>325</v>
      </c>
      <c r="O832" s="483" t="str">
        <f>IFERROR(INDEX([1]Produtos!$F:$F,MATCH(L832,[1]Produtos!$B:$B,0)), "-")</f>
        <v>ml</v>
      </c>
      <c r="P832" s="483" t="str">
        <f>IFERROR(INDEX([1]Produtos!$G:$G,MATCH(L832,[1]Produtos!$B:$B,0)), "-")</f>
        <v>GLOW MAKE UP</v>
      </c>
      <c r="Q832" s="483" t="str">
        <f>IFERROR(INDEX([1]Produtos!$H:$H,MATCH(L832,[1]Produtos!$B:$B,0)), "-")</f>
        <v>MAQUIAGEM</v>
      </c>
      <c r="R832" s="483" t="str">
        <f>IFERROR(INDEX([1]Produtos!$I:$I,MATCH(L832,[1]Produtos!$B:$B,0)), "-")</f>
        <v>ÁGUA MICELAR</v>
      </c>
      <c r="S832" s="483" t="str">
        <f>IFERROR(INDEX([1]Produtos!$J:$J,MATCH(L832,[1]Produtos!$B:$B,0)), "-")</f>
        <v>LÍQUIDO</v>
      </c>
      <c r="T832" s="484"/>
      <c r="U832" s="270"/>
      <c r="V832" s="270"/>
      <c r="W832" s="270"/>
      <c r="X832" s="270"/>
      <c r="Y832" s="270"/>
      <c r="Z832" s="270"/>
      <c r="AA832" s="270"/>
      <c r="AB832" s="270"/>
      <c r="AC832" s="270"/>
      <c r="AD832" s="270"/>
      <c r="AE832" s="270"/>
      <c r="AF832" s="270"/>
      <c r="AG832" s="270"/>
      <c r="AH832" s="270"/>
      <c r="AI832" s="270"/>
      <c r="AJ832" s="270"/>
      <c r="AK832" s="270"/>
      <c r="AL832" s="270"/>
      <c r="AM832" s="663"/>
      <c r="AN832" s="663"/>
      <c r="AO832" s="708" t="str">
        <f>IF(OR(Table1[[#This Row],[Início Setup Envase]]="",Table1[[#This Row],[Final Setup Envase]]=""),"",Table1[[#This Row],[Final Setup Envase]]-Table1[[#This Row],[Início Setup Envase]])</f>
        <v/>
      </c>
      <c r="AP832" s="663"/>
      <c r="AQ832" s="663"/>
      <c r="AR832" s="270"/>
      <c r="AS832" s="270"/>
      <c r="AT832" s="270"/>
      <c r="AU832" s="270"/>
      <c r="AV832" s="270"/>
      <c r="AW832" s="270"/>
      <c r="AX832" s="270"/>
      <c r="AY832" s="270"/>
      <c r="AZ832" s="270"/>
      <c r="BA832" s="270">
        <f>IF(Table1[[#This Row],[Data de Início]]="","",YEAR(Table1[[#This Row],[Data de Início]]))</f>
        <v>2026</v>
      </c>
      <c r="BB832" s="270">
        <f>IF(Table1[[#This Row],[Data de Início]]="","",MONTH(Table1[[#This Row],[Data de Início]]))</f>
        <v>2</v>
      </c>
      <c r="BC832" s="270"/>
    </row>
    <row r="833" spans="2:55" ht="15" customHeight="1" x14ac:dyDescent="0.25">
      <c r="B833" s="489">
        <v>46073.643750000003</v>
      </c>
      <c r="C833" s="490">
        <v>46076.368750000001</v>
      </c>
      <c r="D833" s="477" cm="1">
        <f t="array" ref="D833">IFERROR(HorasUteisFabrica2Turnos(B833,C833), "")</f>
        <v>2.3999999999650754</v>
      </c>
      <c r="E833" s="478">
        <f t="shared" si="12"/>
        <v>660.00000000960426</v>
      </c>
      <c r="F833" s="479" t="s">
        <v>378</v>
      </c>
      <c r="G833" s="266" t="s">
        <v>1365</v>
      </c>
      <c r="H833" s="479"/>
      <c r="I833" s="480" t="s">
        <v>1412</v>
      </c>
      <c r="J833" s="481" t="s">
        <v>15</v>
      </c>
      <c r="K833" s="482">
        <v>1584</v>
      </c>
      <c r="L833" s="495" t="s">
        <v>504</v>
      </c>
      <c r="M833" s="511" t="str">
        <f>IFERROR(INDEX([1]Produtos!$C:$C,MATCH(L833,[1]Produtos!$B:$B,0)), "-")</f>
        <v>ÁGUA MICELAR BABA GLOW</v>
      </c>
      <c r="N833" s="511">
        <f>IFERROR(INDEX([1]Produtos!$E:$E,MATCH(L833,[1]Produtos!$B:$B,0)), "-")</f>
        <v>325</v>
      </c>
      <c r="O833" s="483" t="str">
        <f>IFERROR(INDEX([1]Produtos!$F:$F,MATCH(L833,[1]Produtos!$B:$B,0)), "-")</f>
        <v>ml</v>
      </c>
      <c r="P833" s="483" t="str">
        <f>IFERROR(INDEX([1]Produtos!$G:$G,MATCH(L833,[1]Produtos!$B:$B,0)), "-")</f>
        <v>GLOW MAKE UP</v>
      </c>
      <c r="Q833" s="483" t="str">
        <f>IFERROR(INDEX([1]Produtos!$H:$H,MATCH(L833,[1]Produtos!$B:$B,0)), "-")</f>
        <v>MAQUIAGEM</v>
      </c>
      <c r="R833" s="483" t="str">
        <f>IFERROR(INDEX([1]Produtos!$I:$I,MATCH(L833,[1]Produtos!$B:$B,0)), "-")</f>
        <v>ÁGUA MICELAR</v>
      </c>
      <c r="S833" s="483" t="str">
        <f>IFERROR(INDEX([1]Produtos!$J:$J,MATCH(L833,[1]Produtos!$B:$B,0)), "-")</f>
        <v>LÍQUIDO</v>
      </c>
      <c r="T833" s="484"/>
      <c r="U833" s="270"/>
      <c r="V833" s="270"/>
      <c r="W833" s="270"/>
      <c r="X833" s="270"/>
      <c r="Y833" s="270"/>
      <c r="Z833" s="270"/>
      <c r="AA833" s="270"/>
      <c r="AB833" s="270"/>
      <c r="AC833" s="270"/>
      <c r="AD833" s="270"/>
      <c r="AE833" s="270"/>
      <c r="AF833" s="270"/>
      <c r="AG833" s="270"/>
      <c r="AH833" s="270"/>
      <c r="AI833" s="270"/>
      <c r="AJ833" s="270"/>
      <c r="AK833" s="270"/>
      <c r="AL833" s="270"/>
      <c r="AM833" s="663"/>
      <c r="AN833" s="663"/>
      <c r="AO833" s="708" t="str">
        <f>IF(OR(Table1[[#This Row],[Início Setup Envase]]="",Table1[[#This Row],[Final Setup Envase]]=""),"",Table1[[#This Row],[Final Setup Envase]]-Table1[[#This Row],[Início Setup Envase]])</f>
        <v/>
      </c>
      <c r="AP833" s="663"/>
      <c r="AQ833" s="663"/>
      <c r="AR833" s="270"/>
      <c r="AS833" s="270"/>
      <c r="AT833" s="270"/>
      <c r="AU833" s="270"/>
      <c r="AV833" s="270"/>
      <c r="AW833" s="270"/>
      <c r="AX833" s="270"/>
      <c r="AY833" s="270"/>
      <c r="AZ833" s="270"/>
      <c r="BA833" s="270">
        <f>IF(Table1[[#This Row],[Data de Início]]="","",YEAR(Table1[[#This Row],[Data de Início]]))</f>
        <v>2026</v>
      </c>
      <c r="BB833" s="270">
        <f>IF(Table1[[#This Row],[Data de Início]]="","",MONTH(Table1[[#This Row],[Data de Início]]))</f>
        <v>2</v>
      </c>
      <c r="BC833" s="270"/>
    </row>
    <row r="834" spans="2:55" ht="15" customHeight="1" x14ac:dyDescent="0.25">
      <c r="B834" s="489">
        <v>46073.652777777781</v>
      </c>
      <c r="C834" s="490">
        <v>46076.324999999997</v>
      </c>
      <c r="D834" s="477" cm="1">
        <f t="array" ref="D834">IFERROR(HorasUteisFabrica2Turnos(B834,C834), "")</f>
        <v>1.1333333331858739</v>
      </c>
      <c r="E834" s="478">
        <f t="shared" si="12"/>
        <v>1320.8823531130381</v>
      </c>
      <c r="F834" s="479" t="s">
        <v>377</v>
      </c>
      <c r="G834" s="266" t="s">
        <v>1365</v>
      </c>
      <c r="H834" s="479"/>
      <c r="I834" s="480" t="s">
        <v>1413</v>
      </c>
      <c r="J834" s="481" t="s">
        <v>15</v>
      </c>
      <c r="K834" s="482">
        <v>1497</v>
      </c>
      <c r="L834" s="495" t="s">
        <v>503</v>
      </c>
      <c r="M834" s="511" t="str">
        <f>IFERROR(INDEX([1]Produtos!$C:$C,MATCH(L834,[1]Produtos!$B:$B,0)), "-")</f>
        <v>ÁGUA MICELAR ROSA MOSQUETA</v>
      </c>
      <c r="N834" s="511">
        <f>IFERROR(INDEX([1]Produtos!$E:$E,MATCH(L834,[1]Produtos!$B:$B,0)), "-")</f>
        <v>325</v>
      </c>
      <c r="O834" s="483" t="str">
        <f>IFERROR(INDEX([1]Produtos!$F:$F,MATCH(L834,[1]Produtos!$B:$B,0)), "-")</f>
        <v>ml</v>
      </c>
      <c r="P834" s="483" t="str">
        <f>IFERROR(INDEX([1]Produtos!$G:$G,MATCH(L834,[1]Produtos!$B:$B,0)), "-")</f>
        <v>GLOW MAKE UP</v>
      </c>
      <c r="Q834" s="483" t="str">
        <f>IFERROR(INDEX([1]Produtos!$H:$H,MATCH(L834,[1]Produtos!$B:$B,0)), "-")</f>
        <v>MAQUIAGEM</v>
      </c>
      <c r="R834" s="483" t="str">
        <f>IFERROR(INDEX([1]Produtos!$I:$I,MATCH(L834,[1]Produtos!$B:$B,0)), "-")</f>
        <v>ÁGUA MICELAR</v>
      </c>
      <c r="S834" s="483" t="str">
        <f>IFERROR(INDEX([1]Produtos!$J:$J,MATCH(L834,[1]Produtos!$B:$B,0)), "-")</f>
        <v>LÍQUIDO</v>
      </c>
      <c r="T834" s="484"/>
      <c r="U834" s="270"/>
      <c r="V834" s="270"/>
      <c r="W834" s="270"/>
      <c r="X834" s="270"/>
      <c r="Y834" s="270"/>
      <c r="Z834" s="270"/>
      <c r="AA834" s="270"/>
      <c r="AB834" s="270"/>
      <c r="AC834" s="270"/>
      <c r="AD834" s="270"/>
      <c r="AE834" s="270"/>
      <c r="AF834" s="270"/>
      <c r="AG834" s="270"/>
      <c r="AH834" s="270"/>
      <c r="AI834" s="270"/>
      <c r="AJ834" s="270"/>
      <c r="AK834" s="270"/>
      <c r="AL834" s="270"/>
      <c r="AM834" s="663"/>
      <c r="AN834" s="663"/>
      <c r="AO834" s="708" t="str">
        <f>IF(OR(Table1[[#This Row],[Início Setup Envase]]="",Table1[[#This Row],[Final Setup Envase]]=""),"",Table1[[#This Row],[Final Setup Envase]]-Table1[[#This Row],[Início Setup Envase]])</f>
        <v/>
      </c>
      <c r="AP834" s="663"/>
      <c r="AQ834" s="663"/>
      <c r="AR834" s="270"/>
      <c r="AS834" s="270"/>
      <c r="AT834" s="270"/>
      <c r="AU834" s="270"/>
      <c r="AV834" s="270"/>
      <c r="AW834" s="270"/>
      <c r="AX834" s="270"/>
      <c r="AY834" s="270"/>
      <c r="AZ834" s="270"/>
      <c r="BA834" s="270">
        <f>IF(Table1[[#This Row],[Data de Início]]="","",YEAR(Table1[[#This Row],[Data de Início]]))</f>
        <v>2026</v>
      </c>
      <c r="BB834" s="270">
        <f>IF(Table1[[#This Row],[Data de Início]]="","",MONTH(Table1[[#This Row],[Data de Início]]))</f>
        <v>2</v>
      </c>
      <c r="BC834" s="270"/>
    </row>
    <row r="835" spans="2:55" ht="15" customHeight="1" x14ac:dyDescent="0.25">
      <c r="B835" s="489">
        <v>46076.336805555555</v>
      </c>
      <c r="C835" s="490">
        <v>46076.409722222219</v>
      </c>
      <c r="D835" s="477" cm="1">
        <f t="array" ref="D835">IFERROR(HorasUteisFabrica2Turnos(B835,C835), "")</f>
        <v>1.7499999999417923</v>
      </c>
      <c r="E835" s="478">
        <f t="shared" ref="E835:E898" si="13">IFERROR(K835/D835, "")</f>
        <v>960.00000003193111</v>
      </c>
      <c r="F835" s="479" t="s">
        <v>377</v>
      </c>
      <c r="G835" s="266" t="s">
        <v>1365</v>
      </c>
      <c r="H835" s="479"/>
      <c r="I835" s="480" t="s">
        <v>1411</v>
      </c>
      <c r="J835" s="481" t="s">
        <v>15</v>
      </c>
      <c r="K835" s="482">
        <v>1680</v>
      </c>
      <c r="L835" s="495" t="s">
        <v>488</v>
      </c>
      <c r="M835" s="511" t="str">
        <f>IFERROR(INDEX([1]Produtos!$C:$C,MATCH(L835,[1]Produtos!$B:$B,0)), "-")</f>
        <v>ÁGUA MICELAR COLÁGENO</v>
      </c>
      <c r="N835" s="511">
        <f>IFERROR(INDEX([1]Produtos!$E:$E,MATCH(L835,[1]Produtos!$B:$B,0)), "-")</f>
        <v>325</v>
      </c>
      <c r="O835" s="483" t="str">
        <f>IFERROR(INDEX([1]Produtos!$F:$F,MATCH(L835,[1]Produtos!$B:$B,0)), "-")</f>
        <v>ml</v>
      </c>
      <c r="P835" s="483" t="str">
        <f>IFERROR(INDEX([1]Produtos!$G:$G,MATCH(L835,[1]Produtos!$B:$B,0)), "-")</f>
        <v>GLOW MAKE UP</v>
      </c>
      <c r="Q835" s="483" t="str">
        <f>IFERROR(INDEX([1]Produtos!$H:$H,MATCH(L835,[1]Produtos!$B:$B,0)), "-")</f>
        <v>MAQUIAGEM</v>
      </c>
      <c r="R835" s="483" t="str">
        <f>IFERROR(INDEX([1]Produtos!$I:$I,MATCH(L835,[1]Produtos!$B:$B,0)), "-")</f>
        <v>ÁGUA MICELAR</v>
      </c>
      <c r="S835" s="483" t="str">
        <f>IFERROR(INDEX([1]Produtos!$J:$J,MATCH(L835,[1]Produtos!$B:$B,0)), "-")</f>
        <v>LÍQUIDO</v>
      </c>
      <c r="T835" s="484"/>
      <c r="U835" s="270"/>
      <c r="V835" s="270"/>
      <c r="W835" s="270"/>
      <c r="X835" s="270"/>
      <c r="Y835" s="270"/>
      <c r="Z835" s="270"/>
      <c r="AA835" s="270"/>
      <c r="AB835" s="270"/>
      <c r="AC835" s="270"/>
      <c r="AD835" s="270"/>
      <c r="AE835" s="270"/>
      <c r="AF835" s="270"/>
      <c r="AG835" s="270"/>
      <c r="AH835" s="270"/>
      <c r="AI835" s="270"/>
      <c r="AJ835" s="270"/>
      <c r="AK835" s="270"/>
      <c r="AL835" s="270"/>
      <c r="AM835" s="663"/>
      <c r="AN835" s="663"/>
      <c r="AO835" s="708" t="str">
        <f>IF(OR(Table1[[#This Row],[Início Setup Envase]]="",Table1[[#This Row],[Final Setup Envase]]=""),"",Table1[[#This Row],[Final Setup Envase]]-Table1[[#This Row],[Início Setup Envase]])</f>
        <v/>
      </c>
      <c r="AP835" s="663"/>
      <c r="AQ835" s="663"/>
      <c r="AR835" s="270"/>
      <c r="AS835" s="270"/>
      <c r="AT835" s="270"/>
      <c r="AU835" s="270"/>
      <c r="AV835" s="270"/>
      <c r="AW835" s="270"/>
      <c r="AX835" s="270"/>
      <c r="AY835" s="270"/>
      <c r="AZ835" s="270"/>
      <c r="BA835" s="270">
        <f>IF(Table1[[#This Row],[Data de Início]]="","",YEAR(Table1[[#This Row],[Data de Início]]))</f>
        <v>2026</v>
      </c>
      <c r="BB835" s="270">
        <f>IF(Table1[[#This Row],[Data de Início]]="","",MONTH(Table1[[#This Row],[Data de Início]]))</f>
        <v>2</v>
      </c>
      <c r="BC835" s="270"/>
    </row>
    <row r="836" spans="2:55" ht="15" customHeight="1" x14ac:dyDescent="0.25">
      <c r="B836" s="489">
        <v>46076.370138888888</v>
      </c>
      <c r="C836" s="490">
        <v>46076.456944444442</v>
      </c>
      <c r="D836" s="477" cm="1">
        <f t="array" ref="D836">IFERROR(HorasUteisFabrica2Turnos(B836,C836), "")</f>
        <v>2.0833333333139308</v>
      </c>
      <c r="E836" s="478">
        <f t="shared" si="13"/>
        <v>787.68000000733582</v>
      </c>
      <c r="F836" s="479" t="s">
        <v>378</v>
      </c>
      <c r="G836" s="266" t="s">
        <v>1365</v>
      </c>
      <c r="H836" s="479"/>
      <c r="I836" s="480" t="s">
        <v>1410</v>
      </c>
      <c r="J836" s="481" t="s">
        <v>15</v>
      </c>
      <c r="K836" s="482">
        <v>1641</v>
      </c>
      <c r="L836" s="495" t="s">
        <v>504</v>
      </c>
      <c r="M836" s="511" t="str">
        <f>IFERROR(INDEX([1]Produtos!$C:$C,MATCH(L836,[1]Produtos!$B:$B,0)), "-")</f>
        <v>ÁGUA MICELAR BABA GLOW</v>
      </c>
      <c r="N836" s="511">
        <f>IFERROR(INDEX([1]Produtos!$E:$E,MATCH(L836,[1]Produtos!$B:$B,0)), "-")</f>
        <v>325</v>
      </c>
      <c r="O836" s="483" t="str">
        <f>IFERROR(INDEX([1]Produtos!$F:$F,MATCH(L836,[1]Produtos!$B:$B,0)), "-")</f>
        <v>ml</v>
      </c>
      <c r="P836" s="483" t="str">
        <f>IFERROR(INDEX([1]Produtos!$G:$G,MATCH(L836,[1]Produtos!$B:$B,0)), "-")</f>
        <v>GLOW MAKE UP</v>
      </c>
      <c r="Q836" s="483" t="str">
        <f>IFERROR(INDEX([1]Produtos!$H:$H,MATCH(L836,[1]Produtos!$B:$B,0)), "-")</f>
        <v>MAQUIAGEM</v>
      </c>
      <c r="R836" s="483" t="str">
        <f>IFERROR(INDEX([1]Produtos!$I:$I,MATCH(L836,[1]Produtos!$B:$B,0)), "-")</f>
        <v>ÁGUA MICELAR</v>
      </c>
      <c r="S836" s="483" t="str">
        <f>IFERROR(INDEX([1]Produtos!$J:$J,MATCH(L836,[1]Produtos!$B:$B,0)), "-")</f>
        <v>LÍQUIDO</v>
      </c>
      <c r="T836" s="484"/>
      <c r="U836" s="270"/>
      <c r="V836" s="270"/>
      <c r="W836" s="270"/>
      <c r="X836" s="270"/>
      <c r="Y836" s="270"/>
      <c r="Z836" s="270"/>
      <c r="AA836" s="270"/>
      <c r="AB836" s="270"/>
      <c r="AC836" s="270"/>
      <c r="AD836" s="270"/>
      <c r="AE836" s="270"/>
      <c r="AF836" s="270"/>
      <c r="AG836" s="270"/>
      <c r="AH836" s="270"/>
      <c r="AI836" s="270"/>
      <c r="AJ836" s="270"/>
      <c r="AK836" s="270"/>
      <c r="AL836" s="270"/>
      <c r="AM836" s="663"/>
      <c r="AN836" s="663"/>
      <c r="AO836" s="708" t="str">
        <f>IF(OR(Table1[[#This Row],[Início Setup Envase]]="",Table1[[#This Row],[Final Setup Envase]]=""),"",Table1[[#This Row],[Final Setup Envase]]-Table1[[#This Row],[Início Setup Envase]])</f>
        <v/>
      </c>
      <c r="AP836" s="663"/>
      <c r="AQ836" s="663"/>
      <c r="AR836" s="270"/>
      <c r="AS836" s="270"/>
      <c r="AT836" s="270"/>
      <c r="AU836" s="270"/>
      <c r="AV836" s="270"/>
      <c r="AW836" s="270"/>
      <c r="AX836" s="270"/>
      <c r="AY836" s="270"/>
      <c r="AZ836" s="270"/>
      <c r="BA836" s="270">
        <f>IF(Table1[[#This Row],[Data de Início]]="","",YEAR(Table1[[#This Row],[Data de Início]]))</f>
        <v>2026</v>
      </c>
      <c r="BB836" s="270">
        <f>IF(Table1[[#This Row],[Data de Início]]="","",MONTH(Table1[[#This Row],[Data de Início]]))</f>
        <v>2</v>
      </c>
      <c r="BC836" s="270"/>
    </row>
    <row r="837" spans="2:55" ht="15" customHeight="1" x14ac:dyDescent="0.25">
      <c r="B837" s="489">
        <v>46076.409722222219</v>
      </c>
      <c r="C837" s="490">
        <v>46076.486805555556</v>
      </c>
      <c r="D837" s="477" cm="1">
        <f t="array" ref="D837">IFERROR(HorasUteisFabrica2Turnos(B837,C837), "")</f>
        <v>1.8500000000931323</v>
      </c>
      <c r="E837" s="478">
        <f t="shared" si="13"/>
        <v>959.99999995167195</v>
      </c>
      <c r="F837" s="479" t="s">
        <v>377</v>
      </c>
      <c r="G837" s="266" t="s">
        <v>1365</v>
      </c>
      <c r="H837" s="479"/>
      <c r="I837" s="480" t="s">
        <v>1417</v>
      </c>
      <c r="J837" s="481" t="s">
        <v>15</v>
      </c>
      <c r="K837" s="482">
        <v>1776</v>
      </c>
      <c r="L837" s="495" t="s">
        <v>488</v>
      </c>
      <c r="M837" s="511" t="str">
        <f>IFERROR(INDEX([1]Produtos!$C:$C,MATCH(L837,[1]Produtos!$B:$B,0)), "-")</f>
        <v>ÁGUA MICELAR COLÁGENO</v>
      </c>
      <c r="N837" s="511">
        <f>IFERROR(INDEX([1]Produtos!$E:$E,MATCH(L837,[1]Produtos!$B:$B,0)), "-")</f>
        <v>325</v>
      </c>
      <c r="O837" s="483" t="str">
        <f>IFERROR(INDEX([1]Produtos!$F:$F,MATCH(L837,[1]Produtos!$B:$B,0)), "-")</f>
        <v>ml</v>
      </c>
      <c r="P837" s="483" t="str">
        <f>IFERROR(INDEX([1]Produtos!$G:$G,MATCH(L837,[1]Produtos!$B:$B,0)), "-")</f>
        <v>GLOW MAKE UP</v>
      </c>
      <c r="Q837" s="483" t="str">
        <f>IFERROR(INDEX([1]Produtos!$H:$H,MATCH(L837,[1]Produtos!$B:$B,0)), "-")</f>
        <v>MAQUIAGEM</v>
      </c>
      <c r="R837" s="483" t="str">
        <f>IFERROR(INDEX([1]Produtos!$I:$I,MATCH(L837,[1]Produtos!$B:$B,0)), "-")</f>
        <v>ÁGUA MICELAR</v>
      </c>
      <c r="S837" s="483" t="str">
        <f>IFERROR(INDEX([1]Produtos!$J:$J,MATCH(L837,[1]Produtos!$B:$B,0)), "-")</f>
        <v>LÍQUIDO</v>
      </c>
      <c r="T837" s="484"/>
      <c r="U837" s="270"/>
      <c r="V837" s="270"/>
      <c r="W837" s="270"/>
      <c r="X837" s="270"/>
      <c r="Y837" s="270"/>
      <c r="Z837" s="270"/>
      <c r="AA837" s="270"/>
      <c r="AB837" s="270"/>
      <c r="AC837" s="270"/>
      <c r="AD837" s="270"/>
      <c r="AE837" s="270"/>
      <c r="AF837" s="270"/>
      <c r="AG837" s="270"/>
      <c r="AH837" s="270"/>
      <c r="AI837" s="270"/>
      <c r="AJ837" s="270"/>
      <c r="AK837" s="270"/>
      <c r="AL837" s="270"/>
      <c r="AM837" s="663"/>
      <c r="AN837" s="663"/>
      <c r="AO837" s="708" t="str">
        <f>IF(OR(Table1[[#This Row],[Início Setup Envase]]="",Table1[[#This Row],[Final Setup Envase]]=""),"",Table1[[#This Row],[Final Setup Envase]]-Table1[[#This Row],[Início Setup Envase]])</f>
        <v/>
      </c>
      <c r="AP837" s="663"/>
      <c r="AQ837" s="663"/>
      <c r="AR837" s="270"/>
      <c r="AS837" s="270"/>
      <c r="AT837" s="270"/>
      <c r="AU837" s="270"/>
      <c r="AV837" s="270"/>
      <c r="AW837" s="270"/>
      <c r="AX837" s="270"/>
      <c r="AY837" s="270"/>
      <c r="AZ837" s="270"/>
      <c r="BA837" s="270">
        <f>IF(Table1[[#This Row],[Data de Início]]="","",YEAR(Table1[[#This Row],[Data de Início]]))</f>
        <v>2026</v>
      </c>
      <c r="BB837" s="270">
        <f>IF(Table1[[#This Row],[Data de Início]]="","",MONTH(Table1[[#This Row],[Data de Início]]))</f>
        <v>2</v>
      </c>
      <c r="BC837" s="270"/>
    </row>
    <row r="838" spans="2:55" ht="15" customHeight="1" x14ac:dyDescent="0.25">
      <c r="B838" s="489">
        <v>46076.465277777781</v>
      </c>
      <c r="C838" s="490">
        <v>46076.647222222222</v>
      </c>
      <c r="D838" s="477" cm="1">
        <f t="array" ref="D838">IFERROR(HorasUteisFabrica2Turnos(B838,C838), "")</f>
        <v>3.3666666665812954</v>
      </c>
      <c r="E838" s="478">
        <f t="shared" si="13"/>
        <v>491.88118813128489</v>
      </c>
      <c r="F838" s="479" t="s">
        <v>378</v>
      </c>
      <c r="G838" s="266" t="s">
        <v>1365</v>
      </c>
      <c r="H838" s="479"/>
      <c r="I838" s="480" t="s">
        <v>1415</v>
      </c>
      <c r="J838" s="481" t="s">
        <v>15</v>
      </c>
      <c r="K838" s="482">
        <v>1656</v>
      </c>
      <c r="L838" s="495" t="s">
        <v>488</v>
      </c>
      <c r="M838" s="511" t="str">
        <f>IFERROR(INDEX([1]Produtos!$C:$C,MATCH(L838,[1]Produtos!$B:$B,0)), "-")</f>
        <v>ÁGUA MICELAR COLÁGENO</v>
      </c>
      <c r="N838" s="511">
        <f>IFERROR(INDEX([1]Produtos!$E:$E,MATCH(L838,[1]Produtos!$B:$B,0)), "-")</f>
        <v>325</v>
      </c>
      <c r="O838" s="483" t="str">
        <f>IFERROR(INDEX([1]Produtos!$F:$F,MATCH(L838,[1]Produtos!$B:$B,0)), "-")</f>
        <v>ml</v>
      </c>
      <c r="P838" s="483" t="str">
        <f>IFERROR(INDEX([1]Produtos!$G:$G,MATCH(L838,[1]Produtos!$B:$B,0)), "-")</f>
        <v>GLOW MAKE UP</v>
      </c>
      <c r="Q838" s="483" t="str">
        <f>IFERROR(INDEX([1]Produtos!$H:$H,MATCH(L838,[1]Produtos!$B:$B,0)), "-")</f>
        <v>MAQUIAGEM</v>
      </c>
      <c r="R838" s="483" t="str">
        <f>IFERROR(INDEX([1]Produtos!$I:$I,MATCH(L838,[1]Produtos!$B:$B,0)), "-")</f>
        <v>ÁGUA MICELAR</v>
      </c>
      <c r="S838" s="483" t="str">
        <f>IFERROR(INDEX([1]Produtos!$J:$J,MATCH(L838,[1]Produtos!$B:$B,0)), "-")</f>
        <v>LÍQUIDO</v>
      </c>
      <c r="T838" s="484"/>
      <c r="U838" s="270"/>
      <c r="V838" s="270"/>
      <c r="W838" s="270"/>
      <c r="X838" s="270"/>
      <c r="Y838" s="270"/>
      <c r="Z838" s="270"/>
      <c r="AA838" s="270"/>
      <c r="AB838" s="270"/>
      <c r="AC838" s="270"/>
      <c r="AD838" s="270"/>
      <c r="AE838" s="270"/>
      <c r="AF838" s="270"/>
      <c r="AG838" s="270"/>
      <c r="AH838" s="270"/>
      <c r="AI838" s="270"/>
      <c r="AJ838" s="270"/>
      <c r="AK838" s="270"/>
      <c r="AL838" s="270"/>
      <c r="AM838" s="663"/>
      <c r="AN838" s="663"/>
      <c r="AO838" s="708" t="str">
        <f>IF(OR(Table1[[#This Row],[Início Setup Envase]]="",Table1[[#This Row],[Final Setup Envase]]=""),"",Table1[[#This Row],[Final Setup Envase]]-Table1[[#This Row],[Início Setup Envase]])</f>
        <v/>
      </c>
      <c r="AP838" s="663"/>
      <c r="AQ838" s="663"/>
      <c r="AR838" s="270"/>
      <c r="AS838" s="270"/>
      <c r="AT838" s="270"/>
      <c r="AU838" s="270"/>
      <c r="AV838" s="270"/>
      <c r="AW838" s="270"/>
      <c r="AX838" s="270"/>
      <c r="AY838" s="270"/>
      <c r="AZ838" s="270"/>
      <c r="BA838" s="270">
        <f>IF(Table1[[#This Row],[Data de Início]]="","",YEAR(Table1[[#This Row],[Data de Início]]))</f>
        <v>2026</v>
      </c>
      <c r="BB838" s="270">
        <f>IF(Table1[[#This Row],[Data de Início]]="","",MONTH(Table1[[#This Row],[Data de Início]]))</f>
        <v>2</v>
      </c>
      <c r="BC838" s="270"/>
    </row>
    <row r="839" spans="2:55" ht="15" customHeight="1" x14ac:dyDescent="0.25">
      <c r="B839" s="489">
        <v>46076.486805555556</v>
      </c>
      <c r="C839" s="490">
        <v>46076.618055555555</v>
      </c>
      <c r="D839" s="477" cm="1">
        <f t="array" ref="D839">IFERROR(HorasUteisFabrica2Turnos(B839,C839), "")</f>
        <v>2.1499999999650754</v>
      </c>
      <c r="E839" s="478">
        <f t="shared" si="13"/>
        <v>803.72093024561377</v>
      </c>
      <c r="F839" s="479" t="s">
        <v>377</v>
      </c>
      <c r="G839" s="266" t="s">
        <v>1365</v>
      </c>
      <c r="H839" s="479"/>
      <c r="I839" s="480" t="s">
        <v>1416</v>
      </c>
      <c r="J839" s="481" t="s">
        <v>15</v>
      </c>
      <c r="K839" s="536">
        <v>1728</v>
      </c>
      <c r="L839" s="495" t="s">
        <v>488</v>
      </c>
      <c r="M839" s="511" t="str">
        <f>IFERROR(INDEX([1]Produtos!$C:$C,MATCH(L839,[1]Produtos!$B:$B,0)), "-")</f>
        <v>ÁGUA MICELAR COLÁGENO</v>
      </c>
      <c r="N839" s="511">
        <f>IFERROR(INDEX([1]Produtos!$E:$E,MATCH(L839,[1]Produtos!$B:$B,0)), "-")</f>
        <v>325</v>
      </c>
      <c r="O839" s="483" t="str">
        <f>IFERROR(INDEX([1]Produtos!$F:$F,MATCH(L839,[1]Produtos!$B:$B,0)), "-")</f>
        <v>ml</v>
      </c>
      <c r="P839" s="483" t="str">
        <f>IFERROR(INDEX([1]Produtos!$G:$G,MATCH(L839,[1]Produtos!$B:$B,0)), "-")</f>
        <v>GLOW MAKE UP</v>
      </c>
      <c r="Q839" s="483" t="str">
        <f>IFERROR(INDEX([1]Produtos!$H:$H,MATCH(L839,[1]Produtos!$B:$B,0)), "-")</f>
        <v>MAQUIAGEM</v>
      </c>
      <c r="R839" s="483" t="str">
        <f>IFERROR(INDEX([1]Produtos!$I:$I,MATCH(L839,[1]Produtos!$B:$B,0)), "-")</f>
        <v>ÁGUA MICELAR</v>
      </c>
      <c r="S839" s="483" t="str">
        <f>IFERROR(INDEX([1]Produtos!$J:$J,MATCH(L839,[1]Produtos!$B:$B,0)), "-")</f>
        <v>LÍQUIDO</v>
      </c>
      <c r="T839" s="484"/>
      <c r="U839" s="270"/>
      <c r="V839" s="270"/>
      <c r="W839" s="270"/>
      <c r="X839" s="270"/>
      <c r="Y839" s="270"/>
      <c r="Z839" s="270"/>
      <c r="AA839" s="270"/>
      <c r="AB839" s="270"/>
      <c r="AC839" s="270"/>
      <c r="AD839" s="270"/>
      <c r="AE839" s="270"/>
      <c r="AF839" s="270"/>
      <c r="AG839" s="270"/>
      <c r="AH839" s="270"/>
      <c r="AI839" s="270"/>
      <c r="AJ839" s="270"/>
      <c r="AK839" s="270"/>
      <c r="AL839" s="270"/>
      <c r="AM839" s="663"/>
      <c r="AN839" s="663"/>
      <c r="AO839" s="708" t="str">
        <f>IF(OR(Table1[[#This Row],[Início Setup Envase]]="",Table1[[#This Row],[Final Setup Envase]]=""),"",Table1[[#This Row],[Final Setup Envase]]-Table1[[#This Row],[Início Setup Envase]])</f>
        <v/>
      </c>
      <c r="AP839" s="663"/>
      <c r="AQ839" s="663"/>
      <c r="AR839" s="270"/>
      <c r="AS839" s="270"/>
      <c r="AT839" s="270"/>
      <c r="AU839" s="270"/>
      <c r="AV839" s="270"/>
      <c r="AW839" s="270"/>
      <c r="AX839" s="270"/>
      <c r="AY839" s="270"/>
      <c r="AZ839" s="270"/>
      <c r="BA839" s="270">
        <f>IF(Table1[[#This Row],[Data de Início]]="","",YEAR(Table1[[#This Row],[Data de Início]]))</f>
        <v>2026</v>
      </c>
      <c r="BB839" s="270">
        <f>IF(Table1[[#This Row],[Data de Início]]="","",MONTH(Table1[[#This Row],[Data de Início]]))</f>
        <v>2</v>
      </c>
      <c r="BC839" s="270"/>
    </row>
    <row r="840" spans="2:55" ht="15" customHeight="1" x14ac:dyDescent="0.25">
      <c r="B840" s="489">
        <v>46076.620138888888</v>
      </c>
      <c r="C840" s="490">
        <v>46077.302083333336</v>
      </c>
      <c r="D840" s="477" cm="1">
        <f t="array" ref="D840">IFERROR(HorasUteisFabrica2Turnos(B840,C840), "")</f>
        <v>2.3666666668723337</v>
      </c>
      <c r="E840" s="478">
        <f t="shared" si="13"/>
        <v>709.85915486788963</v>
      </c>
      <c r="F840" s="479" t="s">
        <v>377</v>
      </c>
      <c r="G840" s="266" t="s">
        <v>1365</v>
      </c>
      <c r="H840" s="479"/>
      <c r="I840" s="480" t="s">
        <v>1414</v>
      </c>
      <c r="J840" s="481" t="s">
        <v>15</v>
      </c>
      <c r="K840" s="482">
        <v>1680</v>
      </c>
      <c r="L840" s="495" t="s">
        <v>488</v>
      </c>
      <c r="M840" s="511" t="str">
        <f>IFERROR(INDEX([1]Produtos!$C:$C,MATCH(L840,[1]Produtos!$B:$B,0)), "-")</f>
        <v>ÁGUA MICELAR COLÁGENO</v>
      </c>
      <c r="N840" s="511">
        <f>IFERROR(INDEX([1]Produtos!$E:$E,MATCH(L840,[1]Produtos!$B:$B,0)), "-")</f>
        <v>325</v>
      </c>
      <c r="O840" s="483" t="str">
        <f>IFERROR(INDEX([1]Produtos!$F:$F,MATCH(L840,[1]Produtos!$B:$B,0)), "-")</f>
        <v>ml</v>
      </c>
      <c r="P840" s="483" t="str">
        <f>IFERROR(INDEX([1]Produtos!$G:$G,MATCH(L840,[1]Produtos!$B:$B,0)), "-")</f>
        <v>GLOW MAKE UP</v>
      </c>
      <c r="Q840" s="483" t="str">
        <f>IFERROR(INDEX([1]Produtos!$H:$H,MATCH(L840,[1]Produtos!$B:$B,0)), "-")</f>
        <v>MAQUIAGEM</v>
      </c>
      <c r="R840" s="483" t="str">
        <f>IFERROR(INDEX([1]Produtos!$I:$I,MATCH(L840,[1]Produtos!$B:$B,0)), "-")</f>
        <v>ÁGUA MICELAR</v>
      </c>
      <c r="S840" s="483" t="str">
        <f>IFERROR(INDEX([1]Produtos!$J:$J,MATCH(L840,[1]Produtos!$B:$B,0)), "-")</f>
        <v>LÍQUIDO</v>
      </c>
      <c r="T840" s="484"/>
      <c r="U840" s="270"/>
      <c r="V840" s="270"/>
      <c r="W840" s="270"/>
      <c r="X840" s="270"/>
      <c r="Y840" s="270"/>
      <c r="Z840" s="270"/>
      <c r="AA840" s="270"/>
      <c r="AB840" s="270"/>
      <c r="AC840" s="270"/>
      <c r="AD840" s="270"/>
      <c r="AE840" s="270"/>
      <c r="AF840" s="270"/>
      <c r="AG840" s="270"/>
      <c r="AH840" s="270"/>
      <c r="AI840" s="270"/>
      <c r="AJ840" s="270"/>
      <c r="AK840" s="270"/>
      <c r="AL840" s="270"/>
      <c r="AM840" s="663"/>
      <c r="AN840" s="663"/>
      <c r="AO840" s="708" t="str">
        <f>IF(OR(Table1[[#This Row],[Início Setup Envase]]="",Table1[[#This Row],[Final Setup Envase]]=""),"",Table1[[#This Row],[Final Setup Envase]]-Table1[[#This Row],[Início Setup Envase]])</f>
        <v/>
      </c>
      <c r="AP840" s="663"/>
      <c r="AQ840" s="663"/>
      <c r="AR840" s="270"/>
      <c r="AS840" s="270"/>
      <c r="AT840" s="270"/>
      <c r="AU840" s="270"/>
      <c r="AV840" s="270"/>
      <c r="AW840" s="270"/>
      <c r="AX840" s="270"/>
      <c r="AY840" s="270"/>
      <c r="AZ840" s="270"/>
      <c r="BA840" s="270">
        <f>IF(Table1[[#This Row],[Data de Início]]="","",YEAR(Table1[[#This Row],[Data de Início]]))</f>
        <v>2026</v>
      </c>
      <c r="BB840" s="270">
        <f>IF(Table1[[#This Row],[Data de Início]]="","",MONTH(Table1[[#This Row],[Data de Início]]))</f>
        <v>2</v>
      </c>
      <c r="BC840" s="270"/>
    </row>
    <row r="841" spans="2:55" ht="15" customHeight="1" x14ac:dyDescent="0.25">
      <c r="B841" s="489">
        <v>46076.647222222222</v>
      </c>
      <c r="C841" s="490">
        <v>46077.352777777778</v>
      </c>
      <c r="D841" s="477" cm="1">
        <f t="array" ref="D841">IFERROR(HorasUteisFabrica2Turnos(B841,C841), "")</f>
        <v>2.9333333334652707</v>
      </c>
      <c r="E841" s="478">
        <f t="shared" si="13"/>
        <v>638.18181815311368</v>
      </c>
      <c r="F841" s="479" t="s">
        <v>377</v>
      </c>
      <c r="G841" s="266" t="s">
        <v>1365</v>
      </c>
      <c r="H841" s="479"/>
      <c r="I841" s="480" t="s">
        <v>1418</v>
      </c>
      <c r="J841" s="481" t="s">
        <v>15</v>
      </c>
      <c r="K841" s="482">
        <v>1872</v>
      </c>
      <c r="L841" s="495" t="s">
        <v>488</v>
      </c>
      <c r="M841" s="511" t="str">
        <f>IFERROR(INDEX([1]Produtos!$C:$C,MATCH(L841,[1]Produtos!$B:$B,0)), "-")</f>
        <v>ÁGUA MICELAR COLÁGENO</v>
      </c>
      <c r="N841" s="511">
        <f>IFERROR(INDEX([1]Produtos!$E:$E,MATCH(L841,[1]Produtos!$B:$B,0)), "-")</f>
        <v>325</v>
      </c>
      <c r="O841" s="483" t="str">
        <f>IFERROR(INDEX([1]Produtos!$F:$F,MATCH(L841,[1]Produtos!$B:$B,0)), "-")</f>
        <v>ml</v>
      </c>
      <c r="P841" s="483" t="str">
        <f>IFERROR(INDEX([1]Produtos!$G:$G,MATCH(L841,[1]Produtos!$B:$B,0)), "-")</f>
        <v>GLOW MAKE UP</v>
      </c>
      <c r="Q841" s="483" t="str">
        <f>IFERROR(INDEX([1]Produtos!$H:$H,MATCH(L841,[1]Produtos!$B:$B,0)), "-")</f>
        <v>MAQUIAGEM</v>
      </c>
      <c r="R841" s="483" t="str">
        <f>IFERROR(INDEX([1]Produtos!$I:$I,MATCH(L841,[1]Produtos!$B:$B,0)), "-")</f>
        <v>ÁGUA MICELAR</v>
      </c>
      <c r="S841" s="483" t="str">
        <f>IFERROR(INDEX([1]Produtos!$J:$J,MATCH(L841,[1]Produtos!$B:$B,0)), "-")</f>
        <v>LÍQUIDO</v>
      </c>
      <c r="T841" s="484"/>
      <c r="U841" s="270"/>
      <c r="V841" s="270"/>
      <c r="W841" s="270"/>
      <c r="X841" s="270"/>
      <c r="Y841" s="270"/>
      <c r="Z841" s="270"/>
      <c r="AA841" s="270"/>
      <c r="AB841" s="270"/>
      <c r="AC841" s="270"/>
      <c r="AD841" s="270"/>
      <c r="AE841" s="270"/>
      <c r="AF841" s="270"/>
      <c r="AG841" s="270"/>
      <c r="AH841" s="270"/>
      <c r="AI841" s="270"/>
      <c r="AJ841" s="270"/>
      <c r="AK841" s="270"/>
      <c r="AL841" s="270"/>
      <c r="AM841" s="663"/>
      <c r="AN841" s="663"/>
      <c r="AO841" s="708" t="str">
        <f>IF(OR(Table1[[#This Row],[Início Setup Envase]]="",Table1[[#This Row],[Final Setup Envase]]=""),"",Table1[[#This Row],[Final Setup Envase]]-Table1[[#This Row],[Início Setup Envase]])</f>
        <v/>
      </c>
      <c r="AP841" s="663"/>
      <c r="AQ841" s="663"/>
      <c r="AR841" s="270"/>
      <c r="AS841" s="270"/>
      <c r="AT841" s="270"/>
      <c r="AU841" s="270"/>
      <c r="AV841" s="270"/>
      <c r="AW841" s="270"/>
      <c r="AX841" s="270"/>
      <c r="AY841" s="270"/>
      <c r="AZ841" s="270"/>
      <c r="BA841" s="270">
        <f>IF(Table1[[#This Row],[Data de Início]]="","",YEAR(Table1[[#This Row],[Data de Início]]))</f>
        <v>2026</v>
      </c>
      <c r="BB841" s="270">
        <f>IF(Table1[[#This Row],[Data de Início]]="","",MONTH(Table1[[#This Row],[Data de Início]]))</f>
        <v>2</v>
      </c>
      <c r="BC841" s="270"/>
    </row>
    <row r="842" spans="2:55" ht="15" customHeight="1" x14ac:dyDescent="0.25">
      <c r="B842" s="489">
        <v>46077.409722222219</v>
      </c>
      <c r="C842" s="490">
        <v>46077.461805555555</v>
      </c>
      <c r="D842" s="477" cm="1">
        <f t="array" ref="D842">IFERROR(HorasUteisFabrica2Turnos(B842,C842), "")</f>
        <v>1.2500000000582077</v>
      </c>
      <c r="E842" s="478">
        <f t="shared" si="13"/>
        <v>1420.7999999338388</v>
      </c>
      <c r="F842" s="479" t="s">
        <v>377</v>
      </c>
      <c r="G842" s="266" t="s">
        <v>1365</v>
      </c>
      <c r="H842" s="479"/>
      <c r="I842" s="480" t="s">
        <v>1420</v>
      </c>
      <c r="J842" s="481" t="s">
        <v>15</v>
      </c>
      <c r="K842" s="536">
        <v>1776</v>
      </c>
      <c r="L842" s="495" t="s">
        <v>488</v>
      </c>
      <c r="M842" s="511" t="str">
        <f>IFERROR(INDEX([1]Produtos!$C:$C,MATCH(L842,[1]Produtos!$B:$B,0)), "-")</f>
        <v>ÁGUA MICELAR COLÁGENO</v>
      </c>
      <c r="N842" s="511">
        <f>IFERROR(INDEX([1]Produtos!$E:$E,MATCH(L842,[1]Produtos!$B:$B,0)), "-")</f>
        <v>325</v>
      </c>
      <c r="O842" s="483" t="str">
        <f>IFERROR(INDEX([1]Produtos!$F:$F,MATCH(L842,[1]Produtos!$B:$B,0)), "-")</f>
        <v>ml</v>
      </c>
      <c r="P842" s="483" t="str">
        <f>IFERROR(INDEX([1]Produtos!$G:$G,MATCH(L842,[1]Produtos!$B:$B,0)), "-")</f>
        <v>GLOW MAKE UP</v>
      </c>
      <c r="Q842" s="483" t="str">
        <f>IFERROR(INDEX([1]Produtos!$H:$H,MATCH(L842,[1]Produtos!$B:$B,0)), "-")</f>
        <v>MAQUIAGEM</v>
      </c>
      <c r="R842" s="483" t="str">
        <f>IFERROR(INDEX([1]Produtos!$I:$I,MATCH(L842,[1]Produtos!$B:$B,0)), "-")</f>
        <v>ÁGUA MICELAR</v>
      </c>
      <c r="S842" s="483" t="str">
        <f>IFERROR(INDEX([1]Produtos!$J:$J,MATCH(L842,[1]Produtos!$B:$B,0)), "-")</f>
        <v>LÍQUIDO</v>
      </c>
      <c r="T842" s="484"/>
      <c r="U842" s="270"/>
      <c r="V842" s="270"/>
      <c r="W842" s="270"/>
      <c r="X842" s="270"/>
      <c r="Y842" s="270"/>
      <c r="Z842" s="270"/>
      <c r="AA842" s="270"/>
      <c r="AB842" s="270"/>
      <c r="AC842" s="270"/>
      <c r="AD842" s="270"/>
      <c r="AE842" s="270"/>
      <c r="AF842" s="270"/>
      <c r="AG842" s="270"/>
      <c r="AH842" s="270"/>
      <c r="AI842" s="270"/>
      <c r="AJ842" s="270"/>
      <c r="AK842" s="270"/>
      <c r="AL842" s="270"/>
      <c r="AM842" s="663"/>
      <c r="AN842" s="663"/>
      <c r="AO842" s="708" t="str">
        <f>IF(OR(Table1[[#This Row],[Início Setup Envase]]="",Table1[[#This Row],[Final Setup Envase]]=""),"",Table1[[#This Row],[Final Setup Envase]]-Table1[[#This Row],[Início Setup Envase]])</f>
        <v/>
      </c>
      <c r="AP842" s="663"/>
      <c r="AQ842" s="663"/>
      <c r="AR842" s="270"/>
      <c r="AS842" s="270"/>
      <c r="AT842" s="270"/>
      <c r="AU842" s="270"/>
      <c r="AV842" s="270"/>
      <c r="AW842" s="270"/>
      <c r="AX842" s="270"/>
      <c r="AY842" s="270"/>
      <c r="AZ842" s="270"/>
      <c r="BA842" s="270">
        <f>IF(Table1[[#This Row],[Data de Início]]="","",YEAR(Table1[[#This Row],[Data de Início]]))</f>
        <v>2026</v>
      </c>
      <c r="BB842" s="270">
        <f>IF(Table1[[#This Row],[Data de Início]]="","",MONTH(Table1[[#This Row],[Data de Início]]))</f>
        <v>2</v>
      </c>
      <c r="BC842" s="270"/>
    </row>
    <row r="843" spans="2:55" ht="15" customHeight="1" x14ac:dyDescent="0.25">
      <c r="B843" s="489">
        <v>46077.480555555558</v>
      </c>
      <c r="C843" s="490">
        <v>46077.493055555555</v>
      </c>
      <c r="D843" s="477" cm="1">
        <f t="array" ref="D843">IFERROR(HorasUteisFabrica2Turnos(B843,C843), "")</f>
        <v>0.29999999993015081</v>
      </c>
      <c r="E843" s="478">
        <f t="shared" si="13"/>
        <v>496.66666678230587</v>
      </c>
      <c r="F843" s="479" t="s">
        <v>378</v>
      </c>
      <c r="G843" s="266" t="s">
        <v>1365</v>
      </c>
      <c r="H843" s="479"/>
      <c r="I843" s="480" t="s">
        <v>1419</v>
      </c>
      <c r="J843" s="481" t="s">
        <v>15</v>
      </c>
      <c r="K843" s="482">
        <v>149</v>
      </c>
      <c r="L843" s="495" t="s">
        <v>504</v>
      </c>
      <c r="M843" s="511" t="str">
        <f>IFERROR(INDEX([1]Produtos!$C:$C,MATCH(L843,[1]Produtos!$B:$B,0)), "-")</f>
        <v>ÁGUA MICELAR BABA GLOW</v>
      </c>
      <c r="N843" s="511">
        <f>IFERROR(INDEX([1]Produtos!$E:$E,MATCH(L843,[1]Produtos!$B:$B,0)), "-")</f>
        <v>325</v>
      </c>
      <c r="O843" s="483" t="str">
        <f>IFERROR(INDEX([1]Produtos!$F:$F,MATCH(L843,[1]Produtos!$B:$B,0)), "-")</f>
        <v>ml</v>
      </c>
      <c r="P843" s="483" t="str">
        <f>IFERROR(INDEX([1]Produtos!$G:$G,MATCH(L843,[1]Produtos!$B:$B,0)), "-")</f>
        <v>GLOW MAKE UP</v>
      </c>
      <c r="Q843" s="483" t="str">
        <f>IFERROR(INDEX([1]Produtos!$H:$H,MATCH(L843,[1]Produtos!$B:$B,0)), "-")</f>
        <v>MAQUIAGEM</v>
      </c>
      <c r="R843" s="483" t="str">
        <f>IFERROR(INDEX([1]Produtos!$I:$I,MATCH(L843,[1]Produtos!$B:$B,0)), "-")</f>
        <v>ÁGUA MICELAR</v>
      </c>
      <c r="S843" s="483" t="str">
        <f>IFERROR(INDEX([1]Produtos!$J:$J,MATCH(L843,[1]Produtos!$B:$B,0)), "-")</f>
        <v>LÍQUIDO</v>
      </c>
      <c r="T843" s="484"/>
      <c r="U843" s="270"/>
      <c r="V843" s="270"/>
      <c r="W843" s="270"/>
      <c r="X843" s="270"/>
      <c r="Y843" s="270"/>
      <c r="Z843" s="270"/>
      <c r="AA843" s="270"/>
      <c r="AB843" s="270"/>
      <c r="AC843" s="270"/>
      <c r="AD843" s="270"/>
      <c r="AE843" s="270"/>
      <c r="AF843" s="270"/>
      <c r="AG843" s="270"/>
      <c r="AH843" s="270"/>
      <c r="AI843" s="270"/>
      <c r="AJ843" s="270"/>
      <c r="AK843" s="270"/>
      <c r="AL843" s="270"/>
      <c r="AM843" s="663"/>
      <c r="AN843" s="663"/>
      <c r="AO843" s="708" t="str">
        <f>IF(OR(Table1[[#This Row],[Início Setup Envase]]="",Table1[[#This Row],[Final Setup Envase]]=""),"",Table1[[#This Row],[Final Setup Envase]]-Table1[[#This Row],[Início Setup Envase]])</f>
        <v/>
      </c>
      <c r="AP843" s="663"/>
      <c r="AQ843" s="663"/>
      <c r="AR843" s="270"/>
      <c r="AS843" s="270"/>
      <c r="AT843" s="270"/>
      <c r="AU843" s="270"/>
      <c r="AV843" s="270"/>
      <c r="AW843" s="270"/>
      <c r="AX843" s="270"/>
      <c r="AY843" s="270"/>
      <c r="AZ843" s="270"/>
      <c r="BA843" s="270">
        <f>IF(Table1[[#This Row],[Data de Início]]="","",YEAR(Table1[[#This Row],[Data de Início]]))</f>
        <v>2026</v>
      </c>
      <c r="BB843" s="270">
        <f>IF(Table1[[#This Row],[Data de Início]]="","",MONTH(Table1[[#This Row],[Data de Início]]))</f>
        <v>2</v>
      </c>
      <c r="BC843" s="270"/>
    </row>
    <row r="844" spans="2:55" ht="15" customHeight="1" x14ac:dyDescent="0.25">
      <c r="B844" s="489">
        <v>46077.55</v>
      </c>
      <c r="C844" s="490">
        <v>46077.5625</v>
      </c>
      <c r="D844" s="477" cm="1">
        <f t="array" ref="D844">IFERROR(HorasUteisFabrica2Turnos(B844,C844), "")</f>
        <v>0.29999999993015081</v>
      </c>
      <c r="E844" s="478">
        <f t="shared" si="13"/>
        <v>440.00000010244548</v>
      </c>
      <c r="F844" s="479" t="s">
        <v>377</v>
      </c>
      <c r="G844" s="266" t="s">
        <v>1365</v>
      </c>
      <c r="H844" s="479"/>
      <c r="I844" s="480" t="s">
        <v>1421</v>
      </c>
      <c r="J844" s="481" t="s">
        <v>15</v>
      </c>
      <c r="K844" s="536">
        <v>132</v>
      </c>
      <c r="L844" s="495" t="s">
        <v>503</v>
      </c>
      <c r="M844" s="511" t="str">
        <f>IFERROR(INDEX([1]Produtos!$C:$C,MATCH(L844,[1]Produtos!$B:$B,0)), "-")</f>
        <v>ÁGUA MICELAR ROSA MOSQUETA</v>
      </c>
      <c r="N844" s="511">
        <f>IFERROR(INDEX([1]Produtos!$E:$E,MATCH(L844,[1]Produtos!$B:$B,0)), "-")</f>
        <v>325</v>
      </c>
      <c r="O844" s="483" t="str">
        <f>IFERROR(INDEX([1]Produtos!$F:$F,MATCH(L844,[1]Produtos!$B:$B,0)), "-")</f>
        <v>ml</v>
      </c>
      <c r="P844" s="483" t="str">
        <f>IFERROR(INDEX([1]Produtos!$G:$G,MATCH(L844,[1]Produtos!$B:$B,0)), "-")</f>
        <v>GLOW MAKE UP</v>
      </c>
      <c r="Q844" s="483" t="str">
        <f>IFERROR(INDEX([1]Produtos!$H:$H,MATCH(L844,[1]Produtos!$B:$B,0)), "-")</f>
        <v>MAQUIAGEM</v>
      </c>
      <c r="R844" s="483" t="str">
        <f>IFERROR(INDEX([1]Produtos!$I:$I,MATCH(L844,[1]Produtos!$B:$B,0)), "-")</f>
        <v>ÁGUA MICELAR</v>
      </c>
      <c r="S844" s="483" t="str">
        <f>IFERROR(INDEX([1]Produtos!$J:$J,MATCH(L844,[1]Produtos!$B:$B,0)), "-")</f>
        <v>LÍQUIDO</v>
      </c>
      <c r="T844" s="484"/>
      <c r="U844" s="270"/>
      <c r="V844" s="270"/>
      <c r="W844" s="270"/>
      <c r="X844" s="270"/>
      <c r="Y844" s="270"/>
      <c r="Z844" s="270"/>
      <c r="AA844" s="270"/>
      <c r="AB844" s="270"/>
      <c r="AC844" s="270"/>
      <c r="AD844" s="270"/>
      <c r="AE844" s="270"/>
      <c r="AF844" s="270"/>
      <c r="AG844" s="270"/>
      <c r="AH844" s="270"/>
      <c r="AI844" s="270"/>
      <c r="AJ844" s="270"/>
      <c r="AK844" s="270"/>
      <c r="AL844" s="270"/>
      <c r="AM844" s="663"/>
      <c r="AN844" s="663"/>
      <c r="AO844" s="708" t="str">
        <f>IF(OR(Table1[[#This Row],[Início Setup Envase]]="",Table1[[#This Row],[Final Setup Envase]]=""),"",Table1[[#This Row],[Final Setup Envase]]-Table1[[#This Row],[Início Setup Envase]])</f>
        <v/>
      </c>
      <c r="AP844" s="663"/>
      <c r="AQ844" s="663"/>
      <c r="AR844" s="270"/>
      <c r="AS844" s="270"/>
      <c r="AT844" s="270"/>
      <c r="AU844" s="270"/>
      <c r="AV844" s="270"/>
      <c r="AW844" s="270"/>
      <c r="AX844" s="270"/>
      <c r="AY844" s="270"/>
      <c r="AZ844" s="270"/>
      <c r="BA844" s="270">
        <f>IF(Table1[[#This Row],[Data de Início]]="","",YEAR(Table1[[#This Row],[Data de Início]]))</f>
        <v>2026</v>
      </c>
      <c r="BB844" s="270">
        <f>IF(Table1[[#This Row],[Data de Início]]="","",MONTH(Table1[[#This Row],[Data de Início]]))</f>
        <v>2</v>
      </c>
      <c r="BC844" s="270"/>
    </row>
    <row r="845" spans="2:55" ht="15" customHeight="1" x14ac:dyDescent="0.25">
      <c r="B845" s="489">
        <v>46078.395833333336</v>
      </c>
      <c r="C845" s="490">
        <v>46078.411111111112</v>
      </c>
      <c r="D845" s="477" cm="1">
        <f t="array" ref="D845">IFERROR(HorasUteisFabrica2Turnos(B845,C845), "")</f>
        <v>0.36666666663950309</v>
      </c>
      <c r="E845" s="478">
        <f t="shared" si="13"/>
        <v>128.18181819131422</v>
      </c>
      <c r="F845" s="479"/>
      <c r="G845" s="266"/>
      <c r="H845" s="479"/>
      <c r="I845" s="480" t="s">
        <v>1429</v>
      </c>
      <c r="J845" s="481" t="s">
        <v>15</v>
      </c>
      <c r="K845" s="482">
        <v>47</v>
      </c>
      <c r="L845" s="495" t="s">
        <v>1432</v>
      </c>
      <c r="M845" s="511" t="str">
        <f>IFERROR(INDEX([1]Produtos!$C:$C,MATCH(L845,[1]Produtos!$B:$B,0)), "-")</f>
        <v>-</v>
      </c>
      <c r="N845" s="511" t="str">
        <f>IFERROR(INDEX([1]Produtos!$E:$E,MATCH(L845,[1]Produtos!$B:$B,0)), "-")</f>
        <v>-</v>
      </c>
      <c r="O845" s="483" t="str">
        <f>IFERROR(INDEX([1]Produtos!$F:$F,MATCH(L845,[1]Produtos!$B:$B,0)), "-")</f>
        <v>-</v>
      </c>
      <c r="P845" s="483" t="str">
        <f>IFERROR(INDEX([1]Produtos!$G:$G,MATCH(L845,[1]Produtos!$B:$B,0)), "-")</f>
        <v>-</v>
      </c>
      <c r="Q845" s="483" t="str">
        <f>IFERROR(INDEX([1]Produtos!$H:$H,MATCH(L845,[1]Produtos!$B:$B,0)), "-")</f>
        <v>-</v>
      </c>
      <c r="R845" s="483" t="str">
        <f>IFERROR(INDEX([1]Produtos!$I:$I,MATCH(L845,[1]Produtos!$B:$B,0)), "-")</f>
        <v>-</v>
      </c>
      <c r="S845" s="483" t="str">
        <f>IFERROR(INDEX([1]Produtos!$J:$J,MATCH(L845,[1]Produtos!$B:$B,0)), "-")</f>
        <v>-</v>
      </c>
      <c r="T845" s="484"/>
      <c r="U845" s="457"/>
      <c r="V845" s="264"/>
      <c r="W845" s="265"/>
      <c r="X845" s="266"/>
      <c r="Y845" s="266"/>
      <c r="Z845" s="270"/>
      <c r="AA845" s="270"/>
      <c r="AB845" s="270"/>
      <c r="AC845" s="270"/>
      <c r="AD845" s="270"/>
      <c r="AE845" s="510"/>
      <c r="AF845" s="510"/>
      <c r="AG845" s="270"/>
      <c r="AH845" s="270"/>
      <c r="AI845" s="270"/>
      <c r="AJ845" s="270"/>
      <c r="AK845" s="270"/>
      <c r="AL845" s="616"/>
      <c r="AM845" s="663"/>
      <c r="AN845" s="663"/>
      <c r="AO845" s="708" t="str">
        <f>IF(OR(Table1[[#This Row],[Início Setup Envase]]="",Table1[[#This Row],[Final Setup Envase]]=""),"",Table1[[#This Row],[Final Setup Envase]]-Table1[[#This Row],[Início Setup Envase]])</f>
        <v/>
      </c>
      <c r="AP845" s="663"/>
      <c r="AQ845" s="663"/>
      <c r="AR845" s="510"/>
      <c r="AS845" s="270"/>
      <c r="AT845" s="270"/>
      <c r="AU845" s="270"/>
      <c r="AV845" s="270"/>
      <c r="AW845" s="270"/>
      <c r="AX845" s="616"/>
      <c r="AY845" s="616"/>
      <c r="AZ845" s="616"/>
      <c r="BA845" s="730">
        <f>IF(Table1[[#This Row],[Data de Início]]="","",YEAR(Table1[[#This Row],[Data de Início]]))</f>
        <v>2026</v>
      </c>
      <c r="BB845" s="730">
        <f>IF(Table1[[#This Row],[Data de Início]]="","",MONTH(Table1[[#This Row],[Data de Início]]))</f>
        <v>2</v>
      </c>
      <c r="BC845" s="616"/>
    </row>
    <row r="846" spans="2:55" ht="15" customHeight="1" x14ac:dyDescent="0.25">
      <c r="B846" s="489">
        <v>46078.416666666664</v>
      </c>
      <c r="C846" s="490">
        <v>46078.436805555553</v>
      </c>
      <c r="D846" s="477" cm="1">
        <f t="array" ref="D846">IFERROR(HorasUteisFabrica2Turnos(B846,C846), "")</f>
        <v>0.48333333333721384</v>
      </c>
      <c r="E846" s="478">
        <f t="shared" si="13"/>
        <v>97.24137930956411</v>
      </c>
      <c r="F846" s="479"/>
      <c r="G846" s="266"/>
      <c r="H846" s="479"/>
      <c r="I846" s="480" t="s">
        <v>1430</v>
      </c>
      <c r="J846" s="481" t="s">
        <v>15</v>
      </c>
      <c r="K846" s="482">
        <v>47</v>
      </c>
      <c r="L846" s="495" t="s">
        <v>1431</v>
      </c>
      <c r="M846" s="511" t="str">
        <f>IFERROR(INDEX([1]Produtos!$C:$C,MATCH(L846,[1]Produtos!$B:$B,0)), "-")</f>
        <v>-</v>
      </c>
      <c r="N846" s="511" t="str">
        <f>IFERROR(INDEX([1]Produtos!$E:$E,MATCH(L846,[1]Produtos!$B:$B,0)), "-")</f>
        <v>-</v>
      </c>
      <c r="O846" s="483" t="str">
        <f>IFERROR(INDEX([1]Produtos!$F:$F,MATCH(L846,[1]Produtos!$B:$B,0)), "-")</f>
        <v>-</v>
      </c>
      <c r="P846" s="483" t="str">
        <f>IFERROR(INDEX([1]Produtos!$G:$G,MATCH(L846,[1]Produtos!$B:$B,0)), "-")</f>
        <v>-</v>
      </c>
      <c r="Q846" s="483" t="str">
        <f>IFERROR(INDEX([1]Produtos!$H:$H,MATCH(L846,[1]Produtos!$B:$B,0)), "-")</f>
        <v>-</v>
      </c>
      <c r="R846" s="483" t="str">
        <f>IFERROR(INDEX([1]Produtos!$I:$I,MATCH(L846,[1]Produtos!$B:$B,0)), "-")</f>
        <v>-</v>
      </c>
      <c r="S846" s="483" t="str">
        <f>IFERROR(INDEX([1]Produtos!$J:$J,MATCH(L846,[1]Produtos!$B:$B,0)), "-")</f>
        <v>-</v>
      </c>
      <c r="T846" s="484"/>
      <c r="U846" s="270"/>
      <c r="V846" s="270"/>
      <c r="W846" s="270"/>
      <c r="X846" s="270"/>
      <c r="Y846" s="270"/>
      <c r="Z846" s="270"/>
      <c r="AA846" s="270"/>
      <c r="AB846" s="270"/>
      <c r="AC846" s="270"/>
      <c r="AD846" s="270"/>
      <c r="AE846" s="270"/>
      <c r="AF846" s="270"/>
      <c r="AG846" s="270"/>
      <c r="AH846" s="270"/>
      <c r="AI846" s="270"/>
      <c r="AJ846" s="270"/>
      <c r="AK846" s="270"/>
      <c r="AL846" s="270"/>
      <c r="AM846" s="663"/>
      <c r="AN846" s="663"/>
      <c r="AO846" s="708" t="str">
        <f>IF(OR(Table1[[#This Row],[Início Setup Envase]]="",Table1[[#This Row],[Final Setup Envase]]=""),"",Table1[[#This Row],[Final Setup Envase]]-Table1[[#This Row],[Início Setup Envase]])</f>
        <v/>
      </c>
      <c r="AP846" s="663"/>
      <c r="AQ846" s="663"/>
      <c r="AR846" s="270"/>
      <c r="AS846" s="270"/>
      <c r="AT846" s="270"/>
      <c r="AU846" s="270"/>
      <c r="AV846" s="270"/>
      <c r="AW846" s="270"/>
      <c r="AX846" s="270"/>
      <c r="AY846" s="270"/>
      <c r="AZ846" s="270"/>
      <c r="BA846" s="270">
        <f>IF(Table1[[#This Row],[Data de Início]]="","",YEAR(Table1[[#This Row],[Data de Início]]))</f>
        <v>2026</v>
      </c>
      <c r="BB846" s="270">
        <f>IF(Table1[[#This Row],[Data de Início]]="","",MONTH(Table1[[#This Row],[Data de Início]]))</f>
        <v>2</v>
      </c>
      <c r="BC846" s="270"/>
    </row>
    <row r="847" spans="2:55" ht="15" customHeight="1" x14ac:dyDescent="0.25">
      <c r="B847" s="489">
        <v>46079.451388888891</v>
      </c>
      <c r="C847" s="490">
        <v>46079.701388888891</v>
      </c>
      <c r="D847" s="477" cm="1">
        <f t="array" ref="D847">IFERROR(HorasUteisFabrica2Turnos(B847,C847), "")</f>
        <v>5</v>
      </c>
      <c r="E847" s="478">
        <f t="shared" si="13"/>
        <v>195</v>
      </c>
      <c r="F847" s="479" t="s">
        <v>377</v>
      </c>
      <c r="G847" s="266" t="s">
        <v>1445</v>
      </c>
      <c r="H847" s="479"/>
      <c r="I847" s="480" t="s">
        <v>1442</v>
      </c>
      <c r="J847" s="481" t="s">
        <v>15</v>
      </c>
      <c r="K847" s="482">
        <v>975</v>
      </c>
      <c r="L847" s="495" t="s">
        <v>1443</v>
      </c>
      <c r="M847" s="511" t="str">
        <f>IFERROR(INDEX([1]Produtos!$C:$C,MATCH(L847,[1]Produtos!$B:$B,0)), "-")</f>
        <v>PERFUME OSTINATO 100ML</v>
      </c>
      <c r="N847" s="511">
        <f>IFERROR(INDEX([1]Produtos!$E:$E,MATCH(L847,[1]Produtos!$B:$B,0)), "-")</f>
        <v>100</v>
      </c>
      <c r="O847" s="483" t="str">
        <f>IFERROR(INDEX([1]Produtos!$F:$F,MATCH(L847,[1]Produtos!$B:$B,0)), "-")</f>
        <v>ml</v>
      </c>
      <c r="P847" s="483" t="str">
        <f>IFERROR(INDEX([1]Produtos!$G:$G,MATCH(L847,[1]Produtos!$B:$B,0)), "-")</f>
        <v>FILATO BENE</v>
      </c>
      <c r="Q847" s="483" t="str">
        <f>IFERROR(INDEX([1]Produtos!$H:$H,MATCH(L847,[1]Produtos!$B:$B,0)), "-")</f>
        <v>PERFUMARIA</v>
      </c>
      <c r="R847" s="483" t="str">
        <f>IFERROR(INDEX([1]Produtos!$I:$I,MATCH(L847,[1]Produtos!$B:$B,0)), "-")</f>
        <v>PERFUME</v>
      </c>
      <c r="S847" s="483" t="str">
        <f>IFERROR(INDEX([1]Produtos!$J:$J,MATCH(L847,[1]Produtos!$B:$B,0)), "-")</f>
        <v>LÍQUIDO</v>
      </c>
      <c r="T847" s="484"/>
      <c r="U847" s="270"/>
      <c r="V847" s="270"/>
      <c r="W847" s="270"/>
      <c r="X847" s="270"/>
      <c r="Y847" s="270"/>
      <c r="Z847" s="270"/>
      <c r="AA847" s="270"/>
      <c r="AB847" s="270"/>
      <c r="AC847" s="270"/>
      <c r="AD847" s="270"/>
      <c r="AE847" s="270"/>
      <c r="AF847" s="270"/>
      <c r="AG847" s="270"/>
      <c r="AH847" s="270"/>
      <c r="AI847" s="270"/>
      <c r="AJ847" s="270"/>
      <c r="AK847" s="270"/>
      <c r="AL847" s="270"/>
      <c r="AM847" s="663"/>
      <c r="AN847" s="663"/>
      <c r="AO847" s="708" t="str">
        <f>IF(OR(Table1[[#This Row],[Início Setup Envase]]="",Table1[[#This Row],[Final Setup Envase]]=""),"",Table1[[#This Row],[Final Setup Envase]]-Table1[[#This Row],[Início Setup Envase]])</f>
        <v/>
      </c>
      <c r="AP847" s="663"/>
      <c r="AQ847" s="663"/>
      <c r="AR847" s="270"/>
      <c r="AS847" s="270"/>
      <c r="AT847" s="270"/>
      <c r="AU847" s="270"/>
      <c r="AV847" s="270"/>
      <c r="AW847" s="270"/>
      <c r="AX847" s="270"/>
      <c r="AY847" s="270"/>
      <c r="AZ847" s="270"/>
      <c r="BA847" s="270">
        <f>IF(Table1[[#This Row],[Data de Início]]="","",YEAR(Table1[[#This Row],[Data de Início]]))</f>
        <v>2026</v>
      </c>
      <c r="BB847" s="270">
        <f>IF(Table1[[#This Row],[Data de Início]]="","",MONTH(Table1[[#This Row],[Data de Início]]))</f>
        <v>2</v>
      </c>
      <c r="BC847" s="270"/>
    </row>
    <row r="848" spans="2:55" ht="15" customHeight="1" x14ac:dyDescent="0.25">
      <c r="B848" s="489">
        <v>46080.333333333336</v>
      </c>
      <c r="C848" s="490">
        <v>46083.409722222219</v>
      </c>
      <c r="D848" s="477" cm="1">
        <f t="array" ref="D848">IFERROR(HorasUteisFabrica2Turnos(B848,C848), "")</f>
        <v>9.8333333331975155</v>
      </c>
      <c r="E848" s="478">
        <f t="shared" si="13"/>
        <v>102.71186440819831</v>
      </c>
      <c r="F848" s="479" t="s">
        <v>377</v>
      </c>
      <c r="G848" s="266" t="s">
        <v>1445</v>
      </c>
      <c r="H848" s="479"/>
      <c r="I848" s="480" t="s">
        <v>1441</v>
      </c>
      <c r="J848" s="481" t="s">
        <v>15</v>
      </c>
      <c r="K848" s="482">
        <v>1010</v>
      </c>
      <c r="L848" s="495" t="s">
        <v>1444</v>
      </c>
      <c r="M848" s="511" t="str">
        <f>IFERROR(INDEX([1]Produtos!$C:$C,MATCH(L848,[1]Produtos!$B:$B,0)), "-")</f>
        <v>PERFUME RAFINATTO 100ML</v>
      </c>
      <c r="N848" s="511">
        <f>IFERROR(INDEX([1]Produtos!$E:$E,MATCH(L848,[1]Produtos!$B:$B,0)), "-")</f>
        <v>100</v>
      </c>
      <c r="O848" s="483" t="str">
        <f>IFERROR(INDEX([1]Produtos!$F:$F,MATCH(L848,[1]Produtos!$B:$B,0)), "-")</f>
        <v>ml</v>
      </c>
      <c r="P848" s="483" t="str">
        <f>IFERROR(INDEX([1]Produtos!$G:$G,MATCH(L848,[1]Produtos!$B:$B,0)), "-")</f>
        <v>FILATO BENE</v>
      </c>
      <c r="Q848" s="483" t="str">
        <f>IFERROR(INDEX([1]Produtos!$H:$H,MATCH(L848,[1]Produtos!$B:$B,0)), "-")</f>
        <v>PERFUMARIA</v>
      </c>
      <c r="R848" s="483" t="str">
        <f>IFERROR(INDEX([1]Produtos!$I:$I,MATCH(L848,[1]Produtos!$B:$B,0)), "-")</f>
        <v>PERFUME</v>
      </c>
      <c r="S848" s="483" t="str">
        <f>IFERROR(INDEX([1]Produtos!$J:$J,MATCH(L848,[1]Produtos!$B:$B,0)), "-")</f>
        <v>LÍQUIDO</v>
      </c>
      <c r="T848" s="484"/>
      <c r="U848" s="270"/>
      <c r="V848" s="270"/>
      <c r="W848" s="270"/>
      <c r="X848" s="270"/>
      <c r="Y848" s="270"/>
      <c r="Z848" s="270"/>
      <c r="AA848" s="270"/>
      <c r="AB848" s="270"/>
      <c r="AC848" s="270"/>
      <c r="AD848" s="270"/>
      <c r="AE848" s="270"/>
      <c r="AF848" s="270"/>
      <c r="AG848" s="270"/>
      <c r="AH848" s="270"/>
      <c r="AI848" s="270"/>
      <c r="AJ848" s="270"/>
      <c r="AK848" s="270"/>
      <c r="AL848" s="270"/>
      <c r="AM848" s="663"/>
      <c r="AN848" s="663"/>
      <c r="AO848" s="708" t="str">
        <f>IF(OR(Table1[[#This Row],[Início Setup Envase]]="",Table1[[#This Row],[Final Setup Envase]]=""),"",Table1[[#This Row],[Final Setup Envase]]-Table1[[#This Row],[Início Setup Envase]])</f>
        <v/>
      </c>
      <c r="AP848" s="663"/>
      <c r="AQ848" s="663"/>
      <c r="AR848" s="270"/>
      <c r="AS848" s="270"/>
      <c r="AT848" s="270"/>
      <c r="AU848" s="270"/>
      <c r="AV848" s="270"/>
      <c r="AW848" s="270"/>
      <c r="AX848" s="270"/>
      <c r="AY848" s="270"/>
      <c r="AZ848" s="270"/>
      <c r="BA848" s="270">
        <f>IF(Table1[[#This Row],[Data de Início]]="","",YEAR(Table1[[#This Row],[Data de Início]]))</f>
        <v>2026</v>
      </c>
      <c r="BB848" s="270">
        <f>IF(Table1[[#This Row],[Data de Início]]="","",MONTH(Table1[[#This Row],[Data de Início]]))</f>
        <v>2</v>
      </c>
      <c r="BC848" s="270"/>
    </row>
    <row r="849" spans="2:55" ht="15" customHeight="1" x14ac:dyDescent="0.25">
      <c r="B849" s="489">
        <v>46083.409722222219</v>
      </c>
      <c r="C849" s="490">
        <v>46083.583333333336</v>
      </c>
      <c r="D849" s="477" cm="1">
        <f t="array" ref="D849">IFERROR(HorasUteisFabrica2Turnos(B849,C849), "")</f>
        <v>3.1666666668024845</v>
      </c>
      <c r="E849" s="478">
        <f t="shared" si="13"/>
        <v>565.89473681783409</v>
      </c>
      <c r="F849" s="479" t="s">
        <v>377</v>
      </c>
      <c r="G849" s="266" t="s">
        <v>1436</v>
      </c>
      <c r="H849" s="479"/>
      <c r="I849" s="479" t="s">
        <v>1438</v>
      </c>
      <c r="J849" s="481" t="s">
        <v>15</v>
      </c>
      <c r="K849" s="482">
        <v>1792</v>
      </c>
      <c r="L849" s="495" t="s">
        <v>1437</v>
      </c>
      <c r="M849" s="511" t="str">
        <f>IFERROR(INDEX([1]Produtos!$C:$C,MATCH(L849,[1]Produtos!$B:$B,0)), "-")</f>
        <v>FIXADOR FIX MATTE 120ml</v>
      </c>
      <c r="N849" s="511">
        <f>IFERROR(INDEX([1]Produtos!$E:$E,MATCH(L849,[1]Produtos!$B:$B,0)), "-")</f>
        <v>120</v>
      </c>
      <c r="O849" s="483" t="str">
        <f>IFERROR(INDEX([1]Produtos!$F:$F,MATCH(L849,[1]Produtos!$B:$B,0)), "-")</f>
        <v>ml</v>
      </c>
      <c r="P849" s="483" t="str">
        <f>IFERROR(INDEX([1]Produtos!$G:$G,MATCH(L849,[1]Produtos!$B:$B,0)), "-")</f>
        <v>MISS RÔSE</v>
      </c>
      <c r="Q849" s="483" t="str">
        <f>IFERROR(INDEX([1]Produtos!$H:$H,MATCH(L849,[1]Produtos!$B:$B,0)), "-")</f>
        <v>MAQUIAGEM</v>
      </c>
      <c r="R849" s="483" t="str">
        <f>IFERROR(INDEX([1]Produtos!$I:$I,MATCH(L849,[1]Produtos!$B:$B,0)), "-")</f>
        <v>FIXADOR</v>
      </c>
      <c r="S849" s="483" t="str">
        <f>IFERROR(INDEX([1]Produtos!$J:$J,MATCH(L849,[1]Produtos!$B:$B,0)), "-")</f>
        <v>LÍQUIDO</v>
      </c>
      <c r="T849" s="484"/>
      <c r="U849" s="270"/>
      <c r="V849" s="270"/>
      <c r="W849" s="270"/>
      <c r="X849" s="270"/>
      <c r="Y849" s="270"/>
      <c r="Z849" s="270"/>
      <c r="AA849" s="270"/>
      <c r="AB849" s="270"/>
      <c r="AC849" s="270"/>
      <c r="AD849" s="270"/>
      <c r="AE849" s="270"/>
      <c r="AF849" s="270"/>
      <c r="AG849" s="270"/>
      <c r="AH849" s="270"/>
      <c r="AI849" s="270"/>
      <c r="AJ849" s="270"/>
      <c r="AK849" s="270"/>
      <c r="AL849" s="270"/>
      <c r="AM849" s="663"/>
      <c r="AN849" s="663"/>
      <c r="AO849" s="708" t="str">
        <f>IF(OR(Table1[[#This Row],[Início Setup Envase]]="",Table1[[#This Row],[Final Setup Envase]]=""),"",Table1[[#This Row],[Final Setup Envase]]-Table1[[#This Row],[Início Setup Envase]])</f>
        <v/>
      </c>
      <c r="AP849" s="663"/>
      <c r="AQ849" s="663"/>
      <c r="AR849" s="270"/>
      <c r="AS849" s="270"/>
      <c r="AT849" s="270"/>
      <c r="AU849" s="270"/>
      <c r="AV849" s="270"/>
      <c r="AW849" s="270"/>
      <c r="AX849" s="270"/>
      <c r="AY849" s="270"/>
      <c r="AZ849" s="270"/>
      <c r="BA849" s="270">
        <f>IF(Table1[[#This Row],[Data de Início]]="","",YEAR(Table1[[#This Row],[Data de Início]]))</f>
        <v>2026</v>
      </c>
      <c r="BB849" s="270">
        <f>IF(Table1[[#This Row],[Data de Início]]="","",MONTH(Table1[[#This Row],[Data de Início]]))</f>
        <v>3</v>
      </c>
      <c r="BC849" s="270"/>
    </row>
    <row r="850" spans="2:55" ht="15" customHeight="1" x14ac:dyDescent="0.25">
      <c r="B850" s="489">
        <v>46083.583333333336</v>
      </c>
      <c r="C850" s="490">
        <v>46084.404861111114</v>
      </c>
      <c r="D850" s="477" cm="1">
        <f t="array" ref="D850">IFERROR(HorasUteisFabrica2Turnos(B850,C850), "")</f>
        <v>5.716666666790843</v>
      </c>
      <c r="E850" s="478">
        <f t="shared" si="13"/>
        <v>825.65597665845007</v>
      </c>
      <c r="F850" s="479" t="s">
        <v>377</v>
      </c>
      <c r="G850" s="266" t="s">
        <v>1436</v>
      </c>
      <c r="H850" s="479"/>
      <c r="I850" s="480" t="s">
        <v>1435</v>
      </c>
      <c r="J850" s="481" t="s">
        <v>15</v>
      </c>
      <c r="K850" s="482">
        <v>4720</v>
      </c>
      <c r="L850" s="495" t="s">
        <v>1437</v>
      </c>
      <c r="M850" s="511" t="str">
        <f>IFERROR(INDEX([1]Produtos!$C:$C,MATCH(L850,[1]Produtos!$B:$B,0)), "-")</f>
        <v>FIXADOR FIX MATTE 120ml</v>
      </c>
      <c r="N850" s="511">
        <f>IFERROR(INDEX([1]Produtos!$E:$E,MATCH(L850,[1]Produtos!$B:$B,0)), "-")</f>
        <v>120</v>
      </c>
      <c r="O850" s="483" t="str">
        <f>IFERROR(INDEX([1]Produtos!$F:$F,MATCH(L850,[1]Produtos!$B:$B,0)), "-")</f>
        <v>ml</v>
      </c>
      <c r="P850" s="483" t="str">
        <f>IFERROR(INDEX([1]Produtos!$G:$G,MATCH(L850,[1]Produtos!$B:$B,0)), "-")</f>
        <v>MISS RÔSE</v>
      </c>
      <c r="Q850" s="483" t="str">
        <f>IFERROR(INDEX([1]Produtos!$H:$H,MATCH(L850,[1]Produtos!$B:$B,0)), "-")</f>
        <v>MAQUIAGEM</v>
      </c>
      <c r="R850" s="483" t="str">
        <f>IFERROR(INDEX([1]Produtos!$I:$I,MATCH(L850,[1]Produtos!$B:$B,0)), "-")</f>
        <v>FIXADOR</v>
      </c>
      <c r="S850" s="483" t="str">
        <f>IFERROR(INDEX([1]Produtos!$J:$J,MATCH(L850,[1]Produtos!$B:$B,0)), "-")</f>
        <v>LÍQUIDO</v>
      </c>
      <c r="T850" s="484"/>
      <c r="U850" s="270"/>
      <c r="V850" s="270"/>
      <c r="W850" s="270"/>
      <c r="X850" s="270"/>
      <c r="Y850" s="270"/>
      <c r="Z850" s="270"/>
      <c r="AA850" s="270"/>
      <c r="AB850" s="270"/>
      <c r="AC850" s="270"/>
      <c r="AD850" s="270"/>
      <c r="AE850" s="270"/>
      <c r="AF850" s="270"/>
      <c r="AG850" s="270"/>
      <c r="AH850" s="270"/>
      <c r="AI850" s="270"/>
      <c r="AJ850" s="270"/>
      <c r="AK850" s="270"/>
      <c r="AL850" s="270"/>
      <c r="AM850" s="663"/>
      <c r="AN850" s="663"/>
      <c r="AO850" s="708" t="str">
        <f>IF(OR(Table1[[#This Row],[Início Setup Envase]]="",Table1[[#This Row],[Final Setup Envase]]=""),"",Table1[[#This Row],[Final Setup Envase]]-Table1[[#This Row],[Início Setup Envase]])</f>
        <v/>
      </c>
      <c r="AP850" s="663"/>
      <c r="AQ850" s="663"/>
      <c r="AR850" s="270"/>
      <c r="AS850" s="270"/>
      <c r="AT850" s="270"/>
      <c r="AU850" s="270"/>
      <c r="AV850" s="270"/>
      <c r="AW850" s="270"/>
      <c r="AX850" s="270"/>
      <c r="AY850" s="270"/>
      <c r="AZ850" s="270"/>
      <c r="BA850" s="270">
        <f>IF(Table1[[#This Row],[Data de Início]]="","",YEAR(Table1[[#This Row],[Data de Início]]))</f>
        <v>2026</v>
      </c>
      <c r="BB850" s="270">
        <f>IF(Table1[[#This Row],[Data de Início]]="","",MONTH(Table1[[#This Row],[Data de Início]]))</f>
        <v>3</v>
      </c>
      <c r="BC850" s="270"/>
    </row>
    <row r="851" spans="2:55" ht="15" customHeight="1" x14ac:dyDescent="0.25">
      <c r="B851" s="489">
        <v>46084.406944444447</v>
      </c>
      <c r="C851" s="490">
        <v>46085.3125</v>
      </c>
      <c r="D851" s="477" cm="1">
        <f t="array" ref="D851">IFERROR(HorasUteisFabrica2Turnos(B851,C851), "")</f>
        <v>6.7333333333954215</v>
      </c>
      <c r="E851" s="478">
        <f t="shared" si="13"/>
        <v>693.86138613221578</v>
      </c>
      <c r="F851" s="479" t="s">
        <v>377</v>
      </c>
      <c r="G851" s="266" t="s">
        <v>1436</v>
      </c>
      <c r="H851" s="479"/>
      <c r="I851" s="480" t="s">
        <v>1440</v>
      </c>
      <c r="J851" s="481" t="s">
        <v>15</v>
      </c>
      <c r="K851" s="536">
        <v>4672</v>
      </c>
      <c r="L851" s="495" t="s">
        <v>1437</v>
      </c>
      <c r="M851" s="511" t="str">
        <f>IFERROR(INDEX([1]Produtos!$C:$C,MATCH(L851,[1]Produtos!$B:$B,0)), "-")</f>
        <v>FIXADOR FIX MATTE 120ml</v>
      </c>
      <c r="N851" s="511">
        <f>IFERROR(INDEX([1]Produtos!$E:$E,MATCH(L851,[1]Produtos!$B:$B,0)), "-")</f>
        <v>120</v>
      </c>
      <c r="O851" s="483" t="str">
        <f>IFERROR(INDEX([1]Produtos!$F:$F,MATCH(L851,[1]Produtos!$B:$B,0)), "-")</f>
        <v>ml</v>
      </c>
      <c r="P851" s="483" t="str">
        <f>IFERROR(INDEX([1]Produtos!$G:$G,MATCH(L851,[1]Produtos!$B:$B,0)), "-")</f>
        <v>MISS RÔSE</v>
      </c>
      <c r="Q851" s="483" t="str">
        <f>IFERROR(INDEX([1]Produtos!$H:$H,MATCH(L851,[1]Produtos!$B:$B,0)), "-")</f>
        <v>MAQUIAGEM</v>
      </c>
      <c r="R851" s="483" t="str">
        <f>IFERROR(INDEX([1]Produtos!$I:$I,MATCH(L851,[1]Produtos!$B:$B,0)), "-")</f>
        <v>FIXADOR</v>
      </c>
      <c r="S851" s="483" t="str">
        <f>IFERROR(INDEX([1]Produtos!$J:$J,MATCH(L851,[1]Produtos!$B:$B,0)), "-")</f>
        <v>LÍQUIDO</v>
      </c>
      <c r="T851" s="484"/>
      <c r="U851" s="270"/>
      <c r="V851" s="270"/>
      <c r="W851" s="270"/>
      <c r="X851" s="270"/>
      <c r="Y851" s="270"/>
      <c r="Z851" s="270"/>
      <c r="AA851" s="270"/>
      <c r="AB851" s="270"/>
      <c r="AC851" s="270"/>
      <c r="AD851" s="270"/>
      <c r="AE851" s="270"/>
      <c r="AF851" s="270"/>
      <c r="AG851" s="270"/>
      <c r="AH851" s="270"/>
      <c r="AI851" s="270"/>
      <c r="AJ851" s="270"/>
      <c r="AK851" s="270"/>
      <c r="AL851" s="270"/>
      <c r="AM851" s="663"/>
      <c r="AN851" s="663"/>
      <c r="AO851" s="708" t="str">
        <f>IF(OR(Table1[[#This Row],[Início Setup Envase]]="",Table1[[#This Row],[Final Setup Envase]]=""),"",Table1[[#This Row],[Final Setup Envase]]-Table1[[#This Row],[Início Setup Envase]])</f>
        <v/>
      </c>
      <c r="AP851" s="663"/>
      <c r="AQ851" s="663"/>
      <c r="AR851" s="270"/>
      <c r="AS851" s="270"/>
      <c r="AT851" s="270"/>
      <c r="AU851" s="270"/>
      <c r="AV851" s="270"/>
      <c r="AW851" s="270"/>
      <c r="AX851" s="270"/>
      <c r="AY851" s="270"/>
      <c r="AZ851" s="270"/>
      <c r="BA851" s="270">
        <f>IF(Table1[[#This Row],[Data de Início]]="","",YEAR(Table1[[#This Row],[Data de Início]]))</f>
        <v>2026</v>
      </c>
      <c r="BB851" s="270">
        <f>IF(Table1[[#This Row],[Data de Início]]="","",MONTH(Table1[[#This Row],[Data de Início]]))</f>
        <v>3</v>
      </c>
      <c r="BC851" s="270"/>
    </row>
    <row r="852" spans="2:55" x14ac:dyDescent="0.25">
      <c r="B852" s="470">
        <v>46084.449305555558</v>
      </c>
      <c r="C852" s="263">
        <v>46085.599305555559</v>
      </c>
      <c r="D852" s="264" cm="1">
        <f t="array" ref="D852">IFERROR(HorasUteisFabrica2Turnos(B852,C852), "")</f>
        <v>11.60000000015134</v>
      </c>
      <c r="E852" s="265">
        <f t="shared" si="13"/>
        <v>408.27586206363895</v>
      </c>
      <c r="F852" s="266" t="s">
        <v>377</v>
      </c>
      <c r="G852" s="266" t="s">
        <v>1436</v>
      </c>
      <c r="H852" s="266"/>
      <c r="I852" s="480" t="s">
        <v>1465</v>
      </c>
      <c r="J852" s="267" t="s">
        <v>15</v>
      </c>
      <c r="K852" s="268">
        <v>4736</v>
      </c>
      <c r="L852" s="269" t="s">
        <v>1437</v>
      </c>
      <c r="M852" s="510" t="str">
        <f>IFERROR(INDEX([1]Produtos!$C:$C,MATCH(L852,[1]Produtos!$B:$B,0)), "-")</f>
        <v>FIXADOR FIX MATTE 120ml</v>
      </c>
      <c r="N852" s="510">
        <f>IFERROR(INDEX([1]Produtos!$E:$E,MATCH(L852,[1]Produtos!$B:$B,0)), "-")</f>
        <v>120</v>
      </c>
      <c r="O852" s="270" t="str">
        <f>IFERROR(INDEX([1]Produtos!$F:$F,MATCH(L852,[1]Produtos!$B:$B,0)), "-")</f>
        <v>ml</v>
      </c>
      <c r="P852" s="270" t="str">
        <f>IFERROR(INDEX([1]Produtos!$G:$G,MATCH(L852,[1]Produtos!$B:$B,0)), "-")</f>
        <v>MISS RÔSE</v>
      </c>
      <c r="Q852" s="270" t="str">
        <f>IFERROR(INDEX([1]Produtos!$H:$H,MATCH(L852,[1]Produtos!$B:$B,0)), "-")</f>
        <v>MAQUIAGEM</v>
      </c>
      <c r="R852" s="270" t="str">
        <f>IFERROR(INDEX([1]Produtos!$I:$I,MATCH(L852,[1]Produtos!$B:$B,0)), "-")</f>
        <v>FIXADOR</v>
      </c>
      <c r="S852" s="270" t="str">
        <f>IFERROR(INDEX([1]Produtos!$J:$J,MATCH(L852,[1]Produtos!$B:$B,0)), "-")</f>
        <v>LÍQUIDO</v>
      </c>
      <c r="T852" s="475"/>
      <c r="U852" s="270"/>
      <c r="V852" s="270"/>
      <c r="W852" s="270"/>
      <c r="X852" s="270"/>
      <c r="Y852" s="270"/>
      <c r="Z852" s="270"/>
      <c r="AA852" s="270"/>
      <c r="AB852" s="270"/>
      <c r="AC852" s="270"/>
      <c r="AD852" s="270"/>
      <c r="AE852" s="270"/>
      <c r="AF852" s="270"/>
      <c r="AG852" s="270"/>
      <c r="AH852" s="270"/>
      <c r="AI852" s="270"/>
      <c r="AJ852" s="270"/>
      <c r="AK852" s="270"/>
      <c r="AL852" s="270"/>
      <c r="AM852" s="663"/>
      <c r="AN852" s="663"/>
      <c r="AO852" s="708" t="str">
        <f>IF(OR(Table1[[#This Row],[Início Setup Envase]]="",Table1[[#This Row],[Final Setup Envase]]=""),"",Table1[[#This Row],[Final Setup Envase]]-Table1[[#This Row],[Início Setup Envase]])</f>
        <v/>
      </c>
      <c r="AP852" s="663"/>
      <c r="AQ852" s="663"/>
      <c r="AR852" s="270"/>
      <c r="AS852" s="270"/>
      <c r="AT852" s="270"/>
      <c r="AU852" s="270"/>
      <c r="AV852" s="270"/>
      <c r="AW852" s="270"/>
      <c r="AX852" s="270"/>
      <c r="AY852" s="270"/>
      <c r="AZ852" s="270"/>
      <c r="BA852" s="270">
        <f>IF(Table1[[#This Row],[Data de Início]]="","",YEAR(Table1[[#This Row],[Data de Início]]))</f>
        <v>2026</v>
      </c>
      <c r="BB852" s="270">
        <f>IF(Table1[[#This Row],[Data de Início]]="","",MONTH(Table1[[#This Row],[Data de Início]]))</f>
        <v>3</v>
      </c>
      <c r="BC852" s="270"/>
    </row>
    <row r="853" spans="2:55" x14ac:dyDescent="0.25">
      <c r="B853" s="470">
        <v>46085.3125</v>
      </c>
      <c r="C853" s="263">
        <v>46085.598611111112</v>
      </c>
      <c r="D853" s="264" cm="1">
        <f t="array" ref="D853">IFERROR(HorasUteisFabrica2Turnos(B853,C853), "")</f>
        <v>5.8666666666977108</v>
      </c>
      <c r="E853" s="265">
        <f t="shared" si="13"/>
        <v>777.27272726861429</v>
      </c>
      <c r="F853" s="266" t="s">
        <v>377</v>
      </c>
      <c r="G853" s="266" t="s">
        <v>1436</v>
      </c>
      <c r="H853" s="266"/>
      <c r="I853" s="480" t="s">
        <v>1439</v>
      </c>
      <c r="J853" s="267" t="s">
        <v>15</v>
      </c>
      <c r="K853" s="268">
        <v>4560</v>
      </c>
      <c r="L853" s="269" t="s">
        <v>1437</v>
      </c>
      <c r="M853" s="510" t="str">
        <f>IFERROR(INDEX([1]Produtos!$C:$C,MATCH(L853,[1]Produtos!$B:$B,0)), "-")</f>
        <v>FIXADOR FIX MATTE 120ml</v>
      </c>
      <c r="N853" s="510">
        <f>IFERROR(INDEX([1]Produtos!$E:$E,MATCH(L853,[1]Produtos!$B:$B,0)), "-")</f>
        <v>120</v>
      </c>
      <c r="O853" s="270" t="str">
        <f>IFERROR(INDEX([1]Produtos!$F:$F,MATCH(L853,[1]Produtos!$B:$B,0)), "-")</f>
        <v>ml</v>
      </c>
      <c r="P853" s="270" t="str">
        <f>IFERROR(INDEX([1]Produtos!$G:$G,MATCH(L853,[1]Produtos!$B:$B,0)), "-")</f>
        <v>MISS RÔSE</v>
      </c>
      <c r="Q853" s="270" t="str">
        <f>IFERROR(INDEX([1]Produtos!$H:$H,MATCH(L853,[1]Produtos!$B:$B,0)), "-")</f>
        <v>MAQUIAGEM</v>
      </c>
      <c r="R853" s="270" t="str">
        <f>IFERROR(INDEX([1]Produtos!$I:$I,MATCH(L853,[1]Produtos!$B:$B,0)), "-")</f>
        <v>FIXADOR</v>
      </c>
      <c r="S853" s="270" t="str">
        <f>IFERROR(INDEX([1]Produtos!$J:$J,MATCH(L853,[1]Produtos!$B:$B,0)), "-")</f>
        <v>LÍQUIDO</v>
      </c>
      <c r="T853" s="475"/>
      <c r="U853" s="270"/>
      <c r="V853" s="270"/>
      <c r="W853" s="270"/>
      <c r="X853" s="270"/>
      <c r="Y853" s="270"/>
      <c r="Z853" s="270"/>
      <c r="AA853" s="270"/>
      <c r="AB853" s="270"/>
      <c r="AC853" s="270"/>
      <c r="AD853" s="270"/>
      <c r="AE853" s="270"/>
      <c r="AF853" s="270"/>
      <c r="AG853" s="270"/>
      <c r="AH853" s="270"/>
      <c r="AI853" s="270"/>
      <c r="AJ853" s="270"/>
      <c r="AK853" s="270"/>
      <c r="AL853" s="270"/>
      <c r="AM853" s="663"/>
      <c r="AN853" s="663"/>
      <c r="AO853" s="708" t="str">
        <f>IF(OR(Table1[[#This Row],[Início Setup Envase]]="",Table1[[#This Row],[Final Setup Envase]]=""),"",Table1[[#This Row],[Final Setup Envase]]-Table1[[#This Row],[Início Setup Envase]])</f>
        <v/>
      </c>
      <c r="AP853" s="663"/>
      <c r="AQ853" s="663"/>
      <c r="AR853" s="270"/>
      <c r="AS853" s="270"/>
      <c r="AT853" s="270"/>
      <c r="AU853" s="270"/>
      <c r="AV853" s="270"/>
      <c r="AW853" s="270"/>
      <c r="AX853" s="270"/>
      <c r="AY853" s="270"/>
      <c r="AZ853" s="270"/>
      <c r="BA853" s="270">
        <f>IF(Table1[[#This Row],[Data de Início]]="","",YEAR(Table1[[#This Row],[Data de Início]]))</f>
        <v>2026</v>
      </c>
      <c r="BB853" s="270">
        <f>IF(Table1[[#This Row],[Data de Início]]="","",MONTH(Table1[[#This Row],[Data de Início]]))</f>
        <v>3</v>
      </c>
      <c r="BC853" s="270"/>
    </row>
    <row r="854" spans="2:55" x14ac:dyDescent="0.25">
      <c r="B854" s="470">
        <v>46085.625</v>
      </c>
      <c r="C854" s="263">
        <v>46086.655555555553</v>
      </c>
      <c r="D854" s="264" cm="1">
        <f t="array" ref="D854">IFERROR(HorasUteisFabrica2Turnos(B854,C854), "")</f>
        <v>9.7333333333954215</v>
      </c>
      <c r="E854" s="265">
        <f t="shared" si="13"/>
        <v>22.602739725883215</v>
      </c>
      <c r="F854" s="266" t="s">
        <v>378</v>
      </c>
      <c r="G854" s="266" t="s">
        <v>1470</v>
      </c>
      <c r="H854" s="266"/>
      <c r="I854" s="480" t="s">
        <v>1471</v>
      </c>
      <c r="J854" s="267" t="s">
        <v>15</v>
      </c>
      <c r="K854" s="268">
        <v>220</v>
      </c>
      <c r="L854" s="269" t="s">
        <v>1472</v>
      </c>
      <c r="M854" s="510" t="str">
        <f>IFERROR(INDEX([1]Produtos!$C:$C,MATCH(L854,[1]Produtos!$B:$B,0)), "-")</f>
        <v>HIDRATANTE BISNAGA LUX AMBER 200g</v>
      </c>
      <c r="N854" s="510">
        <f>IFERROR(INDEX([1]Produtos!$E:$E,MATCH(L854,[1]Produtos!$B:$B,0)), "-")</f>
        <v>200</v>
      </c>
      <c r="O854" s="270" t="str">
        <f>IFERROR(INDEX([1]Produtos!$F:$F,MATCH(L854,[1]Produtos!$B:$B,0)), "-")</f>
        <v>g</v>
      </c>
      <c r="P854" s="270" t="str">
        <f>IFERROR(INDEX([1]Produtos!$G:$G,MATCH(L854,[1]Produtos!$B:$B,0)), "-")</f>
        <v>HABIBI PERFUMES</v>
      </c>
      <c r="Q854" s="270" t="str">
        <f>IFERROR(INDEX([1]Produtos!$H:$H,MATCH(L854,[1]Produtos!$B:$B,0)), "-")</f>
        <v>CORPORAL</v>
      </c>
      <c r="R854" s="270" t="str">
        <f>IFERROR(INDEX([1]Produtos!$I:$I,MATCH(L854,[1]Produtos!$B:$B,0)), "-")</f>
        <v>CREME HIDRATANTE</v>
      </c>
      <c r="S854" s="270" t="str">
        <f>IFERROR(INDEX([1]Produtos!$J:$J,MATCH(L854,[1]Produtos!$B:$B,0)), "-")</f>
        <v>CREMOSO</v>
      </c>
      <c r="T854" s="475" t="s">
        <v>1485</v>
      </c>
      <c r="U854" s="270"/>
      <c r="V854" s="270"/>
      <c r="W854" s="270"/>
      <c r="X854" s="270"/>
      <c r="Y854" s="270"/>
      <c r="Z854" s="270"/>
      <c r="AA854" s="270"/>
      <c r="AB854" s="270"/>
      <c r="AC854" s="270"/>
      <c r="AD854" s="270"/>
      <c r="AE854" s="270"/>
      <c r="AF854" s="270"/>
      <c r="AG854" s="270"/>
      <c r="AH854" s="270"/>
      <c r="AI854" s="270"/>
      <c r="AJ854" s="270"/>
      <c r="AK854" s="270"/>
      <c r="AL854" s="270"/>
      <c r="AM854" s="663"/>
      <c r="AN854" s="663"/>
      <c r="AO854" s="708" t="str">
        <f>IF(OR(Table1[[#This Row],[Início Setup Envase]]="",Table1[[#This Row],[Final Setup Envase]]=""),"",Table1[[#This Row],[Final Setup Envase]]-Table1[[#This Row],[Início Setup Envase]])</f>
        <v/>
      </c>
      <c r="AP854" s="663"/>
      <c r="AQ854" s="663"/>
      <c r="AR854" s="270"/>
      <c r="AS854" s="270"/>
      <c r="AT854" s="270"/>
      <c r="AU854" s="270"/>
      <c r="AV854" s="270"/>
      <c r="AW854" s="270"/>
      <c r="AX854" s="270"/>
      <c r="AY854" s="270"/>
      <c r="AZ854" s="270"/>
      <c r="BA854" s="270">
        <f>IF(Table1[[#This Row],[Data de Início]]="","",YEAR(Table1[[#This Row],[Data de Início]]))</f>
        <v>2026</v>
      </c>
      <c r="BB854" s="270">
        <f>IF(Table1[[#This Row],[Data de Início]]="","",MONTH(Table1[[#This Row],[Data de Início]]))</f>
        <v>3</v>
      </c>
      <c r="BC854" s="270"/>
    </row>
    <row r="855" spans="2:55" x14ac:dyDescent="0.25">
      <c r="B855" s="470">
        <v>46085.645833333336</v>
      </c>
      <c r="C855" s="263">
        <v>46085.673611111109</v>
      </c>
      <c r="D855" s="264" cm="1">
        <f t="array" ref="D855">IFERROR(HorasUteisFabrica2Turnos(B855,C855), "")</f>
        <v>0.6666666665696539</v>
      </c>
      <c r="E855" s="265">
        <f t="shared" si="13"/>
        <v>235.50000003426976</v>
      </c>
      <c r="F855" s="266" t="s">
        <v>378</v>
      </c>
      <c r="G855" s="266" t="s">
        <v>1470</v>
      </c>
      <c r="H855" s="266"/>
      <c r="I855" s="480" t="s">
        <v>1473</v>
      </c>
      <c r="J855" s="267" t="s">
        <v>15</v>
      </c>
      <c r="K855" s="268">
        <v>157</v>
      </c>
      <c r="L855" s="269" t="s">
        <v>1474</v>
      </c>
      <c r="M855" s="510" t="str">
        <f>IFERROR(INDEX([1]Produtos!$C:$C,MATCH(L855,[1]Produtos!$B:$B,0)), "-")</f>
        <v>HIDRATANTE BISNAGA CELESTIA 200g</v>
      </c>
      <c r="N855" s="510">
        <f>IFERROR(INDEX([1]Produtos!$E:$E,MATCH(L855,[1]Produtos!$B:$B,0)), "-")</f>
        <v>200</v>
      </c>
      <c r="O855" s="270" t="str">
        <f>IFERROR(INDEX([1]Produtos!$F:$F,MATCH(L855,[1]Produtos!$B:$B,0)), "-")</f>
        <v>g</v>
      </c>
      <c r="P855" s="270" t="str">
        <f>IFERROR(INDEX([1]Produtos!$G:$G,MATCH(L855,[1]Produtos!$B:$B,0)), "-")</f>
        <v>HABIBI PERFUMES</v>
      </c>
      <c r="Q855" s="270" t="str">
        <f>IFERROR(INDEX([1]Produtos!$H:$H,MATCH(L855,[1]Produtos!$B:$B,0)), "-")</f>
        <v>CORPORAL</v>
      </c>
      <c r="R855" s="270" t="str">
        <f>IFERROR(INDEX([1]Produtos!$I:$I,MATCH(L855,[1]Produtos!$B:$B,0)), "-")</f>
        <v>CREME HIDRATANTE</v>
      </c>
      <c r="S855" s="270" t="str">
        <f>IFERROR(INDEX([1]Produtos!$J:$J,MATCH(L855,[1]Produtos!$B:$B,0)), "-")</f>
        <v>CREMOSO</v>
      </c>
      <c r="T855" s="475" t="s">
        <v>1485</v>
      </c>
      <c r="U855" s="270"/>
      <c r="V855" s="270"/>
      <c r="W855" s="270"/>
      <c r="X855" s="270"/>
      <c r="Y855" s="270"/>
      <c r="Z855" s="270"/>
      <c r="AA855" s="270"/>
      <c r="AB855" s="270"/>
      <c r="AC855" s="270"/>
      <c r="AD855" s="270"/>
      <c r="AE855" s="270"/>
      <c r="AF855" s="270"/>
      <c r="AG855" s="270"/>
      <c r="AH855" s="270"/>
      <c r="AI855" s="270"/>
      <c r="AJ855" s="270"/>
      <c r="AK855" s="270"/>
      <c r="AL855" s="270"/>
      <c r="AM855" s="663"/>
      <c r="AN855" s="663"/>
      <c r="AO855" s="708" t="str">
        <f>IF(OR(Table1[[#This Row],[Início Setup Envase]]="",Table1[[#This Row],[Final Setup Envase]]=""),"",Table1[[#This Row],[Final Setup Envase]]-Table1[[#This Row],[Início Setup Envase]])</f>
        <v/>
      </c>
      <c r="AP855" s="663"/>
      <c r="AQ855" s="663"/>
      <c r="AR855" s="270"/>
      <c r="AS855" s="270"/>
      <c r="AT855" s="270"/>
      <c r="AU855" s="270"/>
      <c r="AV855" s="270"/>
      <c r="AW855" s="270"/>
      <c r="AX855" s="270"/>
      <c r="AY855" s="270"/>
      <c r="AZ855" s="270"/>
      <c r="BA855" s="270">
        <f>IF(Table1[[#This Row],[Data de Início]]="","",YEAR(Table1[[#This Row],[Data de Início]]))</f>
        <v>2026</v>
      </c>
      <c r="BB855" s="270">
        <f>IF(Table1[[#This Row],[Data de Início]]="","",MONTH(Table1[[#This Row],[Data de Início]]))</f>
        <v>3</v>
      </c>
      <c r="BC855" s="270"/>
    </row>
    <row r="856" spans="2:55" x14ac:dyDescent="0.25">
      <c r="B856" s="470">
        <v>46086.375</v>
      </c>
      <c r="C856" s="263">
        <v>46086.430555555555</v>
      </c>
      <c r="D856" s="264" cm="1">
        <f t="array" ref="D856">IFERROR(HorasUteisFabrica2Turnos(B856,C856), "")</f>
        <v>1.3333333333139308</v>
      </c>
      <c r="E856" s="265">
        <f t="shared" si="13"/>
        <v>104.25000000151704</v>
      </c>
      <c r="F856" s="266" t="s">
        <v>378</v>
      </c>
      <c r="G856" s="266" t="s">
        <v>1470</v>
      </c>
      <c r="H856" s="266"/>
      <c r="I856" s="480" t="s">
        <v>1475</v>
      </c>
      <c r="J856" s="267" t="s">
        <v>15</v>
      </c>
      <c r="K856" s="268">
        <v>139</v>
      </c>
      <c r="L856" s="269" t="s">
        <v>1476</v>
      </c>
      <c r="M856" s="510" t="str">
        <f>IFERROR(INDEX([1]Produtos!$C:$C,MATCH(L856,[1]Produtos!$B:$B,0)), "-")</f>
        <v>HIDRATANTE BISNAGA IMPERIUM 200g</v>
      </c>
      <c r="N856" s="510">
        <f>IFERROR(INDEX([1]Produtos!$E:$E,MATCH(L856,[1]Produtos!$B:$B,0)), "-")</f>
        <v>200</v>
      </c>
      <c r="O856" s="270" t="str">
        <f>IFERROR(INDEX([1]Produtos!$F:$F,MATCH(L856,[1]Produtos!$B:$B,0)), "-")</f>
        <v>g</v>
      </c>
      <c r="P856" s="270" t="str">
        <f>IFERROR(INDEX([1]Produtos!$G:$G,MATCH(L856,[1]Produtos!$B:$B,0)), "-")</f>
        <v>HABIBI PERFUMES</v>
      </c>
      <c r="Q856" s="270" t="str">
        <f>IFERROR(INDEX([1]Produtos!$H:$H,MATCH(L856,[1]Produtos!$B:$B,0)), "-")</f>
        <v>CORPORAL</v>
      </c>
      <c r="R856" s="270" t="str">
        <f>IFERROR(INDEX([1]Produtos!$I:$I,MATCH(L856,[1]Produtos!$B:$B,0)), "-")</f>
        <v>CREME HIDRATANTE</v>
      </c>
      <c r="S856" s="270" t="str">
        <f>IFERROR(INDEX([1]Produtos!$J:$J,MATCH(L856,[1]Produtos!$B:$B,0)), "-")</f>
        <v>CREMOSO</v>
      </c>
      <c r="T856" s="475" t="s">
        <v>1485</v>
      </c>
      <c r="U856" s="270"/>
      <c r="V856" s="270"/>
      <c r="W856" s="270"/>
      <c r="X856" s="270"/>
      <c r="Y856" s="270"/>
      <c r="Z856" s="270"/>
      <c r="AA856" s="270"/>
      <c r="AB856" s="270"/>
      <c r="AC856" s="270"/>
      <c r="AD856" s="270"/>
      <c r="AE856" s="270"/>
      <c r="AF856" s="270"/>
      <c r="AG856" s="270"/>
      <c r="AH856" s="270"/>
      <c r="AI856" s="270"/>
      <c r="AJ856" s="270"/>
      <c r="AK856" s="270"/>
      <c r="AL856" s="270"/>
      <c r="AM856" s="663"/>
      <c r="AN856" s="663"/>
      <c r="AO856" s="708" t="str">
        <f>IF(OR(Table1[[#This Row],[Início Setup Envase]]="",Table1[[#This Row],[Final Setup Envase]]=""),"",Table1[[#This Row],[Final Setup Envase]]-Table1[[#This Row],[Início Setup Envase]])</f>
        <v/>
      </c>
      <c r="AP856" s="663"/>
      <c r="AQ856" s="663"/>
      <c r="AR856" s="270"/>
      <c r="AS856" s="270"/>
      <c r="AT856" s="270"/>
      <c r="AU856" s="270"/>
      <c r="AV856" s="270"/>
      <c r="AW856" s="270"/>
      <c r="AX856" s="270"/>
      <c r="AY856" s="270"/>
      <c r="AZ856" s="270"/>
      <c r="BA856" s="270">
        <f>IF(Table1[[#This Row],[Data de Início]]="","",YEAR(Table1[[#This Row],[Data de Início]]))</f>
        <v>2026</v>
      </c>
      <c r="BB856" s="270">
        <f>IF(Table1[[#This Row],[Data de Início]]="","",MONTH(Table1[[#This Row],[Data de Início]]))</f>
        <v>3</v>
      </c>
      <c r="BC856" s="270"/>
    </row>
    <row r="857" spans="2:55" x14ac:dyDescent="0.25">
      <c r="B857" s="470">
        <v>46086.4375</v>
      </c>
      <c r="C857" s="263">
        <v>46086.46875</v>
      </c>
      <c r="D857" s="264" cm="1">
        <f t="array" ref="D857">IFERROR(HorasUteisFabrica2Turnos(B857,C857), "")</f>
        <v>0.75</v>
      </c>
      <c r="E857" s="265">
        <f t="shared" si="13"/>
        <v>173.33333333333334</v>
      </c>
      <c r="F857" s="266" t="s">
        <v>378</v>
      </c>
      <c r="G857" s="266" t="s">
        <v>1470</v>
      </c>
      <c r="H857" s="266"/>
      <c r="I857" s="269" t="s">
        <v>1486</v>
      </c>
      <c r="J857" s="267" t="s">
        <v>15</v>
      </c>
      <c r="K857" s="268">
        <v>130</v>
      </c>
      <c r="L857" s="269" t="s">
        <v>1487</v>
      </c>
      <c r="M857" s="510" t="str">
        <f>IFERROR(INDEX([1]Produtos!$C:$C,MATCH(L857,[1]Produtos!$B:$B,0)), "-")</f>
        <v>HIDRATANTE BISNAGA IMPERIUM BOURBON 200g</v>
      </c>
      <c r="N857" s="510">
        <f>IFERROR(INDEX([1]Produtos!$E:$E,MATCH(L857,[1]Produtos!$B:$B,0)), "-")</f>
        <v>200</v>
      </c>
      <c r="O857" s="270" t="str">
        <f>IFERROR(INDEX([1]Produtos!$F:$F,MATCH(L857,[1]Produtos!$B:$B,0)), "-")</f>
        <v>g</v>
      </c>
      <c r="P857" s="270" t="str">
        <f>IFERROR(INDEX([1]Produtos!$G:$G,MATCH(L857,[1]Produtos!$B:$B,0)), "-")</f>
        <v>HABIBI PERFUMES</v>
      </c>
      <c r="Q857" s="270" t="str">
        <f>IFERROR(INDEX([1]Produtos!$H:$H,MATCH(L857,[1]Produtos!$B:$B,0)), "-")</f>
        <v>CORPORAL</v>
      </c>
      <c r="R857" s="270" t="str">
        <f>IFERROR(INDEX([1]Produtos!$I:$I,MATCH(L857,[1]Produtos!$B:$B,0)), "-")</f>
        <v>CREME HIDRATANTE</v>
      </c>
      <c r="S857" s="270" t="str">
        <f>IFERROR(INDEX([1]Produtos!$J:$J,MATCH(L857,[1]Produtos!$B:$B,0)), "-")</f>
        <v>CREMOSO</v>
      </c>
      <c r="T857" s="475" t="s">
        <v>1485</v>
      </c>
      <c r="U857" s="270"/>
      <c r="V857" s="270"/>
      <c r="W857" s="270"/>
      <c r="X857" s="270"/>
      <c r="Y857" s="270"/>
      <c r="Z857" s="270"/>
      <c r="AA857" s="270"/>
      <c r="AB857" s="270"/>
      <c r="AC857" s="270"/>
      <c r="AD857" s="270"/>
      <c r="AE857" s="270"/>
      <c r="AF857" s="270"/>
      <c r="AG857" s="270"/>
      <c r="AH857" s="270"/>
      <c r="AI857" s="270"/>
      <c r="AJ857" s="270"/>
      <c r="AK857" s="270"/>
      <c r="AL857" s="270"/>
      <c r="AM857" s="663"/>
      <c r="AN857" s="663"/>
      <c r="AO857" s="708" t="str">
        <f>IF(OR(Table1[[#This Row],[Início Setup Envase]]="",Table1[[#This Row],[Final Setup Envase]]=""),"",Table1[[#This Row],[Final Setup Envase]]-Table1[[#This Row],[Início Setup Envase]])</f>
        <v/>
      </c>
      <c r="AP857" s="663"/>
      <c r="AQ857" s="663"/>
      <c r="AR857" s="270"/>
      <c r="AS857" s="270"/>
      <c r="AT857" s="270"/>
      <c r="AU857" s="270"/>
      <c r="AV857" s="270"/>
      <c r="AW857" s="270"/>
      <c r="AX857" s="270"/>
      <c r="AY857" s="270"/>
      <c r="AZ857" s="270"/>
      <c r="BA857" s="270">
        <f>IF(Table1[[#This Row],[Data de Início]]="","",YEAR(Table1[[#This Row],[Data de Início]]))</f>
        <v>2026</v>
      </c>
      <c r="BB857" s="270">
        <f>IF(Table1[[#This Row],[Data de Início]]="","",MONTH(Table1[[#This Row],[Data de Início]]))</f>
        <v>3</v>
      </c>
      <c r="BC857" s="270"/>
    </row>
    <row r="858" spans="2:55" x14ac:dyDescent="0.25">
      <c r="B858" s="470">
        <v>46086.455555555556</v>
      </c>
      <c r="C858" s="263">
        <v>46087.347222222219</v>
      </c>
      <c r="D858" s="264" cm="1">
        <f t="array" ref="D858">IFERROR(HorasUteisFabrica2Turnos(B858,C858), "")</f>
        <v>6.4000000000232831</v>
      </c>
      <c r="E858" s="265">
        <f t="shared" si="13"/>
        <v>754.99999999725333</v>
      </c>
      <c r="F858" s="266" t="s">
        <v>377</v>
      </c>
      <c r="G858" s="266" t="s">
        <v>1436</v>
      </c>
      <c r="H858" s="266"/>
      <c r="I858" s="269" t="s">
        <v>1459</v>
      </c>
      <c r="J858" s="267" t="s">
        <v>15</v>
      </c>
      <c r="K858" s="268">
        <v>4832</v>
      </c>
      <c r="L858" s="269" t="s">
        <v>1437</v>
      </c>
      <c r="M858" s="510" t="str">
        <f>IFERROR(INDEX([1]Produtos!$C:$C,MATCH(L858,[1]Produtos!$B:$B,0)), "-")</f>
        <v>FIXADOR FIX MATTE 120ml</v>
      </c>
      <c r="N858" s="510">
        <f>IFERROR(INDEX([1]Produtos!$E:$E,MATCH(L858,[1]Produtos!$B:$B,0)), "-")</f>
        <v>120</v>
      </c>
      <c r="O858" s="270" t="str">
        <f>IFERROR(INDEX([1]Produtos!$F:$F,MATCH(L858,[1]Produtos!$B:$B,0)), "-")</f>
        <v>ml</v>
      </c>
      <c r="P858" s="270" t="str">
        <f>IFERROR(INDEX([1]Produtos!$G:$G,MATCH(L858,[1]Produtos!$B:$B,0)), "-")</f>
        <v>MISS RÔSE</v>
      </c>
      <c r="Q858" s="270" t="str">
        <f>IFERROR(INDEX([1]Produtos!$H:$H,MATCH(L858,[1]Produtos!$B:$B,0)), "-")</f>
        <v>MAQUIAGEM</v>
      </c>
      <c r="R858" s="270" t="str">
        <f>IFERROR(INDEX([1]Produtos!$I:$I,MATCH(L858,[1]Produtos!$B:$B,0)), "-")</f>
        <v>FIXADOR</v>
      </c>
      <c r="S858" s="270" t="str">
        <f>IFERROR(INDEX([1]Produtos!$J:$J,MATCH(L858,[1]Produtos!$B:$B,0)), "-")</f>
        <v>LÍQUIDO</v>
      </c>
      <c r="T858" s="475"/>
      <c r="U858" s="270"/>
      <c r="V858" s="270"/>
      <c r="W858" s="270"/>
      <c r="X858" s="270"/>
      <c r="Y858" s="270"/>
      <c r="Z858" s="270"/>
      <c r="AA858" s="270"/>
      <c r="AB858" s="270"/>
      <c r="AC858" s="270"/>
      <c r="AD858" s="270"/>
      <c r="AE858" s="270"/>
      <c r="AF858" s="270"/>
      <c r="AG858" s="270"/>
      <c r="AH858" s="270"/>
      <c r="AI858" s="270"/>
      <c r="AJ858" s="270"/>
      <c r="AK858" s="270"/>
      <c r="AL858" s="270"/>
      <c r="AM858" s="663"/>
      <c r="AN858" s="663"/>
      <c r="AO858" s="708" t="str">
        <f>IF(OR(Table1[[#This Row],[Início Setup Envase]]="",Table1[[#This Row],[Final Setup Envase]]=""),"",Table1[[#This Row],[Final Setup Envase]]-Table1[[#This Row],[Início Setup Envase]])</f>
        <v/>
      </c>
      <c r="AP858" s="663"/>
      <c r="AQ858" s="663"/>
      <c r="AR858" s="270"/>
      <c r="AS858" s="270"/>
      <c r="AT858" s="270"/>
      <c r="AU858" s="270"/>
      <c r="AV858" s="270"/>
      <c r="AW858" s="270"/>
      <c r="AX858" s="270"/>
      <c r="AY858" s="270"/>
      <c r="AZ858" s="270"/>
      <c r="BA858" s="270">
        <f>IF(Table1[[#This Row],[Data de Início]]="","",YEAR(Table1[[#This Row],[Data de Início]]))</f>
        <v>2026</v>
      </c>
      <c r="BB858" s="270">
        <f>IF(Table1[[#This Row],[Data de Início]]="","",MONTH(Table1[[#This Row],[Data de Início]]))</f>
        <v>3</v>
      </c>
      <c r="BC858" s="270"/>
    </row>
    <row r="859" spans="2:55" x14ac:dyDescent="0.25">
      <c r="B859" s="470">
        <v>46086.618055555555</v>
      </c>
      <c r="C859" s="263">
        <v>46086.625</v>
      </c>
      <c r="D859" s="264" cm="1">
        <f t="array" ref="D859">IFERROR(HorasUteisFabrica2Turnos(B859,C859), "")</f>
        <v>0.16666666668606922</v>
      </c>
      <c r="E859" s="265">
        <f t="shared" si="13"/>
        <v>947.99999988963827</v>
      </c>
      <c r="F859" s="266" t="s">
        <v>378</v>
      </c>
      <c r="G859" s="266" t="s">
        <v>1470</v>
      </c>
      <c r="H859" s="266"/>
      <c r="I859" s="269" t="s">
        <v>1484</v>
      </c>
      <c r="J859" s="267" t="s">
        <v>15</v>
      </c>
      <c r="K859" s="268">
        <v>158</v>
      </c>
      <c r="L859" s="269" t="s">
        <v>1483</v>
      </c>
      <c r="M859" s="510" t="str">
        <f>IFERROR(INDEX([1]Produtos!$C:$C,MATCH(L859,[1]Produtos!$B:$B,0)), "-")</f>
        <v>HIDRATANTE BISNAGA ROSE AURORA 200g</v>
      </c>
      <c r="N859" s="510">
        <f>IFERROR(INDEX([1]Produtos!$E:$E,MATCH(L859,[1]Produtos!$B:$B,0)), "-")</f>
        <v>200</v>
      </c>
      <c r="O859" s="270" t="str">
        <f>IFERROR(INDEX([1]Produtos!$F:$F,MATCH(L859,[1]Produtos!$B:$B,0)), "-")</f>
        <v>g</v>
      </c>
      <c r="P859" s="270" t="str">
        <f>IFERROR(INDEX([1]Produtos!$G:$G,MATCH(L859,[1]Produtos!$B:$B,0)), "-")</f>
        <v>HABIBI PERFUMES</v>
      </c>
      <c r="Q859" s="270" t="str">
        <f>IFERROR(INDEX([1]Produtos!$H:$H,MATCH(L859,[1]Produtos!$B:$B,0)), "-")</f>
        <v>CORPORAL</v>
      </c>
      <c r="R859" s="270" t="str">
        <f>IFERROR(INDEX([1]Produtos!$I:$I,MATCH(L859,[1]Produtos!$B:$B,0)), "-")</f>
        <v>CREME HIDRATANTE</v>
      </c>
      <c r="S859" s="270" t="str">
        <f>IFERROR(INDEX([1]Produtos!$J:$J,MATCH(L859,[1]Produtos!$B:$B,0)), "-")</f>
        <v>CREMOSO</v>
      </c>
      <c r="T859" s="475" t="s">
        <v>1485</v>
      </c>
      <c r="U859" s="270"/>
      <c r="V859" s="270"/>
      <c r="W859" s="270"/>
      <c r="X859" s="270"/>
      <c r="Y859" s="270"/>
      <c r="Z859" s="270"/>
      <c r="AA859" s="270"/>
      <c r="AB859" s="270"/>
      <c r="AC859" s="270"/>
      <c r="AD859" s="270"/>
      <c r="AE859" s="270"/>
      <c r="AF859" s="270"/>
      <c r="AG859" s="270"/>
      <c r="AH859" s="270"/>
      <c r="AI859" s="270"/>
      <c r="AJ859" s="270"/>
      <c r="AK859" s="270"/>
      <c r="AL859" s="270"/>
      <c r="AM859" s="663"/>
      <c r="AN859" s="663"/>
      <c r="AO859" s="708" t="str">
        <f>IF(OR(Table1[[#This Row],[Início Setup Envase]]="",Table1[[#This Row],[Final Setup Envase]]=""),"",Table1[[#This Row],[Final Setup Envase]]-Table1[[#This Row],[Início Setup Envase]])</f>
        <v/>
      </c>
      <c r="AP859" s="663"/>
      <c r="AQ859" s="663"/>
      <c r="AR859" s="270"/>
      <c r="AS859" s="270"/>
      <c r="AT859" s="270"/>
      <c r="AU859" s="270"/>
      <c r="AV859" s="270"/>
      <c r="AW859" s="270"/>
      <c r="AX859" s="270"/>
      <c r="AY859" s="270"/>
      <c r="AZ859" s="270"/>
      <c r="BA859" s="270">
        <f>IF(Table1[[#This Row],[Data de Início]]="","",YEAR(Table1[[#This Row],[Data de Início]]))</f>
        <v>2026</v>
      </c>
      <c r="BB859" s="270">
        <f>IF(Table1[[#This Row],[Data de Início]]="","",MONTH(Table1[[#This Row],[Data de Início]]))</f>
        <v>3</v>
      </c>
      <c r="BC859" s="270"/>
    </row>
    <row r="860" spans="2:55" x14ac:dyDescent="0.25">
      <c r="B860" s="470">
        <v>46086.666666666664</v>
      </c>
      <c r="C860" s="263">
        <v>46086.690972222219</v>
      </c>
      <c r="D860" s="264" cm="1">
        <f t="array" ref="D860">IFERROR(HorasUteisFabrica2Turnos(B860,C860), "")</f>
        <v>0.58333333331393078</v>
      </c>
      <c r="E860" s="265">
        <f t="shared" si="13"/>
        <v>246.85714286535369</v>
      </c>
      <c r="F860" s="266" t="s">
        <v>378</v>
      </c>
      <c r="G860" s="266" t="s">
        <v>1470</v>
      </c>
      <c r="H860" s="266"/>
      <c r="I860" s="269" t="s">
        <v>1481</v>
      </c>
      <c r="J860" s="267" t="s">
        <v>15</v>
      </c>
      <c r="K860" s="268">
        <v>144</v>
      </c>
      <c r="L860" s="269" t="s">
        <v>1482</v>
      </c>
      <c r="M860" s="510" t="str">
        <f>IFERROR(INDEX([1]Produtos!$C:$C,MATCH(L860,[1]Produtos!$B:$B,0)), "-")</f>
        <v>HIDRATANTE BISNAGA ANGELUS 200g</v>
      </c>
      <c r="N860" s="510">
        <f>IFERROR(INDEX([1]Produtos!$E:$E,MATCH(L860,[1]Produtos!$B:$B,0)), "-")</f>
        <v>200</v>
      </c>
      <c r="O860" s="270" t="str">
        <f>IFERROR(INDEX([1]Produtos!$F:$F,MATCH(L860,[1]Produtos!$B:$B,0)), "-")</f>
        <v>g</v>
      </c>
      <c r="P860" s="270" t="str">
        <f>IFERROR(INDEX([1]Produtos!$G:$G,MATCH(L860,[1]Produtos!$B:$B,0)), "-")</f>
        <v>HABIBI PERFUMES</v>
      </c>
      <c r="Q860" s="270" t="str">
        <f>IFERROR(INDEX([1]Produtos!$H:$H,MATCH(L860,[1]Produtos!$B:$B,0)), "-")</f>
        <v>CORPORAL</v>
      </c>
      <c r="R860" s="270" t="str">
        <f>IFERROR(INDEX([1]Produtos!$I:$I,MATCH(L860,[1]Produtos!$B:$B,0)), "-")</f>
        <v>CREME HIDRATANTE</v>
      </c>
      <c r="S860" s="270" t="str">
        <f>IFERROR(INDEX([1]Produtos!$J:$J,MATCH(L860,[1]Produtos!$B:$B,0)), "-")</f>
        <v>CREMOSO</v>
      </c>
      <c r="T860" s="475" t="s">
        <v>1485</v>
      </c>
      <c r="U860" s="270"/>
      <c r="V860" s="270"/>
      <c r="W860" s="270"/>
      <c r="X860" s="270"/>
      <c r="Y860" s="270"/>
      <c r="Z860" s="270"/>
      <c r="AA860" s="270"/>
      <c r="AB860" s="270"/>
      <c r="AC860" s="270"/>
      <c r="AD860" s="270"/>
      <c r="AE860" s="270"/>
      <c r="AF860" s="270"/>
      <c r="AG860" s="270"/>
      <c r="AH860" s="270"/>
      <c r="AI860" s="270"/>
      <c r="AJ860" s="270"/>
      <c r="AK860" s="270"/>
      <c r="AL860" s="270"/>
      <c r="AM860" s="663"/>
      <c r="AN860" s="663"/>
      <c r="AO860" s="708" t="str">
        <f>IF(OR(Table1[[#This Row],[Início Setup Envase]]="",Table1[[#This Row],[Final Setup Envase]]=""),"",Table1[[#This Row],[Final Setup Envase]]-Table1[[#This Row],[Início Setup Envase]])</f>
        <v/>
      </c>
      <c r="AP860" s="663"/>
      <c r="AQ860" s="663"/>
      <c r="AR860" s="270"/>
      <c r="AS860" s="270"/>
      <c r="AT860" s="270"/>
      <c r="AU860" s="270"/>
      <c r="AV860" s="270"/>
      <c r="AW860" s="270"/>
      <c r="AX860" s="270"/>
      <c r="AY860" s="270"/>
      <c r="AZ860" s="270"/>
      <c r="BA860" s="270">
        <f>IF(Table1[[#This Row],[Data de Início]]="","",YEAR(Table1[[#This Row],[Data de Início]]))</f>
        <v>2026</v>
      </c>
      <c r="BB860" s="270">
        <f>IF(Table1[[#This Row],[Data de Início]]="","",MONTH(Table1[[#This Row],[Data de Início]]))</f>
        <v>3</v>
      </c>
      <c r="BC860" s="270"/>
    </row>
    <row r="861" spans="2:55" x14ac:dyDescent="0.25">
      <c r="B861" s="470">
        <v>46087.304166666669</v>
      </c>
      <c r="C861" s="263">
        <v>46087.319444444445</v>
      </c>
      <c r="D861" s="264" cm="1">
        <f t="array" ref="D861">IFERROR(HorasUteisFabrica2Turnos(B861,C861), "")</f>
        <v>0.36666666663950309</v>
      </c>
      <c r="E861" s="265">
        <f t="shared" si="13"/>
        <v>392.72727275636692</v>
      </c>
      <c r="F861" s="266" t="s">
        <v>378</v>
      </c>
      <c r="G861" s="266" t="s">
        <v>1470</v>
      </c>
      <c r="H861" s="266"/>
      <c r="I861" s="269" t="s">
        <v>1479</v>
      </c>
      <c r="J861" s="267" t="s">
        <v>15</v>
      </c>
      <c r="K861" s="268">
        <v>144</v>
      </c>
      <c r="L861" s="269" t="s">
        <v>1480</v>
      </c>
      <c r="M861" s="510" t="str">
        <f>IFERROR(INDEX([1]Produtos!$C:$C,MATCH(L861,[1]Produtos!$B:$B,0)), "-")</f>
        <v>HIDRATANTE BISNAGA DELICADA 200g</v>
      </c>
      <c r="N861" s="510">
        <f>IFERROR(INDEX([1]Produtos!$E:$E,MATCH(L861,[1]Produtos!$B:$B,0)), "-")</f>
        <v>200</v>
      </c>
      <c r="O861" s="270" t="str">
        <f>IFERROR(INDEX([1]Produtos!$F:$F,MATCH(L861,[1]Produtos!$B:$B,0)), "-")</f>
        <v>g</v>
      </c>
      <c r="P861" s="270" t="str">
        <f>IFERROR(INDEX([1]Produtos!$G:$G,MATCH(L861,[1]Produtos!$B:$B,0)), "-")</f>
        <v>HABIBI PERFUMES</v>
      </c>
      <c r="Q861" s="270" t="str">
        <f>IFERROR(INDEX([1]Produtos!$H:$H,MATCH(L861,[1]Produtos!$B:$B,0)), "-")</f>
        <v>CORPORAL</v>
      </c>
      <c r="R861" s="270" t="str">
        <f>IFERROR(INDEX([1]Produtos!$I:$I,MATCH(L861,[1]Produtos!$B:$B,0)), "-")</f>
        <v>CREME HIDRATANTE</v>
      </c>
      <c r="S861" s="270" t="str">
        <f>IFERROR(INDEX([1]Produtos!$J:$J,MATCH(L861,[1]Produtos!$B:$B,0)), "-")</f>
        <v>CREMOSO</v>
      </c>
      <c r="T861" s="475" t="s">
        <v>1485</v>
      </c>
      <c r="U861" s="270"/>
      <c r="V861" s="270"/>
      <c r="W861" s="270"/>
      <c r="X861" s="270"/>
      <c r="Y861" s="270"/>
      <c r="Z861" s="270"/>
      <c r="AA861" s="270"/>
      <c r="AB861" s="270"/>
      <c r="AC861" s="270"/>
      <c r="AD861" s="270"/>
      <c r="AE861" s="270"/>
      <c r="AF861" s="270"/>
      <c r="AG861" s="270"/>
      <c r="AH861" s="270"/>
      <c r="AI861" s="270"/>
      <c r="AJ861" s="270"/>
      <c r="AK861" s="270"/>
      <c r="AL861" s="270"/>
      <c r="AM861" s="663"/>
      <c r="AN861" s="663"/>
      <c r="AO861" s="708" t="str">
        <f>IF(OR(Table1[[#This Row],[Início Setup Envase]]="",Table1[[#This Row],[Final Setup Envase]]=""),"",Table1[[#This Row],[Final Setup Envase]]-Table1[[#This Row],[Início Setup Envase]])</f>
        <v/>
      </c>
      <c r="AP861" s="663"/>
      <c r="AQ861" s="663"/>
      <c r="AR861" s="270"/>
      <c r="AS861" s="270"/>
      <c r="AT861" s="270"/>
      <c r="AU861" s="270"/>
      <c r="AV861" s="270"/>
      <c r="AW861" s="270"/>
      <c r="AX861" s="270"/>
      <c r="AY861" s="270"/>
      <c r="AZ861" s="270"/>
      <c r="BA861" s="270">
        <f>IF(Table1[[#This Row],[Data de Início]]="","",YEAR(Table1[[#This Row],[Data de Início]]))</f>
        <v>2026</v>
      </c>
      <c r="BB861" s="270">
        <f>IF(Table1[[#This Row],[Data de Início]]="","",MONTH(Table1[[#This Row],[Data de Início]]))</f>
        <v>3</v>
      </c>
      <c r="BC861" s="270"/>
    </row>
    <row r="862" spans="2:55" x14ac:dyDescent="0.25">
      <c r="B862" s="470">
        <v>46087.347916666666</v>
      </c>
      <c r="C862" s="263">
        <v>46087.387499999997</v>
      </c>
      <c r="D862" s="264" cm="1">
        <f t="array" ref="D862">IFERROR(HorasUteisFabrica2Turnos(B862,C862), "")</f>
        <v>0.94999999995343387</v>
      </c>
      <c r="E862" s="265">
        <f t="shared" si="13"/>
        <v>158.94736842884376</v>
      </c>
      <c r="F862" s="266" t="s">
        <v>378</v>
      </c>
      <c r="G862" s="266" t="s">
        <v>1470</v>
      </c>
      <c r="H862" s="266"/>
      <c r="I862" s="269" t="s">
        <v>1477</v>
      </c>
      <c r="J862" s="267" t="s">
        <v>15</v>
      </c>
      <c r="K862" s="268">
        <v>151</v>
      </c>
      <c r="L862" s="269" t="s">
        <v>1478</v>
      </c>
      <c r="M862" s="510" t="str">
        <f>IFERROR(INDEX([1]Produtos!$C:$C,MATCH(L862,[1]Produtos!$B:$B,0)), "-")</f>
        <v>HIDRATANTE BISNAGA ROSA SUBLIME 200g</v>
      </c>
      <c r="N862" s="510">
        <f>IFERROR(INDEX([1]Produtos!$E:$E,MATCH(L862,[1]Produtos!$B:$B,0)), "-")</f>
        <v>200</v>
      </c>
      <c r="O862" s="270" t="str">
        <f>IFERROR(INDEX([1]Produtos!$F:$F,MATCH(L862,[1]Produtos!$B:$B,0)), "-")</f>
        <v>g</v>
      </c>
      <c r="P862" s="270" t="str">
        <f>IFERROR(INDEX([1]Produtos!$G:$G,MATCH(L862,[1]Produtos!$B:$B,0)), "-")</f>
        <v>HABIBI PERFUMES</v>
      </c>
      <c r="Q862" s="270" t="str">
        <f>IFERROR(INDEX([1]Produtos!$H:$H,MATCH(L862,[1]Produtos!$B:$B,0)), "-")</f>
        <v>CORPORAL</v>
      </c>
      <c r="R862" s="270" t="str">
        <f>IFERROR(INDEX([1]Produtos!$I:$I,MATCH(L862,[1]Produtos!$B:$B,0)), "-")</f>
        <v>CREME HIDRATANTE</v>
      </c>
      <c r="S862" s="270" t="str">
        <f>IFERROR(INDEX([1]Produtos!$J:$J,MATCH(L862,[1]Produtos!$B:$B,0)), "-")</f>
        <v>CREMOSO</v>
      </c>
      <c r="T862" s="475" t="s">
        <v>1485</v>
      </c>
      <c r="U862" s="270"/>
      <c r="V862" s="270"/>
      <c r="W862" s="270"/>
      <c r="X862" s="270"/>
      <c r="Y862" s="270"/>
      <c r="Z862" s="270"/>
      <c r="AA862" s="270"/>
      <c r="AB862" s="270"/>
      <c r="AC862" s="270"/>
      <c r="AD862" s="270"/>
      <c r="AE862" s="270"/>
      <c r="AF862" s="270"/>
      <c r="AG862" s="270"/>
      <c r="AH862" s="270"/>
      <c r="AI862" s="270"/>
      <c r="AJ862" s="270"/>
      <c r="AK862" s="270"/>
      <c r="AL862" s="270"/>
      <c r="AM862" s="663"/>
      <c r="AN862" s="663"/>
      <c r="AO862" s="708" t="str">
        <f>IF(OR(Table1[[#This Row],[Início Setup Envase]]="",Table1[[#This Row],[Final Setup Envase]]=""),"",Table1[[#This Row],[Final Setup Envase]]-Table1[[#This Row],[Início Setup Envase]])</f>
        <v/>
      </c>
      <c r="AP862" s="663"/>
      <c r="AQ862" s="663"/>
      <c r="AR862" s="270"/>
      <c r="AS862" s="270"/>
      <c r="AT862" s="270"/>
      <c r="AU862" s="270"/>
      <c r="AV862" s="270"/>
      <c r="AW862" s="270"/>
      <c r="AX862" s="270"/>
      <c r="AY862" s="270"/>
      <c r="AZ862" s="270"/>
      <c r="BA862" s="270">
        <f>IF(Table1[[#This Row],[Data de Início]]="","",YEAR(Table1[[#This Row],[Data de Início]]))</f>
        <v>2026</v>
      </c>
      <c r="BB862" s="270">
        <f>IF(Table1[[#This Row],[Data de Início]]="","",MONTH(Table1[[#This Row],[Data de Início]]))</f>
        <v>3</v>
      </c>
      <c r="BC862" s="270"/>
    </row>
    <row r="863" spans="2:55" x14ac:dyDescent="0.25">
      <c r="B863" s="470">
        <v>46087.455555555556</v>
      </c>
      <c r="C863" s="632">
        <v>46088.541666666664</v>
      </c>
      <c r="D863" s="264" cm="1">
        <f t="array" ref="D863">IFERROR(HorasUteisFabrica2Turnos(B863,C863), "")</f>
        <v>10.066666666592937</v>
      </c>
      <c r="E863" s="265">
        <f t="shared" si="13"/>
        <v>460.9271523212567</v>
      </c>
      <c r="F863" s="266" t="s">
        <v>377</v>
      </c>
      <c r="G863" s="266" t="s">
        <v>1436</v>
      </c>
      <c r="H863" s="266"/>
      <c r="I863" s="269" t="s">
        <v>1467</v>
      </c>
      <c r="J863" s="267" t="s">
        <v>15</v>
      </c>
      <c r="K863" s="268">
        <v>4640</v>
      </c>
      <c r="L863" s="269" t="s">
        <v>1437</v>
      </c>
      <c r="M863" s="510" t="str">
        <f>IFERROR(INDEX([1]Produtos!$C:$C,MATCH(L863,[1]Produtos!$B:$B,0)), "-")</f>
        <v>FIXADOR FIX MATTE 120ml</v>
      </c>
      <c r="N863" s="510">
        <f>IFERROR(INDEX([1]Produtos!$E:$E,MATCH(L863,[1]Produtos!$B:$B,0)), "-")</f>
        <v>120</v>
      </c>
      <c r="O863" s="270" t="str">
        <f>IFERROR(INDEX([1]Produtos!$F:$F,MATCH(L863,[1]Produtos!$B:$B,0)), "-")</f>
        <v>ml</v>
      </c>
      <c r="P863" s="270" t="str">
        <f>IFERROR(INDEX([1]Produtos!$G:$G,MATCH(L863,[1]Produtos!$B:$B,0)), "-")</f>
        <v>MISS RÔSE</v>
      </c>
      <c r="Q863" s="270" t="str">
        <f>IFERROR(INDEX([1]Produtos!$H:$H,MATCH(L863,[1]Produtos!$B:$B,0)), "-")</f>
        <v>MAQUIAGEM</v>
      </c>
      <c r="R863" s="270" t="str">
        <f>IFERROR(INDEX([1]Produtos!$I:$I,MATCH(L863,[1]Produtos!$B:$B,0)), "-")</f>
        <v>FIXADOR</v>
      </c>
      <c r="S863" s="270" t="str">
        <f>IFERROR(INDEX([1]Produtos!$J:$J,MATCH(L863,[1]Produtos!$B:$B,0)), "-")</f>
        <v>LÍQUIDO</v>
      </c>
      <c r="T863" s="475"/>
      <c r="U863" s="270"/>
      <c r="V863" s="270"/>
      <c r="W863" s="270"/>
      <c r="X863" s="270"/>
      <c r="Y863" s="270"/>
      <c r="Z863" s="270"/>
      <c r="AA863" s="270"/>
      <c r="AB863" s="270"/>
      <c r="AC863" s="270"/>
      <c r="AD863" s="270"/>
      <c r="AE863" s="270"/>
      <c r="AF863" s="270"/>
      <c r="AG863" s="270"/>
      <c r="AH863" s="270"/>
      <c r="AI863" s="270"/>
      <c r="AJ863" s="270"/>
      <c r="AK863" s="270"/>
      <c r="AL863" s="270"/>
      <c r="AM863" s="663"/>
      <c r="AN863" s="663"/>
      <c r="AO863" s="708" t="str">
        <f>IF(OR(Table1[[#This Row],[Início Setup Envase]]="",Table1[[#This Row],[Final Setup Envase]]=""),"",Table1[[#This Row],[Final Setup Envase]]-Table1[[#This Row],[Início Setup Envase]])</f>
        <v/>
      </c>
      <c r="AP863" s="663"/>
      <c r="AQ863" s="663"/>
      <c r="AR863" s="270"/>
      <c r="AS863" s="270"/>
      <c r="AT863" s="270"/>
      <c r="AU863" s="270"/>
      <c r="AV863" s="270"/>
      <c r="AW863" s="270"/>
      <c r="AX863" s="270"/>
      <c r="AY863" s="270"/>
      <c r="AZ863" s="270"/>
      <c r="BA863" s="270">
        <f>IF(Table1[[#This Row],[Data de Início]]="","",YEAR(Table1[[#This Row],[Data de Início]]))</f>
        <v>2026</v>
      </c>
      <c r="BB863" s="270">
        <f>IF(Table1[[#This Row],[Data de Início]]="","",MONTH(Table1[[#This Row],[Data de Início]]))</f>
        <v>3</v>
      </c>
      <c r="BC863" s="270"/>
    </row>
    <row r="864" spans="2:55" x14ac:dyDescent="0.25">
      <c r="B864" s="489">
        <v>46087.541666666664</v>
      </c>
      <c r="C864" s="490">
        <v>46088.39166666667</v>
      </c>
      <c r="D864" s="477" cm="1">
        <f t="array" ref="D864">IFERROR(HorasUteisFabrica2Turnos(B864,C864), "")</f>
        <v>5.4000000001396984</v>
      </c>
      <c r="E864" s="478">
        <f t="shared" si="13"/>
        <v>865.18518516280278</v>
      </c>
      <c r="F864" s="479" t="s">
        <v>377</v>
      </c>
      <c r="G864" s="266" t="s">
        <v>1436</v>
      </c>
      <c r="H864" s="479"/>
      <c r="I864" s="480" t="s">
        <v>1466</v>
      </c>
      <c r="J864" s="481" t="s">
        <v>15</v>
      </c>
      <c r="K864" s="482">
        <v>4672</v>
      </c>
      <c r="L864" s="480" t="s">
        <v>1437</v>
      </c>
      <c r="M864" s="510" t="str">
        <f>IFERROR(INDEX([1]Produtos!$C:$C,MATCH(L864,[1]Produtos!$B:$B,0)), "-")</f>
        <v>FIXADOR FIX MATTE 120ml</v>
      </c>
      <c r="N864" s="511">
        <f>IFERROR(INDEX([1]Produtos!$E:$E,MATCH(L864,[1]Produtos!$B:$B,0)), "-")</f>
        <v>120</v>
      </c>
      <c r="O864" s="483" t="str">
        <f>IFERROR(INDEX([1]Produtos!$F:$F,MATCH(L864,[1]Produtos!$B:$B,0)), "-")</f>
        <v>ml</v>
      </c>
      <c r="P864" s="483" t="str">
        <f>IFERROR(INDEX([1]Produtos!$G:$G,MATCH(L864,[1]Produtos!$B:$B,0)), "-")</f>
        <v>MISS RÔSE</v>
      </c>
      <c r="Q864" s="483" t="str">
        <f>IFERROR(INDEX([1]Produtos!$H:$H,MATCH(L864,[1]Produtos!$B:$B,0)), "-")</f>
        <v>MAQUIAGEM</v>
      </c>
      <c r="R864" s="483" t="str">
        <f>IFERROR(INDEX([1]Produtos!$I:$I,MATCH(L864,[1]Produtos!$B:$B,0)), "-")</f>
        <v>FIXADOR</v>
      </c>
      <c r="S864" s="483" t="str">
        <f>IFERROR(INDEX([1]Produtos!$J:$J,MATCH(L864,[1]Produtos!$B:$B,0)), "-")</f>
        <v>LÍQUIDO</v>
      </c>
      <c r="T864" s="484"/>
      <c r="U864" s="270"/>
      <c r="V864" s="270"/>
      <c r="W864" s="270"/>
      <c r="X864" s="270"/>
      <c r="Y864" s="270"/>
      <c r="Z864" s="270"/>
      <c r="AA864" s="270"/>
      <c r="AB864" s="270"/>
      <c r="AC864" s="270"/>
      <c r="AD864" s="270"/>
      <c r="AE864" s="270"/>
      <c r="AF864" s="270"/>
      <c r="AG864" s="270"/>
      <c r="AH864" s="270"/>
      <c r="AI864" s="270"/>
      <c r="AJ864" s="270"/>
      <c r="AK864" s="270"/>
      <c r="AL864" s="270"/>
      <c r="AM864" s="663"/>
      <c r="AN864" s="663"/>
      <c r="AO864" s="708" t="str">
        <f>IF(OR(Table1[[#This Row],[Início Setup Envase]]="",Table1[[#This Row],[Final Setup Envase]]=""),"",Table1[[#This Row],[Final Setup Envase]]-Table1[[#This Row],[Início Setup Envase]])</f>
        <v/>
      </c>
      <c r="AP864" s="663"/>
      <c r="AQ864" s="663"/>
      <c r="AR864" s="270"/>
      <c r="AS864" s="270"/>
      <c r="AT864" s="270"/>
      <c r="AU864" s="270"/>
      <c r="AV864" s="270"/>
      <c r="AW864" s="270"/>
      <c r="AX864" s="270"/>
      <c r="AY864" s="270"/>
      <c r="AZ864" s="270"/>
      <c r="BA864" s="270">
        <f>IF(Table1[[#This Row],[Data de Início]]="","",YEAR(Table1[[#This Row],[Data de Início]]))</f>
        <v>2026</v>
      </c>
      <c r="BB864" s="270">
        <f>IF(Table1[[#This Row],[Data de Início]]="","",MONTH(Table1[[#This Row],[Data de Início]]))</f>
        <v>3</v>
      </c>
      <c r="BC864" s="270"/>
    </row>
    <row r="865" spans="2:55" x14ac:dyDescent="0.25">
      <c r="B865" s="470">
        <v>46088.39166666667</v>
      </c>
      <c r="C865" s="263">
        <v>46090.319444444445</v>
      </c>
      <c r="D865" s="264" cm="1">
        <f t="array" ref="D865">IFERROR(HorasUteisFabrica2Turnos(B865,C865), "")</f>
        <v>7.2666666667209938</v>
      </c>
      <c r="E865" s="265">
        <f t="shared" si="13"/>
        <v>693.57798164619078</v>
      </c>
      <c r="F865" s="266" t="s">
        <v>377</v>
      </c>
      <c r="G865" s="266" t="s">
        <v>1436</v>
      </c>
      <c r="H865" s="266"/>
      <c r="I865" s="269" t="s">
        <v>1469</v>
      </c>
      <c r="J865" s="267" t="s">
        <v>15</v>
      </c>
      <c r="K865" s="268">
        <v>5040</v>
      </c>
      <c r="L865" s="269" t="s">
        <v>1437</v>
      </c>
      <c r="M865" s="510" t="str">
        <f>IFERROR(INDEX([1]Produtos!$C:$C,MATCH(L865,[1]Produtos!$B:$B,0)), "-")</f>
        <v>FIXADOR FIX MATTE 120ml</v>
      </c>
      <c r="N865" s="510">
        <f>IFERROR(INDEX([1]Produtos!$E:$E,MATCH(L865,[1]Produtos!$B:$B,0)), "-")</f>
        <v>120</v>
      </c>
      <c r="O865" s="270" t="str">
        <f>IFERROR(INDEX([1]Produtos!$F:$F,MATCH(L865,[1]Produtos!$B:$B,0)), "-")</f>
        <v>ml</v>
      </c>
      <c r="P865" s="270" t="str">
        <f>IFERROR(INDEX([1]Produtos!$G:$G,MATCH(L865,[1]Produtos!$B:$B,0)), "-")</f>
        <v>MISS RÔSE</v>
      </c>
      <c r="Q865" s="270" t="str">
        <f>IFERROR(INDEX([1]Produtos!$H:$H,MATCH(L865,[1]Produtos!$B:$B,0)), "-")</f>
        <v>MAQUIAGEM</v>
      </c>
      <c r="R865" s="270" t="str">
        <f>IFERROR(INDEX([1]Produtos!$I:$I,MATCH(L865,[1]Produtos!$B:$B,0)), "-")</f>
        <v>FIXADOR</v>
      </c>
      <c r="S865" s="270" t="str">
        <f>IFERROR(INDEX([1]Produtos!$J:$J,MATCH(L865,[1]Produtos!$B:$B,0)), "-")</f>
        <v>LÍQUIDO</v>
      </c>
      <c r="T865" s="475"/>
      <c r="U865" s="270"/>
      <c r="V865" s="270"/>
      <c r="W865" s="270"/>
      <c r="X865" s="270"/>
      <c r="Y865" s="270"/>
      <c r="Z865" s="270"/>
      <c r="AA865" s="270"/>
      <c r="AB865" s="270"/>
      <c r="AC865" s="270"/>
      <c r="AD865" s="270"/>
      <c r="AE865" s="270"/>
      <c r="AF865" s="270"/>
      <c r="AG865" s="270"/>
      <c r="AH865" s="270"/>
      <c r="AI865" s="270"/>
      <c r="AJ865" s="270"/>
      <c r="AK865" s="270"/>
      <c r="AL865" s="270"/>
      <c r="AM865" s="663"/>
      <c r="AN865" s="663"/>
      <c r="AO865" s="708" t="str">
        <f>IF(OR(Table1[[#This Row],[Início Setup Envase]]="",Table1[[#This Row],[Final Setup Envase]]=""),"",Table1[[#This Row],[Final Setup Envase]]-Table1[[#This Row],[Início Setup Envase]])</f>
        <v/>
      </c>
      <c r="AP865" s="663"/>
      <c r="AQ865" s="663"/>
      <c r="AR865" s="270"/>
      <c r="AS865" s="270"/>
      <c r="AT865" s="270"/>
      <c r="AU865" s="270"/>
      <c r="AV865" s="270"/>
      <c r="AW865" s="270"/>
      <c r="AX865" s="270"/>
      <c r="AY865" s="270"/>
      <c r="AZ865" s="270"/>
      <c r="BA865" s="270">
        <f>IF(Table1[[#This Row],[Data de Início]]="","",YEAR(Table1[[#This Row],[Data de Início]]))</f>
        <v>2026</v>
      </c>
      <c r="BB865" s="270">
        <f>IF(Table1[[#This Row],[Data de Início]]="","",MONTH(Table1[[#This Row],[Data de Início]]))</f>
        <v>3</v>
      </c>
      <c r="BC865" s="270"/>
    </row>
    <row r="866" spans="2:55" x14ac:dyDescent="0.25">
      <c r="B866" s="470">
        <v>46090.319444444445</v>
      </c>
      <c r="C866" s="263">
        <v>46090.442361111112</v>
      </c>
      <c r="D866" s="264" cm="1">
        <f t="array" ref="D866">IFERROR(HorasUteisFabrica2Turnos(B866,C866), "")</f>
        <v>2.9500000000116415</v>
      </c>
      <c r="E866" s="265">
        <f t="shared" si="13"/>
        <v>954.57627118267362</v>
      </c>
      <c r="F866" s="266" t="s">
        <v>377</v>
      </c>
      <c r="G866" s="266" t="s">
        <v>1436</v>
      </c>
      <c r="H866" s="266"/>
      <c r="I866" s="269" t="s">
        <v>1468</v>
      </c>
      <c r="J866" s="267" t="s">
        <v>15</v>
      </c>
      <c r="K866" s="268">
        <v>2816</v>
      </c>
      <c r="L866" s="269" t="s">
        <v>1437</v>
      </c>
      <c r="M866" s="510" t="str">
        <f>IFERROR(INDEX([1]Produtos!$C:$C,MATCH(L866,[1]Produtos!$B:$B,0)), "-")</f>
        <v>FIXADOR FIX MATTE 120ml</v>
      </c>
      <c r="N866" s="510">
        <f>IFERROR(INDEX([1]Produtos!$E:$E,MATCH(L866,[1]Produtos!$B:$B,0)), "-")</f>
        <v>120</v>
      </c>
      <c r="O866" s="270" t="str">
        <f>IFERROR(INDEX([1]Produtos!$F:$F,MATCH(L866,[1]Produtos!$B:$B,0)), "-")</f>
        <v>ml</v>
      </c>
      <c r="P866" s="270" t="str">
        <f>IFERROR(INDEX([1]Produtos!$G:$G,MATCH(L866,[1]Produtos!$B:$B,0)), "-")</f>
        <v>MISS RÔSE</v>
      </c>
      <c r="Q866" s="270" t="str">
        <f>IFERROR(INDEX([1]Produtos!$H:$H,MATCH(L866,[1]Produtos!$B:$B,0)), "-")</f>
        <v>MAQUIAGEM</v>
      </c>
      <c r="R866" s="270" t="str">
        <f>IFERROR(INDEX([1]Produtos!$I:$I,MATCH(L866,[1]Produtos!$B:$B,0)), "-")</f>
        <v>FIXADOR</v>
      </c>
      <c r="S866" s="270" t="str">
        <f>IFERROR(INDEX([1]Produtos!$J:$J,MATCH(L866,[1]Produtos!$B:$B,0)), "-")</f>
        <v>LÍQUIDO</v>
      </c>
      <c r="T866" s="475"/>
      <c r="U866" s="270"/>
      <c r="V866" s="270"/>
      <c r="W866" s="270"/>
      <c r="X866" s="270"/>
      <c r="Y866" s="270"/>
      <c r="Z866" s="270"/>
      <c r="AA866" s="270"/>
      <c r="AB866" s="270"/>
      <c r="AC866" s="270"/>
      <c r="AD866" s="270"/>
      <c r="AE866" s="270"/>
      <c r="AF866" s="270"/>
      <c r="AG866" s="270"/>
      <c r="AH866" s="270"/>
      <c r="AI866" s="270"/>
      <c r="AJ866" s="270"/>
      <c r="AK866" s="270"/>
      <c r="AL866" s="270"/>
      <c r="AM866" s="663"/>
      <c r="AN866" s="663"/>
      <c r="AO866" s="708" t="str">
        <f>IF(OR(Table1[[#This Row],[Início Setup Envase]]="",Table1[[#This Row],[Final Setup Envase]]=""),"",Table1[[#This Row],[Final Setup Envase]]-Table1[[#This Row],[Início Setup Envase]])</f>
        <v/>
      </c>
      <c r="AP866" s="663"/>
      <c r="AQ866" s="663"/>
      <c r="AR866" s="270"/>
      <c r="AS866" s="270"/>
      <c r="AT866" s="270"/>
      <c r="AU866" s="270"/>
      <c r="AV866" s="270"/>
      <c r="AW866" s="270"/>
      <c r="AX866" s="270"/>
      <c r="AY866" s="270"/>
      <c r="AZ866" s="270"/>
      <c r="BA866" s="270">
        <f>IF(Table1[[#This Row],[Data de Início]]="","",YEAR(Table1[[#This Row],[Data de Início]]))</f>
        <v>2026</v>
      </c>
      <c r="BB866" s="270">
        <f>IF(Table1[[#This Row],[Data de Início]]="","",MONTH(Table1[[#This Row],[Data de Início]]))</f>
        <v>3</v>
      </c>
      <c r="BC866" s="270"/>
    </row>
    <row r="867" spans="2:55" x14ac:dyDescent="0.25">
      <c r="B867" s="470">
        <v>46090.438194444447</v>
      </c>
      <c r="C867" s="263">
        <v>46090.643055555556</v>
      </c>
      <c r="D867" s="264" cm="1">
        <f t="array" ref="D867">IFERROR(HorasUteisFabrica2Turnos(B867,C867), "")</f>
        <v>3.9166666666278616</v>
      </c>
      <c r="E867" s="265">
        <f t="shared" si="13"/>
        <v>1123.4042553302793</v>
      </c>
      <c r="F867" s="266" t="s">
        <v>377</v>
      </c>
      <c r="G867" s="266" t="s">
        <v>1489</v>
      </c>
      <c r="H867" s="266"/>
      <c r="I867" s="269" t="s">
        <v>1488</v>
      </c>
      <c r="J867" s="267" t="s">
        <v>15</v>
      </c>
      <c r="K867" s="268">
        <v>4400</v>
      </c>
      <c r="L867" s="269" t="s">
        <v>1139</v>
      </c>
      <c r="M867" s="510" t="str">
        <f>IFERROR(INDEX([1]Produtos!$C:$C,MATCH(L867,[1]Produtos!$B:$B,0)), "-")</f>
        <v>BODY SPLASH ZAHRA 120ml</v>
      </c>
      <c r="N867" s="510">
        <f>IFERROR(INDEX([1]Produtos!$E:$E,MATCH(L867,[1]Produtos!$B:$B,0)), "-")</f>
        <v>120</v>
      </c>
      <c r="O867" s="270" t="str">
        <f>IFERROR(INDEX([1]Produtos!$F:$F,MATCH(L867,[1]Produtos!$B:$B,0)), "-")</f>
        <v>ml</v>
      </c>
      <c r="P867" s="270" t="str">
        <f>IFERROR(INDEX([1]Produtos!$G:$G,MATCH(L867,[1]Produtos!$B:$B,0)), "-")</f>
        <v>BRIA BEAUTY</v>
      </c>
      <c r="Q867" s="270" t="str">
        <f>IFERROR(INDEX([1]Produtos!$H:$H,MATCH(L867,[1]Produtos!$B:$B,0)), "-")</f>
        <v>PERFUMARIA</v>
      </c>
      <c r="R867" s="270" t="str">
        <f>IFERROR(INDEX([1]Produtos!$I:$I,MATCH(L867,[1]Produtos!$B:$B,0)), "-")</f>
        <v>BODY SPLASH</v>
      </c>
      <c r="S867" s="270" t="str">
        <f>IFERROR(INDEX([1]Produtos!$J:$J,MATCH(L867,[1]Produtos!$B:$B,0)), "-")</f>
        <v>LÍQUIDO</v>
      </c>
      <c r="T867" s="475"/>
      <c r="U867" s="270"/>
      <c r="V867" s="270"/>
      <c r="W867" s="270"/>
      <c r="X867" s="270"/>
      <c r="Y867" s="270"/>
      <c r="Z867" s="270"/>
      <c r="AA867" s="270"/>
      <c r="AB867" s="270"/>
      <c r="AC867" s="270"/>
      <c r="AD867" s="270"/>
      <c r="AE867" s="270"/>
      <c r="AF867" s="270"/>
      <c r="AG867" s="270"/>
      <c r="AH867" s="270"/>
      <c r="AI867" s="270"/>
      <c r="AJ867" s="270"/>
      <c r="AK867" s="270"/>
      <c r="AL867" s="270"/>
      <c r="AM867" s="663"/>
      <c r="AN867" s="663"/>
      <c r="AO867" s="708" t="str">
        <f>IF(OR(Table1[[#This Row],[Início Setup Envase]]="",Table1[[#This Row],[Final Setup Envase]]=""),"",Table1[[#This Row],[Final Setup Envase]]-Table1[[#This Row],[Início Setup Envase]])</f>
        <v/>
      </c>
      <c r="AP867" s="663"/>
      <c r="AQ867" s="663"/>
      <c r="AR867" s="270"/>
      <c r="AS867" s="270"/>
      <c r="AT867" s="270"/>
      <c r="AU867" s="270"/>
      <c r="AV867" s="270"/>
      <c r="AW867" s="270"/>
      <c r="AX867" s="270"/>
      <c r="AY867" s="270"/>
      <c r="AZ867" s="270"/>
      <c r="BA867" s="270">
        <f>IF(Table1[[#This Row],[Data de Início]]="","",YEAR(Table1[[#This Row],[Data de Início]]))</f>
        <v>2026</v>
      </c>
      <c r="BB867" s="270">
        <f>IF(Table1[[#This Row],[Data de Início]]="","",MONTH(Table1[[#This Row],[Data de Início]]))</f>
        <v>3</v>
      </c>
      <c r="BC867" s="616"/>
    </row>
    <row r="868" spans="2:55" x14ac:dyDescent="0.25">
      <c r="B868" s="470">
        <v>46090.643750000003</v>
      </c>
      <c r="C868" s="263">
        <v>46091.493055555555</v>
      </c>
      <c r="D868" s="264" cm="1">
        <f t="array" ref="D868">IFERROR(HorasUteisFabrica2Turnos(B868,C868), "")</f>
        <v>6.3833333333604969</v>
      </c>
      <c r="E868" s="265">
        <f t="shared" si="13"/>
        <v>777.02349869121042</v>
      </c>
      <c r="F868" s="266" t="s">
        <v>377</v>
      </c>
      <c r="G868" s="266" t="s">
        <v>1489</v>
      </c>
      <c r="H868" s="266"/>
      <c r="I868" s="269" t="s">
        <v>1490</v>
      </c>
      <c r="J868" s="267" t="s">
        <v>15</v>
      </c>
      <c r="K868" s="268">
        <v>4960</v>
      </c>
      <c r="L868" s="269" t="s">
        <v>1139</v>
      </c>
      <c r="M868" s="510" t="str">
        <f>IFERROR(INDEX([1]Produtos!$C:$C,MATCH(L868,[1]Produtos!$B:$B,0)), "-")</f>
        <v>BODY SPLASH ZAHRA 120ml</v>
      </c>
      <c r="N868" s="510">
        <f>IFERROR(INDEX([1]Produtos!$E:$E,MATCH(L868,[1]Produtos!$B:$B,0)), "-")</f>
        <v>120</v>
      </c>
      <c r="O868" s="270" t="str">
        <f>IFERROR(INDEX([1]Produtos!$F:$F,MATCH(L868,[1]Produtos!$B:$B,0)), "-")</f>
        <v>ml</v>
      </c>
      <c r="P868" s="270" t="str">
        <f>IFERROR(INDEX([1]Produtos!$G:$G,MATCH(L868,[1]Produtos!$B:$B,0)), "-")</f>
        <v>BRIA BEAUTY</v>
      </c>
      <c r="Q868" s="270" t="str">
        <f>IFERROR(INDEX([1]Produtos!$H:$H,MATCH(L868,[1]Produtos!$B:$B,0)), "-")</f>
        <v>PERFUMARIA</v>
      </c>
      <c r="R868" s="270" t="str">
        <f>IFERROR(INDEX([1]Produtos!$I:$I,MATCH(L868,[1]Produtos!$B:$B,0)), "-")</f>
        <v>BODY SPLASH</v>
      </c>
      <c r="S868" s="270" t="str">
        <f>IFERROR(INDEX([1]Produtos!$J:$J,MATCH(L868,[1]Produtos!$B:$B,0)), "-")</f>
        <v>LÍQUIDO</v>
      </c>
      <c r="T868" s="475"/>
      <c r="U868" s="270"/>
      <c r="V868" s="270"/>
      <c r="W868" s="270"/>
      <c r="X868" s="270"/>
      <c r="Y868" s="270"/>
      <c r="Z868" s="270"/>
      <c r="AA868" s="270"/>
      <c r="AB868" s="270"/>
      <c r="AC868" s="270"/>
      <c r="AD868" s="270"/>
      <c r="AE868" s="270"/>
      <c r="AF868" s="270"/>
      <c r="AG868" s="270"/>
      <c r="AH868" s="270"/>
      <c r="AI868" s="270"/>
      <c r="AJ868" s="270"/>
      <c r="AK868" s="270"/>
      <c r="AL868" s="270"/>
      <c r="AM868" s="663"/>
      <c r="AN868" s="663"/>
      <c r="AO868" s="708" t="str">
        <f>IF(OR(Table1[[#This Row],[Início Setup Envase]]="",Table1[[#This Row],[Final Setup Envase]]=""),"",Table1[[#This Row],[Final Setup Envase]]-Table1[[#This Row],[Início Setup Envase]])</f>
        <v/>
      </c>
      <c r="AP868" s="663"/>
      <c r="AQ868" s="663"/>
      <c r="AR868" s="270"/>
      <c r="AS868" s="270"/>
      <c r="AT868" s="270"/>
      <c r="AU868" s="270"/>
      <c r="AV868" s="270"/>
      <c r="AW868" s="270"/>
      <c r="AX868" s="270"/>
      <c r="AY868" s="270"/>
      <c r="AZ868" s="270"/>
      <c r="BA868" s="270">
        <f>IF(Table1[[#This Row],[Data de Início]]="","",YEAR(Table1[[#This Row],[Data de Início]]))</f>
        <v>2026</v>
      </c>
      <c r="BB868" s="270">
        <f>IF(Table1[[#This Row],[Data de Início]]="","",MONTH(Table1[[#This Row],[Data de Início]]))</f>
        <v>3</v>
      </c>
      <c r="BC868" s="270"/>
    </row>
    <row r="869" spans="2:55" x14ac:dyDescent="0.25">
      <c r="B869" s="470">
        <v>46091.479166666664</v>
      </c>
      <c r="C869" s="263">
        <v>46091.6875</v>
      </c>
      <c r="D869" s="264" cm="1">
        <f t="array" ref="D869">IFERROR(HorasUteisFabrica2Turnos(B869,C869), "")</f>
        <v>4.0000000000582077</v>
      </c>
      <c r="E869" s="265">
        <f t="shared" si="13"/>
        <v>999.99999998544808</v>
      </c>
      <c r="F869" s="266" t="s">
        <v>377</v>
      </c>
      <c r="G869" s="266" t="s">
        <v>1489</v>
      </c>
      <c r="H869" s="266"/>
      <c r="I869" s="269" t="s">
        <v>1491</v>
      </c>
      <c r="J869" s="267" t="s">
        <v>15</v>
      </c>
      <c r="K869" s="268">
        <v>4000</v>
      </c>
      <c r="L869" s="269" t="s">
        <v>1139</v>
      </c>
      <c r="M869" s="510" t="str">
        <f>IFERROR(INDEX([1]Produtos!$C:$C,MATCH(L869,[1]Produtos!$B:$B,0)), "-")</f>
        <v>BODY SPLASH ZAHRA 120ml</v>
      </c>
      <c r="N869" s="510">
        <f>IFERROR(INDEX([1]Produtos!$E:$E,MATCH(L869,[1]Produtos!$B:$B,0)), "-")</f>
        <v>120</v>
      </c>
      <c r="O869" s="270" t="str">
        <f>IFERROR(INDEX([1]Produtos!$F:$F,MATCH(L869,[1]Produtos!$B:$B,0)), "-")</f>
        <v>ml</v>
      </c>
      <c r="P869" s="270" t="str">
        <f>IFERROR(INDEX([1]Produtos!$G:$G,MATCH(L869,[1]Produtos!$B:$B,0)), "-")</f>
        <v>BRIA BEAUTY</v>
      </c>
      <c r="Q869" s="270" t="str">
        <f>IFERROR(INDEX([1]Produtos!$H:$H,MATCH(L869,[1]Produtos!$B:$B,0)), "-")</f>
        <v>PERFUMARIA</v>
      </c>
      <c r="R869" s="270" t="str">
        <f>IFERROR(INDEX([1]Produtos!$I:$I,MATCH(L869,[1]Produtos!$B:$B,0)), "-")</f>
        <v>BODY SPLASH</v>
      </c>
      <c r="S869" s="270" t="str">
        <f>IFERROR(INDEX([1]Produtos!$J:$J,MATCH(L869,[1]Produtos!$B:$B,0)), "-")</f>
        <v>LÍQUIDO</v>
      </c>
      <c r="T869" s="475"/>
      <c r="U869" s="270"/>
      <c r="V869" s="270"/>
      <c r="W869" s="270"/>
      <c r="X869" s="270"/>
      <c r="Y869" s="270"/>
      <c r="Z869" s="270"/>
      <c r="AA869" s="270"/>
      <c r="AB869" s="270"/>
      <c r="AC869" s="270"/>
      <c r="AD869" s="270"/>
      <c r="AE869" s="270"/>
      <c r="AF869" s="270"/>
      <c r="AG869" s="270"/>
      <c r="AH869" s="270"/>
      <c r="AI869" s="270"/>
      <c r="AJ869" s="270"/>
      <c r="AK869" s="270"/>
      <c r="AL869" s="270"/>
      <c r="AM869" s="663"/>
      <c r="AN869" s="663"/>
      <c r="AO869" s="708" t="str">
        <f>IF(OR(Table1[[#This Row],[Início Setup Envase]]="",Table1[[#This Row],[Final Setup Envase]]=""),"",Table1[[#This Row],[Final Setup Envase]]-Table1[[#This Row],[Início Setup Envase]])</f>
        <v/>
      </c>
      <c r="AP869" s="663"/>
      <c r="AQ869" s="663"/>
      <c r="AR869" s="270"/>
      <c r="AS869" s="270"/>
      <c r="AT869" s="270"/>
      <c r="AU869" s="270"/>
      <c r="AV869" s="270"/>
      <c r="AW869" s="270"/>
      <c r="AX869" s="270"/>
      <c r="AY869" s="270"/>
      <c r="AZ869" s="270"/>
      <c r="BA869" s="270">
        <f>IF(Table1[[#This Row],[Data de Início]]="","",YEAR(Table1[[#This Row],[Data de Início]]))</f>
        <v>2026</v>
      </c>
      <c r="BB869" s="270">
        <f>IF(Table1[[#This Row],[Data de Início]]="","",MONTH(Table1[[#This Row],[Data de Início]]))</f>
        <v>3</v>
      </c>
      <c r="BC869" s="270"/>
    </row>
    <row r="870" spans="2:55" x14ac:dyDescent="0.25">
      <c r="B870" s="470">
        <v>46091.479166666664</v>
      </c>
      <c r="C870" s="263">
        <v>46092.381944444445</v>
      </c>
      <c r="D870" s="264" cm="1">
        <f t="array" ref="D870">IFERROR(HorasUteisFabrica2Turnos(B870,C870), "")</f>
        <v>6.6666666668606922</v>
      </c>
      <c r="E870" s="265">
        <f t="shared" si="13"/>
        <v>671.99999998044223</v>
      </c>
      <c r="F870" s="266" t="s">
        <v>378</v>
      </c>
      <c r="G870" s="266" t="s">
        <v>1489</v>
      </c>
      <c r="H870" s="266"/>
      <c r="I870" s="269" t="s">
        <v>1492</v>
      </c>
      <c r="J870" s="267" t="s">
        <v>15</v>
      </c>
      <c r="K870" s="268">
        <v>4480</v>
      </c>
      <c r="L870" s="269" t="s">
        <v>1139</v>
      </c>
      <c r="M870" s="510" t="str">
        <f>IFERROR(INDEX([1]Produtos!$C:$C,MATCH(L870,[1]Produtos!$B:$B,0)), "-")</f>
        <v>BODY SPLASH ZAHRA 120ml</v>
      </c>
      <c r="N870" s="510">
        <f>IFERROR(INDEX([1]Produtos!$E:$E,MATCH(L870,[1]Produtos!$B:$B,0)), "-")</f>
        <v>120</v>
      </c>
      <c r="O870" s="270" t="str">
        <f>IFERROR(INDEX([1]Produtos!$F:$F,MATCH(L870,[1]Produtos!$B:$B,0)), "-")</f>
        <v>ml</v>
      </c>
      <c r="P870" s="270" t="str">
        <f>IFERROR(INDEX([1]Produtos!$G:$G,MATCH(L870,[1]Produtos!$B:$B,0)), "-")</f>
        <v>BRIA BEAUTY</v>
      </c>
      <c r="Q870" s="270" t="str">
        <f>IFERROR(INDEX([1]Produtos!$H:$H,MATCH(L870,[1]Produtos!$B:$B,0)), "-")</f>
        <v>PERFUMARIA</v>
      </c>
      <c r="R870" s="270" t="str">
        <f>IFERROR(INDEX([1]Produtos!$I:$I,MATCH(L870,[1]Produtos!$B:$B,0)), "-")</f>
        <v>BODY SPLASH</v>
      </c>
      <c r="S870" s="270" t="str">
        <f>IFERROR(INDEX([1]Produtos!$J:$J,MATCH(L870,[1]Produtos!$B:$B,0)), "-")</f>
        <v>LÍQUIDO</v>
      </c>
      <c r="T870" s="475"/>
      <c r="U870" s="270"/>
      <c r="V870" s="270"/>
      <c r="W870" s="270"/>
      <c r="X870" s="270"/>
      <c r="Y870" s="270"/>
      <c r="Z870" s="270"/>
      <c r="AA870" s="270"/>
      <c r="AB870" s="270"/>
      <c r="AC870" s="270"/>
      <c r="AD870" s="270"/>
      <c r="AE870" s="270"/>
      <c r="AF870" s="270"/>
      <c r="AG870" s="270"/>
      <c r="AH870" s="270"/>
      <c r="AI870" s="270"/>
      <c r="AJ870" s="270"/>
      <c r="AK870" s="270"/>
      <c r="AL870" s="270"/>
      <c r="AM870" s="663"/>
      <c r="AN870" s="663"/>
      <c r="AO870" s="708" t="str">
        <f>IF(OR(Table1[[#This Row],[Início Setup Envase]]="",Table1[[#This Row],[Final Setup Envase]]=""),"",Table1[[#This Row],[Final Setup Envase]]-Table1[[#This Row],[Início Setup Envase]])</f>
        <v/>
      </c>
      <c r="AP870" s="663"/>
      <c r="AQ870" s="663"/>
      <c r="AR870" s="270"/>
      <c r="AS870" s="270"/>
      <c r="AT870" s="270"/>
      <c r="AU870" s="270"/>
      <c r="AV870" s="270"/>
      <c r="AW870" s="270"/>
      <c r="AX870" s="270"/>
      <c r="AY870" s="270"/>
      <c r="AZ870" s="270"/>
      <c r="BA870" s="270">
        <f>IF(Table1[[#This Row],[Data de Início]]="","",YEAR(Table1[[#This Row],[Data de Início]]))</f>
        <v>2026</v>
      </c>
      <c r="BB870" s="270">
        <f>IF(Table1[[#This Row],[Data de Início]]="","",MONTH(Table1[[#This Row],[Data de Início]]))</f>
        <v>3</v>
      </c>
      <c r="BC870" s="270"/>
    </row>
    <row r="871" spans="2:55" x14ac:dyDescent="0.25">
      <c r="B871" s="470">
        <v>46092.340277777781</v>
      </c>
      <c r="C871" s="263">
        <v>46092.481944444444</v>
      </c>
      <c r="D871" s="264" cm="1">
        <f t="array" ref="D871">IFERROR(HorasUteisFabrica2Turnos(B871,C871), "")</f>
        <v>3.3999999999068677</v>
      </c>
      <c r="E871" s="265">
        <f t="shared" si="13"/>
        <v>790.58823531577332</v>
      </c>
      <c r="F871" s="266" t="s">
        <v>377</v>
      </c>
      <c r="G871" s="266" t="s">
        <v>1495</v>
      </c>
      <c r="H871" s="266"/>
      <c r="I871" s="266" t="s">
        <v>1494</v>
      </c>
      <c r="J871" s="267" t="s">
        <v>15</v>
      </c>
      <c r="K871" s="268">
        <v>2688</v>
      </c>
      <c r="L871" s="268" t="s">
        <v>435</v>
      </c>
      <c r="M871" s="510" t="str">
        <f>IFERROR(INDEX([1]Produtos!$C:$C,MATCH(L871,[1]Produtos!$B:$B,0)), "-")</f>
        <v>BODY SPLASH GOTA LOVE</v>
      </c>
      <c r="N871" s="510">
        <f>IFERROR(INDEX([1]Produtos!$E:$E,MATCH(L871,[1]Produtos!$B:$B,0)), "-")</f>
        <v>210</v>
      </c>
      <c r="O871" s="270" t="str">
        <f>IFERROR(INDEX([1]Produtos!$F:$F,MATCH(L871,[1]Produtos!$B:$B,0)), "-")</f>
        <v>ml</v>
      </c>
      <c r="P871" s="270" t="str">
        <f>IFERROR(INDEX([1]Produtos!$G:$G,MATCH(L871,[1]Produtos!$B:$B,0)), "-")</f>
        <v>GOTA ZEN</v>
      </c>
      <c r="Q871" s="270" t="str">
        <f>IFERROR(INDEX([1]Produtos!$H:$H,MATCH(L871,[1]Produtos!$B:$B,0)), "-")</f>
        <v>PERFUMARIA</v>
      </c>
      <c r="R871" s="270" t="str">
        <f>IFERROR(INDEX([1]Produtos!$I:$I,MATCH(L871,[1]Produtos!$B:$B,0)), "-")</f>
        <v>BODY SPLASH</v>
      </c>
      <c r="S871" s="270" t="str">
        <f>IFERROR(INDEX([1]Produtos!$J:$J,MATCH(L871,[1]Produtos!$B:$B,0)), "-")</f>
        <v>LÍQUIDO</v>
      </c>
      <c r="T871" s="475"/>
      <c r="U871" s="270"/>
      <c r="V871" s="270"/>
      <c r="W871" s="270"/>
      <c r="X871" s="270"/>
      <c r="Y871" s="270"/>
      <c r="Z871" s="270"/>
      <c r="AA871" s="270"/>
      <c r="AB871" s="270"/>
      <c r="AC871" s="270"/>
      <c r="AD871" s="270"/>
      <c r="AE871" s="270"/>
      <c r="AF871" s="270"/>
      <c r="AG871" s="270"/>
      <c r="AH871" s="270"/>
      <c r="AI871" s="270"/>
      <c r="AJ871" s="270"/>
      <c r="AK871" s="270"/>
      <c r="AL871" s="270"/>
      <c r="AM871" s="663"/>
      <c r="AN871" s="663"/>
      <c r="AO871" s="708" t="str">
        <f>IF(OR(Table1[[#This Row],[Início Setup Envase]]="",Table1[[#This Row],[Final Setup Envase]]=""),"",Table1[[#This Row],[Final Setup Envase]]-Table1[[#This Row],[Início Setup Envase]])</f>
        <v/>
      </c>
      <c r="AP871" s="663"/>
      <c r="AQ871" s="663"/>
      <c r="AR871" s="270"/>
      <c r="AS871" s="270"/>
      <c r="AT871" s="270"/>
      <c r="AU871" s="270"/>
      <c r="AV871" s="270"/>
      <c r="AW871" s="270"/>
      <c r="AX871" s="270"/>
      <c r="AY871" s="270"/>
      <c r="AZ871" s="270"/>
      <c r="BA871" s="270">
        <f>IF(Table1[[#This Row],[Data de Início]]="","",YEAR(Table1[[#This Row],[Data de Início]]))</f>
        <v>2026</v>
      </c>
      <c r="BB871" s="270">
        <f>IF(Table1[[#This Row],[Data de Início]]="","",MONTH(Table1[[#This Row],[Data de Início]]))</f>
        <v>3</v>
      </c>
      <c r="BC871" s="270"/>
    </row>
    <row r="872" spans="2:55" x14ac:dyDescent="0.25">
      <c r="B872" s="470">
        <v>46092.384027777778</v>
      </c>
      <c r="C872" s="263">
        <v>46092.649305555555</v>
      </c>
      <c r="D872" s="264" cm="1">
        <f t="array" ref="D872">IFERROR(HorasUteisFabrica2Turnos(B872,C872), "")</f>
        <v>5.3666666666395031</v>
      </c>
      <c r="E872" s="265">
        <f t="shared" si="13"/>
        <v>804.96894410345328</v>
      </c>
      <c r="F872" s="266" t="s">
        <v>377</v>
      </c>
      <c r="G872" s="266" t="s">
        <v>1489</v>
      </c>
      <c r="H872" s="266"/>
      <c r="I872" s="269" t="s">
        <v>1493</v>
      </c>
      <c r="J872" s="267" t="s">
        <v>15</v>
      </c>
      <c r="K872" s="268">
        <v>4320</v>
      </c>
      <c r="L872" s="269" t="s">
        <v>1139</v>
      </c>
      <c r="M872" s="510" t="str">
        <f>IFERROR(INDEX([1]Produtos!$C:$C,MATCH(L872,[1]Produtos!$B:$B,0)), "-")</f>
        <v>BODY SPLASH ZAHRA 120ml</v>
      </c>
      <c r="N872" s="510">
        <f>IFERROR(INDEX([1]Produtos!$E:$E,MATCH(L872,[1]Produtos!$B:$B,0)), "-")</f>
        <v>120</v>
      </c>
      <c r="O872" s="270" t="str">
        <f>IFERROR(INDEX([1]Produtos!$F:$F,MATCH(L872,[1]Produtos!$B:$B,0)), "-")</f>
        <v>ml</v>
      </c>
      <c r="P872" s="270" t="str">
        <f>IFERROR(INDEX([1]Produtos!$G:$G,MATCH(L872,[1]Produtos!$B:$B,0)), "-")</f>
        <v>BRIA BEAUTY</v>
      </c>
      <c r="Q872" s="270" t="str">
        <f>IFERROR(INDEX([1]Produtos!$H:$H,MATCH(L872,[1]Produtos!$B:$B,0)), "-")</f>
        <v>PERFUMARIA</v>
      </c>
      <c r="R872" s="270" t="str">
        <f>IFERROR(INDEX([1]Produtos!$I:$I,MATCH(L872,[1]Produtos!$B:$B,0)), "-")</f>
        <v>BODY SPLASH</v>
      </c>
      <c r="S872" s="270" t="str">
        <f>IFERROR(INDEX([1]Produtos!$J:$J,MATCH(L872,[1]Produtos!$B:$B,0)), "-")</f>
        <v>LÍQUIDO</v>
      </c>
      <c r="T872" s="475"/>
      <c r="U872" s="270"/>
      <c r="V872" s="270"/>
      <c r="W872" s="270"/>
      <c r="X872" s="270"/>
      <c r="Y872" s="270"/>
      <c r="Z872" s="270"/>
      <c r="AA872" s="270"/>
      <c r="AB872" s="270"/>
      <c r="AC872" s="270"/>
      <c r="AD872" s="270"/>
      <c r="AE872" s="270"/>
      <c r="AF872" s="270"/>
      <c r="AG872" s="270"/>
      <c r="AH872" s="270"/>
      <c r="AI872" s="270"/>
      <c r="AJ872" s="270"/>
      <c r="AK872" s="270"/>
      <c r="AL872" s="270"/>
      <c r="AM872" s="663"/>
      <c r="AN872" s="663"/>
      <c r="AO872" s="708" t="str">
        <f>IF(OR(Table1[[#This Row],[Início Setup Envase]]="",Table1[[#This Row],[Final Setup Envase]]=""),"",Table1[[#This Row],[Final Setup Envase]]-Table1[[#This Row],[Início Setup Envase]])</f>
        <v/>
      </c>
      <c r="AP872" s="663"/>
      <c r="AQ872" s="663"/>
      <c r="AR872" s="270"/>
      <c r="AS872" s="270"/>
      <c r="AT872" s="270"/>
      <c r="AU872" s="270"/>
      <c r="AV872" s="270"/>
      <c r="AW872" s="270"/>
      <c r="AX872" s="270"/>
      <c r="AY872" s="270"/>
      <c r="AZ872" s="270"/>
      <c r="BA872" s="270">
        <f>IF(Table1[[#This Row],[Data de Início]]="","",YEAR(Table1[[#This Row],[Data de Início]]))</f>
        <v>2026</v>
      </c>
      <c r="BB872" s="270">
        <f>IF(Table1[[#This Row],[Data de Início]]="","",MONTH(Table1[[#This Row],[Data de Início]]))</f>
        <v>3</v>
      </c>
      <c r="BC872" s="270"/>
    </row>
    <row r="873" spans="2:55" x14ac:dyDescent="0.25">
      <c r="B873" s="470">
        <v>46092.486111111109</v>
      </c>
      <c r="C873" s="263">
        <v>46092.604166666664</v>
      </c>
      <c r="D873" s="264" cm="1">
        <f t="array" ref="D873">IFERROR(HorasUteisFabrica2Turnos(B873,C873), "")</f>
        <v>1.8333333333139308</v>
      </c>
      <c r="E873" s="265">
        <f t="shared" si="13"/>
        <v>1461.8181818336525</v>
      </c>
      <c r="F873" s="266" t="s">
        <v>378</v>
      </c>
      <c r="G873" s="266" t="s">
        <v>1495</v>
      </c>
      <c r="H873" s="266"/>
      <c r="I873" s="266" t="s">
        <v>1498</v>
      </c>
      <c r="J873" s="267" t="s">
        <v>15</v>
      </c>
      <c r="K873" s="268">
        <v>2680</v>
      </c>
      <c r="L873" s="268" t="s">
        <v>436</v>
      </c>
      <c r="M873" s="510" t="str">
        <f>IFERROR(INDEX([1]Produtos!$C:$C,MATCH(L873,[1]Produtos!$B:$B,0)), "-")</f>
        <v>BODY SPLASH ARABYS' AMBAR</v>
      </c>
      <c r="N873" s="510">
        <f>IFERROR(INDEX([1]Produtos!$E:$E,MATCH(L873,[1]Produtos!$B:$B,0)), "-")</f>
        <v>210</v>
      </c>
      <c r="O873" s="270" t="str">
        <f>IFERROR(INDEX([1]Produtos!$F:$F,MATCH(L873,[1]Produtos!$B:$B,0)), "-")</f>
        <v>ml</v>
      </c>
      <c r="P873" s="270" t="str">
        <f>IFERROR(INDEX([1]Produtos!$G:$G,MATCH(L873,[1]Produtos!$B:$B,0)), "-")</f>
        <v>GOTA ZEN</v>
      </c>
      <c r="Q873" s="270" t="str">
        <f>IFERROR(INDEX([1]Produtos!$H:$H,MATCH(L873,[1]Produtos!$B:$B,0)), "-")</f>
        <v>PERFUMARIA</v>
      </c>
      <c r="R873" s="270" t="str">
        <f>IFERROR(INDEX([1]Produtos!$I:$I,MATCH(L873,[1]Produtos!$B:$B,0)), "-")</f>
        <v>BODY SPLASH</v>
      </c>
      <c r="S873" s="270" t="str">
        <f>IFERROR(INDEX([1]Produtos!$J:$J,MATCH(L873,[1]Produtos!$B:$B,0)), "-")</f>
        <v>LÍQUIDO</v>
      </c>
      <c r="T873" s="475"/>
      <c r="U873" s="270"/>
      <c r="V873" s="270"/>
      <c r="W873" s="270"/>
      <c r="X873" s="270"/>
      <c r="Y873" s="270"/>
      <c r="Z873" s="270"/>
      <c r="AA873" s="270"/>
      <c r="AB873" s="270"/>
      <c r="AC873" s="270"/>
      <c r="AD873" s="270"/>
      <c r="AE873" s="270"/>
      <c r="AF873" s="270"/>
      <c r="AG873" s="270"/>
      <c r="AH873" s="270"/>
      <c r="AI873" s="270"/>
      <c r="AJ873" s="270"/>
      <c r="AK873" s="270"/>
      <c r="AL873" s="270"/>
      <c r="AM873" s="663"/>
      <c r="AN873" s="663"/>
      <c r="AO873" s="708" t="str">
        <f>IF(OR(Table1[[#This Row],[Início Setup Envase]]="",Table1[[#This Row],[Final Setup Envase]]=""),"",Table1[[#This Row],[Final Setup Envase]]-Table1[[#This Row],[Início Setup Envase]])</f>
        <v/>
      </c>
      <c r="AP873" s="663"/>
      <c r="AQ873" s="663"/>
      <c r="AR873" s="270"/>
      <c r="AS873" s="270"/>
      <c r="AT873" s="270"/>
      <c r="AU873" s="270"/>
      <c r="AV873" s="270"/>
      <c r="AW873" s="270"/>
      <c r="AX873" s="270"/>
      <c r="AY873" s="270"/>
      <c r="AZ873" s="270"/>
      <c r="BA873" s="270">
        <f>IF(Table1[[#This Row],[Data de Início]]="","",YEAR(Table1[[#This Row],[Data de Início]]))</f>
        <v>2026</v>
      </c>
      <c r="BB873" s="270">
        <f>IF(Table1[[#This Row],[Data de Início]]="","",MONTH(Table1[[#This Row],[Data de Início]]))</f>
        <v>3</v>
      </c>
      <c r="BC873" s="270"/>
    </row>
    <row r="874" spans="2:55" x14ac:dyDescent="0.25">
      <c r="B874" s="470">
        <v>46092.666666666664</v>
      </c>
      <c r="C874" s="263">
        <v>46093.4375</v>
      </c>
      <c r="D874" s="264" cm="1">
        <f t="array" ref="D874">IFERROR(HorasUteisFabrica2Turnos(B874,C874), "")</f>
        <v>4.500000000174623</v>
      </c>
      <c r="E874" s="265">
        <f t="shared" si="13"/>
        <v>728.88888886060431</v>
      </c>
      <c r="F874" s="266" t="s">
        <v>377</v>
      </c>
      <c r="G874" s="266" t="s">
        <v>1489</v>
      </c>
      <c r="H874" s="266"/>
      <c r="I874" s="266" t="s">
        <v>1496</v>
      </c>
      <c r="J874" s="267" t="s">
        <v>15</v>
      </c>
      <c r="K874" s="268">
        <v>3280</v>
      </c>
      <c r="L874" s="269" t="s">
        <v>1139</v>
      </c>
      <c r="M874" s="510" t="str">
        <f>IFERROR(INDEX([1]Produtos!$C:$C,MATCH(L874,[1]Produtos!$B:$B,0)), "-")</f>
        <v>BODY SPLASH ZAHRA 120ml</v>
      </c>
      <c r="N874" s="510">
        <f>IFERROR(INDEX([1]Produtos!$E:$E,MATCH(L874,[1]Produtos!$B:$B,0)), "-")</f>
        <v>120</v>
      </c>
      <c r="O874" s="270" t="str">
        <f>IFERROR(INDEX([1]Produtos!$F:$F,MATCH(L874,[1]Produtos!$B:$B,0)), "-")</f>
        <v>ml</v>
      </c>
      <c r="P874" s="270" t="str">
        <f>IFERROR(INDEX([1]Produtos!$G:$G,MATCH(L874,[1]Produtos!$B:$B,0)), "-")</f>
        <v>BRIA BEAUTY</v>
      </c>
      <c r="Q874" s="270" t="str">
        <f>IFERROR(INDEX([1]Produtos!$H:$H,MATCH(L874,[1]Produtos!$B:$B,0)), "-")</f>
        <v>PERFUMARIA</v>
      </c>
      <c r="R874" s="270" t="str">
        <f>IFERROR(INDEX([1]Produtos!$I:$I,MATCH(L874,[1]Produtos!$B:$B,0)), "-")</f>
        <v>BODY SPLASH</v>
      </c>
      <c r="S874" s="270" t="str">
        <f>IFERROR(INDEX([1]Produtos!$J:$J,MATCH(L874,[1]Produtos!$B:$B,0)), "-")</f>
        <v>LÍQUIDO</v>
      </c>
      <c r="T874" s="475"/>
      <c r="U874" s="270"/>
      <c r="V874" s="270"/>
      <c r="W874" s="270"/>
      <c r="X874" s="270"/>
      <c r="Y874" s="270"/>
      <c r="Z874" s="270"/>
      <c r="AA874" s="270"/>
      <c r="AB874" s="270"/>
      <c r="AC874" s="270"/>
      <c r="AD874" s="270"/>
      <c r="AE874" s="270"/>
      <c r="AF874" s="270"/>
      <c r="AG874" s="270"/>
      <c r="AH874" s="270"/>
      <c r="AI874" s="270"/>
      <c r="AJ874" s="270"/>
      <c r="AK874" s="270"/>
      <c r="AL874" s="270"/>
      <c r="AM874" s="663"/>
      <c r="AN874" s="663"/>
      <c r="AO874" s="708" t="str">
        <f>IF(OR(Table1[[#This Row],[Início Setup Envase]]="",Table1[[#This Row],[Final Setup Envase]]=""),"",Table1[[#This Row],[Final Setup Envase]]-Table1[[#This Row],[Início Setup Envase]])</f>
        <v/>
      </c>
      <c r="AP874" s="663"/>
      <c r="AQ874" s="663"/>
      <c r="AR874" s="270"/>
      <c r="AS874" s="270"/>
      <c r="AT874" s="270"/>
      <c r="AU874" s="270"/>
      <c r="AV874" s="270"/>
      <c r="AW874" s="270"/>
      <c r="AX874" s="270"/>
      <c r="AY874" s="270"/>
      <c r="AZ874" s="270"/>
      <c r="BA874" s="270">
        <f>IF(Table1[[#This Row],[Data de Início]]="","",YEAR(Table1[[#This Row],[Data de Início]]))</f>
        <v>2026</v>
      </c>
      <c r="BB874" s="270">
        <f>IF(Table1[[#This Row],[Data de Início]]="","",MONTH(Table1[[#This Row],[Data de Início]]))</f>
        <v>3</v>
      </c>
      <c r="BC874" s="270"/>
    </row>
    <row r="875" spans="2:55" x14ac:dyDescent="0.25">
      <c r="B875" s="470">
        <v>46093.305555555555</v>
      </c>
      <c r="C875" s="263">
        <v>46093.431250000001</v>
      </c>
      <c r="D875" s="264" cm="1">
        <f t="array" ref="D875">IFERROR(HorasUteisFabrica2Turnos(B875,C875), "")</f>
        <v>3.0166666667209938</v>
      </c>
      <c r="E875" s="265">
        <f t="shared" si="13"/>
        <v>902.98342539810278</v>
      </c>
      <c r="F875" s="266" t="s">
        <v>378</v>
      </c>
      <c r="G875" s="266" t="s">
        <v>1495</v>
      </c>
      <c r="H875" s="266"/>
      <c r="I875" s="266" t="s">
        <v>1497</v>
      </c>
      <c r="J875" s="267" t="s">
        <v>15</v>
      </c>
      <c r="K875" s="268">
        <v>2724</v>
      </c>
      <c r="L875" s="268" t="s">
        <v>434</v>
      </c>
      <c r="M875" s="510" t="str">
        <f>IFERROR(INDEX([1]Produtos!$C:$C,MATCH(L875,[1]Produtos!$B:$B,0)), "-")</f>
        <v>BODY SPLASH GOTA BELLE</v>
      </c>
      <c r="N875" s="510">
        <f>IFERROR(INDEX([1]Produtos!$E:$E,MATCH(L875,[1]Produtos!$B:$B,0)), "-")</f>
        <v>210</v>
      </c>
      <c r="O875" s="270" t="str">
        <f>IFERROR(INDEX([1]Produtos!$F:$F,MATCH(L875,[1]Produtos!$B:$B,0)), "-")</f>
        <v>ml</v>
      </c>
      <c r="P875" s="270" t="str">
        <f>IFERROR(INDEX([1]Produtos!$G:$G,MATCH(L875,[1]Produtos!$B:$B,0)), "-")</f>
        <v>GOTA ZEN</v>
      </c>
      <c r="Q875" s="270" t="str">
        <f>IFERROR(INDEX([1]Produtos!$H:$H,MATCH(L875,[1]Produtos!$B:$B,0)), "-")</f>
        <v>PERFUMARIA</v>
      </c>
      <c r="R875" s="270" t="str">
        <f>IFERROR(INDEX([1]Produtos!$I:$I,MATCH(L875,[1]Produtos!$B:$B,0)), "-")</f>
        <v>BODY SPLASH</v>
      </c>
      <c r="S875" s="270" t="str">
        <f>IFERROR(INDEX([1]Produtos!$J:$J,MATCH(L875,[1]Produtos!$B:$B,0)), "-")</f>
        <v>LÍQUIDO</v>
      </c>
      <c r="T875" s="475"/>
      <c r="U875" s="270"/>
      <c r="V875" s="270"/>
      <c r="W875" s="270"/>
      <c r="X875" s="270"/>
      <c r="Y875" s="270"/>
      <c r="Z875" s="270"/>
      <c r="AA875" s="270"/>
      <c r="AB875" s="270"/>
      <c r="AC875" s="270"/>
      <c r="AD875" s="270"/>
      <c r="AE875" s="270"/>
      <c r="AF875" s="270"/>
      <c r="AG875" s="270"/>
      <c r="AH875" s="270"/>
      <c r="AI875" s="270"/>
      <c r="AJ875" s="270"/>
      <c r="AK875" s="270"/>
      <c r="AL875" s="270"/>
      <c r="AM875" s="663"/>
      <c r="AN875" s="663"/>
      <c r="AO875" s="708" t="str">
        <f>IF(OR(Table1[[#This Row],[Início Setup Envase]]="",Table1[[#This Row],[Final Setup Envase]]=""),"",Table1[[#This Row],[Final Setup Envase]]-Table1[[#This Row],[Início Setup Envase]])</f>
        <v/>
      </c>
      <c r="AP875" s="663"/>
      <c r="AQ875" s="663"/>
      <c r="AR875" s="270"/>
      <c r="AS875" s="270"/>
      <c r="AT875" s="270"/>
      <c r="AU875" s="270"/>
      <c r="AV875" s="270"/>
      <c r="AW875" s="270"/>
      <c r="AX875" s="270"/>
      <c r="AY875" s="270"/>
      <c r="AZ875" s="270"/>
      <c r="BA875" s="270">
        <f>IF(Table1[[#This Row],[Data de Início]]="","",YEAR(Table1[[#This Row],[Data de Início]]))</f>
        <v>2026</v>
      </c>
      <c r="BB875" s="270">
        <f>IF(Table1[[#This Row],[Data de Início]]="","",MONTH(Table1[[#This Row],[Data de Início]]))</f>
        <v>3</v>
      </c>
      <c r="BC875" s="270"/>
    </row>
    <row r="876" spans="2:55" x14ac:dyDescent="0.25">
      <c r="B876" s="470">
        <v>46093.440972222219</v>
      </c>
      <c r="C876" s="263">
        <v>46093.647222222222</v>
      </c>
      <c r="D876" s="264" cm="1">
        <f t="array" ref="D876">IFERROR(HorasUteisFabrica2Turnos(B876,C876), "")</f>
        <v>3.9500000000698492</v>
      </c>
      <c r="E876" s="265">
        <f t="shared" si="13"/>
        <v>688.10126581061684</v>
      </c>
      <c r="F876" s="266" t="s">
        <v>378</v>
      </c>
      <c r="G876" s="266" t="s">
        <v>1495</v>
      </c>
      <c r="H876" s="266"/>
      <c r="I876" s="266" t="s">
        <v>1499</v>
      </c>
      <c r="J876" s="267" t="s">
        <v>15</v>
      </c>
      <c r="K876" s="268">
        <v>2718</v>
      </c>
      <c r="L876" s="268" t="s">
        <v>453</v>
      </c>
      <c r="M876" s="510" t="str">
        <f>IFERROR(INDEX([1]Produtos!$C:$C,MATCH(L876,[1]Produtos!$B:$B,0)), "-")</f>
        <v>BODY SPLASH ARABYS' FEROZ</v>
      </c>
      <c r="N876" s="510">
        <f>IFERROR(INDEX([1]Produtos!$E:$E,MATCH(L876,[1]Produtos!$B:$B,0)), "-")</f>
        <v>210</v>
      </c>
      <c r="O876" s="270" t="str">
        <f>IFERROR(INDEX([1]Produtos!$F:$F,MATCH(L876,[1]Produtos!$B:$B,0)), "-")</f>
        <v>ml</v>
      </c>
      <c r="P876" s="270" t="str">
        <f>IFERROR(INDEX([1]Produtos!$G:$G,MATCH(L876,[1]Produtos!$B:$B,0)), "-")</f>
        <v>GOTA ZEN</v>
      </c>
      <c r="Q876" s="270" t="str">
        <f>IFERROR(INDEX([1]Produtos!$H:$H,MATCH(L876,[1]Produtos!$B:$B,0)), "-")</f>
        <v>PERFUMARIA</v>
      </c>
      <c r="R876" s="270" t="str">
        <f>IFERROR(INDEX([1]Produtos!$I:$I,MATCH(L876,[1]Produtos!$B:$B,0)), "-")</f>
        <v>BODY SPLASH</v>
      </c>
      <c r="S876" s="270" t="str">
        <f>IFERROR(INDEX([1]Produtos!$J:$J,MATCH(L876,[1]Produtos!$B:$B,0)), "-")</f>
        <v>LÍQUIDO</v>
      </c>
      <c r="T876" s="475"/>
      <c r="U876" s="270"/>
      <c r="V876" s="270"/>
      <c r="W876" s="270"/>
      <c r="X876" s="270"/>
      <c r="Y876" s="270"/>
      <c r="Z876" s="270"/>
      <c r="AA876" s="270"/>
      <c r="AB876" s="270"/>
      <c r="AC876" s="270"/>
      <c r="AD876" s="270"/>
      <c r="AE876" s="270"/>
      <c r="AF876" s="270"/>
      <c r="AG876" s="270"/>
      <c r="AH876" s="270"/>
      <c r="AI876" s="270"/>
      <c r="AJ876" s="270"/>
      <c r="AK876" s="270"/>
      <c r="AL876" s="270"/>
      <c r="AM876" s="663"/>
      <c r="AN876" s="663"/>
      <c r="AO876" s="708" t="str">
        <f>IF(OR(Table1[[#This Row],[Início Setup Envase]]="",Table1[[#This Row],[Final Setup Envase]]=""),"",Table1[[#This Row],[Final Setup Envase]]-Table1[[#This Row],[Início Setup Envase]])</f>
        <v/>
      </c>
      <c r="AP876" s="663"/>
      <c r="AQ876" s="663"/>
      <c r="AR876" s="270"/>
      <c r="AS876" s="270"/>
      <c r="AT876" s="270"/>
      <c r="AU876" s="270"/>
      <c r="AV876" s="270"/>
      <c r="AW876" s="270"/>
      <c r="AX876" s="270"/>
      <c r="AY876" s="270"/>
      <c r="AZ876" s="270"/>
      <c r="BA876" s="270">
        <f>IF(Table1[[#This Row],[Data de Início]]="","",YEAR(Table1[[#This Row],[Data de Início]]))</f>
        <v>2026</v>
      </c>
      <c r="BB876" s="270">
        <f>IF(Table1[[#This Row],[Data de Início]]="","",MONTH(Table1[[#This Row],[Data de Início]]))</f>
        <v>3</v>
      </c>
      <c r="BC876" s="270"/>
    </row>
    <row r="877" spans="2:55" x14ac:dyDescent="0.25">
      <c r="B877" s="470">
        <v>46093.440972222219</v>
      </c>
      <c r="C877" s="263">
        <v>46093.59375</v>
      </c>
      <c r="D877" s="264" cm="1">
        <f t="array" ref="D877">IFERROR(HorasUteisFabrica2Turnos(B877,C877), "")</f>
        <v>2.6666666667442769</v>
      </c>
      <c r="E877" s="265">
        <f t="shared" si="13"/>
        <v>620.24999998194835</v>
      </c>
      <c r="F877" s="266" t="s">
        <v>377</v>
      </c>
      <c r="G877" s="266" t="s">
        <v>1489</v>
      </c>
      <c r="H877" s="266"/>
      <c r="I877" s="266" t="s">
        <v>1500</v>
      </c>
      <c r="J877" s="267" t="s">
        <v>15</v>
      </c>
      <c r="K877" s="268">
        <v>1654</v>
      </c>
      <c r="L877" s="268" t="s">
        <v>1139</v>
      </c>
      <c r="M877" s="510" t="str">
        <f>IFERROR(INDEX([1]Produtos!$C:$C,MATCH(L877,[1]Produtos!$B:$B,0)), "-")</f>
        <v>BODY SPLASH ZAHRA 120ml</v>
      </c>
      <c r="N877" s="510">
        <f>IFERROR(INDEX([1]Produtos!$E:$E,MATCH(L877,[1]Produtos!$B:$B,0)), "-")</f>
        <v>120</v>
      </c>
      <c r="O877" s="270" t="str">
        <f>IFERROR(INDEX([1]Produtos!$F:$F,MATCH(L877,[1]Produtos!$B:$B,0)), "-")</f>
        <v>ml</v>
      </c>
      <c r="P877" s="270" t="str">
        <f>IFERROR(INDEX([1]Produtos!$G:$G,MATCH(L877,[1]Produtos!$B:$B,0)), "-")</f>
        <v>BRIA BEAUTY</v>
      </c>
      <c r="Q877" s="270" t="str">
        <f>IFERROR(INDEX([1]Produtos!$H:$H,MATCH(L877,[1]Produtos!$B:$B,0)), "-")</f>
        <v>PERFUMARIA</v>
      </c>
      <c r="R877" s="270" t="str">
        <f>IFERROR(INDEX([1]Produtos!$I:$I,MATCH(L877,[1]Produtos!$B:$B,0)), "-")</f>
        <v>BODY SPLASH</v>
      </c>
      <c r="S877" s="270" t="str">
        <f>IFERROR(INDEX([1]Produtos!$J:$J,MATCH(L877,[1]Produtos!$B:$B,0)), "-")</f>
        <v>LÍQUIDO</v>
      </c>
      <c r="T877" s="475"/>
      <c r="U877" s="270"/>
      <c r="V877" s="270"/>
      <c r="W877" s="270"/>
      <c r="X877" s="270"/>
      <c r="Y877" s="270"/>
      <c r="Z877" s="270"/>
      <c r="AA877" s="270"/>
      <c r="AB877" s="270"/>
      <c r="AC877" s="270"/>
      <c r="AD877" s="270"/>
      <c r="AE877" s="270"/>
      <c r="AF877" s="270"/>
      <c r="AG877" s="270"/>
      <c r="AH877" s="270"/>
      <c r="AI877" s="270"/>
      <c r="AJ877" s="270"/>
      <c r="AK877" s="270"/>
      <c r="AL877" s="270"/>
      <c r="AM877" s="663"/>
      <c r="AN877" s="663"/>
      <c r="AO877" s="708" t="str">
        <f>IF(OR(Table1[[#This Row],[Início Setup Envase]]="",Table1[[#This Row],[Final Setup Envase]]=""),"",Table1[[#This Row],[Final Setup Envase]]-Table1[[#This Row],[Início Setup Envase]])</f>
        <v/>
      </c>
      <c r="AP877" s="663"/>
      <c r="AQ877" s="663"/>
      <c r="AR877" s="270"/>
      <c r="AS877" s="270"/>
      <c r="AT877" s="270"/>
      <c r="AU877" s="270"/>
      <c r="AV877" s="270"/>
      <c r="AW877" s="270"/>
      <c r="AX877" s="270"/>
      <c r="AY877" s="270"/>
      <c r="AZ877" s="270"/>
      <c r="BA877" s="270">
        <f>IF(Table1[[#This Row],[Data de Início]]="","",YEAR(Table1[[#This Row],[Data de Início]]))</f>
        <v>2026</v>
      </c>
      <c r="BB877" s="270">
        <f>IF(Table1[[#This Row],[Data de Início]]="","",MONTH(Table1[[#This Row],[Data de Início]]))</f>
        <v>3</v>
      </c>
      <c r="BC877" s="270"/>
    </row>
    <row r="878" spans="2:55" x14ac:dyDescent="0.25">
      <c r="B878" s="489">
        <v>46093.612500000003</v>
      </c>
      <c r="C878" s="490">
        <v>46094.458333333336</v>
      </c>
      <c r="D878" s="477" cm="1">
        <f t="array" ref="D878">IFERROR(HorasUteisFabrica2Turnos(B878,C878), "")</f>
        <v>6.3000000001047738</v>
      </c>
      <c r="E878" s="478">
        <f t="shared" si="13"/>
        <v>787.30158728849392</v>
      </c>
      <c r="F878" s="479" t="s">
        <v>377</v>
      </c>
      <c r="G878" s="266" t="s">
        <v>1489</v>
      </c>
      <c r="H878" s="479"/>
      <c r="I878" s="479" t="s">
        <v>1503</v>
      </c>
      <c r="J878" s="481" t="s">
        <v>15</v>
      </c>
      <c r="K878" s="268">
        <v>4960</v>
      </c>
      <c r="L878" s="481" t="s">
        <v>1091</v>
      </c>
      <c r="M878" s="511" t="str">
        <f>IFERROR(INDEX([1]Produtos!$C:$C,MATCH(L878,[1]Produtos!$B:$B,0)), "-")</f>
        <v>BODY SPLASH SOL TROPICAL 58 120ml</v>
      </c>
      <c r="N878" s="511">
        <f>IFERROR(INDEX([1]Produtos!$E:$E,MATCH(L878,[1]Produtos!$B:$B,0)), "-")</f>
        <v>120</v>
      </c>
      <c r="O878" s="483" t="str">
        <f>IFERROR(INDEX([1]Produtos!$F:$F,MATCH(L878,[1]Produtos!$B:$B,0)), "-")</f>
        <v>ml</v>
      </c>
      <c r="P878" s="483" t="str">
        <f>IFERROR(INDEX([1]Produtos!$G:$G,MATCH(L878,[1]Produtos!$B:$B,0)), "-")</f>
        <v>BRIA BEAUTY</v>
      </c>
      <c r="Q878" s="483" t="str">
        <f>IFERROR(INDEX([1]Produtos!$H:$H,MATCH(L878,[1]Produtos!$B:$B,0)), "-")</f>
        <v>PERFUMARIA</v>
      </c>
      <c r="R878" s="483" t="str">
        <f>IFERROR(INDEX([1]Produtos!$I:$I,MATCH(L878,[1]Produtos!$B:$B,0)), "-")</f>
        <v>BODY SPLASH</v>
      </c>
      <c r="S878" s="483" t="str">
        <f>IFERROR(INDEX([1]Produtos!$J:$J,MATCH(L878,[1]Produtos!$B:$B,0)), "-")</f>
        <v>LÍQUIDO</v>
      </c>
      <c r="T878" s="484"/>
      <c r="U878" s="270"/>
      <c r="V878" s="270"/>
      <c r="W878" s="270"/>
      <c r="X878" s="270"/>
      <c r="Y878" s="270"/>
      <c r="Z878" s="270"/>
      <c r="AA878" s="270"/>
      <c r="AB878" s="270"/>
      <c r="AC878" s="270"/>
      <c r="AD878" s="270"/>
      <c r="AE878" s="270"/>
      <c r="AF878" s="270"/>
      <c r="AG878" s="270"/>
      <c r="AH878" s="270"/>
      <c r="AI878" s="270"/>
      <c r="AJ878" s="270"/>
      <c r="AK878" s="270"/>
      <c r="AL878" s="270"/>
      <c r="AM878" s="663"/>
      <c r="AN878" s="663"/>
      <c r="AO878" s="708" t="str">
        <f>IF(OR(Table1[[#This Row],[Início Setup Envase]]="",Table1[[#This Row],[Final Setup Envase]]=""),"",Table1[[#This Row],[Final Setup Envase]]-Table1[[#This Row],[Início Setup Envase]])</f>
        <v/>
      </c>
      <c r="AP878" s="663"/>
      <c r="AQ878" s="663"/>
      <c r="AR878" s="270"/>
      <c r="AS878" s="270"/>
      <c r="AT878" s="270"/>
      <c r="AU878" s="270"/>
      <c r="AV878" s="270"/>
      <c r="AW878" s="270"/>
      <c r="AX878" s="270"/>
      <c r="AY878" s="270"/>
      <c r="AZ878" s="270"/>
      <c r="BA878" s="270">
        <f>IF(Table1[[#This Row],[Data de Início]]="","",YEAR(Table1[[#This Row],[Data de Início]]))</f>
        <v>2026</v>
      </c>
      <c r="BB878" s="270">
        <f>IF(Table1[[#This Row],[Data de Início]]="","",MONTH(Table1[[#This Row],[Data de Início]]))</f>
        <v>3</v>
      </c>
      <c r="BC878" s="270"/>
    </row>
    <row r="879" spans="2:55" x14ac:dyDescent="0.25">
      <c r="B879" s="470">
        <v>46093.666666666664</v>
      </c>
      <c r="C879" s="263">
        <v>46094.606944444444</v>
      </c>
      <c r="D879" s="264" cm="1">
        <f t="array" ref="D879">IFERROR(HorasUteisFabrica2Turnos(B879,C879), "")</f>
        <v>7.5666666668257676</v>
      </c>
      <c r="E879" s="265">
        <f t="shared" si="13"/>
        <v>592.07048456904863</v>
      </c>
      <c r="F879" s="266" t="s">
        <v>378</v>
      </c>
      <c r="G879" s="266" t="s">
        <v>1489</v>
      </c>
      <c r="H879" s="266"/>
      <c r="I879" s="479" t="s">
        <v>1504</v>
      </c>
      <c r="J879" s="481" t="s">
        <v>15</v>
      </c>
      <c r="K879" s="268">
        <v>4480</v>
      </c>
      <c r="L879" s="481" t="s">
        <v>1091</v>
      </c>
      <c r="M879" s="270" t="str">
        <f>IFERROR(INDEX([1]Produtos!$C:$C,MATCH(L879,[1]Produtos!$B:$B,0)), "-")</f>
        <v>BODY SPLASH SOL TROPICAL 58 120ml</v>
      </c>
      <c r="N879" s="510">
        <f>IFERROR(INDEX([1]Produtos!$E:$E,MATCH(L879,[1]Produtos!$B:$B,0)), "-")</f>
        <v>120</v>
      </c>
      <c r="O879" s="270" t="str">
        <f>IFERROR(INDEX([1]Produtos!$F:$F,MATCH(L879,[1]Produtos!$B:$B,0)), "-")</f>
        <v>ml</v>
      </c>
      <c r="P879" s="270" t="str">
        <f>IFERROR(INDEX([1]Produtos!$G:$G,MATCH(L879,[1]Produtos!$B:$B,0)), "-")</f>
        <v>BRIA BEAUTY</v>
      </c>
      <c r="Q879" s="270" t="str">
        <f>IFERROR(INDEX([1]Produtos!$H:$H,MATCH(L879,[1]Produtos!$B:$B,0)), "-")</f>
        <v>PERFUMARIA</v>
      </c>
      <c r="R879" s="270" t="str">
        <f>IFERROR(INDEX([1]Produtos!$I:$I,MATCH(L879,[1]Produtos!$B:$B,0)), "-")</f>
        <v>BODY SPLASH</v>
      </c>
      <c r="S879" s="270" t="str">
        <f>IFERROR(INDEX([1]Produtos!$J:$J,MATCH(L879,[1]Produtos!$B:$B,0)), "-")</f>
        <v>LÍQUIDO</v>
      </c>
      <c r="T879" s="475"/>
      <c r="U879" s="270"/>
      <c r="V879" s="270"/>
      <c r="W879" s="270"/>
      <c r="X879" s="270"/>
      <c r="Y879" s="270"/>
      <c r="Z879" s="270"/>
      <c r="AA879" s="270"/>
      <c r="AB879" s="270"/>
      <c r="AC879" s="270"/>
      <c r="AD879" s="270"/>
      <c r="AE879" s="270"/>
      <c r="AF879" s="270"/>
      <c r="AG879" s="270"/>
      <c r="AH879" s="270"/>
      <c r="AI879" s="270"/>
      <c r="AJ879" s="270"/>
      <c r="AK879" s="270"/>
      <c r="AL879" s="270"/>
      <c r="AM879" s="663"/>
      <c r="AN879" s="663"/>
      <c r="AO879" s="708" t="str">
        <f>IF(OR(Table1[[#This Row],[Início Setup Envase]]="",Table1[[#This Row],[Final Setup Envase]]=""),"",Table1[[#This Row],[Final Setup Envase]]-Table1[[#This Row],[Início Setup Envase]])</f>
        <v/>
      </c>
      <c r="AP879" s="663"/>
      <c r="AQ879" s="663"/>
      <c r="AR879" s="270"/>
      <c r="AS879" s="270"/>
      <c r="AT879" s="270"/>
      <c r="AU879" s="270"/>
      <c r="AV879" s="270"/>
      <c r="AW879" s="270"/>
      <c r="AX879" s="270"/>
      <c r="AY879" s="270"/>
      <c r="AZ879" s="270"/>
      <c r="BA879" s="270">
        <f>IF(Table1[[#This Row],[Data de Início]]="","",YEAR(Table1[[#This Row],[Data de Início]]))</f>
        <v>2026</v>
      </c>
      <c r="BB879" s="270">
        <f>IF(Table1[[#This Row],[Data de Início]]="","",MONTH(Table1[[#This Row],[Data de Início]]))</f>
        <v>3</v>
      </c>
      <c r="BC879" s="270"/>
    </row>
    <row r="880" spans="2:55" x14ac:dyDescent="0.25">
      <c r="B880" s="470">
        <v>46094.606944444444</v>
      </c>
      <c r="C880" s="263">
        <v>46097.583333333336</v>
      </c>
      <c r="D880" s="264" cm="1">
        <f t="array" ref="D880">IFERROR(HorasUteisFabrica2Turnos(B880,C880), "")</f>
        <v>7.433333333407063</v>
      </c>
      <c r="E880" s="265">
        <f t="shared" si="13"/>
        <v>581.16591927674676</v>
      </c>
      <c r="F880" s="266" t="s">
        <v>378</v>
      </c>
      <c r="G880" s="266" t="s">
        <v>1489</v>
      </c>
      <c r="H880" s="266"/>
      <c r="I880" s="479" t="s">
        <v>1505</v>
      </c>
      <c r="J880" s="481" t="s">
        <v>15</v>
      </c>
      <c r="K880" s="268">
        <v>4320</v>
      </c>
      <c r="L880" s="481" t="s">
        <v>1091</v>
      </c>
      <c r="M880" s="270" t="str">
        <f>IFERROR(INDEX([1]Produtos!$C:$C,MATCH(L880,[1]Produtos!$B:$B,0)), "-")</f>
        <v>BODY SPLASH SOL TROPICAL 58 120ml</v>
      </c>
      <c r="N880" s="510">
        <f>IFERROR(INDEX([1]Produtos!$E:$E,MATCH(L880,[1]Produtos!$B:$B,0)), "-")</f>
        <v>120</v>
      </c>
      <c r="O880" s="270" t="str">
        <f>IFERROR(INDEX([1]Produtos!$F:$F,MATCH(L880,[1]Produtos!$B:$B,0)), "-")</f>
        <v>ml</v>
      </c>
      <c r="P880" s="270" t="str">
        <f>IFERROR(INDEX([1]Produtos!$G:$G,MATCH(L880,[1]Produtos!$B:$B,0)), "-")</f>
        <v>BRIA BEAUTY</v>
      </c>
      <c r="Q880" s="270" t="str">
        <f>IFERROR(INDEX([1]Produtos!$H:$H,MATCH(L880,[1]Produtos!$B:$B,0)), "-")</f>
        <v>PERFUMARIA</v>
      </c>
      <c r="R880" s="270" t="str">
        <f>IFERROR(INDEX([1]Produtos!$I:$I,MATCH(L880,[1]Produtos!$B:$B,0)), "-")</f>
        <v>BODY SPLASH</v>
      </c>
      <c r="S880" s="270" t="str">
        <f>IFERROR(INDEX([1]Produtos!$J:$J,MATCH(L880,[1]Produtos!$B:$B,0)), "-")</f>
        <v>LÍQUIDO</v>
      </c>
      <c r="T880" s="475"/>
      <c r="U880" s="270"/>
      <c r="V880" s="270"/>
      <c r="W880" s="270"/>
      <c r="X880" s="270"/>
      <c r="Y880" s="270"/>
      <c r="Z880" s="270"/>
      <c r="AA880" s="270"/>
      <c r="AB880" s="270"/>
      <c r="AC880" s="270"/>
      <c r="AD880" s="270"/>
      <c r="AE880" s="270"/>
      <c r="AF880" s="270"/>
      <c r="AG880" s="270"/>
      <c r="AH880" s="270"/>
      <c r="AI880" s="270"/>
      <c r="AJ880" s="270"/>
      <c r="AK880" s="270"/>
      <c r="AL880" s="270"/>
      <c r="AM880" s="663"/>
      <c r="AN880" s="663"/>
      <c r="AO880" s="708" t="str">
        <f>IF(OR(Table1[[#This Row],[Início Setup Envase]]="",Table1[[#This Row],[Final Setup Envase]]=""),"",Table1[[#This Row],[Final Setup Envase]]-Table1[[#This Row],[Início Setup Envase]])</f>
        <v/>
      </c>
      <c r="AP880" s="663"/>
      <c r="AQ880" s="663"/>
      <c r="AR880" s="270"/>
      <c r="AS880" s="270"/>
      <c r="AT880" s="270"/>
      <c r="AU880" s="270"/>
      <c r="AV880" s="270"/>
      <c r="AW880" s="270"/>
      <c r="AX880" s="270"/>
      <c r="AY880" s="270"/>
      <c r="AZ880" s="270"/>
      <c r="BA880" s="270">
        <f>IF(Table1[[#This Row],[Data de Início]]="","",YEAR(Table1[[#This Row],[Data de Início]]))</f>
        <v>2026</v>
      </c>
      <c r="BB880" s="270">
        <f>IF(Table1[[#This Row],[Data de Início]]="","",MONTH(Table1[[#This Row],[Data de Início]]))</f>
        <v>3</v>
      </c>
      <c r="BC880" s="270"/>
    </row>
    <row r="881" spans="2:55" x14ac:dyDescent="0.25">
      <c r="B881" s="470">
        <v>46097.489583333336</v>
      </c>
      <c r="C881" s="263">
        <v>46097.661111111112</v>
      </c>
      <c r="D881" s="264" cm="1">
        <f t="array" ref="D881">IFERROR(HorasUteisFabrica2Turnos(B881,C881), "")</f>
        <v>3.1166666666395031</v>
      </c>
      <c r="E881" s="265">
        <f t="shared" si="13"/>
        <v>556.6844919834615</v>
      </c>
      <c r="F881" s="479" t="s">
        <v>377</v>
      </c>
      <c r="G881" s="266" t="s">
        <v>1470</v>
      </c>
      <c r="H881" s="266"/>
      <c r="I881" s="480" t="s">
        <v>1525</v>
      </c>
      <c r="J881" s="481" t="s">
        <v>15</v>
      </c>
      <c r="K881" s="268">
        <v>1735</v>
      </c>
      <c r="L881" s="269" t="s">
        <v>1480</v>
      </c>
      <c r="M881" s="510" t="str">
        <f>IFERROR(INDEX([1]Produtos!$C:$C,MATCH(L881,[1]Produtos!$B:$B,0)), "-")</f>
        <v>HIDRATANTE BISNAGA DELICADA 200g</v>
      </c>
      <c r="N881" s="510">
        <f>IFERROR(INDEX([1]Produtos!$E:$E,MATCH(L881,[1]Produtos!$B:$B,0)), "-")</f>
        <v>200</v>
      </c>
      <c r="O881" s="270" t="str">
        <f>IFERROR(INDEX([1]Produtos!$F:$F,MATCH(L881,[1]Produtos!$B:$B,0)), "-")</f>
        <v>g</v>
      </c>
      <c r="P881" s="270" t="str">
        <f>IFERROR(INDEX([1]Produtos!$G:$G,MATCH(L881,[1]Produtos!$B:$B,0)), "-")</f>
        <v>HABIBI PERFUMES</v>
      </c>
      <c r="Q881" s="270" t="str">
        <f>IFERROR(INDEX([1]Produtos!$H:$H,MATCH(L881,[1]Produtos!$B:$B,0)), "-")</f>
        <v>CORPORAL</v>
      </c>
      <c r="R881" s="270" t="str">
        <f>IFERROR(INDEX([1]Produtos!$I:$I,MATCH(L881,[1]Produtos!$B:$B,0)), "-")</f>
        <v>CREME HIDRATANTE</v>
      </c>
      <c r="S881" s="270" t="str">
        <f>IFERROR(INDEX([1]Produtos!$J:$J,MATCH(L881,[1]Produtos!$B:$B,0)), "-")</f>
        <v>CREMOSO</v>
      </c>
      <c r="T881" s="475"/>
      <c r="U881" s="270"/>
      <c r="V881" s="270"/>
      <c r="W881" s="270"/>
      <c r="X881" s="270"/>
      <c r="Y881" s="270"/>
      <c r="Z881" s="270"/>
      <c r="AA881" s="270"/>
      <c r="AB881" s="270"/>
      <c r="AC881" s="270"/>
      <c r="AD881" s="270"/>
      <c r="AE881" s="270"/>
      <c r="AF881" s="270"/>
      <c r="AG881" s="270"/>
      <c r="AH881" s="270"/>
      <c r="AI881" s="270"/>
      <c r="AJ881" s="270"/>
      <c r="AK881" s="270"/>
      <c r="AL881" s="270"/>
      <c r="AM881" s="663"/>
      <c r="AN881" s="663"/>
      <c r="AO881" s="708" t="str">
        <f>IF(OR(Table1[[#This Row],[Início Setup Envase]]="",Table1[[#This Row],[Final Setup Envase]]=""),"",Table1[[#This Row],[Final Setup Envase]]-Table1[[#This Row],[Início Setup Envase]])</f>
        <v/>
      </c>
      <c r="AP881" s="663"/>
      <c r="AQ881" s="663"/>
      <c r="AR881" s="270"/>
      <c r="AS881" s="270"/>
      <c r="AT881" s="270"/>
      <c r="AU881" s="270"/>
      <c r="AV881" s="270"/>
      <c r="AW881" s="270"/>
      <c r="AX881" s="270"/>
      <c r="AY881" s="270"/>
      <c r="AZ881" s="270"/>
      <c r="BA881" s="270">
        <f>IF(Table1[[#This Row],[Data de Início]]="","",YEAR(Table1[[#This Row],[Data de Início]]))</f>
        <v>2026</v>
      </c>
      <c r="BB881" s="270">
        <f>IF(Table1[[#This Row],[Data de Início]]="","",MONTH(Table1[[#This Row],[Data de Início]]))</f>
        <v>3</v>
      </c>
      <c r="BC881" s="270"/>
    </row>
    <row r="882" spans="2:55" x14ac:dyDescent="0.25">
      <c r="B882" s="470">
        <v>46097.583333333336</v>
      </c>
      <c r="C882" s="263">
        <v>46098.40625</v>
      </c>
      <c r="D882" s="264" cm="1">
        <f t="array" ref="D882">IFERROR(HorasUteisFabrica2Turnos(B882,C882), "")</f>
        <v>5.7500000000582077</v>
      </c>
      <c r="E882" s="265">
        <f t="shared" si="13"/>
        <v>595.99999999396664</v>
      </c>
      <c r="F882" s="266" t="s">
        <v>378</v>
      </c>
      <c r="G882" s="266" t="s">
        <v>1489</v>
      </c>
      <c r="H882" s="266"/>
      <c r="I882" s="266" t="s">
        <v>1506</v>
      </c>
      <c r="J882" s="267" t="s">
        <v>15</v>
      </c>
      <c r="K882" s="268">
        <v>3427</v>
      </c>
      <c r="L882" s="269" t="s">
        <v>1091</v>
      </c>
      <c r="M882" s="270" t="str">
        <f>IFERROR(INDEX([1]Produtos!$C:$C,MATCH(L882,[1]Produtos!$B:$B,0)), "-")</f>
        <v>BODY SPLASH SOL TROPICAL 58 120ml</v>
      </c>
      <c r="N882" s="510">
        <f>IFERROR(INDEX([1]Produtos!$E:$E,MATCH(L882,[1]Produtos!$B:$B,0)), "-")</f>
        <v>120</v>
      </c>
      <c r="O882" s="270" t="str">
        <f>IFERROR(INDEX([1]Produtos!$F:$F,MATCH(L882,[1]Produtos!$B:$B,0)), "-")</f>
        <v>ml</v>
      </c>
      <c r="P882" s="270" t="str">
        <f>IFERROR(INDEX([1]Produtos!$G:$G,MATCH(L882,[1]Produtos!$B:$B,0)), "-")</f>
        <v>BRIA BEAUTY</v>
      </c>
      <c r="Q882" s="270" t="str">
        <f>IFERROR(INDEX([1]Produtos!$H:$H,MATCH(L882,[1]Produtos!$B:$B,0)), "-")</f>
        <v>PERFUMARIA</v>
      </c>
      <c r="R882" s="270" t="str">
        <f>IFERROR(INDEX([1]Produtos!$I:$I,MATCH(L882,[1]Produtos!$B:$B,0)), "-")</f>
        <v>BODY SPLASH</v>
      </c>
      <c r="S882" s="270" t="str">
        <f>IFERROR(INDEX([1]Produtos!$J:$J,MATCH(L882,[1]Produtos!$B:$B,0)), "-")</f>
        <v>LÍQUIDO</v>
      </c>
      <c r="T882" s="475"/>
      <c r="U882" s="270"/>
      <c r="V882" s="270"/>
      <c r="W882" s="270"/>
      <c r="X882" s="270"/>
      <c r="Y882" s="270"/>
      <c r="Z882" s="270"/>
      <c r="AA882" s="270"/>
      <c r="AB882" s="270"/>
      <c r="AC882" s="270"/>
      <c r="AD882" s="270"/>
      <c r="AE882" s="270"/>
      <c r="AF882" s="270"/>
      <c r="AG882" s="270"/>
      <c r="AH882" s="270"/>
      <c r="AI882" s="270"/>
      <c r="AJ882" s="270"/>
      <c r="AK882" s="270"/>
      <c r="AL882" s="270"/>
      <c r="AM882" s="663"/>
      <c r="AN882" s="663"/>
      <c r="AO882" s="708" t="str">
        <f>IF(OR(Table1[[#This Row],[Início Setup Envase]]="",Table1[[#This Row],[Final Setup Envase]]=""),"",Table1[[#This Row],[Final Setup Envase]]-Table1[[#This Row],[Início Setup Envase]])</f>
        <v/>
      </c>
      <c r="AP882" s="663"/>
      <c r="AQ882" s="663"/>
      <c r="AR882" s="270"/>
      <c r="AS882" s="270"/>
      <c r="AT882" s="270"/>
      <c r="AU882" s="270"/>
      <c r="AV882" s="270"/>
      <c r="AW882" s="270"/>
      <c r="AX882" s="270"/>
      <c r="AY882" s="270"/>
      <c r="AZ882" s="270"/>
      <c r="BA882" s="270">
        <f>IF(Table1[[#This Row],[Data de Início]]="","",YEAR(Table1[[#This Row],[Data de Início]]))</f>
        <v>2026</v>
      </c>
      <c r="BB882" s="270">
        <f>IF(Table1[[#This Row],[Data de Início]]="","",MONTH(Table1[[#This Row],[Data de Início]]))</f>
        <v>3</v>
      </c>
      <c r="BC882" s="270"/>
    </row>
    <row r="883" spans="2:55" x14ac:dyDescent="0.25">
      <c r="B883" s="471">
        <v>46097.635416666664</v>
      </c>
      <c r="C883" s="439">
        <v>46098.427083333336</v>
      </c>
      <c r="D883" s="264" cm="1">
        <f t="array" ref="D883">IFERROR(HorasUteisFabrica2Turnos(B883,C883), "")</f>
        <v>5.0000000002328306</v>
      </c>
      <c r="E883" s="265">
        <f t="shared" si="13"/>
        <v>392.99999998169949</v>
      </c>
      <c r="F883" s="266" t="s">
        <v>377</v>
      </c>
      <c r="G883" s="266" t="s">
        <v>1470</v>
      </c>
      <c r="H883" s="266"/>
      <c r="I883" s="648" t="s">
        <v>1747</v>
      </c>
      <c r="J883" s="267" t="s">
        <v>15</v>
      </c>
      <c r="K883" s="469">
        <v>1965</v>
      </c>
      <c r="L883" s="648" t="s">
        <v>1476</v>
      </c>
      <c r="M883" s="510" t="str">
        <f>IFERROR(INDEX([1]Produtos!$C:$C,MATCH(L883,[1]Produtos!$B:$B,0)), "-")</f>
        <v>HIDRATANTE BISNAGA IMPERIUM 200g</v>
      </c>
      <c r="N883" s="510">
        <f>IFERROR(INDEX([1]Produtos!$E:$E,MATCH(L883,[1]Produtos!$B:$B,0)), "-")</f>
        <v>200</v>
      </c>
      <c r="O883" s="270" t="str">
        <f>IFERROR(INDEX([1]Produtos!$F:$F,MATCH(L883,[1]Produtos!$B:$B,0)), "-")</f>
        <v>g</v>
      </c>
      <c r="P883" s="264" t="str">
        <f>IFERROR(INDEX([1]Produtos!$G:$G,MATCH(L883,[1]Produtos!$B:$B,0)), "-")</f>
        <v>HABIBI PERFUMES</v>
      </c>
      <c r="Q883" s="270" t="str">
        <f>IFERROR(INDEX([1]Produtos!$H:$H,MATCH(L883,[1]Produtos!$B:$B,0)), "-")</f>
        <v>CORPORAL</v>
      </c>
      <c r="R883" s="270" t="str">
        <f>IFERROR(INDEX([1]Produtos!$I:$I,MATCH(L883,[1]Produtos!$B:$B,0)), "-")</f>
        <v>CREME HIDRATANTE</v>
      </c>
      <c r="S883" s="270" t="str">
        <f>IFERROR(INDEX([1]Produtos!$J:$J,MATCH(L883,[1]Produtos!$B:$B,0)), "-")</f>
        <v>CREMOSO</v>
      </c>
      <c r="T883" s="475"/>
      <c r="U883" s="270"/>
      <c r="V883" s="270"/>
      <c r="W883" s="270"/>
      <c r="X883" s="270"/>
      <c r="Y883" s="270"/>
      <c r="Z883" s="270"/>
      <c r="AA883" s="270"/>
      <c r="AB883" s="270"/>
      <c r="AC883" s="270"/>
      <c r="AD883" s="270"/>
      <c r="AE883" s="270"/>
      <c r="AF883" s="270"/>
      <c r="AG883" s="270"/>
      <c r="AH883" s="270"/>
      <c r="AI883" s="270"/>
      <c r="AJ883" s="270"/>
      <c r="AK883" s="270"/>
      <c r="AL883" s="270"/>
      <c r="AM883" s="663"/>
      <c r="AN883" s="663"/>
      <c r="AO883" s="708" t="str">
        <f>IF(OR(Table1[[#This Row],[Início Setup Envase]]="",Table1[[#This Row],[Final Setup Envase]]=""),"",Table1[[#This Row],[Final Setup Envase]]-Table1[[#This Row],[Início Setup Envase]])</f>
        <v/>
      </c>
      <c r="AP883" s="663"/>
      <c r="AQ883" s="663"/>
      <c r="AR883" s="270"/>
      <c r="AS883" s="270"/>
      <c r="AT883" s="270"/>
      <c r="AU883" s="270"/>
      <c r="AV883" s="270"/>
      <c r="AW883" s="270"/>
      <c r="AX883" s="270"/>
      <c r="AY883" s="270"/>
      <c r="AZ883" s="270"/>
      <c r="BA883" s="270">
        <f>IF(Table1[[#This Row],[Data de Início]]="","",YEAR(Table1[[#This Row],[Data de Início]]))</f>
        <v>2026</v>
      </c>
      <c r="BB883" s="270">
        <f>IF(Table1[[#This Row],[Data de Início]]="","",MONTH(Table1[[#This Row],[Data de Início]]))</f>
        <v>3</v>
      </c>
      <c r="BC883" s="270"/>
    </row>
    <row r="884" spans="2:55" x14ac:dyDescent="0.25">
      <c r="B884" s="489">
        <v>46098.430555555555</v>
      </c>
      <c r="C884" s="490">
        <v>46098.638888888891</v>
      </c>
      <c r="D884" s="477" cm="1">
        <f t="array" ref="D884">IFERROR(HorasUteisFabrica2Turnos(B884,C884), "")</f>
        <v>4.0000000000582077</v>
      </c>
      <c r="E884" s="478">
        <f t="shared" si="13"/>
        <v>483.99999999295687</v>
      </c>
      <c r="F884" s="266" t="s">
        <v>377</v>
      </c>
      <c r="G884" s="266" t="s">
        <v>1470</v>
      </c>
      <c r="H884" s="479"/>
      <c r="I884" s="480" t="s">
        <v>1557</v>
      </c>
      <c r="J884" s="267" t="s">
        <v>15</v>
      </c>
      <c r="K884" s="268">
        <v>1936</v>
      </c>
      <c r="L884" s="269" t="s">
        <v>1487</v>
      </c>
      <c r="M884" s="511" t="str">
        <f>IFERROR(INDEX([1]Produtos!$C:$C,MATCH(L884,[1]Produtos!$B:$B,0)), "-")</f>
        <v>HIDRATANTE BISNAGA IMPERIUM BOURBON 200g</v>
      </c>
      <c r="N884" s="511">
        <f>IFERROR(INDEX([1]Produtos!$E:$E,MATCH(L884,[1]Produtos!$B:$B,0)), "-")</f>
        <v>200</v>
      </c>
      <c r="O884" s="483" t="str">
        <f>IFERROR(INDEX([1]Produtos!$F:$F,MATCH(L884,[1]Produtos!$B:$B,0)), "-")</f>
        <v>g</v>
      </c>
      <c r="P884" s="483" t="str">
        <f>IFERROR(INDEX([1]Produtos!$G:$G,MATCH(L884,[1]Produtos!$B:$B,0)), "-")</f>
        <v>HABIBI PERFUMES</v>
      </c>
      <c r="Q884" s="483" t="str">
        <f>IFERROR(INDEX([1]Produtos!$H:$H,MATCH(L884,[1]Produtos!$B:$B,0)), "-")</f>
        <v>CORPORAL</v>
      </c>
      <c r="R884" s="270" t="str">
        <f>IFERROR(INDEX([1]Produtos!$I:$I,MATCH(L884,[1]Produtos!$B:$B,0)), "-")</f>
        <v>CREME HIDRATANTE</v>
      </c>
      <c r="S884" s="270" t="str">
        <f>IFERROR(INDEX([1]Produtos!$J:$J,MATCH(L884,[1]Produtos!$B:$B,0)), "-")</f>
        <v>CREMOSO</v>
      </c>
      <c r="T884" s="484"/>
      <c r="U884" s="270"/>
      <c r="V884" s="270"/>
      <c r="W884" s="270"/>
      <c r="X884" s="270"/>
      <c r="Y884" s="270"/>
      <c r="Z884" s="270"/>
      <c r="AA884" s="270"/>
      <c r="AB884" s="270"/>
      <c r="AC884" s="270"/>
      <c r="AD884" s="270"/>
      <c r="AE884" s="270"/>
      <c r="AF884" s="270"/>
      <c r="AG884" s="270"/>
      <c r="AH884" s="270"/>
      <c r="AI884" s="270"/>
      <c r="AJ884" s="270"/>
      <c r="AK884" s="270"/>
      <c r="AL884" s="270"/>
      <c r="AM884" s="663"/>
      <c r="AN884" s="663"/>
      <c r="AO884" s="708" t="str">
        <f>IF(OR(Table1[[#This Row],[Início Setup Envase]]="",Table1[[#This Row],[Final Setup Envase]]=""),"",Table1[[#This Row],[Final Setup Envase]]-Table1[[#This Row],[Início Setup Envase]])</f>
        <v/>
      </c>
      <c r="AP884" s="663"/>
      <c r="AQ884" s="663"/>
      <c r="AR884" s="270"/>
      <c r="AS884" s="270"/>
      <c r="AT884" s="270"/>
      <c r="AU884" s="270"/>
      <c r="AV884" s="270"/>
      <c r="AW884" s="270"/>
      <c r="AX884" s="270"/>
      <c r="AY884" s="270"/>
      <c r="AZ884" s="270"/>
      <c r="BA884" s="270">
        <f>IF(Table1[[#This Row],[Data de Início]]="","",YEAR(Table1[[#This Row],[Data de Início]]))</f>
        <v>2026</v>
      </c>
      <c r="BB884" s="270">
        <f>IF(Table1[[#This Row],[Data de Início]]="","",MONTH(Table1[[#This Row],[Data de Início]]))</f>
        <v>3</v>
      </c>
      <c r="BC884" s="270"/>
    </row>
    <row r="885" spans="2:55" x14ac:dyDescent="0.25">
      <c r="B885" s="470">
        <v>46098.638888888891</v>
      </c>
      <c r="C885" s="263">
        <v>46099.344444444447</v>
      </c>
      <c r="D885" s="264" cm="1">
        <f t="array" ref="D885">IFERROR(HorasUteisFabrica2Turnos(B885,C885), "")</f>
        <v>2.9333333334652707</v>
      </c>
      <c r="E885" s="265">
        <f t="shared" si="13"/>
        <v>1472.7272726610315</v>
      </c>
      <c r="F885" s="266" t="s">
        <v>378</v>
      </c>
      <c r="G885" s="266" t="s">
        <v>1489</v>
      </c>
      <c r="H885" s="266"/>
      <c r="I885" s="266" t="s">
        <v>1507</v>
      </c>
      <c r="J885" s="267" t="s">
        <v>15</v>
      </c>
      <c r="K885" s="268">
        <v>4320</v>
      </c>
      <c r="L885" s="269" t="s">
        <v>1123</v>
      </c>
      <c r="M885" s="510" t="str">
        <f>IFERROR(INDEX([1]Produtos!$C:$C,MATCH(L885,[1]Produtos!$B:$B,0)), "-")</f>
        <v>BODY SPLASH LUNAR 120ml</v>
      </c>
      <c r="N885" s="510">
        <f>IFERROR(INDEX([1]Produtos!$E:$E,MATCH(L885,[1]Produtos!$B:$B,0)), "-")</f>
        <v>120</v>
      </c>
      <c r="O885" s="270" t="str">
        <f>IFERROR(INDEX([1]Produtos!$F:$F,MATCH(L885,[1]Produtos!$B:$B,0)), "-")</f>
        <v>ml</v>
      </c>
      <c r="P885" s="270" t="str">
        <f>IFERROR(INDEX([1]Produtos!$G:$G,MATCH(L885,[1]Produtos!$B:$B,0)), "-")</f>
        <v>BRIA BEAUTY</v>
      </c>
      <c r="Q885" s="270" t="str">
        <f>IFERROR(INDEX([1]Produtos!$H:$H,MATCH(L885,[1]Produtos!$B:$B,0)), "-")</f>
        <v>PERFUMARIA</v>
      </c>
      <c r="R885" s="270" t="str">
        <f>IFERROR(INDEX([1]Produtos!$I:$I,MATCH(L885,[1]Produtos!$B:$B,0)), "-")</f>
        <v>BODY SPLASH</v>
      </c>
      <c r="S885" s="270" t="str">
        <f>IFERROR(INDEX([1]Produtos!$J:$J,MATCH(L885,[1]Produtos!$B:$B,0)), "-")</f>
        <v>LÍQUIDO</v>
      </c>
      <c r="T885" s="475"/>
      <c r="U885" s="270"/>
      <c r="V885" s="270"/>
      <c r="W885" s="270"/>
      <c r="X885" s="270"/>
      <c r="Y885" s="270"/>
      <c r="Z885" s="270"/>
      <c r="AA885" s="270"/>
      <c r="AB885" s="270"/>
      <c r="AC885" s="270"/>
      <c r="AD885" s="270"/>
      <c r="AE885" s="270"/>
      <c r="AF885" s="270"/>
      <c r="AG885" s="270"/>
      <c r="AH885" s="270"/>
      <c r="AI885" s="270"/>
      <c r="AJ885" s="270"/>
      <c r="AK885" s="270"/>
      <c r="AL885" s="270"/>
      <c r="AM885" s="663"/>
      <c r="AN885" s="663"/>
      <c r="AO885" s="708" t="str">
        <f>IF(OR(Table1[[#This Row],[Início Setup Envase]]="",Table1[[#This Row],[Final Setup Envase]]=""),"",Table1[[#This Row],[Final Setup Envase]]-Table1[[#This Row],[Início Setup Envase]])</f>
        <v/>
      </c>
      <c r="AP885" s="663"/>
      <c r="AQ885" s="663"/>
      <c r="AR885" s="270"/>
      <c r="AS885" s="270"/>
      <c r="AT885" s="270"/>
      <c r="AU885" s="270"/>
      <c r="AV885" s="270"/>
      <c r="AW885" s="270"/>
      <c r="AX885" s="270"/>
      <c r="AY885" s="270"/>
      <c r="AZ885" s="270"/>
      <c r="BA885" s="270">
        <f>IF(Table1[[#This Row],[Data de Início]]="","",YEAR(Table1[[#This Row],[Data de Início]]))</f>
        <v>2026</v>
      </c>
      <c r="BB885" s="270">
        <f>IF(Table1[[#This Row],[Data de Início]]="","",MONTH(Table1[[#This Row],[Data de Início]]))</f>
        <v>3</v>
      </c>
      <c r="BC885" s="270"/>
    </row>
    <row r="886" spans="2:55" x14ac:dyDescent="0.25">
      <c r="B886" s="489">
        <v>46098.652777777781</v>
      </c>
      <c r="C886" s="490">
        <v>46099.398611111108</v>
      </c>
      <c r="D886" s="477" cm="1">
        <f t="array" ref="D886">IFERROR(HorasUteisFabrica2Turnos(B886,C886), "")</f>
        <v>3.8999999999650754</v>
      </c>
      <c r="E886" s="478">
        <f t="shared" si="13"/>
        <v>479.23076923506073</v>
      </c>
      <c r="F886" s="479" t="s">
        <v>377</v>
      </c>
      <c r="G886" s="266" t="s">
        <v>1470</v>
      </c>
      <c r="H886" s="479"/>
      <c r="I886" s="481" t="s">
        <v>1707</v>
      </c>
      <c r="J886" s="482" t="s">
        <v>15</v>
      </c>
      <c r="K886" s="268">
        <v>1869</v>
      </c>
      <c r="L886" s="269" t="s">
        <v>1482</v>
      </c>
      <c r="M886" s="510" t="str">
        <f>IFERROR(INDEX([1]Produtos!$C:$C,MATCH(L886,[1]Produtos!$B:$B,0)), "-")</f>
        <v>HIDRATANTE BISNAGA ANGELUS 200g</v>
      </c>
      <c r="N886" s="511">
        <f>IFERROR(INDEX([1]Produtos!$E:$E,MATCH(L886,[1]Produtos!$B:$B,0)), "-")</f>
        <v>200</v>
      </c>
      <c r="O886" s="483" t="str">
        <f>IFERROR(INDEX([1]Produtos!$F:$F,MATCH(L886,[1]Produtos!$B:$B,0)), "-")</f>
        <v>g</v>
      </c>
      <c r="P886" s="477" t="str">
        <f>IFERROR(INDEX([1]Produtos!$G:$G,MATCH(L886,[1]Produtos!$B:$B,0)), "-")</f>
        <v>HABIBI PERFUMES</v>
      </c>
      <c r="Q886" s="483" t="str">
        <f>IFERROR(INDEX([1]Produtos!$H:$H,MATCH(L886,[1]Produtos!$B:$B,0)), "-")</f>
        <v>CORPORAL</v>
      </c>
      <c r="R886" s="270" t="str">
        <f>IFERROR(INDEX([1]Produtos!$I:$I,MATCH(L886,[1]Produtos!$B:$B,0)), "-")</f>
        <v>CREME HIDRATANTE</v>
      </c>
      <c r="S886" s="270" t="str">
        <f>IFERROR(INDEX([1]Produtos!$J:$J,MATCH(L886,[1]Produtos!$B:$B,0)), "-")</f>
        <v>CREMOSO</v>
      </c>
      <c r="T886" s="475"/>
      <c r="U886" s="270"/>
      <c r="V886" s="270"/>
      <c r="W886" s="270"/>
      <c r="X886" s="270"/>
      <c r="Y886" s="270"/>
      <c r="Z886" s="270"/>
      <c r="AA886" s="270"/>
      <c r="AB886" s="270"/>
      <c r="AC886" s="270"/>
      <c r="AD886" s="270"/>
      <c r="AE886" s="270"/>
      <c r="AF886" s="270"/>
      <c r="AG886" s="270"/>
      <c r="AH886" s="270"/>
      <c r="AI886" s="270"/>
      <c r="AJ886" s="270"/>
      <c r="AK886" s="270"/>
      <c r="AL886" s="270"/>
      <c r="AM886" s="663"/>
      <c r="AN886" s="663"/>
      <c r="AO886" s="708" t="str">
        <f>IF(OR(Table1[[#This Row],[Início Setup Envase]]="",Table1[[#This Row],[Final Setup Envase]]=""),"",Table1[[#This Row],[Final Setup Envase]]-Table1[[#This Row],[Início Setup Envase]])</f>
        <v/>
      </c>
      <c r="AP886" s="663"/>
      <c r="AQ886" s="663"/>
      <c r="AR886" s="270"/>
      <c r="AS886" s="270"/>
      <c r="AT886" s="270"/>
      <c r="AU886" s="270"/>
      <c r="AV886" s="270"/>
      <c r="AW886" s="270"/>
      <c r="AX886" s="270"/>
      <c r="AY886" s="270"/>
      <c r="AZ886" s="270"/>
      <c r="BA886" s="270">
        <f>IF(Table1[[#This Row],[Data de Início]]="","",YEAR(Table1[[#This Row],[Data de Início]]))</f>
        <v>2026</v>
      </c>
      <c r="BB886" s="270">
        <f>IF(Table1[[#This Row],[Data de Início]]="","",MONTH(Table1[[#This Row],[Data de Início]]))</f>
        <v>3</v>
      </c>
      <c r="BC886" s="270"/>
    </row>
    <row r="887" spans="2:55" x14ac:dyDescent="0.25">
      <c r="B887" s="470">
        <v>46099.345138888886</v>
      </c>
      <c r="C887" s="263">
        <v>46099.652777777781</v>
      </c>
      <c r="D887" s="264" cm="1">
        <f t="array" ref="D887">IFERROR(HorasUteisFabrica2Turnos(B887,C887), "")</f>
        <v>6.3833333334769122</v>
      </c>
      <c r="E887" s="265">
        <f t="shared" si="13"/>
        <v>690.70496081997328</v>
      </c>
      <c r="F887" s="266" t="s">
        <v>378</v>
      </c>
      <c r="G887" s="266" t="s">
        <v>1489</v>
      </c>
      <c r="H887" s="266"/>
      <c r="I887" s="267" t="s">
        <v>1513</v>
      </c>
      <c r="J887" s="267" t="s">
        <v>15</v>
      </c>
      <c r="K887" s="268">
        <v>4409</v>
      </c>
      <c r="L887" s="269" t="s">
        <v>1123</v>
      </c>
      <c r="M887" s="270" t="str">
        <f>IFERROR(INDEX([1]Produtos!$C:$C,MATCH(L887,[1]Produtos!$B:$B,0)), "-")</f>
        <v>BODY SPLASH LUNAR 120ml</v>
      </c>
      <c r="N887" s="510">
        <f>IFERROR(INDEX([1]Produtos!$E:$E,MATCH(L887,[1]Produtos!$B:$B,0)), "-")</f>
        <v>120</v>
      </c>
      <c r="O887" s="270" t="str">
        <f>IFERROR(INDEX([1]Produtos!$F:$F,MATCH(L887,[1]Produtos!$B:$B,0)), "-")</f>
        <v>ml</v>
      </c>
      <c r="P887" s="270" t="str">
        <f>IFERROR(INDEX([1]Produtos!$G:$G,MATCH(L887,[1]Produtos!$B:$B,0)), "-")</f>
        <v>BRIA BEAUTY</v>
      </c>
      <c r="Q887" s="270" t="str">
        <f>IFERROR(INDEX([1]Produtos!$H:$H,MATCH(L887,[1]Produtos!$B:$B,0)), "-")</f>
        <v>PERFUMARIA</v>
      </c>
      <c r="R887" s="270" t="str">
        <f>IFERROR(INDEX([1]Produtos!$I:$I,MATCH(L887,[1]Produtos!$B:$B,0)), "-")</f>
        <v>BODY SPLASH</v>
      </c>
      <c r="S887" s="270" t="str">
        <f>IFERROR(INDEX([1]Produtos!$J:$J,MATCH(L887,[1]Produtos!$B:$B,0)), "-")</f>
        <v>LÍQUIDO</v>
      </c>
      <c r="T887" s="532"/>
      <c r="U887" s="270"/>
      <c r="V887" s="270"/>
      <c r="W887" s="270"/>
      <c r="X887" s="270"/>
      <c r="Y887" s="270"/>
      <c r="Z887" s="270"/>
      <c r="AA887" s="270"/>
      <c r="AB887" s="270"/>
      <c r="AC887" s="270"/>
      <c r="AD887" s="270"/>
      <c r="AE887" s="270"/>
      <c r="AF887" s="270"/>
      <c r="AG887" s="270"/>
      <c r="AH887" s="270"/>
      <c r="AI887" s="270"/>
      <c r="AJ887" s="270"/>
      <c r="AK887" s="270"/>
      <c r="AL887" s="270"/>
      <c r="AM887" s="663"/>
      <c r="AN887" s="663"/>
      <c r="AO887" s="708" t="str">
        <f>IF(OR(Table1[[#This Row],[Início Setup Envase]]="",Table1[[#This Row],[Final Setup Envase]]=""),"",Table1[[#This Row],[Final Setup Envase]]-Table1[[#This Row],[Início Setup Envase]])</f>
        <v/>
      </c>
      <c r="AP887" s="663"/>
      <c r="AQ887" s="663"/>
      <c r="AR887" s="270"/>
      <c r="AS887" s="270"/>
      <c r="AT887" s="270"/>
      <c r="AU887" s="270"/>
      <c r="AV887" s="270"/>
      <c r="AW887" s="270"/>
      <c r="AX887" s="270"/>
      <c r="AY887" s="270"/>
      <c r="AZ887" s="270"/>
      <c r="BA887" s="270">
        <f>IF(Table1[[#This Row],[Data de Início]]="","",YEAR(Table1[[#This Row],[Data de Início]]))</f>
        <v>2026</v>
      </c>
      <c r="BB887" s="270">
        <f>IF(Table1[[#This Row],[Data de Início]]="","",MONTH(Table1[[#This Row],[Data de Início]]))</f>
        <v>3</v>
      </c>
      <c r="BC887" s="270"/>
    </row>
    <row r="888" spans="2:55" x14ac:dyDescent="0.25">
      <c r="B888" s="470">
        <v>46099.447916666664</v>
      </c>
      <c r="C888" s="263">
        <v>46099.620138888888</v>
      </c>
      <c r="D888" s="264" cm="1">
        <f t="array" ref="D888">IFERROR(HorasUteisFabrica2Turnos(B888,C888), "")</f>
        <v>3.1333333333604969</v>
      </c>
      <c r="E888" s="265">
        <f t="shared" si="13"/>
        <v>628.08510637753375</v>
      </c>
      <c r="F888" s="266" t="s">
        <v>377</v>
      </c>
      <c r="G888" s="266" t="s">
        <v>1470</v>
      </c>
      <c r="H888" s="269"/>
      <c r="I888" s="267" t="s">
        <v>1581</v>
      </c>
      <c r="J888" s="268" t="s">
        <v>15</v>
      </c>
      <c r="K888" s="268">
        <v>1968</v>
      </c>
      <c r="L888" s="269" t="s">
        <v>1478</v>
      </c>
      <c r="M888" s="510" t="str">
        <f>IFERROR(INDEX([1]Produtos!$C:$C,MATCH(L888,[1]Produtos!$B:$B,0)), "-")</f>
        <v>HIDRATANTE BISNAGA ROSA SUBLIME 200g</v>
      </c>
      <c r="N888" s="270">
        <f>IFERROR(INDEX([1]Produtos!$E:$E,MATCH(L888,[1]Produtos!$B:$B,0)), "-")</f>
        <v>200</v>
      </c>
      <c r="O888" s="270" t="str">
        <f>IFERROR(INDEX([1]Produtos!$F:$F,MATCH(L888,[1]Produtos!$B:$B,0)), "-")</f>
        <v>g</v>
      </c>
      <c r="P888" s="270" t="str">
        <f>IFERROR(INDEX([1]Produtos!$G:$G,MATCH(L888,[1]Produtos!$B:$B,0)), "-")</f>
        <v>HABIBI PERFUMES</v>
      </c>
      <c r="Q888" s="270" t="str">
        <f>IFERROR(INDEX([1]Produtos!$H:$H,MATCH(L888,[1]Produtos!$B:$B,0)), "-")</f>
        <v>CORPORAL</v>
      </c>
      <c r="R888" s="270" t="str">
        <f>IFERROR(INDEX([1]Produtos!$I:$I,MATCH(L888,[1]Produtos!$B:$B,0)), "-")</f>
        <v>CREME HIDRATANTE</v>
      </c>
      <c r="S888" s="270" t="str">
        <f>IFERROR(INDEX([1]Produtos!$J:$J,MATCH(L888,[1]Produtos!$B:$B,0)), "-")</f>
        <v>CREMOSO</v>
      </c>
      <c r="T888" s="532"/>
      <c r="U888" s="270"/>
      <c r="V888" s="270"/>
      <c r="W888" s="270"/>
      <c r="X888" s="270"/>
      <c r="Y888" s="270"/>
      <c r="Z888" s="270"/>
      <c r="AA888" s="270"/>
      <c r="AB888" s="270"/>
      <c r="AC888" s="270"/>
      <c r="AD888" s="270"/>
      <c r="AE888" s="270"/>
      <c r="AF888" s="270"/>
      <c r="AG888" s="270"/>
      <c r="AH888" s="270"/>
      <c r="AI888" s="270"/>
      <c r="AJ888" s="270"/>
      <c r="AK888" s="270"/>
      <c r="AL888" s="270"/>
      <c r="AM888" s="663"/>
      <c r="AN888" s="663"/>
      <c r="AO888" s="708" t="str">
        <f>IF(OR(Table1[[#This Row],[Início Setup Envase]]="",Table1[[#This Row],[Final Setup Envase]]=""),"",Table1[[#This Row],[Final Setup Envase]]-Table1[[#This Row],[Início Setup Envase]])</f>
        <v/>
      </c>
      <c r="AP888" s="663"/>
      <c r="AQ888" s="663"/>
      <c r="AR888" s="270"/>
      <c r="AS888" s="270"/>
      <c r="AT888" s="270"/>
      <c r="AU888" s="270"/>
      <c r="AV888" s="270"/>
      <c r="AW888" s="270"/>
      <c r="AX888" s="270"/>
      <c r="AY888" s="270"/>
      <c r="AZ888" s="270"/>
      <c r="BA888" s="270">
        <f>IF(Table1[[#This Row],[Data de Início]]="","",YEAR(Table1[[#This Row],[Data de Início]]))</f>
        <v>2026</v>
      </c>
      <c r="BB888" s="270">
        <f>IF(Table1[[#This Row],[Data de Início]]="","",MONTH(Table1[[#This Row],[Data de Início]]))</f>
        <v>3</v>
      </c>
      <c r="BC888" s="270"/>
    </row>
    <row r="889" spans="2:55" x14ac:dyDescent="0.25">
      <c r="B889" s="470">
        <v>46099.656944444447</v>
      </c>
      <c r="C889" s="263">
        <v>46100.489583333336</v>
      </c>
      <c r="D889" s="264" cm="1">
        <f t="array" ref="D889">IFERROR(HorasUteisFabrica2Turnos(B889,C889), "")</f>
        <v>5.9833333334536292</v>
      </c>
      <c r="E889" s="265">
        <f t="shared" si="13"/>
        <v>722.00557101612469</v>
      </c>
      <c r="F889" s="266" t="s">
        <v>378</v>
      </c>
      <c r="G889" s="266" t="s">
        <v>1489</v>
      </c>
      <c r="H889" s="266"/>
      <c r="I889" s="269" t="s">
        <v>1514</v>
      </c>
      <c r="J889" s="267" t="s">
        <v>15</v>
      </c>
      <c r="K889" s="268">
        <v>4320</v>
      </c>
      <c r="L889" s="269" t="s">
        <v>1104</v>
      </c>
      <c r="M889" s="270" t="str">
        <f>IFERROR(INDEX([1]Produtos!$C:$C,MATCH(L889,[1]Produtos!$B:$B,0)), "-")</f>
        <v>BODY SPLASH SOL TROPICAL 86 120ml</v>
      </c>
      <c r="N889" s="510">
        <f>IFERROR(INDEX([1]Produtos!$E:$E,MATCH(L889,[1]Produtos!$B:$B,0)), "-")</f>
        <v>120</v>
      </c>
      <c r="O889" s="270" t="str">
        <f>IFERROR(INDEX([1]Produtos!$F:$F,MATCH(L889,[1]Produtos!$B:$B,0)), "-")</f>
        <v>ml</v>
      </c>
      <c r="P889" s="270" t="str">
        <f>IFERROR(INDEX([1]Produtos!$G:$G,MATCH(L889,[1]Produtos!$B:$B,0)), "-")</f>
        <v>BRIA BEAUTY</v>
      </c>
      <c r="Q889" s="270" t="str">
        <f>IFERROR(INDEX([1]Produtos!$H:$H,MATCH(L889,[1]Produtos!$B:$B,0)), "-")</f>
        <v>PERFUMARIA</v>
      </c>
      <c r="R889" s="270" t="str">
        <f>IFERROR(INDEX([1]Produtos!$I:$I,MATCH(L889,[1]Produtos!$B:$B,0)), "-")</f>
        <v>BODY SPLASH</v>
      </c>
      <c r="S889" s="270" t="str">
        <f>IFERROR(INDEX([1]Produtos!$J:$J,MATCH(L889,[1]Produtos!$B:$B,0)), "-")</f>
        <v>LÍQUIDO</v>
      </c>
      <c r="T889" s="475" t="s">
        <v>1515</v>
      </c>
      <c r="U889" s="270"/>
      <c r="V889" s="270"/>
      <c r="W889" s="270"/>
      <c r="X889" s="270"/>
      <c r="Y889" s="270"/>
      <c r="Z889" s="270"/>
      <c r="AA889" s="270"/>
      <c r="AB889" s="270"/>
      <c r="AC889" s="270"/>
      <c r="AD889" s="270"/>
      <c r="AE889" s="270"/>
      <c r="AF889" s="270"/>
      <c r="AG889" s="270"/>
      <c r="AH889" s="270"/>
      <c r="AI889" s="270"/>
      <c r="AJ889" s="270"/>
      <c r="AK889" s="270"/>
      <c r="AL889" s="270"/>
      <c r="AM889" s="663"/>
      <c r="AN889" s="663"/>
      <c r="AO889" s="708" t="str">
        <f>IF(OR(Table1[[#This Row],[Início Setup Envase]]="",Table1[[#This Row],[Final Setup Envase]]=""),"",Table1[[#This Row],[Final Setup Envase]]-Table1[[#This Row],[Início Setup Envase]])</f>
        <v/>
      </c>
      <c r="AP889" s="663"/>
      <c r="AQ889" s="663"/>
      <c r="AR889" s="270"/>
      <c r="AS889" s="270"/>
      <c r="AT889" s="270"/>
      <c r="AU889" s="270"/>
      <c r="AV889" s="270"/>
      <c r="AW889" s="270"/>
      <c r="AX889" s="270"/>
      <c r="AY889" s="270"/>
      <c r="AZ889" s="270"/>
      <c r="BA889" s="270">
        <f>IF(Table1[[#This Row],[Data de Início]]="","",YEAR(Table1[[#This Row],[Data de Início]]))</f>
        <v>2026</v>
      </c>
      <c r="BB889" s="270">
        <f>IF(Table1[[#This Row],[Data de Início]]="","",MONTH(Table1[[#This Row],[Data de Início]]))</f>
        <v>3</v>
      </c>
      <c r="BC889" s="270"/>
    </row>
    <row r="890" spans="2:55" x14ac:dyDescent="0.25">
      <c r="B890" s="470">
        <v>46100.343055555553</v>
      </c>
      <c r="C890" s="263">
        <v>46100.554166666669</v>
      </c>
      <c r="D890" s="264" cm="1">
        <f t="array" ref="D890">IFERROR(HorasUteisFabrica2Turnos(B890,C890), "")</f>
        <v>4.0666666667675599</v>
      </c>
      <c r="E890" s="265">
        <f t="shared" si="13"/>
        <v>597.04918031305613</v>
      </c>
      <c r="F890" s="266" t="s">
        <v>377</v>
      </c>
      <c r="G890" s="266" t="s">
        <v>1495</v>
      </c>
      <c r="H890" s="266"/>
      <c r="I890" s="269" t="s">
        <v>1517</v>
      </c>
      <c r="J890" s="267" t="s">
        <v>15</v>
      </c>
      <c r="K890" s="268">
        <v>2428</v>
      </c>
      <c r="L890" s="269" t="s">
        <v>457</v>
      </c>
      <c r="M890" s="510" t="str">
        <f>IFERROR(INDEX([1]Produtos!$C:$C,MATCH(L890,[1]Produtos!$B:$B,0)), "-")</f>
        <v>BODY SPLASH ESCAN DALOSA</v>
      </c>
      <c r="N890" s="510">
        <f>IFERROR(INDEX([1]Produtos!$E:$E,MATCH(L890,[1]Produtos!$B:$B,0)), "-")</f>
        <v>210</v>
      </c>
      <c r="O890" s="270" t="str">
        <f>IFERROR(INDEX([1]Produtos!$F:$F,MATCH(L890,[1]Produtos!$B:$B,0)), "-")</f>
        <v>ml</v>
      </c>
      <c r="P890" s="270" t="str">
        <f>IFERROR(INDEX([1]Produtos!$G:$G,MATCH(L890,[1]Produtos!$B:$B,0)), "-")</f>
        <v>GOTA ZEN</v>
      </c>
      <c r="Q890" s="270" t="str">
        <f>IFERROR(INDEX([1]Produtos!$H:$H,MATCH(L890,[1]Produtos!$B:$B,0)), "-")</f>
        <v>PERFUMARIA</v>
      </c>
      <c r="R890" s="270" t="str">
        <f>IFERROR(INDEX([1]Produtos!$I:$I,MATCH(L890,[1]Produtos!$B:$B,0)), "-")</f>
        <v>BODY SPLASH</v>
      </c>
      <c r="S890" s="270" t="str">
        <f>IFERROR(INDEX([1]Produtos!$J:$J,MATCH(L890,[1]Produtos!$B:$B,0)), "-")</f>
        <v>LÍQUIDO</v>
      </c>
      <c r="T890" s="532"/>
      <c r="U890" s="270"/>
      <c r="V890" s="270"/>
      <c r="W890" s="270"/>
      <c r="X890" s="270"/>
      <c r="Y890" s="270"/>
      <c r="Z890" s="270"/>
      <c r="AA890" s="270"/>
      <c r="AB890" s="270"/>
      <c r="AC890" s="270"/>
      <c r="AD890" s="270"/>
      <c r="AE890" s="270"/>
      <c r="AF890" s="270"/>
      <c r="AG890" s="270"/>
      <c r="AH890" s="270"/>
      <c r="AI890" s="270"/>
      <c r="AJ890" s="270"/>
      <c r="AK890" s="270"/>
      <c r="AL890" s="270"/>
      <c r="AM890" s="663"/>
      <c r="AN890" s="663"/>
      <c r="AO890" s="708" t="str">
        <f>IF(OR(Table1[[#This Row],[Início Setup Envase]]="",Table1[[#This Row],[Final Setup Envase]]=""),"",Table1[[#This Row],[Final Setup Envase]]-Table1[[#This Row],[Início Setup Envase]])</f>
        <v/>
      </c>
      <c r="AP890" s="663"/>
      <c r="AQ890" s="663"/>
      <c r="AR890" s="270"/>
      <c r="AS890" s="270"/>
      <c r="AT890" s="270"/>
      <c r="AU890" s="270"/>
      <c r="AV890" s="270"/>
      <c r="AW890" s="270"/>
      <c r="AX890" s="270"/>
      <c r="AY890" s="270"/>
      <c r="AZ890" s="270"/>
      <c r="BA890" s="270">
        <f>IF(Table1[[#This Row],[Data de Início]]="","",YEAR(Table1[[#This Row],[Data de Início]]))</f>
        <v>2026</v>
      </c>
      <c r="BB890" s="270">
        <f>IF(Table1[[#This Row],[Data de Início]]="","",MONTH(Table1[[#This Row],[Data de Início]]))</f>
        <v>3</v>
      </c>
      <c r="BC890" s="270"/>
    </row>
    <row r="891" spans="2:55" x14ac:dyDescent="0.25">
      <c r="B891" s="470">
        <v>46100.489583333336</v>
      </c>
      <c r="C891" s="263">
        <v>46101.426388888889</v>
      </c>
      <c r="D891" s="264" cm="1">
        <f t="array" ref="D891">IFERROR(HorasUteisFabrica2Turnos(B891,C891), "")</f>
        <v>7.4833333333954215</v>
      </c>
      <c r="E891" s="265">
        <f t="shared" si="13"/>
        <v>607.34966591923705</v>
      </c>
      <c r="F891" s="266" t="s">
        <v>378</v>
      </c>
      <c r="G891" s="266" t="s">
        <v>1489</v>
      </c>
      <c r="H891" s="266"/>
      <c r="I891" s="269" t="s">
        <v>1519</v>
      </c>
      <c r="J891" s="267" t="s">
        <v>15</v>
      </c>
      <c r="K891" s="268">
        <v>4545</v>
      </c>
      <c r="L891" s="269" t="s">
        <v>1104</v>
      </c>
      <c r="M891" s="510" t="str">
        <f>IFERROR(INDEX([1]Produtos!$C:$C,MATCH(L891,[1]Produtos!$B:$B,0)), "-")</f>
        <v>BODY SPLASH SOL TROPICAL 86 120ml</v>
      </c>
      <c r="N891" s="510">
        <f>IFERROR(INDEX([1]Produtos!$E:$E,MATCH(L891,[1]Produtos!$B:$B,0)), "-")</f>
        <v>120</v>
      </c>
      <c r="O891" s="270" t="str">
        <f>IFERROR(INDEX([1]Produtos!$F:$F,MATCH(L891,[1]Produtos!$B:$B,0)), "-")</f>
        <v>ml</v>
      </c>
      <c r="P891" s="270" t="str">
        <f>IFERROR(INDEX([1]Produtos!$G:$G,MATCH(L891,[1]Produtos!$B:$B,0)), "-")</f>
        <v>BRIA BEAUTY</v>
      </c>
      <c r="Q891" s="270" t="str">
        <f>IFERROR(INDEX([1]Produtos!$H:$H,MATCH(L891,[1]Produtos!$B:$B,0)), "-")</f>
        <v>PERFUMARIA</v>
      </c>
      <c r="R891" s="270" t="str">
        <f>IFERROR(INDEX([1]Produtos!$I:$I,MATCH(L891,[1]Produtos!$B:$B,0)), "-")</f>
        <v>BODY SPLASH</v>
      </c>
      <c r="S891" s="270" t="str">
        <f>IFERROR(INDEX([1]Produtos!$J:$J,MATCH(L891,[1]Produtos!$B:$B,0)), "-")</f>
        <v>LÍQUIDO</v>
      </c>
      <c r="T891" s="532"/>
      <c r="U891" s="270"/>
      <c r="V891" s="270"/>
      <c r="W891" s="270"/>
      <c r="X891" s="270"/>
      <c r="Y891" s="270"/>
      <c r="Z891" s="270"/>
      <c r="AA891" s="270"/>
      <c r="AB891" s="270"/>
      <c r="AC891" s="270"/>
      <c r="AD891" s="270"/>
      <c r="AE891" s="270"/>
      <c r="AF891" s="270"/>
      <c r="AG891" s="270"/>
      <c r="AH891" s="270"/>
      <c r="AI891" s="270"/>
      <c r="AJ891" s="270"/>
      <c r="AK891" s="270"/>
      <c r="AL891" s="270"/>
      <c r="AM891" s="663"/>
      <c r="AN891" s="663"/>
      <c r="AO891" s="708" t="str">
        <f>IF(OR(Table1[[#This Row],[Início Setup Envase]]="",Table1[[#This Row],[Final Setup Envase]]=""),"",Table1[[#This Row],[Final Setup Envase]]-Table1[[#This Row],[Início Setup Envase]])</f>
        <v/>
      </c>
      <c r="AP891" s="663"/>
      <c r="AQ891" s="663"/>
      <c r="AR891" s="270"/>
      <c r="AS891" s="270"/>
      <c r="AT891" s="270"/>
      <c r="AU891" s="270"/>
      <c r="AV891" s="270"/>
      <c r="AW891" s="270"/>
      <c r="AX891" s="270"/>
      <c r="AY891" s="270"/>
      <c r="AZ891" s="270"/>
      <c r="BA891" s="270">
        <f>IF(Table1[[#This Row],[Data de Início]]="","",YEAR(Table1[[#This Row],[Data de Início]]))</f>
        <v>2026</v>
      </c>
      <c r="BB891" s="270">
        <f>IF(Table1[[#This Row],[Data de Início]]="","",MONTH(Table1[[#This Row],[Data de Início]]))</f>
        <v>3</v>
      </c>
      <c r="BC891" s="270"/>
    </row>
    <row r="892" spans="2:55" x14ac:dyDescent="0.25">
      <c r="B892" s="470">
        <v>46100.583333333336</v>
      </c>
      <c r="C892" s="263">
        <v>46100.694444444445</v>
      </c>
      <c r="D892" s="264" cm="1">
        <f t="array" ref="D892">IFERROR(HorasUteisFabrica2Turnos(B892,C892), "")</f>
        <v>2.6666666666278616</v>
      </c>
      <c r="E892" s="265">
        <f t="shared" si="13"/>
        <v>732.000000010652</v>
      </c>
      <c r="F892" s="266" t="s">
        <v>377</v>
      </c>
      <c r="G892" s="266" t="s">
        <v>1470</v>
      </c>
      <c r="H892" s="266"/>
      <c r="I892" s="269" t="s">
        <v>1546</v>
      </c>
      <c r="J892" s="267" t="s">
        <v>15</v>
      </c>
      <c r="K892" s="268">
        <v>1952</v>
      </c>
      <c r="L892" s="269" t="s">
        <v>1472</v>
      </c>
      <c r="M892" s="510" t="str">
        <f>IFERROR(INDEX([1]Produtos!$C:$C,MATCH(L892,[1]Produtos!$B:$B,0)), "-")</f>
        <v>HIDRATANTE BISNAGA LUX AMBER 200g</v>
      </c>
      <c r="N892" s="510">
        <f>IFERROR(INDEX([1]Produtos!$E:$E,MATCH(L892,[1]Produtos!$B:$B,0)), "-")</f>
        <v>200</v>
      </c>
      <c r="O892" s="270" t="str">
        <f>IFERROR(INDEX([1]Produtos!$F:$F,MATCH(L892,[1]Produtos!$B:$B,0)), "-")</f>
        <v>g</v>
      </c>
      <c r="P892" s="270" t="str">
        <f>IFERROR(INDEX([1]Produtos!$G:$G,MATCH(L892,[1]Produtos!$B:$B,0)), "-")</f>
        <v>HABIBI PERFUMES</v>
      </c>
      <c r="Q892" s="270" t="str">
        <f>IFERROR(INDEX([1]Produtos!$H:$H,MATCH(L892,[1]Produtos!$B:$B,0)), "-")</f>
        <v>CORPORAL</v>
      </c>
      <c r="R892" s="270" t="str">
        <f>IFERROR(INDEX([1]Produtos!$I:$I,MATCH(L892,[1]Produtos!$B:$B,0)), "-")</f>
        <v>CREME HIDRATANTE</v>
      </c>
      <c r="S892" s="270" t="str">
        <f>IFERROR(INDEX([1]Produtos!$J:$J,MATCH(L892,[1]Produtos!$B:$B,0)), "-")</f>
        <v>CREMOSO</v>
      </c>
      <c r="T892" s="532"/>
      <c r="U892" s="266"/>
      <c r="V892" s="269"/>
      <c r="W892" s="267"/>
      <c r="X892" s="268"/>
      <c r="Y892" s="269"/>
      <c r="Z892" s="270"/>
      <c r="AA892" s="510"/>
      <c r="AB892" s="270"/>
      <c r="AC892" s="270"/>
      <c r="AD892" s="270"/>
      <c r="AE892" s="270"/>
      <c r="AF892" s="270"/>
      <c r="AG892" s="270"/>
      <c r="AH892" s="270"/>
      <c r="AI892" s="270"/>
      <c r="AJ892" s="270"/>
      <c r="AK892" s="270"/>
      <c r="AL892" s="270"/>
      <c r="AM892" s="663"/>
      <c r="AN892" s="663"/>
      <c r="AO892" s="708" t="str">
        <f>IF(OR(Table1[[#This Row],[Início Setup Envase]]="",Table1[[#This Row],[Final Setup Envase]]=""),"",Table1[[#This Row],[Final Setup Envase]]-Table1[[#This Row],[Início Setup Envase]])</f>
        <v/>
      </c>
      <c r="AP892" s="663"/>
      <c r="AQ892" s="663"/>
      <c r="AR892" s="270"/>
      <c r="AS892" s="270"/>
      <c r="AT892" s="270"/>
      <c r="AU892" s="270"/>
      <c r="AV892" s="270"/>
      <c r="AW892" s="270"/>
      <c r="AX892" s="270"/>
      <c r="AY892" s="270"/>
      <c r="AZ892" s="270"/>
      <c r="BA892" s="270">
        <f>IF(Table1[[#This Row],[Data de Início]]="","",YEAR(Table1[[#This Row],[Data de Início]]))</f>
        <v>2026</v>
      </c>
      <c r="BB892" s="270">
        <f>IF(Table1[[#This Row],[Data de Início]]="","",MONTH(Table1[[#This Row],[Data de Início]]))</f>
        <v>3</v>
      </c>
      <c r="BC892" s="270"/>
    </row>
    <row r="893" spans="2:55" x14ac:dyDescent="0.25">
      <c r="B893" s="470">
        <v>46101.298611111109</v>
      </c>
      <c r="C893" s="263">
        <v>46101.484722222223</v>
      </c>
      <c r="D893" s="264" cm="1">
        <f t="array" ref="D893">IFERROR(HorasUteisFabrica2Turnos(B893,C893), "")</f>
        <v>4.4666666667326353</v>
      </c>
      <c r="E893" s="265">
        <f t="shared" si="13"/>
        <v>443.28358208300534</v>
      </c>
      <c r="F893" s="266" t="s">
        <v>377</v>
      </c>
      <c r="G893" s="266" t="s">
        <v>1470</v>
      </c>
      <c r="H893" s="266"/>
      <c r="I893" s="269" t="s">
        <v>1535</v>
      </c>
      <c r="J893" s="267" t="s">
        <v>15</v>
      </c>
      <c r="K893" s="268">
        <v>1980</v>
      </c>
      <c r="L893" s="269" t="s">
        <v>1474</v>
      </c>
      <c r="M893" s="510" t="str">
        <f>IFERROR(INDEX([1]Produtos!$C:$C,MATCH(L893,[1]Produtos!$B:$B,0)), "-")</f>
        <v>HIDRATANTE BISNAGA CELESTIA 200g</v>
      </c>
      <c r="N893" s="510">
        <f>IFERROR(INDEX([1]Produtos!$E:$E,MATCH(L893,[1]Produtos!$B:$B,0)), "-")</f>
        <v>200</v>
      </c>
      <c r="O893" s="270" t="str">
        <f>IFERROR(INDEX([1]Produtos!$F:$F,MATCH(L893,[1]Produtos!$B:$B,0)), "-")</f>
        <v>g</v>
      </c>
      <c r="P893" s="270" t="str">
        <f>IFERROR(INDEX([1]Produtos!$G:$G,MATCH(L893,[1]Produtos!$B:$B,0)), "-")</f>
        <v>HABIBI PERFUMES</v>
      </c>
      <c r="Q893" s="270" t="str">
        <f>IFERROR(INDEX([1]Produtos!$H:$H,MATCH(L893,[1]Produtos!$B:$B,0)), "-")</f>
        <v>CORPORAL</v>
      </c>
      <c r="R893" s="270" t="str">
        <f>IFERROR(INDEX([1]Produtos!$I:$I,MATCH(L893,[1]Produtos!$B:$B,0)), "-")</f>
        <v>CREME HIDRATANTE</v>
      </c>
      <c r="S893" s="270" t="str">
        <f>IFERROR(INDEX([1]Produtos!$J:$J,MATCH(L893,[1]Produtos!$B:$B,0)), "-")</f>
        <v>CREMOSO</v>
      </c>
      <c r="T893" s="532"/>
      <c r="U893" s="266"/>
      <c r="V893" s="269"/>
      <c r="W893" s="267"/>
      <c r="X893" s="268"/>
      <c r="Y893" s="269"/>
      <c r="Z893" s="270"/>
      <c r="AA893" s="510"/>
      <c r="AB893" s="270"/>
      <c r="AC893" s="270"/>
      <c r="AD893" s="270"/>
      <c r="AE893" s="270"/>
      <c r="AF893" s="270"/>
      <c r="AG893" s="270"/>
      <c r="AH893" s="270"/>
      <c r="AI893" s="270"/>
      <c r="AJ893" s="270"/>
      <c r="AK893" s="270"/>
      <c r="AL893" s="270"/>
      <c r="AM893" s="663"/>
      <c r="AN893" s="663"/>
      <c r="AO893" s="708" t="str">
        <f>IF(OR(Table1[[#This Row],[Início Setup Envase]]="",Table1[[#This Row],[Final Setup Envase]]=""),"",Table1[[#This Row],[Final Setup Envase]]-Table1[[#This Row],[Início Setup Envase]])</f>
        <v/>
      </c>
      <c r="AP893" s="663"/>
      <c r="AQ893" s="663"/>
      <c r="AR893" s="270"/>
      <c r="AS893" s="270"/>
      <c r="AT893" s="270"/>
      <c r="AU893" s="270"/>
      <c r="AV893" s="270"/>
      <c r="AW893" s="270"/>
      <c r="AX893" s="270"/>
      <c r="AY893" s="270"/>
      <c r="AZ893" s="270"/>
      <c r="BA893" s="270">
        <f>IF(Table1[[#This Row],[Data de Início]]="","",YEAR(Table1[[#This Row],[Data de Início]]))</f>
        <v>2026</v>
      </c>
      <c r="BB893" s="270">
        <f>IF(Table1[[#This Row],[Data de Início]]="","",MONTH(Table1[[#This Row],[Data de Início]]))</f>
        <v>3</v>
      </c>
      <c r="BC893" s="270"/>
    </row>
    <row r="894" spans="2:55" x14ac:dyDescent="0.25">
      <c r="B894" s="470">
        <v>46101.424305555556</v>
      </c>
      <c r="C894" s="263">
        <v>46104.333333333336</v>
      </c>
      <c r="D894" s="264" cm="1">
        <f t="array" ref="D894">IFERROR(HorasUteisFabrica2Turnos(B894,C894), "")</f>
        <v>5.8166666667093523</v>
      </c>
      <c r="E894" s="265">
        <f t="shared" si="13"/>
        <v>728.93982807487987</v>
      </c>
      <c r="F894" s="266" t="s">
        <v>378</v>
      </c>
      <c r="G894" s="266" t="s">
        <v>1489</v>
      </c>
      <c r="H894" s="266"/>
      <c r="I894" s="269" t="s">
        <v>1524</v>
      </c>
      <c r="J894" s="267" t="s">
        <v>15</v>
      </c>
      <c r="K894" s="268">
        <v>4240</v>
      </c>
      <c r="L894" s="269" t="s">
        <v>1078</v>
      </c>
      <c r="M894" s="510" t="str">
        <f>IFERROR(INDEX([1]Produtos!$C:$C,MATCH(L894,[1]Produtos!$B:$B,0)), "-")</f>
        <v>BODY SPLASH SOL TROPICAL 61 120ml</v>
      </c>
      <c r="N894" s="510">
        <f>IFERROR(INDEX([1]Produtos!$E:$E,MATCH(L894,[1]Produtos!$B:$B,0)), "-")</f>
        <v>120</v>
      </c>
      <c r="O894" s="270" t="str">
        <f>IFERROR(INDEX([1]Produtos!$F:$F,MATCH(L894,[1]Produtos!$B:$B,0)), "-")</f>
        <v>ml</v>
      </c>
      <c r="P894" s="270" t="str">
        <f>IFERROR(INDEX([1]Produtos!$G:$G,MATCH(L894,[1]Produtos!$B:$B,0)), "-")</f>
        <v>BRIA BEAUTY</v>
      </c>
      <c r="Q894" s="270" t="str">
        <f>IFERROR(INDEX([1]Produtos!$H:$H,MATCH(L894,[1]Produtos!$B:$B,0)), "-")</f>
        <v>PERFUMARIA</v>
      </c>
      <c r="R894" s="270" t="str">
        <f>IFERROR(INDEX([1]Produtos!$I:$I,MATCH(L894,[1]Produtos!$B:$B,0)), "-")</f>
        <v>BODY SPLASH</v>
      </c>
      <c r="S894" s="270" t="str">
        <f>IFERROR(INDEX([1]Produtos!$J:$J,MATCH(L894,[1]Produtos!$B:$B,0)), "-")</f>
        <v>LÍQUIDO</v>
      </c>
      <c r="T894" s="567"/>
      <c r="U894" s="266"/>
      <c r="V894" s="269"/>
      <c r="W894" s="267"/>
      <c r="X894" s="268"/>
      <c r="Y894" s="269"/>
      <c r="Z894" s="270"/>
      <c r="AA894" s="510"/>
      <c r="AB894" s="270"/>
      <c r="AC894" s="270"/>
      <c r="AD894" s="270"/>
      <c r="AE894" s="270"/>
      <c r="AF894" s="270"/>
      <c r="AG894" s="270"/>
      <c r="AH894" s="270"/>
      <c r="AI894" s="270"/>
      <c r="AJ894" s="270"/>
      <c r="AK894" s="270"/>
      <c r="AL894" s="270"/>
      <c r="AM894" s="663"/>
      <c r="AN894" s="663"/>
      <c r="AO894" s="708" t="str">
        <f>IF(OR(Table1[[#This Row],[Início Setup Envase]]="",Table1[[#This Row],[Final Setup Envase]]=""),"",Table1[[#This Row],[Final Setup Envase]]-Table1[[#This Row],[Início Setup Envase]])</f>
        <v/>
      </c>
      <c r="AP894" s="663"/>
      <c r="AQ894" s="663"/>
      <c r="AR894" s="270"/>
      <c r="AS894" s="270"/>
      <c r="AT894" s="270"/>
      <c r="AU894" s="270"/>
      <c r="AV894" s="270"/>
      <c r="AW894" s="270"/>
      <c r="AX894" s="270"/>
      <c r="AY894" s="270"/>
      <c r="AZ894" s="270"/>
      <c r="BA894" s="270">
        <f>IF(Table1[[#This Row],[Data de Início]]="","",YEAR(Table1[[#This Row],[Data de Início]]))</f>
        <v>2026</v>
      </c>
      <c r="BB894" s="270">
        <f>IF(Table1[[#This Row],[Data de Início]]="","",MONTH(Table1[[#This Row],[Data de Início]]))</f>
        <v>3</v>
      </c>
      <c r="BC894" s="270"/>
    </row>
    <row r="895" spans="2:55" x14ac:dyDescent="0.25">
      <c r="B895" s="470">
        <v>46101.541666666664</v>
      </c>
      <c r="C895" s="263">
        <v>46104.316666666666</v>
      </c>
      <c r="D895" s="264" cm="1">
        <f t="array" ref="D895">IFERROR(HorasUteisFabrica2Turnos(B895,C895), "")</f>
        <v>3.6000000000349246</v>
      </c>
      <c r="E895" s="265">
        <f t="shared" si="13"/>
        <v>547.49999999468855</v>
      </c>
      <c r="F895" s="266" t="s">
        <v>377</v>
      </c>
      <c r="G895" s="266" t="s">
        <v>1470</v>
      </c>
      <c r="H895" s="266"/>
      <c r="I895" s="269" t="s">
        <v>1550</v>
      </c>
      <c r="J895" s="267" t="s">
        <v>15</v>
      </c>
      <c r="K895" s="268">
        <v>1971</v>
      </c>
      <c r="L895" s="269" t="s">
        <v>1483</v>
      </c>
      <c r="M895" s="510" t="str">
        <f>IFERROR(INDEX([1]Produtos!$C:$C,MATCH(L895,[1]Produtos!$B:$B,0)), "-")</f>
        <v>HIDRATANTE BISNAGA ROSE AURORA 200g</v>
      </c>
      <c r="N895" s="510">
        <f>IFERROR(INDEX([1]Produtos!$E:$E,MATCH(L895,[1]Produtos!$B:$B,0)), "-")</f>
        <v>200</v>
      </c>
      <c r="O895" s="270" t="str">
        <f>IFERROR(INDEX([1]Produtos!$F:$F,MATCH(L895,[1]Produtos!$B:$B,0)), "-")</f>
        <v>g</v>
      </c>
      <c r="P895" s="270" t="str">
        <f>IFERROR(INDEX([1]Produtos!$G:$G,MATCH(L895,[1]Produtos!$B:$B,0)), "-")</f>
        <v>HABIBI PERFUMES</v>
      </c>
      <c r="Q895" s="270" t="str">
        <f>IFERROR(INDEX([1]Produtos!$H:$H,MATCH(L895,[1]Produtos!$B:$B,0)), "-")</f>
        <v>CORPORAL</v>
      </c>
      <c r="R895" s="270" t="str">
        <f>IFERROR(INDEX([1]Produtos!$I:$I,MATCH(L895,[1]Produtos!$B:$B,0)), "-")</f>
        <v>CREME HIDRATANTE</v>
      </c>
      <c r="S895" s="270" t="str">
        <f>IFERROR(INDEX([1]Produtos!$J:$J,MATCH(L895,[1]Produtos!$B:$B,0)), "-")</f>
        <v>CREMOSO</v>
      </c>
      <c r="T895" s="531"/>
      <c r="U895" s="266"/>
      <c r="V895" s="269"/>
      <c r="W895" s="267"/>
      <c r="X895" s="268"/>
      <c r="Y895" s="269"/>
      <c r="Z895" s="270"/>
      <c r="AA895" s="510"/>
      <c r="AB895" s="270"/>
      <c r="AC895" s="270"/>
      <c r="AD895" s="270"/>
      <c r="AE895" s="270"/>
      <c r="AF895" s="270"/>
      <c r="AG895" s="270"/>
      <c r="AH895" s="270"/>
      <c r="AI895" s="270"/>
      <c r="AJ895" s="270"/>
      <c r="AK895" s="270"/>
      <c r="AL895" s="270"/>
      <c r="AM895" s="663"/>
      <c r="AN895" s="663"/>
      <c r="AO895" s="708" t="str">
        <f>IF(OR(Table1[[#This Row],[Início Setup Envase]]="",Table1[[#This Row],[Final Setup Envase]]=""),"",Table1[[#This Row],[Final Setup Envase]]-Table1[[#This Row],[Início Setup Envase]])</f>
        <v/>
      </c>
      <c r="AP895" s="663"/>
      <c r="AQ895" s="663"/>
      <c r="AR895" s="270"/>
      <c r="AS895" s="270"/>
      <c r="AT895" s="270"/>
      <c r="AU895" s="270"/>
      <c r="AV895" s="270"/>
      <c r="AW895" s="270"/>
      <c r="AX895" s="270"/>
      <c r="AY895" s="270"/>
      <c r="AZ895" s="270"/>
      <c r="BA895" s="270">
        <f>IF(Table1[[#This Row],[Data de Início]]="","",YEAR(Table1[[#This Row],[Data de Início]]))</f>
        <v>2026</v>
      </c>
      <c r="BB895" s="270">
        <f>IF(Table1[[#This Row],[Data de Início]]="","",MONTH(Table1[[#This Row],[Data de Início]]))</f>
        <v>3</v>
      </c>
      <c r="BC895" s="270"/>
    </row>
    <row r="896" spans="2:55" x14ac:dyDescent="0.25">
      <c r="B896" s="489">
        <v>46104.333333333336</v>
      </c>
      <c r="C896" s="490">
        <v>46104.642361111109</v>
      </c>
      <c r="D896" s="477" cm="1">
        <f t="array" ref="D896">IFERROR(HorasUteisFabrica2Turnos(B896,C896), "")</f>
        <v>6.4166666665696539</v>
      </c>
      <c r="E896" s="478">
        <f t="shared" si="13"/>
        <v>698.18181819237395</v>
      </c>
      <c r="F896" s="479" t="s">
        <v>378</v>
      </c>
      <c r="G896" s="266" t="s">
        <v>1489</v>
      </c>
      <c r="H896" s="479"/>
      <c r="I896" s="480" t="s">
        <v>1526</v>
      </c>
      <c r="J896" s="481" t="s">
        <v>15</v>
      </c>
      <c r="K896" s="268">
        <v>4480</v>
      </c>
      <c r="L896" s="269" t="s">
        <v>1078</v>
      </c>
      <c r="M896" s="510" t="str">
        <f>IFERROR(INDEX([1]Produtos!$C:$C,MATCH(L896,[1]Produtos!$B:$B,0)), "-")</f>
        <v>BODY SPLASH SOL TROPICAL 61 120ml</v>
      </c>
      <c r="N896" s="511">
        <f>IFERROR(INDEX([1]Produtos!$E:$E,MATCH(L896,[1]Produtos!$B:$B,0)), "-")</f>
        <v>120</v>
      </c>
      <c r="O896" s="483" t="str">
        <f>IFERROR(INDEX([1]Produtos!$F:$F,MATCH(L896,[1]Produtos!$B:$B,0)), "-")</f>
        <v>ml</v>
      </c>
      <c r="P896" s="483" t="str">
        <f>IFERROR(INDEX([1]Produtos!$G:$G,MATCH(L896,[1]Produtos!$B:$B,0)), "-")</f>
        <v>BRIA BEAUTY</v>
      </c>
      <c r="Q896" s="483" t="str">
        <f>IFERROR(INDEX([1]Produtos!$H:$H,MATCH(L896,[1]Produtos!$B:$B,0)), "-")</f>
        <v>PERFUMARIA</v>
      </c>
      <c r="R896" s="270" t="str">
        <f>IFERROR(INDEX([1]Produtos!$I:$I,MATCH(L896,[1]Produtos!$B:$B,0)), "-")</f>
        <v>BODY SPLASH</v>
      </c>
      <c r="S896" s="270" t="str">
        <f>IFERROR(INDEX([1]Produtos!$J:$J,MATCH(L896,[1]Produtos!$B:$B,0)), "-")</f>
        <v>LÍQUIDO</v>
      </c>
      <c r="T896" s="531"/>
      <c r="U896" s="266"/>
      <c r="V896" s="269"/>
      <c r="W896" s="267"/>
      <c r="X896" s="268"/>
      <c r="Y896" s="269"/>
      <c r="Z896" s="270"/>
      <c r="AA896" s="510"/>
      <c r="AB896" s="270"/>
      <c r="AC896" s="270"/>
      <c r="AD896" s="270"/>
      <c r="AE896" s="270"/>
      <c r="AF896" s="270"/>
      <c r="AG896" s="270"/>
      <c r="AH896" s="270"/>
      <c r="AI896" s="270"/>
      <c r="AJ896" s="270"/>
      <c r="AK896" s="270"/>
      <c r="AL896" s="270"/>
      <c r="AM896" s="663"/>
      <c r="AN896" s="663"/>
      <c r="AO896" s="708" t="str">
        <f>IF(OR(Table1[[#This Row],[Início Setup Envase]]="",Table1[[#This Row],[Final Setup Envase]]=""),"",Table1[[#This Row],[Final Setup Envase]]-Table1[[#This Row],[Início Setup Envase]])</f>
        <v/>
      </c>
      <c r="AP896" s="663"/>
      <c r="AQ896" s="663"/>
      <c r="AR896" s="270"/>
      <c r="AS896" s="270"/>
      <c r="AT896" s="270"/>
      <c r="AU896" s="270"/>
      <c r="AV896" s="270"/>
      <c r="AW896" s="270"/>
      <c r="AX896" s="270"/>
      <c r="AY896" s="270"/>
      <c r="AZ896" s="270"/>
      <c r="BA896" s="270">
        <f>IF(Table1[[#This Row],[Data de Início]]="","",YEAR(Table1[[#This Row],[Data de Início]]))</f>
        <v>2026</v>
      </c>
      <c r="BB896" s="270">
        <f>IF(Table1[[#This Row],[Data de Início]]="","",MONTH(Table1[[#This Row],[Data de Início]]))</f>
        <v>3</v>
      </c>
      <c r="BC896" s="270"/>
    </row>
    <row r="897" spans="2:55" x14ac:dyDescent="0.25">
      <c r="B897" s="470">
        <v>46104.398611111108</v>
      </c>
      <c r="C897" s="263">
        <v>46104.473611111112</v>
      </c>
      <c r="D897" s="264" cm="1">
        <f t="array" ref="D897">IFERROR(HorasUteisFabrica2Turnos(B897,C897), "")</f>
        <v>1.8000000001047738</v>
      </c>
      <c r="E897" s="265">
        <f t="shared" si="13"/>
        <v>773.33333328831941</v>
      </c>
      <c r="F897" s="266" t="s">
        <v>377</v>
      </c>
      <c r="G897" s="266" t="s">
        <v>1495</v>
      </c>
      <c r="H897" s="266"/>
      <c r="I897" s="269" t="s">
        <v>1523</v>
      </c>
      <c r="J897" s="267" t="s">
        <v>15</v>
      </c>
      <c r="K897" s="268">
        <v>1392</v>
      </c>
      <c r="L897" s="269" t="s">
        <v>455</v>
      </c>
      <c r="M897" s="510" t="str">
        <f>IFERROR(INDEX([1]Produtos!$C:$C,MATCH(L897,[1]Produtos!$B:$B,0)), "-")</f>
        <v>BODY SPLASH GLOW CHAMPAGNE</v>
      </c>
      <c r="N897" s="510">
        <f>IFERROR(INDEX([1]Produtos!$E:$E,MATCH(L897,[1]Produtos!$B:$B,0)), "-")</f>
        <v>210</v>
      </c>
      <c r="O897" s="270" t="str">
        <f>IFERROR(INDEX([1]Produtos!$F:$F,MATCH(L897,[1]Produtos!$B:$B,0)), "-")</f>
        <v>ml</v>
      </c>
      <c r="P897" s="270" t="str">
        <f>IFERROR(INDEX([1]Produtos!$G:$G,MATCH(L897,[1]Produtos!$B:$B,0)), "-")</f>
        <v>GOTA ZEN</v>
      </c>
      <c r="Q897" s="270" t="str">
        <f>IFERROR(INDEX([1]Produtos!$H:$H,MATCH(L897,[1]Produtos!$B:$B,0)), "-")</f>
        <v>PERFUMARIA</v>
      </c>
      <c r="R897" s="270" t="str">
        <f>IFERROR(INDEX([1]Produtos!$I:$I,MATCH(L897,[1]Produtos!$B:$B,0)), "-")</f>
        <v>BODY SPLASH</v>
      </c>
      <c r="S897" s="270" t="str">
        <f>IFERROR(INDEX([1]Produtos!$J:$J,MATCH(L897,[1]Produtos!$B:$B,0)), "-")</f>
        <v>LÍQUIDO</v>
      </c>
      <c r="T897" s="567"/>
      <c r="U897" s="266"/>
      <c r="V897" s="269"/>
      <c r="W897" s="267"/>
      <c r="X897" s="268"/>
      <c r="Y897" s="269"/>
      <c r="Z897" s="270"/>
      <c r="AA897" s="510"/>
      <c r="AB897" s="270"/>
      <c r="AC897" s="270"/>
      <c r="AD897" s="270"/>
      <c r="AE897" s="270"/>
      <c r="AF897" s="270"/>
      <c r="AG897" s="270"/>
      <c r="AH897" s="270"/>
      <c r="AI897" s="270"/>
      <c r="AJ897" s="270"/>
      <c r="AK897" s="270"/>
      <c r="AL897" s="270"/>
      <c r="AM897" s="663"/>
      <c r="AN897" s="663"/>
      <c r="AO897" s="708" t="str">
        <f>IF(OR(Table1[[#This Row],[Início Setup Envase]]="",Table1[[#This Row],[Final Setup Envase]]=""),"",Table1[[#This Row],[Final Setup Envase]]-Table1[[#This Row],[Início Setup Envase]])</f>
        <v/>
      </c>
      <c r="AP897" s="663"/>
      <c r="AQ897" s="663"/>
      <c r="AR897" s="270"/>
      <c r="AS897" s="270"/>
      <c r="AT897" s="270"/>
      <c r="AU897" s="270"/>
      <c r="AV897" s="270"/>
      <c r="AW897" s="270"/>
      <c r="AX897" s="270"/>
      <c r="AY897" s="270"/>
      <c r="AZ897" s="270"/>
      <c r="BA897" s="270">
        <f>IF(Table1[[#This Row],[Data de Início]]="","",YEAR(Table1[[#This Row],[Data de Início]]))</f>
        <v>2026</v>
      </c>
      <c r="BB897" s="270">
        <f>IF(Table1[[#This Row],[Data de Início]]="","",MONTH(Table1[[#This Row],[Data de Início]]))</f>
        <v>3</v>
      </c>
      <c r="BC897" s="270"/>
    </row>
    <row r="898" spans="2:55" x14ac:dyDescent="0.25">
      <c r="B898" s="470">
        <v>46104.416666666664</v>
      </c>
      <c r="C898" s="263">
        <v>46107.340277777781</v>
      </c>
      <c r="D898" s="264" cm="1">
        <f t="array" ref="D898">IFERROR(HorasUteisFabrica2Turnos(B898,C898), "")</f>
        <v>25.166666667151731</v>
      </c>
      <c r="E898" s="265">
        <f t="shared" si="13"/>
        <v>115.98675496465188</v>
      </c>
      <c r="F898" s="266" t="s">
        <v>1039</v>
      </c>
      <c r="G898" s="266" t="s">
        <v>1539</v>
      </c>
      <c r="H898" s="266"/>
      <c r="I898" s="269" t="s">
        <v>1540</v>
      </c>
      <c r="J898" s="267" t="s">
        <v>15</v>
      </c>
      <c r="K898" s="268">
        <v>2919</v>
      </c>
      <c r="L898" s="269" t="s">
        <v>1541</v>
      </c>
      <c r="M898" s="510" t="str">
        <f>IFERROR(INDEX([1]Produtos!$C:$C,MATCH(L898,[1]Produtos!$B:$B,0)), "-")</f>
        <v>GLOSS LABIAL CAMIE BEAUTY 4mL</v>
      </c>
      <c r="N898" s="510">
        <f>IFERROR(INDEX([1]Produtos!$E:$E,MATCH(L898,[1]Produtos!$B:$B,0)), "-")</f>
        <v>4</v>
      </c>
      <c r="O898" s="270" t="str">
        <f>IFERROR(INDEX([1]Produtos!$F:$F,MATCH(L898,[1]Produtos!$B:$B,0)), "-")</f>
        <v>ml</v>
      </c>
      <c r="P898" s="270" t="str">
        <f>IFERROR(INDEX([1]Produtos!$G:$G,MATCH(L898,[1]Produtos!$B:$B,0)), "-")</f>
        <v>CAMIE BEAUTY</v>
      </c>
      <c r="Q898" s="270" t="str">
        <f>IFERROR(INDEX([1]Produtos!$H:$H,MATCH(L898,[1]Produtos!$B:$B,0)), "-")</f>
        <v>MAQUIAGEM</v>
      </c>
      <c r="R898" s="270" t="str">
        <f>IFERROR(INDEX([1]Produtos!$I:$I,MATCH(L898,[1]Produtos!$B:$B,0)), "-")</f>
        <v>LABIAL</v>
      </c>
      <c r="S898" s="270" t="str">
        <f>IFERROR(INDEX([1]Produtos!$J:$J,MATCH(L898,[1]Produtos!$B:$B,0)), "-")</f>
        <v>VISCOSO</v>
      </c>
      <c r="T898" s="531"/>
      <c r="U898" s="266"/>
      <c r="V898" s="269"/>
      <c r="W898" s="267"/>
      <c r="X898" s="268"/>
      <c r="Y898" s="269"/>
      <c r="Z898" s="270"/>
      <c r="AA898" s="510"/>
      <c r="AB898" s="270"/>
      <c r="AC898" s="270"/>
      <c r="AD898" s="270"/>
      <c r="AE898" s="270"/>
      <c r="AF898" s="270"/>
      <c r="AG898" s="270"/>
      <c r="AH898" s="270"/>
      <c r="AI898" s="270"/>
      <c r="AJ898" s="270"/>
      <c r="AK898" s="270"/>
      <c r="AL898" s="270"/>
      <c r="AM898" s="663"/>
      <c r="AN898" s="663"/>
      <c r="AO898" s="708" t="str">
        <f>IF(OR(Table1[[#This Row],[Início Setup Envase]]="",Table1[[#This Row],[Final Setup Envase]]=""),"",Table1[[#This Row],[Final Setup Envase]]-Table1[[#This Row],[Início Setup Envase]])</f>
        <v/>
      </c>
      <c r="AP898" s="663"/>
      <c r="AQ898" s="663"/>
      <c r="AR898" s="270"/>
      <c r="AS898" s="270"/>
      <c r="AT898" s="270"/>
      <c r="AU898" s="270"/>
      <c r="AV898" s="270"/>
      <c r="AW898" s="270"/>
      <c r="AX898" s="270"/>
      <c r="AY898" s="270"/>
      <c r="AZ898" s="270"/>
      <c r="BA898" s="270">
        <f>IF(Table1[[#This Row],[Data de Início]]="","",YEAR(Table1[[#This Row],[Data de Início]]))</f>
        <v>2026</v>
      </c>
      <c r="BB898" s="270">
        <f>IF(Table1[[#This Row],[Data de Início]]="","",MONTH(Table1[[#This Row],[Data de Início]]))</f>
        <v>3</v>
      </c>
      <c r="BC898" s="270"/>
    </row>
    <row r="899" spans="2:55" x14ac:dyDescent="0.25">
      <c r="B899" s="470">
        <v>46104.470138888886</v>
      </c>
      <c r="C899" s="263">
        <v>46104.666666666664</v>
      </c>
      <c r="D899" s="264" cm="1">
        <f t="array" ref="D899">IFERROR(HorasUteisFabrica2Turnos(B899,C899), "")</f>
        <v>3.7166666666744277</v>
      </c>
      <c r="E899" s="265">
        <f t="shared" ref="E899:E962" si="14">IFERROR(K899/D899, "")</f>
        <v>387.44394618753176</v>
      </c>
      <c r="F899" s="266" t="s">
        <v>377</v>
      </c>
      <c r="G899" s="266" t="s">
        <v>1495</v>
      </c>
      <c r="H899" s="266"/>
      <c r="I899" s="269" t="s">
        <v>1533</v>
      </c>
      <c r="J899" s="267" t="s">
        <v>15</v>
      </c>
      <c r="K899" s="268">
        <v>1440</v>
      </c>
      <c r="L899" s="269" t="s">
        <v>455</v>
      </c>
      <c r="M899" s="510" t="str">
        <f>IFERROR(INDEX([1]Produtos!$C:$C,MATCH(L899,[1]Produtos!$B:$B,0)), "-")</f>
        <v>BODY SPLASH GLOW CHAMPAGNE</v>
      </c>
      <c r="N899" s="510">
        <f>IFERROR(INDEX([1]Produtos!$E:$E,MATCH(L899,[1]Produtos!$B:$B,0)), "-")</f>
        <v>210</v>
      </c>
      <c r="O899" s="270" t="str">
        <f>IFERROR(INDEX([1]Produtos!$F:$F,MATCH(L899,[1]Produtos!$B:$B,0)), "-")</f>
        <v>ml</v>
      </c>
      <c r="P899" s="270" t="str">
        <f>IFERROR(INDEX([1]Produtos!$G:$G,MATCH(L899,[1]Produtos!$B:$B,0)), "-")</f>
        <v>GOTA ZEN</v>
      </c>
      <c r="Q899" s="270" t="str">
        <f>IFERROR(INDEX([1]Produtos!$H:$H,MATCH(L899,[1]Produtos!$B:$B,0)), "-")</f>
        <v>PERFUMARIA</v>
      </c>
      <c r="R899" s="270" t="str">
        <f>IFERROR(INDEX([1]Produtos!$I:$I,MATCH(L899,[1]Produtos!$B:$B,0)), "-")</f>
        <v>BODY SPLASH</v>
      </c>
      <c r="S899" s="270" t="str">
        <f>IFERROR(INDEX([1]Produtos!$J:$J,MATCH(L899,[1]Produtos!$B:$B,0)), "-")</f>
        <v>LÍQUIDO</v>
      </c>
      <c r="T899" s="531"/>
      <c r="U899" s="266"/>
      <c r="V899" s="269"/>
      <c r="W899" s="267"/>
      <c r="X899" s="268"/>
      <c r="Y899" s="269"/>
      <c r="Z899" s="270"/>
      <c r="AA899" s="510"/>
      <c r="AB899" s="270"/>
      <c r="AC899" s="270"/>
      <c r="AD899" s="270"/>
      <c r="AE899" s="270"/>
      <c r="AF899" s="270"/>
      <c r="AG899" s="270"/>
      <c r="AH899" s="270"/>
      <c r="AI899" s="270"/>
      <c r="AJ899" s="270"/>
      <c r="AK899" s="270"/>
      <c r="AL899" s="270"/>
      <c r="AM899" s="663"/>
      <c r="AN899" s="663"/>
      <c r="AO899" s="708" t="str">
        <f>IF(OR(Table1[[#This Row],[Início Setup Envase]]="",Table1[[#This Row],[Final Setup Envase]]=""),"",Table1[[#This Row],[Final Setup Envase]]-Table1[[#This Row],[Início Setup Envase]])</f>
        <v/>
      </c>
      <c r="AP899" s="663"/>
      <c r="AQ899" s="663"/>
      <c r="AR899" s="270"/>
      <c r="AS899" s="270"/>
      <c r="AT899" s="270"/>
      <c r="AU899" s="270"/>
      <c r="AV899" s="270"/>
      <c r="AW899" s="270"/>
      <c r="AX899" s="270"/>
      <c r="AY899" s="270"/>
      <c r="AZ899" s="270"/>
      <c r="BA899" s="270">
        <f>IF(Table1[[#This Row],[Data de Início]]="","",YEAR(Table1[[#This Row],[Data de Início]]))</f>
        <v>2026</v>
      </c>
      <c r="BB899" s="270">
        <f>IF(Table1[[#This Row],[Data de Início]]="","",MONTH(Table1[[#This Row],[Data de Início]]))</f>
        <v>3</v>
      </c>
      <c r="BC899" s="270"/>
    </row>
    <row r="900" spans="2:55" x14ac:dyDescent="0.25">
      <c r="B900" s="470">
        <v>46104.642361111109</v>
      </c>
      <c r="C900" s="263">
        <v>46105.418749999997</v>
      </c>
      <c r="D900" s="264" cm="1">
        <f t="array" ref="D900">IFERROR(HorasUteisFabrica2Turnos(B900,C900), "")</f>
        <v>4.6333333334187046</v>
      </c>
      <c r="E900" s="265">
        <f t="shared" si="14"/>
        <v>880.57553955212029</v>
      </c>
      <c r="F900" s="266" t="s">
        <v>378</v>
      </c>
      <c r="G900" s="266" t="s">
        <v>1489</v>
      </c>
      <c r="H900" s="266"/>
      <c r="I900" s="266" t="s">
        <v>1534</v>
      </c>
      <c r="J900" s="267" t="s">
        <v>15</v>
      </c>
      <c r="K900" s="268">
        <v>4080</v>
      </c>
      <c r="L900" s="269" t="s">
        <v>1078</v>
      </c>
      <c r="M900" s="510" t="str">
        <f>IFERROR(INDEX([1]Produtos!$C:$C,MATCH(L900,[1]Produtos!$B:$B,0)), "-")</f>
        <v>BODY SPLASH SOL TROPICAL 61 120ml</v>
      </c>
      <c r="N900" s="510">
        <f>IFERROR(INDEX([1]Produtos!$E:$E,MATCH(L900,[1]Produtos!$B:$B,0)), "-")</f>
        <v>120</v>
      </c>
      <c r="O900" s="270" t="str">
        <f>IFERROR(INDEX([1]Produtos!$F:$F,MATCH(L900,[1]Produtos!$B:$B,0)), "-")</f>
        <v>ml</v>
      </c>
      <c r="P900" s="270" t="str">
        <f>IFERROR(INDEX([1]Produtos!$G:$G,MATCH(L900,[1]Produtos!$B:$B,0)), "-")</f>
        <v>BRIA BEAUTY</v>
      </c>
      <c r="Q900" s="270" t="str">
        <f>IFERROR(INDEX([1]Produtos!$H:$H,MATCH(L900,[1]Produtos!$B:$B,0)), "-")</f>
        <v>PERFUMARIA</v>
      </c>
      <c r="R900" s="270" t="str">
        <f>IFERROR(INDEX([1]Produtos!$I:$I,MATCH(L900,[1]Produtos!$B:$B,0)), "-")</f>
        <v>BODY SPLASH</v>
      </c>
      <c r="S900" s="270" t="str">
        <f>IFERROR(INDEX([1]Produtos!$J:$J,MATCH(L900,[1]Produtos!$B:$B,0)), "-")</f>
        <v>LÍQUIDO</v>
      </c>
      <c r="T900" s="567"/>
      <c r="U900" s="266"/>
      <c r="V900" s="269"/>
      <c r="W900" s="267"/>
      <c r="X900" s="268"/>
      <c r="Y900" s="269"/>
      <c r="Z900" s="270"/>
      <c r="AA900" s="510"/>
      <c r="AB900" s="270"/>
      <c r="AC900" s="270"/>
      <c r="AD900" s="270"/>
      <c r="AE900" s="270"/>
      <c r="AF900" s="270"/>
      <c r="AG900" s="270"/>
      <c r="AH900" s="270"/>
      <c r="AI900" s="270"/>
      <c r="AJ900" s="270"/>
      <c r="AK900" s="270"/>
      <c r="AL900" s="270"/>
      <c r="AM900" s="663"/>
      <c r="AN900" s="663"/>
      <c r="AO900" s="708" t="str">
        <f>IF(OR(Table1[[#This Row],[Início Setup Envase]]="",Table1[[#This Row],[Final Setup Envase]]=""),"",Table1[[#This Row],[Final Setup Envase]]-Table1[[#This Row],[Início Setup Envase]])</f>
        <v/>
      </c>
      <c r="AP900" s="663"/>
      <c r="AQ900" s="663"/>
      <c r="AR900" s="270"/>
      <c r="AS900" s="270"/>
      <c r="AT900" s="270"/>
      <c r="AU900" s="270"/>
      <c r="AV900" s="270"/>
      <c r="AW900" s="270"/>
      <c r="AX900" s="270"/>
      <c r="AY900" s="270"/>
      <c r="AZ900" s="270"/>
      <c r="BA900" s="270">
        <f>IF(Table1[[#This Row],[Data de Início]]="","",YEAR(Table1[[#This Row],[Data de Início]]))</f>
        <v>2026</v>
      </c>
      <c r="BB900" s="270">
        <f>IF(Table1[[#This Row],[Data de Início]]="","",MONTH(Table1[[#This Row],[Data de Início]]))</f>
        <v>3</v>
      </c>
      <c r="BC900" s="270"/>
    </row>
    <row r="901" spans="2:55" x14ac:dyDescent="0.25">
      <c r="B901" s="470">
        <v>46104.652777777781</v>
      </c>
      <c r="C901" s="263">
        <v>46104.673611111109</v>
      </c>
      <c r="D901" s="264" cm="1">
        <f t="array" ref="D901">IFERROR(HorasUteisFabrica2Turnos(B901,C901), "")</f>
        <v>0.49999999988358468</v>
      </c>
      <c r="E901" s="265">
        <f t="shared" si="14"/>
        <v>192.00000004470348</v>
      </c>
      <c r="F901" s="266" t="s">
        <v>377</v>
      </c>
      <c r="G901" s="266" t="s">
        <v>1495</v>
      </c>
      <c r="H901" s="266"/>
      <c r="I901" s="269" t="s">
        <v>1527</v>
      </c>
      <c r="J901" s="267" t="s">
        <v>15</v>
      </c>
      <c r="K901" s="268">
        <v>96</v>
      </c>
      <c r="L901" s="269" t="s">
        <v>455</v>
      </c>
      <c r="M901" s="510" t="str">
        <f>IFERROR(INDEX([1]Produtos!$C:$C,MATCH(L901,[1]Produtos!$B:$B,0)), "-")</f>
        <v>BODY SPLASH GLOW CHAMPAGNE</v>
      </c>
      <c r="N901" s="510">
        <f>IFERROR(INDEX([1]Produtos!$E:$E,MATCH(L901,[1]Produtos!$B:$B,0)), "-")</f>
        <v>210</v>
      </c>
      <c r="O901" s="270" t="str">
        <f>IFERROR(INDEX([1]Produtos!$F:$F,MATCH(L901,[1]Produtos!$B:$B,0)), "-")</f>
        <v>ml</v>
      </c>
      <c r="P901" s="270" t="str">
        <f>IFERROR(INDEX([1]Produtos!$G:$G,MATCH(L901,[1]Produtos!$B:$B,0)), "-")</f>
        <v>GOTA ZEN</v>
      </c>
      <c r="Q901" s="270" t="str">
        <f>IFERROR(INDEX([1]Produtos!$H:$H,MATCH(L901,[1]Produtos!$B:$B,0)), "-")</f>
        <v>PERFUMARIA</v>
      </c>
      <c r="R901" s="270" t="str">
        <f>IFERROR(INDEX([1]Produtos!$I:$I,MATCH(L901,[1]Produtos!$B:$B,0)), "-")</f>
        <v>BODY SPLASH</v>
      </c>
      <c r="S901" s="270" t="str">
        <f>IFERROR(INDEX([1]Produtos!$J:$J,MATCH(L901,[1]Produtos!$B:$B,0)), "-")</f>
        <v>LÍQUIDO</v>
      </c>
      <c r="T901" s="567"/>
      <c r="U901" s="266"/>
      <c r="V901" s="269"/>
      <c r="W901" s="267"/>
      <c r="X901" s="268"/>
      <c r="Y901" s="269"/>
      <c r="Z901" s="270"/>
      <c r="AA901" s="510"/>
      <c r="AB901" s="270"/>
      <c r="AC901" s="270"/>
      <c r="AD901" s="270"/>
      <c r="AE901" s="270"/>
      <c r="AF901" s="270"/>
      <c r="AG901" s="270"/>
      <c r="AH901" s="270"/>
      <c r="AI901" s="270"/>
      <c r="AJ901" s="270"/>
      <c r="AK901" s="270"/>
      <c r="AL901" s="270"/>
      <c r="AM901" s="663"/>
      <c r="AN901" s="663"/>
      <c r="AO901" s="708" t="str">
        <f>IF(OR(Table1[[#This Row],[Início Setup Envase]]="",Table1[[#This Row],[Final Setup Envase]]=""),"",Table1[[#This Row],[Final Setup Envase]]-Table1[[#This Row],[Início Setup Envase]])</f>
        <v/>
      </c>
      <c r="AP901" s="663"/>
      <c r="AQ901" s="663"/>
      <c r="AR901" s="270"/>
      <c r="AS901" s="270"/>
      <c r="AT901" s="270"/>
      <c r="AU901" s="270"/>
      <c r="AV901" s="270"/>
      <c r="AW901" s="270"/>
      <c r="AX901" s="270"/>
      <c r="AY901" s="270"/>
      <c r="AZ901" s="270"/>
      <c r="BA901" s="270">
        <f>IF(Table1[[#This Row],[Data de Início]]="","",YEAR(Table1[[#This Row],[Data de Início]]))</f>
        <v>2026</v>
      </c>
      <c r="BB901" s="270">
        <f>IF(Table1[[#This Row],[Data de Início]]="","",MONTH(Table1[[#This Row],[Data de Início]]))</f>
        <v>3</v>
      </c>
      <c r="BC901" s="270"/>
    </row>
    <row r="902" spans="2:55" x14ac:dyDescent="0.25">
      <c r="B902" s="470">
        <v>46105.341666666667</v>
      </c>
      <c r="C902" s="263">
        <v>46105.353472222225</v>
      </c>
      <c r="D902" s="264" cm="1">
        <f t="array" ref="D902">IFERROR(HorasUteisFabrica2Turnos(B902,C902), "")</f>
        <v>0.28333333338377997</v>
      </c>
      <c r="E902" s="265">
        <f t="shared" si="14"/>
        <v>434.11764698153019</v>
      </c>
      <c r="F902" s="266" t="s">
        <v>377</v>
      </c>
      <c r="G902" s="266" t="s">
        <v>1495</v>
      </c>
      <c r="H902" s="266"/>
      <c r="I902" s="269" t="s">
        <v>1548</v>
      </c>
      <c r="J902" s="267" t="s">
        <v>15</v>
      </c>
      <c r="K902" s="268">
        <v>123</v>
      </c>
      <c r="L902" s="269" t="s">
        <v>457</v>
      </c>
      <c r="M902" s="510" t="str">
        <f>IFERROR(INDEX([1]Produtos!$C:$C,MATCH(L902,[1]Produtos!$B:$B,0)), "-")</f>
        <v>BODY SPLASH ESCAN DALOSA</v>
      </c>
      <c r="N902" s="510">
        <f>IFERROR(INDEX([1]Produtos!$E:$E,MATCH(L902,[1]Produtos!$B:$B,0)), "-")</f>
        <v>210</v>
      </c>
      <c r="O902" s="270" t="str">
        <f>IFERROR(INDEX([1]Produtos!$F:$F,MATCH(L902,[1]Produtos!$B:$B,0)), "-")</f>
        <v>ml</v>
      </c>
      <c r="P902" s="270" t="str">
        <f>IFERROR(INDEX([1]Produtos!$G:$G,MATCH(L902,[1]Produtos!$B:$B,0)), "-")</f>
        <v>GOTA ZEN</v>
      </c>
      <c r="Q902" s="270" t="str">
        <f>IFERROR(INDEX([1]Produtos!$H:$H,MATCH(L902,[1]Produtos!$B:$B,0)), "-")</f>
        <v>PERFUMARIA</v>
      </c>
      <c r="R902" s="270" t="str">
        <f>IFERROR(INDEX([1]Produtos!$I:$I,MATCH(L902,[1]Produtos!$B:$B,0)), "-")</f>
        <v>BODY SPLASH</v>
      </c>
      <c r="S902" s="270" t="str">
        <f>IFERROR(INDEX([1]Produtos!$J:$J,MATCH(L902,[1]Produtos!$B:$B,0)), "-")</f>
        <v>LÍQUIDO</v>
      </c>
      <c r="T902" s="567"/>
      <c r="U902" s="266"/>
      <c r="V902" s="269"/>
      <c r="W902" s="267"/>
      <c r="X902" s="268"/>
      <c r="Y902" s="269"/>
      <c r="Z902" s="270"/>
      <c r="AA902" s="510"/>
      <c r="AB902" s="270"/>
      <c r="AC902" s="270"/>
      <c r="AD902" s="270"/>
      <c r="AE902" s="270"/>
      <c r="AF902" s="270"/>
      <c r="AG902" s="270"/>
      <c r="AH902" s="270"/>
      <c r="AI902" s="270"/>
      <c r="AJ902" s="270"/>
      <c r="AK902" s="270"/>
      <c r="AL902" s="270"/>
      <c r="AM902" s="663"/>
      <c r="AN902" s="663"/>
      <c r="AO902" s="708" t="str">
        <f>IF(OR(Table1[[#This Row],[Início Setup Envase]]="",Table1[[#This Row],[Final Setup Envase]]=""),"",Table1[[#This Row],[Final Setup Envase]]-Table1[[#This Row],[Início Setup Envase]])</f>
        <v/>
      </c>
      <c r="AP902" s="663"/>
      <c r="AQ902" s="663"/>
      <c r="AR902" s="270"/>
      <c r="AS902" s="270"/>
      <c r="AT902" s="270"/>
      <c r="AU902" s="270"/>
      <c r="AV902" s="270"/>
      <c r="AW902" s="270"/>
      <c r="AX902" s="270"/>
      <c r="AY902" s="270"/>
      <c r="AZ902" s="270"/>
      <c r="BA902" s="270">
        <f>IF(Table1[[#This Row],[Data de Início]]="","",YEAR(Table1[[#This Row],[Data de Início]]))</f>
        <v>2026</v>
      </c>
      <c r="BB902" s="270">
        <f>IF(Table1[[#This Row],[Data de Início]]="","",MONTH(Table1[[#This Row],[Data de Início]]))</f>
        <v>3</v>
      </c>
      <c r="BC902" s="270"/>
    </row>
    <row r="903" spans="2:55" x14ac:dyDescent="0.25">
      <c r="B903" s="470">
        <v>46105.418055555558</v>
      </c>
      <c r="C903" s="263">
        <v>46105.669444444444</v>
      </c>
      <c r="D903" s="264" cm="1">
        <f t="array" ref="D903">IFERROR(HorasUteisFabrica2Turnos(B903,C903), "")</f>
        <v>5.0333333332673647</v>
      </c>
      <c r="E903" s="265">
        <f t="shared" si="14"/>
        <v>890.06622517722849</v>
      </c>
      <c r="F903" s="266" t="s">
        <v>378</v>
      </c>
      <c r="G903" s="266" t="s">
        <v>1489</v>
      </c>
      <c r="H903" s="266"/>
      <c r="I903" s="269" t="s">
        <v>1547</v>
      </c>
      <c r="J903" s="267" t="s">
        <v>15</v>
      </c>
      <c r="K903" s="268">
        <v>4480</v>
      </c>
      <c r="L903" s="269" t="s">
        <v>1078</v>
      </c>
      <c r="M903" s="510" t="str">
        <f>IFERROR(INDEX([1]Produtos!$C:$C,MATCH(L903,[1]Produtos!$B:$B,0)), "-")</f>
        <v>BODY SPLASH SOL TROPICAL 61 120ml</v>
      </c>
      <c r="N903" s="510">
        <f>IFERROR(INDEX([1]Produtos!$E:$E,MATCH(L903,[1]Produtos!$B:$B,0)), "-")</f>
        <v>120</v>
      </c>
      <c r="O903" s="270" t="str">
        <f>IFERROR(INDEX([1]Produtos!$F:$F,MATCH(L903,[1]Produtos!$B:$B,0)), "-")</f>
        <v>ml</v>
      </c>
      <c r="P903" s="270" t="str">
        <f>IFERROR(INDEX([1]Produtos!$G:$G,MATCH(L903,[1]Produtos!$B:$B,0)), "-")</f>
        <v>BRIA BEAUTY</v>
      </c>
      <c r="Q903" s="270" t="str">
        <f>IFERROR(INDEX([1]Produtos!$H:$H,MATCH(L903,[1]Produtos!$B:$B,0)), "-")</f>
        <v>PERFUMARIA</v>
      </c>
      <c r="R903" s="270" t="str">
        <f>IFERROR(INDEX([1]Produtos!$I:$I,MATCH(L903,[1]Produtos!$B:$B,0)), "-")</f>
        <v>BODY SPLASH</v>
      </c>
      <c r="S903" s="270" t="str">
        <f>IFERROR(INDEX([1]Produtos!$J:$J,MATCH(L903,[1]Produtos!$B:$B,0)), "-")</f>
        <v>LÍQUIDO</v>
      </c>
      <c r="T903" s="531"/>
      <c r="U903" s="266"/>
      <c r="V903" s="269"/>
      <c r="W903" s="267"/>
      <c r="X903" s="268"/>
      <c r="Y903" s="269"/>
      <c r="Z903" s="270"/>
      <c r="AA903" s="510"/>
      <c r="AB903" s="270"/>
      <c r="AC903" s="270"/>
      <c r="AD903" s="270"/>
      <c r="AE903" s="270"/>
      <c r="AF903" s="270"/>
      <c r="AG903" s="270"/>
      <c r="AH903" s="270"/>
      <c r="AI903" s="270"/>
      <c r="AJ903" s="270"/>
      <c r="AK903" s="270"/>
      <c r="AL903" s="270"/>
      <c r="AM903" s="663"/>
      <c r="AN903" s="663"/>
      <c r="AO903" s="708" t="str">
        <f>IF(OR(Table1[[#This Row],[Início Setup Envase]]="",Table1[[#This Row],[Final Setup Envase]]=""),"",Table1[[#This Row],[Final Setup Envase]]-Table1[[#This Row],[Início Setup Envase]])</f>
        <v/>
      </c>
      <c r="AP903" s="663"/>
      <c r="AQ903" s="663"/>
      <c r="AR903" s="270"/>
      <c r="AS903" s="270"/>
      <c r="AT903" s="270"/>
      <c r="AU903" s="270"/>
      <c r="AV903" s="270"/>
      <c r="AW903" s="270"/>
      <c r="AX903" s="270"/>
      <c r="AY903" s="270"/>
      <c r="AZ903" s="270"/>
      <c r="BA903" s="270">
        <f>IF(Table1[[#This Row],[Data de Início]]="","",YEAR(Table1[[#This Row],[Data de Início]]))</f>
        <v>2026</v>
      </c>
      <c r="BB903" s="270">
        <f>IF(Table1[[#This Row],[Data de Início]]="","",MONTH(Table1[[#This Row],[Data de Início]]))</f>
        <v>3</v>
      </c>
      <c r="BC903" s="616"/>
    </row>
    <row r="904" spans="2:55" ht="15" customHeight="1" x14ac:dyDescent="0.25">
      <c r="B904" s="470">
        <v>46105.541666666664</v>
      </c>
      <c r="C904" s="263">
        <v>46106.416666666664</v>
      </c>
      <c r="D904" s="264" cm="1">
        <f t="array" ref="D904">IFERROR(HorasUteisFabrica2Turnos(B904,C904), "")</f>
        <v>7.0000000001164153</v>
      </c>
      <c r="E904" s="265">
        <f t="shared" si="14"/>
        <v>440.28571427839199</v>
      </c>
      <c r="F904" s="266" t="s">
        <v>377</v>
      </c>
      <c r="G904" s="266" t="s">
        <v>1539</v>
      </c>
      <c r="H904" s="266"/>
      <c r="I904" s="269" t="s">
        <v>1542</v>
      </c>
      <c r="J904" s="267" t="s">
        <v>15</v>
      </c>
      <c r="K904" s="268">
        <v>3082</v>
      </c>
      <c r="L904" s="269" t="s">
        <v>1543</v>
      </c>
      <c r="M904" s="510" t="str">
        <f>IFERROR(INDEX([1]Produtos!$C:$C,MATCH(L904,[1]Produtos!$B:$B,0)), "-")</f>
        <v>BODY SPLASH CAMIE BEAUTY 120mL</v>
      </c>
      <c r="N904" s="510">
        <f>IFERROR(INDEX([1]Produtos!$E:$E,MATCH(L904,[1]Produtos!$B:$B,0)), "-")</f>
        <v>120</v>
      </c>
      <c r="O904" s="270" t="str">
        <f>IFERROR(INDEX([1]Produtos!$F:$F,MATCH(L904,[1]Produtos!$B:$B,0)), "-")</f>
        <v>ml</v>
      </c>
      <c r="P904" s="270" t="str">
        <f>IFERROR(INDEX([1]Produtos!$G:$G,MATCH(L904,[1]Produtos!$B:$B,0)), "-")</f>
        <v>CAMIE BEAUTY</v>
      </c>
      <c r="Q904" s="270" t="str">
        <f>IFERROR(INDEX([1]Produtos!$H:$H,MATCH(L904,[1]Produtos!$B:$B,0)), "-")</f>
        <v>PERFUMARIA</v>
      </c>
      <c r="R904" s="270" t="str">
        <f>IFERROR(INDEX([1]Produtos!$I:$I,MATCH(L904,[1]Produtos!$B:$B,0)), "-")</f>
        <v>BODY SPLASH</v>
      </c>
      <c r="S904" s="270" t="str">
        <f>IFERROR(INDEX([1]Produtos!$J:$J,MATCH(L904,[1]Produtos!$B:$B,0)), "-")</f>
        <v>LÍQUIDO</v>
      </c>
      <c r="T904" s="567"/>
      <c r="U904" s="266"/>
      <c r="V904" s="269"/>
      <c r="W904" s="267"/>
      <c r="X904" s="268"/>
      <c r="Y904" s="269"/>
      <c r="Z904" s="270"/>
      <c r="AA904" s="510"/>
      <c r="AB904" s="270"/>
      <c r="AC904" s="270"/>
      <c r="AD904" s="270"/>
      <c r="AE904" s="270"/>
      <c r="AF904" s="270"/>
      <c r="AG904" s="270"/>
      <c r="AH904" s="270"/>
      <c r="AI904" s="270"/>
      <c r="AJ904" s="270"/>
      <c r="AK904" s="270"/>
      <c r="AL904" s="270"/>
      <c r="AM904" s="663"/>
      <c r="AN904" s="663"/>
      <c r="AO904" s="708" t="str">
        <f>IF(OR(Table1[[#This Row],[Início Setup Envase]]="",Table1[[#This Row],[Final Setup Envase]]=""),"",Table1[[#This Row],[Final Setup Envase]]-Table1[[#This Row],[Início Setup Envase]])</f>
        <v/>
      </c>
      <c r="AP904" s="663"/>
      <c r="AQ904" s="663"/>
      <c r="AR904" s="270"/>
      <c r="AS904" s="270"/>
      <c r="AT904" s="270"/>
      <c r="AU904" s="270"/>
      <c r="AV904" s="270"/>
      <c r="AW904" s="270"/>
      <c r="AX904" s="270"/>
      <c r="AY904" s="270"/>
      <c r="AZ904" s="270"/>
      <c r="BA904" s="270">
        <f>IF(Table1[[#This Row],[Data de Início]]="","",YEAR(Table1[[#This Row],[Data de Início]]))</f>
        <v>2026</v>
      </c>
      <c r="BB904" s="270">
        <f>IF(Table1[[#This Row],[Data de Início]]="","",MONTH(Table1[[#This Row],[Data de Início]]))</f>
        <v>3</v>
      </c>
      <c r="BC904" s="270"/>
    </row>
    <row r="905" spans="2:55" ht="15" customHeight="1" x14ac:dyDescent="0.25">
      <c r="B905" s="489">
        <v>46106.340277777781</v>
      </c>
      <c r="C905" s="490">
        <v>46107.375</v>
      </c>
      <c r="D905" s="477" cm="1">
        <f t="array" ref="D905">IFERROR(HorasUteisFabrica2Turnos(B905,C905), "")</f>
        <v>9.8333333333721384</v>
      </c>
      <c r="E905" s="478">
        <f t="shared" si="14"/>
        <v>17.694915254167459</v>
      </c>
      <c r="F905" s="479" t="s">
        <v>378</v>
      </c>
      <c r="G905" s="266" t="s">
        <v>1495</v>
      </c>
      <c r="H905" s="479"/>
      <c r="I905" s="480" t="s">
        <v>1553</v>
      </c>
      <c r="J905" s="481" t="s">
        <v>15</v>
      </c>
      <c r="K905" s="268">
        <v>174</v>
      </c>
      <c r="L905" s="269" t="s">
        <v>435</v>
      </c>
      <c r="M905" s="511" t="str">
        <f>IFERROR(INDEX([1]Produtos!$C:$C,MATCH(L905,[1]Produtos!$B:$B,0)), "-")</f>
        <v>BODY SPLASH GOTA LOVE</v>
      </c>
      <c r="N905" s="511">
        <f>IFERROR(INDEX([1]Produtos!$E:$E,MATCH(L905,[1]Produtos!$B:$B,0)), "-")</f>
        <v>210</v>
      </c>
      <c r="O905" s="483" t="str">
        <f>IFERROR(INDEX([1]Produtos!$F:$F,MATCH(L905,[1]Produtos!$B:$B,0)), "-")</f>
        <v>ml</v>
      </c>
      <c r="P905" s="270" t="str">
        <f>IFERROR(INDEX([1]Produtos!$G:$G,MATCH(L905,[1]Produtos!$B:$B,0)), "-")</f>
        <v>GOTA ZEN</v>
      </c>
      <c r="Q905" s="270" t="str">
        <f>IFERROR(INDEX([1]Produtos!$H:$H,MATCH(L905,[1]Produtos!$B:$B,0)), "-")</f>
        <v>PERFUMARIA</v>
      </c>
      <c r="R905" s="270" t="str">
        <f>IFERROR(INDEX([1]Produtos!$I:$I,MATCH(L905,[1]Produtos!$B:$B,0)), "-")</f>
        <v>BODY SPLASH</v>
      </c>
      <c r="S905" s="270" t="str">
        <f>IFERROR(INDEX([1]Produtos!$J:$J,MATCH(L905,[1]Produtos!$B:$B,0)), "-")</f>
        <v>LÍQUIDO</v>
      </c>
      <c r="T905" s="531"/>
      <c r="U905" s="266"/>
      <c r="V905" s="269"/>
      <c r="W905" s="267"/>
      <c r="X905" s="268"/>
      <c r="Y905" s="269"/>
      <c r="Z905" s="270"/>
      <c r="AA905" s="510"/>
      <c r="AB905" s="270"/>
      <c r="AC905" s="270"/>
      <c r="AD905" s="270"/>
      <c r="AE905" s="270"/>
      <c r="AF905" s="270"/>
      <c r="AG905" s="270"/>
      <c r="AH905" s="270"/>
      <c r="AI905" s="270"/>
      <c r="AJ905" s="270"/>
      <c r="AK905" s="270"/>
      <c r="AL905" s="270"/>
      <c r="AM905" s="663"/>
      <c r="AN905" s="663"/>
      <c r="AO905" s="708" t="str">
        <f>IF(OR(Table1[[#This Row],[Início Setup Envase]]="",Table1[[#This Row],[Final Setup Envase]]=""),"",Table1[[#This Row],[Final Setup Envase]]-Table1[[#This Row],[Início Setup Envase]])</f>
        <v/>
      </c>
      <c r="AP905" s="663"/>
      <c r="AQ905" s="663"/>
      <c r="AR905" s="270"/>
      <c r="AS905" s="270"/>
      <c r="AT905" s="270"/>
      <c r="AU905" s="270"/>
      <c r="AV905" s="270"/>
      <c r="AW905" s="270"/>
      <c r="AX905" s="270"/>
      <c r="AY905" s="270"/>
      <c r="AZ905" s="270"/>
      <c r="BA905" s="270">
        <f>IF(Table1[[#This Row],[Data de Início]]="","",YEAR(Table1[[#This Row],[Data de Início]]))</f>
        <v>2026</v>
      </c>
      <c r="BB905" s="270">
        <f>IF(Table1[[#This Row],[Data de Início]]="","",MONTH(Table1[[#This Row],[Data de Início]]))</f>
        <v>3</v>
      </c>
      <c r="BC905" s="270"/>
    </row>
    <row r="906" spans="2:55" x14ac:dyDescent="0.25">
      <c r="B906" s="489">
        <v>46106.416666666664</v>
      </c>
      <c r="C906" s="490">
        <v>46106.645833333336</v>
      </c>
      <c r="D906" s="477" cm="1">
        <f t="array" ref="D906">IFERROR(HorasUteisFabrica2Turnos(B906,C906), "")</f>
        <v>4.5000000001164153</v>
      </c>
      <c r="E906" s="478">
        <f t="shared" si="14"/>
        <v>609.77777776200276</v>
      </c>
      <c r="F906" s="479"/>
      <c r="G906" s="266" t="s">
        <v>1539</v>
      </c>
      <c r="H906" s="479"/>
      <c r="I906" s="480" t="s">
        <v>1544</v>
      </c>
      <c r="J906" s="481" t="s">
        <v>15</v>
      </c>
      <c r="K906" s="268">
        <v>2744</v>
      </c>
      <c r="L906" s="269" t="s">
        <v>1545</v>
      </c>
      <c r="M906" s="511" t="str">
        <f>IFERROR(INDEX([1]Produtos!$C:$C,MATCH(L906,[1]Produtos!$B:$B,0)), "-")</f>
        <v>OLEO CAPILAR CAMIE BEAUTY 60mL</v>
      </c>
      <c r="N906" s="511">
        <f>IFERROR(INDEX([1]Produtos!$E:$E,MATCH(L906,[1]Produtos!$B:$B,0)), "-")</f>
        <v>60</v>
      </c>
      <c r="O906" s="483" t="str">
        <f>IFERROR(INDEX([1]Produtos!$F:$F,MATCH(L906,[1]Produtos!$B:$B,0)), "-")</f>
        <v>ml</v>
      </c>
      <c r="P906" s="483" t="str">
        <f>IFERROR(INDEX([1]Produtos!$G:$G,MATCH(L906,[1]Produtos!$B:$B,0)), "-")</f>
        <v>CAMIE BEAUTY</v>
      </c>
      <c r="Q906" s="483" t="str">
        <f>IFERROR(INDEX([1]Produtos!$H:$H,MATCH(L906,[1]Produtos!$B:$B,0)), "-")</f>
        <v>CAPILAR</v>
      </c>
      <c r="R906" s="270" t="str">
        <f>IFERROR(INDEX([1]Produtos!$I:$I,MATCH(L906,[1]Produtos!$B:$B,0)), "-")</f>
        <v>OLEO CAPILAR</v>
      </c>
      <c r="S906" s="270" t="str">
        <f>IFERROR(INDEX([1]Produtos!$J:$J,MATCH(L906,[1]Produtos!$B:$B,0)), "-")</f>
        <v>VISCOSO</v>
      </c>
      <c r="T906" s="567"/>
      <c r="U906" s="266"/>
      <c r="V906" s="269"/>
      <c r="W906" s="267"/>
      <c r="X906" s="268"/>
      <c r="Y906" s="269"/>
      <c r="Z906" s="270"/>
      <c r="AA906" s="510"/>
      <c r="AB906" s="270"/>
      <c r="AC906" s="270"/>
      <c r="AD906" s="270"/>
      <c r="AE906" s="270"/>
      <c r="AF906" s="270"/>
      <c r="AG906" s="270"/>
      <c r="AH906" s="270"/>
      <c r="AI906" s="270"/>
      <c r="AJ906" s="270"/>
      <c r="AK906" s="270"/>
      <c r="AL906" s="270"/>
      <c r="AM906" s="663"/>
      <c r="AN906" s="663"/>
      <c r="AO906" s="708" t="str">
        <f>IF(OR(Table1[[#This Row],[Início Setup Envase]]="",Table1[[#This Row],[Final Setup Envase]]=""),"",Table1[[#This Row],[Final Setup Envase]]-Table1[[#This Row],[Início Setup Envase]])</f>
        <v/>
      </c>
      <c r="AP906" s="663"/>
      <c r="AQ906" s="663"/>
      <c r="AR906" s="270"/>
      <c r="AS906" s="270"/>
      <c r="AT906" s="270"/>
      <c r="AU906" s="270"/>
      <c r="AV906" s="270"/>
      <c r="AW906" s="270"/>
      <c r="AX906" s="270"/>
      <c r="AY906" s="270"/>
      <c r="AZ906" s="270"/>
      <c r="BA906" s="270">
        <f>IF(Table1[[#This Row],[Data de Início]]="","",YEAR(Table1[[#This Row],[Data de Início]]))</f>
        <v>2026</v>
      </c>
      <c r="BB906" s="270">
        <f>IF(Table1[[#This Row],[Data de Início]]="","",MONTH(Table1[[#This Row],[Data de Início]]))</f>
        <v>3</v>
      </c>
      <c r="BC906" s="270"/>
    </row>
    <row r="907" spans="2:55" x14ac:dyDescent="0.25">
      <c r="B907" s="489">
        <v>46107.291666666664</v>
      </c>
      <c r="C907" s="490">
        <v>46107.333333333336</v>
      </c>
      <c r="D907" s="477" cm="1">
        <f t="array" ref="D907">IFERROR(HorasUteisFabrica2Turnos(B907,C907), "")</f>
        <v>1.0000000001164153</v>
      </c>
      <c r="E907" s="478">
        <f t="shared" si="14"/>
        <v>371.9999999566935</v>
      </c>
      <c r="F907" s="479" t="s">
        <v>378</v>
      </c>
      <c r="G907" s="266" t="s">
        <v>1495</v>
      </c>
      <c r="H907" s="479"/>
      <c r="I907" s="480" t="s">
        <v>1537</v>
      </c>
      <c r="J907" s="481" t="s">
        <v>15</v>
      </c>
      <c r="K907" s="268">
        <v>372</v>
      </c>
      <c r="L907" s="269" t="s">
        <v>457</v>
      </c>
      <c r="M907" s="511" t="str">
        <f>IFERROR(INDEX([1]Produtos!$C:$C,MATCH(L907,[1]Produtos!$B:$B,0)), "-")</f>
        <v>BODY SPLASH ESCAN DALOSA</v>
      </c>
      <c r="N907" s="511">
        <f>IFERROR(INDEX([1]Produtos!$E:$E,MATCH(L907,[1]Produtos!$B:$B,0)), "-")</f>
        <v>210</v>
      </c>
      <c r="O907" s="483" t="str">
        <f>IFERROR(INDEX([1]Produtos!$F:$F,MATCH(L907,[1]Produtos!$B:$B,0)), "-")</f>
        <v>ml</v>
      </c>
      <c r="P907" s="270" t="str">
        <f>IFERROR(INDEX([1]Produtos!$G:$G,MATCH(L907,[1]Produtos!$B:$B,0)), "-")</f>
        <v>GOTA ZEN</v>
      </c>
      <c r="Q907" s="270" t="str">
        <f>IFERROR(INDEX([1]Produtos!$H:$H,MATCH(L907,[1]Produtos!$B:$B,0)), "-")</f>
        <v>PERFUMARIA</v>
      </c>
      <c r="R907" s="270" t="str">
        <f>IFERROR(INDEX([1]Produtos!$I:$I,MATCH(L907,[1]Produtos!$B:$B,0)), "-")</f>
        <v>BODY SPLASH</v>
      </c>
      <c r="S907" s="270" t="str">
        <f>IFERROR(INDEX([1]Produtos!$J:$J,MATCH(L907,[1]Produtos!$B:$B,0)), "-")</f>
        <v>LÍQUIDO</v>
      </c>
      <c r="T907" s="568"/>
      <c r="U907" s="266"/>
      <c r="V907" s="269"/>
      <c r="W907" s="267"/>
      <c r="X907" s="268"/>
      <c r="Y907" s="269"/>
      <c r="Z907" s="270"/>
      <c r="AA907" s="510"/>
      <c r="AB907" s="270"/>
      <c r="AC907" s="270"/>
      <c r="AD907" s="270"/>
      <c r="AE907" s="270"/>
      <c r="AF907" s="270"/>
      <c r="AG907" s="270"/>
      <c r="AH907" s="270"/>
      <c r="AI907" s="270"/>
      <c r="AJ907" s="270"/>
      <c r="AK907" s="270"/>
      <c r="AL907" s="270"/>
      <c r="AM907" s="663"/>
      <c r="AN907" s="663"/>
      <c r="AO907" s="708" t="str">
        <f>IF(OR(Table1[[#This Row],[Início Setup Envase]]="",Table1[[#This Row],[Final Setup Envase]]=""),"",Table1[[#This Row],[Final Setup Envase]]-Table1[[#This Row],[Início Setup Envase]])</f>
        <v/>
      </c>
      <c r="AP907" s="663"/>
      <c r="AQ907" s="663"/>
      <c r="AR907" s="270"/>
      <c r="AS907" s="270"/>
      <c r="AT907" s="270"/>
      <c r="AU907" s="270"/>
      <c r="AV907" s="270"/>
      <c r="AW907" s="270"/>
      <c r="AX907" s="270"/>
      <c r="AY907" s="270"/>
      <c r="AZ907" s="270"/>
      <c r="BA907" s="270">
        <f>IF(Table1[[#This Row],[Data de Início]]="","",YEAR(Table1[[#This Row],[Data de Início]]))</f>
        <v>2026</v>
      </c>
      <c r="BB907" s="270">
        <f>IF(Table1[[#This Row],[Data de Início]]="","",MONTH(Table1[[#This Row],[Data de Início]]))</f>
        <v>3</v>
      </c>
      <c r="BC907" s="270"/>
    </row>
    <row r="908" spans="2:55" x14ac:dyDescent="0.25">
      <c r="B908" s="489">
        <v>46107.385416666664</v>
      </c>
      <c r="C908" s="490">
        <v>46107.447916666664</v>
      </c>
      <c r="D908" s="477" cm="1">
        <f t="array" ref="D908">IFERROR(HorasUteisFabrica2Turnos(B908,C908), "")</f>
        <v>1.5</v>
      </c>
      <c r="E908" s="478">
        <f t="shared" si="14"/>
        <v>870</v>
      </c>
      <c r="F908" s="479"/>
      <c r="G908" s="266" t="s">
        <v>1046</v>
      </c>
      <c r="H908" s="480"/>
      <c r="I908" s="481" t="s">
        <v>1538</v>
      </c>
      <c r="J908" s="482" t="s">
        <v>15</v>
      </c>
      <c r="K908" s="268">
        <v>1305</v>
      </c>
      <c r="L908" s="269" t="s">
        <v>1130</v>
      </c>
      <c r="M908" s="511" t="str">
        <f>IFERROR(INDEX([1]Produtos!$C:$C,MATCH(L908,[1]Produtos!$B:$B,0)), "-")</f>
        <v>BODY MIST VERDE SUPREMO</v>
      </c>
      <c r="N908" s="483">
        <f>IFERROR(INDEX([1]Produtos!$E:$E,MATCH(L908,[1]Produtos!$B:$B,0)), "-")</f>
        <v>250</v>
      </c>
      <c r="O908" s="483" t="str">
        <f>IFERROR(INDEX([1]Produtos!$F:$F,MATCH(L908,[1]Produtos!$B:$B,0)), "-")</f>
        <v>ml</v>
      </c>
      <c r="P908" s="270" t="str">
        <f>IFERROR(INDEX([1]Produtos!$G:$G,MATCH(L908,[1]Produtos!$B:$B,0)), "-")</f>
        <v>AMEERATI</v>
      </c>
      <c r="Q908" s="270" t="str">
        <f>IFERROR(INDEX([1]Produtos!$H:$H,MATCH(L908,[1]Produtos!$B:$B,0)), "-")</f>
        <v>PERFUMARIA</v>
      </c>
      <c r="R908" s="270" t="str">
        <f>IFERROR(INDEX([1]Produtos!$I:$I,MATCH(L908,[1]Produtos!$B:$B,0)), "-")</f>
        <v>BODY SPLASH</v>
      </c>
      <c r="S908" s="270" t="str">
        <f>IFERROR(INDEX([1]Produtos!$J:$J,MATCH(L908,[1]Produtos!$B:$B,0)), "-")</f>
        <v>LÍQUIDO</v>
      </c>
      <c r="T908" s="567"/>
      <c r="U908" s="266"/>
      <c r="V908" s="269"/>
      <c r="W908" s="267"/>
      <c r="X908" s="268"/>
      <c r="Y908" s="269"/>
      <c r="Z908" s="270"/>
      <c r="AA908" s="510"/>
      <c r="AB908" s="270"/>
      <c r="AC908" s="270"/>
      <c r="AD908" s="270"/>
      <c r="AE908" s="510"/>
      <c r="AF908" s="510"/>
      <c r="AG908" s="270"/>
      <c r="AH908" s="270"/>
      <c r="AI908" s="270"/>
      <c r="AJ908" s="270"/>
      <c r="AK908" s="270"/>
      <c r="AL908" s="616"/>
      <c r="AM908" s="663"/>
      <c r="AN908" s="663"/>
      <c r="AO908" s="708" t="str">
        <f>IF(OR(Table1[[#This Row],[Início Setup Envase]]="",Table1[[#This Row],[Final Setup Envase]]=""),"",Table1[[#This Row],[Final Setup Envase]]-Table1[[#This Row],[Início Setup Envase]])</f>
        <v/>
      </c>
      <c r="AP908" s="663"/>
      <c r="AQ908" s="663"/>
      <c r="AR908" s="510"/>
      <c r="AS908" s="270"/>
      <c r="AT908" s="270"/>
      <c r="AU908" s="270"/>
      <c r="AV908" s="270"/>
      <c r="AW908" s="270"/>
      <c r="AX908" s="616"/>
      <c r="AY908" s="616"/>
      <c r="AZ908" s="616"/>
      <c r="BA908" s="730">
        <f>IF(Table1[[#This Row],[Data de Início]]="","",YEAR(Table1[[#This Row],[Data de Início]]))</f>
        <v>2026</v>
      </c>
      <c r="BB908" s="730">
        <f>IF(Table1[[#This Row],[Data de Início]]="","",MONTH(Table1[[#This Row],[Data de Início]]))</f>
        <v>3</v>
      </c>
      <c r="BC908" s="616"/>
    </row>
    <row r="909" spans="2:55" x14ac:dyDescent="0.25">
      <c r="B909" s="489">
        <v>46107.451388888891</v>
      </c>
      <c r="C909" s="490">
        <v>46107.604166666664</v>
      </c>
      <c r="D909" s="477" cm="1">
        <f t="array" ref="D909">IFERROR(HorasUteisFabrica2Turnos(B909,C909), "")</f>
        <v>2.6666666665696539</v>
      </c>
      <c r="E909" s="478">
        <f t="shared" si="14"/>
        <v>578.25000002103661</v>
      </c>
      <c r="F909" s="479" t="s">
        <v>378</v>
      </c>
      <c r="G909" s="266" t="s">
        <v>1046</v>
      </c>
      <c r="H909" s="480"/>
      <c r="I909" s="481" t="s">
        <v>1549</v>
      </c>
      <c r="J909" s="482" t="s">
        <v>15</v>
      </c>
      <c r="K909" s="268">
        <v>1542</v>
      </c>
      <c r="L909" s="269" t="s">
        <v>1130</v>
      </c>
      <c r="M909" s="511" t="str">
        <f>IFERROR(INDEX([1]Produtos!$C:$C,MATCH(L909,[1]Produtos!$B:$B,0)), "-")</f>
        <v>BODY MIST VERDE SUPREMO</v>
      </c>
      <c r="N909" s="483">
        <f>IFERROR(INDEX([1]Produtos!$E:$E,MATCH(L909,[1]Produtos!$B:$B,0)), "-")</f>
        <v>250</v>
      </c>
      <c r="O909" s="483" t="str">
        <f>IFERROR(INDEX([1]Produtos!$F:$F,MATCH(L909,[1]Produtos!$B:$B,0)), "-")</f>
        <v>ml</v>
      </c>
      <c r="P909" s="270" t="str">
        <f>IFERROR(INDEX([1]Produtos!$G:$G,MATCH(L909,[1]Produtos!$B:$B,0)), "-")</f>
        <v>AMEERATI</v>
      </c>
      <c r="Q909" s="270" t="str">
        <f>IFERROR(INDEX([1]Produtos!$H:$H,MATCH(L909,[1]Produtos!$B:$B,0)), "-")</f>
        <v>PERFUMARIA</v>
      </c>
      <c r="R909" s="270" t="str">
        <f>IFERROR(INDEX([1]Produtos!$I:$I,MATCH(L909,[1]Produtos!$B:$B,0)), "-")</f>
        <v>BODY SPLASH</v>
      </c>
      <c r="S909" s="270" t="str">
        <f>IFERROR(INDEX([1]Produtos!$J:$J,MATCH(L909,[1]Produtos!$B:$B,0)), "-")</f>
        <v>LÍQUIDO</v>
      </c>
      <c r="T909" s="568"/>
      <c r="U909" s="266"/>
      <c r="V909" s="269"/>
      <c r="W909" s="267"/>
      <c r="X909" s="268"/>
      <c r="Y909" s="269"/>
      <c r="Z909" s="270"/>
      <c r="AA909" s="510"/>
      <c r="AB909" s="270"/>
      <c r="AC909" s="270"/>
      <c r="AD909" s="270"/>
      <c r="AE909" s="510"/>
      <c r="AF909" s="510"/>
      <c r="AG909" s="270"/>
      <c r="AH909" s="270"/>
      <c r="AI909" s="270"/>
      <c r="AJ909" s="270"/>
      <c r="AK909" s="270"/>
      <c r="AL909" s="616"/>
      <c r="AM909" s="663"/>
      <c r="AN909" s="663"/>
      <c r="AO909" s="708" t="str">
        <f>IF(OR(Table1[[#This Row],[Início Setup Envase]]="",Table1[[#This Row],[Final Setup Envase]]=""),"",Table1[[#This Row],[Final Setup Envase]]-Table1[[#This Row],[Início Setup Envase]])</f>
        <v/>
      </c>
      <c r="AP909" s="663"/>
      <c r="AQ909" s="663"/>
      <c r="AR909" s="510"/>
      <c r="AS909" s="270"/>
      <c r="AT909" s="270"/>
      <c r="AU909" s="270"/>
      <c r="AV909" s="270"/>
      <c r="AW909" s="270"/>
      <c r="AX909" s="616"/>
      <c r="AY909" s="616"/>
      <c r="AZ909" s="616"/>
      <c r="BA909" s="730">
        <f>IF(Table1[[#This Row],[Data de Início]]="","",YEAR(Table1[[#This Row],[Data de Início]]))</f>
        <v>2026</v>
      </c>
      <c r="BB909" s="730">
        <f>IF(Table1[[#This Row],[Data de Início]]="","",MONTH(Table1[[#This Row],[Data de Início]]))</f>
        <v>3</v>
      </c>
      <c r="BC909" s="616"/>
    </row>
    <row r="910" spans="2:55" x14ac:dyDescent="0.25">
      <c r="B910" s="489">
        <v>46107.634027777778</v>
      </c>
      <c r="C910" s="490">
        <v>46108.386805555558</v>
      </c>
      <c r="D910" s="477" cm="1">
        <f t="array" ref="D910">IFERROR(HorasUteisFabrica2Turnos(B910,C910), "")</f>
        <v>4.0666666668257676</v>
      </c>
      <c r="E910" s="478">
        <f t="shared" si="14"/>
        <v>1081.9672130724241</v>
      </c>
      <c r="F910" s="479" t="s">
        <v>378</v>
      </c>
      <c r="G910" s="266" t="s">
        <v>1489</v>
      </c>
      <c r="H910" s="480"/>
      <c r="I910" s="481" t="s">
        <v>1554</v>
      </c>
      <c r="J910" s="482" t="s">
        <v>15</v>
      </c>
      <c r="K910" s="268">
        <v>4400</v>
      </c>
      <c r="L910" s="269" t="s">
        <v>1104</v>
      </c>
      <c r="M910" s="511" t="str">
        <f>IFERROR(INDEX([1]Produtos!$C:$C,MATCH(L910,[1]Produtos!$B:$B,0)), "-")</f>
        <v>BODY SPLASH SOL TROPICAL 86 120ml</v>
      </c>
      <c r="N910" s="483">
        <f>IFERROR(INDEX([1]Produtos!$E:$E,MATCH(L910,[1]Produtos!$B:$B,0)), "-")</f>
        <v>120</v>
      </c>
      <c r="O910" s="483" t="str">
        <f>IFERROR(INDEX([1]Produtos!$F:$F,MATCH(L910,[1]Produtos!$B:$B,0)), "-")</f>
        <v>ml</v>
      </c>
      <c r="P910" s="270" t="str">
        <f>IFERROR(INDEX([1]Produtos!$G:$G,MATCH(L910,[1]Produtos!$B:$B,0)), "-")</f>
        <v>BRIA BEAUTY</v>
      </c>
      <c r="Q910" s="270" t="str">
        <f>IFERROR(INDEX([1]Produtos!$H:$H,MATCH(L910,[1]Produtos!$B:$B,0)), "-")</f>
        <v>PERFUMARIA</v>
      </c>
      <c r="R910" s="270" t="str">
        <f>IFERROR(INDEX([1]Produtos!$I:$I,MATCH(L910,[1]Produtos!$B:$B,0)), "-")</f>
        <v>BODY SPLASH</v>
      </c>
      <c r="S910" s="270" t="str">
        <f>IFERROR(INDEX([1]Produtos!$J:$J,MATCH(L910,[1]Produtos!$B:$B,0)), "-")</f>
        <v>LÍQUIDO</v>
      </c>
      <c r="T910" s="568"/>
      <c r="U910" s="266"/>
      <c r="V910" s="269"/>
      <c r="W910" s="267"/>
      <c r="X910" s="268"/>
      <c r="Y910" s="269"/>
      <c r="Z910" s="270"/>
      <c r="AA910" s="510"/>
      <c r="AB910" s="270"/>
      <c r="AC910" s="270"/>
      <c r="AD910" s="270"/>
      <c r="AE910" s="510"/>
      <c r="AF910" s="510"/>
      <c r="AG910" s="270"/>
      <c r="AH910" s="270"/>
      <c r="AI910" s="270"/>
      <c r="AJ910" s="270"/>
      <c r="AK910" s="270"/>
      <c r="AL910" s="616"/>
      <c r="AM910" s="663"/>
      <c r="AN910" s="663"/>
      <c r="AO910" s="708" t="str">
        <f>IF(OR(Table1[[#This Row],[Início Setup Envase]]="",Table1[[#This Row],[Final Setup Envase]]=""),"",Table1[[#This Row],[Final Setup Envase]]-Table1[[#This Row],[Início Setup Envase]])</f>
        <v/>
      </c>
      <c r="AP910" s="663"/>
      <c r="AQ910" s="663"/>
      <c r="AR910" s="510"/>
      <c r="AS910" s="270"/>
      <c r="AT910" s="270"/>
      <c r="AU910" s="270"/>
      <c r="AV910" s="270"/>
      <c r="AW910" s="270"/>
      <c r="AX910" s="616"/>
      <c r="AY910" s="616"/>
      <c r="AZ910" s="616"/>
      <c r="BA910" s="730">
        <f>IF(Table1[[#This Row],[Data de Início]]="","",YEAR(Table1[[#This Row],[Data de Início]]))</f>
        <v>2026</v>
      </c>
      <c r="BB910" s="730">
        <f>IF(Table1[[#This Row],[Data de Início]]="","",MONTH(Table1[[#This Row],[Data de Início]]))</f>
        <v>3</v>
      </c>
      <c r="BC910" s="263"/>
    </row>
    <row r="911" spans="2:55" x14ac:dyDescent="0.25">
      <c r="B911" s="489">
        <v>46108.386805555558</v>
      </c>
      <c r="C911" s="490">
        <v>46108.555555555555</v>
      </c>
      <c r="D911" s="477" cm="1">
        <f t="array" ref="D911">IFERROR(HorasUteisFabrica2Turnos(B911,C911), "")</f>
        <v>3.0499999999301508</v>
      </c>
      <c r="E911" s="478">
        <f t="shared" si="14"/>
        <v>1390.1639344580663</v>
      </c>
      <c r="F911" s="479" t="s">
        <v>377</v>
      </c>
      <c r="G911" s="266" t="s">
        <v>1489</v>
      </c>
      <c r="H911" s="480"/>
      <c r="I911" s="481" t="s">
        <v>1552</v>
      </c>
      <c r="J911" s="482" t="s">
        <v>15</v>
      </c>
      <c r="K911" s="268">
        <v>4240</v>
      </c>
      <c r="L911" s="269" t="s">
        <v>1104</v>
      </c>
      <c r="M911" s="511" t="str">
        <f>IFERROR(INDEX([1]Produtos!$C:$C,MATCH(L911,[1]Produtos!$B:$B,0)), "-")</f>
        <v>BODY SPLASH SOL TROPICAL 86 120ml</v>
      </c>
      <c r="N911" s="483">
        <f>IFERROR(INDEX([1]Produtos!$E:$E,MATCH(L911,[1]Produtos!$B:$B,0)), "-")</f>
        <v>120</v>
      </c>
      <c r="O911" s="483" t="str">
        <f>IFERROR(INDEX([1]Produtos!$F:$F,MATCH(L911,[1]Produtos!$B:$B,0)), "-")</f>
        <v>ml</v>
      </c>
      <c r="P911" s="270" t="str">
        <f>IFERROR(INDEX([1]Produtos!$G:$G,MATCH(L911,[1]Produtos!$B:$B,0)), "-")</f>
        <v>BRIA BEAUTY</v>
      </c>
      <c r="Q911" s="270" t="str">
        <f>IFERROR(INDEX([1]Produtos!$H:$H,MATCH(L911,[1]Produtos!$B:$B,0)), "-")</f>
        <v>PERFUMARIA</v>
      </c>
      <c r="R911" s="270" t="str">
        <f>IFERROR(INDEX([1]Produtos!$I:$I,MATCH(L911,[1]Produtos!$B:$B,0)), "-")</f>
        <v>BODY SPLASH</v>
      </c>
      <c r="S911" s="270" t="str">
        <f>IFERROR(INDEX([1]Produtos!$J:$J,MATCH(L911,[1]Produtos!$B:$B,0)), "-")</f>
        <v>LÍQUIDO</v>
      </c>
      <c r="T911" s="568"/>
      <c r="U911" s="266"/>
      <c r="V911" s="269"/>
      <c r="W911" s="267"/>
      <c r="X911" s="268"/>
      <c r="Y911" s="269"/>
      <c r="Z911" s="270"/>
      <c r="AA911" s="510"/>
      <c r="AB911" s="270"/>
      <c r="AC911" s="270"/>
      <c r="AD911" s="270"/>
      <c r="AE911" s="270"/>
      <c r="AF911" s="270"/>
      <c r="AG911" s="270"/>
      <c r="AH911" s="270"/>
      <c r="AI911" s="270"/>
      <c r="AJ911" s="270"/>
      <c r="AK911" s="270"/>
      <c r="AL911" s="270"/>
      <c r="AM911" s="663"/>
      <c r="AN911" s="663"/>
      <c r="AO911" s="708" t="str">
        <f>IF(OR(Table1[[#This Row],[Início Setup Envase]]="",Table1[[#This Row],[Final Setup Envase]]=""),"",Table1[[#This Row],[Final Setup Envase]]-Table1[[#This Row],[Início Setup Envase]])</f>
        <v/>
      </c>
      <c r="AP911" s="663"/>
      <c r="AQ911" s="663"/>
      <c r="AR911" s="270"/>
      <c r="AS911" s="270"/>
      <c r="AT911" s="270"/>
      <c r="AU911" s="270"/>
      <c r="AV911" s="270"/>
      <c r="AW911" s="270"/>
      <c r="AX911" s="270"/>
      <c r="AY911" s="270"/>
      <c r="AZ911" s="270"/>
      <c r="BA911" s="270">
        <f>IF(Table1[[#This Row],[Data de Início]]="","",YEAR(Table1[[#This Row],[Data de Início]]))</f>
        <v>2026</v>
      </c>
      <c r="BB911" s="270">
        <f>IF(Table1[[#This Row],[Data de Início]]="","",MONTH(Table1[[#This Row],[Data de Início]]))</f>
        <v>3</v>
      </c>
      <c r="BC911" s="270"/>
    </row>
    <row r="912" spans="2:55" x14ac:dyDescent="0.25">
      <c r="B912" s="489">
        <v>46108.555555555555</v>
      </c>
      <c r="C912" s="490">
        <v>46108.659722222219</v>
      </c>
      <c r="D912" s="477" cm="1">
        <f t="array" ref="D912">IFERROR(HorasUteisFabrica2Turnos(B912,C912), "")</f>
        <v>2.4999999999417923</v>
      </c>
      <c r="E912" s="478">
        <f t="shared" si="14"/>
        <v>978.00000002277079</v>
      </c>
      <c r="F912" s="479" t="s">
        <v>377</v>
      </c>
      <c r="G912" s="266" t="s">
        <v>1489</v>
      </c>
      <c r="H912" s="480"/>
      <c r="I912" s="481" t="s">
        <v>1551</v>
      </c>
      <c r="J912" s="482" t="s">
        <v>15</v>
      </c>
      <c r="K912" s="268">
        <v>2445</v>
      </c>
      <c r="L912" s="269" t="s">
        <v>1104</v>
      </c>
      <c r="M912" s="511" t="str">
        <f>IFERROR(INDEX([1]Produtos!$C:$C,MATCH(L912,[1]Produtos!$B:$B,0)), "-")</f>
        <v>BODY SPLASH SOL TROPICAL 86 120ml</v>
      </c>
      <c r="N912" s="483">
        <f>IFERROR(INDEX([1]Produtos!$E:$E,MATCH(L912,[1]Produtos!$B:$B,0)), "-")</f>
        <v>120</v>
      </c>
      <c r="O912" s="483" t="str">
        <f>IFERROR(INDEX([1]Produtos!$F:$F,MATCH(L912,[1]Produtos!$B:$B,0)), "-")</f>
        <v>ml</v>
      </c>
      <c r="P912" s="270" t="str">
        <f>IFERROR(INDEX([1]Produtos!$G:$G,MATCH(L912,[1]Produtos!$B:$B,0)), "-")</f>
        <v>BRIA BEAUTY</v>
      </c>
      <c r="Q912" s="270" t="str">
        <f>IFERROR(INDEX([1]Produtos!$H:$H,MATCH(L912,[1]Produtos!$B:$B,0)), "-")</f>
        <v>PERFUMARIA</v>
      </c>
      <c r="R912" s="270" t="str">
        <f>IFERROR(INDEX([1]Produtos!$I:$I,MATCH(L912,[1]Produtos!$B:$B,0)), "-")</f>
        <v>BODY SPLASH</v>
      </c>
      <c r="S912" s="270" t="str">
        <f>IFERROR(INDEX([1]Produtos!$J:$J,MATCH(L912,[1]Produtos!$B:$B,0)), "-")</f>
        <v>LÍQUIDO</v>
      </c>
      <c r="T912" s="568"/>
      <c r="U912" s="266"/>
      <c r="V912" s="269"/>
      <c r="W912" s="267"/>
      <c r="X912" s="268"/>
      <c r="Y912" s="269"/>
      <c r="Z912" s="270"/>
      <c r="AA912" s="510"/>
      <c r="AB912" s="270"/>
      <c r="AC912" s="270"/>
      <c r="AD912" s="270"/>
      <c r="AE912" s="270"/>
      <c r="AF912" s="270"/>
      <c r="AG912" s="270"/>
      <c r="AH912" s="270"/>
      <c r="AI912" s="270"/>
      <c r="AJ912" s="270"/>
      <c r="AK912" s="270"/>
      <c r="AL912" s="270"/>
      <c r="AM912" s="663"/>
      <c r="AN912" s="663"/>
      <c r="AO912" s="708" t="str">
        <f>IF(OR(Table1[[#This Row],[Início Setup Envase]]="",Table1[[#This Row],[Final Setup Envase]]=""),"",Table1[[#This Row],[Final Setup Envase]]-Table1[[#This Row],[Início Setup Envase]])</f>
        <v/>
      </c>
      <c r="AP912" s="663"/>
      <c r="AQ912" s="663"/>
      <c r="AR912" s="270"/>
      <c r="AS912" s="270"/>
      <c r="AT912" s="270"/>
      <c r="AU912" s="270"/>
      <c r="AV912" s="270"/>
      <c r="AW912" s="270"/>
      <c r="AX912" s="270"/>
      <c r="AY912" s="270"/>
      <c r="AZ912" s="270"/>
      <c r="BA912" s="270">
        <f>IF(Table1[[#This Row],[Data de Início]]="","",YEAR(Table1[[#This Row],[Data de Início]]))</f>
        <v>2026</v>
      </c>
      <c r="BB912" s="270">
        <f>IF(Table1[[#This Row],[Data de Início]]="","",MONTH(Table1[[#This Row],[Data de Início]]))</f>
        <v>3</v>
      </c>
      <c r="BC912" s="270"/>
    </row>
    <row r="913" spans="2:55" x14ac:dyDescent="0.25">
      <c r="B913" s="489">
        <v>46111.313888888886</v>
      </c>
      <c r="C913" s="490">
        <v>46111.469444444447</v>
      </c>
      <c r="D913" s="477" cm="1">
        <f t="array" ref="D913">IFERROR(HorasUteisFabrica2Turnos(B913,C913), "")</f>
        <v>3.7333333334536292</v>
      </c>
      <c r="E913" s="478">
        <f t="shared" si="14"/>
        <v>1049.9999999661668</v>
      </c>
      <c r="F913" s="479" t="s">
        <v>377</v>
      </c>
      <c r="G913" s="266" t="s">
        <v>1489</v>
      </c>
      <c r="H913" s="480"/>
      <c r="I913" s="481" t="s">
        <v>1555</v>
      </c>
      <c r="J913" s="482" t="s">
        <v>15</v>
      </c>
      <c r="K913" s="268">
        <v>3920</v>
      </c>
      <c r="L913" s="269" t="s">
        <v>1123</v>
      </c>
      <c r="M913" s="511" t="str">
        <f>IFERROR(INDEX([1]Produtos!$C:$C,MATCH(L913,[1]Produtos!$B:$B,0)), "-")</f>
        <v>BODY SPLASH LUNAR 120ml</v>
      </c>
      <c r="N913" s="483">
        <f>IFERROR(INDEX([1]Produtos!$E:$E,MATCH(L913,[1]Produtos!$B:$B,0)), "-")</f>
        <v>120</v>
      </c>
      <c r="O913" s="483" t="str">
        <f>IFERROR(INDEX([1]Produtos!$F:$F,MATCH(L913,[1]Produtos!$B:$B,0)), "-")</f>
        <v>ml</v>
      </c>
      <c r="P913" s="270" t="str">
        <f>IFERROR(INDEX([1]Produtos!$G:$G,MATCH(L913,[1]Produtos!$B:$B,0)), "-")</f>
        <v>BRIA BEAUTY</v>
      </c>
      <c r="Q913" s="270" t="str">
        <f>IFERROR(INDEX([1]Produtos!$H:$H,MATCH(L913,[1]Produtos!$B:$B,0)), "-")</f>
        <v>PERFUMARIA</v>
      </c>
      <c r="R913" s="270" t="str">
        <f>IFERROR(INDEX([1]Produtos!$I:$I,MATCH(L913,[1]Produtos!$B:$B,0)), "-")</f>
        <v>BODY SPLASH</v>
      </c>
      <c r="S913" s="270" t="str">
        <f>IFERROR(INDEX([1]Produtos!$J:$J,MATCH(L913,[1]Produtos!$B:$B,0)), "-")</f>
        <v>LÍQUIDO</v>
      </c>
      <c r="T913" s="484"/>
      <c r="U913" s="266"/>
      <c r="V913" s="269"/>
      <c r="W913" s="267"/>
      <c r="X913" s="268"/>
      <c r="Y913" s="269"/>
      <c r="Z913" s="270"/>
      <c r="AA913" s="510"/>
      <c r="AB913" s="270"/>
      <c r="AC913" s="270"/>
      <c r="AD913" s="270"/>
      <c r="AE913" s="270"/>
      <c r="AF913" s="270"/>
      <c r="AG913" s="270"/>
      <c r="AH913" s="270"/>
      <c r="AI913" s="270"/>
      <c r="AJ913" s="270"/>
      <c r="AK913" s="270"/>
      <c r="AL913" s="270"/>
      <c r="AM913" s="663"/>
      <c r="AN913" s="663"/>
      <c r="AO913" s="708" t="str">
        <f>IF(OR(Table1[[#This Row],[Início Setup Envase]]="",Table1[[#This Row],[Final Setup Envase]]=""),"",Table1[[#This Row],[Final Setup Envase]]-Table1[[#This Row],[Início Setup Envase]])</f>
        <v/>
      </c>
      <c r="AP913" s="663"/>
      <c r="AQ913" s="663"/>
      <c r="AR913" s="270"/>
      <c r="AS913" s="270"/>
      <c r="AT913" s="270"/>
      <c r="AU913" s="270"/>
      <c r="AV913" s="270"/>
      <c r="AW913" s="270"/>
      <c r="AX913" s="270"/>
      <c r="AY913" s="270"/>
      <c r="AZ913" s="270"/>
      <c r="BA913" s="270">
        <f>IF(Table1[[#This Row],[Data de Início]]="","",YEAR(Table1[[#This Row],[Data de Início]]))</f>
        <v>2026</v>
      </c>
      <c r="BB913" s="270">
        <f>IF(Table1[[#This Row],[Data de Início]]="","",MONTH(Table1[[#This Row],[Data de Início]]))</f>
        <v>3</v>
      </c>
      <c r="BC913" s="270"/>
    </row>
    <row r="914" spans="2:55" x14ac:dyDescent="0.25">
      <c r="B914" s="489">
        <v>46111.469444444447</v>
      </c>
      <c r="C914" s="490">
        <v>46111.645138888889</v>
      </c>
      <c r="D914" s="477" cm="1">
        <f t="array" ref="D914">IFERROR(HorasUteisFabrica2Turnos(B914,C914), "")</f>
        <v>3.21666666661622</v>
      </c>
      <c r="E914" s="478">
        <f t="shared" si="14"/>
        <v>1182.9015544226963</v>
      </c>
      <c r="F914" s="479" t="s">
        <v>377</v>
      </c>
      <c r="G914" s="266" t="s">
        <v>1489</v>
      </c>
      <c r="H914" s="480"/>
      <c r="I914" s="481" t="s">
        <v>1556</v>
      </c>
      <c r="J914" s="482" t="s">
        <v>15</v>
      </c>
      <c r="K914" s="268">
        <v>3805</v>
      </c>
      <c r="L914" s="269" t="s">
        <v>1123</v>
      </c>
      <c r="M914" s="511" t="str">
        <f>IFERROR(INDEX([1]Produtos!$C:$C,MATCH(L914,[1]Produtos!$B:$B,0)), "-")</f>
        <v>BODY SPLASH LUNAR 120ml</v>
      </c>
      <c r="N914" s="483">
        <f>IFERROR(INDEX([1]Produtos!$E:$E,MATCH(L914,[1]Produtos!$B:$B,0)), "-")</f>
        <v>120</v>
      </c>
      <c r="O914" s="483" t="str">
        <f>IFERROR(INDEX([1]Produtos!$F:$F,MATCH(L914,[1]Produtos!$B:$B,0)), "-")</f>
        <v>ml</v>
      </c>
      <c r="P914" s="270" t="str">
        <f>IFERROR(INDEX([1]Produtos!$G:$G,MATCH(L914,[1]Produtos!$B:$B,0)), "-")</f>
        <v>BRIA BEAUTY</v>
      </c>
      <c r="Q914" s="270" t="str">
        <f>IFERROR(INDEX([1]Produtos!$H:$H,MATCH(L914,[1]Produtos!$B:$B,0)), "-")</f>
        <v>PERFUMARIA</v>
      </c>
      <c r="R914" s="270" t="str">
        <f>IFERROR(INDEX([1]Produtos!$I:$I,MATCH(L914,[1]Produtos!$B:$B,0)), "-")</f>
        <v>BODY SPLASH</v>
      </c>
      <c r="S914" s="270" t="str">
        <f>IFERROR(INDEX([1]Produtos!$J:$J,MATCH(L914,[1]Produtos!$B:$B,0)), "-")</f>
        <v>LÍQUIDO</v>
      </c>
      <c r="T914" s="484"/>
      <c r="U914" s="266"/>
      <c r="V914" s="269"/>
      <c r="W914" s="267"/>
      <c r="X914" s="268"/>
      <c r="Y914" s="269"/>
      <c r="Z914" s="270"/>
      <c r="AA914" s="510"/>
      <c r="AB914" s="270"/>
      <c r="AC914" s="270"/>
      <c r="AD914" s="270"/>
      <c r="AE914" s="270"/>
      <c r="AF914" s="270"/>
      <c r="AG914" s="270"/>
      <c r="AH914" s="270"/>
      <c r="AI914" s="270"/>
      <c r="AJ914" s="270"/>
      <c r="AK914" s="270"/>
      <c r="AL914" s="270"/>
      <c r="AM914" s="663"/>
      <c r="AN914" s="663"/>
      <c r="AO914" s="708" t="str">
        <f>IF(OR(Table1[[#This Row],[Início Setup Envase]]="",Table1[[#This Row],[Final Setup Envase]]=""),"",Table1[[#This Row],[Final Setup Envase]]-Table1[[#This Row],[Início Setup Envase]])</f>
        <v/>
      </c>
      <c r="AP914" s="663"/>
      <c r="AQ914" s="663"/>
      <c r="AR914" s="270"/>
      <c r="AS914" s="270"/>
      <c r="AT914" s="270"/>
      <c r="AU914" s="270"/>
      <c r="AV914" s="270"/>
      <c r="AW914" s="270"/>
      <c r="AX914" s="270"/>
      <c r="AY914" s="270"/>
      <c r="AZ914" s="270"/>
      <c r="BA914" s="270">
        <f>IF(Table1[[#This Row],[Data de Início]]="","",YEAR(Table1[[#This Row],[Data de Início]]))</f>
        <v>2026</v>
      </c>
      <c r="BB914" s="270">
        <f>IF(Table1[[#This Row],[Data de Início]]="","",MONTH(Table1[[#This Row],[Data de Início]]))</f>
        <v>3</v>
      </c>
      <c r="BC914" s="270"/>
    </row>
    <row r="915" spans="2:55" x14ac:dyDescent="0.25">
      <c r="B915" s="489">
        <v>46111.626388888886</v>
      </c>
      <c r="C915" s="490">
        <v>46112.347916666666</v>
      </c>
      <c r="D915" s="477" cm="1">
        <f t="array" ref="D915">IFERROR(HorasUteisFabrica2Turnos(B915,C915), "")</f>
        <v>3.3166666668257676</v>
      </c>
      <c r="E915" s="478">
        <f t="shared" si="14"/>
        <v>781.50753765095317</v>
      </c>
      <c r="F915" s="479" t="s">
        <v>378</v>
      </c>
      <c r="G915" s="266" t="s">
        <v>1560</v>
      </c>
      <c r="H915" s="480"/>
      <c r="I915" s="481" t="s">
        <v>1559</v>
      </c>
      <c r="J915" s="482" t="s">
        <v>15</v>
      </c>
      <c r="K915" s="268">
        <v>2592</v>
      </c>
      <c r="L915" s="269" t="s">
        <v>211</v>
      </c>
      <c r="M915" s="511" t="str">
        <f>IFERROR(INDEX([1]Produtos!$C:$C,MATCH(L915,[1]Produtos!$B:$B,0)), "-")</f>
        <v>BODY SPLASH AURORA IMPERIAL</v>
      </c>
      <c r="N915" s="483">
        <f>IFERROR(INDEX([1]Produtos!$E:$E,MATCH(L915,[1]Produtos!$B:$B,0)), "-")</f>
        <v>220</v>
      </c>
      <c r="O915" s="483" t="str">
        <f>IFERROR(INDEX([1]Produtos!$F:$F,MATCH(L915,[1]Produtos!$B:$B,0)), "-")</f>
        <v>ml</v>
      </c>
      <c r="P915" s="270" t="str">
        <f>IFERROR(INDEX([1]Produtos!$G:$G,MATCH(L915,[1]Produtos!$B:$B,0)), "-")</f>
        <v>MISS RÔSE</v>
      </c>
      <c r="Q915" s="270" t="str">
        <f>IFERROR(INDEX([1]Produtos!$H:$H,MATCH(L915,[1]Produtos!$B:$B,0)), "-")</f>
        <v>PERFUMARIA</v>
      </c>
      <c r="R915" s="270" t="str">
        <f>IFERROR(INDEX([1]Produtos!$I:$I,MATCH(L915,[1]Produtos!$B:$B,0)), "-")</f>
        <v>BODY SPLASH</v>
      </c>
      <c r="S915" s="270" t="str">
        <f>IFERROR(INDEX([1]Produtos!$J:$J,MATCH(L915,[1]Produtos!$B:$B,0)), "-")</f>
        <v>LÍQUIDO</v>
      </c>
      <c r="T915" s="484"/>
      <c r="U915" s="266"/>
      <c r="V915" s="269"/>
      <c r="W915" s="267"/>
      <c r="X915" s="268"/>
      <c r="Y915" s="269"/>
      <c r="Z915" s="270"/>
      <c r="AA915" s="510"/>
      <c r="AB915" s="270"/>
      <c r="AC915" s="270"/>
      <c r="AD915" s="270"/>
      <c r="AE915" s="270"/>
      <c r="AF915" s="270"/>
      <c r="AG915" s="270"/>
      <c r="AH915" s="270"/>
      <c r="AI915" s="270"/>
      <c r="AJ915" s="270"/>
      <c r="AK915" s="270"/>
      <c r="AL915" s="270"/>
      <c r="AM915" s="663"/>
      <c r="AN915" s="663"/>
      <c r="AO915" s="708" t="str">
        <f>IF(OR(Table1[[#This Row],[Início Setup Envase]]="",Table1[[#This Row],[Final Setup Envase]]=""),"",Table1[[#This Row],[Final Setup Envase]]-Table1[[#This Row],[Início Setup Envase]])</f>
        <v/>
      </c>
      <c r="AP915" s="663"/>
      <c r="AQ915" s="663"/>
      <c r="AR915" s="270"/>
      <c r="AS915" s="270"/>
      <c r="AT915" s="270"/>
      <c r="AU915" s="270"/>
      <c r="AV915" s="270"/>
      <c r="AW915" s="270"/>
      <c r="AX915" s="270"/>
      <c r="AY915" s="270"/>
      <c r="AZ915" s="270"/>
      <c r="BA915" s="270">
        <f>IF(Table1[[#This Row],[Data de Início]]="","",YEAR(Table1[[#This Row],[Data de Início]]))</f>
        <v>2026</v>
      </c>
      <c r="BB915" s="270">
        <f>IF(Table1[[#This Row],[Data de Início]]="","",MONTH(Table1[[#This Row],[Data de Início]]))</f>
        <v>3</v>
      </c>
      <c r="BC915" s="270"/>
    </row>
    <row r="916" spans="2:55" x14ac:dyDescent="0.25">
      <c r="B916" s="489">
        <v>46112.347916666666</v>
      </c>
      <c r="C916" s="490">
        <v>46112.456250000003</v>
      </c>
      <c r="D916" s="477" cm="1">
        <f t="array" ref="D916">IFERROR(HorasUteisFabrica2Turnos(B916,C916), "")</f>
        <v>2.6000000000931323</v>
      </c>
      <c r="E916" s="478">
        <f t="shared" si="14"/>
        <v>1107.69230765263</v>
      </c>
      <c r="F916" s="479" t="s">
        <v>378</v>
      </c>
      <c r="G916" s="266" t="s">
        <v>1560</v>
      </c>
      <c r="H916" s="480"/>
      <c r="I916" s="481" t="s">
        <v>1561</v>
      </c>
      <c r="J916" s="482" t="s">
        <v>15</v>
      </c>
      <c r="K916" s="268">
        <v>2880</v>
      </c>
      <c r="L916" s="269" t="s">
        <v>211</v>
      </c>
      <c r="M916" s="511" t="str">
        <f>IFERROR(INDEX([1]Produtos!$C:$C,MATCH(L916,[1]Produtos!$B:$B,0)), "-")</f>
        <v>BODY SPLASH AURORA IMPERIAL</v>
      </c>
      <c r="N916" s="483">
        <f>IFERROR(INDEX([1]Produtos!$E:$E,MATCH(L916,[1]Produtos!$B:$B,0)), "-")</f>
        <v>220</v>
      </c>
      <c r="O916" s="483" t="str">
        <f>IFERROR(INDEX([1]Produtos!$F:$F,MATCH(L916,[1]Produtos!$B:$B,0)), "-")</f>
        <v>ml</v>
      </c>
      <c r="P916" s="483" t="str">
        <f>IFERROR(INDEX([1]Produtos!$G:$G,MATCH(L916,[1]Produtos!$B:$B,0)), "-")</f>
        <v>MISS RÔSE</v>
      </c>
      <c r="Q916" s="483" t="str">
        <f>IFERROR(INDEX([1]Produtos!$H:$H,MATCH(L916,[1]Produtos!$B:$B,0)), "-")</f>
        <v>PERFUMARIA</v>
      </c>
      <c r="R916" s="270" t="str">
        <f>IFERROR(INDEX([1]Produtos!$I:$I,MATCH(L916,[1]Produtos!$B:$B,0)), "-")</f>
        <v>BODY SPLASH</v>
      </c>
      <c r="S916" s="270" t="str">
        <f>IFERROR(INDEX([1]Produtos!$J:$J,MATCH(L916,[1]Produtos!$B:$B,0)), "-")</f>
        <v>LÍQUIDO</v>
      </c>
      <c r="T916" s="484"/>
      <c r="U916" s="270"/>
      <c r="V916" s="270"/>
      <c r="W916" s="270"/>
      <c r="X916" s="270"/>
      <c r="Y916" s="270"/>
      <c r="Z916" s="270"/>
      <c r="AA916" s="270"/>
      <c r="AB916" s="270"/>
      <c r="AC916" s="270"/>
      <c r="AD916" s="270"/>
      <c r="AE916" s="270"/>
      <c r="AF916" s="270"/>
      <c r="AG916" s="270"/>
      <c r="AH916" s="270"/>
      <c r="AI916" s="270"/>
      <c r="AJ916" s="270"/>
      <c r="AK916" s="270"/>
      <c r="AL916" s="270"/>
      <c r="AM916" s="663"/>
      <c r="AN916" s="663"/>
      <c r="AO916" s="708" t="str">
        <f>IF(OR(Table1[[#This Row],[Início Setup Envase]]="",Table1[[#This Row],[Final Setup Envase]]=""),"",Table1[[#This Row],[Final Setup Envase]]-Table1[[#This Row],[Início Setup Envase]])</f>
        <v/>
      </c>
      <c r="AP916" s="663"/>
      <c r="AQ916" s="663"/>
      <c r="AR916" s="270"/>
      <c r="AS916" s="270"/>
      <c r="AT916" s="270"/>
      <c r="AU916" s="270"/>
      <c r="AV916" s="270"/>
      <c r="AW916" s="270"/>
      <c r="AX916" s="270"/>
      <c r="AY916" s="270"/>
      <c r="AZ916" s="270"/>
      <c r="BA916" s="270">
        <f>IF(Table1[[#This Row],[Data de Início]]="","",YEAR(Table1[[#This Row],[Data de Início]]))</f>
        <v>2026</v>
      </c>
      <c r="BB916" s="270">
        <f>IF(Table1[[#This Row],[Data de Início]]="","",MONTH(Table1[[#This Row],[Data de Início]]))</f>
        <v>3</v>
      </c>
      <c r="BC916" s="270"/>
    </row>
    <row r="917" spans="2:55" x14ac:dyDescent="0.25">
      <c r="B917" s="489">
        <v>46112.456250000003</v>
      </c>
      <c r="C917" s="490">
        <v>46112.65902777778</v>
      </c>
      <c r="D917" s="477" cm="1">
        <f t="array" ref="D917">IFERROR(HorasUteisFabrica2Turnos(B917,C917), "")</f>
        <v>3.8666666666395031</v>
      </c>
      <c r="E917" s="478">
        <f t="shared" si="14"/>
        <v>732.4137931085935</v>
      </c>
      <c r="F917" s="479" t="s">
        <v>378</v>
      </c>
      <c r="G917" s="266" t="s">
        <v>1560</v>
      </c>
      <c r="H917" s="480"/>
      <c r="I917" s="481" t="s">
        <v>1562</v>
      </c>
      <c r="J917" s="482" t="s">
        <v>15</v>
      </c>
      <c r="K917" s="268">
        <v>2832</v>
      </c>
      <c r="L917" s="269" t="s">
        <v>211</v>
      </c>
      <c r="M917" s="511" t="str">
        <f>IFERROR(INDEX([1]Produtos!$C:$C,MATCH(L917,[1]Produtos!$B:$B,0)), "-")</f>
        <v>BODY SPLASH AURORA IMPERIAL</v>
      </c>
      <c r="N917" s="483">
        <f>IFERROR(INDEX([1]Produtos!$E:$E,MATCH(L917,[1]Produtos!$B:$B,0)), "-")</f>
        <v>220</v>
      </c>
      <c r="O917" s="483" t="str">
        <f>IFERROR(INDEX([1]Produtos!$F:$F,MATCH(L917,[1]Produtos!$B:$B,0)), "-")</f>
        <v>ml</v>
      </c>
      <c r="P917" s="483" t="str">
        <f>IFERROR(INDEX([1]Produtos!$G:$G,MATCH(L917,[1]Produtos!$B:$B,0)), "-")</f>
        <v>MISS RÔSE</v>
      </c>
      <c r="Q917" s="483" t="str">
        <f>IFERROR(INDEX([1]Produtos!$H:$H,MATCH(L917,[1]Produtos!$B:$B,0)), "-")</f>
        <v>PERFUMARIA</v>
      </c>
      <c r="R917" s="270" t="str">
        <f>IFERROR(INDEX([1]Produtos!$I:$I,MATCH(L917,[1]Produtos!$B:$B,0)), "-")</f>
        <v>BODY SPLASH</v>
      </c>
      <c r="S917" s="270" t="str">
        <f>IFERROR(INDEX([1]Produtos!$J:$J,MATCH(L917,[1]Produtos!$B:$B,0)), "-")</f>
        <v>LÍQUIDO</v>
      </c>
      <c r="T917" s="484"/>
      <c r="U917" s="270"/>
      <c r="V917" s="270"/>
      <c r="W917" s="270"/>
      <c r="X917" s="270"/>
      <c r="Y917" s="270"/>
      <c r="Z917" s="270"/>
      <c r="AA917" s="270"/>
      <c r="AB917" s="270"/>
      <c r="AC917" s="270"/>
      <c r="AD917" s="270"/>
      <c r="AE917" s="270"/>
      <c r="AF917" s="270"/>
      <c r="AG917" s="270"/>
      <c r="AH917" s="270"/>
      <c r="AI917" s="270"/>
      <c r="AJ917" s="270"/>
      <c r="AK917" s="270"/>
      <c r="AL917" s="270"/>
      <c r="AM917" s="663"/>
      <c r="AN917" s="663"/>
      <c r="AO917" s="708" t="str">
        <f>IF(OR(Table1[[#This Row],[Início Setup Envase]]="",Table1[[#This Row],[Final Setup Envase]]=""),"",Table1[[#This Row],[Final Setup Envase]]-Table1[[#This Row],[Início Setup Envase]])</f>
        <v/>
      </c>
      <c r="AP917" s="663"/>
      <c r="AQ917" s="663"/>
      <c r="AR917" s="270"/>
      <c r="AS917" s="270"/>
      <c r="AT917" s="270"/>
      <c r="AU917" s="270"/>
      <c r="AV917" s="270"/>
      <c r="AW917" s="270"/>
      <c r="AX917" s="270"/>
      <c r="AY917" s="270"/>
      <c r="AZ917" s="270"/>
      <c r="BA917" s="270">
        <f>IF(Table1[[#This Row],[Data de Início]]="","",YEAR(Table1[[#This Row],[Data de Início]]))</f>
        <v>2026</v>
      </c>
      <c r="BB917" s="270">
        <f>IF(Table1[[#This Row],[Data de Início]]="","",MONTH(Table1[[#This Row],[Data de Início]]))</f>
        <v>3</v>
      </c>
      <c r="BC917" s="270"/>
    </row>
    <row r="918" spans="2:55" x14ac:dyDescent="0.25">
      <c r="B918" s="489">
        <v>46112.541666666664</v>
      </c>
      <c r="C918" s="490">
        <v>46112.651388888888</v>
      </c>
      <c r="D918" s="477" cm="1">
        <f t="array" ref="D918">IFERROR(HorasUteisFabrica2Turnos(B918,C918), "")</f>
        <v>2.6333333333604969</v>
      </c>
      <c r="E918" s="478">
        <f t="shared" si="14"/>
        <v>528.60759493125613</v>
      </c>
      <c r="F918" s="479" t="s">
        <v>377</v>
      </c>
      <c r="G918" s="266" t="s">
        <v>1046</v>
      </c>
      <c r="H918" s="480"/>
      <c r="I918" s="481" t="s">
        <v>1558</v>
      </c>
      <c r="J918" s="482" t="s">
        <v>15</v>
      </c>
      <c r="K918" s="268">
        <v>1392</v>
      </c>
      <c r="L918" s="269" t="s">
        <v>1131</v>
      </c>
      <c r="M918" s="511" t="str">
        <f>IFERROR(INDEX([1]Produtos!$C:$C,MATCH(L918,[1]Produtos!$B:$B,0)), "-")</f>
        <v>BODY MIST FRESCOR LICHIA</v>
      </c>
      <c r="N918" s="483">
        <f>IFERROR(INDEX([1]Produtos!$E:$E,MATCH(L918,[1]Produtos!$B:$B,0)), "-")</f>
        <v>250</v>
      </c>
      <c r="O918" s="483" t="str">
        <f>IFERROR(INDEX([1]Produtos!$F:$F,MATCH(L918,[1]Produtos!$B:$B,0)), "-")</f>
        <v>ml</v>
      </c>
      <c r="P918" s="483" t="str">
        <f>IFERROR(INDEX([1]Produtos!$G:$G,MATCH(L918,[1]Produtos!$B:$B,0)), "-")</f>
        <v>AMEERATI</v>
      </c>
      <c r="Q918" s="483" t="str">
        <f>IFERROR(INDEX([1]Produtos!$H:$H,MATCH(L918,[1]Produtos!$B:$B,0)), "-")</f>
        <v>PERFUMARIA</v>
      </c>
      <c r="R918" s="270" t="str">
        <f>IFERROR(INDEX([1]Produtos!$I:$I,MATCH(L918,[1]Produtos!$B:$B,0)), "-")</f>
        <v>BODY SPLASH</v>
      </c>
      <c r="S918" s="270" t="str">
        <f>IFERROR(INDEX([1]Produtos!$J:$J,MATCH(L918,[1]Produtos!$B:$B,0)), "-")</f>
        <v>LÍQUIDO</v>
      </c>
      <c r="T918" s="484"/>
      <c r="U918" s="270"/>
      <c r="V918" s="270"/>
      <c r="W918" s="270"/>
      <c r="X918" s="270"/>
      <c r="Y918" s="270"/>
      <c r="Z918" s="270"/>
      <c r="AA918" s="270"/>
      <c r="AB918" s="270"/>
      <c r="AC918" s="270"/>
      <c r="AD918" s="270"/>
      <c r="AE918" s="270"/>
      <c r="AF918" s="270"/>
      <c r="AG918" s="270"/>
      <c r="AH918" s="270"/>
      <c r="AI918" s="270"/>
      <c r="AJ918" s="270"/>
      <c r="AK918" s="270"/>
      <c r="AL918" s="270"/>
      <c r="AM918" s="663"/>
      <c r="AN918" s="663"/>
      <c r="AO918" s="708" t="str">
        <f>IF(OR(Table1[[#This Row],[Início Setup Envase]]="",Table1[[#This Row],[Final Setup Envase]]=""),"",Table1[[#This Row],[Final Setup Envase]]-Table1[[#This Row],[Início Setup Envase]])</f>
        <v/>
      </c>
      <c r="AP918" s="663"/>
      <c r="AQ918" s="663"/>
      <c r="AR918" s="270"/>
      <c r="AS918" s="270"/>
      <c r="AT918" s="270"/>
      <c r="AU918" s="270"/>
      <c r="AV918" s="270"/>
      <c r="AW918" s="270"/>
      <c r="AX918" s="270"/>
      <c r="AY918" s="270"/>
      <c r="AZ918" s="270"/>
      <c r="BA918" s="270">
        <f>IF(Table1[[#This Row],[Data de Início]]="","",YEAR(Table1[[#This Row],[Data de Início]]))</f>
        <v>2026</v>
      </c>
      <c r="BB918" s="270">
        <f>IF(Table1[[#This Row],[Data de Início]]="","",MONTH(Table1[[#This Row],[Data de Início]]))</f>
        <v>3</v>
      </c>
      <c r="BC918" s="270"/>
    </row>
    <row r="919" spans="2:55" x14ac:dyDescent="0.25">
      <c r="B919" s="489">
        <v>46112.652083333334</v>
      </c>
      <c r="C919" s="490">
        <v>46113.363194444442</v>
      </c>
      <c r="D919" s="477" cm="1">
        <f t="array" ref="D919">IFERROR(HorasUteisFabrica2Turnos(B919,C919), "")</f>
        <v>3.0666666667093523</v>
      </c>
      <c r="E919" s="478">
        <f t="shared" si="14"/>
        <v>493.0434782540068</v>
      </c>
      <c r="F919" s="479" t="s">
        <v>377</v>
      </c>
      <c r="G919" s="266" t="s">
        <v>1046</v>
      </c>
      <c r="H919" s="480"/>
      <c r="I919" s="481" t="s">
        <v>1569</v>
      </c>
      <c r="J919" s="482" t="s">
        <v>15</v>
      </c>
      <c r="K919" s="268">
        <v>1512</v>
      </c>
      <c r="L919" s="269" t="s">
        <v>1131</v>
      </c>
      <c r="M919" s="511" t="str">
        <f>IFERROR(INDEX([1]Produtos!$C:$C,MATCH(L919,[1]Produtos!$B:$B,0)), "-")</f>
        <v>BODY MIST FRESCOR LICHIA</v>
      </c>
      <c r="N919" s="483">
        <f>IFERROR(INDEX([1]Produtos!$E:$E,MATCH(L919,[1]Produtos!$B:$B,0)), "-")</f>
        <v>250</v>
      </c>
      <c r="O919" s="483" t="str">
        <f>IFERROR(INDEX([1]Produtos!$F:$F,MATCH(L919,[1]Produtos!$B:$B,0)), "-")</f>
        <v>ml</v>
      </c>
      <c r="P919" s="483" t="str">
        <f>IFERROR(INDEX([1]Produtos!$G:$G,MATCH(L919,[1]Produtos!$B:$B,0)), "-")</f>
        <v>AMEERATI</v>
      </c>
      <c r="Q919" s="483" t="str">
        <f>IFERROR(INDEX([1]Produtos!$H:$H,MATCH(L919,[1]Produtos!$B:$B,0)), "-")</f>
        <v>PERFUMARIA</v>
      </c>
      <c r="R919" s="270" t="str">
        <f>IFERROR(INDEX([1]Produtos!$I:$I,MATCH(L919,[1]Produtos!$B:$B,0)), "-")</f>
        <v>BODY SPLASH</v>
      </c>
      <c r="S919" s="270" t="str">
        <f>IFERROR(INDEX([1]Produtos!$J:$J,MATCH(L919,[1]Produtos!$B:$B,0)), "-")</f>
        <v>LÍQUIDO</v>
      </c>
      <c r="T919" s="484"/>
      <c r="U919" s="270"/>
      <c r="V919" s="270"/>
      <c r="W919" s="270"/>
      <c r="X919" s="270"/>
      <c r="Y919" s="270"/>
      <c r="Z919" s="270"/>
      <c r="AA919" s="270"/>
      <c r="AB919" s="270"/>
      <c r="AC919" s="270"/>
      <c r="AD919" s="270"/>
      <c r="AE919" s="270"/>
      <c r="AF919" s="270"/>
      <c r="AG919" s="270"/>
      <c r="AH919" s="270"/>
      <c r="AI919" s="270"/>
      <c r="AJ919" s="270"/>
      <c r="AK919" s="270"/>
      <c r="AL919" s="270"/>
      <c r="AM919" s="663"/>
      <c r="AN919" s="663"/>
      <c r="AO919" s="708" t="str">
        <f>IF(OR(Table1[[#This Row],[Início Setup Envase]]="",Table1[[#This Row],[Final Setup Envase]]=""),"",Table1[[#This Row],[Final Setup Envase]]-Table1[[#This Row],[Início Setup Envase]])</f>
        <v/>
      </c>
      <c r="AP919" s="663"/>
      <c r="AQ919" s="663"/>
      <c r="AR919" s="270"/>
      <c r="AS919" s="270"/>
      <c r="AT919" s="270"/>
      <c r="AU919" s="270"/>
      <c r="AV919" s="270"/>
      <c r="AW919" s="270"/>
      <c r="AX919" s="270"/>
      <c r="AY919" s="270"/>
      <c r="AZ919" s="270"/>
      <c r="BA919" s="270">
        <f>IF(Table1[[#This Row],[Data de Início]]="","",YEAR(Table1[[#This Row],[Data de Início]]))</f>
        <v>2026</v>
      </c>
      <c r="BB919" s="270">
        <f>IF(Table1[[#This Row],[Data de Início]]="","",MONTH(Table1[[#This Row],[Data de Início]]))</f>
        <v>3</v>
      </c>
      <c r="BC919" s="270"/>
    </row>
    <row r="920" spans="2:55" x14ac:dyDescent="0.25">
      <c r="B920" s="489">
        <v>46112.666666666664</v>
      </c>
      <c r="C920" s="490">
        <v>46112.704861111109</v>
      </c>
      <c r="D920" s="477" cm="1">
        <f t="array" ref="D920">IFERROR(HorasUteisFabrica2Turnos(B920,C920), "")</f>
        <v>0.91666666668606922</v>
      </c>
      <c r="E920" s="478">
        <f t="shared" si="14"/>
        <v>680.72727271286419</v>
      </c>
      <c r="F920" s="479" t="s">
        <v>378</v>
      </c>
      <c r="G920" s="266" t="s">
        <v>1560</v>
      </c>
      <c r="H920" s="480"/>
      <c r="I920" s="481" t="s">
        <v>1563</v>
      </c>
      <c r="J920" s="482" t="s">
        <v>15</v>
      </c>
      <c r="K920" s="268">
        <v>624</v>
      </c>
      <c r="L920" s="269" t="s">
        <v>211</v>
      </c>
      <c r="M920" s="511" t="str">
        <f>IFERROR(INDEX([1]Produtos!$C:$C,MATCH(L920,[1]Produtos!$B:$B,0)), "-")</f>
        <v>BODY SPLASH AURORA IMPERIAL</v>
      </c>
      <c r="N920" s="483">
        <f>IFERROR(INDEX([1]Produtos!$E:$E,MATCH(L920,[1]Produtos!$B:$B,0)), "-")</f>
        <v>220</v>
      </c>
      <c r="O920" s="483" t="str">
        <f>IFERROR(INDEX([1]Produtos!$F:$F,MATCH(L920,[1]Produtos!$B:$B,0)), "-")</f>
        <v>ml</v>
      </c>
      <c r="P920" s="483" t="str">
        <f>IFERROR(INDEX([1]Produtos!$G:$G,MATCH(L920,[1]Produtos!$B:$B,0)), "-")</f>
        <v>MISS RÔSE</v>
      </c>
      <c r="Q920" s="483" t="str">
        <f>IFERROR(INDEX([1]Produtos!$H:$H,MATCH(L920,[1]Produtos!$B:$B,0)), "-")</f>
        <v>PERFUMARIA</v>
      </c>
      <c r="R920" s="270" t="str">
        <f>IFERROR(INDEX([1]Produtos!$I:$I,MATCH(L920,[1]Produtos!$B:$B,0)), "-")</f>
        <v>BODY SPLASH</v>
      </c>
      <c r="S920" s="270" t="str">
        <f>IFERROR(INDEX([1]Produtos!$J:$J,MATCH(L920,[1]Produtos!$B:$B,0)), "-")</f>
        <v>LÍQUIDO</v>
      </c>
      <c r="T920" s="484"/>
      <c r="U920" s="270"/>
      <c r="V920" s="270"/>
      <c r="W920" s="270"/>
      <c r="X920" s="270"/>
      <c r="Y920" s="270"/>
      <c r="Z920" s="270"/>
      <c r="AA920" s="270"/>
      <c r="AB920" s="270"/>
      <c r="AC920" s="270"/>
      <c r="AD920" s="270"/>
      <c r="AE920" s="270"/>
      <c r="AF920" s="270"/>
      <c r="AG920" s="270"/>
      <c r="AH920" s="270"/>
      <c r="AI920" s="270"/>
      <c r="AJ920" s="270"/>
      <c r="AK920" s="270"/>
      <c r="AL920" s="270"/>
      <c r="AM920" s="663"/>
      <c r="AN920" s="663"/>
      <c r="AO920" s="708" t="str">
        <f>IF(OR(Table1[[#This Row],[Início Setup Envase]]="",Table1[[#This Row],[Final Setup Envase]]=""),"",Table1[[#This Row],[Final Setup Envase]]-Table1[[#This Row],[Início Setup Envase]])</f>
        <v/>
      </c>
      <c r="AP920" s="663"/>
      <c r="AQ920" s="663"/>
      <c r="AR920" s="270"/>
      <c r="AS920" s="270"/>
      <c r="AT920" s="270"/>
      <c r="AU920" s="270"/>
      <c r="AV920" s="270"/>
      <c r="AW920" s="270"/>
      <c r="AX920" s="270"/>
      <c r="AY920" s="270"/>
      <c r="AZ920" s="270"/>
      <c r="BA920" s="270">
        <f>IF(Table1[[#This Row],[Data de Início]]="","",YEAR(Table1[[#This Row],[Data de Início]]))</f>
        <v>2026</v>
      </c>
      <c r="BB920" s="270">
        <f>IF(Table1[[#This Row],[Data de Início]]="","",MONTH(Table1[[#This Row],[Data de Início]]))</f>
        <v>3</v>
      </c>
      <c r="BC920" s="270"/>
    </row>
    <row r="921" spans="2:55" x14ac:dyDescent="0.25">
      <c r="B921" s="489">
        <v>46113.384027777778</v>
      </c>
      <c r="C921" s="490">
        <v>46113.458333333336</v>
      </c>
      <c r="D921" s="477" cm="1">
        <f t="array" ref="D921">IFERROR(HorasUteisFabrica2Turnos(B921,C921), "")</f>
        <v>1.78333333338378</v>
      </c>
      <c r="E921" s="478">
        <f t="shared" si="14"/>
        <v>645.98130839294151</v>
      </c>
      <c r="F921" s="479" t="s">
        <v>377</v>
      </c>
      <c r="G921" s="266" t="s">
        <v>1046</v>
      </c>
      <c r="H921" s="480"/>
      <c r="I921" s="481" t="s">
        <v>1570</v>
      </c>
      <c r="J921" s="482" t="s">
        <v>15</v>
      </c>
      <c r="K921" s="268">
        <v>1152</v>
      </c>
      <c r="L921" s="269" t="s">
        <v>1133</v>
      </c>
      <c r="M921" s="511" t="str">
        <f>IFERROR(INDEX([1]Produtos!$C:$C,MATCH(L921,[1]Produtos!$B:$B,0)), "-")</f>
        <v>BODY MIST BAUNILHA SELVAGEM</v>
      </c>
      <c r="N921" s="483">
        <f>IFERROR(INDEX([1]Produtos!$E:$E,MATCH(L921,[1]Produtos!$B:$B,0)), "-")</f>
        <v>250</v>
      </c>
      <c r="O921" s="483" t="str">
        <f>IFERROR(INDEX([1]Produtos!$F:$F,MATCH(L921,[1]Produtos!$B:$B,0)), "-")</f>
        <v>ml</v>
      </c>
      <c r="P921" s="483" t="str">
        <f>IFERROR(INDEX([1]Produtos!$G:$G,MATCH(L921,[1]Produtos!$B:$B,0)), "-")</f>
        <v>AMEERATI</v>
      </c>
      <c r="Q921" s="483" t="str">
        <f>IFERROR(INDEX([1]Produtos!$H:$H,MATCH(L921,[1]Produtos!$B:$B,0)), "-")</f>
        <v>PERFUMARIA</v>
      </c>
      <c r="R921" s="270" t="str">
        <f>IFERROR(INDEX([1]Produtos!$I:$I,MATCH(L921,[1]Produtos!$B:$B,0)), "-")</f>
        <v>BODY SPLASH</v>
      </c>
      <c r="S921" s="270" t="str">
        <f>IFERROR(INDEX([1]Produtos!$J:$J,MATCH(L921,[1]Produtos!$B:$B,0)), "-")</f>
        <v>LÍQUIDO</v>
      </c>
      <c r="T921" s="484"/>
      <c r="U921" s="270"/>
      <c r="V921" s="270"/>
      <c r="W921" s="270"/>
      <c r="X921" s="270"/>
      <c r="Y921" s="270"/>
      <c r="Z921" s="270"/>
      <c r="AA921" s="270"/>
      <c r="AB921" s="270"/>
      <c r="AC921" s="270"/>
      <c r="AD921" s="270"/>
      <c r="AE921" s="270"/>
      <c r="AF921" s="270"/>
      <c r="AG921" s="270"/>
      <c r="AH921" s="270"/>
      <c r="AI921" s="270"/>
      <c r="AJ921" s="270"/>
      <c r="AK921" s="270"/>
      <c r="AL921" s="270"/>
      <c r="AM921" s="663"/>
      <c r="AN921" s="663"/>
      <c r="AO921" s="708" t="str">
        <f>IF(OR(Table1[[#This Row],[Início Setup Envase]]="",Table1[[#This Row],[Final Setup Envase]]=""),"",Table1[[#This Row],[Final Setup Envase]]-Table1[[#This Row],[Início Setup Envase]])</f>
        <v/>
      </c>
      <c r="AP921" s="663"/>
      <c r="AQ921" s="663"/>
      <c r="AR921" s="270"/>
      <c r="AS921" s="270"/>
      <c r="AT921" s="270"/>
      <c r="AU921" s="270"/>
      <c r="AV921" s="270"/>
      <c r="AW921" s="270"/>
      <c r="AX921" s="270"/>
      <c r="AY921" s="270"/>
      <c r="AZ921" s="270"/>
      <c r="BA921" s="270">
        <f>IF(Table1[[#This Row],[Data de Início]]="","",YEAR(Table1[[#This Row],[Data de Início]]))</f>
        <v>2026</v>
      </c>
      <c r="BB921" s="270">
        <f>IF(Table1[[#This Row],[Data de Início]]="","",MONTH(Table1[[#This Row],[Data de Início]]))</f>
        <v>4</v>
      </c>
      <c r="BC921" s="270"/>
    </row>
    <row r="922" spans="2:55" x14ac:dyDescent="0.25">
      <c r="B922" s="489">
        <v>46113.482638888891</v>
      </c>
      <c r="C922" s="490">
        <v>46113.607638888891</v>
      </c>
      <c r="D922" s="477" cm="1">
        <f t="array" ref="D922">IFERROR(HorasUteisFabrica2Turnos(B922,C922), "")</f>
        <v>2</v>
      </c>
      <c r="E922" s="478">
        <f t="shared" si="14"/>
        <v>641</v>
      </c>
      <c r="F922" s="479" t="s">
        <v>377</v>
      </c>
      <c r="G922" s="266" t="s">
        <v>1046</v>
      </c>
      <c r="H922" s="480"/>
      <c r="I922" s="481" t="s">
        <v>1582</v>
      </c>
      <c r="J922" s="482" t="s">
        <v>15</v>
      </c>
      <c r="K922" s="268">
        <v>1282</v>
      </c>
      <c r="L922" s="269" t="s">
        <v>1133</v>
      </c>
      <c r="M922" s="511" t="str">
        <f>IFERROR(INDEX([1]Produtos!$C:$C,MATCH(L922,[1]Produtos!$B:$B,0)), "-")</f>
        <v>BODY MIST BAUNILHA SELVAGEM</v>
      </c>
      <c r="N922" s="483">
        <f>IFERROR(INDEX([1]Produtos!$E:$E,MATCH(L922,[1]Produtos!$B:$B,0)), "-")</f>
        <v>250</v>
      </c>
      <c r="O922" s="483" t="str">
        <f>IFERROR(INDEX([1]Produtos!$F:$F,MATCH(L922,[1]Produtos!$B:$B,0)), "-")</f>
        <v>ml</v>
      </c>
      <c r="P922" s="483" t="str">
        <f>IFERROR(INDEX([1]Produtos!$G:$G,MATCH(L922,[1]Produtos!$B:$B,0)), "-")</f>
        <v>AMEERATI</v>
      </c>
      <c r="Q922" s="483" t="str">
        <f>IFERROR(INDEX([1]Produtos!$H:$H,MATCH(L922,[1]Produtos!$B:$B,0)), "-")</f>
        <v>PERFUMARIA</v>
      </c>
      <c r="R922" s="270" t="str">
        <f>IFERROR(INDEX([1]Produtos!$I:$I,MATCH(L922,[1]Produtos!$B:$B,0)), "-")</f>
        <v>BODY SPLASH</v>
      </c>
      <c r="S922" s="270" t="str">
        <f>IFERROR(INDEX([1]Produtos!$J:$J,MATCH(L922,[1]Produtos!$B:$B,0)), "-")</f>
        <v>LÍQUIDO</v>
      </c>
      <c r="T922" s="484"/>
      <c r="U922" s="270"/>
      <c r="V922" s="270"/>
      <c r="W922" s="270"/>
      <c r="X922" s="270"/>
      <c r="Y922" s="270"/>
      <c r="Z922" s="270"/>
      <c r="AA922" s="270"/>
      <c r="AB922" s="270"/>
      <c r="AC922" s="270"/>
      <c r="AD922" s="270"/>
      <c r="AE922" s="270"/>
      <c r="AF922" s="270"/>
      <c r="AG922" s="270"/>
      <c r="AH922" s="270"/>
      <c r="AI922" s="270"/>
      <c r="AJ922" s="270"/>
      <c r="AK922" s="270"/>
      <c r="AL922" s="270"/>
      <c r="AM922" s="663"/>
      <c r="AN922" s="663"/>
      <c r="AO922" s="708" t="str">
        <f>IF(OR(Table1[[#This Row],[Início Setup Envase]]="",Table1[[#This Row],[Final Setup Envase]]=""),"",Table1[[#This Row],[Final Setup Envase]]-Table1[[#This Row],[Início Setup Envase]])</f>
        <v/>
      </c>
      <c r="AP922" s="663"/>
      <c r="AQ922" s="663"/>
      <c r="AR922" s="270"/>
      <c r="AS922" s="270"/>
      <c r="AT922" s="270"/>
      <c r="AU922" s="270"/>
      <c r="AV922" s="270"/>
      <c r="AW922" s="270"/>
      <c r="AX922" s="270"/>
      <c r="AY922" s="270"/>
      <c r="AZ922" s="270"/>
      <c r="BA922" s="270">
        <f>IF(Table1[[#This Row],[Data de Início]]="","",YEAR(Table1[[#This Row],[Data de Início]]))</f>
        <v>2026</v>
      </c>
      <c r="BB922" s="270">
        <f>IF(Table1[[#This Row],[Data de Início]]="","",MONTH(Table1[[#This Row],[Data de Início]]))</f>
        <v>4</v>
      </c>
      <c r="BC922" s="270"/>
    </row>
    <row r="923" spans="2:55" x14ac:dyDescent="0.25">
      <c r="B923" s="489">
        <v>46113.604861111111</v>
      </c>
      <c r="C923" s="490">
        <v>46113.651388888888</v>
      </c>
      <c r="D923" s="477" cm="1">
        <f t="array" ref="D923">IFERROR(HorasUteisFabrica2Turnos(B923,C923), "")</f>
        <v>1.1166666666395031</v>
      </c>
      <c r="E923" s="478">
        <f t="shared" si="14"/>
        <v>1139.1044776396498</v>
      </c>
      <c r="F923" s="479" t="s">
        <v>377</v>
      </c>
      <c r="G923" s="266" t="s">
        <v>1046</v>
      </c>
      <c r="H923" s="480"/>
      <c r="I923" s="481" t="s">
        <v>1583</v>
      </c>
      <c r="J923" s="482" t="s">
        <v>15</v>
      </c>
      <c r="K923" s="268">
        <v>1272</v>
      </c>
      <c r="L923" s="269" t="s">
        <v>1127</v>
      </c>
      <c r="M923" s="511" t="str">
        <f>IFERROR(INDEX([1]Produtos!$C:$C,MATCH(L923,[1]Produtos!$B:$B,0)), "-")</f>
        <v>BODY MIST NECTAR DA PERA</v>
      </c>
      <c r="N923" s="483">
        <f>IFERROR(INDEX([1]Produtos!$E:$E,MATCH(L923,[1]Produtos!$B:$B,0)), "-")</f>
        <v>250</v>
      </c>
      <c r="O923" s="483" t="str">
        <f>IFERROR(INDEX([1]Produtos!$F:$F,MATCH(L923,[1]Produtos!$B:$B,0)), "-")</f>
        <v>ml</v>
      </c>
      <c r="P923" s="483" t="str">
        <f>IFERROR(INDEX([1]Produtos!$G:$G,MATCH(L923,[1]Produtos!$B:$B,0)), "-")</f>
        <v>AMEERATI</v>
      </c>
      <c r="Q923" s="483" t="str">
        <f>IFERROR(INDEX([1]Produtos!$H:$H,MATCH(L923,[1]Produtos!$B:$B,0)), "-")</f>
        <v>PERFUMARIA</v>
      </c>
      <c r="R923" s="270" t="str">
        <f>IFERROR(INDEX([1]Produtos!$I:$I,MATCH(L923,[1]Produtos!$B:$B,0)), "-")</f>
        <v>BODY SPLASH</v>
      </c>
      <c r="S923" s="270" t="str">
        <f>IFERROR(INDEX([1]Produtos!$J:$J,MATCH(L923,[1]Produtos!$B:$B,0)), "-")</f>
        <v>LÍQUIDO</v>
      </c>
      <c r="T923" s="484"/>
      <c r="U923" s="270"/>
      <c r="V923" s="270"/>
      <c r="W923" s="270"/>
      <c r="X923" s="270"/>
      <c r="Y923" s="270"/>
      <c r="Z923" s="270"/>
      <c r="AA923" s="270"/>
      <c r="AB923" s="270"/>
      <c r="AC923" s="270"/>
      <c r="AD923" s="270"/>
      <c r="AE923" s="270"/>
      <c r="AF923" s="270"/>
      <c r="AG923" s="270"/>
      <c r="AH923" s="270"/>
      <c r="AI923" s="270"/>
      <c r="AJ923" s="270"/>
      <c r="AK923" s="270"/>
      <c r="AL923" s="270"/>
      <c r="AM923" s="663"/>
      <c r="AN923" s="663"/>
      <c r="AO923" s="708" t="str">
        <f>IF(OR(Table1[[#This Row],[Início Setup Envase]]="",Table1[[#This Row],[Final Setup Envase]]=""),"",Table1[[#This Row],[Final Setup Envase]]-Table1[[#This Row],[Início Setup Envase]])</f>
        <v/>
      </c>
      <c r="AP923" s="663"/>
      <c r="AQ923" s="663"/>
      <c r="AR923" s="270"/>
      <c r="AS923" s="270"/>
      <c r="AT923" s="270"/>
      <c r="AU923" s="270"/>
      <c r="AV923" s="270"/>
      <c r="AW923" s="270"/>
      <c r="AX923" s="270"/>
      <c r="AY923" s="270"/>
      <c r="AZ923" s="270"/>
      <c r="BA923" s="270">
        <f>IF(Table1[[#This Row],[Data de Início]]="","",YEAR(Table1[[#This Row],[Data de Início]]))</f>
        <v>2026</v>
      </c>
      <c r="BB923" s="270">
        <f>IF(Table1[[#This Row],[Data de Início]]="","",MONTH(Table1[[#This Row],[Data de Início]]))</f>
        <v>4</v>
      </c>
      <c r="BC923" s="270"/>
    </row>
    <row r="924" spans="2:55" x14ac:dyDescent="0.25">
      <c r="B924" s="489">
        <v>46113.671527777777</v>
      </c>
      <c r="C924" s="490">
        <v>46114.330555555556</v>
      </c>
      <c r="D924" s="477" cm="1">
        <f t="array" ref="D924">IFERROR(HorasUteisFabrica2Turnos(B924,C924), "")</f>
        <v>1.8166666668257676</v>
      </c>
      <c r="E924" s="478">
        <f t="shared" si="14"/>
        <v>649.54128434678387</v>
      </c>
      <c r="F924" s="479" t="s">
        <v>377</v>
      </c>
      <c r="G924" s="266" t="s">
        <v>1046</v>
      </c>
      <c r="H924" s="480"/>
      <c r="I924" s="481" t="s">
        <v>1587</v>
      </c>
      <c r="J924" s="482" t="s">
        <v>15</v>
      </c>
      <c r="K924" s="268">
        <v>1180</v>
      </c>
      <c r="L924" s="269" t="s">
        <v>1127</v>
      </c>
      <c r="M924" s="511" t="str">
        <f>IFERROR(INDEX([1]Produtos!$C:$C,MATCH(L924,[1]Produtos!$B:$B,0)), "-")</f>
        <v>BODY MIST NECTAR DA PERA</v>
      </c>
      <c r="N924" s="483">
        <f>IFERROR(INDEX([1]Produtos!$E:$E,MATCH(L924,[1]Produtos!$B:$B,0)), "-")</f>
        <v>250</v>
      </c>
      <c r="O924" s="483" t="str">
        <f>IFERROR(INDEX([1]Produtos!$F:$F,MATCH(L924,[1]Produtos!$B:$B,0)), "-")</f>
        <v>ml</v>
      </c>
      <c r="P924" s="483" t="str">
        <f>IFERROR(INDEX([1]Produtos!$G:$G,MATCH(L924,[1]Produtos!$B:$B,0)), "-")</f>
        <v>AMEERATI</v>
      </c>
      <c r="Q924" s="483" t="str">
        <f>IFERROR(INDEX([1]Produtos!$H:$H,MATCH(L924,[1]Produtos!$B:$B,0)), "-")</f>
        <v>PERFUMARIA</v>
      </c>
      <c r="R924" s="270" t="str">
        <f>IFERROR(INDEX([1]Produtos!$I:$I,MATCH(L924,[1]Produtos!$B:$B,0)), "-")</f>
        <v>BODY SPLASH</v>
      </c>
      <c r="S924" s="270" t="str">
        <f>IFERROR(INDEX([1]Produtos!$J:$J,MATCH(L924,[1]Produtos!$B:$B,0)), "-")</f>
        <v>LÍQUIDO</v>
      </c>
      <c r="T924" s="484"/>
      <c r="U924" s="270"/>
      <c r="V924" s="270"/>
      <c r="W924" s="270"/>
      <c r="X924" s="270"/>
      <c r="Y924" s="270"/>
      <c r="Z924" s="270"/>
      <c r="AA924" s="270"/>
      <c r="AB924" s="270"/>
      <c r="AC924" s="270"/>
      <c r="AD924" s="270"/>
      <c r="AE924" s="270"/>
      <c r="AF924" s="270"/>
      <c r="AG924" s="270"/>
      <c r="AH924" s="270"/>
      <c r="AI924" s="270"/>
      <c r="AJ924" s="270"/>
      <c r="AK924" s="270"/>
      <c r="AL924" s="270"/>
      <c r="AM924" s="663"/>
      <c r="AN924" s="663"/>
      <c r="AO924" s="708" t="str">
        <f>IF(OR(Table1[[#This Row],[Início Setup Envase]]="",Table1[[#This Row],[Final Setup Envase]]=""),"",Table1[[#This Row],[Final Setup Envase]]-Table1[[#This Row],[Início Setup Envase]])</f>
        <v/>
      </c>
      <c r="AP924" s="663"/>
      <c r="AQ924" s="663"/>
      <c r="AR924" s="270"/>
      <c r="AS924" s="270"/>
      <c r="AT924" s="270"/>
      <c r="AU924" s="270"/>
      <c r="AV924" s="270"/>
      <c r="AW924" s="270"/>
      <c r="AX924" s="270"/>
      <c r="AY924" s="270"/>
      <c r="AZ924" s="270"/>
      <c r="BA924" s="270">
        <f>IF(Table1[[#This Row],[Data de Início]]="","",YEAR(Table1[[#This Row],[Data de Início]]))</f>
        <v>2026</v>
      </c>
      <c r="BB924" s="270">
        <f>IF(Table1[[#This Row],[Data de Início]]="","",MONTH(Table1[[#This Row],[Data de Início]]))</f>
        <v>4</v>
      </c>
      <c r="BC924" s="270"/>
    </row>
    <row r="925" spans="2:55" x14ac:dyDescent="0.25">
      <c r="B925" s="489">
        <v>46114.363194444442</v>
      </c>
      <c r="C925" s="490">
        <v>46114.446527777778</v>
      </c>
      <c r="D925" s="477" cm="1">
        <f t="array" ref="D925">IFERROR(HorasUteisFabrica2Turnos(B925,C925), "")</f>
        <v>2.0000000000582077</v>
      </c>
      <c r="E925" s="478">
        <f t="shared" si="14"/>
        <v>623.99999998183921</v>
      </c>
      <c r="F925" s="479" t="s">
        <v>377</v>
      </c>
      <c r="G925" s="266" t="s">
        <v>1046</v>
      </c>
      <c r="H925" s="480"/>
      <c r="I925" s="481" t="s">
        <v>1584</v>
      </c>
      <c r="J925" s="482" t="s">
        <v>15</v>
      </c>
      <c r="K925" s="268">
        <v>1248</v>
      </c>
      <c r="L925" s="269" t="s">
        <v>1168</v>
      </c>
      <c r="M925" s="511" t="str">
        <f>IFERROR(INDEX([1]Produtos!$C:$C,MATCH(L925,[1]Produtos!$B:$B,0)), "-")</f>
        <v>BODY MIST JARDINS DO ORIENTE</v>
      </c>
      <c r="N925" s="483">
        <f>IFERROR(INDEX([1]Produtos!$E:$E,MATCH(L925,[1]Produtos!$B:$B,0)), "-")</f>
        <v>250</v>
      </c>
      <c r="O925" s="483" t="str">
        <f>IFERROR(INDEX([1]Produtos!$F:$F,MATCH(L925,[1]Produtos!$B:$B,0)), "-")</f>
        <v>ml</v>
      </c>
      <c r="P925" s="483" t="str">
        <f>IFERROR(INDEX([1]Produtos!$G:$G,MATCH(L925,[1]Produtos!$B:$B,0)), "-")</f>
        <v>AMEERATI</v>
      </c>
      <c r="Q925" s="483" t="str">
        <f>IFERROR(INDEX([1]Produtos!$H:$H,MATCH(L925,[1]Produtos!$B:$B,0)), "-")</f>
        <v>PERFUMARIA</v>
      </c>
      <c r="R925" s="270" t="str">
        <f>IFERROR(INDEX([1]Produtos!$I:$I,MATCH(L925,[1]Produtos!$B:$B,0)), "-")</f>
        <v>BODY SPLASH</v>
      </c>
      <c r="S925" s="270" t="str">
        <f>IFERROR(INDEX([1]Produtos!$J:$J,MATCH(L925,[1]Produtos!$B:$B,0)), "-")</f>
        <v>LÍQUIDO</v>
      </c>
      <c r="T925" s="484"/>
      <c r="U925" s="270"/>
      <c r="V925" s="270"/>
      <c r="W925" s="270"/>
      <c r="X925" s="270"/>
      <c r="Y925" s="270"/>
      <c r="Z925" s="270"/>
      <c r="AA925" s="270"/>
      <c r="AB925" s="270"/>
      <c r="AC925" s="270"/>
      <c r="AD925" s="270"/>
      <c r="AE925" s="270"/>
      <c r="AF925" s="270"/>
      <c r="AG925" s="270"/>
      <c r="AH925" s="270"/>
      <c r="AI925" s="270"/>
      <c r="AJ925" s="270"/>
      <c r="AK925" s="270"/>
      <c r="AL925" s="270"/>
      <c r="AM925" s="663"/>
      <c r="AN925" s="663"/>
      <c r="AO925" s="708" t="str">
        <f>IF(OR(Table1[[#This Row],[Início Setup Envase]]="",Table1[[#This Row],[Final Setup Envase]]=""),"",Table1[[#This Row],[Final Setup Envase]]-Table1[[#This Row],[Início Setup Envase]])</f>
        <v/>
      </c>
      <c r="AP925" s="663"/>
      <c r="AQ925" s="663"/>
      <c r="AR925" s="270"/>
      <c r="AS925" s="270"/>
      <c r="AT925" s="270"/>
      <c r="AU925" s="270"/>
      <c r="AV925" s="270"/>
      <c r="AW925" s="270"/>
      <c r="AX925" s="270"/>
      <c r="AY925" s="270"/>
      <c r="AZ925" s="270"/>
      <c r="BA925" s="270">
        <f>IF(Table1[[#This Row],[Data de Início]]="","",YEAR(Table1[[#This Row],[Data de Início]]))</f>
        <v>2026</v>
      </c>
      <c r="BB925" s="270">
        <f>IF(Table1[[#This Row],[Data de Início]]="","",MONTH(Table1[[#This Row],[Data de Início]]))</f>
        <v>4</v>
      </c>
      <c r="BC925" s="270"/>
    </row>
    <row r="926" spans="2:55" x14ac:dyDescent="0.25">
      <c r="B926" s="489">
        <v>46114.425000000003</v>
      </c>
      <c r="C926" s="490">
        <v>46114.615972222222</v>
      </c>
      <c r="D926" s="477" cm="1">
        <f t="array" ref="D926">IFERROR(HorasUteisFabrica2Turnos(B926,C926), "")</f>
        <v>3.5833333332557231</v>
      </c>
      <c r="E926" s="478">
        <f t="shared" si="14"/>
        <v>365.58139535675519</v>
      </c>
      <c r="F926" s="479" t="s">
        <v>377</v>
      </c>
      <c r="G926" s="266" t="s">
        <v>1046</v>
      </c>
      <c r="H926" s="480"/>
      <c r="I926" s="481" t="s">
        <v>1585</v>
      </c>
      <c r="J926" s="482" t="s">
        <v>15</v>
      </c>
      <c r="K926" s="268">
        <v>1310</v>
      </c>
      <c r="L926" s="269" t="s">
        <v>1168</v>
      </c>
      <c r="M926" s="511" t="str">
        <f>IFERROR(INDEX([1]Produtos!$C:$C,MATCH(L926,[1]Produtos!$B:$B,0)), "-")</f>
        <v>BODY MIST JARDINS DO ORIENTE</v>
      </c>
      <c r="N926" s="483">
        <f>IFERROR(INDEX([1]Produtos!$E:$E,MATCH(L926,[1]Produtos!$B:$B,0)), "-")</f>
        <v>250</v>
      </c>
      <c r="O926" s="483" t="str">
        <f>IFERROR(INDEX([1]Produtos!$F:$F,MATCH(L926,[1]Produtos!$B:$B,0)), "-")</f>
        <v>ml</v>
      </c>
      <c r="P926" s="483" t="str">
        <f>IFERROR(INDEX([1]Produtos!$G:$G,MATCH(L926,[1]Produtos!$B:$B,0)), "-")</f>
        <v>AMEERATI</v>
      </c>
      <c r="Q926" s="483" t="str">
        <f>IFERROR(INDEX([1]Produtos!$H:$H,MATCH(L926,[1]Produtos!$B:$B,0)), "-")</f>
        <v>PERFUMARIA</v>
      </c>
      <c r="R926" s="270" t="str">
        <f>IFERROR(INDEX([1]Produtos!$I:$I,MATCH(L926,[1]Produtos!$B:$B,0)), "-")</f>
        <v>BODY SPLASH</v>
      </c>
      <c r="S926" s="270" t="str">
        <f>IFERROR(INDEX([1]Produtos!$J:$J,MATCH(L926,[1]Produtos!$B:$B,0)), "-")</f>
        <v>LÍQUIDO</v>
      </c>
      <c r="T926" s="484"/>
      <c r="U926" s="270"/>
      <c r="V926" s="270"/>
      <c r="W926" s="270"/>
      <c r="X926" s="270"/>
      <c r="Y926" s="270"/>
      <c r="Z926" s="270"/>
      <c r="AA926" s="270"/>
      <c r="AB926" s="270"/>
      <c r="AC926" s="270"/>
      <c r="AD926" s="270"/>
      <c r="AE926" s="270"/>
      <c r="AF926" s="270"/>
      <c r="AG926" s="270"/>
      <c r="AH926" s="270"/>
      <c r="AI926" s="270"/>
      <c r="AJ926" s="270"/>
      <c r="AK926" s="270"/>
      <c r="AL926" s="270"/>
      <c r="AM926" s="663"/>
      <c r="AN926" s="663"/>
      <c r="AO926" s="708" t="str">
        <f>IF(OR(Table1[[#This Row],[Início Setup Envase]]="",Table1[[#This Row],[Final Setup Envase]]=""),"",Table1[[#This Row],[Final Setup Envase]]-Table1[[#This Row],[Início Setup Envase]])</f>
        <v/>
      </c>
      <c r="AP926" s="663"/>
      <c r="AQ926" s="663"/>
      <c r="AR926" s="270"/>
      <c r="AS926" s="270"/>
      <c r="AT926" s="270"/>
      <c r="AU926" s="270"/>
      <c r="AV926" s="270"/>
      <c r="AW926" s="270"/>
      <c r="AX926" s="270"/>
      <c r="AY926" s="270"/>
      <c r="AZ926" s="270"/>
      <c r="BA926" s="270">
        <f>IF(Table1[[#This Row],[Data de Início]]="","",YEAR(Table1[[#This Row],[Data de Início]]))</f>
        <v>2026</v>
      </c>
      <c r="BB926" s="270">
        <f>IF(Table1[[#This Row],[Data de Início]]="","",MONTH(Table1[[#This Row],[Data de Início]]))</f>
        <v>4</v>
      </c>
      <c r="BC926" s="270"/>
    </row>
    <row r="927" spans="2:55" x14ac:dyDescent="0.25">
      <c r="B927" s="489">
        <v>46114.604166666664</v>
      </c>
      <c r="C927" s="490">
        <v>46114.662499999999</v>
      </c>
      <c r="D927" s="477" cm="1">
        <f t="array" ref="D927">IFERROR(HorasUteisFabrica2Turnos(B927,C927), "")</f>
        <v>1.4000000000232831</v>
      </c>
      <c r="E927" s="478">
        <f t="shared" si="14"/>
        <v>942.85714284146241</v>
      </c>
      <c r="F927" s="479" t="s">
        <v>377</v>
      </c>
      <c r="G927" s="266" t="s">
        <v>1046</v>
      </c>
      <c r="H927" s="480"/>
      <c r="I927" s="481" t="s">
        <v>1586</v>
      </c>
      <c r="J927" s="482" t="s">
        <v>15</v>
      </c>
      <c r="K927" s="268">
        <v>1320</v>
      </c>
      <c r="L927" s="269" t="s">
        <v>1166</v>
      </c>
      <c r="M927" s="511" t="str">
        <f>IFERROR(INDEX([1]Produtos!$C:$C,MATCH(L927,[1]Produtos!$B:$B,0)), "-")</f>
        <v>BODY MIST TESOURO DO OASIS</v>
      </c>
      <c r="N927" s="483">
        <f>IFERROR(INDEX([1]Produtos!$E:$E,MATCH(L927,[1]Produtos!$B:$B,0)), "-")</f>
        <v>250</v>
      </c>
      <c r="O927" s="483" t="str">
        <f>IFERROR(INDEX([1]Produtos!$F:$F,MATCH(L927,[1]Produtos!$B:$B,0)), "-")</f>
        <v>ml</v>
      </c>
      <c r="P927" s="483" t="str">
        <f>IFERROR(INDEX([1]Produtos!$G:$G,MATCH(L927,[1]Produtos!$B:$B,0)), "-")</f>
        <v>AMEERATI</v>
      </c>
      <c r="Q927" s="483" t="str">
        <f>IFERROR(INDEX([1]Produtos!$H:$H,MATCH(L927,[1]Produtos!$B:$B,0)), "-")</f>
        <v>PERFUMARIA</v>
      </c>
      <c r="R927" s="270" t="str">
        <f>IFERROR(INDEX([1]Produtos!$I:$I,MATCH(L927,[1]Produtos!$B:$B,0)), "-")</f>
        <v>BODY SPLASH</v>
      </c>
      <c r="S927" s="270" t="str">
        <f>IFERROR(INDEX([1]Produtos!$J:$J,MATCH(L927,[1]Produtos!$B:$B,0)), "-")</f>
        <v>LÍQUIDO</v>
      </c>
      <c r="T927" s="484"/>
      <c r="U927" s="270"/>
      <c r="V927" s="270"/>
      <c r="W927" s="270"/>
      <c r="X927" s="270"/>
      <c r="Y927" s="270"/>
      <c r="Z927" s="270"/>
      <c r="AA927" s="270"/>
      <c r="AB927" s="270"/>
      <c r="AC927" s="270"/>
      <c r="AD927" s="270"/>
      <c r="AE927" s="270"/>
      <c r="AF927" s="270"/>
      <c r="AG927" s="270"/>
      <c r="AH927" s="270"/>
      <c r="AI927" s="270"/>
      <c r="AJ927" s="270"/>
      <c r="AK927" s="270"/>
      <c r="AL927" s="270"/>
      <c r="AM927" s="663"/>
      <c r="AN927" s="663"/>
      <c r="AO927" s="708" t="str">
        <f>IF(OR(Table1[[#This Row],[Início Setup Envase]]="",Table1[[#This Row],[Final Setup Envase]]=""),"",Table1[[#This Row],[Final Setup Envase]]-Table1[[#This Row],[Início Setup Envase]])</f>
        <v/>
      </c>
      <c r="AP927" s="663"/>
      <c r="AQ927" s="663"/>
      <c r="AR927" s="270"/>
      <c r="AS927" s="270"/>
      <c r="AT927" s="270"/>
      <c r="AU927" s="270"/>
      <c r="AV927" s="270"/>
      <c r="AW927" s="270"/>
      <c r="AX927" s="270"/>
      <c r="AY927" s="270"/>
      <c r="AZ927" s="270"/>
      <c r="BA927" s="270">
        <f>IF(Table1[[#This Row],[Data de Início]]="","",YEAR(Table1[[#This Row],[Data de Início]]))</f>
        <v>2026</v>
      </c>
      <c r="BB927" s="270">
        <f>IF(Table1[[#This Row],[Data de Início]]="","",MONTH(Table1[[#This Row],[Data de Início]]))</f>
        <v>4</v>
      </c>
      <c r="BC927" s="270"/>
    </row>
    <row r="928" spans="2:55" x14ac:dyDescent="0.25">
      <c r="B928" s="489">
        <v>46114.65625</v>
      </c>
      <c r="C928" s="490">
        <v>46118.328472222223</v>
      </c>
      <c r="D928" s="477" cm="1">
        <f t="array" ref="D928">IFERROR(HorasUteisFabrica2Turnos(B928,C928), "")</f>
        <v>10.133333333476912</v>
      </c>
      <c r="E928" s="478">
        <f t="shared" si="14"/>
        <v>123.65131578772167</v>
      </c>
      <c r="F928" s="479" t="s">
        <v>377</v>
      </c>
      <c r="G928" s="266" t="s">
        <v>1046</v>
      </c>
      <c r="H928" s="479"/>
      <c r="I928" s="481" t="s">
        <v>1589</v>
      </c>
      <c r="J928" s="482" t="s">
        <v>15</v>
      </c>
      <c r="K928" s="268">
        <v>1253</v>
      </c>
      <c r="L928" s="269" t="s">
        <v>1166</v>
      </c>
      <c r="M928" s="511" t="str">
        <f>IFERROR(INDEX([1]Produtos!$C:$C,MATCH(L928,[1]Produtos!$B:$B,0)), "-")</f>
        <v>BODY MIST TESOURO DO OASIS</v>
      </c>
      <c r="N928" s="511">
        <f>IFERROR(INDEX([1]Produtos!$E:$E,MATCH(L928,[1]Produtos!$B:$B,0)), "-")</f>
        <v>250</v>
      </c>
      <c r="O928" s="483" t="str">
        <f>IFERROR(INDEX([1]Produtos!$F:$F,MATCH(L928,[1]Produtos!$B:$B,0)), "-")</f>
        <v>ml</v>
      </c>
      <c r="P928" s="483" t="str">
        <f>IFERROR(INDEX([1]Produtos!$G:$G,MATCH(L928,[1]Produtos!$B:$B,0)), "-")</f>
        <v>AMEERATI</v>
      </c>
      <c r="Q928" s="483" t="str">
        <f>IFERROR(INDEX([1]Produtos!$H:$H,MATCH(L928,[1]Produtos!$B:$B,0)), "-")</f>
        <v>PERFUMARIA</v>
      </c>
      <c r="R928" s="270" t="str">
        <f>IFERROR(INDEX([1]Produtos!$I:$I,MATCH(L928,[1]Produtos!$B:$B,0)), "-")</f>
        <v>BODY SPLASH</v>
      </c>
      <c r="S928" s="270" t="str">
        <f>IFERROR(INDEX([1]Produtos!$J:$J,MATCH(L928,[1]Produtos!$B:$B,0)), "-")</f>
        <v>LÍQUIDO</v>
      </c>
      <c r="T928" s="484"/>
      <c r="U928" s="270"/>
      <c r="V928" s="270"/>
      <c r="W928" s="270"/>
      <c r="X928" s="270"/>
      <c r="Y928" s="270"/>
      <c r="Z928" s="270"/>
      <c r="AA928" s="270"/>
      <c r="AB928" s="270"/>
      <c r="AC928" s="270"/>
      <c r="AD928" s="270"/>
      <c r="AE928" s="270"/>
      <c r="AF928" s="270"/>
      <c r="AG928" s="270"/>
      <c r="AH928" s="270"/>
      <c r="AI928" s="270"/>
      <c r="AJ928" s="270"/>
      <c r="AK928" s="270"/>
      <c r="AL928" s="270"/>
      <c r="AM928" s="663"/>
      <c r="AN928" s="663"/>
      <c r="AO928" s="708" t="str">
        <f>IF(OR(Table1[[#This Row],[Início Setup Envase]]="",Table1[[#This Row],[Final Setup Envase]]=""),"",Table1[[#This Row],[Final Setup Envase]]-Table1[[#This Row],[Início Setup Envase]])</f>
        <v/>
      </c>
      <c r="AP928" s="663"/>
      <c r="AQ928" s="663"/>
      <c r="AR928" s="270"/>
      <c r="AS928" s="270"/>
      <c r="AT928" s="270"/>
      <c r="AU928" s="270"/>
      <c r="AV928" s="270"/>
      <c r="AW928" s="270"/>
      <c r="AX928" s="270"/>
      <c r="AY928" s="270"/>
      <c r="AZ928" s="270"/>
      <c r="BA928" s="270">
        <f>IF(Table1[[#This Row],[Data de Início]]="","",YEAR(Table1[[#This Row],[Data de Início]]))</f>
        <v>2026</v>
      </c>
      <c r="BB928" s="270">
        <f>IF(Table1[[#This Row],[Data de Início]]="","",MONTH(Table1[[#This Row],[Data de Início]]))</f>
        <v>4</v>
      </c>
      <c r="BC928" s="270"/>
    </row>
    <row r="929" spans="2:55" x14ac:dyDescent="0.25">
      <c r="B929" s="489">
        <v>46118.347916666666</v>
      </c>
      <c r="C929" s="490">
        <v>46118.436111111114</v>
      </c>
      <c r="D929" s="477" cm="1">
        <f t="array" ref="D929">IFERROR(HorasUteisFabrica2Turnos(B929,C929), "")</f>
        <v>2.1166666667559184</v>
      </c>
      <c r="E929" s="478">
        <f t="shared" si="14"/>
        <v>1292.5984251423465</v>
      </c>
      <c r="F929" s="479" t="s">
        <v>378</v>
      </c>
      <c r="G929" s="266" t="s">
        <v>1560</v>
      </c>
      <c r="H929" s="480"/>
      <c r="I929" s="481" t="s">
        <v>1590</v>
      </c>
      <c r="J929" s="482" t="s">
        <v>15</v>
      </c>
      <c r="K929" s="268">
        <v>2736</v>
      </c>
      <c r="L929" s="269" t="s">
        <v>211</v>
      </c>
      <c r="M929" s="511" t="str">
        <f>IFERROR(INDEX([1]Produtos!$C:$C,MATCH(L929,[1]Produtos!$B:$B,0)), "-")</f>
        <v>BODY SPLASH AURORA IMPERIAL</v>
      </c>
      <c r="N929" s="511">
        <f>IFERROR(INDEX([1]Produtos!$E:$E,MATCH(L929,[1]Produtos!$B:$B,0)), "-")</f>
        <v>220</v>
      </c>
      <c r="O929" s="483" t="str">
        <f>IFERROR(INDEX([1]Produtos!$F:$F,MATCH(L929,[1]Produtos!$B:$B,0)), "-")</f>
        <v>ml</v>
      </c>
      <c r="P929" s="483" t="str">
        <f>IFERROR(INDEX([1]Produtos!$G:$G,MATCH(L929,[1]Produtos!$B:$B,0)), "-")</f>
        <v>MISS RÔSE</v>
      </c>
      <c r="Q929" s="483" t="str">
        <f>IFERROR(INDEX([1]Produtos!$H:$H,MATCH(L929,[1]Produtos!$B:$B,0)), "-")</f>
        <v>PERFUMARIA</v>
      </c>
      <c r="R929" s="270" t="str">
        <f>IFERROR(INDEX([1]Produtos!$I:$I,MATCH(L929,[1]Produtos!$B:$B,0)), "-")</f>
        <v>BODY SPLASH</v>
      </c>
      <c r="S929" s="270" t="str">
        <f>IFERROR(INDEX([1]Produtos!$J:$J,MATCH(L929,[1]Produtos!$B:$B,0)), "-")</f>
        <v>LÍQUIDO</v>
      </c>
      <c r="T929" s="484"/>
      <c r="U929" s="270"/>
      <c r="V929" s="270"/>
      <c r="W929" s="270"/>
      <c r="X929" s="270"/>
      <c r="Y929" s="270"/>
      <c r="Z929" s="270"/>
      <c r="AA929" s="270"/>
      <c r="AB929" s="270"/>
      <c r="AC929" s="270"/>
      <c r="AD929" s="270"/>
      <c r="AE929" s="270"/>
      <c r="AF929" s="270"/>
      <c r="AG929" s="270"/>
      <c r="AH929" s="270"/>
      <c r="AI929" s="270"/>
      <c r="AJ929" s="270"/>
      <c r="AK929" s="270"/>
      <c r="AL929" s="270"/>
      <c r="AM929" s="663"/>
      <c r="AN929" s="663"/>
      <c r="AO929" s="708" t="str">
        <f>IF(OR(Table1[[#This Row],[Início Setup Envase]]="",Table1[[#This Row],[Final Setup Envase]]=""),"",Table1[[#This Row],[Final Setup Envase]]-Table1[[#This Row],[Início Setup Envase]])</f>
        <v/>
      </c>
      <c r="AP929" s="663"/>
      <c r="AQ929" s="663"/>
      <c r="AR929" s="270"/>
      <c r="AS929" s="270"/>
      <c r="AT929" s="270"/>
      <c r="AU929" s="270"/>
      <c r="AV929" s="270"/>
      <c r="AW929" s="270"/>
      <c r="AX929" s="270"/>
      <c r="AY929" s="270"/>
      <c r="AZ929" s="270"/>
      <c r="BA929" s="270">
        <f>IF(Table1[[#This Row],[Data de Início]]="","",YEAR(Table1[[#This Row],[Data de Início]]))</f>
        <v>2026</v>
      </c>
      <c r="BB929" s="270">
        <f>IF(Table1[[#This Row],[Data de Início]]="","",MONTH(Table1[[#This Row],[Data de Início]]))</f>
        <v>4</v>
      </c>
      <c r="BC929" s="270"/>
    </row>
    <row r="930" spans="2:55" x14ac:dyDescent="0.25">
      <c r="B930" s="489">
        <v>46118.436111111114</v>
      </c>
      <c r="C930" s="490">
        <v>46118.569444444445</v>
      </c>
      <c r="D930" s="477" cm="1">
        <f t="array" ref="D930">IFERROR(HorasUteisFabrica2Turnos(B930,C930), "")</f>
        <v>2.1999999999534339</v>
      </c>
      <c r="E930" s="478">
        <f t="shared" si="14"/>
        <v>1178.1818182067561</v>
      </c>
      <c r="F930" s="479" t="s">
        <v>378</v>
      </c>
      <c r="G930" s="266" t="s">
        <v>1560</v>
      </c>
      <c r="H930" s="480"/>
      <c r="I930" s="481" t="s">
        <v>1593</v>
      </c>
      <c r="J930" s="482" t="s">
        <v>15</v>
      </c>
      <c r="K930" s="268">
        <v>2592</v>
      </c>
      <c r="L930" s="269" t="s">
        <v>211</v>
      </c>
      <c r="M930" s="511" t="str">
        <f>IFERROR(INDEX([1]Produtos!$C:$C,MATCH(L930,[1]Produtos!$B:$B,0)), "-")</f>
        <v>BODY SPLASH AURORA IMPERIAL</v>
      </c>
      <c r="N930" s="511">
        <f>IFERROR(INDEX([1]Produtos!$E:$E,MATCH(L930,[1]Produtos!$B:$B,0)), "-")</f>
        <v>220</v>
      </c>
      <c r="O930" s="483" t="str">
        <f>IFERROR(INDEX([1]Produtos!$F:$F,MATCH(L930,[1]Produtos!$B:$B,0)), "-")</f>
        <v>ml</v>
      </c>
      <c r="P930" s="483" t="str">
        <f>IFERROR(INDEX([1]Produtos!$G:$G,MATCH(L930,[1]Produtos!$B:$B,0)), "-")</f>
        <v>MISS RÔSE</v>
      </c>
      <c r="Q930" s="483" t="str">
        <f>IFERROR(INDEX([1]Produtos!$H:$H,MATCH(L930,[1]Produtos!$B:$B,0)), "-")</f>
        <v>PERFUMARIA</v>
      </c>
      <c r="R930" s="270" t="str">
        <f>IFERROR(INDEX([1]Produtos!$I:$I,MATCH(L930,[1]Produtos!$B:$B,0)), "-")</f>
        <v>BODY SPLASH</v>
      </c>
      <c r="S930" s="270" t="str">
        <f>IFERROR(INDEX([1]Produtos!$J:$J,MATCH(L930,[1]Produtos!$B:$B,0)), "-")</f>
        <v>LÍQUIDO</v>
      </c>
      <c r="T930" s="484"/>
      <c r="U930" s="270"/>
      <c r="V930" s="270"/>
      <c r="W930" s="270"/>
      <c r="X930" s="270"/>
      <c r="Y930" s="270"/>
      <c r="Z930" s="270"/>
      <c r="AA930" s="270"/>
      <c r="AB930" s="270"/>
      <c r="AC930" s="270"/>
      <c r="AD930" s="270"/>
      <c r="AE930" s="270"/>
      <c r="AF930" s="270"/>
      <c r="AG930" s="270"/>
      <c r="AH930" s="270"/>
      <c r="AI930" s="270"/>
      <c r="AJ930" s="270"/>
      <c r="AK930" s="270"/>
      <c r="AL930" s="270"/>
      <c r="AM930" s="663"/>
      <c r="AN930" s="663"/>
      <c r="AO930" s="708" t="str">
        <f>IF(OR(Table1[[#This Row],[Início Setup Envase]]="",Table1[[#This Row],[Final Setup Envase]]=""),"",Table1[[#This Row],[Final Setup Envase]]-Table1[[#This Row],[Início Setup Envase]])</f>
        <v/>
      </c>
      <c r="AP930" s="663"/>
      <c r="AQ930" s="663"/>
      <c r="AR930" s="270"/>
      <c r="AS930" s="270"/>
      <c r="AT930" s="270"/>
      <c r="AU930" s="270"/>
      <c r="AV930" s="270"/>
      <c r="AW930" s="270"/>
      <c r="AX930" s="270"/>
      <c r="AY930" s="270"/>
      <c r="AZ930" s="270"/>
      <c r="BA930" s="270">
        <f>IF(Table1[[#This Row],[Data de Início]]="","",YEAR(Table1[[#This Row],[Data de Início]]))</f>
        <v>2026</v>
      </c>
      <c r="BB930" s="270">
        <f>IF(Table1[[#This Row],[Data de Início]]="","",MONTH(Table1[[#This Row],[Data de Início]]))</f>
        <v>4</v>
      </c>
      <c r="BC930" s="270"/>
    </row>
    <row r="931" spans="2:55" x14ac:dyDescent="0.25">
      <c r="B931" s="489">
        <v>46118.545138888891</v>
      </c>
      <c r="C931" s="490">
        <v>46118.599305555559</v>
      </c>
      <c r="D931" s="477" cm="1">
        <f t="array" ref="D931">IFERROR(HorasUteisFabrica2Turnos(B931,C931), "")</f>
        <v>1.3000000000465661</v>
      </c>
      <c r="E931" s="478">
        <f t="shared" si="14"/>
        <v>978.46153842648982</v>
      </c>
      <c r="F931" s="479" t="s">
        <v>377</v>
      </c>
      <c r="G931" s="266" t="s">
        <v>1046</v>
      </c>
      <c r="H931" s="480"/>
      <c r="I931" s="481" t="s">
        <v>1592</v>
      </c>
      <c r="J931" s="482" t="s">
        <v>15</v>
      </c>
      <c r="K931" s="268">
        <v>1272</v>
      </c>
      <c r="L931" s="269" t="s">
        <v>1171</v>
      </c>
      <c r="M931" s="511" t="str">
        <f>IFERROR(INDEX([1]Produtos!$C:$C,MATCH(L931,[1]Produtos!$B:$B,0)), "-")</f>
        <v>BODY MIST RARO ELIXIR</v>
      </c>
      <c r="N931" s="511">
        <f>IFERROR(INDEX([1]Produtos!$E:$E,MATCH(L931,[1]Produtos!$B:$B,0)), "-")</f>
        <v>250</v>
      </c>
      <c r="O931" s="483" t="str">
        <f>IFERROR(INDEX([1]Produtos!$F:$F,MATCH(L931,[1]Produtos!$B:$B,0)), "-")</f>
        <v>ml</v>
      </c>
      <c r="P931" s="483" t="str">
        <f>IFERROR(INDEX([1]Produtos!$G:$G,MATCH(L931,[1]Produtos!$B:$B,0)), "-")</f>
        <v>AMEERATI</v>
      </c>
      <c r="Q931" s="483" t="str">
        <f>IFERROR(INDEX([1]Produtos!$H:$H,MATCH(L931,[1]Produtos!$B:$B,0)), "-")</f>
        <v>PERFUMARIA</v>
      </c>
      <c r="R931" s="270" t="str">
        <f>IFERROR(INDEX([1]Produtos!$I:$I,MATCH(L931,[1]Produtos!$B:$B,0)), "-")</f>
        <v>BODY SPLASH</v>
      </c>
      <c r="S931" s="270" t="str">
        <f>IFERROR(INDEX([1]Produtos!$J:$J,MATCH(L931,[1]Produtos!$B:$B,0)), "-")</f>
        <v>LÍQUIDO</v>
      </c>
      <c r="T931" s="484"/>
      <c r="U931" s="270"/>
      <c r="V931" s="270"/>
      <c r="W931" s="270"/>
      <c r="X931" s="270"/>
      <c r="Y931" s="270"/>
      <c r="Z931" s="270"/>
      <c r="AA931" s="270"/>
      <c r="AB931" s="270"/>
      <c r="AC931" s="270"/>
      <c r="AD931" s="270"/>
      <c r="AE931" s="270"/>
      <c r="AF931" s="270"/>
      <c r="AG931" s="270"/>
      <c r="AH931" s="270"/>
      <c r="AI931" s="270"/>
      <c r="AJ931" s="270"/>
      <c r="AK931" s="270"/>
      <c r="AL931" s="270"/>
      <c r="AM931" s="663"/>
      <c r="AN931" s="663"/>
      <c r="AO931" s="708" t="str">
        <f>IF(OR(Table1[[#This Row],[Início Setup Envase]]="",Table1[[#This Row],[Final Setup Envase]]=""),"",Table1[[#This Row],[Final Setup Envase]]-Table1[[#This Row],[Início Setup Envase]])</f>
        <v/>
      </c>
      <c r="AP931" s="663"/>
      <c r="AQ931" s="663"/>
      <c r="AR931" s="270"/>
      <c r="AS931" s="270"/>
      <c r="AT931" s="270"/>
      <c r="AU931" s="270"/>
      <c r="AV931" s="270"/>
      <c r="AW931" s="270"/>
      <c r="AX931" s="270"/>
      <c r="AY931" s="270"/>
      <c r="AZ931" s="270"/>
      <c r="BA931" s="270">
        <f>IF(Table1[[#This Row],[Data de Início]]="","",YEAR(Table1[[#This Row],[Data de Início]]))</f>
        <v>2026</v>
      </c>
      <c r="BB931" s="270">
        <f>IF(Table1[[#This Row],[Data de Início]]="","",MONTH(Table1[[#This Row],[Data de Início]]))</f>
        <v>4</v>
      </c>
      <c r="BC931" s="270"/>
    </row>
    <row r="932" spans="2:55" x14ac:dyDescent="0.25">
      <c r="B932" s="489">
        <v>46118.571527777778</v>
      </c>
      <c r="C932" s="490">
        <v>46118.690972222219</v>
      </c>
      <c r="D932" s="477" cm="1">
        <f t="array" ref="D932">IFERROR(HorasUteisFabrica2Turnos(B932,C932), "")</f>
        <v>2.8666666665812954</v>
      </c>
      <c r="E932" s="478">
        <f t="shared" si="14"/>
        <v>971.16279072659631</v>
      </c>
      <c r="F932" s="479" t="s">
        <v>378</v>
      </c>
      <c r="G932" s="266" t="s">
        <v>1560</v>
      </c>
      <c r="H932" s="480"/>
      <c r="I932" s="481" t="s">
        <v>1591</v>
      </c>
      <c r="J932" s="482" t="s">
        <v>15</v>
      </c>
      <c r="K932" s="268">
        <v>2784</v>
      </c>
      <c r="L932" s="269" t="s">
        <v>211</v>
      </c>
      <c r="M932" s="511" t="str">
        <f>IFERROR(INDEX([1]Produtos!$C:$C,MATCH(L932,[1]Produtos!$B:$B,0)), "-")</f>
        <v>BODY SPLASH AURORA IMPERIAL</v>
      </c>
      <c r="N932" s="511">
        <f>IFERROR(INDEX([1]Produtos!$E:$E,MATCH(L932,[1]Produtos!$B:$B,0)), "-")</f>
        <v>220</v>
      </c>
      <c r="O932" s="483" t="str">
        <f>IFERROR(INDEX([1]Produtos!$F:$F,MATCH(L932,[1]Produtos!$B:$B,0)), "-")</f>
        <v>ml</v>
      </c>
      <c r="P932" s="483" t="str">
        <f>IFERROR(INDEX([1]Produtos!$G:$G,MATCH(L932,[1]Produtos!$B:$B,0)), "-")</f>
        <v>MISS RÔSE</v>
      </c>
      <c r="Q932" s="483" t="str">
        <f>IFERROR(INDEX([1]Produtos!$H:$H,MATCH(L932,[1]Produtos!$B:$B,0)), "-")</f>
        <v>PERFUMARIA</v>
      </c>
      <c r="R932" s="270" t="str">
        <f>IFERROR(INDEX([1]Produtos!$I:$I,MATCH(L932,[1]Produtos!$B:$B,0)), "-")</f>
        <v>BODY SPLASH</v>
      </c>
      <c r="S932" s="270" t="str">
        <f>IFERROR(INDEX([1]Produtos!$J:$J,MATCH(L932,[1]Produtos!$B:$B,0)), "-")</f>
        <v>LÍQUIDO</v>
      </c>
      <c r="T932" s="484"/>
      <c r="U932" s="270"/>
      <c r="V932" s="270"/>
      <c r="W932" s="270"/>
      <c r="X932" s="270"/>
      <c r="Y932" s="270"/>
      <c r="Z932" s="270"/>
      <c r="AA932" s="270"/>
      <c r="AB932" s="270"/>
      <c r="AC932" s="270"/>
      <c r="AD932" s="270"/>
      <c r="AE932" s="270"/>
      <c r="AF932" s="270"/>
      <c r="AG932" s="270"/>
      <c r="AH932" s="270"/>
      <c r="AI932" s="270"/>
      <c r="AJ932" s="270"/>
      <c r="AK932" s="270"/>
      <c r="AL932" s="270"/>
      <c r="AM932" s="663"/>
      <c r="AN932" s="663"/>
      <c r="AO932" s="708" t="str">
        <f>IF(OR(Table1[[#This Row],[Início Setup Envase]]="",Table1[[#This Row],[Final Setup Envase]]=""),"",Table1[[#This Row],[Final Setup Envase]]-Table1[[#This Row],[Início Setup Envase]])</f>
        <v/>
      </c>
      <c r="AP932" s="663"/>
      <c r="AQ932" s="663"/>
      <c r="AR932" s="270"/>
      <c r="AS932" s="270"/>
      <c r="AT932" s="270"/>
      <c r="AU932" s="270"/>
      <c r="AV932" s="270"/>
      <c r="AW932" s="270"/>
      <c r="AX932" s="270"/>
      <c r="AY932" s="270"/>
      <c r="AZ932" s="270"/>
      <c r="BA932" s="270">
        <f>IF(Table1[[#This Row],[Data de Início]]="","",YEAR(Table1[[#This Row],[Data de Início]]))</f>
        <v>2026</v>
      </c>
      <c r="BB932" s="270">
        <f>IF(Table1[[#This Row],[Data de Início]]="","",MONTH(Table1[[#This Row],[Data de Início]]))</f>
        <v>4</v>
      </c>
      <c r="BC932" s="270"/>
    </row>
    <row r="933" spans="2:55" x14ac:dyDescent="0.25">
      <c r="B933" s="489">
        <v>46118.599305555559</v>
      </c>
      <c r="C933" s="490">
        <v>46118.68472222222</v>
      </c>
      <c r="D933" s="477" cm="1">
        <f t="array" ref="D933">IFERROR(HorasUteisFabrica2Turnos(B933,C933), "")</f>
        <v>2.0499999998719431</v>
      </c>
      <c r="E933" s="478">
        <f t="shared" si="14"/>
        <v>655.60975613851474</v>
      </c>
      <c r="F933" s="479" t="s">
        <v>377</v>
      </c>
      <c r="G933" s="266" t="s">
        <v>1046</v>
      </c>
      <c r="H933" s="480"/>
      <c r="I933" s="481" t="s">
        <v>1594</v>
      </c>
      <c r="J933" s="482" t="s">
        <v>15</v>
      </c>
      <c r="K933" s="268">
        <v>1344</v>
      </c>
      <c r="L933" s="269" t="s">
        <v>1171</v>
      </c>
      <c r="M933" s="511" t="str">
        <f>IFERROR(INDEX([1]Produtos!$C:$C,MATCH(L933,[1]Produtos!$B:$B,0)), "-")</f>
        <v>BODY MIST RARO ELIXIR</v>
      </c>
      <c r="N933" s="511">
        <f>IFERROR(INDEX([1]Produtos!$E:$E,MATCH(L933,[1]Produtos!$B:$B,0)), "-")</f>
        <v>250</v>
      </c>
      <c r="O933" s="483" t="str">
        <f>IFERROR(INDEX([1]Produtos!$F:$F,MATCH(L933,[1]Produtos!$B:$B,0)), "-")</f>
        <v>ml</v>
      </c>
      <c r="P933" s="483" t="str">
        <f>IFERROR(INDEX([1]Produtos!$G:$G,MATCH(L933,[1]Produtos!$B:$B,0)), "-")</f>
        <v>AMEERATI</v>
      </c>
      <c r="Q933" s="483" t="str">
        <f>IFERROR(INDEX([1]Produtos!$H:$H,MATCH(L933,[1]Produtos!$B:$B,0)), "-")</f>
        <v>PERFUMARIA</v>
      </c>
      <c r="R933" s="270" t="str">
        <f>IFERROR(INDEX([1]Produtos!$I:$I,MATCH(L933,[1]Produtos!$B:$B,0)), "-")</f>
        <v>BODY SPLASH</v>
      </c>
      <c r="S933" s="270" t="str">
        <f>IFERROR(INDEX([1]Produtos!$J:$J,MATCH(L933,[1]Produtos!$B:$B,0)), "-")</f>
        <v>LÍQUIDO</v>
      </c>
      <c r="T933" s="484"/>
      <c r="U933" s="270"/>
      <c r="V933" s="270"/>
      <c r="W933" s="270"/>
      <c r="X933" s="270"/>
      <c r="Y933" s="270"/>
      <c r="Z933" s="270"/>
      <c r="AA933" s="270"/>
      <c r="AB933" s="270"/>
      <c r="AC933" s="270"/>
      <c r="AD933" s="270"/>
      <c r="AE933" s="270"/>
      <c r="AF933" s="270"/>
      <c r="AG933" s="270"/>
      <c r="AH933" s="270"/>
      <c r="AI933" s="270"/>
      <c r="AJ933" s="270"/>
      <c r="AK933" s="270"/>
      <c r="AL933" s="270"/>
      <c r="AM933" s="663"/>
      <c r="AN933" s="663"/>
      <c r="AO933" s="708" t="str">
        <f>IF(OR(Table1[[#This Row],[Início Setup Envase]]="",Table1[[#This Row],[Final Setup Envase]]=""),"",Table1[[#This Row],[Final Setup Envase]]-Table1[[#This Row],[Início Setup Envase]])</f>
        <v/>
      </c>
      <c r="AP933" s="663"/>
      <c r="AQ933" s="663"/>
      <c r="AR933" s="270"/>
      <c r="AS933" s="270"/>
      <c r="AT933" s="270"/>
      <c r="AU933" s="270"/>
      <c r="AV933" s="270"/>
      <c r="AW933" s="270"/>
      <c r="AX933" s="270"/>
      <c r="AY933" s="270"/>
      <c r="AZ933" s="270"/>
      <c r="BA933" s="270">
        <f>IF(Table1[[#This Row],[Data de Início]]="","",YEAR(Table1[[#This Row],[Data de Início]]))</f>
        <v>2026</v>
      </c>
      <c r="BB933" s="270">
        <f>IF(Table1[[#This Row],[Data de Início]]="","",MONTH(Table1[[#This Row],[Data de Início]]))</f>
        <v>4</v>
      </c>
      <c r="BC933" s="270"/>
    </row>
    <row r="934" spans="2:55" x14ac:dyDescent="0.25">
      <c r="B934" s="489">
        <v>46118.692361111112</v>
      </c>
      <c r="C934" s="490">
        <v>46119.364583333336</v>
      </c>
      <c r="D934" s="477" cm="1">
        <f t="array" ref="D934">IFERROR(HorasUteisFabrica2Turnos(B934,C934), "")</f>
        <v>2.1333333334769122</v>
      </c>
      <c r="E934" s="478">
        <f t="shared" si="14"/>
        <v>1237.499999916713</v>
      </c>
      <c r="F934" s="479" t="s">
        <v>378</v>
      </c>
      <c r="G934" s="266" t="s">
        <v>1560</v>
      </c>
      <c r="H934" s="479"/>
      <c r="I934" s="481" t="s">
        <v>1595</v>
      </c>
      <c r="J934" s="482" t="s">
        <v>15</v>
      </c>
      <c r="K934" s="268">
        <v>2640</v>
      </c>
      <c r="L934" s="269" t="s">
        <v>211</v>
      </c>
      <c r="M934" s="511" t="str">
        <f>IFERROR(INDEX([1]Produtos!$C:$C,MATCH(L934,[1]Produtos!$B:$B,0)), "-")</f>
        <v>BODY SPLASH AURORA IMPERIAL</v>
      </c>
      <c r="N934" s="511">
        <f>IFERROR(INDEX([1]Produtos!$E:$E,MATCH(L934,[1]Produtos!$B:$B,0)), "-")</f>
        <v>220</v>
      </c>
      <c r="O934" s="483" t="str">
        <f>IFERROR(INDEX([1]Produtos!$F:$F,MATCH(L934,[1]Produtos!$B:$B,0)), "-")</f>
        <v>ml</v>
      </c>
      <c r="P934" s="483" t="str">
        <f>IFERROR(INDEX([1]Produtos!$G:$G,MATCH(L934,[1]Produtos!$B:$B,0)), "-")</f>
        <v>MISS RÔSE</v>
      </c>
      <c r="Q934" s="483" t="str">
        <f>IFERROR(INDEX([1]Produtos!$H:$H,MATCH(L934,[1]Produtos!$B:$B,0)), "-")</f>
        <v>PERFUMARIA</v>
      </c>
      <c r="R934" s="270" t="str">
        <f>IFERROR(INDEX([1]Produtos!$I:$I,MATCH(L934,[1]Produtos!$B:$B,0)), "-")</f>
        <v>BODY SPLASH</v>
      </c>
      <c r="S934" s="270" t="str">
        <f>IFERROR(INDEX([1]Produtos!$J:$J,MATCH(L934,[1]Produtos!$B:$B,0)), "-")</f>
        <v>LÍQUIDO</v>
      </c>
      <c r="T934" s="484"/>
      <c r="U934" s="270"/>
      <c r="V934" s="270"/>
      <c r="W934" s="270"/>
      <c r="X934" s="270"/>
      <c r="Y934" s="270"/>
      <c r="Z934" s="270"/>
      <c r="AA934" s="270"/>
      <c r="AB934" s="270"/>
      <c r="AC934" s="270"/>
      <c r="AD934" s="270"/>
      <c r="AE934" s="270"/>
      <c r="AF934" s="270"/>
      <c r="AG934" s="270"/>
      <c r="AH934" s="270"/>
      <c r="AI934" s="270"/>
      <c r="AJ934" s="270"/>
      <c r="AK934" s="270"/>
      <c r="AL934" s="270"/>
      <c r="AM934" s="663"/>
      <c r="AN934" s="663"/>
      <c r="AO934" s="708" t="str">
        <f>IF(OR(Table1[[#This Row],[Início Setup Envase]]="",Table1[[#This Row],[Final Setup Envase]]=""),"",Table1[[#This Row],[Final Setup Envase]]-Table1[[#This Row],[Início Setup Envase]])</f>
        <v/>
      </c>
      <c r="AP934" s="663"/>
      <c r="AQ934" s="663"/>
      <c r="AR934" s="270"/>
      <c r="AS934" s="270"/>
      <c r="AT934" s="270"/>
      <c r="AU934" s="270"/>
      <c r="AV934" s="270"/>
      <c r="AW934" s="270"/>
      <c r="AX934" s="270"/>
      <c r="AY934" s="270"/>
      <c r="AZ934" s="270"/>
      <c r="BA934" s="270">
        <f>IF(Table1[[#This Row],[Data de Início]]="","",YEAR(Table1[[#This Row],[Data de Início]]))</f>
        <v>2026</v>
      </c>
      <c r="BB934" s="270">
        <f>IF(Table1[[#This Row],[Data de Início]]="","",MONTH(Table1[[#This Row],[Data de Início]]))</f>
        <v>4</v>
      </c>
      <c r="BC934" s="270"/>
    </row>
    <row r="935" spans="2:55" x14ac:dyDescent="0.25">
      <c r="B935" s="489">
        <v>46119.364583333336</v>
      </c>
      <c r="C935" s="490">
        <v>46119.495833333334</v>
      </c>
      <c r="D935" s="477" cm="1">
        <f t="array" ref="D935">IFERROR(HorasUteisFabrica2Turnos(B935,C935), "")</f>
        <v>3.1499999999650754</v>
      </c>
      <c r="E935" s="478">
        <f t="shared" si="14"/>
        <v>847.30158731098152</v>
      </c>
      <c r="F935" s="479" t="s">
        <v>378</v>
      </c>
      <c r="G935" s="655" t="s">
        <v>1560</v>
      </c>
      <c r="H935" s="479"/>
      <c r="I935" s="481" t="s">
        <v>1916</v>
      </c>
      <c r="J935" s="482" t="s">
        <v>15</v>
      </c>
      <c r="K935" s="268">
        <v>2669</v>
      </c>
      <c r="L935" s="269" t="s">
        <v>211</v>
      </c>
      <c r="M935" s="511" t="str">
        <f>IFERROR(INDEX([1]Produtos!$C:$C,MATCH(L935,[1]Produtos!$B:$B,0)), "-")</f>
        <v>BODY SPLASH AURORA IMPERIAL</v>
      </c>
      <c r="N935" s="511">
        <f>IFERROR(INDEX([1]Produtos!$E:$E,MATCH(L935,[1]Produtos!$B:$B,0)), "-")</f>
        <v>220</v>
      </c>
      <c r="O935" s="483" t="str">
        <f>IFERROR(INDEX([1]Produtos!$F:$F,MATCH(L935,[1]Produtos!$B:$B,0)), "-")</f>
        <v>ml</v>
      </c>
      <c r="P935" s="477" t="str">
        <f>IFERROR(INDEX([1]Produtos!$G:$G,MATCH(L935,[1]Produtos!$B:$B,0)), "-")</f>
        <v>MISS RÔSE</v>
      </c>
      <c r="Q935" s="483" t="str">
        <f>IFERROR(INDEX([1]Produtos!$H:$H,MATCH(L935,[1]Produtos!$B:$B,0)), "-")</f>
        <v>PERFUMARIA</v>
      </c>
      <c r="R935" s="270" t="str">
        <f>IFERROR(INDEX([1]Produtos!$I:$I,MATCH(L935,[1]Produtos!$B:$B,0)), "-")</f>
        <v>BODY SPLASH</v>
      </c>
      <c r="S935" s="270" t="str">
        <f>IFERROR(INDEX([1]Produtos!$J:$J,MATCH(L935,[1]Produtos!$B:$B,0)), "-")</f>
        <v>LÍQUIDO</v>
      </c>
      <c r="T935" s="484"/>
      <c r="U935" s="270"/>
      <c r="V935" s="270"/>
      <c r="W935" s="270"/>
      <c r="X935" s="270"/>
      <c r="Y935" s="270"/>
      <c r="Z935" s="270"/>
      <c r="AA935" s="270"/>
      <c r="AB935" s="270"/>
      <c r="AC935" s="270"/>
      <c r="AD935" s="270"/>
      <c r="AE935" s="270"/>
      <c r="AF935" s="270"/>
      <c r="AG935" s="270"/>
      <c r="AH935" s="270"/>
      <c r="AI935" s="270"/>
      <c r="AJ935" s="270"/>
      <c r="AK935" s="270"/>
      <c r="AL935" s="270"/>
      <c r="AM935" s="663"/>
      <c r="AN935" s="663"/>
      <c r="AO935" s="708" t="str">
        <f>IF(OR(Table1[[#This Row],[Início Setup Envase]]="",Table1[[#This Row],[Final Setup Envase]]=""),"",Table1[[#This Row],[Final Setup Envase]]-Table1[[#This Row],[Início Setup Envase]])</f>
        <v/>
      </c>
      <c r="AP935" s="663"/>
      <c r="AQ935" s="663"/>
      <c r="AR935" s="270"/>
      <c r="AS935" s="270"/>
      <c r="AT935" s="270"/>
      <c r="AU935" s="270"/>
      <c r="AV935" s="270"/>
      <c r="AW935" s="270"/>
      <c r="AX935" s="270"/>
      <c r="AY935" s="270"/>
      <c r="AZ935" s="270"/>
      <c r="BA935" s="270">
        <f>IF(Table1[[#This Row],[Data de Início]]="","",YEAR(Table1[[#This Row],[Data de Início]]))</f>
        <v>2026</v>
      </c>
      <c r="BB935" s="270">
        <f>IF(Table1[[#This Row],[Data de Início]]="","",MONTH(Table1[[#This Row],[Data de Início]]))</f>
        <v>4</v>
      </c>
      <c r="BC935" s="270"/>
    </row>
    <row r="936" spans="2:55" x14ac:dyDescent="0.25">
      <c r="B936" s="489">
        <v>46119.367361111108</v>
      </c>
      <c r="C936" s="490">
        <v>46119.436111111114</v>
      </c>
      <c r="D936" s="477" cm="1">
        <f t="array" ref="D936">IFERROR(HorasUteisFabrica2Turnos(B936,C936), "")</f>
        <v>1.6500000001396984</v>
      </c>
      <c r="E936" s="478">
        <f t="shared" si="14"/>
        <v>712.72727266692914</v>
      </c>
      <c r="F936" s="479" t="s">
        <v>377</v>
      </c>
      <c r="G936" s="266" t="s">
        <v>1046</v>
      </c>
      <c r="H936" s="480"/>
      <c r="I936" s="481" t="s">
        <v>1596</v>
      </c>
      <c r="J936" s="482" t="s">
        <v>15</v>
      </c>
      <c r="K936" s="268">
        <v>1176</v>
      </c>
      <c r="L936" s="269" t="s">
        <v>1177</v>
      </c>
      <c r="M936" s="511" t="str">
        <f>IFERROR(INDEX([1]Produtos!$C:$C,MATCH(L936,[1]Produtos!$B:$B,0)), "-")</f>
        <v>BODY MIST MEL DE ESPECIARIAS</v>
      </c>
      <c r="N936" s="483">
        <f>IFERROR(INDEX([1]Produtos!$E:$E,MATCH(L936,[1]Produtos!$B:$B,0)), "-")</f>
        <v>250</v>
      </c>
      <c r="O936" s="483" t="str">
        <f>IFERROR(INDEX([1]Produtos!$F:$F,MATCH(L936,[1]Produtos!$B:$B,0)), "-")</f>
        <v>ml</v>
      </c>
      <c r="P936" s="483" t="str">
        <f>IFERROR(INDEX([1]Produtos!$G:$G,MATCH(L936,[1]Produtos!$B:$B,0)), "-")</f>
        <v>AMEERATI</v>
      </c>
      <c r="Q936" s="483" t="str">
        <f>IFERROR(INDEX([1]Produtos!$H:$H,MATCH(L936,[1]Produtos!$B:$B,0)), "-")</f>
        <v>PERFUMARIA</v>
      </c>
      <c r="R936" s="270" t="str">
        <f>IFERROR(INDEX([1]Produtos!$I:$I,MATCH(L936,[1]Produtos!$B:$B,0)), "-")</f>
        <v>BODY SPLASH</v>
      </c>
      <c r="S936" s="270" t="str">
        <f>IFERROR(INDEX([1]Produtos!$J:$J,MATCH(L936,[1]Produtos!$B:$B,0)), "-")</f>
        <v>LÍQUIDO</v>
      </c>
      <c r="T936" s="484"/>
      <c r="U936" s="270"/>
      <c r="V936" s="270"/>
      <c r="W936" s="270"/>
      <c r="X936" s="270"/>
      <c r="Y936" s="270"/>
      <c r="Z936" s="270"/>
      <c r="AA936" s="270"/>
      <c r="AB936" s="270"/>
      <c r="AC936" s="270"/>
      <c r="AD936" s="270"/>
      <c r="AE936" s="270"/>
      <c r="AF936" s="270"/>
      <c r="AG936" s="270"/>
      <c r="AH936" s="270"/>
      <c r="AI936" s="270"/>
      <c r="AJ936" s="270"/>
      <c r="AK936" s="270"/>
      <c r="AL936" s="270"/>
      <c r="AM936" s="663"/>
      <c r="AN936" s="663"/>
      <c r="AO936" s="708" t="str">
        <f>IF(OR(Table1[[#This Row],[Início Setup Envase]]="",Table1[[#This Row],[Final Setup Envase]]=""),"",Table1[[#This Row],[Final Setup Envase]]-Table1[[#This Row],[Início Setup Envase]])</f>
        <v/>
      </c>
      <c r="AP936" s="663"/>
      <c r="AQ936" s="663"/>
      <c r="AR936" s="270"/>
      <c r="AS936" s="270"/>
      <c r="AT936" s="270"/>
      <c r="AU936" s="270"/>
      <c r="AV936" s="270"/>
      <c r="AW936" s="270"/>
      <c r="AX936" s="270"/>
      <c r="AY936" s="270"/>
      <c r="AZ936" s="270"/>
      <c r="BA936" s="270">
        <f>IF(Table1[[#This Row],[Data de Início]]="","",YEAR(Table1[[#This Row],[Data de Início]]))</f>
        <v>2026</v>
      </c>
      <c r="BB936" s="270">
        <f>IF(Table1[[#This Row],[Data de Início]]="","",MONTH(Table1[[#This Row],[Data de Início]]))</f>
        <v>4</v>
      </c>
      <c r="BC936" s="270"/>
    </row>
    <row r="937" spans="2:55" x14ac:dyDescent="0.25">
      <c r="B937" s="489">
        <v>46119.436111111114</v>
      </c>
      <c r="C937" s="490">
        <v>46119.604166666664</v>
      </c>
      <c r="D937" s="477" cm="1">
        <f t="array" ref="D937">IFERROR(HorasUteisFabrica2Turnos(B937,C937), "")</f>
        <v>3.033333333209157</v>
      </c>
      <c r="E937" s="478">
        <f t="shared" si="14"/>
        <v>447.69230771063496</v>
      </c>
      <c r="F937" s="479" t="s">
        <v>377</v>
      </c>
      <c r="G937" s="266" t="s">
        <v>1046</v>
      </c>
      <c r="H937" s="480"/>
      <c r="I937" s="481" t="s">
        <v>1597</v>
      </c>
      <c r="J937" s="482" t="s">
        <v>15</v>
      </c>
      <c r="K937" s="268">
        <v>1358</v>
      </c>
      <c r="L937" s="269" t="s">
        <v>1177</v>
      </c>
      <c r="M937" s="511" t="str">
        <f>IFERROR(INDEX([1]Produtos!$C:$C,MATCH(L937,[1]Produtos!$B:$B,0)), "-")</f>
        <v>BODY MIST MEL DE ESPECIARIAS</v>
      </c>
      <c r="N937" s="483">
        <f>IFERROR(INDEX([1]Produtos!$E:$E,MATCH(L937,[1]Produtos!$B:$B,0)), "-")</f>
        <v>250</v>
      </c>
      <c r="O937" s="483" t="str">
        <f>IFERROR(INDEX([1]Produtos!$F:$F,MATCH(L937,[1]Produtos!$B:$B,0)), "-")</f>
        <v>ml</v>
      </c>
      <c r="P937" s="483" t="str">
        <f>IFERROR(INDEX([1]Produtos!$G:$G,MATCH(L937,[1]Produtos!$B:$B,0)), "-")</f>
        <v>AMEERATI</v>
      </c>
      <c r="Q937" s="483" t="str">
        <f>IFERROR(INDEX([1]Produtos!$H:$H,MATCH(L937,[1]Produtos!$B:$B,0)), "-")</f>
        <v>PERFUMARIA</v>
      </c>
      <c r="R937" s="270" t="str">
        <f>IFERROR(INDEX([1]Produtos!$I:$I,MATCH(L937,[1]Produtos!$B:$B,0)), "-")</f>
        <v>BODY SPLASH</v>
      </c>
      <c r="S937" s="270" t="str">
        <f>IFERROR(INDEX([1]Produtos!$J:$J,MATCH(L937,[1]Produtos!$B:$B,0)), "-")</f>
        <v>LÍQUIDO</v>
      </c>
      <c r="T937" s="484"/>
      <c r="U937" s="270"/>
      <c r="V937" s="270"/>
      <c r="W937" s="270"/>
      <c r="X937" s="270"/>
      <c r="Y937" s="270"/>
      <c r="Z937" s="270"/>
      <c r="AA937" s="270"/>
      <c r="AB937" s="270"/>
      <c r="AC937" s="270"/>
      <c r="AD937" s="270"/>
      <c r="AE937" s="270"/>
      <c r="AF937" s="270"/>
      <c r="AG937" s="270"/>
      <c r="AH937" s="270"/>
      <c r="AI937" s="270"/>
      <c r="AJ937" s="270"/>
      <c r="AK937" s="270"/>
      <c r="AL937" s="270"/>
      <c r="AM937" s="663"/>
      <c r="AN937" s="663"/>
      <c r="AO937" s="708" t="str">
        <f>IF(OR(Table1[[#This Row],[Início Setup Envase]]="",Table1[[#This Row],[Final Setup Envase]]=""),"",Table1[[#This Row],[Final Setup Envase]]-Table1[[#This Row],[Início Setup Envase]])</f>
        <v/>
      </c>
      <c r="AP937" s="663"/>
      <c r="AQ937" s="663"/>
      <c r="AR937" s="270"/>
      <c r="AS937" s="270"/>
      <c r="AT937" s="270"/>
      <c r="AU937" s="270"/>
      <c r="AV937" s="270"/>
      <c r="AW937" s="270"/>
      <c r="AX937" s="270"/>
      <c r="AY937" s="270"/>
      <c r="AZ937" s="270"/>
      <c r="BA937" s="270">
        <f>IF(Table1[[#This Row],[Data de Início]]="","",YEAR(Table1[[#This Row],[Data de Início]]))</f>
        <v>2026</v>
      </c>
      <c r="BB937" s="270">
        <f>IF(Table1[[#This Row],[Data de Início]]="","",MONTH(Table1[[#This Row],[Data de Início]]))</f>
        <v>4</v>
      </c>
      <c r="BC937" s="270"/>
    </row>
    <row r="938" spans="2:55" x14ac:dyDescent="0.25">
      <c r="B938" s="489">
        <v>46119.495833333334</v>
      </c>
      <c r="C938" s="490">
        <v>46119.666666666664</v>
      </c>
      <c r="D938" s="477" cm="1">
        <f t="array" ref="D938">IFERROR(HorasUteisFabrica2Turnos(B938,C938), "")</f>
        <v>3.0999999999185093</v>
      </c>
      <c r="E938" s="654">
        <f t="shared" si="14"/>
        <v>852.90322582887211</v>
      </c>
      <c r="F938" s="479" t="s">
        <v>378</v>
      </c>
      <c r="G938" s="655" t="s">
        <v>1560</v>
      </c>
      <c r="H938" s="479"/>
      <c r="I938" s="481" t="s">
        <v>1917</v>
      </c>
      <c r="J938" s="482" t="s">
        <v>15</v>
      </c>
      <c r="K938" s="268">
        <v>2644</v>
      </c>
      <c r="L938" s="269" t="s">
        <v>211</v>
      </c>
      <c r="M938" s="511" t="str">
        <f>IFERROR(INDEX([1]Produtos!$C:$C,MATCH(L938,[1]Produtos!$B:$B,0)), "-")</f>
        <v>BODY SPLASH AURORA IMPERIAL</v>
      </c>
      <c r="N938" s="511">
        <f>IFERROR(INDEX([1]Produtos!$E:$E,MATCH(L938,[1]Produtos!$B:$B,0)), "-")</f>
        <v>220</v>
      </c>
      <c r="O938" s="483" t="str">
        <f>IFERROR(INDEX([1]Produtos!$F:$F,MATCH(L938,[1]Produtos!$B:$B,0)), "-")</f>
        <v>ml</v>
      </c>
      <c r="P938" s="477" t="str">
        <f>IFERROR(INDEX([1]Produtos!$G:$G,MATCH(L938,[1]Produtos!$B:$B,0)), "-")</f>
        <v>MISS RÔSE</v>
      </c>
      <c r="Q938" s="483" t="str">
        <f>IFERROR(INDEX([1]Produtos!$H:$H,MATCH(L938,[1]Produtos!$B:$B,0)), "-")</f>
        <v>PERFUMARIA</v>
      </c>
      <c r="R938" s="270" t="str">
        <f>IFERROR(INDEX([1]Produtos!$I:$I,MATCH(L938,[1]Produtos!$B:$B,0)), "-")</f>
        <v>BODY SPLASH</v>
      </c>
      <c r="S938" s="270" t="str">
        <f>IFERROR(INDEX([1]Produtos!$J:$J,MATCH(L938,[1]Produtos!$B:$B,0)), "-")</f>
        <v>LÍQUIDO</v>
      </c>
      <c r="T938" s="484"/>
      <c r="U938" s="270"/>
      <c r="V938" s="270"/>
      <c r="W938" s="270"/>
      <c r="X938" s="270"/>
      <c r="Y938" s="270"/>
      <c r="Z938" s="270"/>
      <c r="AA938" s="270"/>
      <c r="AB938" s="270"/>
      <c r="AC938" s="270"/>
      <c r="AD938" s="270"/>
      <c r="AE938" s="270"/>
      <c r="AF938" s="270"/>
      <c r="AG938" s="270"/>
      <c r="AH938" s="270"/>
      <c r="AI938" s="270"/>
      <c r="AJ938" s="270"/>
      <c r="AK938" s="270"/>
      <c r="AL938" s="270"/>
      <c r="AM938" s="663"/>
      <c r="AN938" s="663"/>
      <c r="AO938" s="708" t="str">
        <f>IF(OR(Table1[[#This Row],[Início Setup Envase]]="",Table1[[#This Row],[Final Setup Envase]]=""),"",Table1[[#This Row],[Final Setup Envase]]-Table1[[#This Row],[Início Setup Envase]])</f>
        <v/>
      </c>
      <c r="AP938" s="663"/>
      <c r="AQ938" s="663"/>
      <c r="AR938" s="270"/>
      <c r="AS938" s="674"/>
      <c r="AT938" s="674"/>
      <c r="AU938" s="270"/>
      <c r="AV938" s="270"/>
      <c r="AW938" s="270"/>
      <c r="AX938" s="270"/>
      <c r="AY938" s="270"/>
      <c r="AZ938" s="270"/>
      <c r="BA938" s="270">
        <f>IF(Table1[[#This Row],[Data de Início]]="","",YEAR(Table1[[#This Row],[Data de Início]]))</f>
        <v>2026</v>
      </c>
      <c r="BB938" s="270">
        <f>IF(Table1[[#This Row],[Data de Início]]="","",MONTH(Table1[[#This Row],[Data de Início]]))</f>
        <v>4</v>
      </c>
      <c r="BC938" s="270"/>
    </row>
    <row r="939" spans="2:55" x14ac:dyDescent="0.25">
      <c r="B939" s="489">
        <v>46119.606944444444</v>
      </c>
      <c r="C939" s="490">
        <v>46119.674305555556</v>
      </c>
      <c r="D939" s="477" cm="1">
        <f t="array" ref="D939">IFERROR(HorasUteisFabrica2Turnos(B939,C939), "")</f>
        <v>1.6166666666977108</v>
      </c>
      <c r="E939" s="478">
        <f t="shared" si="14"/>
        <v>771.95876287177441</v>
      </c>
      <c r="F939" s="479" t="s">
        <v>377</v>
      </c>
      <c r="G939" s="266" t="s">
        <v>1046</v>
      </c>
      <c r="H939" s="480"/>
      <c r="I939" s="481" t="s">
        <v>1605</v>
      </c>
      <c r="J939" s="482" t="s">
        <v>15</v>
      </c>
      <c r="K939" s="268">
        <v>1248</v>
      </c>
      <c r="L939" s="269" t="s">
        <v>1184</v>
      </c>
      <c r="M939" s="511" t="str">
        <f>IFERROR(INDEX([1]Produtos!$C:$C,MATCH(L939,[1]Produtos!$B:$B,0)), "-")</f>
        <v>BODY MIST ENCANTO PERSA</v>
      </c>
      <c r="N939" s="511">
        <f>IFERROR(INDEX([1]Produtos!$E:$E,MATCH(L939,[1]Produtos!$B:$B,0)), "-")</f>
        <v>250</v>
      </c>
      <c r="O939" s="483" t="str">
        <f>IFERROR(INDEX([1]Produtos!$F:$F,MATCH(L939,[1]Produtos!$B:$B,0)), "-")</f>
        <v>ml</v>
      </c>
      <c r="P939" s="483" t="str">
        <f>IFERROR(INDEX([1]Produtos!$G:$G,MATCH(L939,[1]Produtos!$B:$B,0)), "-")</f>
        <v>AMEERATI</v>
      </c>
      <c r="Q939" s="483" t="str">
        <f>IFERROR(INDEX([1]Produtos!$H:$H,MATCH(L939,[1]Produtos!$B:$B,0)), "-")</f>
        <v>PERFUMARIA</v>
      </c>
      <c r="R939" s="270" t="str">
        <f>IFERROR(INDEX([1]Produtos!$I:$I,MATCH(L939,[1]Produtos!$B:$B,0)), "-")</f>
        <v>BODY SPLASH</v>
      </c>
      <c r="S939" s="270" t="str">
        <f>IFERROR(INDEX([1]Produtos!$J:$J,MATCH(L939,[1]Produtos!$B:$B,0)), "-")</f>
        <v>LÍQUIDO</v>
      </c>
      <c r="T939" s="484"/>
      <c r="U939" s="270"/>
      <c r="V939" s="270"/>
      <c r="W939" s="270"/>
      <c r="X939" s="270"/>
      <c r="Y939" s="270"/>
      <c r="Z939" s="270"/>
      <c r="AA939" s="270"/>
      <c r="AB939" s="270"/>
      <c r="AC939" s="270"/>
      <c r="AD939" s="270"/>
      <c r="AE939" s="270"/>
      <c r="AF939" s="270"/>
      <c r="AG939" s="270"/>
      <c r="AH939" s="270"/>
      <c r="AI939" s="270"/>
      <c r="AJ939" s="270"/>
      <c r="AK939" s="270"/>
      <c r="AL939" s="270"/>
      <c r="AM939" s="663"/>
      <c r="AN939" s="663"/>
      <c r="AO939" s="708" t="str">
        <f>IF(OR(Table1[[#This Row],[Início Setup Envase]]="",Table1[[#This Row],[Final Setup Envase]]=""),"",Table1[[#This Row],[Final Setup Envase]]-Table1[[#This Row],[Início Setup Envase]])</f>
        <v/>
      </c>
      <c r="AP939" s="663"/>
      <c r="AQ939" s="663"/>
      <c r="AR939" s="270"/>
      <c r="AS939" s="270"/>
      <c r="AT939" s="270"/>
      <c r="AU939" s="270"/>
      <c r="AV939" s="270"/>
      <c r="AW939" s="270"/>
      <c r="AX939" s="270"/>
      <c r="AY939" s="270"/>
      <c r="AZ939" s="270"/>
      <c r="BA939" s="270">
        <f>IF(Table1[[#This Row],[Data de Início]]="","",YEAR(Table1[[#This Row],[Data de Início]]))</f>
        <v>2026</v>
      </c>
      <c r="BB939" s="270">
        <f>IF(Table1[[#This Row],[Data de Início]]="","",MONTH(Table1[[#This Row],[Data de Início]]))</f>
        <v>4</v>
      </c>
      <c r="BC939" s="270"/>
    </row>
    <row r="940" spans="2:55" x14ac:dyDescent="0.25">
      <c r="B940" s="489">
        <v>46119.674305555556</v>
      </c>
      <c r="C940" s="490">
        <v>46120.356249999997</v>
      </c>
      <c r="D940" s="477" cm="1">
        <f t="array" ref="D940">IFERROR(HorasUteisFabrica2Turnos(B940,C940), "")</f>
        <v>2.3666666666977108</v>
      </c>
      <c r="E940" s="478">
        <f t="shared" si="14"/>
        <v>540.42253520417876</v>
      </c>
      <c r="F940" s="479" t="s">
        <v>377</v>
      </c>
      <c r="G940" s="266" t="s">
        <v>1046</v>
      </c>
      <c r="H940" s="480"/>
      <c r="I940" s="481" t="s">
        <v>1604</v>
      </c>
      <c r="J940" s="482" t="s">
        <v>15</v>
      </c>
      <c r="K940" s="268">
        <v>1279</v>
      </c>
      <c r="L940" s="269" t="s">
        <v>1184</v>
      </c>
      <c r="M940" s="511" t="str">
        <f>IFERROR(INDEX([1]Produtos!$C:$C,MATCH(L940,[1]Produtos!$B:$B,0)), "-")</f>
        <v>BODY MIST ENCANTO PERSA</v>
      </c>
      <c r="N940" s="483">
        <f>IFERROR(INDEX([1]Produtos!$E:$E,MATCH(L940,[1]Produtos!$B:$B,0)), "-")</f>
        <v>250</v>
      </c>
      <c r="O940" s="483" t="str">
        <f>IFERROR(INDEX([1]Produtos!$F:$F,MATCH(L940,[1]Produtos!$B:$B,0)), "-")</f>
        <v>ml</v>
      </c>
      <c r="P940" s="483" t="str">
        <f>IFERROR(INDEX([1]Produtos!$G:$G,MATCH(L940,[1]Produtos!$B:$B,0)), "-")</f>
        <v>AMEERATI</v>
      </c>
      <c r="Q940" s="483" t="str">
        <f>IFERROR(INDEX([1]Produtos!$H:$H,MATCH(L940,[1]Produtos!$B:$B,0)), "-")</f>
        <v>PERFUMARIA</v>
      </c>
      <c r="R940" s="270" t="str">
        <f>IFERROR(INDEX([1]Produtos!$I:$I,MATCH(L940,[1]Produtos!$B:$B,0)), "-")</f>
        <v>BODY SPLASH</v>
      </c>
      <c r="S940" s="270" t="str">
        <f>IFERROR(INDEX([1]Produtos!$J:$J,MATCH(L940,[1]Produtos!$B:$B,0)), "-")</f>
        <v>LÍQUIDO</v>
      </c>
      <c r="T940" s="484"/>
      <c r="U940" s="270"/>
      <c r="V940" s="270"/>
      <c r="W940" s="270"/>
      <c r="X940" s="270"/>
      <c r="Y940" s="270"/>
      <c r="Z940" s="270"/>
      <c r="AA940" s="270"/>
      <c r="AB940" s="270"/>
      <c r="AC940" s="270"/>
      <c r="AD940" s="270"/>
      <c r="AE940" s="270"/>
      <c r="AF940" s="270"/>
      <c r="AG940" s="270"/>
      <c r="AH940" s="270"/>
      <c r="AI940" s="270"/>
      <c r="AJ940" s="270"/>
      <c r="AK940" s="270"/>
      <c r="AL940" s="270"/>
      <c r="AM940" s="663"/>
      <c r="AN940" s="663"/>
      <c r="AO940" s="708" t="str">
        <f>IF(OR(Table1[[#This Row],[Início Setup Envase]]="",Table1[[#This Row],[Final Setup Envase]]=""),"",Table1[[#This Row],[Final Setup Envase]]-Table1[[#This Row],[Início Setup Envase]])</f>
        <v/>
      </c>
      <c r="AP940" s="663"/>
      <c r="AQ940" s="663"/>
      <c r="AR940" s="270"/>
      <c r="AS940" s="270"/>
      <c r="AT940" s="270"/>
      <c r="AU940" s="270"/>
      <c r="AV940" s="270"/>
      <c r="AW940" s="270"/>
      <c r="AX940" s="270"/>
      <c r="AY940" s="270"/>
      <c r="AZ940" s="270"/>
      <c r="BA940" s="270">
        <f>IF(Table1[[#This Row],[Data de Início]]="","",YEAR(Table1[[#This Row],[Data de Início]]))</f>
        <v>2026</v>
      </c>
      <c r="BB940" s="270">
        <f>IF(Table1[[#This Row],[Data de Início]]="","",MONTH(Table1[[#This Row],[Data de Início]]))</f>
        <v>4</v>
      </c>
      <c r="BC940" s="270"/>
    </row>
    <row r="941" spans="2:55" x14ac:dyDescent="0.25">
      <c r="B941" s="489">
        <v>46120.333333333336</v>
      </c>
      <c r="C941" s="490">
        <v>46120.400694444441</v>
      </c>
      <c r="D941" s="477" cm="1">
        <f t="array" ref="D941">IFERROR(HorasUteisFabrica2Turnos(B941,C941), "")</f>
        <v>1.6166666665230878</v>
      </c>
      <c r="E941" s="478">
        <f t="shared" si="14"/>
        <v>797.3195876996773</v>
      </c>
      <c r="F941" s="479" t="s">
        <v>378</v>
      </c>
      <c r="G941" s="266" t="s">
        <v>1046</v>
      </c>
      <c r="H941" s="480"/>
      <c r="I941" s="481" t="s">
        <v>1599</v>
      </c>
      <c r="J941" s="482" t="s">
        <v>15</v>
      </c>
      <c r="K941" s="268">
        <v>1289</v>
      </c>
      <c r="L941" s="269" t="s">
        <v>1182</v>
      </c>
      <c r="M941" s="511" t="str">
        <f>IFERROR(INDEX([1]Produtos!$C:$C,MATCH(L941,[1]Produtos!$B:$B,0)), "-")</f>
        <v>BODY MIST ROSA IMPERIAL</v>
      </c>
      <c r="N941" s="483">
        <f>IFERROR(INDEX([1]Produtos!$E:$E,MATCH(L941,[1]Produtos!$B:$B,0)), "-")</f>
        <v>250</v>
      </c>
      <c r="O941" s="483" t="str">
        <f>IFERROR(INDEX([1]Produtos!$F:$F,MATCH(L941,[1]Produtos!$B:$B,0)), "-")</f>
        <v>ml</v>
      </c>
      <c r="P941" s="483" t="str">
        <f>IFERROR(INDEX([1]Produtos!$G:$G,MATCH(L941,[1]Produtos!$B:$B,0)), "-")</f>
        <v>AMEERATI</v>
      </c>
      <c r="Q941" s="483" t="str">
        <f>IFERROR(INDEX([1]Produtos!$H:$H,MATCH(L941,[1]Produtos!$B:$B,0)), "-")</f>
        <v>PERFUMARIA</v>
      </c>
      <c r="R941" s="270" t="str">
        <f>IFERROR(INDEX([1]Produtos!$I:$I,MATCH(L941,[1]Produtos!$B:$B,0)), "-")</f>
        <v>BODY SPLASH</v>
      </c>
      <c r="S941" s="270" t="str">
        <f>IFERROR(INDEX([1]Produtos!$J:$J,MATCH(L941,[1]Produtos!$B:$B,0)), "-")</f>
        <v>LÍQUIDO</v>
      </c>
      <c r="T941" s="484"/>
      <c r="U941" s="270"/>
      <c r="V941" s="270"/>
      <c r="W941" s="270"/>
      <c r="X941" s="270"/>
      <c r="Y941" s="270"/>
      <c r="Z941" s="270"/>
      <c r="AA941" s="270"/>
      <c r="AB941" s="270"/>
      <c r="AC941" s="270"/>
      <c r="AD941" s="270"/>
      <c r="AE941" s="270"/>
      <c r="AF941" s="270"/>
      <c r="AG941" s="270"/>
      <c r="AH941" s="270"/>
      <c r="AI941" s="270"/>
      <c r="AJ941" s="270"/>
      <c r="AK941" s="270"/>
      <c r="AL941" s="270"/>
      <c r="AM941" s="663"/>
      <c r="AN941" s="663"/>
      <c r="AO941" s="708" t="str">
        <f>IF(OR(Table1[[#This Row],[Início Setup Envase]]="",Table1[[#This Row],[Final Setup Envase]]=""),"",Table1[[#This Row],[Final Setup Envase]]-Table1[[#This Row],[Início Setup Envase]])</f>
        <v/>
      </c>
      <c r="AP941" s="663"/>
      <c r="AQ941" s="663"/>
      <c r="AR941" s="270"/>
      <c r="AS941" s="270"/>
      <c r="AT941" s="270"/>
      <c r="AU941" s="270"/>
      <c r="AV941" s="270"/>
      <c r="AW941" s="270"/>
      <c r="AX941" s="270"/>
      <c r="AY941" s="270"/>
      <c r="AZ941" s="270"/>
      <c r="BA941" s="270">
        <f>IF(Table1[[#This Row],[Data de Início]]="","",YEAR(Table1[[#This Row],[Data de Início]]))</f>
        <v>2026</v>
      </c>
      <c r="BB941" s="270">
        <f>IF(Table1[[#This Row],[Data de Início]]="","",MONTH(Table1[[#This Row],[Data de Início]]))</f>
        <v>4</v>
      </c>
      <c r="BC941" s="270"/>
    </row>
    <row r="942" spans="2:55" x14ac:dyDescent="0.25">
      <c r="B942" s="489">
        <v>46120.39166666667</v>
      </c>
      <c r="C942" s="490">
        <v>46120.458333333336</v>
      </c>
      <c r="D942" s="477" cm="1">
        <f t="array" ref="D942">IFERROR(HorasUteisFabrica2Turnos(B942,C942), "")</f>
        <v>1.5999999999767169</v>
      </c>
      <c r="E942" s="478">
        <f t="shared" si="14"/>
        <v>763.75000001111403</v>
      </c>
      <c r="F942" s="479" t="s">
        <v>377</v>
      </c>
      <c r="G942" s="266" t="s">
        <v>1046</v>
      </c>
      <c r="H942" s="480"/>
      <c r="I942" s="481" t="s">
        <v>1606</v>
      </c>
      <c r="J942" s="482" t="s">
        <v>15</v>
      </c>
      <c r="K942" s="268">
        <v>1222</v>
      </c>
      <c r="L942" s="269" t="s">
        <v>1182</v>
      </c>
      <c r="M942" s="511" t="str">
        <f>IFERROR(INDEX([1]Produtos!$C:$C,MATCH(L942,[1]Produtos!$B:$B,0)), "-")</f>
        <v>BODY MIST ROSA IMPERIAL</v>
      </c>
      <c r="N942" s="511">
        <f>IFERROR(INDEX([1]Produtos!$E:$E,MATCH(L942,[1]Produtos!$B:$B,0)), "-")</f>
        <v>250</v>
      </c>
      <c r="O942" s="483" t="str">
        <f>IFERROR(INDEX([1]Produtos!$F:$F,MATCH(L942,[1]Produtos!$B:$B,0)), "-")</f>
        <v>ml</v>
      </c>
      <c r="P942" s="483" t="str">
        <f>IFERROR(INDEX([1]Produtos!$G:$G,MATCH(L942,[1]Produtos!$B:$B,0)), "-")</f>
        <v>AMEERATI</v>
      </c>
      <c r="Q942" s="483" t="str">
        <f>IFERROR(INDEX([1]Produtos!$H:$H,MATCH(L942,[1]Produtos!$B:$B,0)), "-")</f>
        <v>PERFUMARIA</v>
      </c>
      <c r="R942" s="270" t="str">
        <f>IFERROR(INDEX([1]Produtos!$I:$I,MATCH(L942,[1]Produtos!$B:$B,0)), "-")</f>
        <v>BODY SPLASH</v>
      </c>
      <c r="S942" s="270" t="str">
        <f>IFERROR(INDEX([1]Produtos!$J:$J,MATCH(L942,[1]Produtos!$B:$B,0)), "-")</f>
        <v>LÍQUIDO</v>
      </c>
      <c r="T942" s="484"/>
      <c r="U942" s="270"/>
      <c r="V942" s="270"/>
      <c r="W942" s="270"/>
      <c r="X942" s="270"/>
      <c r="Y942" s="270"/>
      <c r="Z942" s="270"/>
      <c r="AA942" s="270"/>
      <c r="AB942" s="270"/>
      <c r="AC942" s="270"/>
      <c r="AD942" s="270"/>
      <c r="AE942" s="270"/>
      <c r="AF942" s="270"/>
      <c r="AG942" s="270"/>
      <c r="AH942" s="270"/>
      <c r="AI942" s="270"/>
      <c r="AJ942" s="270"/>
      <c r="AK942" s="270"/>
      <c r="AL942" s="270"/>
      <c r="AM942" s="663"/>
      <c r="AN942" s="663"/>
      <c r="AO942" s="708" t="str">
        <f>IF(OR(Table1[[#This Row],[Início Setup Envase]]="",Table1[[#This Row],[Final Setup Envase]]=""),"",Table1[[#This Row],[Final Setup Envase]]-Table1[[#This Row],[Início Setup Envase]])</f>
        <v/>
      </c>
      <c r="AP942" s="663"/>
      <c r="AQ942" s="663"/>
      <c r="AR942" s="270"/>
      <c r="AS942" s="270"/>
      <c r="AT942" s="270"/>
      <c r="AU942" s="270"/>
      <c r="AV942" s="270"/>
      <c r="AW942" s="270"/>
      <c r="AX942" s="270"/>
      <c r="AY942" s="270"/>
      <c r="AZ942" s="270"/>
      <c r="BA942" s="270">
        <f>IF(Table1[[#This Row],[Data de Início]]="","",YEAR(Table1[[#This Row],[Data de Início]]))</f>
        <v>2026</v>
      </c>
      <c r="BB942" s="270">
        <f>IF(Table1[[#This Row],[Data de Início]]="","",MONTH(Table1[[#This Row],[Data de Início]]))</f>
        <v>4</v>
      </c>
      <c r="BC942" s="270"/>
    </row>
    <row r="943" spans="2:55" x14ac:dyDescent="0.25">
      <c r="B943" s="489">
        <v>46120.444444444445</v>
      </c>
      <c r="C943" s="490">
        <v>46120.613888888889</v>
      </c>
      <c r="D943" s="477" cm="1">
        <f t="array" ref="D943">IFERROR(HorasUteisFabrica2Turnos(B943,C943), "")</f>
        <v>3.0666666666511446</v>
      </c>
      <c r="E943" s="654">
        <f t="shared" si="14"/>
        <v>876.52173913487138</v>
      </c>
      <c r="F943" s="479" t="s">
        <v>378</v>
      </c>
      <c r="G943" s="655" t="s">
        <v>1560</v>
      </c>
      <c r="H943" s="479"/>
      <c r="I943" s="481" t="s">
        <v>1924</v>
      </c>
      <c r="J943" s="482" t="s">
        <v>15</v>
      </c>
      <c r="K943" s="268">
        <v>2688</v>
      </c>
      <c r="L943" s="269" t="s">
        <v>296</v>
      </c>
      <c r="M943" s="511" t="str">
        <f>IFERROR(INDEX([1]Produtos!$C:$C,MATCH(L943,[1]Produtos!$B:$B,0)), "-")</f>
        <v>BODY SPLASH NÉCTAR DAS TAMARAS</v>
      </c>
      <c r="N943" s="511">
        <f>IFERROR(INDEX([1]Produtos!$E:$E,MATCH(L943,[1]Produtos!$B:$B,0)), "-")</f>
        <v>220</v>
      </c>
      <c r="O943" s="483" t="str">
        <f>IFERROR(INDEX([1]Produtos!$F:$F,MATCH(L943,[1]Produtos!$B:$B,0)), "-")</f>
        <v>ml</v>
      </c>
      <c r="P943" s="477" t="str">
        <f>IFERROR(INDEX([1]Produtos!$G:$G,MATCH(L943,[1]Produtos!$B:$B,0)), "-")</f>
        <v>MISS RÔSE</v>
      </c>
      <c r="Q943" s="483" t="str">
        <f>IFERROR(INDEX([1]Produtos!$H:$H,MATCH(L943,[1]Produtos!$B:$B,0)), "-")</f>
        <v>PERFUMARIA</v>
      </c>
      <c r="R943" s="270" t="str">
        <f>IFERROR(INDEX([1]Produtos!$I:$I,MATCH(L943,[1]Produtos!$B:$B,0)), "-")</f>
        <v>BODY SPLASH</v>
      </c>
      <c r="S943" s="270" t="str">
        <f>IFERROR(INDEX([1]Produtos!$J:$J,MATCH(L943,[1]Produtos!$B:$B,0)), "-")</f>
        <v>LÍQUIDO</v>
      </c>
      <c r="T943" s="484"/>
      <c r="U943" s="270"/>
      <c r="V943" s="270"/>
      <c r="W943" s="270"/>
      <c r="X943" s="270"/>
      <c r="Y943" s="270"/>
      <c r="Z943" s="270"/>
      <c r="AA943" s="270"/>
      <c r="AB943" s="270"/>
      <c r="AC943" s="270"/>
      <c r="AD943" s="270"/>
      <c r="AE943" s="270"/>
      <c r="AF943" s="270"/>
      <c r="AG943" s="270"/>
      <c r="AH943" s="270"/>
      <c r="AI943" s="270"/>
      <c r="AJ943" s="270"/>
      <c r="AK943" s="270"/>
      <c r="AL943" s="270"/>
      <c r="AM943" s="663"/>
      <c r="AN943" s="663"/>
      <c r="AO943" s="708" t="str">
        <f>IF(OR(Table1[[#This Row],[Início Setup Envase]]="",Table1[[#This Row],[Final Setup Envase]]=""),"",Table1[[#This Row],[Final Setup Envase]]-Table1[[#This Row],[Início Setup Envase]])</f>
        <v/>
      </c>
      <c r="AP943" s="663">
        <v>46120.402777777781</v>
      </c>
      <c r="AQ943" s="663">
        <v>46120.438194444447</v>
      </c>
      <c r="AR943" s="270" t="s">
        <v>1925</v>
      </c>
      <c r="AS943" s="674"/>
      <c r="AT943" s="674"/>
      <c r="AU943" s="270"/>
      <c r="AV943" s="270"/>
      <c r="AW943" s="270"/>
      <c r="AX943" s="270"/>
      <c r="AY943" s="270"/>
      <c r="AZ943" s="270"/>
      <c r="BA943" s="270">
        <f>IF(Table1[[#This Row],[Data de Início]]="","",YEAR(Table1[[#This Row],[Data de Início]]))</f>
        <v>2026</v>
      </c>
      <c r="BB943" s="270">
        <f>IF(Table1[[#This Row],[Data de Início]]="","",MONTH(Table1[[#This Row],[Data de Início]]))</f>
        <v>4</v>
      </c>
      <c r="BC943" s="270"/>
    </row>
    <row r="944" spans="2:55" x14ac:dyDescent="0.25">
      <c r="B944" s="489">
        <v>46120.458333333336</v>
      </c>
      <c r="C944" s="490">
        <v>46120.581944444442</v>
      </c>
      <c r="D944" s="477" cm="1">
        <f t="array" ref="D944">IFERROR(HorasUteisFabrica2Turnos(B944,C944), "")</f>
        <v>1.9666666665580124</v>
      </c>
      <c r="E944" s="478">
        <f t="shared" si="14"/>
        <v>610.16949155913437</v>
      </c>
      <c r="F944" s="479" t="s">
        <v>377</v>
      </c>
      <c r="G944" s="266" t="s">
        <v>1046</v>
      </c>
      <c r="H944" s="480"/>
      <c r="I944" s="481" t="s">
        <v>1598</v>
      </c>
      <c r="J944" s="482" t="s">
        <v>15</v>
      </c>
      <c r="K944" s="268">
        <v>1200</v>
      </c>
      <c r="L944" s="269" t="s">
        <v>1178</v>
      </c>
      <c r="M944" s="511" t="str">
        <f>IFERROR(INDEX([1]Produtos!$C:$C,MATCH(L944,[1]Produtos!$B:$B,0)), "-")</f>
        <v>BODY MIST PEROLA DO DESERTO</v>
      </c>
      <c r="N944" s="483">
        <f>IFERROR(INDEX([1]Produtos!$E:$E,MATCH(L944,[1]Produtos!$B:$B,0)), "-")</f>
        <v>250</v>
      </c>
      <c r="O944" s="483" t="str">
        <f>IFERROR(INDEX([1]Produtos!$F:$F,MATCH(L944,[1]Produtos!$B:$B,0)), "-")</f>
        <v>ml</v>
      </c>
      <c r="P944" s="483" t="str">
        <f>IFERROR(INDEX([1]Produtos!$G:$G,MATCH(L944,[1]Produtos!$B:$B,0)), "-")</f>
        <v>AMEERATI</v>
      </c>
      <c r="Q944" s="483" t="str">
        <f>IFERROR(INDEX([1]Produtos!$H:$H,MATCH(L944,[1]Produtos!$B:$B,0)), "-")</f>
        <v>PERFUMARIA</v>
      </c>
      <c r="R944" s="270" t="str">
        <f>IFERROR(INDEX([1]Produtos!$I:$I,MATCH(L944,[1]Produtos!$B:$B,0)), "-")</f>
        <v>BODY SPLASH</v>
      </c>
      <c r="S944" s="270" t="str">
        <f>IFERROR(INDEX([1]Produtos!$J:$J,MATCH(L944,[1]Produtos!$B:$B,0)), "-")</f>
        <v>LÍQUIDO</v>
      </c>
      <c r="T944" s="484"/>
      <c r="U944" s="270"/>
      <c r="V944" s="270"/>
      <c r="W944" s="270"/>
      <c r="X944" s="270"/>
      <c r="Y944" s="270"/>
      <c r="Z944" s="270"/>
      <c r="AA944" s="270"/>
      <c r="AB944" s="270"/>
      <c r="AC944" s="270"/>
      <c r="AD944" s="270"/>
      <c r="AE944" s="270"/>
      <c r="AF944" s="270"/>
      <c r="AG944" s="270"/>
      <c r="AH944" s="270"/>
      <c r="AI944" s="270"/>
      <c r="AJ944" s="270"/>
      <c r="AK944" s="270"/>
      <c r="AL944" s="270"/>
      <c r="AM944" s="663"/>
      <c r="AN944" s="663"/>
      <c r="AO944" s="708" t="str">
        <f>IF(OR(Table1[[#This Row],[Início Setup Envase]]="",Table1[[#This Row],[Final Setup Envase]]=""),"",Table1[[#This Row],[Final Setup Envase]]-Table1[[#This Row],[Início Setup Envase]])</f>
        <v/>
      </c>
      <c r="AP944" s="663"/>
      <c r="AQ944" s="663"/>
      <c r="AR944" s="270"/>
      <c r="AS944" s="270"/>
      <c r="AT944" s="270"/>
      <c r="AU944" s="270"/>
      <c r="AV944" s="270"/>
      <c r="AW944" s="270"/>
      <c r="AX944" s="270"/>
      <c r="AY944" s="270"/>
      <c r="AZ944" s="270"/>
      <c r="BA944" s="270">
        <f>IF(Table1[[#This Row],[Data de Início]]="","",YEAR(Table1[[#This Row],[Data de Início]]))</f>
        <v>2026</v>
      </c>
      <c r="BB944" s="270">
        <f>IF(Table1[[#This Row],[Data de Início]]="","",MONTH(Table1[[#This Row],[Data de Início]]))</f>
        <v>4</v>
      </c>
      <c r="BC944" s="270"/>
    </row>
    <row r="945" spans="2:55" x14ac:dyDescent="0.25">
      <c r="B945" s="489">
        <v>46120.583333333336</v>
      </c>
      <c r="C945" s="490">
        <v>46120.679166666669</v>
      </c>
      <c r="D945" s="477" cm="1">
        <f t="array" ref="D945">IFERROR(HorasUteisFabrica2Turnos(B945,C945), "")</f>
        <v>2.2999999999883585</v>
      </c>
      <c r="E945" s="478">
        <f t="shared" si="14"/>
        <v>571.73913043767652</v>
      </c>
      <c r="F945" s="479" t="s">
        <v>377</v>
      </c>
      <c r="G945" s="266" t="s">
        <v>1046</v>
      </c>
      <c r="H945" s="480"/>
      <c r="I945" s="481" t="s">
        <v>1603</v>
      </c>
      <c r="J945" s="482" t="s">
        <v>15</v>
      </c>
      <c r="K945" s="268">
        <v>1315</v>
      </c>
      <c r="L945" s="269" t="s">
        <v>1178</v>
      </c>
      <c r="M945" s="511" t="str">
        <f>IFERROR(INDEX([1]Produtos!$C:$C,MATCH(L945,[1]Produtos!$B:$B,0)), "-")</f>
        <v>BODY MIST PEROLA DO DESERTO</v>
      </c>
      <c r="N945" s="511">
        <f>IFERROR(INDEX([1]Produtos!$E:$E,MATCH(L945,[1]Produtos!$B:$B,0)), "-")</f>
        <v>250</v>
      </c>
      <c r="O945" s="483" t="str">
        <f>IFERROR(INDEX([1]Produtos!$F:$F,MATCH(L945,[1]Produtos!$B:$B,0)), "-")</f>
        <v>ml</v>
      </c>
      <c r="P945" s="483" t="str">
        <f>IFERROR(INDEX([1]Produtos!$G:$G,MATCH(L945,[1]Produtos!$B:$B,0)), "-")</f>
        <v>AMEERATI</v>
      </c>
      <c r="Q945" s="483" t="str">
        <f>IFERROR(INDEX([1]Produtos!$H:$H,MATCH(L945,[1]Produtos!$B:$B,0)), "-")</f>
        <v>PERFUMARIA</v>
      </c>
      <c r="R945" s="270" t="str">
        <f>IFERROR(INDEX([1]Produtos!$I:$I,MATCH(L945,[1]Produtos!$B:$B,0)), "-")</f>
        <v>BODY SPLASH</v>
      </c>
      <c r="S945" s="270" t="str">
        <f>IFERROR(INDEX([1]Produtos!$J:$J,MATCH(L945,[1]Produtos!$B:$B,0)), "-")</f>
        <v>LÍQUIDO</v>
      </c>
      <c r="T945" s="484"/>
      <c r="U945" s="270"/>
      <c r="V945" s="270"/>
      <c r="W945" s="270"/>
      <c r="X945" s="270"/>
      <c r="Y945" s="270"/>
      <c r="Z945" s="270"/>
      <c r="AA945" s="270"/>
      <c r="AB945" s="270"/>
      <c r="AC945" s="270"/>
      <c r="AD945" s="270"/>
      <c r="AE945" s="270"/>
      <c r="AF945" s="270"/>
      <c r="AG945" s="270"/>
      <c r="AH945" s="270"/>
      <c r="AI945" s="270"/>
      <c r="AJ945" s="270"/>
      <c r="AK945" s="270"/>
      <c r="AL945" s="270"/>
      <c r="AM945" s="663"/>
      <c r="AN945" s="663"/>
      <c r="AO945" s="708" t="str">
        <f>IF(OR(Table1[[#This Row],[Início Setup Envase]]="",Table1[[#This Row],[Final Setup Envase]]=""),"",Table1[[#This Row],[Final Setup Envase]]-Table1[[#This Row],[Início Setup Envase]])</f>
        <v/>
      </c>
      <c r="AP945" s="663"/>
      <c r="AQ945" s="663"/>
      <c r="AR945" s="270"/>
      <c r="AS945" s="270"/>
      <c r="AT945" s="270"/>
      <c r="AU945" s="270"/>
      <c r="AV945" s="270"/>
      <c r="AW945" s="270"/>
      <c r="AX945" s="270"/>
      <c r="AY945" s="270"/>
      <c r="AZ945" s="270"/>
      <c r="BA945" s="270">
        <f>IF(Table1[[#This Row],[Data de Início]]="","",YEAR(Table1[[#This Row],[Data de Início]]))</f>
        <v>2026</v>
      </c>
      <c r="BB945" s="270">
        <f>IF(Table1[[#This Row],[Data de Início]]="","",MONTH(Table1[[#This Row],[Data de Início]]))</f>
        <v>4</v>
      </c>
      <c r="BC945" s="270"/>
    </row>
    <row r="946" spans="2:55" x14ac:dyDescent="0.25">
      <c r="B946" s="489">
        <v>46120.613888888889</v>
      </c>
      <c r="C946" s="490">
        <v>46121.333333333336</v>
      </c>
      <c r="D946" s="477" cm="1">
        <f t="array" ref="D946">IFERROR(HorasUteisFabrica2Turnos(B946,C946), "")</f>
        <v>3.2666666668374091</v>
      </c>
      <c r="E946" s="478">
        <f t="shared" si="14"/>
        <v>822.85714281413368</v>
      </c>
      <c r="F946" s="479" t="s">
        <v>378</v>
      </c>
      <c r="G946" s="266" t="s">
        <v>1560</v>
      </c>
      <c r="H946" s="479"/>
      <c r="I946" s="482" t="s">
        <v>1727</v>
      </c>
      <c r="J946" s="482" t="s">
        <v>15</v>
      </c>
      <c r="K946" s="268">
        <v>2688</v>
      </c>
      <c r="L946" s="269" t="s">
        <v>296</v>
      </c>
      <c r="M946" s="511" t="str">
        <f>IFERROR(INDEX([1]Produtos!$C:$C,MATCH(L946,[1]Produtos!$B:$B,0)), "-")</f>
        <v>BODY SPLASH NÉCTAR DAS TAMARAS</v>
      </c>
      <c r="N946" s="511">
        <f>IFERROR(INDEX([1]Produtos!$E:$E,MATCH(L946,[1]Produtos!$B:$B,0)), "-")</f>
        <v>220</v>
      </c>
      <c r="O946" s="483" t="str">
        <f>IFERROR(INDEX([1]Produtos!$F:$F,MATCH(L946,[1]Produtos!$B:$B,0)), "-")</f>
        <v>ml</v>
      </c>
      <c r="P946" s="477" t="str">
        <f>IFERROR(INDEX([1]Produtos!$G:$G,MATCH(L946,[1]Produtos!$B:$B,0)), "-")</f>
        <v>MISS RÔSE</v>
      </c>
      <c r="Q946" s="483" t="str">
        <f>IFERROR(INDEX([1]Produtos!$H:$H,MATCH(L946,[1]Produtos!$B:$B,0)), "-")</f>
        <v>PERFUMARIA</v>
      </c>
      <c r="R946" s="270" t="str">
        <f>IFERROR(INDEX([1]Produtos!$I:$I,MATCH(L946,[1]Produtos!$B:$B,0)), "-")</f>
        <v>BODY SPLASH</v>
      </c>
      <c r="S946" s="270" t="str">
        <f>IFERROR(INDEX([1]Produtos!$J:$J,MATCH(L946,[1]Produtos!$B:$B,0)), "-")</f>
        <v>LÍQUIDO</v>
      </c>
      <c r="T946" s="484"/>
      <c r="U946" s="270"/>
      <c r="V946" s="270"/>
      <c r="W946" s="270"/>
      <c r="X946" s="270"/>
      <c r="Y946" s="270"/>
      <c r="Z946" s="270"/>
      <c r="AA946" s="270"/>
      <c r="AB946" s="270"/>
      <c r="AC946" s="270"/>
      <c r="AD946" s="270"/>
      <c r="AE946" s="270"/>
      <c r="AF946" s="270"/>
      <c r="AG946" s="270"/>
      <c r="AH946" s="270"/>
      <c r="AI946" s="270"/>
      <c r="AJ946" s="270"/>
      <c r="AK946" s="270"/>
      <c r="AL946" s="270"/>
      <c r="AM946" s="663"/>
      <c r="AN946" s="663"/>
      <c r="AO946" s="708" t="str">
        <f>IF(OR(Table1[[#This Row],[Início Setup Envase]]="",Table1[[#This Row],[Final Setup Envase]]=""),"",Table1[[#This Row],[Final Setup Envase]]-Table1[[#This Row],[Início Setup Envase]])</f>
        <v/>
      </c>
      <c r="AP946" s="663"/>
      <c r="AQ946" s="663"/>
      <c r="AR946" s="270"/>
      <c r="AS946" s="270"/>
      <c r="AT946" s="270"/>
      <c r="AU946" s="270"/>
      <c r="AV946" s="270"/>
      <c r="AW946" s="270"/>
      <c r="AX946" s="270"/>
      <c r="AY946" s="270"/>
      <c r="AZ946" s="270"/>
      <c r="BA946" s="270">
        <f>IF(Table1[[#This Row],[Data de Início]]="","",YEAR(Table1[[#This Row],[Data de Início]]))</f>
        <v>2026</v>
      </c>
      <c r="BB946" s="270">
        <f>IF(Table1[[#This Row],[Data de Início]]="","",MONTH(Table1[[#This Row],[Data de Início]]))</f>
        <v>4</v>
      </c>
      <c r="BC946" s="270"/>
    </row>
    <row r="947" spans="2:55" ht="30" x14ac:dyDescent="0.25">
      <c r="B947" s="489">
        <v>46121.305555555555</v>
      </c>
      <c r="C947" s="490">
        <v>46121.5625</v>
      </c>
      <c r="D947" s="477" cm="1">
        <f t="array" ref="D947">IFERROR(HorasUteisFabrica2Turnos(B947,C947), "")</f>
        <v>5.1666666666860692</v>
      </c>
      <c r="E947" s="654">
        <f t="shared" si="14"/>
        <v>158.90322580585487</v>
      </c>
      <c r="F947" s="479" t="s">
        <v>1039</v>
      </c>
      <c r="G947" s="655" t="s">
        <v>1868</v>
      </c>
      <c r="H947" s="479"/>
      <c r="I947" s="481" t="s">
        <v>1869</v>
      </c>
      <c r="J947" s="482" t="s">
        <v>15</v>
      </c>
      <c r="K947" s="268">
        <v>821</v>
      </c>
      <c r="L947" s="269" t="s">
        <v>1444</v>
      </c>
      <c r="M947" s="511" t="str">
        <f>IFERROR(INDEX([1]Produtos!$C:$C,MATCH(L947,[1]Produtos!$B:$B,0)), "-")</f>
        <v>PERFUME RAFINATTO 100ML</v>
      </c>
      <c r="N947" s="511">
        <f>IFERROR(INDEX([1]Produtos!$E:$E,MATCH(L947,[1]Produtos!$B:$B,0)), "-")</f>
        <v>100</v>
      </c>
      <c r="O947" s="483" t="str">
        <f>IFERROR(INDEX([1]Produtos!$F:$F,MATCH(L947,[1]Produtos!$B:$B,0)), "-")</f>
        <v>ml</v>
      </c>
      <c r="P947" s="477" t="str">
        <f>IFERROR(INDEX([1]Produtos!$G:$G,MATCH(L947,[1]Produtos!$B:$B,0)), "-")</f>
        <v>FILATO BENE</v>
      </c>
      <c r="Q947" s="483" t="str">
        <f>IFERROR(INDEX([1]Produtos!$H:$H,MATCH(L947,[1]Produtos!$B:$B,0)), "-")</f>
        <v>PERFUMARIA</v>
      </c>
      <c r="R947" s="270" t="str">
        <f>IFERROR(INDEX([1]Produtos!$I:$I,MATCH(L947,[1]Produtos!$B:$B,0)), "-")</f>
        <v>PERFUME</v>
      </c>
      <c r="S947" s="270" t="str">
        <f>IFERROR(INDEX([1]Produtos!$J:$J,MATCH(L947,[1]Produtos!$B:$B,0)), "-")</f>
        <v>LÍQUIDO</v>
      </c>
      <c r="T947" s="484"/>
      <c r="U947" s="270"/>
      <c r="V947" s="270"/>
      <c r="W947" s="270"/>
      <c r="X947" s="270"/>
      <c r="Y947" s="270"/>
      <c r="Z947" s="270"/>
      <c r="AA947" s="270"/>
      <c r="AB947" s="270"/>
      <c r="AC947" s="270"/>
      <c r="AD947" s="270"/>
      <c r="AE947" s="270"/>
      <c r="AF947" s="270"/>
      <c r="AG947" s="270"/>
      <c r="AH947" s="270"/>
      <c r="AI947" s="270"/>
      <c r="AJ947" s="270"/>
      <c r="AK947" s="270"/>
      <c r="AL947" s="270"/>
      <c r="AM947" s="663"/>
      <c r="AN947" s="663"/>
      <c r="AO947" s="708" t="str">
        <f>IF(OR(Table1[[#This Row],[Início Setup Envase]]="",Table1[[#This Row],[Final Setup Envase]]=""),"",Table1[[#This Row],[Final Setup Envase]]-Table1[[#This Row],[Início Setup Envase]])</f>
        <v/>
      </c>
      <c r="AP947" s="663"/>
      <c r="AQ947" s="663"/>
      <c r="AR947" s="270"/>
      <c r="AS947" s="674"/>
      <c r="AT947" s="674"/>
      <c r="AU947" s="270"/>
      <c r="AV947" s="270"/>
      <c r="AW947" s="270"/>
      <c r="AX947" s="270"/>
      <c r="AY947" s="270"/>
      <c r="AZ947" s="270"/>
      <c r="BA947" s="270">
        <f>IF(Table1[[#This Row],[Data de Início]]="","",YEAR(Table1[[#This Row],[Data de Início]]))</f>
        <v>2026</v>
      </c>
      <c r="BB947" s="270">
        <f>IF(Table1[[#This Row],[Data de Início]]="","",MONTH(Table1[[#This Row],[Data de Início]]))</f>
        <v>4</v>
      </c>
      <c r="BC947" s="270"/>
    </row>
    <row r="948" spans="2:55" x14ac:dyDescent="0.25">
      <c r="B948" s="489">
        <v>46121.340277777781</v>
      </c>
      <c r="C948" s="490">
        <v>46121.461805555555</v>
      </c>
      <c r="D948" s="477" cm="1">
        <f t="array" ref="D948">IFERROR(HorasUteisFabrica2Turnos(B948,C948), "")</f>
        <v>2.9166666665696539</v>
      </c>
      <c r="E948" s="478">
        <f t="shared" si="14"/>
        <v>872.22857145758303</v>
      </c>
      <c r="F948" s="479" t="s">
        <v>377</v>
      </c>
      <c r="G948" s="266" t="s">
        <v>1560</v>
      </c>
      <c r="H948" s="479"/>
      <c r="I948" s="482" t="s">
        <v>1728</v>
      </c>
      <c r="J948" s="482" t="s">
        <v>15</v>
      </c>
      <c r="K948" s="268">
        <v>2544</v>
      </c>
      <c r="L948" s="269" t="s">
        <v>296</v>
      </c>
      <c r="M948" s="511" t="str">
        <f>IFERROR(INDEX([1]Produtos!$C:$C,MATCH(L948,[1]Produtos!$B:$B,0)), "-")</f>
        <v>BODY SPLASH NÉCTAR DAS TAMARAS</v>
      </c>
      <c r="N948" s="511">
        <f>IFERROR(INDEX([1]Produtos!$E:$E,MATCH(L948,[1]Produtos!$B:$B,0)), "-")</f>
        <v>220</v>
      </c>
      <c r="O948" s="483" t="str">
        <f>IFERROR(INDEX([1]Produtos!$F:$F,MATCH(L948,[1]Produtos!$B:$B,0)), "-")</f>
        <v>ml</v>
      </c>
      <c r="P948" s="477" t="str">
        <f>IFERROR(INDEX([1]Produtos!$G:$G,MATCH(L948,[1]Produtos!$B:$B,0)), "-")</f>
        <v>MISS RÔSE</v>
      </c>
      <c r="Q948" s="483" t="str">
        <f>IFERROR(INDEX([1]Produtos!$H:$H,MATCH(L948,[1]Produtos!$B:$B,0)), "-")</f>
        <v>PERFUMARIA</v>
      </c>
      <c r="R948" s="270" t="str">
        <f>IFERROR(INDEX([1]Produtos!$I:$I,MATCH(L948,[1]Produtos!$B:$B,0)), "-")</f>
        <v>BODY SPLASH</v>
      </c>
      <c r="S948" s="270" t="str">
        <f>IFERROR(INDEX([1]Produtos!$J:$J,MATCH(L948,[1]Produtos!$B:$B,0)), "-")</f>
        <v>LÍQUIDO</v>
      </c>
      <c r="T948" s="484"/>
      <c r="U948" s="270"/>
      <c r="V948" s="270"/>
      <c r="W948" s="270"/>
      <c r="X948" s="270"/>
      <c r="Y948" s="270"/>
      <c r="Z948" s="270"/>
      <c r="AA948" s="270"/>
      <c r="AB948" s="270"/>
      <c r="AC948" s="270"/>
      <c r="AD948" s="270"/>
      <c r="AE948" s="270"/>
      <c r="AF948" s="270"/>
      <c r="AG948" s="270"/>
      <c r="AH948" s="270"/>
      <c r="AI948" s="270"/>
      <c r="AJ948" s="270"/>
      <c r="AK948" s="270"/>
      <c r="AL948" s="270"/>
      <c r="AM948" s="663"/>
      <c r="AN948" s="663"/>
      <c r="AO948" s="708" t="str">
        <f>IF(OR(Table1[[#This Row],[Início Setup Envase]]="",Table1[[#This Row],[Final Setup Envase]]=""),"",Table1[[#This Row],[Final Setup Envase]]-Table1[[#This Row],[Início Setup Envase]])</f>
        <v/>
      </c>
      <c r="AP948" s="663"/>
      <c r="AQ948" s="663"/>
      <c r="AR948" s="270"/>
      <c r="AS948" s="270"/>
      <c r="AT948" s="270"/>
      <c r="AU948" s="270"/>
      <c r="AV948" s="270"/>
      <c r="AW948" s="270"/>
      <c r="AX948" s="270"/>
      <c r="AY948" s="270"/>
      <c r="AZ948" s="270"/>
      <c r="BA948" s="270">
        <f>IF(Table1[[#This Row],[Data de Início]]="","",YEAR(Table1[[#This Row],[Data de Início]]))</f>
        <v>2026</v>
      </c>
      <c r="BB948" s="270">
        <f>IF(Table1[[#This Row],[Data de Início]]="","",MONTH(Table1[[#This Row],[Data de Início]]))</f>
        <v>4</v>
      </c>
      <c r="BC948" s="270"/>
    </row>
    <row r="949" spans="2:55" x14ac:dyDescent="0.25">
      <c r="B949" s="489">
        <v>46121.361111111109</v>
      </c>
      <c r="C949" s="490">
        <v>46121.491666666669</v>
      </c>
      <c r="D949" s="477" cm="1">
        <f t="array" ref="D949">IFERROR(HorasUteisFabrica2Turnos(B949,C949), "")</f>
        <v>3.1333333334187046</v>
      </c>
      <c r="E949" s="478">
        <f t="shared" si="14"/>
        <v>796.59574465914693</v>
      </c>
      <c r="F949" s="479" t="s">
        <v>378</v>
      </c>
      <c r="G949" s="266" t="s">
        <v>1560</v>
      </c>
      <c r="H949" s="479"/>
      <c r="I949" s="482" t="s">
        <v>1725</v>
      </c>
      <c r="J949" s="482" t="s">
        <v>15</v>
      </c>
      <c r="K949" s="268">
        <v>2496</v>
      </c>
      <c r="L949" s="269" t="s">
        <v>296</v>
      </c>
      <c r="M949" s="511" t="str">
        <f>IFERROR(INDEX([1]Produtos!$C:$C,MATCH(L949,[1]Produtos!$B:$B,0)), "-")</f>
        <v>BODY SPLASH NÉCTAR DAS TAMARAS</v>
      </c>
      <c r="N949" s="511">
        <f>IFERROR(INDEX([1]Produtos!$E:$E,MATCH(L949,[1]Produtos!$B:$B,0)), "-")</f>
        <v>220</v>
      </c>
      <c r="O949" s="483" t="str">
        <f>IFERROR(INDEX([1]Produtos!$F:$F,MATCH(L949,[1]Produtos!$B:$B,0)), "-")</f>
        <v>ml</v>
      </c>
      <c r="P949" s="477" t="str">
        <f>IFERROR(INDEX([1]Produtos!$G:$G,MATCH(L949,[1]Produtos!$B:$B,0)), "-")</f>
        <v>MISS RÔSE</v>
      </c>
      <c r="Q949" s="483" t="str">
        <f>IFERROR(INDEX([1]Produtos!$H:$H,MATCH(L949,[1]Produtos!$B:$B,0)), "-")</f>
        <v>PERFUMARIA</v>
      </c>
      <c r="R949" s="270" t="str">
        <f>IFERROR(INDEX([1]Produtos!$I:$I,MATCH(L949,[1]Produtos!$B:$B,0)), "-")</f>
        <v>BODY SPLASH</v>
      </c>
      <c r="S949" s="270" t="str">
        <f>IFERROR(INDEX([1]Produtos!$J:$J,MATCH(L949,[1]Produtos!$B:$B,0)), "-")</f>
        <v>LÍQUIDO</v>
      </c>
      <c r="T949" s="484"/>
      <c r="U949" s="270"/>
      <c r="V949" s="270"/>
      <c r="W949" s="270"/>
      <c r="X949" s="270"/>
      <c r="Y949" s="270"/>
      <c r="Z949" s="270"/>
      <c r="AA949" s="270"/>
      <c r="AB949" s="270"/>
      <c r="AC949" s="270"/>
      <c r="AD949" s="270"/>
      <c r="AE949" s="270"/>
      <c r="AF949" s="270"/>
      <c r="AG949" s="270"/>
      <c r="AH949" s="270"/>
      <c r="AI949" s="270"/>
      <c r="AJ949" s="270"/>
      <c r="AK949" s="270"/>
      <c r="AL949" s="270"/>
      <c r="AM949" s="663"/>
      <c r="AN949" s="663"/>
      <c r="AO949" s="708" t="str">
        <f>IF(OR(Table1[[#This Row],[Início Setup Envase]]="",Table1[[#This Row],[Final Setup Envase]]=""),"",Table1[[#This Row],[Final Setup Envase]]-Table1[[#This Row],[Início Setup Envase]])</f>
        <v/>
      </c>
      <c r="AP949" s="663"/>
      <c r="AQ949" s="663"/>
      <c r="AR949" s="270"/>
      <c r="AS949" s="270"/>
      <c r="AT949" s="270"/>
      <c r="AU949" s="270"/>
      <c r="AV949" s="270"/>
      <c r="AW949" s="270"/>
      <c r="AX949" s="270"/>
      <c r="AY949" s="270"/>
      <c r="AZ949" s="270"/>
      <c r="BA949" s="270">
        <f>IF(Table1[[#This Row],[Data de Início]]="","",YEAR(Table1[[#This Row],[Data de Início]]))</f>
        <v>2026</v>
      </c>
      <c r="BB949" s="270">
        <f>IF(Table1[[#This Row],[Data de Início]]="","",MONTH(Table1[[#This Row],[Data de Início]]))</f>
        <v>4</v>
      </c>
      <c r="BC949" s="616"/>
    </row>
    <row r="950" spans="2:55" x14ac:dyDescent="0.25">
      <c r="B950" s="489">
        <v>46121.458333333336</v>
      </c>
      <c r="C950" s="490">
        <v>46121.659722222219</v>
      </c>
      <c r="D950" s="477" cm="1">
        <f t="array" ref="D950">IFERROR(HorasUteisFabrica2Turnos(B950,C950), "")</f>
        <v>3.8333333331975155</v>
      </c>
      <c r="E950" s="478">
        <f t="shared" si="14"/>
        <v>601.04347828216498</v>
      </c>
      <c r="F950" s="479" t="s">
        <v>378</v>
      </c>
      <c r="G950" s="655" t="s">
        <v>1560</v>
      </c>
      <c r="H950" s="479"/>
      <c r="I950" s="481" t="s">
        <v>1923</v>
      </c>
      <c r="J950" s="482" t="s">
        <v>15</v>
      </c>
      <c r="K950" s="268">
        <v>2304</v>
      </c>
      <c r="L950" s="269" t="s">
        <v>296</v>
      </c>
      <c r="M950" s="511" t="str">
        <f>IFERROR(INDEX([1]Produtos!$C:$C,MATCH(L950,[1]Produtos!$B:$B,0)), "-")</f>
        <v>BODY SPLASH NÉCTAR DAS TAMARAS</v>
      </c>
      <c r="N950" s="511">
        <f>IFERROR(INDEX([1]Produtos!$E:$E,MATCH(L950,[1]Produtos!$B:$B,0)), "-")</f>
        <v>220</v>
      </c>
      <c r="O950" s="483" t="str">
        <f>IFERROR(INDEX([1]Produtos!$F:$F,MATCH(L950,[1]Produtos!$B:$B,0)), "-")</f>
        <v>ml</v>
      </c>
      <c r="P950" s="477" t="str">
        <f>IFERROR(INDEX([1]Produtos!$G:$G,MATCH(L950,[1]Produtos!$B:$B,0)), "-")</f>
        <v>MISS RÔSE</v>
      </c>
      <c r="Q950" s="483" t="str">
        <f>IFERROR(INDEX([1]Produtos!$H:$H,MATCH(L950,[1]Produtos!$B:$B,0)), "-")</f>
        <v>PERFUMARIA</v>
      </c>
      <c r="R950" s="270" t="str">
        <f>IFERROR(INDEX([1]Produtos!$I:$I,MATCH(L950,[1]Produtos!$B:$B,0)), "-")</f>
        <v>BODY SPLASH</v>
      </c>
      <c r="S950" s="270" t="str">
        <f>IFERROR(INDEX([1]Produtos!$J:$J,MATCH(L950,[1]Produtos!$B:$B,0)), "-")</f>
        <v>LÍQUIDO</v>
      </c>
      <c r="T950" s="484"/>
      <c r="U950" s="270"/>
      <c r="V950" s="270"/>
      <c r="W950" s="270"/>
      <c r="X950" s="270"/>
      <c r="Y950" s="270"/>
      <c r="Z950" s="270"/>
      <c r="AA950" s="270"/>
      <c r="AB950" s="270"/>
      <c r="AC950" s="270"/>
      <c r="AD950" s="270"/>
      <c r="AE950" s="270"/>
      <c r="AF950" s="270"/>
      <c r="AG950" s="270"/>
      <c r="AH950" s="270"/>
      <c r="AI950" s="270"/>
      <c r="AJ950" s="270"/>
      <c r="AK950" s="270"/>
      <c r="AL950" s="270"/>
      <c r="AM950" s="663"/>
      <c r="AN950" s="663"/>
      <c r="AO950" s="708" t="str">
        <f>IF(OR(Table1[[#This Row],[Início Setup Envase]]="",Table1[[#This Row],[Final Setup Envase]]=""),"",Table1[[#This Row],[Final Setup Envase]]-Table1[[#This Row],[Início Setup Envase]])</f>
        <v/>
      </c>
      <c r="AP950" s="663"/>
      <c r="AQ950" s="663"/>
      <c r="AR950" s="270"/>
      <c r="AS950" s="270"/>
      <c r="AT950" s="270"/>
      <c r="AU950" s="270"/>
      <c r="AV950" s="270"/>
      <c r="AW950" s="270"/>
      <c r="AX950" s="270"/>
      <c r="AY950" s="270"/>
      <c r="AZ950" s="270"/>
      <c r="BA950" s="270">
        <f>IF(Table1[[#This Row],[Data de Início]]="","",YEAR(Table1[[#This Row],[Data de Início]]))</f>
        <v>2026</v>
      </c>
      <c r="BB950" s="270">
        <f>IF(Table1[[#This Row],[Data de Início]]="","",MONTH(Table1[[#This Row],[Data de Início]]))</f>
        <v>4</v>
      </c>
      <c r="BC950" s="616"/>
    </row>
    <row r="951" spans="2:55" x14ac:dyDescent="0.25">
      <c r="B951" s="489">
        <v>46121.545138888891</v>
      </c>
      <c r="C951" s="490">
        <v>46122.416666666664</v>
      </c>
      <c r="D951" s="477" cm="1">
        <f t="array" ref="D951">IFERROR(HorasUteisFabrica2Turnos(B951,C951), "")</f>
        <v>6.9166666666860692</v>
      </c>
      <c r="E951" s="478">
        <f t="shared" si="14"/>
        <v>423.3253012036318</v>
      </c>
      <c r="F951" s="479" t="s">
        <v>377</v>
      </c>
      <c r="G951" s="266" t="s">
        <v>1610</v>
      </c>
      <c r="H951" s="480"/>
      <c r="I951" s="481" t="s">
        <v>1601</v>
      </c>
      <c r="J951" s="482" t="s">
        <v>15</v>
      </c>
      <c r="K951" s="268">
        <v>2928</v>
      </c>
      <c r="L951" s="269" t="s">
        <v>1273</v>
      </c>
      <c r="M951" s="511" t="str">
        <f>IFERROR(INDEX([1]Produtos!$C:$C,MATCH(L951,[1]Produtos!$B:$B,0)), "-")</f>
        <v>BODY SPLASH LEAO DO DESERTO BOURBON 200ml</v>
      </c>
      <c r="N951" s="483">
        <f>IFERROR(INDEX([1]Produtos!$E:$E,MATCH(L951,[1]Produtos!$B:$B,0)), "-")</f>
        <v>215</v>
      </c>
      <c r="O951" s="483" t="str">
        <f>IFERROR(INDEX([1]Produtos!$F:$F,MATCH(L951,[1]Produtos!$B:$B,0)), "-")</f>
        <v>ml</v>
      </c>
      <c r="P951" s="483" t="str">
        <f>IFERROR(INDEX([1]Produtos!$G:$G,MATCH(L951,[1]Produtos!$B:$B,0)), "-")</f>
        <v>MISS RÔSE</v>
      </c>
      <c r="Q951" s="483" t="str">
        <f>IFERROR(INDEX([1]Produtos!$H:$H,MATCH(L951,[1]Produtos!$B:$B,0)), "-")</f>
        <v>PERFUMARIA</v>
      </c>
      <c r="R951" s="270" t="str">
        <f>IFERROR(INDEX([1]Produtos!$I:$I,MATCH(L951,[1]Produtos!$B:$B,0)), "-")</f>
        <v>BODY SPLASH</v>
      </c>
      <c r="S951" s="270" t="str">
        <f>IFERROR(INDEX([1]Produtos!$J:$J,MATCH(L951,[1]Produtos!$B:$B,0)), "-")</f>
        <v>LÍQUIDO</v>
      </c>
      <c r="T951" s="484"/>
      <c r="U951" s="270"/>
      <c r="V951" s="270"/>
      <c r="W951" s="270"/>
      <c r="X951" s="270"/>
      <c r="Y951" s="270"/>
      <c r="Z951" s="270"/>
      <c r="AA951" s="270"/>
      <c r="AB951" s="270"/>
      <c r="AC951" s="270"/>
      <c r="AD951" s="270"/>
      <c r="AE951" s="270"/>
      <c r="AF951" s="270"/>
      <c r="AG951" s="270"/>
      <c r="AH951" s="270"/>
      <c r="AI951" s="270"/>
      <c r="AJ951" s="270"/>
      <c r="AK951" s="270"/>
      <c r="AL951" s="270"/>
      <c r="AM951" s="663"/>
      <c r="AN951" s="663"/>
      <c r="AO951" s="708" t="str">
        <f>IF(OR(Table1[[#This Row],[Início Setup Envase]]="",Table1[[#This Row],[Final Setup Envase]]=""),"",Table1[[#This Row],[Final Setup Envase]]-Table1[[#This Row],[Início Setup Envase]])</f>
        <v/>
      </c>
      <c r="AP951" s="663"/>
      <c r="AQ951" s="663"/>
      <c r="AR951" s="270"/>
      <c r="AS951" s="270"/>
      <c r="AT951" s="270"/>
      <c r="AU951" s="270"/>
      <c r="AV951" s="270"/>
      <c r="AW951" s="270"/>
      <c r="AX951" s="270"/>
      <c r="AY951" s="270"/>
      <c r="AZ951" s="270"/>
      <c r="BA951" s="270">
        <f>IF(Table1[[#This Row],[Data de Início]]="","",YEAR(Table1[[#This Row],[Data de Início]]))</f>
        <v>2026</v>
      </c>
      <c r="BB951" s="270">
        <f>IF(Table1[[#This Row],[Data de Início]]="","",MONTH(Table1[[#This Row],[Data de Início]]))</f>
        <v>4</v>
      </c>
      <c r="BC951" s="616"/>
    </row>
    <row r="952" spans="2:55" ht="30" x14ac:dyDescent="0.25">
      <c r="B952" s="489">
        <v>46121.5625</v>
      </c>
      <c r="C952" s="490">
        <v>46122.395833333336</v>
      </c>
      <c r="D952" s="477" cm="1">
        <f t="array" ref="D952">IFERROR(HorasUteisFabrica2Turnos(B952,C952), "")</f>
        <v>6.000000000174623</v>
      </c>
      <c r="E952" s="478">
        <f t="shared" si="14"/>
        <v>150.6666666622817</v>
      </c>
      <c r="F952" s="479" t="s">
        <v>1039</v>
      </c>
      <c r="G952" s="655" t="s">
        <v>1868</v>
      </c>
      <c r="H952" s="479"/>
      <c r="I952" s="481" t="s">
        <v>1867</v>
      </c>
      <c r="J952" s="482" t="s">
        <v>15</v>
      </c>
      <c r="K952" s="268">
        <v>904</v>
      </c>
      <c r="L952" s="269" t="s">
        <v>1443</v>
      </c>
      <c r="M952" s="511" t="str">
        <f>IFERROR(INDEX([1]Produtos!$C:$C,MATCH(L952,[1]Produtos!$B:$B,0)), "-")</f>
        <v>PERFUME OSTINATO 100ML</v>
      </c>
      <c r="N952" s="511">
        <f>IFERROR(INDEX([1]Produtos!$E:$E,MATCH(L952,[1]Produtos!$B:$B,0)), "-")</f>
        <v>100</v>
      </c>
      <c r="O952" s="483" t="str">
        <f>IFERROR(INDEX([1]Produtos!$F:$F,MATCH(L952,[1]Produtos!$B:$B,0)), "-")</f>
        <v>ml</v>
      </c>
      <c r="P952" s="477" t="str">
        <f>IFERROR(INDEX([1]Produtos!$G:$G,MATCH(L952,[1]Produtos!$B:$B,0)), "-")</f>
        <v>FILATO BENE</v>
      </c>
      <c r="Q952" s="483" t="str">
        <f>IFERROR(INDEX([1]Produtos!$H:$H,MATCH(L952,[1]Produtos!$B:$B,0)), "-")</f>
        <v>PERFUMARIA</v>
      </c>
      <c r="R952" s="270" t="str">
        <f>IFERROR(INDEX([1]Produtos!$I:$I,MATCH(L952,[1]Produtos!$B:$B,0)), "-")</f>
        <v>PERFUME</v>
      </c>
      <c r="S952" s="270" t="str">
        <f>IFERROR(INDEX([1]Produtos!$J:$J,MATCH(L952,[1]Produtos!$B:$B,0)), "-")</f>
        <v>LÍQUIDO</v>
      </c>
      <c r="T952" s="484"/>
      <c r="U952" s="270"/>
      <c r="V952" s="270"/>
      <c r="W952" s="270"/>
      <c r="X952" s="270"/>
      <c r="Y952" s="270"/>
      <c r="Z952" s="270"/>
      <c r="AA952" s="270"/>
      <c r="AB952" s="270"/>
      <c r="AC952" s="270"/>
      <c r="AD952" s="270"/>
      <c r="AE952" s="270"/>
      <c r="AF952" s="270"/>
      <c r="AG952" s="270"/>
      <c r="AH952" s="270"/>
      <c r="AI952" s="270"/>
      <c r="AJ952" s="270"/>
      <c r="AK952" s="270"/>
      <c r="AL952" s="270"/>
      <c r="AM952" s="663"/>
      <c r="AN952" s="663"/>
      <c r="AO952" s="708" t="str">
        <f>IF(OR(Table1[[#This Row],[Início Setup Envase]]="",Table1[[#This Row],[Final Setup Envase]]=""),"",Table1[[#This Row],[Final Setup Envase]]-Table1[[#This Row],[Início Setup Envase]])</f>
        <v/>
      </c>
      <c r="AP952" s="663"/>
      <c r="AQ952" s="663"/>
      <c r="AR952" s="270"/>
      <c r="AS952" s="270"/>
      <c r="AT952" s="270"/>
      <c r="AU952" s="270"/>
      <c r="AV952" s="270"/>
      <c r="AW952" s="270"/>
      <c r="AX952" s="270"/>
      <c r="AY952" s="270"/>
      <c r="AZ952" s="270"/>
      <c r="BA952" s="270">
        <f>IF(Table1[[#This Row],[Data de Início]]="","",YEAR(Table1[[#This Row],[Data de Início]]))</f>
        <v>2026</v>
      </c>
      <c r="BB952" s="270">
        <f>IF(Table1[[#This Row],[Data de Início]]="","",MONTH(Table1[[#This Row],[Data de Início]]))</f>
        <v>4</v>
      </c>
      <c r="BC952" s="616"/>
    </row>
    <row r="953" spans="2:55" x14ac:dyDescent="0.25">
      <c r="B953" s="489">
        <v>46121.659722222219</v>
      </c>
      <c r="C953" s="490">
        <v>46122.395833333336</v>
      </c>
      <c r="D953" s="477" cm="1">
        <f t="array" ref="D953">IFERROR(HorasUteisFabrica2Turnos(B953,C953), "")</f>
        <v>3.6666666669188999</v>
      </c>
      <c r="E953" s="478">
        <f t="shared" si="14"/>
        <v>693.81818177045341</v>
      </c>
      <c r="F953" s="479" t="s">
        <v>378</v>
      </c>
      <c r="G953" s="266" t="s">
        <v>1560</v>
      </c>
      <c r="H953" s="479"/>
      <c r="I953" s="482" t="s">
        <v>1726</v>
      </c>
      <c r="J953" s="482" t="s">
        <v>15</v>
      </c>
      <c r="K953" s="268">
        <v>2544</v>
      </c>
      <c r="L953" s="269" t="s">
        <v>296</v>
      </c>
      <c r="M953" s="511" t="str">
        <f>IFERROR(INDEX([1]Produtos!$C:$C,MATCH(L953,[1]Produtos!$B:$B,0)), "-")</f>
        <v>BODY SPLASH NÉCTAR DAS TAMARAS</v>
      </c>
      <c r="N953" s="511">
        <f>IFERROR(INDEX([1]Produtos!$E:$E,MATCH(L953,[1]Produtos!$B:$B,0)), "-")</f>
        <v>220</v>
      </c>
      <c r="O953" s="483" t="str">
        <f>IFERROR(INDEX([1]Produtos!$F:$F,MATCH(L953,[1]Produtos!$B:$B,0)), "-")</f>
        <v>ml</v>
      </c>
      <c r="P953" s="477" t="str">
        <f>IFERROR(INDEX([1]Produtos!$G:$G,MATCH(L953,[1]Produtos!$B:$B,0)), "-")</f>
        <v>MISS RÔSE</v>
      </c>
      <c r="Q953" s="483" t="str">
        <f>IFERROR(INDEX([1]Produtos!$H:$H,MATCH(L953,[1]Produtos!$B:$B,0)), "-")</f>
        <v>PERFUMARIA</v>
      </c>
      <c r="R953" s="270" t="str">
        <f>IFERROR(INDEX([1]Produtos!$I:$I,MATCH(L953,[1]Produtos!$B:$B,0)), "-")</f>
        <v>BODY SPLASH</v>
      </c>
      <c r="S953" s="270" t="str">
        <f>IFERROR(INDEX([1]Produtos!$J:$J,MATCH(L953,[1]Produtos!$B:$B,0)), "-")</f>
        <v>LÍQUIDO</v>
      </c>
      <c r="T953" s="484"/>
      <c r="U953" s="270"/>
      <c r="V953" s="270"/>
      <c r="W953" s="270"/>
      <c r="X953" s="270"/>
      <c r="Y953" s="270"/>
      <c r="Z953" s="270"/>
      <c r="AA953" s="270"/>
      <c r="AB953" s="270"/>
      <c r="AC953" s="270"/>
      <c r="AD953" s="270"/>
      <c r="AE953" s="270"/>
      <c r="AF953" s="270"/>
      <c r="AG953" s="270"/>
      <c r="AH953" s="270"/>
      <c r="AI953" s="270"/>
      <c r="AJ953" s="270"/>
      <c r="AK953" s="270"/>
      <c r="AL953" s="270"/>
      <c r="AM953" s="663"/>
      <c r="AN953" s="663"/>
      <c r="AO953" s="708" t="str">
        <f>IF(OR(Table1[[#This Row],[Início Setup Envase]]="",Table1[[#This Row],[Final Setup Envase]]=""),"",Table1[[#This Row],[Final Setup Envase]]-Table1[[#This Row],[Início Setup Envase]])</f>
        <v/>
      </c>
      <c r="AP953" s="663"/>
      <c r="AQ953" s="663"/>
      <c r="AR953" s="270"/>
      <c r="AS953" s="270"/>
      <c r="AT953" s="270"/>
      <c r="AU953" s="270"/>
      <c r="AV953" s="270"/>
      <c r="AW953" s="270"/>
      <c r="AX953" s="270"/>
      <c r="AY953" s="270"/>
      <c r="AZ953" s="270"/>
      <c r="BA953" s="270">
        <f>IF(Table1[[#This Row],[Data de Início]]="","",YEAR(Table1[[#This Row],[Data de Início]]))</f>
        <v>2026</v>
      </c>
      <c r="BB953" s="270">
        <f>IF(Table1[[#This Row],[Data de Início]]="","",MONTH(Table1[[#This Row],[Data de Início]]))</f>
        <v>4</v>
      </c>
      <c r="BC953" s="616"/>
    </row>
    <row r="954" spans="2:55" x14ac:dyDescent="0.25">
      <c r="B954" s="489">
        <v>46122.416666666664</v>
      </c>
      <c r="C954" s="490">
        <v>46122.606249999997</v>
      </c>
      <c r="D954" s="477" cm="1">
        <f t="array" ref="D954">IFERROR(HorasUteisFabrica2Turnos(B954,C954), "")</f>
        <v>3.5499999999883585</v>
      </c>
      <c r="E954" s="478">
        <f t="shared" si="14"/>
        <v>811.26760563646326</v>
      </c>
      <c r="F954" s="479" t="s">
        <v>377</v>
      </c>
      <c r="G954" s="266" t="s">
        <v>1610</v>
      </c>
      <c r="H954" s="479"/>
      <c r="I954" s="481" t="s">
        <v>1602</v>
      </c>
      <c r="J954" s="482" t="s">
        <v>15</v>
      </c>
      <c r="K954" s="268">
        <v>2880</v>
      </c>
      <c r="L954" s="269" t="s">
        <v>1273</v>
      </c>
      <c r="M954" s="511" t="str">
        <f>IFERROR(INDEX([1]Produtos!$C:$C,MATCH(L954,[1]Produtos!$B:$B,0)), "-")</f>
        <v>BODY SPLASH LEAO DO DESERTO BOURBON 200ml</v>
      </c>
      <c r="N954" s="511">
        <f>IFERROR(INDEX([1]Produtos!$E:$E,MATCH(L954,[1]Produtos!$B:$B,0)), "-")</f>
        <v>215</v>
      </c>
      <c r="O954" s="483" t="str">
        <f>IFERROR(INDEX([1]Produtos!$F:$F,MATCH(L954,[1]Produtos!$B:$B,0)), "-")</f>
        <v>ml</v>
      </c>
      <c r="P954" s="483" t="str">
        <f>IFERROR(INDEX([1]Produtos!$G:$G,MATCH(L954,[1]Produtos!$B:$B,0)), "-")</f>
        <v>MISS RÔSE</v>
      </c>
      <c r="Q954" s="483" t="str">
        <f>IFERROR(INDEX([1]Produtos!$H:$H,MATCH(L954,[1]Produtos!$B:$B,0)), "-")</f>
        <v>PERFUMARIA</v>
      </c>
      <c r="R954" s="270" t="str">
        <f>IFERROR(INDEX([1]Produtos!$I:$I,MATCH(L954,[1]Produtos!$B:$B,0)), "-")</f>
        <v>BODY SPLASH</v>
      </c>
      <c r="S954" s="270" t="str">
        <f>IFERROR(INDEX([1]Produtos!$J:$J,MATCH(L954,[1]Produtos!$B:$B,0)), "-")</f>
        <v>LÍQUIDO</v>
      </c>
      <c r="T954" s="484"/>
      <c r="U954" s="270"/>
      <c r="V954" s="270"/>
      <c r="W954" s="270"/>
      <c r="X954" s="270"/>
      <c r="Y954" s="270"/>
      <c r="Z954" s="270"/>
      <c r="AA954" s="270"/>
      <c r="AB954" s="270"/>
      <c r="AC954" s="270"/>
      <c r="AD954" s="270"/>
      <c r="AE954" s="270"/>
      <c r="AF954" s="270"/>
      <c r="AG954" s="270"/>
      <c r="AH954" s="270"/>
      <c r="AI954" s="270"/>
      <c r="AJ954" s="270"/>
      <c r="AK954" s="270"/>
      <c r="AL954" s="270"/>
      <c r="AM954" s="663"/>
      <c r="AN954" s="663"/>
      <c r="AO954" s="708" t="str">
        <f>IF(OR(Table1[[#This Row],[Início Setup Envase]]="",Table1[[#This Row],[Final Setup Envase]]=""),"",Table1[[#This Row],[Final Setup Envase]]-Table1[[#This Row],[Início Setup Envase]])</f>
        <v/>
      </c>
      <c r="AP954" s="663"/>
      <c r="AQ954" s="663"/>
      <c r="AR954" s="270"/>
      <c r="AS954" s="270"/>
      <c r="AT954" s="270"/>
      <c r="AU954" s="270"/>
      <c r="AV954" s="270"/>
      <c r="AW954" s="270"/>
      <c r="AX954" s="270"/>
      <c r="AY954" s="270"/>
      <c r="AZ954" s="270"/>
      <c r="BA954" s="270">
        <f>IF(Table1[[#This Row],[Data de Início]]="","",YEAR(Table1[[#This Row],[Data de Início]]))</f>
        <v>2026</v>
      </c>
      <c r="BB954" s="270">
        <f>IF(Table1[[#This Row],[Data de Início]]="","",MONTH(Table1[[#This Row],[Data de Início]]))</f>
        <v>4</v>
      </c>
      <c r="BC954" s="616"/>
    </row>
    <row r="955" spans="2:55" x14ac:dyDescent="0.25">
      <c r="B955" s="489">
        <v>46122.606249999997</v>
      </c>
      <c r="C955" s="490">
        <v>46125.400694444441</v>
      </c>
      <c r="D955" s="477" cm="1">
        <f t="array" ref="D955">IFERROR(HorasUteisFabrica2Turnos(B955,C955), "")</f>
        <v>4.0666666666511446</v>
      </c>
      <c r="E955" s="478">
        <f t="shared" si="14"/>
        <v>607.62295082199137</v>
      </c>
      <c r="F955" s="479" t="s">
        <v>377</v>
      </c>
      <c r="G955" s="266" t="s">
        <v>1610</v>
      </c>
      <c r="H955" s="479"/>
      <c r="I955" s="481" t="s">
        <v>1614</v>
      </c>
      <c r="J955" s="482" t="s">
        <v>15</v>
      </c>
      <c r="K955" s="268">
        <v>2471</v>
      </c>
      <c r="L955" s="269" t="s">
        <v>1273</v>
      </c>
      <c r="M955" s="511" t="str">
        <f>IFERROR(INDEX([1]Produtos!$C:$C,MATCH(L955,[1]Produtos!$B:$B,0)), "-")</f>
        <v>BODY SPLASH LEAO DO DESERTO BOURBON 200ml</v>
      </c>
      <c r="N955" s="511">
        <f>IFERROR(INDEX([1]Produtos!$E:$E,MATCH(L955,[1]Produtos!$B:$B,0)), "-")</f>
        <v>215</v>
      </c>
      <c r="O955" s="483" t="str">
        <f>IFERROR(INDEX([1]Produtos!$F:$F,MATCH(L955,[1]Produtos!$B:$B,0)), "-")</f>
        <v>ml</v>
      </c>
      <c r="P955" s="483" t="str">
        <f>IFERROR(INDEX([1]Produtos!$G:$G,MATCH(L955,[1]Produtos!$B:$B,0)), "-")</f>
        <v>MISS RÔSE</v>
      </c>
      <c r="Q955" s="483" t="str">
        <f>IFERROR(INDEX([1]Produtos!$H:$H,MATCH(L955,[1]Produtos!$B:$B,0)), "-")</f>
        <v>PERFUMARIA</v>
      </c>
      <c r="R955" s="270" t="str">
        <f>IFERROR(INDEX([1]Produtos!$I:$I,MATCH(L955,[1]Produtos!$B:$B,0)), "-")</f>
        <v>BODY SPLASH</v>
      </c>
      <c r="S955" s="270" t="str">
        <f>IFERROR(INDEX([1]Produtos!$J:$J,MATCH(L955,[1]Produtos!$B:$B,0)), "-")</f>
        <v>LÍQUIDO</v>
      </c>
      <c r="T955" s="484"/>
      <c r="U955" s="263"/>
      <c r="V955" s="264"/>
      <c r="W955" s="265"/>
      <c r="X955" s="266"/>
      <c r="Y955" s="266"/>
      <c r="Z955" s="267"/>
      <c r="AA955" s="268"/>
      <c r="AB955" s="269"/>
      <c r="AC955" s="270"/>
      <c r="AD955" s="510"/>
      <c r="AE955" s="510"/>
      <c r="AF955" s="510"/>
      <c r="AG955" s="270"/>
      <c r="AH955" s="270"/>
      <c r="AI955" s="270"/>
      <c r="AJ955" s="270"/>
      <c r="AK955" s="270"/>
      <c r="AL955" s="616"/>
      <c r="AM955" s="663"/>
      <c r="AN955" s="663"/>
      <c r="AO955" s="708" t="str">
        <f>IF(OR(Table1[[#This Row],[Início Setup Envase]]="",Table1[[#This Row],[Final Setup Envase]]=""),"",Table1[[#This Row],[Final Setup Envase]]-Table1[[#This Row],[Início Setup Envase]])</f>
        <v/>
      </c>
      <c r="AP955" s="663"/>
      <c r="AQ955" s="663"/>
      <c r="AR955" s="510"/>
      <c r="AS955" s="270"/>
      <c r="AT955" s="270"/>
      <c r="AU955" s="270"/>
      <c r="AV955" s="270"/>
      <c r="AW955" s="270"/>
      <c r="AX955" s="616"/>
      <c r="AY955" s="616"/>
      <c r="AZ955" s="616"/>
      <c r="BA955" s="730">
        <f>IF(Table1[[#This Row],[Data de Início]]="","",YEAR(Table1[[#This Row],[Data de Início]]))</f>
        <v>2026</v>
      </c>
      <c r="BB955" s="730">
        <f>IF(Table1[[#This Row],[Data de Início]]="","",MONTH(Table1[[#This Row],[Data de Início]]))</f>
        <v>4</v>
      </c>
      <c r="BC955" s="270"/>
    </row>
    <row r="956" spans="2:55" x14ac:dyDescent="0.25">
      <c r="B956" s="489">
        <v>46125.322916666664</v>
      </c>
      <c r="C956" s="490">
        <v>46125.429166666669</v>
      </c>
      <c r="D956" s="477" cm="1">
        <f t="array" ref="D956">IFERROR(HorasUteisFabrica2Turnos(B956,C956), "")</f>
        <v>2.5500000001047738</v>
      </c>
      <c r="E956" s="478">
        <f t="shared" si="14"/>
        <v>508.23529409676479</v>
      </c>
      <c r="F956" s="479" t="s">
        <v>378</v>
      </c>
      <c r="G956" s="266" t="s">
        <v>1046</v>
      </c>
      <c r="H956" s="479"/>
      <c r="I956" s="481" t="s">
        <v>1613</v>
      </c>
      <c r="J956" s="482" t="s">
        <v>15</v>
      </c>
      <c r="K956" s="268">
        <v>1296</v>
      </c>
      <c r="L956" s="269" t="s">
        <v>1172</v>
      </c>
      <c r="M956" s="511" t="str">
        <f>IFERROR(INDEX([1]Produtos!$C:$C,MATCH(L956,[1]Produtos!$B:$B,0)), "-")</f>
        <v>BODY MIST FLOR DO DESERTO</v>
      </c>
      <c r="N956" s="511">
        <f>IFERROR(INDEX([1]Produtos!$E:$E,MATCH(L956,[1]Produtos!$B:$B,0)), "-")</f>
        <v>250</v>
      </c>
      <c r="O956" s="483" t="str">
        <f>IFERROR(INDEX([1]Produtos!$F:$F,MATCH(L956,[1]Produtos!$B:$B,0)), "-")</f>
        <v>ml</v>
      </c>
      <c r="P956" s="483" t="str">
        <f>IFERROR(INDEX([1]Produtos!$G:$G,MATCH(L956,[1]Produtos!$B:$B,0)), "-")</f>
        <v>AMEERATI</v>
      </c>
      <c r="Q956" s="483" t="str">
        <f>IFERROR(INDEX([1]Produtos!$H:$H,MATCH(L956,[1]Produtos!$B:$B,0)), "-")</f>
        <v>PERFUMARIA</v>
      </c>
      <c r="R956" s="270" t="str">
        <f>IFERROR(INDEX([1]Produtos!$I:$I,MATCH(L956,[1]Produtos!$B:$B,0)), "-")</f>
        <v>BODY SPLASH</v>
      </c>
      <c r="S956" s="270" t="str">
        <f>IFERROR(INDEX([1]Produtos!$J:$J,MATCH(L956,[1]Produtos!$B:$B,0)), "-")</f>
        <v>LÍQUIDO</v>
      </c>
      <c r="T956" s="484"/>
      <c r="U956" s="263"/>
      <c r="V956" s="264"/>
      <c r="W956" s="265"/>
      <c r="X956" s="266"/>
      <c r="Y956" s="266"/>
      <c r="Z956" s="267"/>
      <c r="AA956" s="268"/>
      <c r="AB956" s="269"/>
      <c r="AC956" s="270"/>
      <c r="AD956" s="510"/>
      <c r="AE956" s="510"/>
      <c r="AF956" s="510"/>
      <c r="AG956" s="270"/>
      <c r="AH956" s="270"/>
      <c r="AI956" s="270"/>
      <c r="AJ956" s="270"/>
      <c r="AK956" s="270"/>
      <c r="AL956" s="616"/>
      <c r="AM956" s="663"/>
      <c r="AN956" s="663"/>
      <c r="AO956" s="708" t="str">
        <f>IF(OR(Table1[[#This Row],[Início Setup Envase]]="",Table1[[#This Row],[Final Setup Envase]]=""),"",Table1[[#This Row],[Final Setup Envase]]-Table1[[#This Row],[Início Setup Envase]])</f>
        <v/>
      </c>
      <c r="AP956" s="663"/>
      <c r="AQ956" s="663"/>
      <c r="AR956" s="510"/>
      <c r="AS956" s="270"/>
      <c r="AT956" s="270"/>
      <c r="AU956" s="270"/>
      <c r="AV956" s="270"/>
      <c r="AW956" s="270"/>
      <c r="AX956" s="616"/>
      <c r="AY956" s="616"/>
      <c r="AZ956" s="616"/>
      <c r="BA956" s="730">
        <f>IF(Table1[[#This Row],[Data de Início]]="","",YEAR(Table1[[#This Row],[Data de Início]]))</f>
        <v>2026</v>
      </c>
      <c r="BB956" s="730">
        <f>IF(Table1[[#This Row],[Data de Início]]="","",MONTH(Table1[[#This Row],[Data de Início]]))</f>
        <v>4</v>
      </c>
      <c r="BC956" s="270"/>
    </row>
    <row r="957" spans="2:55" x14ac:dyDescent="0.25">
      <c r="B957" s="489">
        <v>46125.429166666669</v>
      </c>
      <c r="C957" s="490">
        <v>46125.541666666664</v>
      </c>
      <c r="D957" s="477" cm="1">
        <f t="array" ref="D957">IFERROR(HorasUteisFabrica2Turnos(B957,C957), "")</f>
        <v>2.6999999998952262</v>
      </c>
      <c r="E957" s="478">
        <f t="shared" si="14"/>
        <v>444.44444446169115</v>
      </c>
      <c r="F957" s="479" t="s">
        <v>377</v>
      </c>
      <c r="G957" s="266" t="s">
        <v>1046</v>
      </c>
      <c r="H957" s="479"/>
      <c r="I957" s="481" t="s">
        <v>1612</v>
      </c>
      <c r="J957" s="482" t="s">
        <v>15</v>
      </c>
      <c r="K957" s="268">
        <v>1200</v>
      </c>
      <c r="L957" s="269" t="s">
        <v>1172</v>
      </c>
      <c r="M957" s="511" t="str">
        <f>IFERROR(INDEX([1]Produtos!$C:$C,MATCH(L957,[1]Produtos!$B:$B,0)), "-")</f>
        <v>BODY MIST FLOR DO DESERTO</v>
      </c>
      <c r="N957" s="511">
        <f>IFERROR(INDEX([1]Produtos!$E:$E,MATCH(L957,[1]Produtos!$B:$B,0)), "-")</f>
        <v>250</v>
      </c>
      <c r="O957" s="483" t="str">
        <f>IFERROR(INDEX([1]Produtos!$F:$F,MATCH(L957,[1]Produtos!$B:$B,0)), "-")</f>
        <v>ml</v>
      </c>
      <c r="P957" s="483" t="str">
        <f>IFERROR(INDEX([1]Produtos!$G:$G,MATCH(L957,[1]Produtos!$B:$B,0)), "-")</f>
        <v>AMEERATI</v>
      </c>
      <c r="Q957" s="483" t="str">
        <f>IFERROR(INDEX([1]Produtos!$H:$H,MATCH(L957,[1]Produtos!$B:$B,0)), "-")</f>
        <v>PERFUMARIA</v>
      </c>
      <c r="R957" s="270" t="str">
        <f>IFERROR(INDEX([1]Produtos!$I:$I,MATCH(L957,[1]Produtos!$B:$B,0)), "-")</f>
        <v>BODY SPLASH</v>
      </c>
      <c r="S957" s="270" t="str">
        <f>IFERROR(INDEX([1]Produtos!$J:$J,MATCH(L957,[1]Produtos!$B:$B,0)), "-")</f>
        <v>LÍQUIDO</v>
      </c>
      <c r="T957" s="484"/>
      <c r="U957" s="263"/>
      <c r="V957" s="264"/>
      <c r="W957" s="265"/>
      <c r="X957" s="266"/>
      <c r="Y957" s="266"/>
      <c r="Z957" s="267"/>
      <c r="AA957" s="268"/>
      <c r="AB957" s="269"/>
      <c r="AC957" s="270"/>
      <c r="AD957" s="510"/>
      <c r="AE957" s="510"/>
      <c r="AF957" s="510"/>
      <c r="AG957" s="270"/>
      <c r="AH957" s="270"/>
      <c r="AI957" s="270"/>
      <c r="AJ957" s="270"/>
      <c r="AK957" s="270"/>
      <c r="AL957" s="616"/>
      <c r="AM957" s="663"/>
      <c r="AN957" s="663"/>
      <c r="AO957" s="708" t="str">
        <f>IF(OR(Table1[[#This Row],[Início Setup Envase]]="",Table1[[#This Row],[Final Setup Envase]]=""),"",Table1[[#This Row],[Final Setup Envase]]-Table1[[#This Row],[Início Setup Envase]])</f>
        <v/>
      </c>
      <c r="AP957" s="663"/>
      <c r="AQ957" s="663"/>
      <c r="AR957" s="510"/>
      <c r="AS957" s="270"/>
      <c r="AT957" s="270"/>
      <c r="AU957" s="270"/>
      <c r="AV957" s="270"/>
      <c r="AW957" s="270"/>
      <c r="AX957" s="616"/>
      <c r="AY957" s="616"/>
      <c r="AZ957" s="616"/>
      <c r="BA957" s="730">
        <f>IF(Table1[[#This Row],[Data de Início]]="","",YEAR(Table1[[#This Row],[Data de Início]]))</f>
        <v>2026</v>
      </c>
      <c r="BB957" s="730">
        <f>IF(Table1[[#This Row],[Data de Início]]="","",MONTH(Table1[[#This Row],[Data de Início]]))</f>
        <v>4</v>
      </c>
      <c r="BC957" s="270"/>
    </row>
    <row r="958" spans="2:55" x14ac:dyDescent="0.25">
      <c r="B958" s="489">
        <v>46125.541666666664</v>
      </c>
      <c r="C958" s="490">
        <v>46125.664583333331</v>
      </c>
      <c r="D958" s="477" cm="1">
        <f t="array" ref="D958">IFERROR(HorasUteisFabrica2Turnos(B958,C958), "")</f>
        <v>2.9500000000116415</v>
      </c>
      <c r="E958" s="478">
        <f t="shared" si="14"/>
        <v>829.83050847130153</v>
      </c>
      <c r="F958" s="479" t="s">
        <v>377</v>
      </c>
      <c r="G958" s="266" t="s">
        <v>1610</v>
      </c>
      <c r="H958" s="479"/>
      <c r="I958" s="481" t="s">
        <v>1609</v>
      </c>
      <c r="J958" s="482" t="s">
        <v>15</v>
      </c>
      <c r="K958" s="268">
        <v>2448</v>
      </c>
      <c r="L958" s="269" t="s">
        <v>1325</v>
      </c>
      <c r="M958" s="511" t="str">
        <f>IFERROR(INDEX([1]Produtos!$C:$C,MATCH(L958,[1]Produtos!$B:$B,0)), "-")</f>
        <v>BODY SPLASH ROSA RAINHA 200ml</v>
      </c>
      <c r="N958" s="510">
        <f>IFERROR(INDEX([1]Produtos!$E:$E,MATCH(L958,[1]Produtos!$B:$B,0)), "-")</f>
        <v>215</v>
      </c>
      <c r="O958" s="270" t="str">
        <f>IFERROR(INDEX([1]Produtos!$F:$F,MATCH(L958,[1]Produtos!$B:$B,0)), "-")</f>
        <v>ml</v>
      </c>
      <c r="P958" s="270" t="str">
        <f>IFERROR(INDEX([1]Produtos!$G:$G,MATCH(L958,[1]Produtos!$B:$B,0)), "-")</f>
        <v>MISS RÔSE</v>
      </c>
      <c r="Q958" s="270" t="str">
        <f>IFERROR(INDEX([1]Produtos!$H:$H,MATCH(L958,[1]Produtos!$B:$B,0)), "-")</f>
        <v>PERFUMARIA</v>
      </c>
      <c r="R958" s="270" t="str">
        <f>IFERROR(INDEX([1]Produtos!$I:$I,MATCH(L958,[1]Produtos!$B:$B,0)), "-")</f>
        <v>BODY SPLASH</v>
      </c>
      <c r="S958" s="270" t="str">
        <f>IFERROR(INDEX([1]Produtos!$J:$J,MATCH(L958,[1]Produtos!$B:$B,0)), "-")</f>
        <v>LÍQUIDO</v>
      </c>
      <c r="T958" s="475"/>
      <c r="U958" s="263"/>
      <c r="V958" s="264"/>
      <c r="W958" s="265"/>
      <c r="X958" s="266"/>
      <c r="Y958" s="266"/>
      <c r="Z958" s="267"/>
      <c r="AA958" s="268"/>
      <c r="AB958" s="269"/>
      <c r="AC958" s="270"/>
      <c r="AD958" s="510"/>
      <c r="AE958" s="510"/>
      <c r="AF958" s="510"/>
      <c r="AG958" s="270"/>
      <c r="AH958" s="270"/>
      <c r="AI958" s="270"/>
      <c r="AJ958" s="270"/>
      <c r="AK958" s="270"/>
      <c r="AL958" s="616"/>
      <c r="AM958" s="663"/>
      <c r="AN958" s="663"/>
      <c r="AO958" s="708" t="str">
        <f>IF(OR(Table1[[#This Row],[Início Setup Envase]]="",Table1[[#This Row],[Final Setup Envase]]=""),"",Table1[[#This Row],[Final Setup Envase]]-Table1[[#This Row],[Início Setup Envase]])</f>
        <v/>
      </c>
      <c r="AP958" s="663"/>
      <c r="AQ958" s="663"/>
      <c r="AR958" s="510"/>
      <c r="AS958" s="270"/>
      <c r="AT958" s="270"/>
      <c r="AU958" s="270"/>
      <c r="AV958" s="270"/>
      <c r="AW958" s="270"/>
      <c r="AX958" s="616"/>
      <c r="AY958" s="616"/>
      <c r="AZ958" s="616"/>
      <c r="BA958" s="730">
        <f>IF(Table1[[#This Row],[Data de Início]]="","",YEAR(Table1[[#This Row],[Data de Início]]))</f>
        <v>2026</v>
      </c>
      <c r="BB958" s="730">
        <f>IF(Table1[[#This Row],[Data de Início]]="","",MONTH(Table1[[#This Row],[Data de Início]]))</f>
        <v>4</v>
      </c>
      <c r="BC958" s="270"/>
    </row>
    <row r="959" spans="2:55" x14ac:dyDescent="0.25">
      <c r="B959" s="489">
        <v>46125.567361111112</v>
      </c>
      <c r="C959" s="490">
        <v>46125.676388888889</v>
      </c>
      <c r="D959" s="477" cm="1">
        <f t="array" ref="D959">IFERROR(HorasUteisFabrica2Turnos(B959,C959), "")</f>
        <v>2.6166666666395031</v>
      </c>
      <c r="E959" s="478">
        <f t="shared" si="14"/>
        <v>953.88535032837365</v>
      </c>
      <c r="F959" s="479" t="s">
        <v>378</v>
      </c>
      <c r="G959" s="266" t="s">
        <v>1560</v>
      </c>
      <c r="H959" s="479"/>
      <c r="I959" s="481" t="s">
        <v>1611</v>
      </c>
      <c r="J959" s="482" t="s">
        <v>15</v>
      </c>
      <c r="K959" s="268">
        <v>2496</v>
      </c>
      <c r="L959" s="269" t="s">
        <v>214</v>
      </c>
      <c r="M959" s="511" t="str">
        <f>IFERROR(INDEX([1]Produtos!$C:$C,MATCH(L959,[1]Produtos!$B:$B,0)), "-")</f>
        <v>BODY SPLASH ECLIPSE DOURADO</v>
      </c>
      <c r="N959" s="511">
        <f>IFERROR(INDEX([1]Produtos!$E:$E,MATCH(L959,[1]Produtos!$B:$B,0)), "-")</f>
        <v>220</v>
      </c>
      <c r="O959" s="483" t="str">
        <f>IFERROR(INDEX([1]Produtos!$F:$F,MATCH(L959,[1]Produtos!$B:$B,0)), "-")</f>
        <v>ml</v>
      </c>
      <c r="P959" s="483" t="str">
        <f>IFERROR(INDEX([1]Produtos!$G:$G,MATCH(L959,[1]Produtos!$B:$B,0)), "-")</f>
        <v>MISS RÔSE</v>
      </c>
      <c r="Q959" s="483" t="str">
        <f>IFERROR(INDEX([1]Produtos!$H:$H,MATCH(L959,[1]Produtos!$B:$B,0)), "-")</f>
        <v>PERFUMARIA</v>
      </c>
      <c r="R959" s="270" t="str">
        <f>IFERROR(INDEX([1]Produtos!$I:$I,MATCH(L959,[1]Produtos!$B:$B,0)), "-")</f>
        <v>BODY SPLASH</v>
      </c>
      <c r="S959" s="270" t="str">
        <f>IFERROR(INDEX([1]Produtos!$J:$J,MATCH(L959,[1]Produtos!$B:$B,0)), "-")</f>
        <v>LÍQUIDO</v>
      </c>
      <c r="T959" s="484"/>
      <c r="U959" s="263"/>
      <c r="V959" s="264"/>
      <c r="W959" s="265"/>
      <c r="X959" s="266"/>
      <c r="Y959" s="266"/>
      <c r="Z959" s="267"/>
      <c r="AA959" s="268"/>
      <c r="AB959" s="269"/>
      <c r="AC959" s="270"/>
      <c r="AD959" s="510"/>
      <c r="AE959" s="510"/>
      <c r="AF959" s="510"/>
      <c r="AG959" s="270"/>
      <c r="AH959" s="270"/>
      <c r="AI959" s="270"/>
      <c r="AJ959" s="270"/>
      <c r="AK959" s="270"/>
      <c r="AL959" s="616"/>
      <c r="AM959" s="663"/>
      <c r="AN959" s="663"/>
      <c r="AO959" s="708" t="str">
        <f>IF(OR(Table1[[#This Row],[Início Setup Envase]]="",Table1[[#This Row],[Final Setup Envase]]=""),"",Table1[[#This Row],[Final Setup Envase]]-Table1[[#This Row],[Início Setup Envase]])</f>
        <v/>
      </c>
      <c r="AP959" s="663"/>
      <c r="AQ959" s="663"/>
      <c r="AR959" s="510"/>
      <c r="AS959" s="270"/>
      <c r="AT959" s="270"/>
      <c r="AU959" s="270"/>
      <c r="AV959" s="270"/>
      <c r="AW959" s="270"/>
      <c r="AX959" s="616"/>
      <c r="AY959" s="616"/>
      <c r="AZ959" s="616"/>
      <c r="BA959" s="730">
        <f>IF(Table1[[#This Row],[Data de Início]]="","",YEAR(Table1[[#This Row],[Data de Início]]))</f>
        <v>2026</v>
      </c>
      <c r="BB959" s="730">
        <f>IF(Table1[[#This Row],[Data de Início]]="","",MONTH(Table1[[#This Row],[Data de Início]]))</f>
        <v>4</v>
      </c>
      <c r="BC959" s="270"/>
    </row>
    <row r="960" spans="2:55" x14ac:dyDescent="0.25">
      <c r="B960" s="489">
        <v>46125.664583333331</v>
      </c>
      <c r="C960" s="490">
        <v>46126.397916666669</v>
      </c>
      <c r="D960" s="477" cm="1">
        <f t="array" ref="D960">IFERROR(HorasUteisFabrica2Turnos(B960,C960), "")</f>
        <v>3.6000000002095476</v>
      </c>
      <c r="E960" s="478">
        <f t="shared" si="14"/>
        <v>714.99999995838152</v>
      </c>
      <c r="F960" s="479" t="s">
        <v>377</v>
      </c>
      <c r="G960" s="266" t="s">
        <v>1610</v>
      </c>
      <c r="H960" s="480"/>
      <c r="I960" s="481" t="s">
        <v>1640</v>
      </c>
      <c r="J960" s="482" t="s">
        <v>15</v>
      </c>
      <c r="K960" s="268">
        <v>2574</v>
      </c>
      <c r="L960" s="269" t="s">
        <v>1325</v>
      </c>
      <c r="M960" s="511" t="str">
        <f>IFERROR(INDEX([1]Produtos!$C:$C,MATCH(L960,[1]Produtos!$B:$B,0)), "-")</f>
        <v>BODY SPLASH ROSA RAINHA 200ml</v>
      </c>
      <c r="N960" s="511">
        <f>IFERROR(INDEX([1]Produtos!$E:$E,MATCH(L960,[1]Produtos!$B:$B,0)), "-")</f>
        <v>215</v>
      </c>
      <c r="O960" s="483" t="str">
        <f>IFERROR(INDEX([1]Produtos!$F:$F,MATCH(L960,[1]Produtos!$B:$B,0)), "-")</f>
        <v>ml</v>
      </c>
      <c r="P960" s="483" t="str">
        <f>IFERROR(INDEX([1]Produtos!$G:$G,MATCH(L960,[1]Produtos!$B:$B,0)), "-")</f>
        <v>MISS RÔSE</v>
      </c>
      <c r="Q960" s="483" t="str">
        <f>IFERROR(INDEX([1]Produtos!$H:$H,MATCH(L960,[1]Produtos!$B:$B,0)), "-")</f>
        <v>PERFUMARIA</v>
      </c>
      <c r="R960" s="270" t="str">
        <f>IFERROR(INDEX([1]Produtos!$I:$I,MATCH(L960,[1]Produtos!$B:$B,0)), "-")</f>
        <v>BODY SPLASH</v>
      </c>
      <c r="S960" s="270" t="str">
        <f>IFERROR(INDEX([1]Produtos!$J:$J,MATCH(L960,[1]Produtos!$B:$B,0)), "-")</f>
        <v>LÍQUIDO</v>
      </c>
      <c r="T960" s="484"/>
      <c r="U960" s="263"/>
      <c r="V960" s="264"/>
      <c r="W960" s="265"/>
      <c r="X960" s="266"/>
      <c r="Y960" s="266"/>
      <c r="Z960" s="267"/>
      <c r="AA960" s="268"/>
      <c r="AB960" s="269"/>
      <c r="AC960" s="270"/>
      <c r="AD960" s="510"/>
      <c r="AE960" s="510"/>
      <c r="AF960" s="510"/>
      <c r="AG960" s="270"/>
      <c r="AH960" s="270"/>
      <c r="AI960" s="270"/>
      <c r="AJ960" s="270"/>
      <c r="AK960" s="270"/>
      <c r="AL960" s="616"/>
      <c r="AM960" s="663"/>
      <c r="AN960" s="663"/>
      <c r="AO960" s="708" t="str">
        <f>IF(OR(Table1[[#This Row],[Início Setup Envase]]="",Table1[[#This Row],[Final Setup Envase]]=""),"",Table1[[#This Row],[Final Setup Envase]]-Table1[[#This Row],[Início Setup Envase]])</f>
        <v/>
      </c>
      <c r="AP960" s="663"/>
      <c r="AQ960" s="663"/>
      <c r="AR960" s="510"/>
      <c r="AS960" s="270"/>
      <c r="AT960" s="270"/>
      <c r="AU960" s="270"/>
      <c r="AV960" s="270"/>
      <c r="AW960" s="270"/>
      <c r="AX960" s="616"/>
      <c r="AY960" s="616"/>
      <c r="AZ960" s="616"/>
      <c r="BA960" s="730">
        <f>IF(Table1[[#This Row],[Data de Início]]="","",YEAR(Table1[[#This Row],[Data de Início]]))</f>
        <v>2026</v>
      </c>
      <c r="BB960" s="730">
        <f>IF(Table1[[#This Row],[Data de Início]]="","",MONTH(Table1[[#This Row],[Data de Início]]))</f>
        <v>4</v>
      </c>
      <c r="BC960" s="270"/>
    </row>
    <row r="961" spans="2:55" x14ac:dyDescent="0.25">
      <c r="B961" s="489">
        <v>46125.676388888889</v>
      </c>
      <c r="C961" s="490">
        <v>46126.402777777781</v>
      </c>
      <c r="D961" s="477" cm="1">
        <f t="array" ref="D961">IFERROR(HorasUteisFabrica2Turnos(B961,C961), "")</f>
        <v>3.4333333335234784</v>
      </c>
      <c r="E961" s="478">
        <f t="shared" si="14"/>
        <v>754.95145626886881</v>
      </c>
      <c r="F961" s="479" t="s">
        <v>378</v>
      </c>
      <c r="G961" s="266" t="s">
        <v>1560</v>
      </c>
      <c r="H961" s="479"/>
      <c r="I961" s="481" t="s">
        <v>1608</v>
      </c>
      <c r="J961" s="482" t="s">
        <v>15</v>
      </c>
      <c r="K961" s="268">
        <v>2592</v>
      </c>
      <c r="L961" s="269" t="s">
        <v>214</v>
      </c>
      <c r="M961" s="511" t="str">
        <f>IFERROR(INDEX([1]Produtos!$C:$C,MATCH(L961,[1]Produtos!$B:$B,0)), "-")</f>
        <v>BODY SPLASH ECLIPSE DOURADO</v>
      </c>
      <c r="N961" s="511">
        <f>IFERROR(INDEX([1]Produtos!$E:$E,MATCH(L961,[1]Produtos!$B:$B,0)), "-")</f>
        <v>220</v>
      </c>
      <c r="O961" s="483" t="str">
        <f>IFERROR(INDEX([1]Produtos!$F:$F,MATCH(L961,[1]Produtos!$B:$B,0)), "-")</f>
        <v>ml</v>
      </c>
      <c r="P961" s="483" t="str">
        <f>IFERROR(INDEX([1]Produtos!$G:$G,MATCH(L961,[1]Produtos!$B:$B,0)), "-")</f>
        <v>MISS RÔSE</v>
      </c>
      <c r="Q961" s="483" t="str">
        <f>IFERROR(INDEX([1]Produtos!$H:$H,MATCH(L961,[1]Produtos!$B:$B,0)), "-")</f>
        <v>PERFUMARIA</v>
      </c>
      <c r="R961" s="270" t="str">
        <f>IFERROR(INDEX([1]Produtos!$I:$I,MATCH(L961,[1]Produtos!$B:$B,0)), "-")</f>
        <v>BODY SPLASH</v>
      </c>
      <c r="S961" s="270" t="str">
        <f>IFERROR(INDEX([1]Produtos!$J:$J,MATCH(L961,[1]Produtos!$B:$B,0)), "-")</f>
        <v>LÍQUIDO</v>
      </c>
      <c r="T961" s="484"/>
      <c r="U961" s="270"/>
      <c r="V961" s="270"/>
      <c r="W961" s="270"/>
      <c r="X961" s="270"/>
      <c r="Y961" s="270"/>
      <c r="Z961" s="270"/>
      <c r="AA961" s="270"/>
      <c r="AB961" s="270"/>
      <c r="AC961" s="270"/>
      <c r="AD961" s="270"/>
      <c r="AE961" s="270"/>
      <c r="AF961" s="270"/>
      <c r="AG961" s="270"/>
      <c r="AH961" s="270"/>
      <c r="AI961" s="270"/>
      <c r="AJ961" s="270"/>
      <c r="AK961" s="270"/>
      <c r="AL961" s="270"/>
      <c r="AM961" s="663"/>
      <c r="AN961" s="663"/>
      <c r="AO961" s="708" t="str">
        <f>IF(OR(Table1[[#This Row],[Início Setup Envase]]="",Table1[[#This Row],[Final Setup Envase]]=""),"",Table1[[#This Row],[Final Setup Envase]]-Table1[[#This Row],[Início Setup Envase]])</f>
        <v/>
      </c>
      <c r="AP961" s="663"/>
      <c r="AQ961" s="663"/>
      <c r="AR961" s="270"/>
      <c r="AS961" s="270"/>
      <c r="AT961" s="270"/>
      <c r="AU961" s="270"/>
      <c r="AV961" s="270"/>
      <c r="AW961" s="270"/>
      <c r="AX961" s="270"/>
      <c r="AY961" s="270"/>
      <c r="AZ961" s="270"/>
      <c r="BA961" s="270">
        <f>IF(Table1[[#This Row],[Data de Início]]="","",YEAR(Table1[[#This Row],[Data de Início]]))</f>
        <v>2026</v>
      </c>
      <c r="BB961" s="270">
        <f>IF(Table1[[#This Row],[Data de Início]]="","",MONTH(Table1[[#This Row],[Data de Início]]))</f>
        <v>4</v>
      </c>
      <c r="BC961" s="270"/>
    </row>
    <row r="962" spans="2:55" x14ac:dyDescent="0.25">
      <c r="B962" s="489">
        <v>46126.397916666669</v>
      </c>
      <c r="C962" s="490">
        <v>46126.438888888886</v>
      </c>
      <c r="D962" s="477" cm="1">
        <f t="array" ref="D962">IFERROR(HorasUteisFabrica2Turnos(B962,C962), "")</f>
        <v>0.98333333322079852</v>
      </c>
      <c r="E962" s="478">
        <f t="shared" si="14"/>
        <v>751.52542381481976</v>
      </c>
      <c r="F962" s="479" t="s">
        <v>377</v>
      </c>
      <c r="G962" s="266" t="s">
        <v>1610</v>
      </c>
      <c r="H962" s="480"/>
      <c r="I962" s="481" t="s">
        <v>1639</v>
      </c>
      <c r="J962" s="482" t="s">
        <v>15</v>
      </c>
      <c r="K962" s="268">
        <v>739</v>
      </c>
      <c r="L962" s="269" t="s">
        <v>1325</v>
      </c>
      <c r="M962" s="511" t="str">
        <f>IFERROR(INDEX([1]Produtos!$C:$C,MATCH(L962,[1]Produtos!$B:$B,0)), "-")</f>
        <v>BODY SPLASH ROSA RAINHA 200ml</v>
      </c>
      <c r="N962" s="511">
        <f>IFERROR(INDEX([1]Produtos!$E:$E,MATCH(L962,[1]Produtos!$B:$B,0)), "-")</f>
        <v>215</v>
      </c>
      <c r="O962" s="483" t="str">
        <f>IFERROR(INDEX([1]Produtos!$F:$F,MATCH(L962,[1]Produtos!$B:$B,0)), "-")</f>
        <v>ml</v>
      </c>
      <c r="P962" s="483" t="str">
        <f>IFERROR(INDEX([1]Produtos!$G:$G,MATCH(L962,[1]Produtos!$B:$B,0)), "-")</f>
        <v>MISS RÔSE</v>
      </c>
      <c r="Q962" s="483" t="str">
        <f>IFERROR(INDEX([1]Produtos!$H:$H,MATCH(L962,[1]Produtos!$B:$B,0)), "-")</f>
        <v>PERFUMARIA</v>
      </c>
      <c r="R962" s="270" t="str">
        <f>IFERROR(INDEX([1]Produtos!$I:$I,MATCH(L962,[1]Produtos!$B:$B,0)), "-")</f>
        <v>BODY SPLASH</v>
      </c>
      <c r="S962" s="270" t="str">
        <f>IFERROR(INDEX([1]Produtos!$J:$J,MATCH(L962,[1]Produtos!$B:$B,0)), "-")</f>
        <v>LÍQUIDO</v>
      </c>
      <c r="T962" s="484"/>
      <c r="U962" s="270"/>
      <c r="V962" s="270"/>
      <c r="W962" s="270"/>
      <c r="X962" s="270"/>
      <c r="Y962" s="270"/>
      <c r="Z962" s="270"/>
      <c r="AA962" s="270"/>
      <c r="AB962" s="270"/>
      <c r="AC962" s="270"/>
      <c r="AD962" s="270"/>
      <c r="AE962" s="270"/>
      <c r="AF962" s="270"/>
      <c r="AG962" s="270"/>
      <c r="AH962" s="270"/>
      <c r="AI962" s="270"/>
      <c r="AJ962" s="270"/>
      <c r="AK962" s="270"/>
      <c r="AL962" s="270"/>
      <c r="AM962" s="663"/>
      <c r="AN962" s="663"/>
      <c r="AO962" s="708" t="str">
        <f>IF(OR(Table1[[#This Row],[Início Setup Envase]]="",Table1[[#This Row],[Final Setup Envase]]=""),"",Table1[[#This Row],[Final Setup Envase]]-Table1[[#This Row],[Início Setup Envase]])</f>
        <v/>
      </c>
      <c r="AP962" s="663"/>
      <c r="AQ962" s="663"/>
      <c r="AR962" s="270"/>
      <c r="AS962" s="270"/>
      <c r="AT962" s="270"/>
      <c r="AU962" s="270"/>
      <c r="AV962" s="270"/>
      <c r="AW962" s="270"/>
      <c r="AX962" s="270"/>
      <c r="AY962" s="270"/>
      <c r="AZ962" s="270"/>
      <c r="BA962" s="270">
        <f>IF(Table1[[#This Row],[Data de Início]]="","",YEAR(Table1[[#This Row],[Data de Início]]))</f>
        <v>2026</v>
      </c>
      <c r="BB962" s="270">
        <f>IF(Table1[[#This Row],[Data de Início]]="","",MONTH(Table1[[#This Row],[Data de Início]]))</f>
        <v>4</v>
      </c>
      <c r="BC962" s="270"/>
    </row>
    <row r="963" spans="2:55" x14ac:dyDescent="0.25">
      <c r="B963" s="489">
        <v>46126.402777777781</v>
      </c>
      <c r="C963" s="490">
        <v>46126.579861111109</v>
      </c>
      <c r="D963" s="477" cm="1">
        <f t="array" ref="D963">IFERROR(HorasUteisFabrica2Turnos(B963,C963), "")</f>
        <v>3.2499999998835847</v>
      </c>
      <c r="E963" s="478">
        <f t="shared" ref="E963:E1026" si="15">IFERROR(K963/D963, "")</f>
        <v>827.07692310654909</v>
      </c>
      <c r="F963" s="479" t="s">
        <v>378</v>
      </c>
      <c r="G963" s="266" t="s">
        <v>1560</v>
      </c>
      <c r="H963" s="479"/>
      <c r="I963" s="482" t="s">
        <v>1822</v>
      </c>
      <c r="J963" s="482" t="s">
        <v>15</v>
      </c>
      <c r="K963" s="268">
        <v>2688</v>
      </c>
      <c r="L963" s="269" t="s">
        <v>214</v>
      </c>
      <c r="M963" s="511" t="str">
        <f>IFERROR(INDEX([1]Produtos!$C:$C,MATCH(L963,[1]Produtos!$B:$B,0)), "-")</f>
        <v>BODY SPLASH ECLIPSE DOURADO</v>
      </c>
      <c r="N963" s="511">
        <f>IFERROR(INDEX([1]Produtos!$E:$E,MATCH(L963,[1]Produtos!$B:$B,0)), "-")</f>
        <v>220</v>
      </c>
      <c r="O963" s="483" t="str">
        <f>IFERROR(INDEX([1]Produtos!$F:$F,MATCH(L963,[1]Produtos!$B:$B,0)), "-")</f>
        <v>ml</v>
      </c>
      <c r="P963" s="477" t="str">
        <f>IFERROR(INDEX([1]Produtos!$G:$G,MATCH(L963,[1]Produtos!$B:$B,0)), "-")</f>
        <v>MISS RÔSE</v>
      </c>
      <c r="Q963" s="483" t="str">
        <f>IFERROR(INDEX([1]Produtos!$H:$H,MATCH(L963,[1]Produtos!$B:$B,0)), "-")</f>
        <v>PERFUMARIA</v>
      </c>
      <c r="R963" s="270" t="str">
        <f>IFERROR(INDEX([1]Produtos!$I:$I,MATCH(L963,[1]Produtos!$B:$B,0)), "-")</f>
        <v>BODY SPLASH</v>
      </c>
      <c r="S963" s="270" t="str">
        <f>IFERROR(INDEX([1]Produtos!$J:$J,MATCH(L963,[1]Produtos!$B:$B,0)), "-")</f>
        <v>LÍQUIDO</v>
      </c>
      <c r="T963" s="484"/>
      <c r="U963" s="270"/>
      <c r="V963" s="270"/>
      <c r="W963" s="270"/>
      <c r="X963" s="270"/>
      <c r="Y963" s="270"/>
      <c r="Z963" s="270"/>
      <c r="AA963" s="270"/>
      <c r="AB963" s="270"/>
      <c r="AC963" s="270"/>
      <c r="AD963" s="270"/>
      <c r="AE963" s="270"/>
      <c r="AF963" s="270"/>
      <c r="AG963" s="270"/>
      <c r="AH963" s="270"/>
      <c r="AI963" s="270"/>
      <c r="AJ963" s="270"/>
      <c r="AK963" s="270"/>
      <c r="AL963" s="270"/>
      <c r="AM963" s="663"/>
      <c r="AN963" s="663"/>
      <c r="AO963" s="708" t="str">
        <f>IF(OR(Table1[[#This Row],[Início Setup Envase]]="",Table1[[#This Row],[Final Setup Envase]]=""),"",Table1[[#This Row],[Final Setup Envase]]-Table1[[#This Row],[Início Setup Envase]])</f>
        <v/>
      </c>
      <c r="AP963" s="663"/>
      <c r="AQ963" s="663"/>
      <c r="AR963" s="270"/>
      <c r="AS963" s="270"/>
      <c r="AT963" s="270"/>
      <c r="AU963" s="270"/>
      <c r="AV963" s="270"/>
      <c r="AW963" s="270"/>
      <c r="AX963" s="270"/>
      <c r="AY963" s="270"/>
      <c r="AZ963" s="270"/>
      <c r="BA963" s="270">
        <f>IF(Table1[[#This Row],[Data de Início]]="","",YEAR(Table1[[#This Row],[Data de Início]]))</f>
        <v>2026</v>
      </c>
      <c r="BB963" s="270">
        <f>IF(Table1[[#This Row],[Data de Início]]="","",MONTH(Table1[[#This Row],[Data de Início]]))</f>
        <v>4</v>
      </c>
      <c r="BC963" s="270"/>
    </row>
    <row r="964" spans="2:55" x14ac:dyDescent="0.25">
      <c r="B964" s="489">
        <v>46126.409722222219</v>
      </c>
      <c r="C964" s="633">
        <v>46127.423611111109</v>
      </c>
      <c r="D964" s="477" cm="1">
        <f t="array" ref="D964">IFERROR(HorasUteisFabrica2Turnos(B964,C964), "")</f>
        <v>9.3333333334885538</v>
      </c>
      <c r="E964" s="478">
        <f t="shared" si="15"/>
        <v>464.46428570656133</v>
      </c>
      <c r="F964" s="479" t="s">
        <v>377</v>
      </c>
      <c r="G964" s="266" t="s">
        <v>1436</v>
      </c>
      <c r="H964" s="480"/>
      <c r="I964" s="481" t="s">
        <v>1634</v>
      </c>
      <c r="J964" s="482" t="s">
        <v>15</v>
      </c>
      <c r="K964" s="268">
        <v>4335</v>
      </c>
      <c r="L964" s="269" t="s">
        <v>1630</v>
      </c>
      <c r="M964" s="511" t="str">
        <f>IFERROR(INDEX([1]Produtos!$C:$C,MATCH(L964,[1]Produtos!$B:$B,0)), "-")</f>
        <v xml:space="preserve"> BRUMA MATTE FIX 120ml</v>
      </c>
      <c r="N964" s="511">
        <f>IFERROR(INDEX([1]Produtos!$E:$E,MATCH(L964,[1]Produtos!$B:$B,0)), "-")</f>
        <v>120</v>
      </c>
      <c r="O964" s="483" t="str">
        <f>IFERROR(INDEX([1]Produtos!$F:$F,MATCH(L964,[1]Produtos!$B:$B,0)), "-")</f>
        <v>ml</v>
      </c>
      <c r="P964" s="483" t="str">
        <f>IFERROR(INDEX([1]Produtos!$G:$G,MATCH(L964,[1]Produtos!$B:$B,0)), "-")</f>
        <v>MISS RÔSE</v>
      </c>
      <c r="Q964" s="483" t="str">
        <f>IFERROR(INDEX([1]Produtos!$H:$H,MATCH(L964,[1]Produtos!$B:$B,0)), "-")</f>
        <v>MAQUIAGEM</v>
      </c>
      <c r="R964" s="270" t="str">
        <f>IFERROR(INDEX([1]Produtos!$I:$I,MATCH(L964,[1]Produtos!$B:$B,0)), "-")</f>
        <v>BRUMA</v>
      </c>
      <c r="S964" s="270" t="str">
        <f>IFERROR(INDEX([1]Produtos!$J:$J,MATCH(L964,[1]Produtos!$B:$B,0)), "-")</f>
        <v>LÍQUIDO</v>
      </c>
      <c r="T964" s="484"/>
      <c r="U964" s="270"/>
      <c r="V964" s="270"/>
      <c r="W964" s="270"/>
      <c r="X964" s="270"/>
      <c r="Y964" s="270"/>
      <c r="Z964" s="270"/>
      <c r="AA964" s="270"/>
      <c r="AB964" s="270"/>
      <c r="AC964" s="270"/>
      <c r="AD964" s="270"/>
      <c r="AE964" s="270"/>
      <c r="AF964" s="270"/>
      <c r="AG964" s="270"/>
      <c r="AH964" s="270"/>
      <c r="AI964" s="270"/>
      <c r="AJ964" s="270"/>
      <c r="AK964" s="270"/>
      <c r="AL964" s="270"/>
      <c r="AM964" s="663"/>
      <c r="AN964" s="663"/>
      <c r="AO964" s="708" t="str">
        <f>IF(OR(Table1[[#This Row],[Início Setup Envase]]="",Table1[[#This Row],[Final Setup Envase]]=""),"",Table1[[#This Row],[Final Setup Envase]]-Table1[[#This Row],[Início Setup Envase]])</f>
        <v/>
      </c>
      <c r="AP964" s="663"/>
      <c r="AQ964" s="663"/>
      <c r="AR964" s="270"/>
      <c r="AS964" s="270"/>
      <c r="AT964" s="270"/>
      <c r="AU964" s="270"/>
      <c r="AV964" s="270"/>
      <c r="AW964" s="270"/>
      <c r="AX964" s="270"/>
      <c r="AY964" s="270"/>
      <c r="AZ964" s="270"/>
      <c r="BA964" s="270">
        <f>IF(Table1[[#This Row],[Data de Início]]="","",YEAR(Table1[[#This Row],[Data de Início]]))</f>
        <v>2026</v>
      </c>
      <c r="BB964" s="270">
        <f>IF(Table1[[#This Row],[Data de Início]]="","",MONTH(Table1[[#This Row],[Data de Início]]))</f>
        <v>4</v>
      </c>
      <c r="BC964" s="270"/>
    </row>
    <row r="965" spans="2:55" x14ac:dyDescent="0.25">
      <c r="B965" s="489">
        <v>46126.579861111109</v>
      </c>
      <c r="C965" s="490">
        <v>46127.684027777781</v>
      </c>
      <c r="D965" s="477" cm="1">
        <f t="array" ref="D965">IFERROR(HorasUteisFabrica2Turnos(B965,C965), "")</f>
        <v>11.500000000232831</v>
      </c>
      <c r="E965" s="478">
        <f t="shared" si="15"/>
        <v>230.17391303881811</v>
      </c>
      <c r="F965" s="479" t="s">
        <v>378</v>
      </c>
      <c r="G965" s="266" t="s">
        <v>1560</v>
      </c>
      <c r="H965" s="479"/>
      <c r="I965" s="481" t="s">
        <v>1657</v>
      </c>
      <c r="J965" s="482" t="s">
        <v>15</v>
      </c>
      <c r="K965" s="268">
        <v>2647</v>
      </c>
      <c r="L965" s="269" t="s">
        <v>214</v>
      </c>
      <c r="M965" s="511" t="str">
        <f>IFERROR(INDEX([1]Produtos!$C:$C,MATCH(L965,[1]Produtos!$B:$B,0)), "-")</f>
        <v>BODY SPLASH ECLIPSE DOURADO</v>
      </c>
      <c r="N965" s="511">
        <f>IFERROR(INDEX([1]Produtos!$E:$E,MATCH(L965,[1]Produtos!$B:$B,0)), "-")</f>
        <v>220</v>
      </c>
      <c r="O965" s="483" t="str">
        <f>IFERROR(INDEX([1]Produtos!$F:$F,MATCH(L965,[1]Produtos!$B:$B,0)), "-")</f>
        <v>ml</v>
      </c>
      <c r="P965" s="483" t="str">
        <f>IFERROR(INDEX([1]Produtos!$G:$G,MATCH(L965,[1]Produtos!$B:$B,0)), "-")</f>
        <v>MISS RÔSE</v>
      </c>
      <c r="Q965" s="483" t="str">
        <f>IFERROR(INDEX([1]Produtos!$H:$H,MATCH(L965,[1]Produtos!$B:$B,0)), "-")</f>
        <v>PERFUMARIA</v>
      </c>
      <c r="R965" s="270" t="str">
        <f>IFERROR(INDEX([1]Produtos!$I:$I,MATCH(L965,[1]Produtos!$B:$B,0)), "-")</f>
        <v>BODY SPLASH</v>
      </c>
      <c r="S965" s="270" t="str">
        <f>IFERROR(INDEX([1]Produtos!$J:$J,MATCH(L965,[1]Produtos!$B:$B,0)), "-")</f>
        <v>LÍQUIDO</v>
      </c>
      <c r="T965" s="484"/>
      <c r="U965" s="270"/>
      <c r="V965" s="270"/>
      <c r="W965" s="270"/>
      <c r="X965" s="270"/>
      <c r="Y965" s="270"/>
      <c r="Z965" s="270"/>
      <c r="AA965" s="270"/>
      <c r="AB965" s="270"/>
      <c r="AC965" s="270"/>
      <c r="AD965" s="270"/>
      <c r="AE965" s="270"/>
      <c r="AF965" s="270"/>
      <c r="AG965" s="270"/>
      <c r="AH965" s="270"/>
      <c r="AI965" s="270"/>
      <c r="AJ965" s="270"/>
      <c r="AK965" s="270"/>
      <c r="AL965" s="270"/>
      <c r="AM965" s="663"/>
      <c r="AN965" s="663"/>
      <c r="AO965" s="708" t="str">
        <f>IF(OR(Table1[[#This Row],[Início Setup Envase]]="",Table1[[#This Row],[Final Setup Envase]]=""),"",Table1[[#This Row],[Final Setup Envase]]-Table1[[#This Row],[Início Setup Envase]])</f>
        <v/>
      </c>
      <c r="AP965" s="663"/>
      <c r="AQ965" s="663"/>
      <c r="AR965" s="270"/>
      <c r="AS965" s="270"/>
      <c r="AT965" s="270"/>
      <c r="AU965" s="270"/>
      <c r="AV965" s="270"/>
      <c r="AW965" s="270"/>
      <c r="AX965" s="270"/>
      <c r="AY965" s="270"/>
      <c r="AZ965" s="270"/>
      <c r="BA965" s="270">
        <f>IF(Table1[[#This Row],[Data de Início]]="","",YEAR(Table1[[#This Row],[Data de Início]]))</f>
        <v>2026</v>
      </c>
      <c r="BB965" s="270">
        <f>IF(Table1[[#This Row],[Data de Início]]="","",MONTH(Table1[[#This Row],[Data de Início]]))</f>
        <v>4</v>
      </c>
      <c r="BC965" s="270"/>
    </row>
    <row r="966" spans="2:55" x14ac:dyDescent="0.25">
      <c r="B966" s="489">
        <v>46126.605555555558</v>
      </c>
      <c r="C966" s="490">
        <v>46127.427083333336</v>
      </c>
      <c r="D966" s="477" cm="1">
        <f t="array" ref="D966">IFERROR(HorasUteisFabrica2Turnos(B966,C966), "")</f>
        <v>5.716666666790843</v>
      </c>
      <c r="E966" s="478">
        <f t="shared" si="15"/>
        <v>766.18075800084989</v>
      </c>
      <c r="F966" s="479" t="s">
        <v>377</v>
      </c>
      <c r="G966" s="266" t="s">
        <v>1436</v>
      </c>
      <c r="H966" s="480"/>
      <c r="I966" s="481" t="s">
        <v>1631</v>
      </c>
      <c r="J966" s="482" t="s">
        <v>15</v>
      </c>
      <c r="K966" s="268">
        <v>4380</v>
      </c>
      <c r="L966" s="269" t="s">
        <v>1630</v>
      </c>
      <c r="M966" s="511" t="str">
        <f>IFERROR(INDEX([1]Produtos!$C:$C,MATCH(L966,[1]Produtos!$B:$B,0)), "-")</f>
        <v xml:space="preserve"> BRUMA MATTE FIX 120ml</v>
      </c>
      <c r="N966" s="483">
        <f>IFERROR(INDEX([1]Produtos!$E:$E,MATCH(L966,[1]Produtos!$B:$B,0)), "-")</f>
        <v>120</v>
      </c>
      <c r="O966" s="483" t="str">
        <f>IFERROR(INDEX([1]Produtos!$F:$F,MATCH(L966,[1]Produtos!$B:$B,0)), "-")</f>
        <v>ml</v>
      </c>
      <c r="P966" s="483" t="str">
        <f>IFERROR(INDEX([1]Produtos!$G:$G,MATCH(L966,[1]Produtos!$B:$B,0)), "-")</f>
        <v>MISS RÔSE</v>
      </c>
      <c r="Q966" s="483" t="str">
        <f>IFERROR(INDEX([1]Produtos!$H:$H,MATCH(L966,[1]Produtos!$B:$B,0)), "-")</f>
        <v>MAQUIAGEM</v>
      </c>
      <c r="R966" s="270" t="str">
        <f>IFERROR(INDEX([1]Produtos!$I:$I,MATCH(L966,[1]Produtos!$B:$B,0)), "-")</f>
        <v>BRUMA</v>
      </c>
      <c r="S966" s="270" t="str">
        <f>IFERROR(INDEX([1]Produtos!$J:$J,MATCH(L966,[1]Produtos!$B:$B,0)), "-")</f>
        <v>LÍQUIDO</v>
      </c>
      <c r="T966" s="484"/>
      <c r="U966" s="270"/>
      <c r="V966" s="270"/>
      <c r="W966" s="270"/>
      <c r="X966" s="270"/>
      <c r="Y966" s="270"/>
      <c r="Z966" s="270"/>
      <c r="AA966" s="270"/>
      <c r="AB966" s="270"/>
      <c r="AC966" s="270"/>
      <c r="AD966" s="270"/>
      <c r="AE966" s="270"/>
      <c r="AF966" s="270"/>
      <c r="AG966" s="270"/>
      <c r="AH966" s="270"/>
      <c r="AI966" s="270"/>
      <c r="AJ966" s="270"/>
      <c r="AK966" s="270"/>
      <c r="AL966" s="270"/>
      <c r="AM966" s="663"/>
      <c r="AN966" s="663"/>
      <c r="AO966" s="708" t="str">
        <f>IF(OR(Table1[[#This Row],[Início Setup Envase]]="",Table1[[#This Row],[Final Setup Envase]]=""),"",Table1[[#This Row],[Final Setup Envase]]-Table1[[#This Row],[Início Setup Envase]])</f>
        <v/>
      </c>
      <c r="AP966" s="663"/>
      <c r="AQ966" s="663"/>
      <c r="AR966" s="270"/>
      <c r="AS966" s="270"/>
      <c r="AT966" s="270"/>
      <c r="AU966" s="270"/>
      <c r="AV966" s="270"/>
      <c r="AW966" s="270"/>
      <c r="AX966" s="270"/>
      <c r="AY966" s="270"/>
      <c r="AZ966" s="270"/>
      <c r="BA966" s="270">
        <f>IF(Table1[[#This Row],[Data de Início]]="","",YEAR(Table1[[#This Row],[Data de Início]]))</f>
        <v>2026</v>
      </c>
      <c r="BB966" s="270">
        <f>IF(Table1[[#This Row],[Data de Início]]="","",MONTH(Table1[[#This Row],[Data de Início]]))</f>
        <v>4</v>
      </c>
      <c r="BC966" s="270"/>
    </row>
    <row r="967" spans="2:55" x14ac:dyDescent="0.25">
      <c r="B967" s="489">
        <v>46128.298611111109</v>
      </c>
      <c r="C967" s="633">
        <v>46128.493055555555</v>
      </c>
      <c r="D967" s="477" cm="1">
        <f t="array" ref="D967">IFERROR(HorasUteisFabrica2Turnos(B967,C967), "")</f>
        <v>4.6666666666860692</v>
      </c>
      <c r="E967" s="478">
        <f t="shared" si="15"/>
        <v>944.99999999607098</v>
      </c>
      <c r="F967" s="479" t="s">
        <v>377</v>
      </c>
      <c r="G967" s="266" t="s">
        <v>1436</v>
      </c>
      <c r="H967" s="480"/>
      <c r="I967" s="481" t="s">
        <v>1633</v>
      </c>
      <c r="J967" s="482" t="s">
        <v>15</v>
      </c>
      <c r="K967" s="268">
        <v>4410</v>
      </c>
      <c r="L967" s="269" t="s">
        <v>1630</v>
      </c>
      <c r="M967" s="511" t="str">
        <f>IFERROR(INDEX([1]Produtos!$C:$C,MATCH(L967,[1]Produtos!$B:$B,0)), "-")</f>
        <v xml:space="preserve"> BRUMA MATTE FIX 120ml</v>
      </c>
      <c r="N967" s="483">
        <f>IFERROR(INDEX([1]Produtos!$E:$E,MATCH(L967,[1]Produtos!$B:$B,0)), "-")</f>
        <v>120</v>
      </c>
      <c r="O967" s="483" t="str">
        <f>IFERROR(INDEX([1]Produtos!$F:$F,MATCH(L967,[1]Produtos!$B:$B,0)), "-")</f>
        <v>ml</v>
      </c>
      <c r="P967" s="483" t="str">
        <f>IFERROR(INDEX([1]Produtos!$G:$G,MATCH(L967,[1]Produtos!$B:$B,0)), "-")</f>
        <v>MISS RÔSE</v>
      </c>
      <c r="Q967" s="483" t="str">
        <f>IFERROR(INDEX([1]Produtos!$H:$H,MATCH(L967,[1]Produtos!$B:$B,0)), "-")</f>
        <v>MAQUIAGEM</v>
      </c>
      <c r="R967" s="270" t="str">
        <f>IFERROR(INDEX([1]Produtos!$I:$I,MATCH(L967,[1]Produtos!$B:$B,0)), "-")</f>
        <v>BRUMA</v>
      </c>
      <c r="S967" s="270" t="str">
        <f>IFERROR(INDEX([1]Produtos!$J:$J,MATCH(L967,[1]Produtos!$B:$B,0)), "-")</f>
        <v>LÍQUIDO</v>
      </c>
      <c r="T967" s="484"/>
      <c r="U967" s="270"/>
      <c r="V967" s="270"/>
      <c r="W967" s="270"/>
      <c r="X967" s="270"/>
      <c r="Y967" s="270"/>
      <c r="Z967" s="270"/>
      <c r="AA967" s="270"/>
      <c r="AB967" s="270"/>
      <c r="AC967" s="270"/>
      <c r="AD967" s="270"/>
      <c r="AE967" s="270"/>
      <c r="AF967" s="270"/>
      <c r="AG967" s="270"/>
      <c r="AH967" s="270"/>
      <c r="AI967" s="270"/>
      <c r="AJ967" s="270"/>
      <c r="AK967" s="270"/>
      <c r="AL967" s="270"/>
      <c r="AM967" s="663"/>
      <c r="AN967" s="663"/>
      <c r="AO967" s="708" t="str">
        <f>IF(OR(Table1[[#This Row],[Início Setup Envase]]="",Table1[[#This Row],[Final Setup Envase]]=""),"",Table1[[#This Row],[Final Setup Envase]]-Table1[[#This Row],[Início Setup Envase]])</f>
        <v/>
      </c>
      <c r="AP967" s="663"/>
      <c r="AQ967" s="663"/>
      <c r="AR967" s="270"/>
      <c r="AS967" s="270"/>
      <c r="AT967" s="270"/>
      <c r="AU967" s="270"/>
      <c r="AV967" s="270"/>
      <c r="AW967" s="270"/>
      <c r="AX967" s="270"/>
      <c r="AY967" s="270"/>
      <c r="AZ967" s="270"/>
      <c r="BA967" s="270">
        <f>IF(Table1[[#This Row],[Data de Início]]="","",YEAR(Table1[[#This Row],[Data de Início]]))</f>
        <v>2026</v>
      </c>
      <c r="BB967" s="270">
        <f>IF(Table1[[#This Row],[Data de Início]]="","",MONTH(Table1[[#This Row],[Data de Início]]))</f>
        <v>4</v>
      </c>
      <c r="BC967" s="270"/>
    </row>
    <row r="968" spans="2:55" x14ac:dyDescent="0.25">
      <c r="B968" s="489">
        <v>46128.493055555555</v>
      </c>
      <c r="C968" s="490">
        <v>46129.396527777775</v>
      </c>
      <c r="D968" s="477" cm="1">
        <f t="array" ref="D968">IFERROR(HorasUteisFabrica2Turnos(B968,C968), "")</f>
        <v>6.683333333407063</v>
      </c>
      <c r="E968" s="478">
        <f t="shared" si="15"/>
        <v>700.24937655087842</v>
      </c>
      <c r="F968" s="479" t="s">
        <v>377</v>
      </c>
      <c r="G968" s="656" t="s">
        <v>1436</v>
      </c>
      <c r="H968" s="480"/>
      <c r="I968" s="481" t="s">
        <v>1632</v>
      </c>
      <c r="J968" s="482" t="s">
        <v>15</v>
      </c>
      <c r="K968" s="268">
        <v>4680</v>
      </c>
      <c r="L968" s="659" t="s">
        <v>1630</v>
      </c>
      <c r="M968" s="511" t="str">
        <f>IFERROR(INDEX([1]Produtos!$C:$C,MATCH(L968,[1]Produtos!$B:$B,0)), "-")</f>
        <v xml:space="preserve"> BRUMA MATTE FIX 120ml</v>
      </c>
      <c r="N968" s="511">
        <f>IFERROR(INDEX([1]Produtos!$E:$E,MATCH(L968,[1]Produtos!$B:$B,0)), "-")</f>
        <v>120</v>
      </c>
      <c r="O968" s="483" t="str">
        <f>IFERROR(INDEX([1]Produtos!$F:$F,MATCH(L968,[1]Produtos!$B:$B,0)), "-")</f>
        <v>ml</v>
      </c>
      <c r="P968" s="483" t="str">
        <f>IFERROR(INDEX([1]Produtos!$G:$G,MATCH(L968,[1]Produtos!$B:$B,0)), "-")</f>
        <v>MISS RÔSE</v>
      </c>
      <c r="Q968" s="483" t="str">
        <f>IFERROR(INDEX([1]Produtos!$H:$H,MATCH(L968,[1]Produtos!$B:$B,0)), "-")</f>
        <v>MAQUIAGEM</v>
      </c>
      <c r="R968" s="270" t="str">
        <f>IFERROR(INDEX([1]Produtos!$I:$I,MATCH(L968,[1]Produtos!$B:$B,0)), "-")</f>
        <v>BRUMA</v>
      </c>
      <c r="S968" s="270" t="str">
        <f>IFERROR(INDEX([1]Produtos!$J:$J,MATCH(L968,[1]Produtos!$B:$B,0)), "-")</f>
        <v>LÍQUIDO</v>
      </c>
      <c r="T968" s="484"/>
      <c r="U968" s="270"/>
      <c r="V968" s="270"/>
      <c r="W968" s="270"/>
      <c r="X968" s="270"/>
      <c r="Y968" s="270"/>
      <c r="Z968" s="270"/>
      <c r="AA968" s="270"/>
      <c r="AB968" s="270"/>
      <c r="AC968" s="270"/>
      <c r="AD968" s="270"/>
      <c r="AE968" s="270"/>
      <c r="AF968" s="270"/>
      <c r="AG968" s="270"/>
      <c r="AH968" s="270"/>
      <c r="AI968" s="270"/>
      <c r="AJ968" s="270"/>
      <c r="AK968" s="270"/>
      <c r="AL968" s="270"/>
      <c r="AM968" s="663"/>
      <c r="AN968" s="663"/>
      <c r="AO968" s="708" t="str">
        <f>IF(OR(Table1[[#This Row],[Início Setup Envase]]="",Table1[[#This Row],[Final Setup Envase]]=""),"",Table1[[#This Row],[Final Setup Envase]]-Table1[[#This Row],[Início Setup Envase]])</f>
        <v/>
      </c>
      <c r="AP968" s="663"/>
      <c r="AQ968" s="663"/>
      <c r="AR968" s="270"/>
      <c r="AS968" s="270"/>
      <c r="AT968" s="270"/>
      <c r="AU968" s="270"/>
      <c r="AV968" s="270"/>
      <c r="AW968" s="270"/>
      <c r="AX968" s="270"/>
      <c r="AY968" s="270"/>
      <c r="AZ968" s="270"/>
      <c r="BA968" s="270">
        <f>IF(Table1[[#This Row],[Data de Início]]="","",YEAR(Table1[[#This Row],[Data de Início]]))</f>
        <v>2026</v>
      </c>
      <c r="BB968" s="270">
        <f>IF(Table1[[#This Row],[Data de Início]]="","",MONTH(Table1[[#This Row],[Data de Início]]))</f>
        <v>4</v>
      </c>
      <c r="BC968" s="270"/>
    </row>
    <row r="969" spans="2:55" x14ac:dyDescent="0.25">
      <c r="B969" s="489">
        <v>46129.396527777775</v>
      </c>
      <c r="C969" s="633">
        <v>46133.320833333331</v>
      </c>
      <c r="D969" s="477" cm="1">
        <f t="array" ref="D969">IFERROR(HorasUteisFabrica2Turnos(B969,C969), "")</f>
        <v>15.183333333465271</v>
      </c>
      <c r="E969" s="478">
        <f t="shared" si="15"/>
        <v>292.4259055957026</v>
      </c>
      <c r="F969" s="479" t="s">
        <v>377</v>
      </c>
      <c r="G969" s="266" t="s">
        <v>1436</v>
      </c>
      <c r="H969" s="480"/>
      <c r="I969" s="481" t="s">
        <v>1629</v>
      </c>
      <c r="J969" s="482" t="s">
        <v>15</v>
      </c>
      <c r="K969" s="268">
        <v>4440</v>
      </c>
      <c r="L969" s="269" t="s">
        <v>1630</v>
      </c>
      <c r="M969" s="511" t="str">
        <f>IFERROR(INDEX([1]Produtos!$C:$C,MATCH(L969,[1]Produtos!$B:$B,0)), "-")</f>
        <v xml:space="preserve"> BRUMA MATTE FIX 120ml</v>
      </c>
      <c r="N969" s="511">
        <f>IFERROR(INDEX([1]Produtos!$E:$E,MATCH(L969,[1]Produtos!$B:$B,0)), "-")</f>
        <v>120</v>
      </c>
      <c r="O969" s="483" t="str">
        <f>IFERROR(INDEX([1]Produtos!$F:$F,MATCH(L969,[1]Produtos!$B:$B,0)), "-")</f>
        <v>ml</v>
      </c>
      <c r="P969" s="483" t="str">
        <f>IFERROR(INDEX([1]Produtos!$G:$G,MATCH(L969,[1]Produtos!$B:$B,0)), "-")</f>
        <v>MISS RÔSE</v>
      </c>
      <c r="Q969" s="483" t="str">
        <f>IFERROR(INDEX([1]Produtos!$H:$H,MATCH(L969,[1]Produtos!$B:$B,0)), "-")</f>
        <v>MAQUIAGEM</v>
      </c>
      <c r="R969" s="270" t="str">
        <f>IFERROR(INDEX([1]Produtos!$I:$I,MATCH(L969,[1]Produtos!$B:$B,0)), "-")</f>
        <v>BRUMA</v>
      </c>
      <c r="S969" s="270" t="str">
        <f>IFERROR(INDEX([1]Produtos!$J:$J,MATCH(L969,[1]Produtos!$B:$B,0)), "-")</f>
        <v>LÍQUIDO</v>
      </c>
      <c r="T969" s="484"/>
      <c r="U969" s="270"/>
      <c r="V969" s="270"/>
      <c r="W969" s="270"/>
      <c r="X969" s="270"/>
      <c r="Y969" s="270"/>
      <c r="Z969" s="270"/>
      <c r="AA969" s="270"/>
      <c r="AB969" s="270"/>
      <c r="AC969" s="270"/>
      <c r="AD969" s="270"/>
      <c r="AE969" s="270"/>
      <c r="AF969" s="270"/>
      <c r="AG969" s="270"/>
      <c r="AH969" s="270"/>
      <c r="AI969" s="270"/>
      <c r="AJ969" s="270"/>
      <c r="AK969" s="270"/>
      <c r="AL969" s="270"/>
      <c r="AM969" s="663"/>
      <c r="AN969" s="663"/>
      <c r="AO969" s="708" t="str">
        <f>IF(OR(Table1[[#This Row],[Início Setup Envase]]="",Table1[[#This Row],[Final Setup Envase]]=""),"",Table1[[#This Row],[Final Setup Envase]]-Table1[[#This Row],[Início Setup Envase]])</f>
        <v/>
      </c>
      <c r="AP969" s="663"/>
      <c r="AQ969" s="663"/>
      <c r="AR969" s="270"/>
      <c r="AS969" s="270"/>
      <c r="AT969" s="270"/>
      <c r="AU969" s="270"/>
      <c r="AV969" s="270"/>
      <c r="AW969" s="270"/>
      <c r="AX969" s="270"/>
      <c r="AY969" s="270"/>
      <c r="AZ969" s="270"/>
      <c r="BA969" s="270">
        <f>IF(Table1[[#This Row],[Data de Início]]="","",YEAR(Table1[[#This Row],[Data de Início]]))</f>
        <v>2026</v>
      </c>
      <c r="BB969" s="270">
        <f>IF(Table1[[#This Row],[Data de Início]]="","",MONTH(Table1[[#This Row],[Data de Início]]))</f>
        <v>4</v>
      </c>
      <c r="BC969" s="270"/>
    </row>
    <row r="970" spans="2:55" x14ac:dyDescent="0.25">
      <c r="B970" s="489">
        <v>46133.315972222219</v>
      </c>
      <c r="C970" s="490">
        <v>46133.468055555553</v>
      </c>
      <c r="D970" s="477" cm="1">
        <f t="array" ref="D970">IFERROR(HorasUteisFabrica2Turnos(B970,C970), "")</f>
        <v>3.6500000000232831</v>
      </c>
      <c r="E970" s="478">
        <f t="shared" si="15"/>
        <v>733.15068492683019</v>
      </c>
      <c r="F970" s="479" t="s">
        <v>378</v>
      </c>
      <c r="G970" s="266" t="s">
        <v>1560</v>
      </c>
      <c r="H970" s="479"/>
      <c r="I970" s="481" t="s">
        <v>1642</v>
      </c>
      <c r="J970" s="482" t="s">
        <v>15</v>
      </c>
      <c r="K970" s="268">
        <v>2676</v>
      </c>
      <c r="L970" s="269" t="s">
        <v>214</v>
      </c>
      <c r="M970" s="511" t="str">
        <f>IFERROR(INDEX([1]Produtos!$C:$C,MATCH(L970,[1]Produtos!$B:$B,0)), "-")</f>
        <v>BODY SPLASH ECLIPSE DOURADO</v>
      </c>
      <c r="N970" s="511">
        <f>IFERROR(INDEX([1]Produtos!$E:$E,MATCH(L970,[1]Produtos!$B:$B,0)), "-")</f>
        <v>220</v>
      </c>
      <c r="O970" s="483" t="str">
        <f>IFERROR(INDEX([1]Produtos!$F:$F,MATCH(L970,[1]Produtos!$B:$B,0)), "-")</f>
        <v>ml</v>
      </c>
      <c r="P970" s="483" t="str">
        <f>IFERROR(INDEX([1]Produtos!$G:$G,MATCH(L970,[1]Produtos!$B:$B,0)), "-")</f>
        <v>MISS RÔSE</v>
      </c>
      <c r="Q970" s="483" t="str">
        <f>IFERROR(INDEX([1]Produtos!$H:$H,MATCH(L970,[1]Produtos!$B:$B,0)), "-")</f>
        <v>PERFUMARIA</v>
      </c>
      <c r="R970" s="270" t="str">
        <f>IFERROR(INDEX([1]Produtos!$I:$I,MATCH(L970,[1]Produtos!$B:$B,0)), "-")</f>
        <v>BODY SPLASH</v>
      </c>
      <c r="S970" s="270" t="str">
        <f>IFERROR(INDEX([1]Produtos!$J:$J,MATCH(L970,[1]Produtos!$B:$B,0)), "-")</f>
        <v>LÍQUIDO</v>
      </c>
      <c r="T970" s="484"/>
      <c r="U970" s="270"/>
      <c r="V970" s="270"/>
      <c r="W970" s="270"/>
      <c r="X970" s="270"/>
      <c r="Y970" s="270"/>
      <c r="Z970" s="270"/>
      <c r="AA970" s="270"/>
      <c r="AB970" s="270"/>
      <c r="AC970" s="270"/>
      <c r="AD970" s="270"/>
      <c r="AE970" s="270"/>
      <c r="AF970" s="270"/>
      <c r="AG970" s="270"/>
      <c r="AH970" s="270"/>
      <c r="AI970" s="270"/>
      <c r="AJ970" s="270"/>
      <c r="AK970" s="270"/>
      <c r="AL970" s="270"/>
      <c r="AM970" s="663"/>
      <c r="AN970" s="663"/>
      <c r="AO970" s="708" t="str">
        <f>IF(OR(Table1[[#This Row],[Início Setup Envase]]="",Table1[[#This Row],[Final Setup Envase]]=""),"",Table1[[#This Row],[Final Setup Envase]]-Table1[[#This Row],[Início Setup Envase]])</f>
        <v/>
      </c>
      <c r="AP970" s="663"/>
      <c r="AQ970" s="663"/>
      <c r="AR970" s="270"/>
      <c r="AS970" s="270"/>
      <c r="AT970" s="270"/>
      <c r="AU970" s="270"/>
      <c r="AV970" s="270"/>
      <c r="AW970" s="270"/>
      <c r="AX970" s="270"/>
      <c r="AY970" s="270"/>
      <c r="AZ970" s="270"/>
      <c r="BA970" s="270">
        <f>IF(Table1[[#This Row],[Data de Início]]="","",YEAR(Table1[[#This Row],[Data de Início]]))</f>
        <v>2026</v>
      </c>
      <c r="BB970" s="270">
        <f>IF(Table1[[#This Row],[Data de Início]]="","",MONTH(Table1[[#This Row],[Data de Início]]))</f>
        <v>4</v>
      </c>
      <c r="BC970" s="270"/>
    </row>
    <row r="971" spans="2:55" x14ac:dyDescent="0.25">
      <c r="B971" s="489">
        <v>46133.320833333331</v>
      </c>
      <c r="C971" s="490">
        <v>46133.613194444442</v>
      </c>
      <c r="D971" s="477" cm="1">
        <f t="array" ref="D971">IFERROR(HorasUteisFabrica2Turnos(B971,C971), "")</f>
        <v>6.0166666666627862</v>
      </c>
      <c r="E971" s="478">
        <f t="shared" si="15"/>
        <v>777.8393351805571</v>
      </c>
      <c r="F971" s="479" t="s">
        <v>377</v>
      </c>
      <c r="G971" s="266" t="s">
        <v>1436</v>
      </c>
      <c r="H971" s="479"/>
      <c r="I971" s="481" t="s">
        <v>1635</v>
      </c>
      <c r="J971" s="482" t="s">
        <v>15</v>
      </c>
      <c r="K971" s="268">
        <v>4680</v>
      </c>
      <c r="L971" s="269" t="s">
        <v>1630</v>
      </c>
      <c r="M971" s="511" t="str">
        <f>IFERROR(INDEX([1]Produtos!$C:$C,MATCH(L971,[1]Produtos!$B:$B,0)), "-")</f>
        <v xml:space="preserve"> BRUMA MATTE FIX 120ml</v>
      </c>
      <c r="N971" s="511">
        <f>IFERROR(INDEX([1]Produtos!$E:$E,MATCH(L971,[1]Produtos!$B:$B,0)), "-")</f>
        <v>120</v>
      </c>
      <c r="O971" s="483" t="str">
        <f>IFERROR(INDEX([1]Produtos!$F:$F,MATCH(L971,[1]Produtos!$B:$B,0)), "-")</f>
        <v>ml</v>
      </c>
      <c r="P971" s="483" t="str">
        <f>IFERROR(INDEX([1]Produtos!$G:$G,MATCH(L971,[1]Produtos!$B:$B,0)), "-")</f>
        <v>MISS RÔSE</v>
      </c>
      <c r="Q971" s="483" t="str">
        <f>IFERROR(INDEX([1]Produtos!$H:$H,MATCH(L971,[1]Produtos!$B:$B,0)), "-")</f>
        <v>MAQUIAGEM</v>
      </c>
      <c r="R971" s="270" t="str">
        <f>IFERROR(INDEX([1]Produtos!$I:$I,MATCH(L971,[1]Produtos!$B:$B,0)), "-")</f>
        <v>BRUMA</v>
      </c>
      <c r="S971" s="270" t="str">
        <f>IFERROR(INDEX([1]Produtos!$J:$J,MATCH(L971,[1]Produtos!$B:$B,0)), "-")</f>
        <v>LÍQUIDO</v>
      </c>
      <c r="T971" s="484"/>
      <c r="U971" s="270"/>
      <c r="V971" s="270"/>
      <c r="W971" s="270"/>
      <c r="X971" s="270"/>
      <c r="Y971" s="270"/>
      <c r="Z971" s="270"/>
      <c r="AA971" s="270"/>
      <c r="AB971" s="270"/>
      <c r="AC971" s="270"/>
      <c r="AD971" s="270"/>
      <c r="AE971" s="270"/>
      <c r="AF971" s="270"/>
      <c r="AG971" s="270"/>
      <c r="AH971" s="270"/>
      <c r="AI971" s="270"/>
      <c r="AJ971" s="270"/>
      <c r="AK971" s="270"/>
      <c r="AL971" s="270"/>
      <c r="AM971" s="663"/>
      <c r="AN971" s="663"/>
      <c r="AO971" s="708" t="str">
        <f>IF(OR(Table1[[#This Row],[Início Setup Envase]]="",Table1[[#This Row],[Final Setup Envase]]=""),"",Table1[[#This Row],[Final Setup Envase]]-Table1[[#This Row],[Início Setup Envase]])</f>
        <v/>
      </c>
      <c r="AP971" s="663"/>
      <c r="AQ971" s="663"/>
      <c r="AR971" s="270"/>
      <c r="AS971" s="270"/>
      <c r="AT971" s="270"/>
      <c r="AU971" s="270"/>
      <c r="AV971" s="270"/>
      <c r="AW971" s="270"/>
      <c r="AX971" s="270"/>
      <c r="AY971" s="270"/>
      <c r="AZ971" s="270"/>
      <c r="BA971" s="270">
        <f>IF(Table1[[#This Row],[Data de Início]]="","",YEAR(Table1[[#This Row],[Data de Início]]))</f>
        <v>2026</v>
      </c>
      <c r="BB971" s="270">
        <f>IF(Table1[[#This Row],[Data de Início]]="","",MONTH(Table1[[#This Row],[Data de Início]]))</f>
        <v>4</v>
      </c>
      <c r="BC971" s="270"/>
    </row>
    <row r="972" spans="2:55" x14ac:dyDescent="0.25">
      <c r="B972" s="489">
        <v>46133.468055555553</v>
      </c>
      <c r="C972" s="490">
        <v>46133.626388888886</v>
      </c>
      <c r="D972" s="477" cm="1">
        <f t="array" ref="D972">IFERROR(HorasUteisFabrica2Turnos(B972,C972), "")</f>
        <v>2.7999999999883585</v>
      </c>
      <c r="E972" s="478">
        <f t="shared" si="15"/>
        <v>509.28571428783175</v>
      </c>
      <c r="F972" s="479" t="s">
        <v>378</v>
      </c>
      <c r="G972" s="266" t="s">
        <v>1560</v>
      </c>
      <c r="H972" s="479"/>
      <c r="I972" s="482" t="s">
        <v>1823</v>
      </c>
      <c r="J972" s="482" t="s">
        <v>15</v>
      </c>
      <c r="K972" s="268">
        <v>1426</v>
      </c>
      <c r="L972" s="269" t="s">
        <v>214</v>
      </c>
      <c r="M972" s="511" t="str">
        <f>IFERROR(INDEX([1]Produtos!$C:$C,MATCH(L972,[1]Produtos!$B:$B,0)), "-")</f>
        <v>BODY SPLASH ECLIPSE DOURADO</v>
      </c>
      <c r="N972" s="511">
        <f>IFERROR(INDEX([1]Produtos!$E:$E,MATCH(L972,[1]Produtos!$B:$B,0)), "-")</f>
        <v>220</v>
      </c>
      <c r="O972" s="483" t="str">
        <f>IFERROR(INDEX([1]Produtos!$F:$F,MATCH(L972,[1]Produtos!$B:$B,0)), "-")</f>
        <v>ml</v>
      </c>
      <c r="P972" s="477" t="str">
        <f>IFERROR(INDEX([1]Produtos!$G:$G,MATCH(L972,[1]Produtos!$B:$B,0)), "-")</f>
        <v>MISS RÔSE</v>
      </c>
      <c r="Q972" s="483" t="str">
        <f>IFERROR(INDEX([1]Produtos!$H:$H,MATCH(L972,[1]Produtos!$B:$B,0)), "-")</f>
        <v>PERFUMARIA</v>
      </c>
      <c r="R972" s="270" t="str">
        <f>IFERROR(INDEX([1]Produtos!$I:$I,MATCH(L972,[1]Produtos!$B:$B,0)), "-")</f>
        <v>BODY SPLASH</v>
      </c>
      <c r="S972" s="270" t="str">
        <f>IFERROR(INDEX([1]Produtos!$J:$J,MATCH(L972,[1]Produtos!$B:$B,0)), "-")</f>
        <v>LÍQUIDO</v>
      </c>
      <c r="T972" s="484"/>
      <c r="U972" s="270"/>
      <c r="V972" s="270"/>
      <c r="W972" s="270"/>
      <c r="X972" s="270"/>
      <c r="Y972" s="270"/>
      <c r="Z972" s="270"/>
      <c r="AA972" s="270"/>
      <c r="AB972" s="270"/>
      <c r="AC972" s="270"/>
      <c r="AD972" s="270"/>
      <c r="AE972" s="270"/>
      <c r="AF972" s="270"/>
      <c r="AG972" s="270"/>
      <c r="AH972" s="270"/>
      <c r="AI972" s="270"/>
      <c r="AJ972" s="270"/>
      <c r="AK972" s="270"/>
      <c r="AL972" s="270"/>
      <c r="AM972" s="663"/>
      <c r="AN972" s="663"/>
      <c r="AO972" s="708" t="str">
        <f>IF(OR(Table1[[#This Row],[Início Setup Envase]]="",Table1[[#This Row],[Final Setup Envase]]=""),"",Table1[[#This Row],[Final Setup Envase]]-Table1[[#This Row],[Início Setup Envase]])</f>
        <v/>
      </c>
      <c r="AP972" s="663"/>
      <c r="AQ972" s="663"/>
      <c r="AR972" s="270"/>
      <c r="AS972" s="270"/>
      <c r="AT972" s="270"/>
      <c r="AU972" s="270"/>
      <c r="AV972" s="270"/>
      <c r="AW972" s="270"/>
      <c r="AX972" s="270"/>
      <c r="AY972" s="270"/>
      <c r="AZ972" s="270"/>
      <c r="BA972" s="270">
        <f>IF(Table1[[#This Row],[Data de Início]]="","",YEAR(Table1[[#This Row],[Data de Início]]))</f>
        <v>2026</v>
      </c>
      <c r="BB972" s="270">
        <f>IF(Table1[[#This Row],[Data de Início]]="","",MONTH(Table1[[#This Row],[Data de Início]]))</f>
        <v>4</v>
      </c>
      <c r="BC972" s="270"/>
    </row>
    <row r="973" spans="2:55" x14ac:dyDescent="0.25">
      <c r="B973" s="489">
        <v>46133.545138888891</v>
      </c>
      <c r="C973" s="490">
        <v>46133.586805555555</v>
      </c>
      <c r="D973" s="477" cm="1">
        <f t="array" ref="D973">IFERROR(HorasUteisFabrica2Turnos(B973,C973), "")</f>
        <v>0.99999999994179234</v>
      </c>
      <c r="E973" s="478">
        <f t="shared" si="15"/>
        <v>98.000000005704351</v>
      </c>
      <c r="F973" s="479" t="s">
        <v>1039</v>
      </c>
      <c r="G973" s="266" t="s">
        <v>145</v>
      </c>
      <c r="H973" s="479"/>
      <c r="I973" s="481" t="s">
        <v>1651</v>
      </c>
      <c r="J973" s="482" t="s">
        <v>15</v>
      </c>
      <c r="K973" s="268">
        <v>98</v>
      </c>
      <c r="L973" s="269"/>
      <c r="M973" s="511" t="str">
        <f>IFERROR(INDEX([1]Produtos!$C:$C,MATCH(L973,[1]Produtos!$B:$B,0)), "-")</f>
        <v>-</v>
      </c>
      <c r="N973" s="511" t="str">
        <f>IFERROR(INDEX([1]Produtos!$E:$E,MATCH(L973,[1]Produtos!$B:$B,0)), "-")</f>
        <v>-</v>
      </c>
      <c r="O973" s="483" t="str">
        <f>IFERROR(INDEX([1]Produtos!$F:$F,MATCH(L973,[1]Produtos!$B:$B,0)), "-")</f>
        <v>-</v>
      </c>
      <c r="P973" s="483" t="str">
        <f>IFERROR(INDEX([1]Produtos!$G:$G,MATCH(L973,[1]Produtos!$B:$B,0)), "-")</f>
        <v>-</v>
      </c>
      <c r="Q973" s="483" t="str">
        <f>IFERROR(INDEX([1]Produtos!$H:$H,MATCH(L973,[1]Produtos!$B:$B,0)), "-")</f>
        <v>-</v>
      </c>
      <c r="R973" s="270" t="str">
        <f>IFERROR(INDEX([1]Produtos!$I:$I,MATCH(L973,[1]Produtos!$B:$B,0)), "-")</f>
        <v>-</v>
      </c>
      <c r="S973" s="270" t="str">
        <f>IFERROR(INDEX([1]Produtos!$J:$J,MATCH(L973,[1]Produtos!$B:$B,0)), "-")</f>
        <v>-</v>
      </c>
      <c r="T973" s="484"/>
      <c r="U973" s="270"/>
      <c r="V973" s="270"/>
      <c r="W973" s="270"/>
      <c r="X973" s="270"/>
      <c r="Y973" s="270"/>
      <c r="Z973" s="270"/>
      <c r="AA973" s="270"/>
      <c r="AB973" s="270"/>
      <c r="AC973" s="270"/>
      <c r="AD973" s="270"/>
      <c r="AE973" s="270"/>
      <c r="AF973" s="270"/>
      <c r="AG973" s="270"/>
      <c r="AH973" s="270"/>
      <c r="AI973" s="270"/>
      <c r="AJ973" s="270"/>
      <c r="AK973" s="270"/>
      <c r="AL973" s="270"/>
      <c r="AM973" s="663"/>
      <c r="AN973" s="663"/>
      <c r="AO973" s="708" t="str">
        <f>IF(OR(Table1[[#This Row],[Início Setup Envase]]="",Table1[[#This Row],[Final Setup Envase]]=""),"",Table1[[#This Row],[Final Setup Envase]]-Table1[[#This Row],[Início Setup Envase]])</f>
        <v/>
      </c>
      <c r="AP973" s="663"/>
      <c r="AQ973" s="663"/>
      <c r="AR973" s="270"/>
      <c r="AS973" s="270"/>
      <c r="AT973" s="270"/>
      <c r="AU973" s="270"/>
      <c r="AV973" s="270"/>
      <c r="AW973" s="270"/>
      <c r="AX973" s="270"/>
      <c r="AY973" s="270"/>
      <c r="AZ973" s="270"/>
      <c r="BA973" s="270">
        <f>IF(Table1[[#This Row],[Data de Início]]="","",YEAR(Table1[[#This Row],[Data de Início]]))</f>
        <v>2026</v>
      </c>
      <c r="BB973" s="270">
        <f>IF(Table1[[#This Row],[Data de Início]]="","",MONTH(Table1[[#This Row],[Data de Início]]))</f>
        <v>4</v>
      </c>
      <c r="BC973" s="270"/>
    </row>
    <row r="974" spans="2:55" x14ac:dyDescent="0.25">
      <c r="B974" s="489">
        <v>46133.548611111109</v>
      </c>
      <c r="C974" s="490">
        <v>46133.565972222219</v>
      </c>
      <c r="D974" s="477" cm="1">
        <f t="array" ref="D974">IFERROR(HorasUteisFabrica2Turnos(B974,C974), "")</f>
        <v>0.41666666662786156</v>
      </c>
      <c r="E974" s="478">
        <f t="shared" si="15"/>
        <v>240.00000002235174</v>
      </c>
      <c r="F974" s="479" t="s">
        <v>1039</v>
      </c>
      <c r="G974" s="266" t="s">
        <v>145</v>
      </c>
      <c r="H974" s="480"/>
      <c r="I974" s="481"/>
      <c r="J974" s="482" t="s">
        <v>15</v>
      </c>
      <c r="K974" s="268">
        <v>100</v>
      </c>
      <c r="L974" s="269"/>
      <c r="M974" s="511" t="str">
        <f>IFERROR(INDEX([1]Produtos!$C:$C,MATCH(L974,[1]Produtos!$B:$B,0)), "-")</f>
        <v>-</v>
      </c>
      <c r="N974" s="511" t="str">
        <f>IFERROR(INDEX([1]Produtos!$E:$E,MATCH(L974,[1]Produtos!$B:$B,0)), "-")</f>
        <v>-</v>
      </c>
      <c r="O974" s="483" t="str">
        <f>IFERROR(INDEX([1]Produtos!$F:$F,MATCH(L974,[1]Produtos!$B:$B,0)), "-")</f>
        <v>-</v>
      </c>
      <c r="P974" s="483" t="str">
        <f>IFERROR(INDEX([1]Produtos!$G:$G,MATCH(L974,[1]Produtos!$B:$B,0)), "-")</f>
        <v>-</v>
      </c>
      <c r="Q974" s="483" t="str">
        <f>IFERROR(INDEX([1]Produtos!$H:$H,MATCH(L974,[1]Produtos!$B:$B,0)), "-")</f>
        <v>-</v>
      </c>
      <c r="R974" s="270" t="str">
        <f>IFERROR(INDEX([1]Produtos!$I:$I,MATCH(L974,[1]Produtos!$B:$B,0)), "-")</f>
        <v>-</v>
      </c>
      <c r="S974" s="270" t="str">
        <f>IFERROR(INDEX([1]Produtos!$J:$J,MATCH(L974,[1]Produtos!$B:$B,0)), "-")</f>
        <v>-</v>
      </c>
      <c r="T974" s="484"/>
      <c r="U974" s="270"/>
      <c r="V974" s="270"/>
      <c r="W974" s="270"/>
      <c r="X974" s="270"/>
      <c r="Y974" s="270"/>
      <c r="Z974" s="270"/>
      <c r="AA974" s="270"/>
      <c r="AB974" s="270"/>
      <c r="AC974" s="270"/>
      <c r="AD974" s="270"/>
      <c r="AE974" s="270"/>
      <c r="AF974" s="270"/>
      <c r="AG974" s="270"/>
      <c r="AH974" s="270"/>
      <c r="AI974" s="270"/>
      <c r="AJ974" s="270"/>
      <c r="AK974" s="270"/>
      <c r="AL974" s="270"/>
      <c r="AM974" s="663"/>
      <c r="AN974" s="663"/>
      <c r="AO974" s="708" t="str">
        <f>IF(OR(Table1[[#This Row],[Início Setup Envase]]="",Table1[[#This Row],[Final Setup Envase]]=""),"",Table1[[#This Row],[Final Setup Envase]]-Table1[[#This Row],[Início Setup Envase]])</f>
        <v/>
      </c>
      <c r="AP974" s="663"/>
      <c r="AQ974" s="663"/>
      <c r="AR974" s="270"/>
      <c r="AS974" s="270"/>
      <c r="AT974" s="270"/>
      <c r="AU974" s="270"/>
      <c r="AV974" s="270"/>
      <c r="AW974" s="270"/>
      <c r="AX974" s="270"/>
      <c r="AY974" s="270"/>
      <c r="AZ974" s="270"/>
      <c r="BA974" s="270">
        <f>IF(Table1[[#This Row],[Data de Início]]="","",YEAR(Table1[[#This Row],[Data de Início]]))</f>
        <v>2026</v>
      </c>
      <c r="BB974" s="270">
        <f>IF(Table1[[#This Row],[Data de Início]]="","",MONTH(Table1[[#This Row],[Data de Início]]))</f>
        <v>4</v>
      </c>
      <c r="BC974" s="270"/>
    </row>
    <row r="975" spans="2:55" x14ac:dyDescent="0.25">
      <c r="B975" s="489">
        <v>46133.565972222219</v>
      </c>
      <c r="C975" s="490">
        <v>46133.586805555555</v>
      </c>
      <c r="D975" s="477" cm="1">
        <f t="array" ref="D975">IFERROR(HorasUteisFabrica2Turnos(B975,C975), "")</f>
        <v>0.50000000005820766</v>
      </c>
      <c r="E975" s="478">
        <f t="shared" si="15"/>
        <v>199.99999997671694</v>
      </c>
      <c r="F975" s="479" t="s">
        <v>1039</v>
      </c>
      <c r="G975" s="266" t="s">
        <v>145</v>
      </c>
      <c r="H975" s="480"/>
      <c r="I975" s="481" t="s">
        <v>1638</v>
      </c>
      <c r="J975" s="482" t="s">
        <v>15</v>
      </c>
      <c r="K975" s="268">
        <v>100</v>
      </c>
      <c r="L975" s="269"/>
      <c r="M975" s="511" t="str">
        <f>IFERROR(INDEX([1]Produtos!$C:$C,MATCH(L975,[1]Produtos!$B:$B,0)), "-")</f>
        <v>-</v>
      </c>
      <c r="N975" s="511" t="str">
        <f>IFERROR(INDEX([1]Produtos!$E:$E,MATCH(L975,[1]Produtos!$B:$B,0)), "-")</f>
        <v>-</v>
      </c>
      <c r="O975" s="483" t="str">
        <f>IFERROR(INDEX([1]Produtos!$F:$F,MATCH(L975,[1]Produtos!$B:$B,0)), "-")</f>
        <v>-</v>
      </c>
      <c r="P975" s="483" t="str">
        <f>IFERROR(INDEX([1]Produtos!$G:$G,MATCH(L975,[1]Produtos!$B:$B,0)), "-")</f>
        <v>-</v>
      </c>
      <c r="Q975" s="483" t="str">
        <f>IFERROR(INDEX([1]Produtos!$H:$H,MATCH(L975,[1]Produtos!$B:$B,0)), "-")</f>
        <v>-</v>
      </c>
      <c r="R975" s="270" t="str">
        <f>IFERROR(INDEX([1]Produtos!$I:$I,MATCH(L975,[1]Produtos!$B:$B,0)), "-")</f>
        <v>-</v>
      </c>
      <c r="S975" s="270" t="str">
        <f>IFERROR(INDEX([1]Produtos!$J:$J,MATCH(L975,[1]Produtos!$B:$B,0)), "-")</f>
        <v>-</v>
      </c>
      <c r="T975" s="484"/>
      <c r="U975" s="270"/>
      <c r="V975" s="270"/>
      <c r="W975" s="270"/>
      <c r="X975" s="270"/>
      <c r="Y975" s="270"/>
      <c r="Z975" s="270"/>
      <c r="AA975" s="270"/>
      <c r="AB975" s="270"/>
      <c r="AC975" s="270"/>
      <c r="AD975" s="270"/>
      <c r="AE975" s="270"/>
      <c r="AF975" s="270"/>
      <c r="AG975" s="270"/>
      <c r="AH975" s="270"/>
      <c r="AI975" s="270"/>
      <c r="AJ975" s="270"/>
      <c r="AK975" s="270"/>
      <c r="AL975" s="270"/>
      <c r="AM975" s="663"/>
      <c r="AN975" s="663"/>
      <c r="AO975" s="708" t="str">
        <f>IF(OR(Table1[[#This Row],[Início Setup Envase]]="",Table1[[#This Row],[Final Setup Envase]]=""),"",Table1[[#This Row],[Final Setup Envase]]-Table1[[#This Row],[Início Setup Envase]])</f>
        <v/>
      </c>
      <c r="AP975" s="663"/>
      <c r="AQ975" s="663"/>
      <c r="AR975" s="270"/>
      <c r="AS975" s="270"/>
      <c r="AT975" s="270"/>
      <c r="AU975" s="270"/>
      <c r="AV975" s="270"/>
      <c r="AW975" s="270"/>
      <c r="AX975" s="270"/>
      <c r="AY975" s="270"/>
      <c r="AZ975" s="270"/>
      <c r="BA975" s="270">
        <f>IF(Table1[[#This Row],[Data de Início]]="","",YEAR(Table1[[#This Row],[Data de Início]]))</f>
        <v>2026</v>
      </c>
      <c r="BB975" s="270">
        <f>IF(Table1[[#This Row],[Data de Início]]="","",MONTH(Table1[[#This Row],[Data de Início]]))</f>
        <v>4</v>
      </c>
      <c r="BC975" s="270"/>
    </row>
    <row r="976" spans="2:55" x14ac:dyDescent="0.25">
      <c r="B976" s="489">
        <v>46133.586805555555</v>
      </c>
      <c r="C976" s="490">
        <v>46133.607638888891</v>
      </c>
      <c r="D976" s="477" cm="1">
        <f t="array" ref="D976">IFERROR(HorasUteisFabrica2Turnos(B976,C976), "")</f>
        <v>0.50000000005820766</v>
      </c>
      <c r="E976" s="478">
        <f t="shared" si="15"/>
        <v>199.99999997671694</v>
      </c>
      <c r="F976" s="479" t="s">
        <v>1039</v>
      </c>
      <c r="G976" s="266" t="s">
        <v>145</v>
      </c>
      <c r="H976" s="480"/>
      <c r="I976" s="481"/>
      <c r="J976" s="482" t="s">
        <v>15</v>
      </c>
      <c r="K976" s="268">
        <v>100</v>
      </c>
      <c r="L976" s="269"/>
      <c r="M976" s="511" t="str">
        <f>IFERROR(INDEX([1]Produtos!$C:$C,MATCH(L976,[1]Produtos!$B:$B,0)), "-")</f>
        <v>-</v>
      </c>
      <c r="N976" s="511" t="str">
        <f>IFERROR(INDEX([1]Produtos!$E:$E,MATCH(L976,[1]Produtos!$B:$B,0)), "-")</f>
        <v>-</v>
      </c>
      <c r="O976" s="483" t="str">
        <f>IFERROR(INDEX([1]Produtos!$F:$F,MATCH(L976,[1]Produtos!$B:$B,0)), "-")</f>
        <v>-</v>
      </c>
      <c r="P976" s="483" t="str">
        <f>IFERROR(INDEX([1]Produtos!$G:$G,MATCH(L976,[1]Produtos!$B:$B,0)), "-")</f>
        <v>-</v>
      </c>
      <c r="Q976" s="483" t="str">
        <f>IFERROR(INDEX([1]Produtos!$H:$H,MATCH(L976,[1]Produtos!$B:$B,0)), "-")</f>
        <v>-</v>
      </c>
      <c r="R976" s="270" t="str">
        <f>IFERROR(INDEX([1]Produtos!$I:$I,MATCH(L976,[1]Produtos!$B:$B,0)), "-")</f>
        <v>-</v>
      </c>
      <c r="S976" s="270" t="str">
        <f>IFERROR(INDEX([1]Produtos!$J:$J,MATCH(L976,[1]Produtos!$B:$B,0)), "-")</f>
        <v>-</v>
      </c>
      <c r="T976" s="484"/>
      <c r="U976" s="270"/>
      <c r="V976" s="270"/>
      <c r="W976" s="270"/>
      <c r="X976" s="270"/>
      <c r="Y976" s="270"/>
      <c r="Z976" s="270"/>
      <c r="AA976" s="270"/>
      <c r="AB976" s="270"/>
      <c r="AC976" s="270"/>
      <c r="AD976" s="270"/>
      <c r="AE976" s="270"/>
      <c r="AF976" s="270"/>
      <c r="AG976" s="270"/>
      <c r="AH976" s="270"/>
      <c r="AI976" s="270"/>
      <c r="AJ976" s="270"/>
      <c r="AK976" s="270"/>
      <c r="AL976" s="270"/>
      <c r="AM976" s="663"/>
      <c r="AN976" s="663"/>
      <c r="AO976" s="708" t="str">
        <f>IF(OR(Table1[[#This Row],[Início Setup Envase]]="",Table1[[#This Row],[Final Setup Envase]]=""),"",Table1[[#This Row],[Final Setup Envase]]-Table1[[#This Row],[Início Setup Envase]])</f>
        <v/>
      </c>
      <c r="AP976" s="663"/>
      <c r="AQ976" s="663"/>
      <c r="AR976" s="270"/>
      <c r="AS976" s="270"/>
      <c r="AT976" s="270"/>
      <c r="AU976" s="270"/>
      <c r="AV976" s="270"/>
      <c r="AW976" s="270"/>
      <c r="AX976" s="270"/>
      <c r="AY976" s="270"/>
      <c r="AZ976" s="270"/>
      <c r="BA976" s="270">
        <f>IF(Table1[[#This Row],[Data de Início]]="","",YEAR(Table1[[#This Row],[Data de Início]]))</f>
        <v>2026</v>
      </c>
      <c r="BB976" s="270">
        <f>IF(Table1[[#This Row],[Data de Início]]="","",MONTH(Table1[[#This Row],[Data de Início]]))</f>
        <v>4</v>
      </c>
      <c r="BC976" s="270"/>
    </row>
    <row r="977" spans="2:55" x14ac:dyDescent="0.25">
      <c r="B977" s="489">
        <v>46133.586805555555</v>
      </c>
      <c r="C977" s="490">
        <v>46133.607638888891</v>
      </c>
      <c r="D977" s="477" cm="1">
        <f t="array" ref="D977">IFERROR(HorasUteisFabrica2Turnos(B977,C977), "")</f>
        <v>0.50000000005820766</v>
      </c>
      <c r="E977" s="478">
        <f t="shared" si="15"/>
        <v>3251.9999996214174</v>
      </c>
      <c r="F977" s="479" t="s">
        <v>1039</v>
      </c>
      <c r="G977" s="655" t="s">
        <v>1470</v>
      </c>
      <c r="H977" s="480"/>
      <c r="I977" s="481" t="s">
        <v>1649</v>
      </c>
      <c r="J977" s="482" t="s">
        <v>15</v>
      </c>
      <c r="K977" s="268">
        <v>1626</v>
      </c>
      <c r="L977" s="658" t="s">
        <v>1476</v>
      </c>
      <c r="M977" s="511" t="str">
        <f>IFERROR(INDEX([1]Produtos!$C:$C,MATCH(L977,[1]Produtos!$B:$B,0)), "-")</f>
        <v>HIDRATANTE BISNAGA IMPERIUM 200g</v>
      </c>
      <c r="N977" s="511">
        <f>IFERROR(INDEX([1]Produtos!$E:$E,MATCH(L977,[1]Produtos!$B:$B,0)), "-")</f>
        <v>200</v>
      </c>
      <c r="O977" s="483" t="str">
        <f>IFERROR(INDEX([1]Produtos!$F:$F,MATCH(L977,[1]Produtos!$B:$B,0)), "-")</f>
        <v>g</v>
      </c>
      <c r="P977" s="483" t="str">
        <f>IFERROR(INDEX([1]Produtos!$G:$G,MATCH(L977,[1]Produtos!$B:$B,0)), "-")</f>
        <v>HABIBI PERFUMES</v>
      </c>
      <c r="Q977" s="483" t="str">
        <f>IFERROR(INDEX([1]Produtos!$H:$H,MATCH(L977,[1]Produtos!$B:$B,0)), "-")</f>
        <v>CORPORAL</v>
      </c>
      <c r="R977" s="270" t="str">
        <f>IFERROR(INDEX([1]Produtos!$I:$I,MATCH(L977,[1]Produtos!$B:$B,0)), "-")</f>
        <v>CREME HIDRATANTE</v>
      </c>
      <c r="S977" s="270" t="str">
        <f>IFERROR(INDEX([1]Produtos!$J:$J,MATCH(L977,[1]Produtos!$B:$B,0)), "-")</f>
        <v>CREMOSO</v>
      </c>
      <c r="T977" s="484"/>
      <c r="U977" s="270"/>
      <c r="V977" s="270"/>
      <c r="W977" s="270"/>
      <c r="X977" s="270"/>
      <c r="Y977" s="270"/>
      <c r="Z977" s="270"/>
      <c r="AA977" s="270"/>
      <c r="AB977" s="270"/>
      <c r="AC977" s="270"/>
      <c r="AD977" s="270"/>
      <c r="AE977" s="270"/>
      <c r="AF977" s="270"/>
      <c r="AG977" s="270"/>
      <c r="AH977" s="270"/>
      <c r="AI977" s="270"/>
      <c r="AJ977" s="270"/>
      <c r="AK977" s="270"/>
      <c r="AL977" s="270"/>
      <c r="AM977" s="663"/>
      <c r="AN977" s="663"/>
      <c r="AO977" s="708" t="str">
        <f>IF(OR(Table1[[#This Row],[Início Setup Envase]]="",Table1[[#This Row],[Final Setup Envase]]=""),"",Table1[[#This Row],[Final Setup Envase]]-Table1[[#This Row],[Início Setup Envase]])</f>
        <v/>
      </c>
      <c r="AP977" s="663"/>
      <c r="AQ977" s="663"/>
      <c r="AR977" s="270"/>
      <c r="AS977" s="270"/>
      <c r="AT977" s="270"/>
      <c r="AU977" s="270"/>
      <c r="AV977" s="270"/>
      <c r="AW977" s="270"/>
      <c r="AX977" s="270"/>
      <c r="AY977" s="270"/>
      <c r="AZ977" s="270"/>
      <c r="BA977" s="270">
        <f>IF(Table1[[#This Row],[Data de Início]]="","",YEAR(Table1[[#This Row],[Data de Início]]))</f>
        <v>2026</v>
      </c>
      <c r="BB977" s="270">
        <f>IF(Table1[[#This Row],[Data de Início]]="","",MONTH(Table1[[#This Row],[Data de Início]]))</f>
        <v>4</v>
      </c>
      <c r="BC977" s="270"/>
    </row>
    <row r="978" spans="2:55" x14ac:dyDescent="0.25">
      <c r="B978" s="489">
        <v>46133.607638888891</v>
      </c>
      <c r="C978" s="490">
        <v>46133.625</v>
      </c>
      <c r="D978" s="477" cm="1">
        <f t="array" ref="D978">IFERROR(HorasUteisFabrica2Turnos(B978,C978), "")</f>
        <v>0.41666666662786156</v>
      </c>
      <c r="E978" s="478">
        <f t="shared" si="15"/>
        <v>240.00000002235174</v>
      </c>
      <c r="F978" s="479" t="s">
        <v>1039</v>
      </c>
      <c r="G978" s="266" t="s">
        <v>145</v>
      </c>
      <c r="H978" s="480"/>
      <c r="I978" s="481" t="s">
        <v>1637</v>
      </c>
      <c r="J978" s="482" t="s">
        <v>15</v>
      </c>
      <c r="K978" s="268">
        <v>100</v>
      </c>
      <c r="L978" s="269"/>
      <c r="M978" s="511" t="str">
        <f>IFERROR(INDEX([1]Produtos!$C:$C,MATCH(L978,[1]Produtos!$B:$B,0)), "-")</f>
        <v>-</v>
      </c>
      <c r="N978" s="511" t="str">
        <f>IFERROR(INDEX([1]Produtos!$E:$E,MATCH(L978,[1]Produtos!$B:$B,0)), "-")</f>
        <v>-</v>
      </c>
      <c r="O978" s="483" t="str">
        <f>IFERROR(INDEX([1]Produtos!$F:$F,MATCH(L978,[1]Produtos!$B:$B,0)), "-")</f>
        <v>-</v>
      </c>
      <c r="P978" s="483" t="str">
        <f>IFERROR(INDEX([1]Produtos!$G:$G,MATCH(L978,[1]Produtos!$B:$B,0)), "-")</f>
        <v>-</v>
      </c>
      <c r="Q978" s="483" t="str">
        <f>IFERROR(INDEX([1]Produtos!$H:$H,MATCH(L978,[1]Produtos!$B:$B,0)), "-")</f>
        <v>-</v>
      </c>
      <c r="R978" s="270" t="str">
        <f>IFERROR(INDEX([1]Produtos!$I:$I,MATCH(L978,[1]Produtos!$B:$B,0)), "-")</f>
        <v>-</v>
      </c>
      <c r="S978" s="270" t="str">
        <f>IFERROR(INDEX([1]Produtos!$J:$J,MATCH(L978,[1]Produtos!$B:$B,0)), "-")</f>
        <v>-</v>
      </c>
      <c r="T978" s="484"/>
      <c r="U978" s="270"/>
      <c r="V978" s="270"/>
      <c r="W978" s="270"/>
      <c r="X978" s="270"/>
      <c r="Y978" s="270"/>
      <c r="Z978" s="270"/>
      <c r="AA978" s="270"/>
      <c r="AB978" s="270"/>
      <c r="AC978" s="270"/>
      <c r="AD978" s="270"/>
      <c r="AE978" s="270"/>
      <c r="AF978" s="270"/>
      <c r="AG978" s="270"/>
      <c r="AH978" s="270"/>
      <c r="AI978" s="270"/>
      <c r="AJ978" s="270"/>
      <c r="AK978" s="270"/>
      <c r="AL978" s="270"/>
      <c r="AM978" s="663"/>
      <c r="AN978" s="663"/>
      <c r="AO978" s="708" t="str">
        <f>IF(OR(Table1[[#This Row],[Início Setup Envase]]="",Table1[[#This Row],[Final Setup Envase]]=""),"",Table1[[#This Row],[Final Setup Envase]]-Table1[[#This Row],[Início Setup Envase]])</f>
        <v/>
      </c>
      <c r="AP978" s="663"/>
      <c r="AQ978" s="663"/>
      <c r="AR978" s="270"/>
      <c r="AS978" s="270"/>
      <c r="AT978" s="270"/>
      <c r="AU978" s="270"/>
      <c r="AV978" s="270"/>
      <c r="AW978" s="270"/>
      <c r="AX978" s="270"/>
      <c r="AY978" s="270"/>
      <c r="AZ978" s="270"/>
      <c r="BA978" s="270">
        <f>IF(Table1[[#This Row],[Data de Início]]="","",YEAR(Table1[[#This Row],[Data de Início]]))</f>
        <v>2026</v>
      </c>
      <c r="BB978" s="270">
        <f>IF(Table1[[#This Row],[Data de Início]]="","",MONTH(Table1[[#This Row],[Data de Início]]))</f>
        <v>4</v>
      </c>
      <c r="BC978" s="270"/>
    </row>
    <row r="979" spans="2:55" x14ac:dyDescent="0.25">
      <c r="B979" s="489">
        <v>46133.607638888891</v>
      </c>
      <c r="C979" s="490">
        <v>46133.625</v>
      </c>
      <c r="D979" s="477" cm="1">
        <f t="array" ref="D979">IFERROR(HorasUteisFabrica2Turnos(B979,C979), "")</f>
        <v>0.41666666662786156</v>
      </c>
      <c r="E979" s="478">
        <f t="shared" si="15"/>
        <v>235.20000002190471</v>
      </c>
      <c r="F979" s="479" t="s">
        <v>1039</v>
      </c>
      <c r="G979" s="266" t="s">
        <v>145</v>
      </c>
      <c r="H979" s="479"/>
      <c r="I979" s="481" t="s">
        <v>1650</v>
      </c>
      <c r="J979" s="482" t="s">
        <v>15</v>
      </c>
      <c r="K979" s="268">
        <v>98</v>
      </c>
      <c r="L979" s="269"/>
      <c r="M979" s="511" t="str">
        <f>IFERROR(INDEX([1]Produtos!$C:$C,MATCH(L979,[1]Produtos!$B:$B,0)), "-")</f>
        <v>-</v>
      </c>
      <c r="N979" s="511" t="str">
        <f>IFERROR(INDEX([1]Produtos!$E:$E,MATCH(L979,[1]Produtos!$B:$B,0)), "-")</f>
        <v>-</v>
      </c>
      <c r="O979" s="483" t="str">
        <f>IFERROR(INDEX([1]Produtos!$F:$F,MATCH(L979,[1]Produtos!$B:$B,0)), "-")</f>
        <v>-</v>
      </c>
      <c r="P979" s="483" t="str">
        <f>IFERROR(INDEX([1]Produtos!$G:$G,MATCH(L979,[1]Produtos!$B:$B,0)), "-")</f>
        <v>-</v>
      </c>
      <c r="Q979" s="483" t="str">
        <f>IFERROR(INDEX([1]Produtos!$H:$H,MATCH(L979,[1]Produtos!$B:$B,0)), "-")</f>
        <v>-</v>
      </c>
      <c r="R979" s="270" t="str">
        <f>IFERROR(INDEX([1]Produtos!$I:$I,MATCH(L979,[1]Produtos!$B:$B,0)), "-")</f>
        <v>-</v>
      </c>
      <c r="S979" s="270" t="str">
        <f>IFERROR(INDEX([1]Produtos!$J:$J,MATCH(L979,[1]Produtos!$B:$B,0)), "-")</f>
        <v>-</v>
      </c>
      <c r="T979" s="484"/>
      <c r="U979" s="270"/>
      <c r="V979" s="270"/>
      <c r="W979" s="270"/>
      <c r="X979" s="270"/>
      <c r="Y979" s="270"/>
      <c r="Z979" s="270"/>
      <c r="AA979" s="270"/>
      <c r="AB979" s="270"/>
      <c r="AC979" s="270"/>
      <c r="AD979" s="270"/>
      <c r="AE979" s="270"/>
      <c r="AF979" s="270"/>
      <c r="AG979" s="270"/>
      <c r="AH979" s="270"/>
      <c r="AI979" s="270"/>
      <c r="AJ979" s="270"/>
      <c r="AK979" s="270"/>
      <c r="AL979" s="270"/>
      <c r="AM979" s="663"/>
      <c r="AN979" s="663"/>
      <c r="AO979" s="708" t="str">
        <f>IF(OR(Table1[[#This Row],[Início Setup Envase]]="",Table1[[#This Row],[Final Setup Envase]]=""),"",Table1[[#This Row],[Final Setup Envase]]-Table1[[#This Row],[Início Setup Envase]])</f>
        <v/>
      </c>
      <c r="AP979" s="663"/>
      <c r="AQ979" s="663"/>
      <c r="AR979" s="270"/>
      <c r="AS979" s="270"/>
      <c r="AT979" s="270"/>
      <c r="AU979" s="270"/>
      <c r="AV979" s="270"/>
      <c r="AW979" s="270"/>
      <c r="AX979" s="270"/>
      <c r="AY979" s="270"/>
      <c r="AZ979" s="270"/>
      <c r="BA979" s="270">
        <f>IF(Table1[[#This Row],[Data de Início]]="","",YEAR(Table1[[#This Row],[Data de Início]]))</f>
        <v>2026</v>
      </c>
      <c r="BB979" s="270">
        <f>IF(Table1[[#This Row],[Data de Início]]="","",MONTH(Table1[[#This Row],[Data de Início]]))</f>
        <v>4</v>
      </c>
      <c r="BC979" s="270"/>
    </row>
    <row r="980" spans="2:55" x14ac:dyDescent="0.25">
      <c r="B980" s="489">
        <v>46133.613194444442</v>
      </c>
      <c r="C980" s="490">
        <v>46134.479166666664</v>
      </c>
      <c r="D980" s="477" cm="1">
        <f t="array" ref="D980">IFERROR(HorasUteisFabrica2Turnos(B980,C980), "")</f>
        <v>6.7833333334419876</v>
      </c>
      <c r="E980" s="478">
        <f t="shared" si="15"/>
        <v>689.92628991523884</v>
      </c>
      <c r="F980" s="479" t="s">
        <v>377</v>
      </c>
      <c r="G980" s="266" t="s">
        <v>1436</v>
      </c>
      <c r="H980" s="479"/>
      <c r="I980" s="481" t="s">
        <v>1636</v>
      </c>
      <c r="J980" s="482" t="s">
        <v>15</v>
      </c>
      <c r="K980" s="268">
        <v>4680</v>
      </c>
      <c r="L980" s="269" t="s">
        <v>1630</v>
      </c>
      <c r="M980" s="511" t="str">
        <f>IFERROR(INDEX([1]Produtos!$C:$C,MATCH(L980,[1]Produtos!$B:$B,0)), "-")</f>
        <v xml:space="preserve"> BRUMA MATTE FIX 120ml</v>
      </c>
      <c r="N980" s="511">
        <f>IFERROR(INDEX([1]Produtos!$E:$E,MATCH(L980,[1]Produtos!$B:$B,0)), "-")</f>
        <v>120</v>
      </c>
      <c r="O980" s="483" t="str">
        <f>IFERROR(INDEX([1]Produtos!$F:$F,MATCH(L980,[1]Produtos!$B:$B,0)), "-")</f>
        <v>ml</v>
      </c>
      <c r="P980" s="483" t="str">
        <f>IFERROR(INDEX([1]Produtos!$G:$G,MATCH(L980,[1]Produtos!$B:$B,0)), "-")</f>
        <v>MISS RÔSE</v>
      </c>
      <c r="Q980" s="483" t="str">
        <f>IFERROR(INDEX([1]Produtos!$H:$H,MATCH(L980,[1]Produtos!$B:$B,0)), "-")</f>
        <v>MAQUIAGEM</v>
      </c>
      <c r="R980" s="270" t="str">
        <f>IFERROR(INDEX([1]Produtos!$I:$I,MATCH(L980,[1]Produtos!$B:$B,0)), "-")</f>
        <v>BRUMA</v>
      </c>
      <c r="S980" s="270" t="str">
        <f>IFERROR(INDEX([1]Produtos!$J:$J,MATCH(L980,[1]Produtos!$B:$B,0)), "-")</f>
        <v>LÍQUIDO</v>
      </c>
      <c r="T980" s="484"/>
      <c r="U980" s="270"/>
      <c r="V980" s="270"/>
      <c r="W980" s="270"/>
      <c r="X980" s="270"/>
      <c r="Y980" s="270"/>
      <c r="Z980" s="270"/>
      <c r="AA980" s="270"/>
      <c r="AB980" s="270"/>
      <c r="AC980" s="270"/>
      <c r="AD980" s="270"/>
      <c r="AE980" s="270"/>
      <c r="AF980" s="270"/>
      <c r="AG980" s="270"/>
      <c r="AH980" s="270"/>
      <c r="AI980" s="270"/>
      <c r="AJ980" s="270"/>
      <c r="AK980" s="270"/>
      <c r="AL980" s="270"/>
      <c r="AM980" s="663"/>
      <c r="AN980" s="663"/>
      <c r="AO980" s="708" t="str">
        <f>IF(OR(Table1[[#This Row],[Início Setup Envase]]="",Table1[[#This Row],[Final Setup Envase]]=""),"",Table1[[#This Row],[Final Setup Envase]]-Table1[[#This Row],[Início Setup Envase]])</f>
        <v/>
      </c>
      <c r="AP980" s="663"/>
      <c r="AQ980" s="663"/>
      <c r="AR980" s="270"/>
      <c r="AS980" s="270"/>
      <c r="AT980" s="270"/>
      <c r="AU980" s="270"/>
      <c r="AV980" s="270"/>
      <c r="AW980" s="270"/>
      <c r="AX980" s="270"/>
      <c r="AY980" s="270"/>
      <c r="AZ980" s="270"/>
      <c r="BA980" s="270">
        <f>IF(Table1[[#This Row],[Data de Início]]="","",YEAR(Table1[[#This Row],[Data de Início]]))</f>
        <v>2026</v>
      </c>
      <c r="BB980" s="270">
        <f>IF(Table1[[#This Row],[Data de Início]]="","",MONTH(Table1[[#This Row],[Data de Início]]))</f>
        <v>4</v>
      </c>
      <c r="BC980" s="270"/>
    </row>
    <row r="981" spans="2:55" x14ac:dyDescent="0.25">
      <c r="B981" s="489">
        <v>46133.626388888886</v>
      </c>
      <c r="C981" s="490">
        <v>46134.411111111112</v>
      </c>
      <c r="D981" s="477" cm="1">
        <f t="array" ref="D981">IFERROR(HorasUteisFabrica2Turnos(B981,C981), "")</f>
        <v>4.8333333335467614</v>
      </c>
      <c r="E981" s="478">
        <f t="shared" si="15"/>
        <v>294.20689653873268</v>
      </c>
      <c r="F981" s="479" t="s">
        <v>378</v>
      </c>
      <c r="G981" s="266" t="s">
        <v>1560</v>
      </c>
      <c r="H981" s="479"/>
      <c r="I981" s="481" t="s">
        <v>1655</v>
      </c>
      <c r="J981" s="482" t="s">
        <v>15</v>
      </c>
      <c r="K981" s="268">
        <v>1422</v>
      </c>
      <c r="L981" s="269" t="s">
        <v>214</v>
      </c>
      <c r="M981" s="511" t="str">
        <f>IFERROR(INDEX([1]Produtos!$C:$C,MATCH(L981,[1]Produtos!$B:$B,0)), "-")</f>
        <v>BODY SPLASH ECLIPSE DOURADO</v>
      </c>
      <c r="N981" s="511">
        <f>IFERROR(INDEX([1]Produtos!$E:$E,MATCH(L981,[1]Produtos!$B:$B,0)), "-")</f>
        <v>220</v>
      </c>
      <c r="O981" s="483" t="str">
        <f>IFERROR(INDEX([1]Produtos!$F:$F,MATCH(L981,[1]Produtos!$B:$B,0)), "-")</f>
        <v>ml</v>
      </c>
      <c r="P981" s="483" t="str">
        <f>IFERROR(INDEX([1]Produtos!$G:$G,MATCH(L981,[1]Produtos!$B:$B,0)), "-")</f>
        <v>MISS RÔSE</v>
      </c>
      <c r="Q981" s="483" t="str">
        <f>IFERROR(INDEX([1]Produtos!$H:$H,MATCH(L981,[1]Produtos!$B:$B,0)), "-")</f>
        <v>PERFUMARIA</v>
      </c>
      <c r="R981" s="270" t="str">
        <f>IFERROR(INDEX([1]Produtos!$I:$I,MATCH(L981,[1]Produtos!$B:$B,0)), "-")</f>
        <v>BODY SPLASH</v>
      </c>
      <c r="S981" s="270" t="str">
        <f>IFERROR(INDEX([1]Produtos!$J:$J,MATCH(L981,[1]Produtos!$B:$B,0)), "-")</f>
        <v>LÍQUIDO</v>
      </c>
      <c r="T981" s="484"/>
      <c r="U981" s="270"/>
      <c r="V981" s="270"/>
      <c r="W981" s="270"/>
      <c r="X981" s="270"/>
      <c r="Y981" s="270"/>
      <c r="Z981" s="270"/>
      <c r="AA981" s="270"/>
      <c r="AB981" s="270"/>
      <c r="AC981" s="270"/>
      <c r="AD981" s="270"/>
      <c r="AE981" s="270"/>
      <c r="AF981" s="270"/>
      <c r="AG981" s="270"/>
      <c r="AH981" s="270"/>
      <c r="AI981" s="270"/>
      <c r="AJ981" s="270"/>
      <c r="AK981" s="270"/>
      <c r="AL981" s="270"/>
      <c r="AM981" s="663"/>
      <c r="AN981" s="663"/>
      <c r="AO981" s="708" t="str">
        <f>IF(OR(Table1[[#This Row],[Início Setup Envase]]="",Table1[[#This Row],[Final Setup Envase]]=""),"",Table1[[#This Row],[Final Setup Envase]]-Table1[[#This Row],[Início Setup Envase]])</f>
        <v/>
      </c>
      <c r="AP981" s="663"/>
      <c r="AQ981" s="663"/>
      <c r="AR981" s="270"/>
      <c r="AS981" s="270"/>
      <c r="AT981" s="270"/>
      <c r="AU981" s="270"/>
      <c r="AV981" s="270"/>
      <c r="AW981" s="270"/>
      <c r="AX981" s="270"/>
      <c r="AY981" s="270"/>
      <c r="AZ981" s="270"/>
      <c r="BA981" s="270">
        <f>IF(Table1[[#This Row],[Data de Início]]="","",YEAR(Table1[[#This Row],[Data de Início]]))</f>
        <v>2026</v>
      </c>
      <c r="BB981" s="270">
        <f>IF(Table1[[#This Row],[Data de Início]]="","",MONTH(Table1[[#This Row],[Data de Início]]))</f>
        <v>4</v>
      </c>
      <c r="BC981" s="270"/>
    </row>
    <row r="982" spans="2:55" x14ac:dyDescent="0.25">
      <c r="B982" s="489">
        <v>46134.479166666664</v>
      </c>
      <c r="C982" s="490">
        <v>46135.383333333331</v>
      </c>
      <c r="D982" s="477" cm="1">
        <f t="array" ref="D982">IFERROR(HorasUteisFabrica2Turnos(B982,C982), "")</f>
        <v>6.7000000001280569</v>
      </c>
      <c r="E982" s="478">
        <f t="shared" si="15"/>
        <v>680.5970149123649</v>
      </c>
      <c r="F982" s="479" t="s">
        <v>377</v>
      </c>
      <c r="G982" s="266" t="s">
        <v>1436</v>
      </c>
      <c r="H982" s="479"/>
      <c r="I982" s="481" t="s">
        <v>1641</v>
      </c>
      <c r="J982" s="482" t="s">
        <v>15</v>
      </c>
      <c r="K982" s="268">
        <v>4560</v>
      </c>
      <c r="L982" s="269" t="s">
        <v>1630</v>
      </c>
      <c r="M982" s="511" t="str">
        <f>IFERROR(INDEX([1]Produtos!$C:$C,MATCH(L982,[1]Produtos!$B:$B,0)), "-")</f>
        <v xml:space="preserve"> BRUMA MATTE FIX 120ml</v>
      </c>
      <c r="N982" s="511">
        <f>IFERROR(INDEX([1]Produtos!$E:$E,MATCH(L982,[1]Produtos!$B:$B,0)), "-")</f>
        <v>120</v>
      </c>
      <c r="O982" s="483" t="str">
        <f>IFERROR(INDEX([1]Produtos!$F:$F,MATCH(L982,[1]Produtos!$B:$B,0)), "-")</f>
        <v>ml</v>
      </c>
      <c r="P982" s="483" t="str">
        <f>IFERROR(INDEX([1]Produtos!$G:$G,MATCH(L982,[1]Produtos!$B:$B,0)), "-")</f>
        <v>MISS RÔSE</v>
      </c>
      <c r="Q982" s="483" t="str">
        <f>IFERROR(INDEX([1]Produtos!$H:$H,MATCH(L982,[1]Produtos!$B:$B,0)), "-")</f>
        <v>MAQUIAGEM</v>
      </c>
      <c r="R982" s="270" t="str">
        <f>IFERROR(INDEX([1]Produtos!$I:$I,MATCH(L982,[1]Produtos!$B:$B,0)), "-")</f>
        <v>BRUMA</v>
      </c>
      <c r="S982" s="270" t="str">
        <f>IFERROR(INDEX([1]Produtos!$J:$J,MATCH(L982,[1]Produtos!$B:$B,0)), "-")</f>
        <v>LÍQUIDO</v>
      </c>
      <c r="T982" s="484"/>
      <c r="U982" s="270"/>
      <c r="V982" s="270"/>
      <c r="W982" s="270"/>
      <c r="X982" s="270"/>
      <c r="Y982" s="270"/>
      <c r="Z982" s="270"/>
      <c r="AA982" s="270"/>
      <c r="AB982" s="270"/>
      <c r="AC982" s="270"/>
      <c r="AD982" s="270"/>
      <c r="AE982" s="270"/>
      <c r="AF982" s="270"/>
      <c r="AG982" s="270"/>
      <c r="AH982" s="270"/>
      <c r="AI982" s="270"/>
      <c r="AJ982" s="270"/>
      <c r="AK982" s="270"/>
      <c r="AL982" s="270"/>
      <c r="AM982" s="663"/>
      <c r="AN982" s="663"/>
      <c r="AO982" s="708" t="str">
        <f>IF(OR(Table1[[#This Row],[Início Setup Envase]]="",Table1[[#This Row],[Final Setup Envase]]=""),"",Table1[[#This Row],[Final Setup Envase]]-Table1[[#This Row],[Início Setup Envase]])</f>
        <v/>
      </c>
      <c r="AP982" s="663"/>
      <c r="AQ982" s="663"/>
      <c r="AR982" s="270"/>
      <c r="AS982" s="270"/>
      <c r="AT982" s="270"/>
      <c r="AU982" s="270"/>
      <c r="AV982" s="270"/>
      <c r="AW982" s="270"/>
      <c r="AX982" s="270"/>
      <c r="AY982" s="270"/>
      <c r="AZ982" s="270"/>
      <c r="BA982" s="270">
        <f>IF(Table1[[#This Row],[Data de Início]]="","",YEAR(Table1[[#This Row],[Data de Início]]))</f>
        <v>2026</v>
      </c>
      <c r="BB982" s="270">
        <f>IF(Table1[[#This Row],[Data de Início]]="","",MONTH(Table1[[#This Row],[Data de Início]]))</f>
        <v>4</v>
      </c>
      <c r="BC982" s="270"/>
    </row>
    <row r="983" spans="2:55" x14ac:dyDescent="0.25">
      <c r="B983" s="489">
        <v>46134.555555555555</v>
      </c>
      <c r="C983" s="490">
        <v>46135.320833333331</v>
      </c>
      <c r="D983" s="477" cm="1">
        <f t="array" ref="D983">IFERROR(HorasUteisFabrica2Turnos(B983,C983), "")</f>
        <v>4.3666666667559184</v>
      </c>
      <c r="E983" s="478">
        <f t="shared" si="15"/>
        <v>431.67938930415386</v>
      </c>
      <c r="F983" s="479" t="s">
        <v>378</v>
      </c>
      <c r="G983" s="266" t="s">
        <v>1470</v>
      </c>
      <c r="H983" s="479"/>
      <c r="I983" s="481" t="s">
        <v>1660</v>
      </c>
      <c r="J983" s="482" t="s">
        <v>15</v>
      </c>
      <c r="K983" s="268">
        <v>1885</v>
      </c>
      <c r="L983" s="269" t="s">
        <v>1483</v>
      </c>
      <c r="M983" s="511" t="str">
        <f>IFERROR(INDEX([1]Produtos!$C:$C,MATCH(L983,[1]Produtos!$B:$B,0)), "-")</f>
        <v>HIDRATANTE BISNAGA ROSE AURORA 200g</v>
      </c>
      <c r="N983" s="511">
        <f>IFERROR(INDEX([1]Produtos!$E:$E,MATCH(L983,[1]Produtos!$B:$B,0)), "-")</f>
        <v>200</v>
      </c>
      <c r="O983" s="483" t="str">
        <f>IFERROR(INDEX([1]Produtos!$F:$F,MATCH(L983,[1]Produtos!$B:$B,0)), "-")</f>
        <v>g</v>
      </c>
      <c r="P983" s="483" t="str">
        <f>IFERROR(INDEX([1]Produtos!$G:$G,MATCH(L983,[1]Produtos!$B:$B,0)), "-")</f>
        <v>HABIBI PERFUMES</v>
      </c>
      <c r="Q983" s="483" t="str">
        <f>IFERROR(INDEX([1]Produtos!$H:$H,MATCH(L983,[1]Produtos!$B:$B,0)), "-")</f>
        <v>CORPORAL</v>
      </c>
      <c r="R983" s="270" t="str">
        <f>IFERROR(INDEX([1]Produtos!$I:$I,MATCH(L983,[1]Produtos!$B:$B,0)), "-")</f>
        <v>CREME HIDRATANTE</v>
      </c>
      <c r="S983" s="270" t="str">
        <f>IFERROR(INDEX([1]Produtos!$J:$J,MATCH(L983,[1]Produtos!$B:$B,0)), "-")</f>
        <v>CREMOSO</v>
      </c>
      <c r="T983" s="484"/>
      <c r="U983" s="270"/>
      <c r="V983" s="270"/>
      <c r="W983" s="270"/>
      <c r="X983" s="270"/>
      <c r="Y983" s="270"/>
      <c r="Z983" s="270"/>
      <c r="AA983" s="270"/>
      <c r="AB983" s="270"/>
      <c r="AC983" s="270"/>
      <c r="AD983" s="270"/>
      <c r="AE983" s="270"/>
      <c r="AF983" s="270"/>
      <c r="AG983" s="270"/>
      <c r="AH983" s="270"/>
      <c r="AI983" s="270"/>
      <c r="AJ983" s="270"/>
      <c r="AK983" s="270"/>
      <c r="AL983" s="270"/>
      <c r="AM983" s="663"/>
      <c r="AN983" s="663"/>
      <c r="AO983" s="708" t="str">
        <f>IF(OR(Table1[[#This Row],[Início Setup Envase]]="",Table1[[#This Row],[Final Setup Envase]]=""),"",Table1[[#This Row],[Final Setup Envase]]-Table1[[#This Row],[Início Setup Envase]])</f>
        <v/>
      </c>
      <c r="AP983" s="663"/>
      <c r="AQ983" s="663"/>
      <c r="AR983" s="270"/>
      <c r="AS983" s="270"/>
      <c r="AT983" s="270"/>
      <c r="AU983" s="270"/>
      <c r="AV983" s="270"/>
      <c r="AW983" s="270"/>
      <c r="AX983" s="270"/>
      <c r="AY983" s="270"/>
      <c r="AZ983" s="270"/>
      <c r="BA983" s="270">
        <f>IF(Table1[[#This Row],[Data de Início]]="","",YEAR(Table1[[#This Row],[Data de Início]]))</f>
        <v>2026</v>
      </c>
      <c r="BB983" s="270">
        <f>IF(Table1[[#This Row],[Data de Início]]="","",MONTH(Table1[[#This Row],[Data de Início]]))</f>
        <v>4</v>
      </c>
      <c r="BC983" s="270"/>
    </row>
    <row r="984" spans="2:55" x14ac:dyDescent="0.25">
      <c r="B984" s="489">
        <v>46135.383333333331</v>
      </c>
      <c r="C984" s="490">
        <v>46135.694444444445</v>
      </c>
      <c r="D984" s="477" cm="1">
        <f t="array" ref="D984">IFERROR(HorasUteisFabrica2Turnos(B984,C984), "")</f>
        <v>6.4666666667326353</v>
      </c>
      <c r="E984" s="478">
        <f t="shared" si="15"/>
        <v>742.26804122954127</v>
      </c>
      <c r="F984" s="479" t="s">
        <v>377</v>
      </c>
      <c r="G984" s="266" t="s">
        <v>1436</v>
      </c>
      <c r="H984" s="480"/>
      <c r="I984" s="481" t="s">
        <v>1652</v>
      </c>
      <c r="J984" s="482" t="s">
        <v>15</v>
      </c>
      <c r="K984" s="268">
        <v>4800</v>
      </c>
      <c r="L984" s="269" t="s">
        <v>1630</v>
      </c>
      <c r="M984" s="511" t="str">
        <f>IFERROR(INDEX([1]Produtos!$C:$C,MATCH(L984,[1]Produtos!$B:$B,0)), "-")</f>
        <v xml:space="preserve"> BRUMA MATTE FIX 120ml</v>
      </c>
      <c r="N984" s="511">
        <f>IFERROR(INDEX([1]Produtos!$E:$E,MATCH(L984,[1]Produtos!$B:$B,0)), "-")</f>
        <v>120</v>
      </c>
      <c r="O984" s="483" t="str">
        <f>IFERROR(INDEX([1]Produtos!$F:$F,MATCH(L984,[1]Produtos!$B:$B,0)), "-")</f>
        <v>ml</v>
      </c>
      <c r="P984" s="483" t="str">
        <f>IFERROR(INDEX([1]Produtos!$G:$G,MATCH(L984,[1]Produtos!$B:$B,0)), "-")</f>
        <v>MISS RÔSE</v>
      </c>
      <c r="Q984" s="483" t="str">
        <f>IFERROR(INDEX([1]Produtos!$H:$H,MATCH(L984,[1]Produtos!$B:$B,0)), "-")</f>
        <v>MAQUIAGEM</v>
      </c>
      <c r="R984" s="270" t="str">
        <f>IFERROR(INDEX([1]Produtos!$I:$I,MATCH(L984,[1]Produtos!$B:$B,0)), "-")</f>
        <v>BRUMA</v>
      </c>
      <c r="S984" s="270" t="str">
        <f>IFERROR(INDEX([1]Produtos!$J:$J,MATCH(L984,[1]Produtos!$B:$B,0)), "-")</f>
        <v>LÍQUIDO</v>
      </c>
      <c r="T984" s="484"/>
      <c r="U984" s="270"/>
      <c r="V984" s="270"/>
      <c r="W984" s="270"/>
      <c r="X984" s="270"/>
      <c r="Y984" s="270"/>
      <c r="Z984" s="270"/>
      <c r="AA984" s="270"/>
      <c r="AB984" s="270"/>
      <c r="AC984" s="270"/>
      <c r="AD984" s="270"/>
      <c r="AE984" s="270"/>
      <c r="AF984" s="270"/>
      <c r="AG984" s="270"/>
      <c r="AH984" s="270"/>
      <c r="AI984" s="270"/>
      <c r="AJ984" s="270"/>
      <c r="AK984" s="270"/>
      <c r="AL984" s="270"/>
      <c r="AM984" s="663"/>
      <c r="AN984" s="663"/>
      <c r="AO984" s="708" t="str">
        <f>IF(OR(Table1[[#This Row],[Início Setup Envase]]="",Table1[[#This Row],[Final Setup Envase]]=""),"",Table1[[#This Row],[Final Setup Envase]]-Table1[[#This Row],[Início Setup Envase]])</f>
        <v/>
      </c>
      <c r="AP984" s="663"/>
      <c r="AQ984" s="663"/>
      <c r="AR984" s="270"/>
      <c r="AS984" s="270"/>
      <c r="AT984" s="270"/>
      <c r="AU984" s="270"/>
      <c r="AV984" s="270"/>
      <c r="AW984" s="270"/>
      <c r="AX984" s="270"/>
      <c r="AY984" s="270"/>
      <c r="AZ984" s="270"/>
      <c r="BA984" s="270">
        <f>IF(Table1[[#This Row],[Data de Início]]="","",YEAR(Table1[[#This Row],[Data de Início]]))</f>
        <v>2026</v>
      </c>
      <c r="BB984" s="270">
        <f>IF(Table1[[#This Row],[Data de Início]]="","",MONTH(Table1[[#This Row],[Data de Início]]))</f>
        <v>4</v>
      </c>
      <c r="BC984" s="270"/>
    </row>
    <row r="985" spans="2:55" x14ac:dyDescent="0.25">
      <c r="B985" s="489">
        <v>46135.694444444445</v>
      </c>
      <c r="C985" s="490">
        <v>46136.554166666669</v>
      </c>
      <c r="D985" s="477" cm="1">
        <f t="array" ref="D985">IFERROR(HorasUteisFabrica2Turnos(B985,C985), "")</f>
        <v>5.6333333334769122</v>
      </c>
      <c r="E985" s="478">
        <f t="shared" si="15"/>
        <v>774.8520709861682</v>
      </c>
      <c r="F985" s="479" t="s">
        <v>377</v>
      </c>
      <c r="G985" s="266" t="s">
        <v>1436</v>
      </c>
      <c r="H985" s="479"/>
      <c r="I985" s="481" t="s">
        <v>1656</v>
      </c>
      <c r="J985" s="482" t="s">
        <v>15</v>
      </c>
      <c r="K985" s="268">
        <v>4365</v>
      </c>
      <c r="L985" s="269" t="s">
        <v>1630</v>
      </c>
      <c r="M985" s="511" t="str">
        <f>IFERROR(INDEX([1]Produtos!$C:$C,MATCH(L985,[1]Produtos!$B:$B,0)), "-")</f>
        <v xml:space="preserve"> BRUMA MATTE FIX 120ml</v>
      </c>
      <c r="N985" s="511">
        <f>IFERROR(INDEX([1]Produtos!$E:$E,MATCH(L985,[1]Produtos!$B:$B,0)), "-")</f>
        <v>120</v>
      </c>
      <c r="O985" s="483" t="str">
        <f>IFERROR(INDEX([1]Produtos!$F:$F,MATCH(L985,[1]Produtos!$B:$B,0)), "-")</f>
        <v>ml</v>
      </c>
      <c r="P985" s="483" t="str">
        <f>IFERROR(INDEX([1]Produtos!$G:$G,MATCH(L985,[1]Produtos!$B:$B,0)), "-")</f>
        <v>MISS RÔSE</v>
      </c>
      <c r="Q985" s="483" t="str">
        <f>IFERROR(INDEX([1]Produtos!$H:$H,MATCH(L985,[1]Produtos!$B:$B,0)), "-")</f>
        <v>MAQUIAGEM</v>
      </c>
      <c r="R985" s="270" t="str">
        <f>IFERROR(INDEX([1]Produtos!$I:$I,MATCH(L985,[1]Produtos!$B:$B,0)), "-")</f>
        <v>BRUMA</v>
      </c>
      <c r="S985" s="270" t="str">
        <f>IFERROR(INDEX([1]Produtos!$J:$J,MATCH(L985,[1]Produtos!$B:$B,0)), "-")</f>
        <v>LÍQUIDO</v>
      </c>
      <c r="T985" s="625"/>
      <c r="U985" s="483"/>
      <c r="V985" s="483"/>
      <c r="W985" s="483"/>
      <c r="X985" s="483"/>
      <c r="Y985" s="483"/>
      <c r="Z985" s="483"/>
      <c r="AA985" s="483"/>
      <c r="AB985" s="483"/>
      <c r="AC985" s="483"/>
      <c r="AD985" s="483"/>
      <c r="AE985" s="483"/>
      <c r="AF985" s="483"/>
      <c r="AG985" s="483"/>
      <c r="AH985" s="483"/>
      <c r="AI985" s="483"/>
      <c r="AJ985" s="483"/>
      <c r="AK985" s="483"/>
      <c r="AL985" s="483"/>
      <c r="AM985" s="670"/>
      <c r="AN985" s="670"/>
      <c r="AO985" s="711" t="str">
        <f>IF(OR(Table1[[#This Row],[Início Setup Envase]]="",Table1[[#This Row],[Final Setup Envase]]=""),"",Table1[[#This Row],[Final Setup Envase]]-Table1[[#This Row],[Início Setup Envase]])</f>
        <v/>
      </c>
      <c r="AP985" s="670"/>
      <c r="AQ985" s="670"/>
      <c r="AR985" s="483"/>
      <c r="AS985" s="483"/>
      <c r="AT985" s="483"/>
      <c r="AU985" s="483"/>
      <c r="AV985" s="483"/>
      <c r="AW985" s="483"/>
      <c r="AX985" s="483"/>
      <c r="AY985" s="270"/>
      <c r="AZ985" s="270"/>
      <c r="BA985" s="270">
        <f>IF(Table1[[#This Row],[Data de Início]]="","",YEAR(Table1[[#This Row],[Data de Início]]))</f>
        <v>2026</v>
      </c>
      <c r="BB985" s="270">
        <f>IF(Table1[[#This Row],[Data de Início]]="","",MONTH(Table1[[#This Row],[Data de Início]]))</f>
        <v>4</v>
      </c>
      <c r="BC985" s="483"/>
    </row>
    <row r="986" spans="2:55" x14ac:dyDescent="0.25">
      <c r="B986" s="489">
        <v>46136.541666666664</v>
      </c>
      <c r="C986" s="490">
        <v>46137.708333333336</v>
      </c>
      <c r="D986" s="477" cm="1">
        <f t="array" ref="D986">IFERROR(HorasUteisFabrica2Turnos(B986,C986), "")</f>
        <v>18.000000000116415</v>
      </c>
      <c r="E986" s="478">
        <f t="shared" si="15"/>
        <v>167.4444444433615</v>
      </c>
      <c r="F986" s="479" t="s">
        <v>377</v>
      </c>
      <c r="G986" s="266" t="s">
        <v>1610</v>
      </c>
      <c r="H986" s="479"/>
      <c r="I986" s="481" t="s">
        <v>1662</v>
      </c>
      <c r="J986" s="482" t="s">
        <v>15</v>
      </c>
      <c r="K986" s="268">
        <v>3014</v>
      </c>
      <c r="L986" s="269" t="s">
        <v>1275</v>
      </c>
      <c r="M986" s="511" t="str">
        <f>IFERROR(INDEX([1]Produtos!$C:$C,MATCH(L986,[1]Produtos!$B:$B,0)), "-")</f>
        <v>BODY SPLASH DESPERTAR DAS FLORES 200ml</v>
      </c>
      <c r="N986" s="511">
        <f>IFERROR(INDEX([1]Produtos!$E:$E,MATCH(L986,[1]Produtos!$B:$B,0)), "-")</f>
        <v>215</v>
      </c>
      <c r="O986" s="483" t="str">
        <f>IFERROR(INDEX([1]Produtos!$F:$F,MATCH(L986,[1]Produtos!$B:$B,0)), "-")</f>
        <v>ml</v>
      </c>
      <c r="P986" s="477" t="str">
        <f>IFERROR(INDEX([1]Produtos!$G:$G,MATCH(L986,[1]Produtos!$B:$B,0)), "-")</f>
        <v>MISS RÔSE</v>
      </c>
      <c r="Q986" s="483" t="str">
        <f>IFERROR(INDEX([1]Produtos!$H:$H,MATCH(L986,[1]Produtos!$B:$B,0)), "-")</f>
        <v>PERFUMARIA</v>
      </c>
      <c r="R986" s="270" t="str">
        <f>IFERROR(INDEX([1]Produtos!$I:$I,MATCH(L986,[1]Produtos!$B:$B,0)), "-")</f>
        <v>BODY SPLASH</v>
      </c>
      <c r="S986" s="270" t="str">
        <f>IFERROR(INDEX([1]Produtos!$J:$J,MATCH(L986,[1]Produtos!$B:$B,0)), "-")</f>
        <v>LÍQUIDO</v>
      </c>
      <c r="T986" s="625"/>
      <c r="U986" s="483"/>
      <c r="V986" s="483"/>
      <c r="W986" s="483"/>
      <c r="X986" s="483"/>
      <c r="Y986" s="483"/>
      <c r="Z986" s="483"/>
      <c r="AA986" s="483"/>
      <c r="AB986" s="483"/>
      <c r="AC986" s="483"/>
      <c r="AD986" s="483"/>
      <c r="AE986" s="483"/>
      <c r="AF986" s="483"/>
      <c r="AG986" s="483"/>
      <c r="AH986" s="483"/>
      <c r="AI986" s="483"/>
      <c r="AJ986" s="483"/>
      <c r="AK986" s="483"/>
      <c r="AL986" s="483"/>
      <c r="AM986" s="670"/>
      <c r="AN986" s="670"/>
      <c r="AO986" s="711" t="str">
        <f>IF(OR(Table1[[#This Row],[Início Setup Envase]]="",Table1[[#This Row],[Final Setup Envase]]=""),"",Table1[[#This Row],[Final Setup Envase]]-Table1[[#This Row],[Início Setup Envase]])</f>
        <v/>
      </c>
      <c r="AP986" s="670"/>
      <c r="AQ986" s="670"/>
      <c r="AR986" s="483"/>
      <c r="AS986" s="483"/>
      <c r="AT986" s="483"/>
      <c r="AU986" s="483"/>
      <c r="AV986" s="483"/>
      <c r="AW986" s="483"/>
      <c r="AX986" s="483"/>
      <c r="AY986" s="270"/>
      <c r="AZ986" s="270"/>
      <c r="BA986" s="270">
        <f>IF(Table1[[#This Row],[Data de Início]]="","",YEAR(Table1[[#This Row],[Data de Início]]))</f>
        <v>2026</v>
      </c>
      <c r="BB986" s="270">
        <f>IF(Table1[[#This Row],[Data de Início]]="","",MONTH(Table1[[#This Row],[Data de Início]]))</f>
        <v>4</v>
      </c>
      <c r="BC986" s="483"/>
    </row>
    <row r="987" spans="2:55" x14ac:dyDescent="0.25">
      <c r="B987" s="489">
        <v>46136.554166666669</v>
      </c>
      <c r="C987" s="490">
        <v>46137.318055555559</v>
      </c>
      <c r="D987" s="477" cm="1">
        <f t="array" ref="D987">IFERROR(HorasUteisFabrica2Turnos(B987,C987), "")</f>
        <v>3.3333333333721384</v>
      </c>
      <c r="E987" s="478">
        <f t="shared" si="15"/>
        <v>764.99999999109423</v>
      </c>
      <c r="F987" s="479" t="s">
        <v>377</v>
      </c>
      <c r="G987" s="266" t="s">
        <v>1436</v>
      </c>
      <c r="H987" s="479"/>
      <c r="I987" s="481" t="s">
        <v>1654</v>
      </c>
      <c r="J987" s="482" t="s">
        <v>15</v>
      </c>
      <c r="K987" s="268">
        <v>2550</v>
      </c>
      <c r="L987" s="269" t="s">
        <v>1630</v>
      </c>
      <c r="M987" s="511" t="str">
        <f>IFERROR(INDEX([1]Produtos!$C:$C,MATCH(L987,[1]Produtos!$B:$B,0)), "-")</f>
        <v xml:space="preserve"> BRUMA MATTE FIX 120ml</v>
      </c>
      <c r="N987" s="511">
        <f>IFERROR(INDEX([1]Produtos!$E:$E,MATCH(L987,[1]Produtos!$B:$B,0)), "-")</f>
        <v>120</v>
      </c>
      <c r="O987" s="483" t="str">
        <f>IFERROR(INDEX([1]Produtos!$F:$F,MATCH(L987,[1]Produtos!$B:$B,0)), "-")</f>
        <v>ml</v>
      </c>
      <c r="P987" s="483" t="str">
        <f>IFERROR(INDEX([1]Produtos!$G:$G,MATCH(L987,[1]Produtos!$B:$B,0)), "-")</f>
        <v>MISS RÔSE</v>
      </c>
      <c r="Q987" s="483" t="str">
        <f>IFERROR(INDEX([1]Produtos!$H:$H,MATCH(L987,[1]Produtos!$B:$B,0)), "-")</f>
        <v>MAQUIAGEM</v>
      </c>
      <c r="R987" s="270" t="str">
        <f>IFERROR(INDEX([1]Produtos!$I:$I,MATCH(L987,[1]Produtos!$B:$B,0)), "-")</f>
        <v>BRUMA</v>
      </c>
      <c r="S987" s="270" t="str">
        <f>IFERROR(INDEX([1]Produtos!$J:$J,MATCH(L987,[1]Produtos!$B:$B,0)), "-")</f>
        <v>LÍQUIDO</v>
      </c>
      <c r="T987" s="625"/>
      <c r="U987" s="483"/>
      <c r="V987" s="483"/>
      <c r="W987" s="483"/>
      <c r="X987" s="483"/>
      <c r="Y987" s="483"/>
      <c r="Z987" s="483"/>
      <c r="AA987" s="483"/>
      <c r="AB987" s="483"/>
      <c r="AC987" s="483"/>
      <c r="AD987" s="483"/>
      <c r="AE987" s="483"/>
      <c r="AF987" s="483"/>
      <c r="AG987" s="483"/>
      <c r="AH987" s="483"/>
      <c r="AI987" s="483"/>
      <c r="AJ987" s="483"/>
      <c r="AK987" s="483"/>
      <c r="AL987" s="483"/>
      <c r="AM987" s="670"/>
      <c r="AN987" s="670"/>
      <c r="AO987" s="711" t="str">
        <f>IF(OR(Table1[[#This Row],[Início Setup Envase]]="",Table1[[#This Row],[Final Setup Envase]]=""),"",Table1[[#This Row],[Final Setup Envase]]-Table1[[#This Row],[Início Setup Envase]])</f>
        <v/>
      </c>
      <c r="AP987" s="670"/>
      <c r="AQ987" s="670"/>
      <c r="AR987" s="483"/>
      <c r="AS987" s="483"/>
      <c r="AT987" s="483"/>
      <c r="AU987" s="483"/>
      <c r="AV987" s="483"/>
      <c r="AW987" s="483"/>
      <c r="AX987" s="483"/>
      <c r="AY987" s="270"/>
      <c r="AZ987" s="270"/>
      <c r="BA987" s="270">
        <f>IF(Table1[[#This Row],[Data de Início]]="","",YEAR(Table1[[#This Row],[Data de Início]]))</f>
        <v>2026</v>
      </c>
      <c r="BB987" s="270">
        <f>IF(Table1[[#This Row],[Data de Início]]="","",MONTH(Table1[[#This Row],[Data de Início]]))</f>
        <v>4</v>
      </c>
      <c r="BC987" s="483"/>
    </row>
    <row r="988" spans="2:55" x14ac:dyDescent="0.25">
      <c r="B988" s="489">
        <v>46137.348611111112</v>
      </c>
      <c r="C988" s="490">
        <v>46137.488888888889</v>
      </c>
      <c r="D988" s="477" cm="1">
        <f t="array" ref="D988">IFERROR(HorasUteisFabrica2Turnos(B988,C988), "")</f>
        <v>3.3666666666395031</v>
      </c>
      <c r="E988" s="478">
        <f t="shared" si="15"/>
        <v>866.13861386837448</v>
      </c>
      <c r="F988" s="479" t="s">
        <v>377</v>
      </c>
      <c r="G988" s="266" t="s">
        <v>1610</v>
      </c>
      <c r="H988" s="479"/>
      <c r="I988" s="481" t="s">
        <v>1653</v>
      </c>
      <c r="J988" s="482" t="s">
        <v>15</v>
      </c>
      <c r="K988" s="268">
        <v>2916</v>
      </c>
      <c r="L988" s="269" t="s">
        <v>1275</v>
      </c>
      <c r="M988" s="511" t="str">
        <f>IFERROR(INDEX([1]Produtos!$C:$C,MATCH(L988,[1]Produtos!$B:$B,0)), "-")</f>
        <v>BODY SPLASH DESPERTAR DAS FLORES 200ml</v>
      </c>
      <c r="N988" s="511">
        <f>IFERROR(INDEX([1]Produtos!$E:$E,MATCH(L988,[1]Produtos!$B:$B,0)), "-")</f>
        <v>215</v>
      </c>
      <c r="O988" s="483" t="str">
        <f>IFERROR(INDEX([1]Produtos!$F:$F,MATCH(L988,[1]Produtos!$B:$B,0)), "-")</f>
        <v>ml</v>
      </c>
      <c r="P988" s="483" t="str">
        <f>IFERROR(INDEX([1]Produtos!$G:$G,MATCH(L988,[1]Produtos!$B:$B,0)), "-")</f>
        <v>MISS RÔSE</v>
      </c>
      <c r="Q988" s="483" t="str">
        <f>IFERROR(INDEX([1]Produtos!$H:$H,MATCH(L988,[1]Produtos!$B:$B,0)), "-")</f>
        <v>PERFUMARIA</v>
      </c>
      <c r="R988" s="270" t="str">
        <f>IFERROR(INDEX([1]Produtos!$I:$I,MATCH(L988,[1]Produtos!$B:$B,0)), "-")</f>
        <v>BODY SPLASH</v>
      </c>
      <c r="S988" s="270" t="str">
        <f>IFERROR(INDEX([1]Produtos!$J:$J,MATCH(L988,[1]Produtos!$B:$B,0)), "-")</f>
        <v>LÍQUIDO</v>
      </c>
      <c r="T988" s="625"/>
      <c r="U988" s="483"/>
      <c r="V988" s="483"/>
      <c r="W988" s="483"/>
      <c r="X988" s="483"/>
      <c r="Y988" s="483"/>
      <c r="Z988" s="483"/>
      <c r="AA988" s="483"/>
      <c r="AB988" s="483"/>
      <c r="AC988" s="483"/>
      <c r="AD988" s="483"/>
      <c r="AE988" s="483"/>
      <c r="AF988" s="483"/>
      <c r="AG988" s="483"/>
      <c r="AH988" s="483"/>
      <c r="AI988" s="483"/>
      <c r="AJ988" s="483"/>
      <c r="AK988" s="483"/>
      <c r="AL988" s="483"/>
      <c r="AM988" s="670"/>
      <c r="AN988" s="670"/>
      <c r="AO988" s="711" t="str">
        <f>IF(OR(Table1[[#This Row],[Início Setup Envase]]="",Table1[[#This Row],[Final Setup Envase]]=""),"",Table1[[#This Row],[Final Setup Envase]]-Table1[[#This Row],[Início Setup Envase]])</f>
        <v/>
      </c>
      <c r="AP988" s="670"/>
      <c r="AQ988" s="670"/>
      <c r="AR988" s="483"/>
      <c r="AS988" s="483"/>
      <c r="AT988" s="483"/>
      <c r="AU988" s="483"/>
      <c r="AV988" s="483"/>
      <c r="AW988" s="483"/>
      <c r="AX988" s="483"/>
      <c r="AY988" s="270"/>
      <c r="AZ988" s="270"/>
      <c r="BA988" s="270">
        <f>IF(Table1[[#This Row],[Data de Início]]="","",YEAR(Table1[[#This Row],[Data de Início]]))</f>
        <v>2026</v>
      </c>
      <c r="BB988" s="270">
        <f>IF(Table1[[#This Row],[Data de Início]]="","",MONTH(Table1[[#This Row],[Data de Início]]))</f>
        <v>4</v>
      </c>
      <c r="BC988" s="483"/>
    </row>
    <row r="989" spans="2:55" x14ac:dyDescent="0.25">
      <c r="B989" s="489">
        <v>46139.306250000001</v>
      </c>
      <c r="C989" s="490">
        <v>46139.475694444445</v>
      </c>
      <c r="D989" s="477" cm="1">
        <f t="array" ref="D989">IFERROR(HorasUteisFabrica2Turnos(B989,C989), "")</f>
        <v>4.0666666666511446</v>
      </c>
      <c r="E989" s="478">
        <f t="shared" si="15"/>
        <v>885.2459016427232</v>
      </c>
      <c r="F989" s="479" t="s">
        <v>377</v>
      </c>
      <c r="G989" s="266" t="s">
        <v>1610</v>
      </c>
      <c r="H989" s="479"/>
      <c r="I989" s="481" t="s">
        <v>1659</v>
      </c>
      <c r="J989" s="482" t="s">
        <v>15</v>
      </c>
      <c r="K989" s="268">
        <v>3600</v>
      </c>
      <c r="L989" s="269" t="s">
        <v>1284</v>
      </c>
      <c r="M989" s="511" t="str">
        <f>IFERROR(INDEX([1]Produtos!$C:$C,MATCH(L989,[1]Produtos!$B:$B,0)), "-")</f>
        <v>BODY SPLASH AMBAR REAL 200ml</v>
      </c>
      <c r="N989" s="511">
        <f>IFERROR(INDEX([1]Produtos!$E:$E,MATCH(L989,[1]Produtos!$B:$B,0)), "-")</f>
        <v>215</v>
      </c>
      <c r="O989" s="483" t="str">
        <f>IFERROR(INDEX([1]Produtos!$F:$F,MATCH(L989,[1]Produtos!$B:$B,0)), "-")</f>
        <v>ml</v>
      </c>
      <c r="P989" s="483" t="str">
        <f>IFERROR(INDEX([1]Produtos!$G:$G,MATCH(L989,[1]Produtos!$B:$B,0)), "-")</f>
        <v>MISS RÔSE</v>
      </c>
      <c r="Q989" s="483" t="str">
        <f>IFERROR(INDEX([1]Produtos!$H:$H,MATCH(L989,[1]Produtos!$B:$B,0)), "-")</f>
        <v>PERFUMARIA</v>
      </c>
      <c r="R989" s="270" t="str">
        <f>IFERROR(INDEX([1]Produtos!$I:$I,MATCH(L989,[1]Produtos!$B:$B,0)), "-")</f>
        <v>BODY SPLASH</v>
      </c>
      <c r="S989" s="270" t="str">
        <f>IFERROR(INDEX([1]Produtos!$J:$J,MATCH(L989,[1]Produtos!$B:$B,0)), "-")</f>
        <v>LÍQUIDO</v>
      </c>
      <c r="T989" s="625"/>
      <c r="U989" s="483"/>
      <c r="V989" s="483"/>
      <c r="W989" s="483"/>
      <c r="X989" s="483"/>
      <c r="Y989" s="483"/>
      <c r="Z989" s="483"/>
      <c r="AA989" s="483"/>
      <c r="AB989" s="483"/>
      <c r="AC989" s="483"/>
      <c r="AD989" s="483"/>
      <c r="AE989" s="483"/>
      <c r="AF989" s="483"/>
      <c r="AG989" s="483"/>
      <c r="AH989" s="483"/>
      <c r="AI989" s="483"/>
      <c r="AJ989" s="483"/>
      <c r="AK989" s="483"/>
      <c r="AL989" s="483"/>
      <c r="AM989" s="670"/>
      <c r="AN989" s="670"/>
      <c r="AO989" s="711" t="str">
        <f>IF(OR(Table1[[#This Row],[Início Setup Envase]]="",Table1[[#This Row],[Final Setup Envase]]=""),"",Table1[[#This Row],[Final Setup Envase]]-Table1[[#This Row],[Início Setup Envase]])</f>
        <v/>
      </c>
      <c r="AP989" s="670"/>
      <c r="AQ989" s="670"/>
      <c r="AR989" s="483"/>
      <c r="AS989" s="483"/>
      <c r="AT989" s="483"/>
      <c r="AU989" s="483"/>
      <c r="AV989" s="483"/>
      <c r="AW989" s="483"/>
      <c r="AX989" s="483"/>
      <c r="AY989" s="270"/>
      <c r="AZ989" s="270"/>
      <c r="BA989" s="270">
        <f>IF(Table1[[#This Row],[Data de Início]]="","",YEAR(Table1[[#This Row],[Data de Início]]))</f>
        <v>2026</v>
      </c>
      <c r="BB989" s="270">
        <f>IF(Table1[[#This Row],[Data de Início]]="","",MONTH(Table1[[#This Row],[Data de Início]]))</f>
        <v>4</v>
      </c>
      <c r="BC989" s="483"/>
    </row>
    <row r="990" spans="2:55" x14ac:dyDescent="0.25">
      <c r="B990" s="489">
        <v>46139.427083333336</v>
      </c>
      <c r="C990" s="490">
        <v>46140.333333333336</v>
      </c>
      <c r="D990" s="477" cm="1">
        <f t="array" ref="D990">IFERROR(HorasUteisFabrica2Turnos(B990,C990), "")</f>
        <v>6.7500000001164153</v>
      </c>
      <c r="E990" s="478">
        <f t="shared" si="15"/>
        <v>314.37037036494854</v>
      </c>
      <c r="F990" s="479" t="s">
        <v>377</v>
      </c>
      <c r="G990" s="266" t="s">
        <v>1470</v>
      </c>
      <c r="H990" s="479"/>
      <c r="I990" s="481" t="s">
        <v>1661</v>
      </c>
      <c r="J990" s="482" t="s">
        <v>15</v>
      </c>
      <c r="K990" s="268">
        <v>2122</v>
      </c>
      <c r="L990" s="269" t="s">
        <v>1483</v>
      </c>
      <c r="M990" s="511" t="str">
        <f>IFERROR(INDEX([1]Produtos!$C:$C,MATCH(L990,[1]Produtos!$B:$B,0)), "-")</f>
        <v>HIDRATANTE BISNAGA ROSE AURORA 200g</v>
      </c>
      <c r="N990" s="511">
        <f>IFERROR(INDEX([1]Produtos!$E:$E,MATCH(L990,[1]Produtos!$B:$B,0)), "-")</f>
        <v>200</v>
      </c>
      <c r="O990" s="483" t="str">
        <f>IFERROR(INDEX([1]Produtos!$F:$F,MATCH(L990,[1]Produtos!$B:$B,0)), "-")</f>
        <v>g</v>
      </c>
      <c r="P990" s="477" t="str">
        <f>IFERROR(INDEX([1]Produtos!$G:$G,MATCH(L990,[1]Produtos!$B:$B,0)), "-")</f>
        <v>HABIBI PERFUMES</v>
      </c>
      <c r="Q990" s="483" t="str">
        <f>IFERROR(INDEX([1]Produtos!$H:$H,MATCH(L990,[1]Produtos!$B:$B,0)), "-")</f>
        <v>CORPORAL</v>
      </c>
      <c r="R990" s="270" t="str">
        <f>IFERROR(INDEX([1]Produtos!$I:$I,MATCH(L990,[1]Produtos!$B:$B,0)), "-")</f>
        <v>CREME HIDRATANTE</v>
      </c>
      <c r="S990" s="270" t="str">
        <f>IFERROR(INDEX([1]Produtos!$J:$J,MATCH(L990,[1]Produtos!$B:$B,0)), "-")</f>
        <v>CREMOSO</v>
      </c>
      <c r="T990" s="625"/>
      <c r="U990" s="483"/>
      <c r="V990" s="483"/>
      <c r="W990" s="483"/>
      <c r="X990" s="483"/>
      <c r="Y990" s="483"/>
      <c r="Z990" s="483"/>
      <c r="AA990" s="483"/>
      <c r="AB990" s="483"/>
      <c r="AC990" s="483"/>
      <c r="AD990" s="483"/>
      <c r="AE990" s="483"/>
      <c r="AF990" s="483"/>
      <c r="AG990" s="483"/>
      <c r="AH990" s="483"/>
      <c r="AI990" s="483"/>
      <c r="AJ990" s="483"/>
      <c r="AK990" s="483"/>
      <c r="AL990" s="483"/>
      <c r="AM990" s="670"/>
      <c r="AN990" s="670"/>
      <c r="AO990" s="711" t="str">
        <f>IF(OR(Table1[[#This Row],[Início Setup Envase]]="",Table1[[#This Row],[Final Setup Envase]]=""),"",Table1[[#This Row],[Final Setup Envase]]-Table1[[#This Row],[Início Setup Envase]])</f>
        <v/>
      </c>
      <c r="AP990" s="670"/>
      <c r="AQ990" s="670"/>
      <c r="AR990" s="483"/>
      <c r="AS990" s="483"/>
      <c r="AT990" s="483"/>
      <c r="AU990" s="483"/>
      <c r="AV990" s="483"/>
      <c r="AW990" s="483"/>
      <c r="AX990" s="483"/>
      <c r="AY990" s="270"/>
      <c r="AZ990" s="270"/>
      <c r="BA990" s="270">
        <f>IF(Table1[[#This Row],[Data de Início]]="","",YEAR(Table1[[#This Row],[Data de Início]]))</f>
        <v>2026</v>
      </c>
      <c r="BB990" s="270">
        <f>IF(Table1[[#This Row],[Data de Início]]="","",MONTH(Table1[[#This Row],[Data de Início]]))</f>
        <v>4</v>
      </c>
      <c r="BC990" s="661"/>
    </row>
    <row r="991" spans="2:55" x14ac:dyDescent="0.25">
      <c r="B991" s="489">
        <v>46139.475694444445</v>
      </c>
      <c r="C991" s="490">
        <v>46139.479166666664</v>
      </c>
      <c r="D991" s="477" cm="1">
        <f t="array" ref="D991">IFERROR(HorasUteisFabrica2Turnos(B991,C991), "")</f>
        <v>8.3333333255723119E-2</v>
      </c>
      <c r="E991" s="478">
        <f t="shared" si="15"/>
        <v>2304.0000021457672</v>
      </c>
      <c r="F991" s="479" t="s">
        <v>377</v>
      </c>
      <c r="G991" s="266" t="s">
        <v>1610</v>
      </c>
      <c r="H991" s="479"/>
      <c r="I991" s="481" t="s">
        <v>1658</v>
      </c>
      <c r="J991" s="482" t="s">
        <v>15</v>
      </c>
      <c r="K991" s="268">
        <v>192</v>
      </c>
      <c r="L991" s="269" t="s">
        <v>1284</v>
      </c>
      <c r="M991" s="511" t="str">
        <f>IFERROR(INDEX([1]Produtos!$C:$C,MATCH(L991,[1]Produtos!$B:$B,0)), "-")</f>
        <v>BODY SPLASH AMBAR REAL 200ml</v>
      </c>
      <c r="N991" s="511">
        <f>IFERROR(INDEX([1]Produtos!$E:$E,MATCH(L991,[1]Produtos!$B:$B,0)), "-")</f>
        <v>215</v>
      </c>
      <c r="O991" s="483" t="str">
        <f>IFERROR(INDEX([1]Produtos!$F:$F,MATCH(L991,[1]Produtos!$B:$B,0)), "-")</f>
        <v>ml</v>
      </c>
      <c r="P991" s="483" t="str">
        <f>IFERROR(INDEX([1]Produtos!$G:$G,MATCH(L991,[1]Produtos!$B:$B,0)), "-")</f>
        <v>MISS RÔSE</v>
      </c>
      <c r="Q991" s="483" t="str">
        <f>IFERROR(INDEX([1]Produtos!$H:$H,MATCH(L991,[1]Produtos!$B:$B,0)), "-")</f>
        <v>PERFUMARIA</v>
      </c>
      <c r="R991" s="270" t="str">
        <f>IFERROR(INDEX([1]Produtos!$I:$I,MATCH(L991,[1]Produtos!$B:$B,0)), "-")</f>
        <v>BODY SPLASH</v>
      </c>
      <c r="S991" s="270" t="str">
        <f>IFERROR(INDEX([1]Produtos!$J:$J,MATCH(L991,[1]Produtos!$B:$B,0)), "-")</f>
        <v>LÍQUIDO</v>
      </c>
      <c r="T991" s="625"/>
      <c r="U991" s="483"/>
      <c r="V991" s="483"/>
      <c r="W991" s="483"/>
      <c r="X991" s="483"/>
      <c r="Y991" s="483"/>
      <c r="Z991" s="483"/>
      <c r="AA991" s="483"/>
      <c r="AB991" s="483"/>
      <c r="AC991" s="483"/>
      <c r="AD991" s="483"/>
      <c r="AE991" s="483"/>
      <c r="AF991" s="483"/>
      <c r="AG991" s="483"/>
      <c r="AH991" s="483"/>
      <c r="AI991" s="483"/>
      <c r="AJ991" s="483"/>
      <c r="AK991" s="483"/>
      <c r="AL991" s="483"/>
      <c r="AM991" s="670"/>
      <c r="AN991" s="670"/>
      <c r="AO991" s="711" t="str">
        <f>IF(OR(Table1[[#This Row],[Início Setup Envase]]="",Table1[[#This Row],[Final Setup Envase]]=""),"",Table1[[#This Row],[Final Setup Envase]]-Table1[[#This Row],[Início Setup Envase]])</f>
        <v/>
      </c>
      <c r="AP991" s="670"/>
      <c r="AQ991" s="670"/>
      <c r="AR991" s="483"/>
      <c r="AS991" s="483"/>
      <c r="AT991" s="483"/>
      <c r="AU991" s="483"/>
      <c r="AV991" s="483"/>
      <c r="AW991" s="483"/>
      <c r="AX991" s="483"/>
      <c r="AY991" s="270"/>
      <c r="AZ991" s="270"/>
      <c r="BA991" s="270">
        <f>IF(Table1[[#This Row],[Data de Início]]="","",YEAR(Table1[[#This Row],[Data de Início]]))</f>
        <v>2026</v>
      </c>
      <c r="BB991" s="270">
        <f>IF(Table1[[#This Row],[Data de Início]]="","",MONTH(Table1[[#This Row],[Data de Início]]))</f>
        <v>4</v>
      </c>
      <c r="BC991" s="483"/>
    </row>
    <row r="992" spans="2:55" x14ac:dyDescent="0.25">
      <c r="B992" s="489">
        <v>46139.48333333333</v>
      </c>
      <c r="C992" s="490">
        <v>46140.347222222219</v>
      </c>
      <c r="D992" s="477" cm="1">
        <f t="array" ref="D992">IFERROR(HorasUteisFabrica2Turnos(B992,C992), "")</f>
        <v>5.7333333334536292</v>
      </c>
      <c r="E992" s="478">
        <f t="shared" si="15"/>
        <v>689.12790696228501</v>
      </c>
      <c r="F992" s="479" t="s">
        <v>377</v>
      </c>
      <c r="G992" s="266" t="s">
        <v>1610</v>
      </c>
      <c r="H992" s="479"/>
      <c r="I992" s="481" t="s">
        <v>1666</v>
      </c>
      <c r="J992" s="482" t="s">
        <v>15</v>
      </c>
      <c r="K992" s="268">
        <v>3951</v>
      </c>
      <c r="L992" s="269" t="s">
        <v>1284</v>
      </c>
      <c r="M992" s="511" t="str">
        <f>IFERROR(INDEX([1]Produtos!$C:$C,MATCH(L992,[1]Produtos!$B:$B,0)), "-")</f>
        <v>BODY SPLASH AMBAR REAL 200ml</v>
      </c>
      <c r="N992" s="511">
        <f>IFERROR(INDEX([1]Produtos!$E:$E,MATCH(L992,[1]Produtos!$B:$B,0)), "-")</f>
        <v>215</v>
      </c>
      <c r="O992" s="483" t="str">
        <f>IFERROR(INDEX([1]Produtos!$F:$F,MATCH(L992,[1]Produtos!$B:$B,0)), "-")</f>
        <v>ml</v>
      </c>
      <c r="P992" s="477" t="str">
        <f>IFERROR(INDEX([1]Produtos!$G:$G,MATCH(L992,[1]Produtos!$B:$B,0)), "-")</f>
        <v>MISS RÔSE</v>
      </c>
      <c r="Q992" s="483" t="str">
        <f>IFERROR(INDEX([1]Produtos!$H:$H,MATCH(L992,[1]Produtos!$B:$B,0)), "-")</f>
        <v>PERFUMARIA</v>
      </c>
      <c r="R992" s="483" t="str">
        <f>IFERROR(INDEX([1]Produtos!$I:$I,MATCH(L992,[1]Produtos!$B:$B,0)), "-")</f>
        <v>BODY SPLASH</v>
      </c>
      <c r="S992" s="483" t="str">
        <f>IFERROR(INDEX([1]Produtos!$J:$J,MATCH(L992,[1]Produtos!$B:$B,0)), "-")</f>
        <v>LÍQUIDO</v>
      </c>
      <c r="T992" s="484"/>
      <c r="U992" s="483"/>
      <c r="V992" s="483"/>
      <c r="W992" s="483"/>
      <c r="X992" s="483"/>
      <c r="Y992" s="483"/>
      <c r="Z992" s="483"/>
      <c r="AA992" s="483"/>
      <c r="AB992" s="483"/>
      <c r="AC992" s="483"/>
      <c r="AD992" s="483"/>
      <c r="AE992" s="483"/>
      <c r="AF992" s="483"/>
      <c r="AG992" s="483"/>
      <c r="AH992" s="483"/>
      <c r="AI992" s="483"/>
      <c r="AJ992" s="483"/>
      <c r="AK992" s="483"/>
      <c r="AL992" s="483"/>
      <c r="AM992" s="670"/>
      <c r="AN992" s="670"/>
      <c r="AO992" s="711" t="str">
        <f>IF(OR(Table1[[#This Row],[Início Setup Envase]]="",Table1[[#This Row],[Final Setup Envase]]=""),"",Table1[[#This Row],[Final Setup Envase]]-Table1[[#This Row],[Início Setup Envase]])</f>
        <v/>
      </c>
      <c r="AP992" s="670"/>
      <c r="AQ992" s="670"/>
      <c r="AR992" s="483"/>
      <c r="AS992" s="483"/>
      <c r="AT992" s="483"/>
      <c r="AU992" s="483"/>
      <c r="AV992" s="483"/>
      <c r="AW992" s="483"/>
      <c r="AX992" s="483"/>
      <c r="AY992" s="270"/>
      <c r="AZ992" s="270"/>
      <c r="BA992" s="270">
        <f>IF(Table1[[#This Row],[Data de Início]]="","",YEAR(Table1[[#This Row],[Data de Início]]))</f>
        <v>2026</v>
      </c>
      <c r="BB992" s="270">
        <f>IF(Table1[[#This Row],[Data de Início]]="","",MONTH(Table1[[#This Row],[Data de Início]]))</f>
        <v>4</v>
      </c>
      <c r="BC992" s="483"/>
    </row>
    <row r="993" spans="2:55" x14ac:dyDescent="0.25">
      <c r="B993" s="489">
        <v>46140.35</v>
      </c>
      <c r="C993" s="490">
        <v>46140.395138888889</v>
      </c>
      <c r="D993" s="477" cm="1">
        <f t="array" ref="D993">IFERROR(HorasUteisFabrica2Turnos(B993,C993), "")</f>
        <v>1.0833333333721384</v>
      </c>
      <c r="E993" s="478">
        <f t="shared" si="15"/>
        <v>502.15384613585894</v>
      </c>
      <c r="F993" s="479" t="s">
        <v>1039</v>
      </c>
      <c r="G993" s="266" t="s">
        <v>1489</v>
      </c>
      <c r="H993" s="479"/>
      <c r="I993" s="481" t="s">
        <v>1670</v>
      </c>
      <c r="J993" s="482" t="s">
        <v>15</v>
      </c>
      <c r="K993" s="268">
        <v>544</v>
      </c>
      <c r="L993" s="269" t="s">
        <v>1668</v>
      </c>
      <c r="M993" s="511" t="str">
        <f>IFERROR(INDEX([1]Produtos!$C:$C,MATCH(L993,[1]Produtos!$B:$B,0)), "-")</f>
        <v>PERFUME CAPILAR ZAHRA</v>
      </c>
      <c r="N993" s="511">
        <f>IFERROR(INDEX([1]Produtos!$E:$E,MATCH(L993,[1]Produtos!$B:$B,0)), "-")</f>
        <v>60</v>
      </c>
      <c r="O993" s="483" t="str">
        <f>IFERROR(INDEX([1]Produtos!$F:$F,MATCH(L993,[1]Produtos!$B:$B,0)), "-")</f>
        <v>ml</v>
      </c>
      <c r="P993" s="477" t="str">
        <f>IFERROR(INDEX([1]Produtos!$G:$G,MATCH(L993,[1]Produtos!$B:$B,0)), "-")</f>
        <v>BRIA BEAUTY</v>
      </c>
      <c r="Q993" s="483" t="str">
        <f>IFERROR(INDEX([1]Produtos!$H:$H,MATCH(L993,[1]Produtos!$B:$B,0)), "-")</f>
        <v>PERFUMARIA</v>
      </c>
      <c r="R993" s="483" t="str">
        <f>IFERROR(INDEX([1]Produtos!$I:$I,MATCH(L993,[1]Produtos!$B:$B,0)), "-")</f>
        <v>PERFUME CAPILAR</v>
      </c>
      <c r="S993" s="483" t="str">
        <f>IFERROR(INDEX([1]Produtos!$J:$J,MATCH(L993,[1]Produtos!$B:$B,0)), "-")</f>
        <v>LÍQUIDO ESPESSO</v>
      </c>
      <c r="T993" s="484"/>
      <c r="U993" s="483"/>
      <c r="V993" s="483"/>
      <c r="W993" s="483"/>
      <c r="X993" s="483"/>
      <c r="Y993" s="483"/>
      <c r="Z993" s="483"/>
      <c r="AA993" s="483"/>
      <c r="AB993" s="483"/>
      <c r="AC993" s="483"/>
      <c r="AD993" s="483"/>
      <c r="AE993" s="483"/>
      <c r="AF993" s="483"/>
      <c r="AG993" s="483"/>
      <c r="AH993" s="483"/>
      <c r="AI993" s="483"/>
      <c r="AJ993" s="483"/>
      <c r="AK993" s="483"/>
      <c r="AL993" s="483"/>
      <c r="AM993" s="670"/>
      <c r="AN993" s="670"/>
      <c r="AO993" s="711" t="str">
        <f>IF(OR(Table1[[#This Row],[Início Setup Envase]]="",Table1[[#This Row],[Final Setup Envase]]=""),"",Table1[[#This Row],[Final Setup Envase]]-Table1[[#This Row],[Início Setup Envase]])</f>
        <v/>
      </c>
      <c r="AP993" s="670"/>
      <c r="AQ993" s="670"/>
      <c r="AR993" s="483"/>
      <c r="AS993" s="483"/>
      <c r="AT993" s="483"/>
      <c r="AU993" s="483"/>
      <c r="AV993" s="483"/>
      <c r="AW993" s="483"/>
      <c r="AX993" s="483"/>
      <c r="AY993" s="270"/>
      <c r="AZ993" s="270"/>
      <c r="BA993" s="270">
        <f>IF(Table1[[#This Row],[Data de Início]]="","",YEAR(Table1[[#This Row],[Data de Início]]))</f>
        <v>2026</v>
      </c>
      <c r="BB993" s="270">
        <f>IF(Table1[[#This Row],[Data de Início]]="","",MONTH(Table1[[#This Row],[Data de Início]]))</f>
        <v>4</v>
      </c>
      <c r="BC993" s="483"/>
    </row>
    <row r="994" spans="2:55" x14ac:dyDescent="0.25">
      <c r="B994" s="489">
        <v>46140.364583333336</v>
      </c>
      <c r="C994" s="490">
        <v>46140.374305555553</v>
      </c>
      <c r="D994" s="477" cm="1">
        <f t="array" ref="D994">IFERROR(HorasUteisFabrica2Turnos(B994,C994), "")</f>
        <v>0.23333333322079852</v>
      </c>
      <c r="E994" s="478">
        <f t="shared" si="15"/>
        <v>1028.5714290675005</v>
      </c>
      <c r="F994" s="479" t="s">
        <v>377</v>
      </c>
      <c r="G994" s="266" t="s">
        <v>1610</v>
      </c>
      <c r="H994" s="479"/>
      <c r="I994" s="481" t="s">
        <v>1665</v>
      </c>
      <c r="J994" s="482" t="s">
        <v>15</v>
      </c>
      <c r="K994" s="268">
        <v>240</v>
      </c>
      <c r="L994" s="269" t="s">
        <v>1275</v>
      </c>
      <c r="M994" s="511" t="str">
        <f>IFERROR(INDEX([1]Produtos!$C:$C,MATCH(L994,[1]Produtos!$B:$B,0)), "-")</f>
        <v>BODY SPLASH DESPERTAR DAS FLORES 200ml</v>
      </c>
      <c r="N994" s="511">
        <f>IFERROR(INDEX([1]Produtos!$E:$E,MATCH(L994,[1]Produtos!$B:$B,0)), "-")</f>
        <v>215</v>
      </c>
      <c r="O994" s="483" t="str">
        <f>IFERROR(INDEX([1]Produtos!$F:$F,MATCH(L994,[1]Produtos!$B:$B,0)), "-")</f>
        <v>ml</v>
      </c>
      <c r="P994" s="477" t="str">
        <f>IFERROR(INDEX([1]Produtos!$G:$G,MATCH(L994,[1]Produtos!$B:$B,0)), "-")</f>
        <v>MISS RÔSE</v>
      </c>
      <c r="Q994" s="483" t="str">
        <f>IFERROR(INDEX([1]Produtos!$H:$H,MATCH(L994,[1]Produtos!$B:$B,0)), "-")</f>
        <v>PERFUMARIA</v>
      </c>
      <c r="R994" s="483" t="str">
        <f>IFERROR(INDEX([1]Produtos!$I:$I,MATCH(L994,[1]Produtos!$B:$B,0)), "-")</f>
        <v>BODY SPLASH</v>
      </c>
      <c r="S994" s="483" t="str">
        <f>IFERROR(INDEX([1]Produtos!$J:$J,MATCH(L994,[1]Produtos!$B:$B,0)), "-")</f>
        <v>LÍQUIDO</v>
      </c>
      <c r="T994" s="484"/>
      <c r="U994" s="483"/>
      <c r="V994" s="483"/>
      <c r="W994" s="483"/>
      <c r="X994" s="483"/>
      <c r="Y994" s="483"/>
      <c r="Z994" s="483"/>
      <c r="AA994" s="483"/>
      <c r="AB994" s="483"/>
      <c r="AC994" s="483"/>
      <c r="AD994" s="483"/>
      <c r="AE994" s="483"/>
      <c r="AF994" s="483"/>
      <c r="AG994" s="483"/>
      <c r="AH994" s="483"/>
      <c r="AI994" s="483"/>
      <c r="AJ994" s="483"/>
      <c r="AK994" s="483"/>
      <c r="AL994" s="483"/>
      <c r="AM994" s="670"/>
      <c r="AN994" s="670"/>
      <c r="AO994" s="711" t="str">
        <f>IF(OR(Table1[[#This Row],[Início Setup Envase]]="",Table1[[#This Row],[Final Setup Envase]]=""),"",Table1[[#This Row],[Final Setup Envase]]-Table1[[#This Row],[Início Setup Envase]])</f>
        <v/>
      </c>
      <c r="AP994" s="670"/>
      <c r="AQ994" s="670"/>
      <c r="AR994" s="483"/>
      <c r="AS994" s="483"/>
      <c r="AT994" s="483"/>
      <c r="AU994" s="483"/>
      <c r="AV994" s="483"/>
      <c r="AW994" s="483"/>
      <c r="AX994" s="483"/>
      <c r="AY994" s="270"/>
      <c r="AZ994" s="270"/>
      <c r="BA994" s="270">
        <f>IF(Table1[[#This Row],[Data de Início]]="","",YEAR(Table1[[#This Row],[Data de Início]]))</f>
        <v>2026</v>
      </c>
      <c r="BB994" s="270">
        <f>IF(Table1[[#This Row],[Data de Início]]="","",MONTH(Table1[[#This Row],[Data de Início]]))</f>
        <v>4</v>
      </c>
      <c r="BC994" s="483"/>
    </row>
    <row r="995" spans="2:55" x14ac:dyDescent="0.25">
      <c r="B995" s="489">
        <v>46140.381944444445</v>
      </c>
      <c r="C995" s="490">
        <v>46140.581250000003</v>
      </c>
      <c r="D995" s="477" cm="1">
        <f t="array" ref="D995">IFERROR(HorasUteisFabrica2Turnos(B995,C995), "")</f>
        <v>3.78333333338378</v>
      </c>
      <c r="E995" s="478">
        <f t="shared" si="15"/>
        <v>850.04405285210169</v>
      </c>
      <c r="F995" s="479" t="s">
        <v>377</v>
      </c>
      <c r="G995" s="266" t="s">
        <v>1560</v>
      </c>
      <c r="H995" s="479"/>
      <c r="I995" s="481" t="s">
        <v>1663</v>
      </c>
      <c r="J995" s="482" t="s">
        <v>15</v>
      </c>
      <c r="K995" s="268">
        <v>3216</v>
      </c>
      <c r="L995" s="269" t="s">
        <v>214</v>
      </c>
      <c r="M995" s="511" t="str">
        <f>IFERROR(INDEX([1]Produtos!$C:$C,MATCH(L995,[1]Produtos!$B:$B,0)), "-")</f>
        <v>BODY SPLASH ECLIPSE DOURADO</v>
      </c>
      <c r="N995" s="511">
        <f>IFERROR(INDEX([1]Produtos!$E:$E,MATCH(L995,[1]Produtos!$B:$B,0)), "-")</f>
        <v>220</v>
      </c>
      <c r="O995" s="483" t="str">
        <f>IFERROR(INDEX([1]Produtos!$F:$F,MATCH(L995,[1]Produtos!$B:$B,0)), "-")</f>
        <v>ml</v>
      </c>
      <c r="P995" s="477" t="str">
        <f>IFERROR(INDEX([1]Produtos!$G:$G,MATCH(L995,[1]Produtos!$B:$B,0)), "-")</f>
        <v>MISS RÔSE</v>
      </c>
      <c r="Q995" s="483" t="str">
        <f>IFERROR(INDEX([1]Produtos!$H:$H,MATCH(L995,[1]Produtos!$B:$B,0)), "-")</f>
        <v>PERFUMARIA</v>
      </c>
      <c r="R995" s="483" t="str">
        <f>IFERROR(INDEX([1]Produtos!$I:$I,MATCH(L995,[1]Produtos!$B:$B,0)), "-")</f>
        <v>BODY SPLASH</v>
      </c>
      <c r="S995" s="483" t="str">
        <f>IFERROR(INDEX([1]Produtos!$J:$J,MATCH(L995,[1]Produtos!$B:$B,0)), "-")</f>
        <v>LÍQUIDO</v>
      </c>
      <c r="T995" s="484"/>
      <c r="U995" s="483"/>
      <c r="V995" s="483"/>
      <c r="W995" s="483"/>
      <c r="X995" s="483"/>
      <c r="Y995" s="483"/>
      <c r="Z995" s="483"/>
      <c r="AA995" s="483"/>
      <c r="AB995" s="483"/>
      <c r="AC995" s="483"/>
      <c r="AD995" s="483"/>
      <c r="AE995" s="483"/>
      <c r="AF995" s="483"/>
      <c r="AG995" s="483"/>
      <c r="AH995" s="483"/>
      <c r="AI995" s="483"/>
      <c r="AJ995" s="483"/>
      <c r="AK995" s="483"/>
      <c r="AL995" s="483"/>
      <c r="AM995" s="670"/>
      <c r="AN995" s="670"/>
      <c r="AO995" s="711" t="str">
        <f>IF(OR(Table1[[#This Row],[Início Setup Envase]]="",Table1[[#This Row],[Final Setup Envase]]=""),"",Table1[[#This Row],[Final Setup Envase]]-Table1[[#This Row],[Início Setup Envase]])</f>
        <v/>
      </c>
      <c r="AP995" s="670"/>
      <c r="AQ995" s="670"/>
      <c r="AR995" s="483"/>
      <c r="AS995" s="483"/>
      <c r="AT995" s="483"/>
      <c r="AU995" s="483"/>
      <c r="AV995" s="483"/>
      <c r="AW995" s="483"/>
      <c r="AX995" s="483"/>
      <c r="AY995" s="270"/>
      <c r="AZ995" s="270"/>
      <c r="BA995" s="270">
        <f>IF(Table1[[#This Row],[Data de Início]]="","",YEAR(Table1[[#This Row],[Data de Início]]))</f>
        <v>2026</v>
      </c>
      <c r="BB995" s="270">
        <f>IF(Table1[[#This Row],[Data de Início]]="","",MONTH(Table1[[#This Row],[Data de Início]]))</f>
        <v>4</v>
      </c>
      <c r="BC995" s="483"/>
    </row>
    <row r="996" spans="2:55" x14ac:dyDescent="0.25">
      <c r="B996" s="489">
        <v>46140.395833333336</v>
      </c>
      <c r="C996" s="490">
        <v>46141.613888888889</v>
      </c>
      <c r="D996" s="477" cm="1">
        <f t="array" ref="D996">IFERROR(HorasUteisFabrica2Turnos(B996,C996), "")</f>
        <v>13.233333333395422</v>
      </c>
      <c r="E996" s="478">
        <f t="shared" si="15"/>
        <v>507.80856422935551</v>
      </c>
      <c r="F996" s="479" t="s">
        <v>1039</v>
      </c>
      <c r="G996" s="266" t="s">
        <v>1489</v>
      </c>
      <c r="H996" s="479"/>
      <c r="I996" s="481" t="s">
        <v>1671</v>
      </c>
      <c r="J996" s="482" t="s">
        <v>15</v>
      </c>
      <c r="K996" s="268">
        <v>6720</v>
      </c>
      <c r="L996" s="269" t="s">
        <v>1668</v>
      </c>
      <c r="M996" s="511" t="str">
        <f>IFERROR(INDEX([1]Produtos!$C:$C,MATCH(L996,[1]Produtos!$B:$B,0)), "-")</f>
        <v>PERFUME CAPILAR ZAHRA</v>
      </c>
      <c r="N996" s="511">
        <f>IFERROR(INDEX([1]Produtos!$E:$E,MATCH(L996,[1]Produtos!$B:$B,0)), "-")</f>
        <v>60</v>
      </c>
      <c r="O996" s="483" t="str">
        <f>IFERROR(INDEX([1]Produtos!$F:$F,MATCH(L996,[1]Produtos!$B:$B,0)), "-")</f>
        <v>ml</v>
      </c>
      <c r="P996" s="477" t="str">
        <f>IFERROR(INDEX([1]Produtos!$G:$G,MATCH(L996,[1]Produtos!$B:$B,0)), "-")</f>
        <v>BRIA BEAUTY</v>
      </c>
      <c r="Q996" s="483" t="str">
        <f>IFERROR(INDEX([1]Produtos!$H:$H,MATCH(L996,[1]Produtos!$B:$B,0)), "-")</f>
        <v>PERFUMARIA</v>
      </c>
      <c r="R996" s="483" t="str">
        <f>IFERROR(INDEX([1]Produtos!$I:$I,MATCH(L996,[1]Produtos!$B:$B,0)), "-")</f>
        <v>PERFUME CAPILAR</v>
      </c>
      <c r="S996" s="483" t="str">
        <f>IFERROR(INDEX([1]Produtos!$J:$J,MATCH(L996,[1]Produtos!$B:$B,0)), "-")</f>
        <v>LÍQUIDO ESPESSO</v>
      </c>
      <c r="T996" s="484"/>
      <c r="U996" s="483"/>
      <c r="V996" s="483"/>
      <c r="W996" s="483"/>
      <c r="X996" s="483"/>
      <c r="Y996" s="483"/>
      <c r="Z996" s="483"/>
      <c r="AA996" s="483"/>
      <c r="AB996" s="483"/>
      <c r="AC996" s="483"/>
      <c r="AD996" s="483"/>
      <c r="AE996" s="483"/>
      <c r="AF996" s="483"/>
      <c r="AG996" s="483"/>
      <c r="AH996" s="483"/>
      <c r="AI996" s="483"/>
      <c r="AJ996" s="483"/>
      <c r="AK996" s="483"/>
      <c r="AL996" s="483"/>
      <c r="AM996" s="670"/>
      <c r="AN996" s="670"/>
      <c r="AO996" s="711" t="str">
        <f>IF(OR(Table1[[#This Row],[Início Setup Envase]]="",Table1[[#This Row],[Final Setup Envase]]=""),"",Table1[[#This Row],[Final Setup Envase]]-Table1[[#This Row],[Início Setup Envase]])</f>
        <v/>
      </c>
      <c r="AP996" s="670"/>
      <c r="AQ996" s="670"/>
      <c r="AR996" s="483"/>
      <c r="AS996" s="483"/>
      <c r="AT996" s="483"/>
      <c r="AU996" s="483"/>
      <c r="AV996" s="483"/>
      <c r="AW996" s="483"/>
      <c r="AX996" s="483"/>
      <c r="AY996" s="270"/>
      <c r="AZ996" s="270"/>
      <c r="BA996" s="270">
        <f>IF(Table1[[#This Row],[Data de Início]]="","",YEAR(Table1[[#This Row],[Data de Início]]))</f>
        <v>2026</v>
      </c>
      <c r="BB996" s="270">
        <f>IF(Table1[[#This Row],[Data de Início]]="","",MONTH(Table1[[#This Row],[Data de Início]]))</f>
        <v>4</v>
      </c>
      <c r="BC996" s="483"/>
    </row>
    <row r="997" spans="2:55" x14ac:dyDescent="0.25">
      <c r="B997" s="489">
        <v>46140.46875</v>
      </c>
      <c r="C997" s="490">
        <v>46140.701388888891</v>
      </c>
      <c r="D997" s="477" cm="1">
        <f t="array" ref="D997">IFERROR(HorasUteisFabrica2Turnos(B997,C997), "")</f>
        <v>4.5833333333721384</v>
      </c>
      <c r="E997" s="478">
        <f t="shared" si="15"/>
        <v>374.61818181501008</v>
      </c>
      <c r="F997" s="479" t="s">
        <v>378</v>
      </c>
      <c r="G997" s="266" t="s">
        <v>1470</v>
      </c>
      <c r="H997" s="479"/>
      <c r="I997" s="482" t="s">
        <v>1807</v>
      </c>
      <c r="J997" s="482" t="s">
        <v>15</v>
      </c>
      <c r="K997" s="268">
        <v>1717</v>
      </c>
      <c r="L997" s="269" t="s">
        <v>1476</v>
      </c>
      <c r="M997" s="511" t="str">
        <f>IFERROR(INDEX([1]Produtos!$C:$C,MATCH(L997,[1]Produtos!$B:$B,0)), "-")</f>
        <v>HIDRATANTE BISNAGA IMPERIUM 200g</v>
      </c>
      <c r="N997" s="511">
        <f>IFERROR(INDEX([1]Produtos!$E:$E,MATCH(L997,[1]Produtos!$B:$B,0)), "-")</f>
        <v>200</v>
      </c>
      <c r="O997" s="483" t="str">
        <f>IFERROR(INDEX([1]Produtos!$F:$F,MATCH(L997,[1]Produtos!$B:$B,0)), "-")</f>
        <v>g</v>
      </c>
      <c r="P997" s="477" t="str">
        <f>IFERROR(INDEX([1]Produtos!$G:$G,MATCH(L997,[1]Produtos!$B:$B,0)), "-")</f>
        <v>HABIBI PERFUMES</v>
      </c>
      <c r="Q997" s="483" t="str">
        <f>IFERROR(INDEX([1]Produtos!$H:$H,MATCH(L997,[1]Produtos!$B:$B,0)), "-")</f>
        <v>CORPORAL</v>
      </c>
      <c r="R997" s="483" t="str">
        <f>IFERROR(INDEX([1]Produtos!$I:$I,MATCH(L997,[1]Produtos!$B:$B,0)), "-")</f>
        <v>CREME HIDRATANTE</v>
      </c>
      <c r="S997" s="483" t="str">
        <f>IFERROR(INDEX([1]Produtos!$J:$J,MATCH(L997,[1]Produtos!$B:$B,0)), "-")</f>
        <v>CREMOSO</v>
      </c>
      <c r="T997" s="484"/>
      <c r="U997" s="483"/>
      <c r="V997" s="483"/>
      <c r="W997" s="483"/>
      <c r="X997" s="483"/>
      <c r="Y997" s="483"/>
      <c r="Z997" s="483"/>
      <c r="AA997" s="483"/>
      <c r="AB997" s="483"/>
      <c r="AC997" s="483"/>
      <c r="AD997" s="483"/>
      <c r="AE997" s="483"/>
      <c r="AF997" s="483"/>
      <c r="AG997" s="483"/>
      <c r="AH997" s="483"/>
      <c r="AI997" s="483"/>
      <c r="AJ997" s="483"/>
      <c r="AK997" s="483"/>
      <c r="AL997" s="483"/>
      <c r="AM997" s="670"/>
      <c r="AN997" s="670"/>
      <c r="AO997" s="711" t="str">
        <f>IF(OR(Table1[[#This Row],[Início Setup Envase]]="",Table1[[#This Row],[Final Setup Envase]]=""),"",Table1[[#This Row],[Final Setup Envase]]-Table1[[#This Row],[Início Setup Envase]])</f>
        <v/>
      </c>
      <c r="AP997" s="670"/>
      <c r="AQ997" s="670"/>
      <c r="AR997" s="483"/>
      <c r="AS997" s="483"/>
      <c r="AT997" s="483"/>
      <c r="AU997" s="483"/>
      <c r="AV997" s="483"/>
      <c r="AW997" s="483"/>
      <c r="AX997" s="483"/>
      <c r="AY997" s="270"/>
      <c r="AZ997" s="270"/>
      <c r="BA997" s="270">
        <f>IF(Table1[[#This Row],[Data de Início]]="","",YEAR(Table1[[#This Row],[Data de Início]]))</f>
        <v>2026</v>
      </c>
      <c r="BB997" s="270">
        <f>IF(Table1[[#This Row],[Data de Início]]="","",MONTH(Table1[[#This Row],[Data de Início]]))</f>
        <v>4</v>
      </c>
      <c r="BC997" s="483"/>
    </row>
    <row r="998" spans="2:55" x14ac:dyDescent="0.25">
      <c r="B998" s="489">
        <v>46140.578472222223</v>
      </c>
      <c r="C998" s="490">
        <v>46141.333333333336</v>
      </c>
      <c r="D998" s="477" cm="1">
        <f t="array" ref="D998">IFERROR(HorasUteisFabrica2Turnos(B998,C998), "")</f>
        <v>4.1166666668141261</v>
      </c>
      <c r="E998" s="478">
        <f t="shared" si="15"/>
        <v>775.62753033658942</v>
      </c>
      <c r="F998" s="479" t="s">
        <v>377</v>
      </c>
      <c r="G998" s="266" t="s">
        <v>1560</v>
      </c>
      <c r="H998" s="479"/>
      <c r="I998" s="481" t="s">
        <v>1664</v>
      </c>
      <c r="J998" s="482" t="s">
        <v>15</v>
      </c>
      <c r="K998" s="268">
        <v>3193</v>
      </c>
      <c r="L998" s="269" t="s">
        <v>214</v>
      </c>
      <c r="M998" s="511" t="str">
        <f>IFERROR(INDEX([1]Produtos!$C:$C,MATCH(L998,[1]Produtos!$B:$B,0)), "-")</f>
        <v>BODY SPLASH ECLIPSE DOURADO</v>
      </c>
      <c r="N998" s="511">
        <f>IFERROR(INDEX([1]Produtos!$E:$E,MATCH(L998,[1]Produtos!$B:$B,0)), "-")</f>
        <v>220</v>
      </c>
      <c r="O998" s="483" t="str">
        <f>IFERROR(INDEX([1]Produtos!$F:$F,MATCH(L998,[1]Produtos!$B:$B,0)), "-")</f>
        <v>ml</v>
      </c>
      <c r="P998" s="477" t="str">
        <f>IFERROR(INDEX([1]Produtos!$G:$G,MATCH(L998,[1]Produtos!$B:$B,0)), "-")</f>
        <v>MISS RÔSE</v>
      </c>
      <c r="Q998" s="483" t="str">
        <f>IFERROR(INDEX([1]Produtos!$H:$H,MATCH(L998,[1]Produtos!$B:$B,0)), "-")</f>
        <v>PERFUMARIA</v>
      </c>
      <c r="R998" s="483" t="str">
        <f>IFERROR(INDEX([1]Produtos!$I:$I,MATCH(L998,[1]Produtos!$B:$B,0)), "-")</f>
        <v>BODY SPLASH</v>
      </c>
      <c r="S998" s="483" t="str">
        <f>IFERROR(INDEX([1]Produtos!$J:$J,MATCH(L998,[1]Produtos!$B:$B,0)), "-")</f>
        <v>LÍQUIDO</v>
      </c>
      <c r="T998" s="484"/>
      <c r="U998" s="483"/>
      <c r="V998" s="483"/>
      <c r="W998" s="483"/>
      <c r="X998" s="483"/>
      <c r="Y998" s="483"/>
      <c r="Z998" s="483"/>
      <c r="AA998" s="483"/>
      <c r="AB998" s="483"/>
      <c r="AC998" s="483"/>
      <c r="AD998" s="483"/>
      <c r="AE998" s="483"/>
      <c r="AF998" s="483"/>
      <c r="AG998" s="483"/>
      <c r="AH998" s="483"/>
      <c r="AI998" s="483"/>
      <c r="AJ998" s="483"/>
      <c r="AK998" s="483"/>
      <c r="AL998" s="483"/>
      <c r="AM998" s="670"/>
      <c r="AN998" s="670"/>
      <c r="AO998" s="711" t="str">
        <f>IF(OR(Table1[[#This Row],[Início Setup Envase]]="",Table1[[#This Row],[Final Setup Envase]]=""),"",Table1[[#This Row],[Final Setup Envase]]-Table1[[#This Row],[Início Setup Envase]])</f>
        <v/>
      </c>
      <c r="AP998" s="670"/>
      <c r="AQ998" s="670"/>
      <c r="AR998" s="483"/>
      <c r="AS998" s="483"/>
      <c r="AT998" s="483"/>
      <c r="AU998" s="483"/>
      <c r="AV998" s="483"/>
      <c r="AW998" s="483"/>
      <c r="AX998" s="483"/>
      <c r="AY998" s="270"/>
      <c r="AZ998" s="270"/>
      <c r="BA998" s="270">
        <f>IF(Table1[[#This Row],[Data de Início]]="","",YEAR(Table1[[#This Row],[Data de Início]]))</f>
        <v>2026</v>
      </c>
      <c r="BB998" s="270">
        <f>IF(Table1[[#This Row],[Data de Início]]="","",MONTH(Table1[[#This Row],[Data de Início]]))</f>
        <v>4</v>
      </c>
      <c r="BC998" s="483"/>
    </row>
    <row r="999" spans="2:55" x14ac:dyDescent="0.25">
      <c r="B999" s="649">
        <v>46141.305555555555</v>
      </c>
      <c r="C999" s="650">
        <v>46141.359722222223</v>
      </c>
      <c r="D999" s="653" cm="1">
        <f t="array" ref="D999">IFERROR(HorasUteisFabrica2Turnos(B999,C999), "")</f>
        <v>1.3000000000465661</v>
      </c>
      <c r="E999" s="654">
        <f t="shared" si="15"/>
        <v>384.61538460160767</v>
      </c>
      <c r="F999" s="651" t="s">
        <v>378</v>
      </c>
      <c r="G999" s="626" t="s">
        <v>1470</v>
      </c>
      <c r="H999" s="479"/>
      <c r="I999" s="652" t="s">
        <v>1751</v>
      </c>
      <c r="J999" s="657" t="s">
        <v>15</v>
      </c>
      <c r="K999" s="469">
        <v>500</v>
      </c>
      <c r="L999" s="648" t="s">
        <v>1476</v>
      </c>
      <c r="M999" s="660" t="str">
        <f>IFERROR(INDEX([1]Produtos!$C:$C,MATCH(L999,[1]Produtos!$B:$B,0)), "-")</f>
        <v>HIDRATANTE BISNAGA IMPERIUM 200g</v>
      </c>
      <c r="N999" s="660">
        <f>IFERROR(INDEX([1]Produtos!$E:$E,MATCH(L999,[1]Produtos!$B:$B,0)), "-")</f>
        <v>200</v>
      </c>
      <c r="O999" s="661" t="str">
        <f>IFERROR(INDEX([1]Produtos!$F:$F,MATCH(L999,[1]Produtos!$B:$B,0)), "-")</f>
        <v>g</v>
      </c>
      <c r="P999" s="661" t="str">
        <f>IFERROR(INDEX([1]Produtos!$G:$G,MATCH(L999,[1]Produtos!$B:$B,0)), "-")</f>
        <v>HABIBI PERFUMES</v>
      </c>
      <c r="Q999" s="661" t="str">
        <f>IFERROR(INDEX([1]Produtos!$H:$H,MATCH(L999,[1]Produtos!$B:$B,0)), "-")</f>
        <v>CORPORAL</v>
      </c>
      <c r="R999" s="661" t="str">
        <f>IFERROR(INDEX([1]Produtos!$I:$I,MATCH(L999,[1]Produtos!$B:$B,0)), "-")</f>
        <v>CREME HIDRATANTE</v>
      </c>
      <c r="S999" s="661" t="str">
        <f>IFERROR(INDEX([1]Produtos!$J:$J,MATCH(L999,[1]Produtos!$B:$B,0)), "-")</f>
        <v>CREMOSO</v>
      </c>
      <c r="T999" s="701"/>
      <c r="U999" s="661"/>
      <c r="V999" s="661"/>
      <c r="W999" s="661"/>
      <c r="X999" s="661"/>
      <c r="Y999" s="661"/>
      <c r="Z999" s="661"/>
      <c r="AA999" s="661"/>
      <c r="AB999" s="661"/>
      <c r="AC999" s="661"/>
      <c r="AD999" s="661"/>
      <c r="AE999" s="661"/>
      <c r="AF999" s="661"/>
      <c r="AG999" s="660"/>
      <c r="AH999" s="661"/>
      <c r="AI999" s="661"/>
      <c r="AJ999" s="661"/>
      <c r="AK999" s="661"/>
      <c r="AL999" s="661"/>
      <c r="AM999" s="671"/>
      <c r="AN999" s="671"/>
      <c r="AO999" s="712" t="str">
        <f>IF(OR(Table1[[#This Row],[Início Setup Envase]]="",Table1[[#This Row],[Final Setup Envase]]=""),"",Table1[[#This Row],[Final Setup Envase]]-Table1[[#This Row],[Início Setup Envase]])</f>
        <v/>
      </c>
      <c r="AP999" s="671"/>
      <c r="AQ999" s="671"/>
      <c r="AR999" s="661"/>
      <c r="AS999" s="661"/>
      <c r="AT999" s="661"/>
      <c r="AU999" s="661"/>
      <c r="AV999" s="661"/>
      <c r="AW999" s="661"/>
      <c r="AX999" s="661"/>
      <c r="AY999" s="645"/>
      <c r="AZ999" s="645"/>
      <c r="BA999" s="645">
        <f>IF(Table1[[#This Row],[Data de Início]]="","",YEAR(Table1[[#This Row],[Data de Início]]))</f>
        <v>2026</v>
      </c>
      <c r="BB999" s="645">
        <f>IF(Table1[[#This Row],[Data de Início]]="","",MONTH(Table1[[#This Row],[Data de Início]]))</f>
        <v>4</v>
      </c>
      <c r="BC999" s="483"/>
    </row>
    <row r="1000" spans="2:55" x14ac:dyDescent="0.25">
      <c r="B1000" s="489">
        <v>46141.333333333336</v>
      </c>
      <c r="C1000" s="490">
        <v>46141.5625</v>
      </c>
      <c r="D1000" s="477" cm="1">
        <f t="array" ref="D1000">IFERROR(HorasUteisFabrica2Turnos(B1000,C1000), "")</f>
        <v>4.4999999999417923</v>
      </c>
      <c r="E1000" s="478">
        <f t="shared" si="15"/>
        <v>746.66666667632478</v>
      </c>
      <c r="F1000" s="479" t="s">
        <v>377</v>
      </c>
      <c r="G1000" s="266" t="s">
        <v>1560</v>
      </c>
      <c r="H1000" s="479"/>
      <c r="I1000" s="481" t="s">
        <v>1669</v>
      </c>
      <c r="J1000" s="482" t="s">
        <v>15</v>
      </c>
      <c r="K1000" s="268">
        <v>3360</v>
      </c>
      <c r="L1000" s="269" t="s">
        <v>214</v>
      </c>
      <c r="M1000" s="511" t="str">
        <f>IFERROR(INDEX([1]Produtos!$C:$C,MATCH(L1000,[1]Produtos!$B:$B,0)), "-")</f>
        <v>BODY SPLASH ECLIPSE DOURADO</v>
      </c>
      <c r="N1000" s="511">
        <f>IFERROR(INDEX([1]Produtos!$E:$E,MATCH(L1000,[1]Produtos!$B:$B,0)), "-")</f>
        <v>220</v>
      </c>
      <c r="O1000" s="483" t="str">
        <f>IFERROR(INDEX([1]Produtos!$F:$F,MATCH(L1000,[1]Produtos!$B:$B,0)), "-")</f>
        <v>ml</v>
      </c>
      <c r="P1000" s="477" t="str">
        <f>IFERROR(INDEX([1]Produtos!$G:$G,MATCH(L1000,[1]Produtos!$B:$B,0)), "-")</f>
        <v>MISS RÔSE</v>
      </c>
      <c r="Q1000" s="483" t="str">
        <f>IFERROR(INDEX([1]Produtos!$H:$H,MATCH(L1000,[1]Produtos!$B:$B,0)), "-")</f>
        <v>PERFUMARIA</v>
      </c>
      <c r="R1000" s="483" t="str">
        <f>IFERROR(INDEX([1]Produtos!$I:$I,MATCH(L1000,[1]Produtos!$B:$B,0)), "-")</f>
        <v>BODY SPLASH</v>
      </c>
      <c r="S1000" s="483" t="str">
        <f>IFERROR(INDEX([1]Produtos!$J:$J,MATCH(L1000,[1]Produtos!$B:$B,0)), "-")</f>
        <v>LÍQUIDO</v>
      </c>
      <c r="T1000" s="484"/>
      <c r="U1000" s="483"/>
      <c r="V1000" s="483"/>
      <c r="W1000" s="483"/>
      <c r="X1000" s="483"/>
      <c r="Y1000" s="483"/>
      <c r="Z1000" s="483"/>
      <c r="AA1000" s="483"/>
      <c r="AB1000" s="483"/>
      <c r="AC1000" s="483"/>
      <c r="AD1000" s="483"/>
      <c r="AE1000" s="483"/>
      <c r="AF1000" s="483"/>
      <c r="AG1000" s="483"/>
      <c r="AH1000" s="483"/>
      <c r="AI1000" s="483"/>
      <c r="AJ1000" s="483"/>
      <c r="AK1000" s="483"/>
      <c r="AL1000" s="483"/>
      <c r="AM1000" s="670"/>
      <c r="AN1000" s="670"/>
      <c r="AO1000" s="711" t="str">
        <f>IF(OR(Table1[[#This Row],[Início Setup Envase]]="",Table1[[#This Row],[Final Setup Envase]]=""),"",Table1[[#This Row],[Final Setup Envase]]-Table1[[#This Row],[Início Setup Envase]])</f>
        <v/>
      </c>
      <c r="AP1000" s="670"/>
      <c r="AQ1000" s="670"/>
      <c r="AR1000" s="483"/>
      <c r="AS1000" s="483"/>
      <c r="AT1000" s="483"/>
      <c r="AU1000" s="483"/>
      <c r="AV1000" s="483"/>
      <c r="AW1000" s="483"/>
      <c r="AX1000" s="483"/>
      <c r="AY1000" s="270"/>
      <c r="AZ1000" s="270"/>
      <c r="BA1000" s="270">
        <f>IF(Table1[[#This Row],[Data de Início]]="","",YEAR(Table1[[#This Row],[Data de Início]]))</f>
        <v>2026</v>
      </c>
      <c r="BB1000" s="270">
        <f>IF(Table1[[#This Row],[Data de Início]]="","",MONTH(Table1[[#This Row],[Data de Início]]))</f>
        <v>4</v>
      </c>
      <c r="BC1000" s="483"/>
    </row>
    <row r="1001" spans="2:55" x14ac:dyDescent="0.25">
      <c r="B1001" s="489">
        <v>46141.381944444445</v>
      </c>
      <c r="C1001" s="490">
        <v>46141.625694444447</v>
      </c>
      <c r="D1001" s="477" cm="1">
        <f t="array" ref="D1001">IFERROR(HorasUteisFabrica2Turnos(B1001,C1001), "")</f>
        <v>4.8500000000349246</v>
      </c>
      <c r="E1001" s="478">
        <f t="shared" si="15"/>
        <v>357.11340205928411</v>
      </c>
      <c r="F1001" s="479" t="s">
        <v>378</v>
      </c>
      <c r="G1001" s="266" t="s">
        <v>1470</v>
      </c>
      <c r="H1001" s="479"/>
      <c r="I1001" s="481" t="s">
        <v>1715</v>
      </c>
      <c r="J1001" s="482" t="s">
        <v>15</v>
      </c>
      <c r="K1001" s="268">
        <v>1732</v>
      </c>
      <c r="L1001" s="269" t="s">
        <v>1487</v>
      </c>
      <c r="M1001" s="511" t="str">
        <f>IFERROR(INDEX([1]Produtos!$C:$C,MATCH(L1001,[1]Produtos!$B:$B,0)), "-")</f>
        <v>HIDRATANTE BISNAGA IMPERIUM BOURBON 200g</v>
      </c>
      <c r="N1001" s="511">
        <f>IFERROR(INDEX([1]Produtos!$E:$E,MATCH(L1001,[1]Produtos!$B:$B,0)), "-")</f>
        <v>200</v>
      </c>
      <c r="O1001" s="483" t="str">
        <f>IFERROR(INDEX([1]Produtos!$F:$F,MATCH(L1001,[1]Produtos!$B:$B,0)), "-")</f>
        <v>g</v>
      </c>
      <c r="P1001" s="477" t="str">
        <f>IFERROR(INDEX([1]Produtos!$G:$G,MATCH(L1001,[1]Produtos!$B:$B,0)), "-")</f>
        <v>HABIBI PERFUMES</v>
      </c>
      <c r="Q1001" s="483" t="str">
        <f>IFERROR(INDEX([1]Produtos!$H:$H,MATCH(L1001,[1]Produtos!$B:$B,0)), "-")</f>
        <v>CORPORAL</v>
      </c>
      <c r="R1001" s="483" t="str">
        <f>IFERROR(INDEX([1]Produtos!$I:$I,MATCH(L1001,[1]Produtos!$B:$B,0)), "-")</f>
        <v>CREME HIDRATANTE</v>
      </c>
      <c r="S1001" s="483" t="str">
        <f>IFERROR(INDEX([1]Produtos!$J:$J,MATCH(L1001,[1]Produtos!$B:$B,0)), "-")</f>
        <v>CREMOSO</v>
      </c>
      <c r="T1001" s="484"/>
      <c r="U1001" s="483"/>
      <c r="V1001" s="483"/>
      <c r="W1001" s="483"/>
      <c r="X1001" s="483"/>
      <c r="Y1001" s="483"/>
      <c r="Z1001" s="483">
        <v>33</v>
      </c>
      <c r="AA1001" s="483"/>
      <c r="AB1001" s="483"/>
      <c r="AC1001" s="483"/>
      <c r="AD1001" s="483"/>
      <c r="AE1001" s="483"/>
      <c r="AF1001" s="483"/>
      <c r="AG1001" s="483"/>
      <c r="AH1001" s="483"/>
      <c r="AI1001" s="483"/>
      <c r="AJ1001" s="483"/>
      <c r="AK1001" s="483"/>
      <c r="AL1001" s="483"/>
      <c r="AM1001" s="670"/>
      <c r="AN1001" s="670"/>
      <c r="AO1001" s="711" t="str">
        <f>IF(OR(Table1[[#This Row],[Início Setup Envase]]="",Table1[[#This Row],[Final Setup Envase]]=""),"",Table1[[#This Row],[Final Setup Envase]]-Table1[[#This Row],[Início Setup Envase]])</f>
        <v/>
      </c>
      <c r="AP1001" s="670"/>
      <c r="AQ1001" s="670"/>
      <c r="AR1001" s="483"/>
      <c r="AS1001" s="483"/>
      <c r="AT1001" s="483"/>
      <c r="AU1001" s="483"/>
      <c r="AV1001" s="483"/>
      <c r="AW1001" s="483"/>
      <c r="AX1001" s="483"/>
      <c r="AY1001" s="270"/>
      <c r="AZ1001" s="270"/>
      <c r="BA1001" s="270">
        <f>IF(Table1[[#This Row],[Data de Início]]="","",YEAR(Table1[[#This Row],[Data de Início]]))</f>
        <v>2026</v>
      </c>
      <c r="BB1001" s="270">
        <f>IF(Table1[[#This Row],[Data de Início]]="","",MONTH(Table1[[#This Row],[Data de Início]]))</f>
        <v>4</v>
      </c>
      <c r="BC1001" s="483"/>
    </row>
    <row r="1002" spans="2:55" x14ac:dyDescent="0.25">
      <c r="B1002" s="489">
        <v>46141.563194444447</v>
      </c>
      <c r="C1002" s="490">
        <v>46142.402777777781</v>
      </c>
      <c r="D1002" s="477" cm="1">
        <f t="array" ref="D1002">IFERROR(HorasUteisFabrica2Turnos(B1002,C1002), "")</f>
        <v>6.1500000001396984</v>
      </c>
      <c r="E1002" s="478">
        <f t="shared" si="15"/>
        <v>600.9756097424463</v>
      </c>
      <c r="F1002" s="479" t="s">
        <v>377</v>
      </c>
      <c r="G1002" s="266" t="s">
        <v>1610</v>
      </c>
      <c r="H1002" s="479"/>
      <c r="I1002" s="481" t="s">
        <v>1667</v>
      </c>
      <c r="J1002" s="482" t="s">
        <v>15</v>
      </c>
      <c r="K1002" s="268">
        <v>3696</v>
      </c>
      <c r="L1002" s="269" t="s">
        <v>1281</v>
      </c>
      <c r="M1002" s="511" t="str">
        <f>IFERROR(INDEX([1]Produtos!$C:$C,MATCH(L1002,[1]Produtos!$B:$B,0)), "-")</f>
        <v>BODY SPLASH CEU INFINITO 200ml</v>
      </c>
      <c r="N1002" s="511">
        <f>IFERROR(INDEX([1]Produtos!$E:$E,MATCH(L1002,[1]Produtos!$B:$B,0)), "-")</f>
        <v>215</v>
      </c>
      <c r="O1002" s="483" t="str">
        <f>IFERROR(INDEX([1]Produtos!$F:$F,MATCH(L1002,[1]Produtos!$B:$B,0)), "-")</f>
        <v>ml</v>
      </c>
      <c r="P1002" s="477" t="str">
        <f>IFERROR(INDEX([1]Produtos!$G:$G,MATCH(L1002,[1]Produtos!$B:$B,0)), "-")</f>
        <v>MISS RÔSE</v>
      </c>
      <c r="Q1002" s="483" t="str">
        <f>IFERROR(INDEX([1]Produtos!$H:$H,MATCH(L1002,[1]Produtos!$B:$B,0)), "-")</f>
        <v>PERFUMARIA</v>
      </c>
      <c r="R1002" s="483" t="str">
        <f>IFERROR(INDEX([1]Produtos!$I:$I,MATCH(L1002,[1]Produtos!$B:$B,0)), "-")</f>
        <v>BODY SPLASH</v>
      </c>
      <c r="S1002" s="483" t="str">
        <f>IFERROR(INDEX([1]Produtos!$J:$J,MATCH(L1002,[1]Produtos!$B:$B,0)), "-")</f>
        <v>LÍQUIDO</v>
      </c>
      <c r="T1002" s="624"/>
      <c r="U1002" s="478"/>
      <c r="V1002" s="479"/>
      <c r="W1002" s="483"/>
      <c r="X1002" s="483"/>
      <c r="Y1002" s="483"/>
      <c r="Z1002" s="483"/>
      <c r="AA1002" s="483"/>
      <c r="AB1002" s="483"/>
      <c r="AC1002" s="483"/>
      <c r="AD1002" s="483"/>
      <c r="AE1002" s="483"/>
      <c r="AF1002" s="483"/>
      <c r="AG1002" s="483"/>
      <c r="AH1002" s="483"/>
      <c r="AI1002" s="483"/>
      <c r="AJ1002" s="483"/>
      <c r="AK1002" s="483"/>
      <c r="AL1002" s="483"/>
      <c r="AM1002" s="670"/>
      <c r="AN1002" s="670"/>
      <c r="AO1002" s="711" t="str">
        <f>IF(OR(Table1[[#This Row],[Início Setup Envase]]="",Table1[[#This Row],[Final Setup Envase]]=""),"",Table1[[#This Row],[Final Setup Envase]]-Table1[[#This Row],[Início Setup Envase]])</f>
        <v/>
      </c>
      <c r="AP1002" s="670"/>
      <c r="AQ1002" s="670"/>
      <c r="AR1002" s="483"/>
      <c r="AS1002" s="483"/>
      <c r="AT1002" s="483"/>
      <c r="AU1002" s="483"/>
      <c r="AV1002" s="483"/>
      <c r="AW1002" s="483"/>
      <c r="AX1002" s="483"/>
      <c r="AY1002" s="270"/>
      <c r="AZ1002" s="270"/>
      <c r="BA1002" s="270">
        <f>IF(Table1[[#This Row],[Data de Início]]="","",YEAR(Table1[[#This Row],[Data de Início]]))</f>
        <v>2026</v>
      </c>
      <c r="BB1002" s="270">
        <f>IF(Table1[[#This Row],[Data de Início]]="","",MONTH(Table1[[#This Row],[Data de Início]]))</f>
        <v>4</v>
      </c>
      <c r="BC1002" s="483"/>
    </row>
    <row r="1003" spans="2:55" x14ac:dyDescent="0.25">
      <c r="B1003" s="489">
        <v>46141.611805555556</v>
      </c>
      <c r="C1003" s="490">
        <v>46150.633333333331</v>
      </c>
      <c r="D1003" s="477" cm="1">
        <f t="array" ref="D1003">IFERROR(HorasUteisFabrica2Turnos(B1003,C1003), "")</f>
        <v>62.51666666730307</v>
      </c>
      <c r="E1003" s="478">
        <f t="shared" si="15"/>
        <v>108.49906691438471</v>
      </c>
      <c r="F1003" s="479" t="s">
        <v>1039</v>
      </c>
      <c r="G1003" s="266" t="s">
        <v>1489</v>
      </c>
      <c r="H1003" s="479"/>
      <c r="I1003" s="482" t="s">
        <v>1752</v>
      </c>
      <c r="J1003" s="481" t="s">
        <v>15</v>
      </c>
      <c r="K1003" s="268">
        <v>6783</v>
      </c>
      <c r="L1003" s="269" t="s">
        <v>1668</v>
      </c>
      <c r="M1003" s="511" t="str">
        <f>IFERROR(INDEX([1]Produtos!$C:$C,MATCH(L1003,[1]Produtos!$B:$B,0)), "-")</f>
        <v>PERFUME CAPILAR ZAHRA</v>
      </c>
      <c r="N1003" s="511">
        <f>IFERROR(INDEX([1]Produtos!$E:$E,MATCH(L1003,[1]Produtos!$B:$B,0)), "-")</f>
        <v>60</v>
      </c>
      <c r="O1003" s="483" t="str">
        <f>IFERROR(INDEX([1]Produtos!$F:$F,MATCH(L1003,[1]Produtos!$B:$B,0)), "-")</f>
        <v>ml</v>
      </c>
      <c r="P1003" s="477" t="str">
        <f>IFERROR(INDEX([1]Produtos!$G:$G,MATCH(L1003,[1]Produtos!$B:$B,0)), "-")</f>
        <v>BRIA BEAUTY</v>
      </c>
      <c r="Q1003" s="483" t="str">
        <f>IFERROR(INDEX([1]Produtos!$H:$H,MATCH(L1003,[1]Produtos!$B:$B,0)), "-")</f>
        <v>PERFUMARIA</v>
      </c>
      <c r="R1003" s="483" t="str">
        <f>IFERROR(INDEX([1]Produtos!$I:$I,MATCH(L1003,[1]Produtos!$B:$B,0)), "-")</f>
        <v>PERFUME CAPILAR</v>
      </c>
      <c r="S1003" s="483" t="str">
        <f>IFERROR(INDEX([1]Produtos!$J:$J,MATCH(L1003,[1]Produtos!$B:$B,0)), "-")</f>
        <v>LÍQUIDO ESPESSO</v>
      </c>
      <c r="T1003" s="484"/>
      <c r="U1003" s="483"/>
      <c r="V1003" s="483"/>
      <c r="W1003" s="483"/>
      <c r="X1003" s="483"/>
      <c r="Y1003" s="483"/>
      <c r="Z1003" s="483"/>
      <c r="AA1003" s="483"/>
      <c r="AB1003" s="483"/>
      <c r="AC1003" s="483"/>
      <c r="AD1003" s="483"/>
      <c r="AE1003" s="483"/>
      <c r="AF1003" s="483"/>
      <c r="AG1003" s="483"/>
      <c r="AH1003" s="483"/>
      <c r="AI1003" s="483"/>
      <c r="AJ1003" s="483"/>
      <c r="AK1003" s="483"/>
      <c r="AL1003" s="483"/>
      <c r="AM1003" s="670"/>
      <c r="AN1003" s="670"/>
      <c r="AO1003" s="711" t="str">
        <f>IF(OR(Table1[[#This Row],[Início Setup Envase]]="",Table1[[#This Row],[Final Setup Envase]]=""),"",Table1[[#This Row],[Final Setup Envase]]-Table1[[#This Row],[Início Setup Envase]])</f>
        <v/>
      </c>
      <c r="AP1003" s="670"/>
      <c r="AQ1003" s="670"/>
      <c r="AR1003" s="483"/>
      <c r="AS1003" s="483"/>
      <c r="AT1003" s="483"/>
      <c r="AU1003" s="483"/>
      <c r="AV1003" s="483"/>
      <c r="AW1003" s="483"/>
      <c r="AX1003" s="483"/>
      <c r="AY1003" s="270"/>
      <c r="AZ1003" s="270"/>
      <c r="BA1003" s="270">
        <f>IF(Table1[[#This Row],[Data de Início]]="","",YEAR(Table1[[#This Row],[Data de Início]]))</f>
        <v>2026</v>
      </c>
      <c r="BB1003" s="270">
        <f>IF(Table1[[#This Row],[Data de Início]]="","",MONTH(Table1[[#This Row],[Data de Início]]))</f>
        <v>4</v>
      </c>
      <c r="BC1003" s="483"/>
    </row>
    <row r="1004" spans="2:55" x14ac:dyDescent="0.25">
      <c r="B1004" s="489">
        <v>46141.628472222219</v>
      </c>
      <c r="C1004" s="490">
        <v>46142.461805555555</v>
      </c>
      <c r="D1004" s="477" cm="1">
        <f t="array" ref="D1004">IFERROR(HorasUteisFabrica2Turnos(B1004,C1004), "")</f>
        <v>6.000000000174623</v>
      </c>
      <c r="E1004" s="478">
        <f t="shared" si="15"/>
        <v>282.99999999176362</v>
      </c>
      <c r="F1004" s="479" t="s">
        <v>378</v>
      </c>
      <c r="G1004" s="266" t="s">
        <v>1470</v>
      </c>
      <c r="H1004" s="479"/>
      <c r="I1004" s="481" t="s">
        <v>1714</v>
      </c>
      <c r="J1004" s="482" t="s">
        <v>15</v>
      </c>
      <c r="K1004" s="268">
        <v>1698</v>
      </c>
      <c r="L1004" s="269" t="s">
        <v>1487</v>
      </c>
      <c r="M1004" s="511" t="str">
        <f>IFERROR(INDEX([1]Produtos!$C:$C,MATCH(L1004,[1]Produtos!$B:$B,0)), "-")</f>
        <v>HIDRATANTE BISNAGA IMPERIUM BOURBON 200g</v>
      </c>
      <c r="N1004" s="511">
        <f>IFERROR(INDEX([1]Produtos!$E:$E,MATCH(L1004,[1]Produtos!$B:$B,0)), "-")</f>
        <v>200</v>
      </c>
      <c r="O1004" s="483" t="str">
        <f>IFERROR(INDEX([1]Produtos!$F:$F,MATCH(L1004,[1]Produtos!$B:$B,0)), "-")</f>
        <v>g</v>
      </c>
      <c r="P1004" s="477" t="str">
        <f>IFERROR(INDEX([1]Produtos!$G:$G,MATCH(L1004,[1]Produtos!$B:$B,0)), "-")</f>
        <v>HABIBI PERFUMES</v>
      </c>
      <c r="Q1004" s="483" t="str">
        <f>IFERROR(INDEX([1]Produtos!$H:$H,MATCH(L1004,[1]Produtos!$B:$B,0)), "-")</f>
        <v>CORPORAL</v>
      </c>
      <c r="R1004" s="483" t="str">
        <f>IFERROR(INDEX([1]Produtos!$I:$I,MATCH(L1004,[1]Produtos!$B:$B,0)), "-")</f>
        <v>CREME HIDRATANTE</v>
      </c>
      <c r="S1004" s="483" t="str">
        <f>IFERROR(INDEX([1]Produtos!$J:$J,MATCH(L1004,[1]Produtos!$B:$B,0)), "-")</f>
        <v>CREMOSO</v>
      </c>
      <c r="T1004" s="484"/>
      <c r="U1004" s="483"/>
      <c r="V1004" s="483"/>
      <c r="W1004" s="483"/>
      <c r="X1004" s="483"/>
      <c r="Y1004" s="483"/>
      <c r="Z1004" s="483">
        <v>23</v>
      </c>
      <c r="AA1004" s="483"/>
      <c r="AB1004" s="483"/>
      <c r="AC1004" s="483"/>
      <c r="AD1004" s="483"/>
      <c r="AE1004" s="483"/>
      <c r="AF1004" s="483"/>
      <c r="AG1004" s="483"/>
      <c r="AH1004" s="483"/>
      <c r="AI1004" s="483"/>
      <c r="AJ1004" s="483"/>
      <c r="AK1004" s="483"/>
      <c r="AL1004" s="483"/>
      <c r="AM1004" s="670"/>
      <c r="AN1004" s="670"/>
      <c r="AO1004" s="711" t="str">
        <f>IF(OR(Table1[[#This Row],[Início Setup Envase]]="",Table1[[#This Row],[Final Setup Envase]]=""),"",Table1[[#This Row],[Final Setup Envase]]-Table1[[#This Row],[Início Setup Envase]])</f>
        <v/>
      </c>
      <c r="AP1004" s="670"/>
      <c r="AQ1004" s="670"/>
      <c r="AR1004" s="483"/>
      <c r="AS1004" s="483"/>
      <c r="AT1004" s="483"/>
      <c r="AU1004" s="483"/>
      <c r="AV1004" s="483"/>
      <c r="AW1004" s="483"/>
      <c r="AX1004" s="483"/>
      <c r="AY1004" s="270"/>
      <c r="AZ1004" s="270"/>
      <c r="BA1004" s="270">
        <f>IF(Table1[[#This Row],[Data de Início]]="","",YEAR(Table1[[#This Row],[Data de Início]]))</f>
        <v>2026</v>
      </c>
      <c r="BB1004" s="270">
        <f>IF(Table1[[#This Row],[Data de Início]]="","",MONTH(Table1[[#This Row],[Data de Início]]))</f>
        <v>4</v>
      </c>
      <c r="BC1004" s="483"/>
    </row>
    <row r="1005" spans="2:55" x14ac:dyDescent="0.25">
      <c r="B1005" s="489">
        <v>46142.402777777781</v>
      </c>
      <c r="C1005" s="490">
        <v>46146.334722222222</v>
      </c>
      <c r="D1005" s="477" cm="1">
        <f t="array" ref="D1005">IFERROR(HorasUteisFabrica2Turnos(B1005,C1005), "")</f>
        <v>15.366666666697711</v>
      </c>
      <c r="E1005" s="478">
        <f t="shared" si="15"/>
        <v>259.26247288450878</v>
      </c>
      <c r="F1005" s="479" t="s">
        <v>377</v>
      </c>
      <c r="G1005" s="266" t="s">
        <v>1610</v>
      </c>
      <c r="H1005" s="479"/>
      <c r="I1005" s="481" t="s">
        <v>1704</v>
      </c>
      <c r="J1005" s="482" t="s">
        <v>15</v>
      </c>
      <c r="K1005" s="268">
        <v>3984</v>
      </c>
      <c r="L1005" s="269" t="s">
        <v>1281</v>
      </c>
      <c r="M1005" s="511" t="str">
        <f>IFERROR(INDEX([1]Produtos!$C:$C,MATCH(L1005,[1]Produtos!$B:$B,0)), "-")</f>
        <v>BODY SPLASH CEU INFINITO 200ml</v>
      </c>
      <c r="N1005" s="511">
        <f>IFERROR(INDEX([1]Produtos!$E:$E,MATCH(L1005,[1]Produtos!$B:$B,0)), "-")</f>
        <v>215</v>
      </c>
      <c r="O1005" s="483" t="str">
        <f>IFERROR(INDEX([1]Produtos!$F:$F,MATCH(L1005,[1]Produtos!$B:$B,0)), "-")</f>
        <v>ml</v>
      </c>
      <c r="P1005" s="477" t="str">
        <f>IFERROR(INDEX([1]Produtos!$G:$G,MATCH(L1005,[1]Produtos!$B:$B,0)), "-")</f>
        <v>MISS RÔSE</v>
      </c>
      <c r="Q1005" s="483" t="str">
        <f>IFERROR(INDEX([1]Produtos!$H:$H,MATCH(L1005,[1]Produtos!$B:$B,0)), "-")</f>
        <v>PERFUMARIA</v>
      </c>
      <c r="R1005" s="483" t="str">
        <f>IFERROR(INDEX([1]Produtos!$I:$I,MATCH(L1005,[1]Produtos!$B:$B,0)), "-")</f>
        <v>BODY SPLASH</v>
      </c>
      <c r="S1005" s="483" t="str">
        <f>IFERROR(INDEX([1]Produtos!$J:$J,MATCH(L1005,[1]Produtos!$B:$B,0)), "-")</f>
        <v>LÍQUIDO</v>
      </c>
      <c r="T1005" s="624"/>
      <c r="U1005" s="478"/>
      <c r="V1005" s="479"/>
      <c r="W1005" s="483"/>
      <c r="X1005" s="483"/>
      <c r="Y1005" s="483"/>
      <c r="Z1005" s="483"/>
      <c r="AA1005" s="483"/>
      <c r="AB1005" s="483"/>
      <c r="AC1005" s="483"/>
      <c r="AD1005" s="483"/>
      <c r="AE1005" s="483"/>
      <c r="AF1005" s="483"/>
      <c r="AG1005" s="483"/>
      <c r="AH1005" s="483"/>
      <c r="AI1005" s="483"/>
      <c r="AJ1005" s="483"/>
      <c r="AK1005" s="483"/>
      <c r="AL1005" s="483"/>
      <c r="AM1005" s="670"/>
      <c r="AN1005" s="670"/>
      <c r="AO1005" s="711" t="str">
        <f>IF(OR(Table1[[#This Row],[Início Setup Envase]]="",Table1[[#This Row],[Final Setup Envase]]=""),"",Table1[[#This Row],[Final Setup Envase]]-Table1[[#This Row],[Início Setup Envase]])</f>
        <v/>
      </c>
      <c r="AP1005" s="670"/>
      <c r="AQ1005" s="670"/>
      <c r="AR1005" s="483"/>
      <c r="AS1005" s="483"/>
      <c r="AT1005" s="483"/>
      <c r="AU1005" s="483"/>
      <c r="AV1005" s="483"/>
      <c r="AW1005" s="483"/>
      <c r="AX1005" s="483"/>
      <c r="AY1005" s="270"/>
      <c r="AZ1005" s="270"/>
      <c r="BA1005" s="270">
        <f>IF(Table1[[#This Row],[Data de Início]]="","",YEAR(Table1[[#This Row],[Data de Início]]))</f>
        <v>2026</v>
      </c>
      <c r="BB1005" s="270">
        <f>IF(Table1[[#This Row],[Data de Início]]="","",MONTH(Table1[[#This Row],[Data de Início]]))</f>
        <v>4</v>
      </c>
      <c r="BC1005" s="483"/>
    </row>
    <row r="1006" spans="2:55" x14ac:dyDescent="0.25">
      <c r="B1006" s="489">
        <v>46142.461805555555</v>
      </c>
      <c r="C1006" s="490">
        <v>46142.59652777778</v>
      </c>
      <c r="D1006" s="477" cm="1">
        <f t="array" ref="D1006">IFERROR(HorasUteisFabrica2Turnos(B1006,C1006), "")</f>
        <v>2.2333333333954215</v>
      </c>
      <c r="E1006" s="478">
        <f t="shared" si="15"/>
        <v>233.73134327708419</v>
      </c>
      <c r="F1006" s="479" t="s">
        <v>378</v>
      </c>
      <c r="G1006" s="266" t="s">
        <v>1470</v>
      </c>
      <c r="H1006" s="479"/>
      <c r="I1006" s="481" t="s">
        <v>1713</v>
      </c>
      <c r="J1006" s="482" t="s">
        <v>15</v>
      </c>
      <c r="K1006" s="268">
        <v>522</v>
      </c>
      <c r="L1006" s="269" t="s">
        <v>1487</v>
      </c>
      <c r="M1006" s="511" t="str">
        <f>IFERROR(INDEX([1]Produtos!$C:$C,MATCH(L1006,[1]Produtos!$B:$B,0)), "-")</f>
        <v>HIDRATANTE BISNAGA IMPERIUM BOURBON 200g</v>
      </c>
      <c r="N1006" s="511">
        <f>IFERROR(INDEX([1]Produtos!$E:$E,MATCH(L1006,[1]Produtos!$B:$B,0)), "-")</f>
        <v>200</v>
      </c>
      <c r="O1006" s="483" t="str">
        <f>IFERROR(INDEX([1]Produtos!$F:$F,MATCH(L1006,[1]Produtos!$B:$B,0)), "-")</f>
        <v>g</v>
      </c>
      <c r="P1006" s="477" t="str">
        <f>IFERROR(INDEX([1]Produtos!$G:$G,MATCH(L1006,[1]Produtos!$B:$B,0)), "-")</f>
        <v>HABIBI PERFUMES</v>
      </c>
      <c r="Q1006" s="483" t="str">
        <f>IFERROR(INDEX([1]Produtos!$H:$H,MATCH(L1006,[1]Produtos!$B:$B,0)), "-")</f>
        <v>CORPORAL</v>
      </c>
      <c r="R1006" s="483" t="str">
        <f>IFERROR(INDEX([1]Produtos!$I:$I,MATCH(L1006,[1]Produtos!$B:$B,0)), "-")</f>
        <v>CREME HIDRATANTE</v>
      </c>
      <c r="S1006" s="483" t="str">
        <f>IFERROR(INDEX([1]Produtos!$J:$J,MATCH(L1006,[1]Produtos!$B:$B,0)), "-")</f>
        <v>CREMOSO</v>
      </c>
      <c r="T1006" s="484"/>
      <c r="U1006" s="483"/>
      <c r="V1006" s="483"/>
      <c r="W1006" s="483"/>
      <c r="X1006" s="483"/>
      <c r="Y1006" s="483"/>
      <c r="Z1006" s="483">
        <v>19</v>
      </c>
      <c r="AA1006" s="483"/>
      <c r="AB1006" s="483"/>
      <c r="AC1006" s="483"/>
      <c r="AD1006" s="483"/>
      <c r="AE1006" s="483"/>
      <c r="AF1006" s="483"/>
      <c r="AG1006" s="483"/>
      <c r="AH1006" s="483"/>
      <c r="AI1006" s="483"/>
      <c r="AJ1006" s="483"/>
      <c r="AK1006" s="483"/>
      <c r="AL1006" s="483"/>
      <c r="AM1006" s="670"/>
      <c r="AN1006" s="670"/>
      <c r="AO1006" s="711" t="str">
        <f>IF(OR(Table1[[#This Row],[Início Setup Envase]]="",Table1[[#This Row],[Final Setup Envase]]=""),"",Table1[[#This Row],[Final Setup Envase]]-Table1[[#This Row],[Início Setup Envase]])</f>
        <v/>
      </c>
      <c r="AP1006" s="670"/>
      <c r="AQ1006" s="670"/>
      <c r="AR1006" s="483"/>
      <c r="AS1006" s="483"/>
      <c r="AT1006" s="483"/>
      <c r="AU1006" s="483"/>
      <c r="AV1006" s="483"/>
      <c r="AW1006" s="483"/>
      <c r="AX1006" s="483"/>
      <c r="AY1006" s="270"/>
      <c r="AZ1006" s="270"/>
      <c r="BA1006" s="270">
        <f>IF(Table1[[#This Row],[Data de Início]]="","",YEAR(Table1[[#This Row],[Data de Início]]))</f>
        <v>2026</v>
      </c>
      <c r="BB1006" s="270">
        <f>IF(Table1[[#This Row],[Data de Início]]="","",MONTH(Table1[[#This Row],[Data de Início]]))</f>
        <v>4</v>
      </c>
      <c r="BC1006" s="483"/>
    </row>
    <row r="1007" spans="2:55" x14ac:dyDescent="0.25">
      <c r="B1007" s="489">
        <v>46142.604166666664</v>
      </c>
      <c r="C1007" s="490">
        <v>46146.425694444442</v>
      </c>
      <c r="D1007" s="477" cm="1">
        <f t="array" ref="D1007">IFERROR(HorasUteisFabrica2Turnos(B1007,C1007), "")</f>
        <v>13.716666666790843</v>
      </c>
      <c r="E1007" s="478">
        <f t="shared" si="15"/>
        <v>120.29161603779315</v>
      </c>
      <c r="F1007" s="479" t="s">
        <v>378</v>
      </c>
      <c r="G1007" s="266" t="s">
        <v>1470</v>
      </c>
      <c r="H1007" s="479"/>
      <c r="I1007" s="481" t="s">
        <v>1705</v>
      </c>
      <c r="J1007" s="482" t="s">
        <v>15</v>
      </c>
      <c r="K1007" s="268">
        <v>1650</v>
      </c>
      <c r="L1007" s="269" t="s">
        <v>1480</v>
      </c>
      <c r="M1007" s="511" t="str">
        <f>IFERROR(INDEX([1]Produtos!$C:$C,MATCH(L1007,[1]Produtos!$B:$B,0)), "-")</f>
        <v>HIDRATANTE BISNAGA DELICADA 200g</v>
      </c>
      <c r="N1007" s="511">
        <f>IFERROR(INDEX([1]Produtos!$E:$E,MATCH(L1007,[1]Produtos!$B:$B,0)), "-")</f>
        <v>200</v>
      </c>
      <c r="O1007" s="483" t="str">
        <f>IFERROR(INDEX([1]Produtos!$F:$F,MATCH(L1007,[1]Produtos!$B:$B,0)), "-")</f>
        <v>g</v>
      </c>
      <c r="P1007" s="477" t="str">
        <f>IFERROR(INDEX([1]Produtos!$G:$G,MATCH(L1007,[1]Produtos!$B:$B,0)), "-")</f>
        <v>HABIBI PERFUMES</v>
      </c>
      <c r="Q1007" s="483" t="str">
        <f>IFERROR(INDEX([1]Produtos!$H:$H,MATCH(L1007,[1]Produtos!$B:$B,0)), "-")</f>
        <v>CORPORAL</v>
      </c>
      <c r="R1007" s="483" t="str">
        <f>IFERROR(INDEX([1]Produtos!$I:$I,MATCH(L1007,[1]Produtos!$B:$B,0)), "-")</f>
        <v>CREME HIDRATANTE</v>
      </c>
      <c r="S1007" s="483" t="str">
        <f>IFERROR(INDEX([1]Produtos!$J:$J,MATCH(L1007,[1]Produtos!$B:$B,0)), "-")</f>
        <v>CREMOSO</v>
      </c>
      <c r="T1007" s="624"/>
      <c r="U1007" s="478"/>
      <c r="V1007" s="479"/>
      <c r="W1007" s="483"/>
      <c r="X1007" s="483"/>
      <c r="Y1007" s="483"/>
      <c r="Z1007" s="483"/>
      <c r="AA1007" s="483"/>
      <c r="AB1007" s="483"/>
      <c r="AC1007" s="483"/>
      <c r="AD1007" s="622"/>
      <c r="AE1007" s="622"/>
      <c r="AF1007" s="483"/>
      <c r="AG1007" s="483"/>
      <c r="AH1007" s="483"/>
      <c r="AI1007" s="483"/>
      <c r="AJ1007" s="483"/>
      <c r="AK1007" s="483"/>
      <c r="AL1007" s="483"/>
      <c r="AM1007" s="670"/>
      <c r="AN1007" s="670"/>
      <c r="AO1007" s="711" t="str">
        <f>IF(OR(Table1[[#This Row],[Início Setup Envase]]="",Table1[[#This Row],[Final Setup Envase]]=""),"",Table1[[#This Row],[Final Setup Envase]]-Table1[[#This Row],[Início Setup Envase]])</f>
        <v/>
      </c>
      <c r="AP1007" s="670"/>
      <c r="AQ1007" s="670"/>
      <c r="AR1007" s="483"/>
      <c r="AS1007" s="483"/>
      <c r="AT1007" s="483"/>
      <c r="AU1007" s="483"/>
      <c r="AV1007" s="483"/>
      <c r="AW1007" s="483"/>
      <c r="AX1007" s="483"/>
      <c r="AY1007" s="270"/>
      <c r="AZ1007" s="270"/>
      <c r="BA1007" s="270">
        <f>IF(Table1[[#This Row],[Data de Início]]="","",YEAR(Table1[[#This Row],[Data de Início]]))</f>
        <v>2026</v>
      </c>
      <c r="BB1007" s="270">
        <f>IF(Table1[[#This Row],[Data de Início]]="","",MONTH(Table1[[#This Row],[Data de Início]]))</f>
        <v>4</v>
      </c>
      <c r="BC1007" s="483" t="s">
        <v>1712</v>
      </c>
    </row>
    <row r="1008" spans="2:55" x14ac:dyDescent="0.25">
      <c r="B1008" s="489">
        <v>46146.416666666664</v>
      </c>
      <c r="C1008" s="490">
        <v>46146.618055555555</v>
      </c>
      <c r="D1008" s="477" cm="1">
        <f t="array" ref="D1008">IFERROR(HorasUteisFabrica2Turnos(B1008,C1008), "")</f>
        <v>3.8333333333721384</v>
      </c>
      <c r="E1008" s="478">
        <f t="shared" si="15"/>
        <v>976.69565216402589</v>
      </c>
      <c r="F1008" s="479" t="s">
        <v>377</v>
      </c>
      <c r="G1008" s="266" t="s">
        <v>1610</v>
      </c>
      <c r="H1008" s="479"/>
      <c r="I1008" s="481" t="s">
        <v>1701</v>
      </c>
      <c r="J1008" s="482" t="s">
        <v>15</v>
      </c>
      <c r="K1008" s="268">
        <v>3744</v>
      </c>
      <c r="L1008" s="269" t="s">
        <v>1260</v>
      </c>
      <c r="M1008" s="511" t="str">
        <f>IFERROR(INDEX([1]Produtos!$C:$C,MATCH(L1008,[1]Produtos!$B:$B,0)), "-")</f>
        <v>BODY SPLASH FLOR D AURA 200ml</v>
      </c>
      <c r="N1008" s="511">
        <f>IFERROR(INDEX([1]Produtos!$E:$E,MATCH(L1008,[1]Produtos!$B:$B,0)), "-")</f>
        <v>215</v>
      </c>
      <c r="O1008" s="483" t="str">
        <f>IFERROR(INDEX([1]Produtos!$F:$F,MATCH(L1008,[1]Produtos!$B:$B,0)), "-")</f>
        <v>ml</v>
      </c>
      <c r="P1008" s="477" t="str">
        <f>IFERROR(INDEX([1]Produtos!$G:$G,MATCH(L1008,[1]Produtos!$B:$B,0)), "-")</f>
        <v>MISS RÔSE</v>
      </c>
      <c r="Q1008" s="483" t="str">
        <f>IFERROR(INDEX([1]Produtos!$H:$H,MATCH(L1008,[1]Produtos!$B:$B,0)), "-")</f>
        <v>PERFUMARIA</v>
      </c>
      <c r="R1008" s="483" t="str">
        <f>IFERROR(INDEX([1]Produtos!$I:$I,MATCH(L1008,[1]Produtos!$B:$B,0)), "-")</f>
        <v>BODY SPLASH</v>
      </c>
      <c r="S1008" s="483" t="str">
        <f>IFERROR(INDEX([1]Produtos!$J:$J,MATCH(L1008,[1]Produtos!$B:$B,0)), "-")</f>
        <v>LÍQUIDO</v>
      </c>
      <c r="T1008" s="624"/>
      <c r="U1008" s="478"/>
      <c r="V1008" s="479"/>
      <c r="W1008" s="483"/>
      <c r="X1008" s="483"/>
      <c r="Y1008" s="483"/>
      <c r="Z1008" s="483"/>
      <c r="AA1008" s="483"/>
      <c r="AB1008" s="483"/>
      <c r="AC1008" s="483"/>
      <c r="AD1008" s="483"/>
      <c r="AE1008" s="483"/>
      <c r="AF1008" s="483"/>
      <c r="AG1008" s="483"/>
      <c r="AH1008" s="483"/>
      <c r="AI1008" s="483"/>
      <c r="AJ1008" s="483"/>
      <c r="AK1008" s="483"/>
      <c r="AL1008" s="483"/>
      <c r="AM1008" s="670"/>
      <c r="AN1008" s="670"/>
      <c r="AO1008" s="711" t="str">
        <f>IF(OR(Table1[[#This Row],[Início Setup Envase]]="",Table1[[#This Row],[Final Setup Envase]]=""),"",Table1[[#This Row],[Final Setup Envase]]-Table1[[#This Row],[Início Setup Envase]])</f>
        <v/>
      </c>
      <c r="AP1008" s="670"/>
      <c r="AQ1008" s="670"/>
      <c r="AR1008" s="483"/>
      <c r="AS1008" s="483"/>
      <c r="AT1008" s="483"/>
      <c r="AU1008" s="483"/>
      <c r="AV1008" s="483"/>
      <c r="AW1008" s="483"/>
      <c r="AX1008" s="483"/>
      <c r="AY1008" s="270"/>
      <c r="AZ1008" s="270"/>
      <c r="BA1008" s="270">
        <f>IF(Table1[[#This Row],[Data de Início]]="","",YEAR(Table1[[#This Row],[Data de Início]]))</f>
        <v>2026</v>
      </c>
      <c r="BB1008" s="270">
        <f>IF(Table1[[#This Row],[Data de Início]]="","",MONTH(Table1[[#This Row],[Data de Início]]))</f>
        <v>5</v>
      </c>
      <c r="BC1008" s="483"/>
    </row>
    <row r="1009" spans="2:87" x14ac:dyDescent="0.25">
      <c r="B1009" s="470">
        <v>46146.429166666669</v>
      </c>
      <c r="C1009" s="263">
        <v>46146.676388888889</v>
      </c>
      <c r="D1009" s="264" cm="1">
        <f t="array" ref="D1009">IFERROR(HorasUteisFabrica2Turnos(B1009,C1009), "")</f>
        <v>4.9333333332906477</v>
      </c>
      <c r="E1009" s="265">
        <f t="shared" si="15"/>
        <v>360.00000000311491</v>
      </c>
      <c r="F1009" s="266" t="s">
        <v>378</v>
      </c>
      <c r="G1009" s="266" t="s">
        <v>1470</v>
      </c>
      <c r="H1009" s="266"/>
      <c r="I1009" s="267" t="s">
        <v>1706</v>
      </c>
      <c r="J1009" s="268" t="s">
        <v>15</v>
      </c>
      <c r="K1009" s="268">
        <v>1776</v>
      </c>
      <c r="L1009" s="269" t="s">
        <v>1480</v>
      </c>
      <c r="M1009" s="510" t="str">
        <f>IFERROR(INDEX([1]Produtos!$C:$C,MATCH(L1009,[1]Produtos!$B:$B,0)), "-")</f>
        <v>HIDRATANTE BISNAGA DELICADA 200g</v>
      </c>
      <c r="N1009" s="510">
        <f>IFERROR(INDEX([1]Produtos!$E:$E,MATCH(L1009,[1]Produtos!$B:$B,0)), "-")</f>
        <v>200</v>
      </c>
      <c r="O1009" s="270" t="str">
        <f>IFERROR(INDEX([1]Produtos!$F:$F,MATCH(L1009,[1]Produtos!$B:$B,0)), "-")</f>
        <v>g</v>
      </c>
      <c r="P1009" s="264" t="str">
        <f>IFERROR(INDEX([1]Produtos!$G:$G,MATCH(L1009,[1]Produtos!$B:$B,0)), "-")</f>
        <v>HABIBI PERFUMES</v>
      </c>
      <c r="Q1009" s="270" t="str">
        <f>IFERROR(INDEX([1]Produtos!$H:$H,MATCH(L1009,[1]Produtos!$B:$B,0)), "-")</f>
        <v>CORPORAL</v>
      </c>
      <c r="R1009" s="270" t="str">
        <f>IFERROR(INDEX([1]Produtos!$I:$I,MATCH(L1009,[1]Produtos!$B:$B,0)), "-")</f>
        <v>CREME HIDRATANTE</v>
      </c>
      <c r="S1009" s="270" t="str">
        <f>IFERROR(INDEX([1]Produtos!$J:$J,MATCH(L1009,[1]Produtos!$B:$B,0)), "-")</f>
        <v>CREMOSO</v>
      </c>
      <c r="T1009" s="745"/>
      <c r="U1009" s="265"/>
      <c r="V1009" s="266"/>
      <c r="W1009" s="270"/>
      <c r="X1009" s="270"/>
      <c r="Y1009" s="270"/>
      <c r="Z1009" s="270"/>
      <c r="AA1009" s="270"/>
      <c r="AB1009" s="270"/>
      <c r="AC1009" s="270"/>
      <c r="AD1009" s="270"/>
      <c r="AE1009" s="270"/>
      <c r="AF1009" s="270"/>
      <c r="AG1009" s="270"/>
      <c r="AH1009" s="270"/>
      <c r="AI1009" s="270"/>
      <c r="AJ1009" s="270"/>
      <c r="AK1009" s="270"/>
      <c r="AL1009" s="270"/>
      <c r="AM1009" s="663"/>
      <c r="AN1009" s="663"/>
      <c r="AO1009" s="708" t="str">
        <f>IF(OR(Table1[[#This Row],[Início Setup Envase]]="",Table1[[#This Row],[Final Setup Envase]]=""),"",Table1[[#This Row],[Final Setup Envase]]-Table1[[#This Row],[Início Setup Envase]])</f>
        <v/>
      </c>
      <c r="AP1009" s="663"/>
      <c r="AQ1009" s="663"/>
      <c r="AR1009" s="270"/>
      <c r="AS1009" s="270"/>
      <c r="AT1009" s="270"/>
      <c r="AU1009" s="270"/>
      <c r="AV1009" s="270"/>
      <c r="AW1009" s="270"/>
      <c r="AX1009" s="270"/>
      <c r="AY1009" s="270"/>
      <c r="AZ1009" s="270"/>
      <c r="BA1009" s="270">
        <f>IF(Table1[[#This Row],[Data de Início]]="","",YEAR(Table1[[#This Row],[Data de Início]]))</f>
        <v>2026</v>
      </c>
      <c r="BB1009" s="270">
        <f>IF(Table1[[#This Row],[Data de Início]]="","",MONTH(Table1[[#This Row],[Data de Início]]))</f>
        <v>5</v>
      </c>
      <c r="BC1009" s="270"/>
    </row>
    <row r="1010" spans="2:87" x14ac:dyDescent="0.25">
      <c r="B1010" s="470">
        <v>46146.618055555555</v>
      </c>
      <c r="C1010" s="263">
        <v>46147.35833333333</v>
      </c>
      <c r="D1010" s="264" cm="1">
        <f t="array" ref="D1010">IFERROR(HorasUteisFabrica2Turnos(B1010,C1010), "")</f>
        <v>3.7666666667209938</v>
      </c>
      <c r="E1010" s="265">
        <f t="shared" si="15"/>
        <v>1002.7433628173957</v>
      </c>
      <c r="F1010" s="266" t="s">
        <v>377</v>
      </c>
      <c r="G1010" s="266" t="s">
        <v>1610</v>
      </c>
      <c r="H1010" s="266"/>
      <c r="I1010" s="267" t="s">
        <v>1702</v>
      </c>
      <c r="J1010" s="268" t="s">
        <v>15</v>
      </c>
      <c r="K1010" s="268">
        <v>3777</v>
      </c>
      <c r="L1010" s="269" t="s">
        <v>1260</v>
      </c>
      <c r="M1010" s="510" t="str">
        <f>IFERROR(INDEX([1]Produtos!$C:$C,MATCH(L1010,[1]Produtos!$B:$B,0)), "-")</f>
        <v>BODY SPLASH FLOR D AURA 200ml</v>
      </c>
      <c r="N1010" s="510">
        <f>IFERROR(INDEX([1]Produtos!$E:$E,MATCH(L1010,[1]Produtos!$B:$B,0)), "-")</f>
        <v>215</v>
      </c>
      <c r="O1010" s="270" t="str">
        <f>IFERROR(INDEX([1]Produtos!$F:$F,MATCH(L1010,[1]Produtos!$B:$B,0)), "-")</f>
        <v>ml</v>
      </c>
      <c r="P1010" s="264" t="str">
        <f>IFERROR(INDEX([1]Produtos!$G:$G,MATCH(L1010,[1]Produtos!$B:$B,0)), "-")</f>
        <v>MISS RÔSE</v>
      </c>
      <c r="Q1010" s="270" t="str">
        <f>IFERROR(INDEX([1]Produtos!$H:$H,MATCH(L1010,[1]Produtos!$B:$B,0)), "-")</f>
        <v>PERFUMARIA</v>
      </c>
      <c r="R1010" s="270" t="str">
        <f>IFERROR(INDEX([1]Produtos!$I:$I,MATCH(L1010,[1]Produtos!$B:$B,0)), "-")</f>
        <v>BODY SPLASH</v>
      </c>
      <c r="S1010" s="270" t="str">
        <f>IFERROR(INDEX([1]Produtos!$J:$J,MATCH(L1010,[1]Produtos!$B:$B,0)), "-")</f>
        <v>LÍQUIDO</v>
      </c>
      <c r="T1010" s="745"/>
      <c r="U1010" s="265"/>
      <c r="V1010" s="466">
        <v>4</v>
      </c>
      <c r="W1010" s="270"/>
      <c r="X1010" s="270">
        <v>20</v>
      </c>
      <c r="Y1010" s="270"/>
      <c r="Z1010" s="270"/>
      <c r="AA1010" s="270"/>
      <c r="AB1010" s="270"/>
      <c r="AC1010" s="270"/>
      <c r="AD1010" s="270"/>
      <c r="AE1010" s="270"/>
      <c r="AF1010" s="270"/>
      <c r="AG1010" s="270"/>
      <c r="AH1010" s="270"/>
      <c r="AI1010" s="270"/>
      <c r="AJ1010" s="270"/>
      <c r="AK1010" s="270"/>
      <c r="AL1010" s="270"/>
      <c r="AM1010" s="663"/>
      <c r="AN1010" s="663"/>
      <c r="AO1010" s="708" t="str">
        <f>IF(OR(Table1[[#This Row],[Início Setup Envase]]="",Table1[[#This Row],[Final Setup Envase]]=""),"",Table1[[#This Row],[Final Setup Envase]]-Table1[[#This Row],[Início Setup Envase]])</f>
        <v/>
      </c>
      <c r="AP1010" s="663"/>
      <c r="AQ1010" s="663"/>
      <c r="AR1010" s="270"/>
      <c r="AS1010" s="270"/>
      <c r="AT1010" s="270"/>
      <c r="AU1010" s="270"/>
      <c r="AV1010" s="270"/>
      <c r="AW1010" s="270"/>
      <c r="AX1010" s="270"/>
      <c r="AY1010" s="270"/>
      <c r="AZ1010" s="270"/>
      <c r="BA1010" s="270">
        <f>IF(Table1[[#This Row],[Data de Início]]="","",YEAR(Table1[[#This Row],[Data de Início]]))</f>
        <v>2026</v>
      </c>
      <c r="BB1010" s="270">
        <f>IF(Table1[[#This Row],[Data de Início]]="","",MONTH(Table1[[#This Row],[Data de Início]]))</f>
        <v>5</v>
      </c>
      <c r="BC1010" s="270"/>
    </row>
    <row r="1011" spans="2:87" ht="15.75" customHeight="1" x14ac:dyDescent="0.25">
      <c r="B1011" s="470">
        <v>46146.677083333336</v>
      </c>
      <c r="C1011" s="263">
        <v>46147.354166666664</v>
      </c>
      <c r="D1011" s="264" cm="1">
        <f t="array" ref="D1011">IFERROR(HorasUteisFabrica2Turnos(B1011,C1011), "")</f>
        <v>2.25</v>
      </c>
      <c r="E1011" s="265">
        <f t="shared" si="15"/>
        <v>224.88888888888889</v>
      </c>
      <c r="F1011" s="266" t="s">
        <v>378</v>
      </c>
      <c r="G1011" s="266" t="s">
        <v>1470</v>
      </c>
      <c r="H1011" s="266"/>
      <c r="I1011" s="267" t="s">
        <v>1703</v>
      </c>
      <c r="J1011" s="268" t="s">
        <v>15</v>
      </c>
      <c r="K1011" s="268">
        <v>506</v>
      </c>
      <c r="L1011" s="269" t="s">
        <v>1480</v>
      </c>
      <c r="M1011" s="510" t="str">
        <f>IFERROR(INDEX([1]Produtos!$C:$C,MATCH(L1011,[1]Produtos!$B:$B,0)), "-")</f>
        <v>HIDRATANTE BISNAGA DELICADA 200g</v>
      </c>
      <c r="N1011" s="510">
        <f>IFERROR(INDEX([1]Produtos!$E:$E,MATCH(L1011,[1]Produtos!$B:$B,0)), "-")</f>
        <v>200</v>
      </c>
      <c r="O1011" s="270" t="str">
        <f>IFERROR(INDEX([1]Produtos!$F:$F,MATCH(L1011,[1]Produtos!$B:$B,0)), "-")</f>
        <v>g</v>
      </c>
      <c r="P1011" s="264" t="str">
        <f>IFERROR(INDEX([1]Produtos!$G:$G,MATCH(L1011,[1]Produtos!$B:$B,0)), "-")</f>
        <v>HABIBI PERFUMES</v>
      </c>
      <c r="Q1011" s="270" t="str">
        <f>IFERROR(INDEX([1]Produtos!$H:$H,MATCH(L1011,[1]Produtos!$B:$B,0)), "-")</f>
        <v>CORPORAL</v>
      </c>
      <c r="R1011" s="270" t="str">
        <f>IFERROR(INDEX([1]Produtos!$I:$I,MATCH(L1011,[1]Produtos!$B:$B,0)), "-")</f>
        <v>CREME HIDRATANTE</v>
      </c>
      <c r="S1011" s="270" t="str">
        <f>IFERROR(INDEX([1]Produtos!$J:$J,MATCH(L1011,[1]Produtos!$B:$B,0)), "-")</f>
        <v>CREMOSO</v>
      </c>
      <c r="T1011" s="745"/>
      <c r="U1011" s="265"/>
      <c r="V1011" s="266"/>
      <c r="W1011" s="270"/>
      <c r="X1011" s="270"/>
      <c r="Y1011" s="270"/>
      <c r="Z1011" s="270"/>
      <c r="AA1011" s="270"/>
      <c r="AB1011" s="270"/>
      <c r="AC1011" s="270"/>
      <c r="AD1011" s="270"/>
      <c r="AE1011" s="270"/>
      <c r="AF1011" s="270"/>
      <c r="AG1011" s="270"/>
      <c r="AH1011" s="270"/>
      <c r="AI1011" s="270"/>
      <c r="AJ1011" s="270"/>
      <c r="AK1011" s="270"/>
      <c r="AL1011" s="270"/>
      <c r="AM1011" s="663"/>
      <c r="AN1011" s="663"/>
      <c r="AO1011" s="708" t="str">
        <f>IF(OR(Table1[[#This Row],[Início Setup Envase]]="",Table1[[#This Row],[Final Setup Envase]]=""),"",Table1[[#This Row],[Final Setup Envase]]-Table1[[#This Row],[Início Setup Envase]])</f>
        <v/>
      </c>
      <c r="AP1011" s="663"/>
      <c r="AQ1011" s="663"/>
      <c r="AR1011" s="270"/>
      <c r="AS1011" s="270"/>
      <c r="AT1011" s="270"/>
      <c r="AU1011" s="270"/>
      <c r="AV1011" s="270"/>
      <c r="AW1011" s="270"/>
      <c r="AX1011" s="270"/>
      <c r="AY1011" s="270"/>
      <c r="AZ1011" s="270"/>
      <c r="BA1011" s="270">
        <f>IF(Table1[[#This Row],[Data de Início]]="","",YEAR(Table1[[#This Row],[Data de Início]]))</f>
        <v>2026</v>
      </c>
      <c r="BB1011" s="270">
        <f>IF(Table1[[#This Row],[Data de Início]]="","",MONTH(Table1[[#This Row],[Data de Início]]))</f>
        <v>5</v>
      </c>
      <c r="BC1011" s="270"/>
      <c r="BD1011" s="646"/>
      <c r="BE1011" s="647"/>
      <c r="BF1011" s="5"/>
      <c r="BG1011" s="5"/>
      <c r="BH1011" s="2"/>
      <c r="BI1011" s="2"/>
      <c r="BJ1011" s="2"/>
      <c r="BK1011" s="2"/>
      <c r="BL1011" s="2"/>
      <c r="BM1011" s="532"/>
      <c r="BN1011" s="2"/>
      <c r="BO1011" s="2"/>
      <c r="BP1011" s="2"/>
      <c r="BQ1011" s="2"/>
      <c r="BR1011" s="2"/>
      <c r="BS1011" s="2"/>
      <c r="BT1011" s="2"/>
      <c r="BU1011" s="2"/>
      <c r="BV1011" s="2"/>
      <c r="BW1011" s="2"/>
      <c r="BX1011" s="2"/>
      <c r="BY1011" s="2"/>
      <c r="BZ1011" s="2"/>
      <c r="CA1011" s="2"/>
      <c r="CB1011" s="2"/>
      <c r="CC1011" s="2"/>
      <c r="CD1011" s="2"/>
      <c r="CE1011" s="2"/>
      <c r="CF1011" s="2"/>
      <c r="CG1011" s="2"/>
      <c r="CH1011" s="2"/>
      <c r="CI1011" s="2"/>
    </row>
    <row r="1012" spans="2:87" x14ac:dyDescent="0.25">
      <c r="B1012" s="470">
        <v>46147.371527777781</v>
      </c>
      <c r="C1012" s="263">
        <v>46147.555555555555</v>
      </c>
      <c r="D1012" s="264" cm="1">
        <f t="array" ref="D1012">IFERROR(HorasUteisFabrica2Turnos(B1012,C1012), "")</f>
        <v>3.4166666665696539</v>
      </c>
      <c r="E1012" s="265">
        <f t="shared" si="15"/>
        <v>499.60975611174689</v>
      </c>
      <c r="F1012" s="266" t="s">
        <v>378</v>
      </c>
      <c r="G1012" s="266" t="s">
        <v>1470</v>
      </c>
      <c r="H1012" s="266"/>
      <c r="I1012" s="267" t="s">
        <v>1716</v>
      </c>
      <c r="J1012" s="268" t="s">
        <v>15</v>
      </c>
      <c r="K1012" s="268">
        <v>1707</v>
      </c>
      <c r="L1012" s="269" t="s">
        <v>1472</v>
      </c>
      <c r="M1012" s="510" t="str">
        <f>IFERROR(INDEX([1]Produtos!$C:$C,MATCH(L1012,[1]Produtos!$B:$B,0)), "-")</f>
        <v>HIDRATANTE BISNAGA LUX AMBER 200g</v>
      </c>
      <c r="N1012" s="510">
        <f>IFERROR(INDEX([1]Produtos!$E:$E,MATCH(L1012,[1]Produtos!$B:$B,0)), "-")</f>
        <v>200</v>
      </c>
      <c r="O1012" s="270" t="str">
        <f>IFERROR(INDEX([1]Produtos!$F:$F,MATCH(L1012,[1]Produtos!$B:$B,0)), "-")</f>
        <v>g</v>
      </c>
      <c r="P1012" s="264" t="str">
        <f>IFERROR(INDEX([1]Produtos!$G:$G,MATCH(L1012,[1]Produtos!$B:$B,0)), "-")</f>
        <v>HABIBI PERFUMES</v>
      </c>
      <c r="Q1012" s="270" t="str">
        <f>IFERROR(INDEX([1]Produtos!$H:$H,MATCH(L1012,[1]Produtos!$B:$B,0)), "-")</f>
        <v>CORPORAL</v>
      </c>
      <c r="R1012" s="270" t="str">
        <f>IFERROR(INDEX([1]Produtos!$I:$I,MATCH(L1012,[1]Produtos!$B:$B,0)), "-")</f>
        <v>CREME HIDRATANTE</v>
      </c>
      <c r="S1012" s="270" t="str">
        <f>IFERROR(INDEX([1]Produtos!$J:$J,MATCH(L1012,[1]Produtos!$B:$B,0)), "-")</f>
        <v>CREMOSO</v>
      </c>
      <c r="T1012" s="475"/>
      <c r="U1012" s="270"/>
      <c r="V1012" s="270"/>
      <c r="W1012" s="270"/>
      <c r="X1012" s="270"/>
      <c r="Y1012" s="270"/>
      <c r="Z1012" s="270">
        <v>15</v>
      </c>
      <c r="AA1012" s="270"/>
      <c r="AB1012" s="270"/>
      <c r="AC1012" s="270"/>
      <c r="AD1012" s="270"/>
      <c r="AE1012" s="270"/>
      <c r="AF1012" s="270"/>
      <c r="AG1012" s="270"/>
      <c r="AH1012" s="270"/>
      <c r="AI1012" s="270"/>
      <c r="AJ1012" s="270"/>
      <c r="AK1012" s="270"/>
      <c r="AL1012" s="270"/>
      <c r="AM1012" s="663"/>
      <c r="AN1012" s="663"/>
      <c r="AO1012" s="708" t="str">
        <f>IF(OR(Table1[[#This Row],[Início Setup Envase]]="",Table1[[#This Row],[Final Setup Envase]]=""),"",Table1[[#This Row],[Final Setup Envase]]-Table1[[#This Row],[Início Setup Envase]])</f>
        <v/>
      </c>
      <c r="AP1012" s="663"/>
      <c r="AQ1012" s="663"/>
      <c r="AR1012" s="270"/>
      <c r="AS1012" s="270"/>
      <c r="AT1012" s="270"/>
      <c r="AU1012" s="270"/>
      <c r="AV1012" s="270"/>
      <c r="AW1012" s="270"/>
      <c r="AX1012" s="270"/>
      <c r="AY1012" s="270"/>
      <c r="AZ1012" s="270"/>
      <c r="BA1012" s="270">
        <f>IF(Table1[[#This Row],[Data de Início]]="","",YEAR(Table1[[#This Row],[Data de Início]]))</f>
        <v>2026</v>
      </c>
      <c r="BB1012" s="270">
        <f>IF(Table1[[#This Row],[Data de Início]]="","",MONTH(Table1[[#This Row],[Data de Início]]))</f>
        <v>5</v>
      </c>
      <c r="BC1012" s="270"/>
    </row>
    <row r="1013" spans="2:87" x14ac:dyDescent="0.25">
      <c r="B1013" s="470">
        <v>46147.427083333336</v>
      </c>
      <c r="C1013" s="263">
        <v>46147.555555555555</v>
      </c>
      <c r="D1013" s="264" cm="1">
        <f t="array" ref="D1013">IFERROR(HorasUteisFabrica2Turnos(B1013,C1013), "")</f>
        <v>2.0833333332557231</v>
      </c>
      <c r="E1013" s="265">
        <f t="shared" si="15"/>
        <v>646.08000002406834</v>
      </c>
      <c r="F1013" s="266" t="s">
        <v>378</v>
      </c>
      <c r="G1013" s="266" t="s">
        <v>1710</v>
      </c>
      <c r="H1013" s="266"/>
      <c r="I1013" s="268" t="s">
        <v>1717</v>
      </c>
      <c r="J1013" s="268" t="s">
        <v>15</v>
      </c>
      <c r="K1013" s="268">
        <v>1346</v>
      </c>
      <c r="L1013" s="269" t="s">
        <v>1709</v>
      </c>
      <c r="M1013" s="510" t="str">
        <f>IFERROR(INDEX([1]Produtos!$C:$C,MATCH(L1013,[1]Produtos!$B:$B,0)), "-")</f>
        <v>BRUMA MATTE #ENTREGOUTUDOO 120ml</v>
      </c>
      <c r="N1013" s="510">
        <f>IFERROR(INDEX([1]Produtos!$E:$E,MATCH(L1013,[1]Produtos!$B:$B,0)), "-")</f>
        <v>120</v>
      </c>
      <c r="O1013" s="270" t="str">
        <f>IFERROR(INDEX([1]Produtos!$F:$F,MATCH(L1013,[1]Produtos!$B:$B,0)), "-")</f>
        <v>ml</v>
      </c>
      <c r="P1013" s="264" t="str">
        <f>IFERROR(INDEX([1]Produtos!$G:$G,MATCH(L1013,[1]Produtos!$B:$B,0)), "-")</f>
        <v>WIKE MAKE</v>
      </c>
      <c r="Q1013" s="270" t="str">
        <f>IFERROR(INDEX([1]Produtos!$H:$H,MATCH(L1013,[1]Produtos!$B:$B,0)), "-")</f>
        <v>MAQUIAGEM</v>
      </c>
      <c r="R1013" s="270" t="str">
        <f>IFERROR(INDEX([1]Produtos!$I:$I,MATCH(L1013,[1]Produtos!$B:$B,0)), "-")</f>
        <v>BRUMA</v>
      </c>
      <c r="S1013" s="270" t="str">
        <f>IFERROR(INDEX([1]Produtos!$J:$J,MATCH(L1013,[1]Produtos!$B:$B,0)), "-")</f>
        <v>LÍQUIDO</v>
      </c>
      <c r="T1013" s="475"/>
      <c r="U1013" s="270"/>
      <c r="V1013" s="270"/>
      <c r="W1013" s="270"/>
      <c r="X1013" s="270"/>
      <c r="Y1013" s="270"/>
      <c r="Z1013" s="270"/>
      <c r="AA1013" s="270"/>
      <c r="AB1013" s="270"/>
      <c r="AC1013" s="270"/>
      <c r="AD1013" s="270"/>
      <c r="AE1013" s="270"/>
      <c r="AF1013" s="270"/>
      <c r="AG1013" s="270"/>
      <c r="AH1013" s="270"/>
      <c r="AI1013" s="270"/>
      <c r="AJ1013" s="270"/>
      <c r="AK1013" s="270"/>
      <c r="AL1013" s="270"/>
      <c r="AM1013" s="663"/>
      <c r="AN1013" s="663"/>
      <c r="AO1013" s="708" t="str">
        <f>IF(OR(Table1[[#This Row],[Início Setup Envase]]="",Table1[[#This Row],[Final Setup Envase]]=""),"",Table1[[#This Row],[Final Setup Envase]]-Table1[[#This Row],[Início Setup Envase]])</f>
        <v/>
      </c>
      <c r="AP1013" s="663">
        <v>0.3125</v>
      </c>
      <c r="AQ1013" s="663">
        <v>0.35416666666666669</v>
      </c>
      <c r="AR1013" s="270" t="s">
        <v>1718</v>
      </c>
      <c r="AS1013" s="270"/>
      <c r="AT1013" s="270"/>
      <c r="AU1013" s="270"/>
      <c r="AV1013" s="270"/>
      <c r="AW1013" s="270"/>
      <c r="AX1013" s="270"/>
      <c r="AY1013" s="270"/>
      <c r="AZ1013" s="270"/>
      <c r="BA1013" s="270">
        <f>IF(Table1[[#This Row],[Data de Início]]="","",YEAR(Table1[[#This Row],[Data de Início]]))</f>
        <v>2026</v>
      </c>
      <c r="BB1013" s="270">
        <f>IF(Table1[[#This Row],[Data de Início]]="","",MONTH(Table1[[#This Row],[Data de Início]]))</f>
        <v>5</v>
      </c>
      <c r="BC1013" s="270"/>
    </row>
    <row r="1014" spans="2:87" x14ac:dyDescent="0.25">
      <c r="B1014" s="470">
        <v>46147.554166666669</v>
      </c>
      <c r="C1014" s="263">
        <v>46147.690972222219</v>
      </c>
      <c r="D1014" s="264" cm="1">
        <f t="array" ref="D1014">IFERROR(HorasUteisFabrica2Turnos(B1014,C1014), "")</f>
        <v>3.283333333209157</v>
      </c>
      <c r="E1014" s="265">
        <f t="shared" si="15"/>
        <v>517.4619289535807</v>
      </c>
      <c r="F1014" s="266" t="s">
        <v>378</v>
      </c>
      <c r="G1014" s="266" t="s">
        <v>1470</v>
      </c>
      <c r="H1014" s="266"/>
      <c r="I1014" s="267" t="s">
        <v>1720</v>
      </c>
      <c r="J1014" s="268" t="s">
        <v>15</v>
      </c>
      <c r="K1014" s="268">
        <v>1699</v>
      </c>
      <c r="L1014" s="269" t="s">
        <v>1472</v>
      </c>
      <c r="M1014" s="510" t="str">
        <f>IFERROR(INDEX([1]Produtos!$C:$C,MATCH(L1014,[1]Produtos!$B:$B,0)), "-")</f>
        <v>HIDRATANTE BISNAGA LUX AMBER 200g</v>
      </c>
      <c r="N1014" s="510">
        <f>IFERROR(INDEX([1]Produtos!$E:$E,MATCH(L1014,[1]Produtos!$B:$B,0)), "-")</f>
        <v>200</v>
      </c>
      <c r="O1014" s="270" t="str">
        <f>IFERROR(INDEX([1]Produtos!$F:$F,MATCH(L1014,[1]Produtos!$B:$B,0)), "-")</f>
        <v>g</v>
      </c>
      <c r="P1014" s="264" t="str">
        <f>IFERROR(INDEX([1]Produtos!$G:$G,MATCH(L1014,[1]Produtos!$B:$B,0)), "-")</f>
        <v>HABIBI PERFUMES</v>
      </c>
      <c r="Q1014" s="270" t="str">
        <f>IFERROR(INDEX([1]Produtos!$H:$H,MATCH(L1014,[1]Produtos!$B:$B,0)), "-")</f>
        <v>CORPORAL</v>
      </c>
      <c r="R1014" s="270" t="str">
        <f>IFERROR(INDEX([1]Produtos!$I:$I,MATCH(L1014,[1]Produtos!$B:$B,0)), "-")</f>
        <v>CREME HIDRATANTE</v>
      </c>
      <c r="S1014" s="270" t="str">
        <f>IFERROR(INDEX([1]Produtos!$J:$J,MATCH(L1014,[1]Produtos!$B:$B,0)), "-")</f>
        <v>CREMOSO</v>
      </c>
      <c r="T1014" s="475"/>
      <c r="U1014" s="270"/>
      <c r="V1014" s="270"/>
      <c r="W1014" s="270">
        <v>15</v>
      </c>
      <c r="X1014" s="270"/>
      <c r="Y1014" s="270"/>
      <c r="Z1014" s="270"/>
      <c r="AA1014" s="270"/>
      <c r="AB1014" s="270"/>
      <c r="AC1014" s="270"/>
      <c r="AD1014" s="270"/>
      <c r="AE1014" s="270"/>
      <c r="AF1014" s="270"/>
      <c r="AG1014" s="270"/>
      <c r="AH1014" s="270"/>
      <c r="AI1014" s="270"/>
      <c r="AJ1014" s="270"/>
      <c r="AK1014" s="270"/>
      <c r="AL1014" s="270"/>
      <c r="AM1014" s="663"/>
      <c r="AN1014" s="663"/>
      <c r="AO1014" s="708" t="str">
        <f>IF(OR(Table1[[#This Row],[Início Setup Envase]]="",Table1[[#This Row],[Final Setup Envase]]=""),"",Table1[[#This Row],[Final Setup Envase]]-Table1[[#This Row],[Início Setup Envase]])</f>
        <v/>
      </c>
      <c r="AP1014" s="663"/>
      <c r="AQ1014" s="663"/>
      <c r="AR1014" s="270"/>
      <c r="AS1014" s="270"/>
      <c r="AT1014" s="270"/>
      <c r="AU1014" s="270"/>
      <c r="AV1014" s="270"/>
      <c r="AW1014" s="270"/>
      <c r="AX1014" s="270"/>
      <c r="AY1014" s="270"/>
      <c r="AZ1014" s="270"/>
      <c r="BA1014" s="270">
        <f>IF(Table1[[#This Row],[Data de Início]]="","",YEAR(Table1[[#This Row],[Data de Início]]))</f>
        <v>2026</v>
      </c>
      <c r="BB1014" s="270">
        <f>IF(Table1[[#This Row],[Data de Início]]="","",MONTH(Table1[[#This Row],[Data de Início]]))</f>
        <v>5</v>
      </c>
      <c r="BC1014" s="270"/>
    </row>
    <row r="1015" spans="2:87" x14ac:dyDescent="0.25">
      <c r="B1015" s="470">
        <v>46147.556250000001</v>
      </c>
      <c r="C1015" s="263">
        <v>46148.35833333333</v>
      </c>
      <c r="D1015" s="264" cm="1">
        <f t="array" ref="D1015">IFERROR(HorasUteisFabrica2Turnos(B1015,C1015), "")</f>
        <v>5.25</v>
      </c>
      <c r="E1015" s="265">
        <f t="shared" si="15"/>
        <v>821.33333333333337</v>
      </c>
      <c r="F1015" s="266" t="s">
        <v>377</v>
      </c>
      <c r="G1015" s="266" t="s">
        <v>1710</v>
      </c>
      <c r="H1015" s="266"/>
      <c r="I1015" s="268" t="s">
        <v>1719</v>
      </c>
      <c r="J1015" s="268" t="s">
        <v>15</v>
      </c>
      <c r="K1015" s="268">
        <v>4312</v>
      </c>
      <c r="L1015" s="269" t="s">
        <v>1709</v>
      </c>
      <c r="M1015" s="510" t="str">
        <f>IFERROR(INDEX([1]Produtos!$C:$C,MATCH(L1015,[1]Produtos!$B:$B,0)), "-")</f>
        <v>BRUMA MATTE #ENTREGOUTUDOO 120ml</v>
      </c>
      <c r="N1015" s="510">
        <f>IFERROR(INDEX([1]Produtos!$E:$E,MATCH(L1015,[1]Produtos!$B:$B,0)), "-")</f>
        <v>120</v>
      </c>
      <c r="O1015" s="270" t="str">
        <f>IFERROR(INDEX([1]Produtos!$F:$F,MATCH(L1015,[1]Produtos!$B:$B,0)), "-")</f>
        <v>ml</v>
      </c>
      <c r="P1015" s="264" t="str">
        <f>IFERROR(INDEX([1]Produtos!$G:$G,MATCH(L1015,[1]Produtos!$B:$B,0)), "-")</f>
        <v>WIKE MAKE</v>
      </c>
      <c r="Q1015" s="270" t="str">
        <f>IFERROR(INDEX([1]Produtos!$H:$H,MATCH(L1015,[1]Produtos!$B:$B,0)), "-")</f>
        <v>MAQUIAGEM</v>
      </c>
      <c r="R1015" s="270" t="str">
        <f>IFERROR(INDEX([1]Produtos!$I:$I,MATCH(L1015,[1]Produtos!$B:$B,0)), "-")</f>
        <v>BRUMA</v>
      </c>
      <c r="S1015" s="270" t="str">
        <f>IFERROR(INDEX([1]Produtos!$J:$J,MATCH(L1015,[1]Produtos!$B:$B,0)), "-")</f>
        <v>LÍQUIDO</v>
      </c>
      <c r="T1015" s="475"/>
      <c r="U1015" s="270"/>
      <c r="V1015" s="270"/>
      <c r="W1015" s="270"/>
      <c r="X1015" s="270"/>
      <c r="Y1015" s="270"/>
      <c r="Z1015" s="270"/>
      <c r="AA1015" s="270"/>
      <c r="AB1015" s="270"/>
      <c r="AC1015" s="270"/>
      <c r="AD1015" s="674">
        <v>46147.618055555555</v>
      </c>
      <c r="AE1015" s="674">
        <v>46147.635416666664</v>
      </c>
      <c r="AF1015" s="270" t="s">
        <v>1753</v>
      </c>
      <c r="AG1015" s="270"/>
      <c r="AH1015" s="270"/>
      <c r="AI1015" s="270"/>
      <c r="AJ1015" s="270"/>
      <c r="AK1015" s="270"/>
      <c r="AL1015" s="270"/>
      <c r="AM1015" s="663"/>
      <c r="AN1015" s="663"/>
      <c r="AO1015" s="708" t="str">
        <f>IF(OR(Table1[[#This Row],[Início Setup Envase]]="",Table1[[#This Row],[Final Setup Envase]]=""),"",Table1[[#This Row],[Final Setup Envase]]-Table1[[#This Row],[Início Setup Envase]])</f>
        <v/>
      </c>
      <c r="AP1015" s="663"/>
      <c r="AQ1015" s="663"/>
      <c r="AR1015" s="270"/>
      <c r="AS1015" s="270"/>
      <c r="AT1015" s="270"/>
      <c r="AU1015" s="270"/>
      <c r="AV1015" s="270"/>
      <c r="AW1015" s="270"/>
      <c r="AX1015" s="270"/>
      <c r="AY1015" s="270"/>
      <c r="AZ1015" s="270"/>
      <c r="BA1015" s="270">
        <f>IF(Table1[[#This Row],[Data de Início]]="","",YEAR(Table1[[#This Row],[Data de Início]]))</f>
        <v>2026</v>
      </c>
      <c r="BB1015" s="270">
        <f>IF(Table1[[#This Row],[Data de Início]]="","",MONTH(Table1[[#This Row],[Data de Início]]))</f>
        <v>5</v>
      </c>
      <c r="BC1015" s="270"/>
    </row>
    <row r="1016" spans="2:87" x14ac:dyDescent="0.25">
      <c r="B1016" s="470">
        <v>46148.359027777777</v>
      </c>
      <c r="C1016" s="263">
        <v>46148.666666666664</v>
      </c>
      <c r="D1016" s="264" cm="1">
        <f t="array" ref="D1016">IFERROR(HorasUteisFabrica2Turnos(B1016,C1016), "")</f>
        <v>6.3833333333022892</v>
      </c>
      <c r="E1016" s="265">
        <f t="shared" si="15"/>
        <v>665.48302872386307</v>
      </c>
      <c r="F1016" s="266" t="s">
        <v>377</v>
      </c>
      <c r="G1016" s="266" t="s">
        <v>1710</v>
      </c>
      <c r="H1016" s="266"/>
      <c r="I1016" s="267" t="s">
        <v>1708</v>
      </c>
      <c r="J1016" s="268" t="s">
        <v>15</v>
      </c>
      <c r="K1016" s="268">
        <v>4248</v>
      </c>
      <c r="L1016" s="269" t="s">
        <v>1709</v>
      </c>
      <c r="M1016" s="510" t="str">
        <f>IFERROR(INDEX([1]Produtos!$C:$C,MATCH(L1016,[1]Produtos!$B:$B,0)), "-")</f>
        <v>BRUMA MATTE #ENTREGOUTUDOO 120ml</v>
      </c>
      <c r="N1016" s="510">
        <f>IFERROR(INDEX([1]Produtos!$E:$E,MATCH(L1016,[1]Produtos!$B:$B,0)), "-")</f>
        <v>120</v>
      </c>
      <c r="O1016" s="270" t="str">
        <f>IFERROR(INDEX([1]Produtos!$F:$F,MATCH(L1016,[1]Produtos!$B:$B,0)), "-")</f>
        <v>ml</v>
      </c>
      <c r="P1016" s="264" t="str">
        <f>IFERROR(INDEX([1]Produtos!$G:$G,MATCH(L1016,[1]Produtos!$B:$B,0)), "-")</f>
        <v>WIKE MAKE</v>
      </c>
      <c r="Q1016" s="270" t="str">
        <f>IFERROR(INDEX([1]Produtos!$H:$H,MATCH(L1016,[1]Produtos!$B:$B,0)), "-")</f>
        <v>MAQUIAGEM</v>
      </c>
      <c r="R1016" s="270" t="str">
        <f>IFERROR(INDEX([1]Produtos!$I:$I,MATCH(L1016,[1]Produtos!$B:$B,0)), "-")</f>
        <v>BRUMA</v>
      </c>
      <c r="S1016" s="270" t="str">
        <f>IFERROR(INDEX([1]Produtos!$J:$J,MATCH(L1016,[1]Produtos!$B:$B,0)), "-")</f>
        <v>LÍQUIDO</v>
      </c>
      <c r="T1016" s="475"/>
      <c r="U1016" s="270"/>
      <c r="V1016" s="270">
        <v>143</v>
      </c>
      <c r="W1016" s="270"/>
      <c r="X1016" s="270"/>
      <c r="Y1016" s="270"/>
      <c r="Z1016" s="270"/>
      <c r="AA1016" s="270"/>
      <c r="AB1016" s="270"/>
      <c r="AC1016" s="270"/>
      <c r="AD1016" s="270"/>
      <c r="AE1016" s="270"/>
      <c r="AF1016" s="270"/>
      <c r="AG1016" s="270"/>
      <c r="AH1016" s="270"/>
      <c r="AI1016" s="270"/>
      <c r="AJ1016" s="270"/>
      <c r="AK1016" s="270"/>
      <c r="AL1016" s="270"/>
      <c r="AM1016" s="663"/>
      <c r="AN1016" s="663"/>
      <c r="AO1016" s="708" t="str">
        <f>IF(OR(Table1[[#This Row],[Início Setup Envase]]="",Table1[[#This Row],[Final Setup Envase]]=""),"",Table1[[#This Row],[Final Setup Envase]]-Table1[[#This Row],[Início Setup Envase]])</f>
        <v/>
      </c>
      <c r="AP1016" s="663">
        <v>46148.59375</v>
      </c>
      <c r="AQ1016" s="663"/>
      <c r="AR1016" s="270"/>
      <c r="AS1016" s="674">
        <v>46148.447916666664</v>
      </c>
      <c r="AT1016" s="674">
        <v>46148.479166666664</v>
      </c>
      <c r="AU1016" s="270" t="s">
        <v>1712</v>
      </c>
      <c r="AV1016" s="674">
        <v>46148.569444444445</v>
      </c>
      <c r="AW1016" s="674">
        <v>46148.583333333336</v>
      </c>
      <c r="AX1016" s="270" t="s">
        <v>1712</v>
      </c>
      <c r="AY1016" s="270"/>
      <c r="AZ1016" s="270"/>
      <c r="BA1016" s="270">
        <f>IF(Table1[[#This Row],[Data de Início]]="","",YEAR(Table1[[#This Row],[Data de Início]]))</f>
        <v>2026</v>
      </c>
      <c r="BB1016" s="270">
        <f>IF(Table1[[#This Row],[Data de Início]]="","",MONTH(Table1[[#This Row],[Data de Início]]))</f>
        <v>5</v>
      </c>
      <c r="BC1016" s="270"/>
    </row>
    <row r="1017" spans="2:87" x14ac:dyDescent="0.25">
      <c r="B1017" s="470">
        <v>46148.395833333336</v>
      </c>
      <c r="C1017" s="263">
        <v>46148.567361111112</v>
      </c>
      <c r="D1017" s="264" cm="1">
        <f t="array" ref="D1017">IFERROR(HorasUteisFabrica2Turnos(B1017,C1017), "")</f>
        <v>3.1166666666395031</v>
      </c>
      <c r="E1017" s="265">
        <f t="shared" si="15"/>
        <v>575.61497326704887</v>
      </c>
      <c r="F1017" s="266" t="s">
        <v>378</v>
      </c>
      <c r="G1017" s="266" t="s">
        <v>1470</v>
      </c>
      <c r="H1017" s="266"/>
      <c r="I1017" s="268" t="s">
        <v>1721</v>
      </c>
      <c r="J1017" s="268" t="s">
        <v>15</v>
      </c>
      <c r="K1017" s="268">
        <v>1794</v>
      </c>
      <c r="L1017" s="269" t="s">
        <v>1482</v>
      </c>
      <c r="M1017" s="510" t="str">
        <f>IFERROR(INDEX([1]Produtos!$C:$C,MATCH(L1017,[1]Produtos!$B:$B,0)), "-")</f>
        <v>HIDRATANTE BISNAGA ANGELUS 200g</v>
      </c>
      <c r="N1017" s="510">
        <f>IFERROR(INDEX([1]Produtos!$E:$E,MATCH(L1017,[1]Produtos!$B:$B,0)), "-")</f>
        <v>200</v>
      </c>
      <c r="O1017" s="270" t="str">
        <f>IFERROR(INDEX([1]Produtos!$F:$F,MATCH(L1017,[1]Produtos!$B:$B,0)), "-")</f>
        <v>g</v>
      </c>
      <c r="P1017" s="264" t="str">
        <f>IFERROR(INDEX([1]Produtos!$G:$G,MATCH(L1017,[1]Produtos!$B:$B,0)), "-")</f>
        <v>HABIBI PERFUMES</v>
      </c>
      <c r="Q1017" s="270" t="str">
        <f>IFERROR(INDEX([1]Produtos!$H:$H,MATCH(L1017,[1]Produtos!$B:$B,0)), "-")</f>
        <v>CORPORAL</v>
      </c>
      <c r="R1017" s="270" t="str">
        <f>IFERROR(INDEX([1]Produtos!$I:$I,MATCH(L1017,[1]Produtos!$B:$B,0)), "-")</f>
        <v>CREME HIDRATANTE</v>
      </c>
      <c r="S1017" s="270" t="str">
        <f>IFERROR(INDEX([1]Produtos!$J:$J,MATCH(L1017,[1]Produtos!$B:$B,0)), "-")</f>
        <v>CREMOSO</v>
      </c>
      <c r="T1017" s="475"/>
      <c r="U1017" s="270"/>
      <c r="V1017" s="270"/>
      <c r="W1017" s="270"/>
      <c r="X1017" s="270"/>
      <c r="Y1017" s="270"/>
      <c r="Z1017" s="270">
        <v>2</v>
      </c>
      <c r="AA1017" s="270"/>
      <c r="AB1017" s="270"/>
      <c r="AC1017" s="270"/>
      <c r="AD1017" s="270"/>
      <c r="AE1017" s="270"/>
      <c r="AF1017" s="270"/>
      <c r="AG1017" s="270"/>
      <c r="AH1017" s="270"/>
      <c r="AI1017" s="270"/>
      <c r="AJ1017" s="270"/>
      <c r="AK1017" s="270"/>
      <c r="AL1017" s="270"/>
      <c r="AM1017" s="663"/>
      <c r="AN1017" s="663"/>
      <c r="AO1017" s="708" t="str">
        <f>IF(OR(Table1[[#This Row],[Início Setup Envase]]="",Table1[[#This Row],[Final Setup Envase]]=""),"",Table1[[#This Row],[Final Setup Envase]]-Table1[[#This Row],[Início Setup Envase]])</f>
        <v/>
      </c>
      <c r="AP1017" s="663"/>
      <c r="AQ1017" s="663"/>
      <c r="AR1017" s="270"/>
      <c r="AS1017" s="270"/>
      <c r="AT1017" s="270"/>
      <c r="AU1017" s="270"/>
      <c r="AV1017" s="270"/>
      <c r="AW1017" s="270"/>
      <c r="AX1017" s="270"/>
      <c r="AY1017" s="270"/>
      <c r="AZ1017" s="270"/>
      <c r="BA1017" s="270">
        <f>IF(Table1[[#This Row],[Data de Início]]="","",YEAR(Table1[[#This Row],[Data de Início]]))</f>
        <v>2026</v>
      </c>
      <c r="BB1017" s="270">
        <f>IF(Table1[[#This Row],[Data de Início]]="","",MONTH(Table1[[#This Row],[Data de Início]]))</f>
        <v>5</v>
      </c>
      <c r="BC1017" s="270"/>
    </row>
    <row r="1018" spans="2:87" x14ac:dyDescent="0.25">
      <c r="B1018" s="470">
        <v>46148.583333333336</v>
      </c>
      <c r="C1018" s="263">
        <v>46148.631944444445</v>
      </c>
      <c r="D1018" s="264" cm="1">
        <f t="array" ref="D1018">IFERROR(HorasUteisFabrica2Turnos(B1018,C1018), "")</f>
        <v>1.1666666666278616</v>
      </c>
      <c r="E1018" s="265">
        <f t="shared" si="15"/>
        <v>450.85714287213904</v>
      </c>
      <c r="F1018" s="266" t="s">
        <v>378</v>
      </c>
      <c r="G1018" s="266" t="s">
        <v>1470</v>
      </c>
      <c r="H1018" s="266"/>
      <c r="I1018" s="267" t="s">
        <v>1711</v>
      </c>
      <c r="J1018" s="268" t="s">
        <v>15</v>
      </c>
      <c r="K1018" s="268">
        <v>526</v>
      </c>
      <c r="L1018" s="269" t="s">
        <v>1472</v>
      </c>
      <c r="M1018" s="510" t="str">
        <f>IFERROR(INDEX([1]Produtos!$C:$C,MATCH(L1018,[1]Produtos!$B:$B,0)), "-")</f>
        <v>HIDRATANTE BISNAGA LUX AMBER 200g</v>
      </c>
      <c r="N1018" s="510">
        <f>IFERROR(INDEX([1]Produtos!$E:$E,MATCH(L1018,[1]Produtos!$B:$B,0)), "-")</f>
        <v>200</v>
      </c>
      <c r="O1018" s="270" t="str">
        <f>IFERROR(INDEX([1]Produtos!$F:$F,MATCH(L1018,[1]Produtos!$B:$B,0)), "-")</f>
        <v>g</v>
      </c>
      <c r="P1018" s="264" t="str">
        <f>IFERROR(INDEX([1]Produtos!$G:$G,MATCH(L1018,[1]Produtos!$B:$B,0)), "-")</f>
        <v>HABIBI PERFUMES</v>
      </c>
      <c r="Q1018" s="270" t="str">
        <f>IFERROR(INDEX([1]Produtos!$H:$H,MATCH(L1018,[1]Produtos!$B:$B,0)), "-")</f>
        <v>CORPORAL</v>
      </c>
      <c r="R1018" s="270" t="str">
        <f>IFERROR(INDEX([1]Produtos!$I:$I,MATCH(L1018,[1]Produtos!$B:$B,0)), "-")</f>
        <v>CREME HIDRATANTE</v>
      </c>
      <c r="S1018" s="270" t="str">
        <f>IFERROR(INDEX([1]Produtos!$J:$J,MATCH(L1018,[1]Produtos!$B:$B,0)), "-")</f>
        <v>CREMOSO</v>
      </c>
      <c r="T1018" s="475"/>
      <c r="U1018" s="270"/>
      <c r="V1018" s="270"/>
      <c r="W1018" s="270"/>
      <c r="X1018" s="270"/>
      <c r="Y1018" s="270"/>
      <c r="Z1018" s="270"/>
      <c r="AA1018" s="270"/>
      <c r="AB1018" s="270"/>
      <c r="AC1018" s="270"/>
      <c r="AD1018" s="270"/>
      <c r="AE1018" s="270"/>
      <c r="AF1018" s="270"/>
      <c r="AG1018" s="270"/>
      <c r="AH1018" s="270"/>
      <c r="AI1018" s="270"/>
      <c r="AJ1018" s="270"/>
      <c r="AK1018" s="270"/>
      <c r="AL1018" s="270"/>
      <c r="AM1018" s="663"/>
      <c r="AN1018" s="663"/>
      <c r="AO1018" s="708" t="str">
        <f>IF(OR(Table1[[#This Row],[Início Setup Envase]]="",Table1[[#This Row],[Final Setup Envase]]=""),"",Table1[[#This Row],[Final Setup Envase]]-Table1[[#This Row],[Início Setup Envase]])</f>
        <v/>
      </c>
      <c r="AP1018" s="663"/>
      <c r="AQ1018" s="663"/>
      <c r="AR1018" s="270"/>
      <c r="AS1018" s="270"/>
      <c r="AT1018" s="270"/>
      <c r="AU1018" s="270"/>
      <c r="AV1018" s="270"/>
      <c r="AW1018" s="270"/>
      <c r="AX1018" s="270"/>
      <c r="AY1018" s="270"/>
      <c r="AZ1018" s="270"/>
      <c r="BA1018" s="270">
        <f>IF(Table1[[#This Row],[Data de Início]]="","",YEAR(Table1[[#This Row],[Data de Início]]))</f>
        <v>2026</v>
      </c>
      <c r="BB1018" s="270">
        <f>IF(Table1[[#This Row],[Data de Início]]="","",MONTH(Table1[[#This Row],[Data de Início]]))</f>
        <v>5</v>
      </c>
      <c r="BC1018" s="270"/>
    </row>
    <row r="1019" spans="2:87" x14ac:dyDescent="0.25">
      <c r="B1019" s="470">
        <v>46148.640277777777</v>
      </c>
      <c r="C1019" s="263">
        <v>46149.372916666667</v>
      </c>
      <c r="D1019" s="264" cm="1">
        <f t="array" ref="D1019">IFERROR(HorasUteisFabrica2Turnos(B1019,C1019), "")</f>
        <v>3.5833333334885538</v>
      </c>
      <c r="E1019" s="265">
        <f t="shared" si="15"/>
        <v>478.8837209094886</v>
      </c>
      <c r="F1019" s="266" t="s">
        <v>378</v>
      </c>
      <c r="G1019" s="266" t="s">
        <v>1470</v>
      </c>
      <c r="H1019" s="266"/>
      <c r="I1019" s="268" t="s">
        <v>1722</v>
      </c>
      <c r="J1019" s="268" t="s">
        <v>15</v>
      </c>
      <c r="K1019" s="268">
        <v>1716</v>
      </c>
      <c r="L1019" s="269" t="s">
        <v>1482</v>
      </c>
      <c r="M1019" s="510" t="str">
        <f>IFERROR(INDEX([1]Produtos!$C:$C,MATCH(L1019,[1]Produtos!$B:$B,0)), "-")</f>
        <v>HIDRATANTE BISNAGA ANGELUS 200g</v>
      </c>
      <c r="N1019" s="510">
        <f>IFERROR(INDEX([1]Produtos!$E:$E,MATCH(L1019,[1]Produtos!$B:$B,0)), "-")</f>
        <v>200</v>
      </c>
      <c r="O1019" s="270" t="str">
        <f>IFERROR(INDEX([1]Produtos!$F:$F,MATCH(L1019,[1]Produtos!$B:$B,0)), "-")</f>
        <v>g</v>
      </c>
      <c r="P1019" s="264" t="str">
        <f>IFERROR(INDEX([1]Produtos!$G:$G,MATCH(L1019,[1]Produtos!$B:$B,0)), "-")</f>
        <v>HABIBI PERFUMES</v>
      </c>
      <c r="Q1019" s="270" t="str">
        <f>IFERROR(INDEX([1]Produtos!$H:$H,MATCH(L1019,[1]Produtos!$B:$B,0)), "-")</f>
        <v>CORPORAL</v>
      </c>
      <c r="R1019" s="270" t="str">
        <f>IFERROR(INDEX([1]Produtos!$I:$I,MATCH(L1019,[1]Produtos!$B:$B,0)), "-")</f>
        <v>CREME HIDRATANTE</v>
      </c>
      <c r="S1019" s="270" t="str">
        <f>IFERROR(INDEX([1]Produtos!$J:$J,MATCH(L1019,[1]Produtos!$B:$B,0)), "-")</f>
        <v>CREMOSO</v>
      </c>
      <c r="T1019" s="475"/>
      <c r="U1019" s="270"/>
      <c r="V1019" s="270"/>
      <c r="W1019" s="270"/>
      <c r="X1019" s="270"/>
      <c r="Y1019" s="270"/>
      <c r="Z1019" s="270"/>
      <c r="AA1019" s="270"/>
      <c r="AB1019" s="270"/>
      <c r="AC1019" s="270"/>
      <c r="AD1019" s="270"/>
      <c r="AE1019" s="270"/>
      <c r="AF1019" s="270"/>
      <c r="AG1019" s="270"/>
      <c r="AH1019" s="270"/>
      <c r="AI1019" s="270"/>
      <c r="AJ1019" s="270"/>
      <c r="AK1019" s="270"/>
      <c r="AL1019" s="270"/>
      <c r="AM1019" s="663"/>
      <c r="AN1019" s="663"/>
      <c r="AO1019" s="708" t="str">
        <f>IF(OR(Table1[[#This Row],[Início Setup Envase]]="",Table1[[#This Row],[Final Setup Envase]]=""),"",Table1[[#This Row],[Final Setup Envase]]-Table1[[#This Row],[Início Setup Envase]])</f>
        <v/>
      </c>
      <c r="AP1019" s="663"/>
      <c r="AQ1019" s="663"/>
      <c r="AR1019" s="270"/>
      <c r="AS1019" s="270"/>
      <c r="AT1019" s="270"/>
      <c r="AU1019" s="270"/>
      <c r="AV1019" s="270"/>
      <c r="AW1019" s="270"/>
      <c r="AX1019" s="270"/>
      <c r="AY1019" s="270"/>
      <c r="AZ1019" s="270"/>
      <c r="BA1019" s="270">
        <f>IF(Table1[[#This Row],[Data de Início]]="","",YEAR(Table1[[#This Row],[Data de Início]]))</f>
        <v>2026</v>
      </c>
      <c r="BB1019" s="270">
        <f>IF(Table1[[#This Row],[Data de Início]]="","",MONTH(Table1[[#This Row],[Data de Início]]))</f>
        <v>5</v>
      </c>
      <c r="BC1019" s="270"/>
    </row>
    <row r="1020" spans="2:87" x14ac:dyDescent="0.25">
      <c r="B1020" s="470">
        <v>46149.291666666664</v>
      </c>
      <c r="C1020" s="263">
        <v>46149.635416666664</v>
      </c>
      <c r="D1020" s="264" cm="1">
        <f t="array" ref="D1020">IFERROR(HorasUteisFabrica2Turnos(B1020,C1020), "")</f>
        <v>7.25</v>
      </c>
      <c r="E1020" s="265">
        <f t="shared" si="15"/>
        <v>566.06896551724139</v>
      </c>
      <c r="F1020" s="266" t="s">
        <v>377</v>
      </c>
      <c r="G1020" s="266" t="s">
        <v>1710</v>
      </c>
      <c r="H1020" s="266"/>
      <c r="I1020" s="268" t="s">
        <v>1723</v>
      </c>
      <c r="J1020" s="268" t="s">
        <v>15</v>
      </c>
      <c r="K1020" s="268">
        <v>4104</v>
      </c>
      <c r="L1020" s="269" t="s">
        <v>1709</v>
      </c>
      <c r="M1020" s="510" t="str">
        <f>IFERROR(INDEX([1]Produtos!$C:$C,MATCH(L1020,[1]Produtos!$B:$B,0)), "-")</f>
        <v>BRUMA MATTE #ENTREGOUTUDOO 120ml</v>
      </c>
      <c r="N1020" s="510">
        <f>IFERROR(INDEX([1]Produtos!$E:$E,MATCH(L1020,[1]Produtos!$B:$B,0)), "-")</f>
        <v>120</v>
      </c>
      <c r="O1020" s="270" t="str">
        <f>IFERROR(INDEX([1]Produtos!$F:$F,MATCH(L1020,[1]Produtos!$B:$B,0)), "-")</f>
        <v>ml</v>
      </c>
      <c r="P1020" s="264" t="str">
        <f>IFERROR(INDEX([1]Produtos!$G:$G,MATCH(L1020,[1]Produtos!$B:$B,0)), "-")</f>
        <v>WIKE MAKE</v>
      </c>
      <c r="Q1020" s="270" t="str">
        <f>IFERROR(INDEX([1]Produtos!$H:$H,MATCH(L1020,[1]Produtos!$B:$B,0)), "-")</f>
        <v>MAQUIAGEM</v>
      </c>
      <c r="R1020" s="270" t="str">
        <f>IFERROR(INDEX([1]Produtos!$I:$I,MATCH(L1020,[1]Produtos!$B:$B,0)), "-")</f>
        <v>BRUMA</v>
      </c>
      <c r="S1020" s="270" t="str">
        <f>IFERROR(INDEX([1]Produtos!$J:$J,MATCH(L1020,[1]Produtos!$B:$B,0)), "-")</f>
        <v>LÍQUIDO</v>
      </c>
      <c r="T1020" s="475"/>
      <c r="U1020" s="270">
        <v>120</v>
      </c>
      <c r="V1020" s="270">
        <v>66</v>
      </c>
      <c r="W1020" s="270"/>
      <c r="X1020" s="270"/>
      <c r="Y1020" s="270"/>
      <c r="Z1020" s="270"/>
      <c r="AA1020" s="270"/>
      <c r="AB1020" s="270"/>
      <c r="AC1020" s="270"/>
      <c r="AD1020" s="270"/>
      <c r="AE1020" s="270"/>
      <c r="AF1020" s="270"/>
      <c r="AG1020" s="270"/>
      <c r="AH1020" s="270"/>
      <c r="AI1020" s="270"/>
      <c r="AJ1020" s="270"/>
      <c r="AK1020" s="270"/>
      <c r="AL1020" s="270"/>
      <c r="AM1020" s="663"/>
      <c r="AN1020" s="663"/>
      <c r="AO1020" s="708" t="str">
        <f>IF(OR(Table1[[#This Row],[Início Setup Envase]]="",Table1[[#This Row],[Final Setup Envase]]=""),"",Table1[[#This Row],[Final Setup Envase]]-Table1[[#This Row],[Início Setup Envase]])</f>
        <v/>
      </c>
      <c r="AP1020" s="663">
        <v>46149.458333333336</v>
      </c>
      <c r="AQ1020" s="663">
        <v>46149.475694444445</v>
      </c>
      <c r="AR1020" s="270" t="s">
        <v>1724</v>
      </c>
      <c r="AS1020" s="270"/>
      <c r="AT1020" s="270"/>
      <c r="AU1020" s="270"/>
      <c r="AV1020" s="270"/>
      <c r="AW1020" s="270"/>
      <c r="AX1020" s="270"/>
      <c r="AY1020" s="270"/>
      <c r="AZ1020" s="270"/>
      <c r="BA1020" s="270">
        <f>IF(Table1[[#This Row],[Data de Início]]="","",YEAR(Table1[[#This Row],[Data de Início]]))</f>
        <v>2026</v>
      </c>
      <c r="BB1020" s="270">
        <f>IF(Table1[[#This Row],[Data de Início]]="","",MONTH(Table1[[#This Row],[Data de Início]]))</f>
        <v>5</v>
      </c>
      <c r="BC1020" s="270"/>
    </row>
    <row r="1021" spans="2:87" x14ac:dyDescent="0.25">
      <c r="B1021" s="470">
        <v>46149.375</v>
      </c>
      <c r="C1021" s="263">
        <v>46150.348611111112</v>
      </c>
      <c r="D1021" s="264" cm="1">
        <f t="array" ref="D1021">IFERROR(HorasUteisFabrica2Turnos(B1021,C1021), "")</f>
        <v>8.3666666668141261</v>
      </c>
      <c r="E1021" s="265">
        <f t="shared" si="15"/>
        <v>187.88844621182798</v>
      </c>
      <c r="F1021" s="266" t="s">
        <v>378</v>
      </c>
      <c r="G1021" s="266" t="s">
        <v>1470</v>
      </c>
      <c r="H1021" s="266"/>
      <c r="I1021" s="268" t="s">
        <v>1750</v>
      </c>
      <c r="J1021" s="268" t="s">
        <v>15</v>
      </c>
      <c r="K1021" s="268">
        <v>1572</v>
      </c>
      <c r="L1021" s="269" t="s">
        <v>1482</v>
      </c>
      <c r="M1021" s="510" t="str">
        <f>IFERROR(INDEX([1]Produtos!$C:$C,MATCH(L1021,[1]Produtos!$B:$B,0)), "-")</f>
        <v>HIDRATANTE BISNAGA ANGELUS 200g</v>
      </c>
      <c r="N1021" s="510">
        <f>IFERROR(INDEX([1]Produtos!$E:$E,MATCH(L1021,[1]Produtos!$B:$B,0)), "-")</f>
        <v>200</v>
      </c>
      <c r="O1021" s="270" t="str">
        <f>IFERROR(INDEX([1]Produtos!$F:$F,MATCH(L1021,[1]Produtos!$B:$B,0)), "-")</f>
        <v>g</v>
      </c>
      <c r="P1021" s="264" t="str">
        <f>IFERROR(INDEX([1]Produtos!$G:$G,MATCH(L1021,[1]Produtos!$B:$B,0)), "-")</f>
        <v>HABIBI PERFUMES</v>
      </c>
      <c r="Q1021" s="270" t="str">
        <f>IFERROR(INDEX([1]Produtos!$H:$H,MATCH(L1021,[1]Produtos!$B:$B,0)), "-")</f>
        <v>CORPORAL</v>
      </c>
      <c r="R1021" s="270" t="str">
        <f>IFERROR(INDEX([1]Produtos!$I:$I,MATCH(L1021,[1]Produtos!$B:$B,0)), "-")</f>
        <v>CREME HIDRATANTE</v>
      </c>
      <c r="S1021" s="270" t="str">
        <f>IFERROR(INDEX([1]Produtos!$J:$J,MATCH(L1021,[1]Produtos!$B:$B,0)), "-")</f>
        <v>CREMOSO</v>
      </c>
      <c r="T1021" s="475"/>
      <c r="U1021" s="270"/>
      <c r="V1021" s="270"/>
      <c r="W1021" s="270"/>
      <c r="X1021" s="270"/>
      <c r="Y1021" s="270"/>
      <c r="Z1021" s="270"/>
      <c r="AA1021" s="270"/>
      <c r="AB1021" s="270"/>
      <c r="AC1021" s="270"/>
      <c r="AD1021" s="270"/>
      <c r="AE1021" s="270"/>
      <c r="AF1021" s="270"/>
      <c r="AG1021" s="270"/>
      <c r="AH1021" s="270"/>
      <c r="AI1021" s="270"/>
      <c r="AJ1021" s="270"/>
      <c r="AK1021" s="270"/>
      <c r="AL1021" s="270"/>
      <c r="AM1021" s="663"/>
      <c r="AN1021" s="663"/>
      <c r="AO1021" s="708" t="str">
        <f>IF(OR(Table1[[#This Row],[Início Setup Envase]]="",Table1[[#This Row],[Final Setup Envase]]=""),"",Table1[[#This Row],[Final Setup Envase]]-Table1[[#This Row],[Início Setup Envase]])</f>
        <v/>
      </c>
      <c r="AP1021" s="663">
        <v>46149.4375</v>
      </c>
      <c r="AQ1021" s="663">
        <v>46149.479166666664</v>
      </c>
      <c r="AR1021" s="270" t="s">
        <v>1724</v>
      </c>
      <c r="AS1021" s="270"/>
      <c r="AT1021" s="270"/>
      <c r="AU1021" s="270"/>
      <c r="AV1021" s="270"/>
      <c r="AW1021" s="270"/>
      <c r="AX1021" s="270"/>
      <c r="AY1021" s="270"/>
      <c r="AZ1021" s="270"/>
      <c r="BA1021" s="270">
        <f>IF(Table1[[#This Row],[Data de Início]]="","",YEAR(Table1[[#This Row],[Data de Início]]))</f>
        <v>2026</v>
      </c>
      <c r="BB1021" s="270">
        <f>IF(Table1[[#This Row],[Data de Início]]="","",MONTH(Table1[[#This Row],[Data de Início]]))</f>
        <v>5</v>
      </c>
      <c r="BC1021" s="270"/>
    </row>
    <row r="1022" spans="2:87" x14ac:dyDescent="0.25">
      <c r="B1022" s="470">
        <v>46149.636111111111</v>
      </c>
      <c r="C1022" s="263">
        <v>46150.458333333336</v>
      </c>
      <c r="D1022" s="264" cm="1">
        <f t="array" ref="D1022">IFERROR(HorasUteisFabrica2Turnos(B1022,C1022), "")</f>
        <v>5.7333333335118368</v>
      </c>
      <c r="E1022" s="265">
        <f t="shared" si="15"/>
        <v>766.0465116040566</v>
      </c>
      <c r="F1022" s="266" t="s">
        <v>377</v>
      </c>
      <c r="G1022" s="266" t="s">
        <v>1710</v>
      </c>
      <c r="H1022" s="266"/>
      <c r="I1022" s="268" t="s">
        <v>1838</v>
      </c>
      <c r="J1022" s="268" t="s">
        <v>15</v>
      </c>
      <c r="K1022" s="268">
        <v>4392</v>
      </c>
      <c r="L1022" s="269" t="s">
        <v>1709</v>
      </c>
      <c r="M1022" s="510" t="str">
        <f>IFERROR(INDEX([1]Produtos!$C:$C,MATCH(L1022,[1]Produtos!$B:$B,0)), "-")</f>
        <v>BRUMA MATTE #ENTREGOUTUDOO 120ml</v>
      </c>
      <c r="N1022" s="510">
        <f>IFERROR(INDEX([1]Produtos!$E:$E,MATCH(L1022,[1]Produtos!$B:$B,0)), "-")</f>
        <v>120</v>
      </c>
      <c r="O1022" s="270" t="str">
        <f>IFERROR(INDEX([1]Produtos!$F:$F,MATCH(L1022,[1]Produtos!$B:$B,0)), "-")</f>
        <v>ml</v>
      </c>
      <c r="P1022" s="264" t="str">
        <f>IFERROR(INDEX([1]Produtos!$G:$G,MATCH(L1022,[1]Produtos!$B:$B,0)), "-")</f>
        <v>WIKE MAKE</v>
      </c>
      <c r="Q1022" s="270" t="str">
        <f>IFERROR(INDEX([1]Produtos!$H:$H,MATCH(L1022,[1]Produtos!$B:$B,0)), "-")</f>
        <v>MAQUIAGEM</v>
      </c>
      <c r="R1022" s="270" t="str">
        <f>IFERROR(INDEX([1]Produtos!$I:$I,MATCH(L1022,[1]Produtos!$B:$B,0)), "-")</f>
        <v>BRUMA</v>
      </c>
      <c r="S1022" s="270" t="str">
        <f>IFERROR(INDEX([1]Produtos!$J:$J,MATCH(L1022,[1]Produtos!$B:$B,0)), "-")</f>
        <v>LÍQUIDO</v>
      </c>
      <c r="T1022" s="475"/>
      <c r="U1022" s="270"/>
      <c r="V1022" s="270"/>
      <c r="W1022" s="270"/>
      <c r="X1022" s="270"/>
      <c r="Y1022" s="270"/>
      <c r="Z1022" s="270"/>
      <c r="AA1022" s="270"/>
      <c r="AB1022" s="270"/>
      <c r="AC1022" s="270"/>
      <c r="AD1022" s="270"/>
      <c r="AE1022" s="270"/>
      <c r="AF1022" s="270"/>
      <c r="AG1022" s="270"/>
      <c r="AH1022" s="270"/>
      <c r="AI1022" s="270"/>
      <c r="AJ1022" s="270"/>
      <c r="AK1022" s="270"/>
      <c r="AL1022" s="270"/>
      <c r="AM1022" s="663"/>
      <c r="AN1022" s="663"/>
      <c r="AO1022" s="708" t="str">
        <f>IF(OR(Table1[[#This Row],[Início Setup Envase]]="",Table1[[#This Row],[Final Setup Envase]]=""),"",Table1[[#This Row],[Final Setup Envase]]-Table1[[#This Row],[Início Setup Envase]])</f>
        <v/>
      </c>
      <c r="AP1022" s="663"/>
      <c r="AQ1022" s="663"/>
      <c r="AR1022" s="270"/>
      <c r="AS1022" s="270"/>
      <c r="AT1022" s="270"/>
      <c r="AU1022" s="270"/>
      <c r="AV1022" s="270"/>
      <c r="AW1022" s="270"/>
      <c r="AX1022" s="270"/>
      <c r="AY1022" s="270"/>
      <c r="AZ1022" s="270"/>
      <c r="BA1022" s="270">
        <f>IF(Table1[[#This Row],[Data de Início]]="","",YEAR(Table1[[#This Row],[Data de Início]]))</f>
        <v>2026</v>
      </c>
      <c r="BB1022" s="270">
        <f>IF(Table1[[#This Row],[Data de Início]]="","",MONTH(Table1[[#This Row],[Data de Início]]))</f>
        <v>5</v>
      </c>
      <c r="BC1022" s="270"/>
    </row>
    <row r="1023" spans="2:87" x14ac:dyDescent="0.25">
      <c r="B1023" s="470">
        <v>46150.348611111112</v>
      </c>
      <c r="C1023" s="263">
        <v>46150.586805555555</v>
      </c>
      <c r="D1023" s="264" cm="1">
        <f t="array" ref="D1023">IFERROR(HorasUteisFabrica2Turnos(B1023,C1023), "")</f>
        <v>4.71666666661622</v>
      </c>
      <c r="E1023" s="265">
        <f t="shared" si="15"/>
        <v>353.63957597551376</v>
      </c>
      <c r="F1023" s="266" t="s">
        <v>378</v>
      </c>
      <c r="G1023" s="266" t="s">
        <v>1470</v>
      </c>
      <c r="H1023" s="266"/>
      <c r="I1023" s="268" t="s">
        <v>1749</v>
      </c>
      <c r="J1023" s="268" t="s">
        <v>15</v>
      </c>
      <c r="K1023" s="268">
        <v>1668</v>
      </c>
      <c r="L1023" s="269" t="s">
        <v>1474</v>
      </c>
      <c r="M1023" s="510" t="str">
        <f>IFERROR(INDEX([1]Produtos!$C:$C,MATCH(L1023,[1]Produtos!$B:$B,0)), "-")</f>
        <v>HIDRATANTE BISNAGA CELESTIA 200g</v>
      </c>
      <c r="N1023" s="510">
        <f>IFERROR(INDEX([1]Produtos!$E:$E,MATCH(L1023,[1]Produtos!$B:$B,0)), "-")</f>
        <v>200</v>
      </c>
      <c r="O1023" s="270" t="str">
        <f>IFERROR(INDEX([1]Produtos!$F:$F,MATCH(L1023,[1]Produtos!$B:$B,0)), "-")</f>
        <v>g</v>
      </c>
      <c r="P1023" s="264" t="str">
        <f>IFERROR(INDEX([1]Produtos!$G:$G,MATCH(L1023,[1]Produtos!$B:$B,0)), "-")</f>
        <v>HABIBI PERFUMES</v>
      </c>
      <c r="Q1023" s="270" t="str">
        <f>IFERROR(INDEX([1]Produtos!$H:$H,MATCH(L1023,[1]Produtos!$B:$B,0)), "-")</f>
        <v>CORPORAL</v>
      </c>
      <c r="R1023" s="270" t="str">
        <f>IFERROR(INDEX([1]Produtos!$I:$I,MATCH(L1023,[1]Produtos!$B:$B,0)), "-")</f>
        <v>CREME HIDRATANTE</v>
      </c>
      <c r="S1023" s="270" t="str">
        <f>IFERROR(INDEX([1]Produtos!$J:$J,MATCH(L1023,[1]Produtos!$B:$B,0)), "-")</f>
        <v>CREMOSO</v>
      </c>
      <c r="T1023" s="475"/>
      <c r="U1023" s="270"/>
      <c r="V1023" s="270"/>
      <c r="W1023" s="270"/>
      <c r="X1023" s="270"/>
      <c r="Y1023" s="270"/>
      <c r="Z1023" s="270"/>
      <c r="AA1023" s="270"/>
      <c r="AB1023" s="270"/>
      <c r="AC1023" s="270"/>
      <c r="AD1023" s="270"/>
      <c r="AE1023" s="270"/>
      <c r="AF1023" s="270"/>
      <c r="AG1023" s="270"/>
      <c r="AH1023" s="270"/>
      <c r="AI1023" s="270"/>
      <c r="AJ1023" s="270"/>
      <c r="AK1023" s="270"/>
      <c r="AL1023" s="270"/>
      <c r="AM1023" s="663"/>
      <c r="AN1023" s="663"/>
      <c r="AO1023" s="708" t="str">
        <f>IF(OR(Table1[[#This Row],[Início Setup Envase]]="",Table1[[#This Row],[Final Setup Envase]]=""),"",Table1[[#This Row],[Final Setup Envase]]-Table1[[#This Row],[Início Setup Envase]])</f>
        <v/>
      </c>
      <c r="AP1023" s="663">
        <v>46150.427083333336</v>
      </c>
      <c r="AQ1023" s="663">
        <v>46150.46875</v>
      </c>
      <c r="AR1023" s="270" t="s">
        <v>1724</v>
      </c>
      <c r="AS1023" s="270"/>
      <c r="AT1023" s="270"/>
      <c r="AU1023" s="270"/>
      <c r="AV1023" s="270"/>
      <c r="AW1023" s="270"/>
      <c r="AX1023" s="270"/>
      <c r="AY1023" s="270"/>
      <c r="AZ1023" s="270"/>
      <c r="BA1023" s="270">
        <f>IF(Table1[[#This Row],[Data de Início]]="","",YEAR(Table1[[#This Row],[Data de Início]]))</f>
        <v>2026</v>
      </c>
      <c r="BB1023" s="270">
        <f>IF(Table1[[#This Row],[Data de Início]]="","",MONTH(Table1[[#This Row],[Data de Início]]))</f>
        <v>5</v>
      </c>
      <c r="BC1023" s="270"/>
    </row>
    <row r="1024" spans="2:87" x14ac:dyDescent="0.25">
      <c r="B1024" s="470">
        <v>46150.461805555555</v>
      </c>
      <c r="C1024" s="263">
        <v>46150.703472222223</v>
      </c>
      <c r="D1024" s="264" cm="1">
        <f t="array" ref="D1024">IFERROR(HorasUteisFabrica2Turnos(B1024,C1024), "")</f>
        <v>3.9166666666278616</v>
      </c>
      <c r="E1024" s="697">
        <f t="shared" si="15"/>
        <v>743.23404256055517</v>
      </c>
      <c r="F1024" s="266" t="s">
        <v>377</v>
      </c>
      <c r="G1024" s="266" t="s">
        <v>1710</v>
      </c>
      <c r="H1024" s="266"/>
      <c r="I1024" s="268" t="s">
        <v>1915</v>
      </c>
      <c r="J1024" s="268" t="s">
        <v>15</v>
      </c>
      <c r="K1024" s="268">
        <v>2911</v>
      </c>
      <c r="L1024" s="269" t="s">
        <v>1709</v>
      </c>
      <c r="M1024" s="510" t="str">
        <f>IFERROR(INDEX([1]Produtos!$C:$C,MATCH(L1024,[1]Produtos!$B:$B,0)), "-")</f>
        <v>BRUMA MATTE #ENTREGOUTUDOO 120ml</v>
      </c>
      <c r="N1024" s="510">
        <f>IFERROR(INDEX([1]Produtos!$E:$E,MATCH(L1024,[1]Produtos!$B:$B,0)), "-")</f>
        <v>120</v>
      </c>
      <c r="O1024" s="270" t="str">
        <f>IFERROR(INDEX([1]Produtos!$F:$F,MATCH(L1024,[1]Produtos!$B:$B,0)), "-")</f>
        <v>ml</v>
      </c>
      <c r="P1024" s="264" t="str">
        <f>IFERROR(INDEX([1]Produtos!$G:$G,MATCH(L1024,[1]Produtos!$B:$B,0)), "-")</f>
        <v>WIKE MAKE</v>
      </c>
      <c r="Q1024" s="270" t="str">
        <f>IFERROR(INDEX([1]Produtos!$H:$H,MATCH(L1024,[1]Produtos!$B:$B,0)), "-")</f>
        <v>MAQUIAGEM</v>
      </c>
      <c r="R1024" s="270" t="str">
        <f>IFERROR(INDEX([1]Produtos!$I:$I,MATCH(L1024,[1]Produtos!$B:$B,0)), "-")</f>
        <v>BRUMA</v>
      </c>
      <c r="S1024" s="270" t="str">
        <f>IFERROR(INDEX([1]Produtos!$J:$J,MATCH(L1024,[1]Produtos!$B:$B,0)), "-")</f>
        <v>LÍQUIDO</v>
      </c>
      <c r="T1024" s="475"/>
      <c r="U1024" s="270"/>
      <c r="V1024" s="270"/>
      <c r="W1024" s="270"/>
      <c r="X1024" s="270"/>
      <c r="Y1024" s="270"/>
      <c r="Z1024" s="270"/>
      <c r="AA1024" s="270"/>
      <c r="AB1024" s="270"/>
      <c r="AC1024" s="270"/>
      <c r="AD1024" s="270"/>
      <c r="AE1024" s="270"/>
      <c r="AF1024" s="270"/>
      <c r="AG1024" s="270"/>
      <c r="AH1024" s="270"/>
      <c r="AI1024" s="270"/>
      <c r="AJ1024" s="270"/>
      <c r="AK1024" s="270"/>
      <c r="AL1024" s="270"/>
      <c r="AM1024" s="663">
        <v>46150.458333333336</v>
      </c>
      <c r="AN1024" s="663">
        <v>46150.461805555555</v>
      </c>
      <c r="AO1024" s="708">
        <f>IF(OR(Table1[[#This Row],[Início Setup Envase]]="",Table1[[#This Row],[Final Setup Envase]]=""),"",Table1[[#This Row],[Final Setup Envase]]-Table1[[#This Row],[Início Setup Envase]])</f>
        <v>3.4722222189884633E-3</v>
      </c>
      <c r="AP1024" s="663"/>
      <c r="AQ1024" s="663"/>
      <c r="AR1024" s="270"/>
      <c r="AS1024" s="674"/>
      <c r="AT1024" s="674"/>
      <c r="AU1024" s="270"/>
      <c r="AV1024" s="270"/>
      <c r="AW1024" s="270"/>
      <c r="AX1024" s="270"/>
      <c r="AY1024" s="270"/>
      <c r="AZ1024" s="270"/>
      <c r="BA1024" s="270">
        <f>IF(Table1[[#This Row],[Data de Início]]="","",YEAR(Table1[[#This Row],[Data de Início]]))</f>
        <v>2026</v>
      </c>
      <c r="BB1024" s="270">
        <f>IF(Table1[[#This Row],[Data de Início]]="","",MONTH(Table1[[#This Row],[Data de Início]]))</f>
        <v>5</v>
      </c>
      <c r="BC1024" s="270"/>
    </row>
    <row r="1025" spans="2:55" x14ac:dyDescent="0.25">
      <c r="B1025" s="470">
        <v>46150.590277777781</v>
      </c>
      <c r="C1025" s="263">
        <v>46153.416666666664</v>
      </c>
      <c r="D1025" s="264" cm="1">
        <f t="array" ref="D1025">IFERROR(HorasUteisFabrica2Turnos(B1025,C1025), "")</f>
        <v>4.8333333331975155</v>
      </c>
      <c r="E1025" s="265">
        <f t="shared" si="15"/>
        <v>345.93103449247934</v>
      </c>
      <c r="F1025" s="266" t="s">
        <v>378</v>
      </c>
      <c r="G1025" s="266" t="s">
        <v>1470</v>
      </c>
      <c r="H1025" s="266"/>
      <c r="I1025" s="268" t="s">
        <v>1755</v>
      </c>
      <c r="J1025" s="268" t="s">
        <v>15</v>
      </c>
      <c r="K1025" s="268">
        <v>1672</v>
      </c>
      <c r="L1025" s="269" t="s">
        <v>1474</v>
      </c>
      <c r="M1025" s="510" t="str">
        <f>IFERROR(INDEX([1]Produtos!$C:$C,MATCH(L1025,[1]Produtos!$B:$B,0)), "-")</f>
        <v>HIDRATANTE BISNAGA CELESTIA 200g</v>
      </c>
      <c r="N1025" s="510">
        <f>IFERROR(INDEX([1]Produtos!$E:$E,MATCH(L1025,[1]Produtos!$B:$B,0)), "-")</f>
        <v>200</v>
      </c>
      <c r="O1025" s="270" t="str">
        <f>IFERROR(INDEX([1]Produtos!$F:$F,MATCH(L1025,[1]Produtos!$B:$B,0)), "-")</f>
        <v>g</v>
      </c>
      <c r="P1025" s="264" t="str">
        <f>IFERROR(INDEX([1]Produtos!$G:$G,MATCH(L1025,[1]Produtos!$B:$B,0)), "-")</f>
        <v>HABIBI PERFUMES</v>
      </c>
      <c r="Q1025" s="270" t="str">
        <f>IFERROR(INDEX([1]Produtos!$H:$H,MATCH(L1025,[1]Produtos!$B:$B,0)), "-")</f>
        <v>CORPORAL</v>
      </c>
      <c r="R1025" s="270" t="str">
        <f>IFERROR(INDEX([1]Produtos!$I:$I,MATCH(L1025,[1]Produtos!$B:$B,0)), "-")</f>
        <v>CREME HIDRATANTE</v>
      </c>
      <c r="S1025" s="270" t="str">
        <f>IFERROR(INDEX([1]Produtos!$J:$J,MATCH(L1025,[1]Produtos!$B:$B,0)), "-")</f>
        <v>CREMOSO</v>
      </c>
      <c r="T1025" s="475"/>
      <c r="U1025" s="270"/>
      <c r="V1025" s="270"/>
      <c r="W1025" s="270"/>
      <c r="X1025" s="270"/>
      <c r="Y1025" s="270"/>
      <c r="Z1025" s="270"/>
      <c r="AA1025" s="270"/>
      <c r="AB1025" s="270"/>
      <c r="AC1025" s="270"/>
      <c r="AD1025" s="270"/>
      <c r="AE1025" s="270"/>
      <c r="AF1025" s="270"/>
      <c r="AG1025" s="270"/>
      <c r="AH1025" s="270"/>
      <c r="AI1025" s="270"/>
      <c r="AJ1025" s="270"/>
      <c r="AK1025" s="270"/>
      <c r="AL1025" s="270"/>
      <c r="AM1025" s="663"/>
      <c r="AN1025" s="663"/>
      <c r="AO1025" s="708" t="str">
        <f>IF(OR(Table1[[#This Row],[Início Setup Envase]]="",Table1[[#This Row],[Final Setup Envase]]=""),"",Table1[[#This Row],[Final Setup Envase]]-Table1[[#This Row],[Início Setup Envase]])</f>
        <v/>
      </c>
      <c r="AP1025" s="663"/>
      <c r="AQ1025" s="663"/>
      <c r="AR1025" s="270"/>
      <c r="AS1025" s="270"/>
      <c r="AT1025" s="270"/>
      <c r="AU1025" s="270"/>
      <c r="AV1025" s="270"/>
      <c r="AW1025" s="270"/>
      <c r="AX1025" s="270"/>
      <c r="AY1025" s="270"/>
      <c r="AZ1025" s="270"/>
      <c r="BA1025" s="270">
        <f>IF(Table1[[#This Row],[Data de Início]]="","",YEAR(Table1[[#This Row],[Data de Início]]))</f>
        <v>2026</v>
      </c>
      <c r="BB1025" s="270">
        <f>IF(Table1[[#This Row],[Data de Início]]="","",MONTH(Table1[[#This Row],[Data de Início]]))</f>
        <v>5</v>
      </c>
      <c r="BC1025" s="270"/>
    </row>
    <row r="1026" spans="2:55" x14ac:dyDescent="0.25">
      <c r="B1026" s="470">
        <v>46150.62777777778</v>
      </c>
      <c r="C1026" s="263">
        <v>46153.375</v>
      </c>
      <c r="D1026" s="264" cm="1">
        <f t="array" ref="D1026">IFERROR(HorasUteisFabrica2Turnos(B1026,C1026), "")</f>
        <v>2.9333333332906477</v>
      </c>
      <c r="E1026" s="265">
        <f t="shared" si="15"/>
        <v>368.18181818717591</v>
      </c>
      <c r="F1026" s="266" t="s">
        <v>377</v>
      </c>
      <c r="G1026" s="266" t="s">
        <v>1710</v>
      </c>
      <c r="H1026" s="266"/>
      <c r="I1026" s="267" t="s">
        <v>1918</v>
      </c>
      <c r="J1026" s="268" t="s">
        <v>15</v>
      </c>
      <c r="K1026" s="268">
        <v>1080</v>
      </c>
      <c r="L1026" s="269" t="s">
        <v>1709</v>
      </c>
      <c r="M1026" s="510" t="str">
        <f>IFERROR(INDEX([1]Produtos!$C:$C,MATCH(L1026,[1]Produtos!$B:$B,0)), "-")</f>
        <v>BRUMA MATTE #ENTREGOUTUDOO 120ml</v>
      </c>
      <c r="N1026" s="510">
        <f>IFERROR(INDEX([1]Produtos!$E:$E,MATCH(L1026,[1]Produtos!$B:$B,0)), "-")</f>
        <v>120</v>
      </c>
      <c r="O1026" s="270" t="str">
        <f>IFERROR(INDEX([1]Produtos!$F:$F,MATCH(L1026,[1]Produtos!$B:$B,0)), "-")</f>
        <v>ml</v>
      </c>
      <c r="P1026" s="264" t="str">
        <f>IFERROR(INDEX([1]Produtos!$G:$G,MATCH(L1026,[1]Produtos!$B:$B,0)), "-")</f>
        <v>WIKE MAKE</v>
      </c>
      <c r="Q1026" s="270" t="str">
        <f>IFERROR(INDEX([1]Produtos!$H:$H,MATCH(L1026,[1]Produtos!$B:$B,0)), "-")</f>
        <v>MAQUIAGEM</v>
      </c>
      <c r="R1026" s="270" t="str">
        <f>IFERROR(INDEX([1]Produtos!$I:$I,MATCH(L1026,[1]Produtos!$B:$B,0)), "-")</f>
        <v>BRUMA</v>
      </c>
      <c r="S1026" s="270" t="str">
        <f>IFERROR(INDEX([1]Produtos!$J:$J,MATCH(L1026,[1]Produtos!$B:$B,0)), "-")</f>
        <v>LÍQUIDO</v>
      </c>
      <c r="T1026" s="475"/>
      <c r="U1026" s="270"/>
      <c r="V1026" s="270"/>
      <c r="W1026" s="270"/>
      <c r="X1026" s="270"/>
      <c r="Y1026" s="270"/>
      <c r="Z1026" s="270"/>
      <c r="AA1026" s="270"/>
      <c r="AB1026" s="270"/>
      <c r="AC1026" s="270"/>
      <c r="AD1026" s="270"/>
      <c r="AE1026" s="270"/>
      <c r="AF1026" s="270"/>
      <c r="AG1026" s="270"/>
      <c r="AH1026" s="270"/>
      <c r="AI1026" s="270"/>
      <c r="AJ1026" s="270"/>
      <c r="AK1026" s="270"/>
      <c r="AL1026" s="270"/>
      <c r="AM1026" s="663">
        <v>46150.625</v>
      </c>
      <c r="AN1026" s="663">
        <v>46150.627083333333</v>
      </c>
      <c r="AO1026" s="708">
        <f>IF(OR(Table1[[#This Row],[Início Setup Envase]]="",Table1[[#This Row],[Final Setup Envase]]=""),"",Table1[[#This Row],[Final Setup Envase]]-Table1[[#This Row],[Início Setup Envase]])</f>
        <v>2.0833333328482695E-3</v>
      </c>
      <c r="AP1026" s="663">
        <v>46150.624305555553</v>
      </c>
      <c r="AQ1026" s="663"/>
      <c r="AR1026" s="270" t="s">
        <v>1816</v>
      </c>
      <c r="AS1026" s="270"/>
      <c r="AT1026" s="270"/>
      <c r="AU1026" s="270"/>
      <c r="AV1026" s="270"/>
      <c r="AW1026" s="270"/>
      <c r="AX1026" s="270"/>
      <c r="AY1026" s="270"/>
      <c r="AZ1026" s="270"/>
      <c r="BA1026" s="270">
        <f>IF(Table1[[#This Row],[Data de Início]]="","",YEAR(Table1[[#This Row],[Data de Início]]))</f>
        <v>2026</v>
      </c>
      <c r="BB1026" s="270">
        <f>IF(Table1[[#This Row],[Data de Início]]="","",MONTH(Table1[[#This Row],[Data de Início]]))</f>
        <v>5</v>
      </c>
      <c r="BC1026" s="270"/>
    </row>
    <row r="1027" spans="2:55" x14ac:dyDescent="0.25">
      <c r="B1027" s="470">
        <v>46153.461805555555</v>
      </c>
      <c r="C1027" s="263">
        <v>46154.319444444445</v>
      </c>
      <c r="D1027" s="264" cm="1">
        <f t="array" ref="D1027">IFERROR(HorasUteisFabrica2Turnos(B1027,C1027), "")</f>
        <v>5.5833333334885538</v>
      </c>
      <c r="E1027" s="265">
        <f t="shared" ref="E1027:E1090" si="16">IFERROR(K1027/D1027, "")</f>
        <v>314.32835820021666</v>
      </c>
      <c r="F1027" s="266" t="s">
        <v>378</v>
      </c>
      <c r="G1027" s="266" t="s">
        <v>1470</v>
      </c>
      <c r="H1027" s="266"/>
      <c r="I1027" s="268" t="s">
        <v>1757</v>
      </c>
      <c r="J1027" s="268" t="s">
        <v>15</v>
      </c>
      <c r="K1027" s="268">
        <v>1755</v>
      </c>
      <c r="L1027" s="269" t="s">
        <v>1478</v>
      </c>
      <c r="M1027" s="510" t="str">
        <f>IFERROR(INDEX([1]Produtos!$C:$C,MATCH(L1027,[1]Produtos!$B:$B,0)), "-")</f>
        <v>HIDRATANTE BISNAGA ROSA SUBLIME 200g</v>
      </c>
      <c r="N1027" s="510">
        <f>IFERROR(INDEX([1]Produtos!$E:$E,MATCH(L1027,[1]Produtos!$B:$B,0)), "-")</f>
        <v>200</v>
      </c>
      <c r="O1027" s="270" t="str">
        <f>IFERROR(INDEX([1]Produtos!$F:$F,MATCH(L1027,[1]Produtos!$B:$B,0)), "-")</f>
        <v>g</v>
      </c>
      <c r="P1027" s="264" t="str">
        <f>IFERROR(INDEX([1]Produtos!$G:$G,MATCH(L1027,[1]Produtos!$B:$B,0)), "-")</f>
        <v>HABIBI PERFUMES</v>
      </c>
      <c r="Q1027" s="270" t="str">
        <f>IFERROR(INDEX([1]Produtos!$H:$H,MATCH(L1027,[1]Produtos!$B:$B,0)), "-")</f>
        <v>CORPORAL</v>
      </c>
      <c r="R1027" s="270" t="str">
        <f>IFERROR(INDEX([1]Produtos!$I:$I,MATCH(L1027,[1]Produtos!$B:$B,0)), "-")</f>
        <v>CREME HIDRATANTE</v>
      </c>
      <c r="S1027" s="270" t="str">
        <f>IFERROR(INDEX([1]Produtos!$J:$J,MATCH(L1027,[1]Produtos!$B:$B,0)), "-")</f>
        <v>CREMOSO</v>
      </c>
      <c r="T1027" s="475"/>
      <c r="U1027" s="270"/>
      <c r="V1027" s="270"/>
      <c r="W1027" s="270"/>
      <c r="X1027" s="270"/>
      <c r="Y1027" s="270"/>
      <c r="Z1027" s="270">
        <v>42</v>
      </c>
      <c r="AA1027" s="270"/>
      <c r="AB1027" s="270"/>
      <c r="AC1027" s="270"/>
      <c r="AD1027" s="270"/>
      <c r="AE1027" s="270"/>
      <c r="AF1027" s="270"/>
      <c r="AG1027" s="270"/>
      <c r="AH1027" s="270"/>
      <c r="AI1027" s="270"/>
      <c r="AJ1027" s="270"/>
      <c r="AK1027" s="270"/>
      <c r="AL1027" s="270"/>
      <c r="AM1027" s="663"/>
      <c r="AN1027" s="663"/>
      <c r="AO1027" s="708" t="str">
        <f>IF(OR(Table1[[#This Row],[Início Setup Envase]]="",Table1[[#This Row],[Final Setup Envase]]=""),"",Table1[[#This Row],[Final Setup Envase]]-Table1[[#This Row],[Início Setup Envase]])</f>
        <v/>
      </c>
      <c r="AP1027" s="663"/>
      <c r="AQ1027" s="663"/>
      <c r="AR1027" s="270"/>
      <c r="AS1027" s="270"/>
      <c r="AT1027" s="270"/>
      <c r="AU1027" s="270"/>
      <c r="AV1027" s="270"/>
      <c r="AW1027" s="270"/>
      <c r="AX1027" s="270"/>
      <c r="AY1027" s="270"/>
      <c r="AZ1027" s="270"/>
      <c r="BA1027" s="270">
        <f>IF(Table1[[#This Row],[Data de Início]]="","",YEAR(Table1[[#This Row],[Data de Início]]))</f>
        <v>2026</v>
      </c>
      <c r="BB1027" s="270">
        <f>IF(Table1[[#This Row],[Data de Início]]="","",MONTH(Table1[[#This Row],[Data de Início]]))</f>
        <v>5</v>
      </c>
      <c r="BC1027" s="270"/>
    </row>
    <row r="1028" spans="2:55" x14ac:dyDescent="0.25">
      <c r="B1028" s="470">
        <v>46153.545138888891</v>
      </c>
      <c r="C1028" s="263">
        <v>46154.32708333333</v>
      </c>
      <c r="D1028" s="264" cm="1">
        <f t="array" ref="D1028">IFERROR(HorasUteisFabrica2Turnos(B1028,C1028), "")</f>
        <v>4.7666666666627862</v>
      </c>
      <c r="E1028" s="265">
        <f t="shared" si="16"/>
        <v>533.70629370672816</v>
      </c>
      <c r="F1028" s="266" t="s">
        <v>377</v>
      </c>
      <c r="G1028" s="266" t="s">
        <v>1610</v>
      </c>
      <c r="H1028" s="266"/>
      <c r="I1028" s="268" t="s">
        <v>1758</v>
      </c>
      <c r="J1028" s="268" t="s">
        <v>15</v>
      </c>
      <c r="K1028" s="268">
        <v>2544</v>
      </c>
      <c r="L1028" s="269" t="s">
        <v>1280</v>
      </c>
      <c r="M1028" s="510" t="str">
        <f>IFERROR(INDEX([1]Produtos!$C:$C,MATCH(L1028,[1]Produtos!$B:$B,0)), "-")</f>
        <v>BODY SPLASH CEU CELESTE 200ml</v>
      </c>
      <c r="N1028" s="510">
        <f>IFERROR(INDEX([1]Produtos!$E:$E,MATCH(L1028,[1]Produtos!$B:$B,0)), "-")</f>
        <v>215</v>
      </c>
      <c r="O1028" s="270" t="str">
        <f>IFERROR(INDEX([1]Produtos!$F:$F,MATCH(L1028,[1]Produtos!$B:$B,0)), "-")</f>
        <v>ml</v>
      </c>
      <c r="P1028" s="264" t="str">
        <f>IFERROR(INDEX([1]Produtos!$G:$G,MATCH(L1028,[1]Produtos!$B:$B,0)), "-")</f>
        <v>MISS RÔSE</v>
      </c>
      <c r="Q1028" s="270" t="str">
        <f>IFERROR(INDEX([1]Produtos!$H:$H,MATCH(L1028,[1]Produtos!$B:$B,0)), "-")</f>
        <v>PERFUMARIA</v>
      </c>
      <c r="R1028" s="270" t="str">
        <f>IFERROR(INDEX([1]Produtos!$I:$I,MATCH(L1028,[1]Produtos!$B:$B,0)), "-")</f>
        <v>BODY SPLASH</v>
      </c>
      <c r="S1028" s="270" t="str">
        <f>IFERROR(INDEX([1]Produtos!$J:$J,MATCH(L1028,[1]Produtos!$B:$B,0)), "-")</f>
        <v>LÍQUIDO</v>
      </c>
      <c r="T1028" s="475"/>
      <c r="U1028" s="270"/>
      <c r="V1028" s="270"/>
      <c r="W1028" s="270"/>
      <c r="X1028" s="270"/>
      <c r="Y1028" s="270"/>
      <c r="Z1028" s="270"/>
      <c r="AA1028" s="270"/>
      <c r="AB1028" s="270"/>
      <c r="AC1028" s="270"/>
      <c r="AD1028" s="270"/>
      <c r="AE1028" s="270"/>
      <c r="AF1028" s="270"/>
      <c r="AG1028" s="270"/>
      <c r="AH1028" s="270"/>
      <c r="AI1028" s="270"/>
      <c r="AJ1028" s="270"/>
      <c r="AK1028" s="270"/>
      <c r="AL1028" s="270"/>
      <c r="AM1028" s="663"/>
      <c r="AN1028" s="663"/>
      <c r="AO1028" s="708" t="str">
        <f>IF(OR(Table1[[#This Row],[Início Setup Envase]]="",Table1[[#This Row],[Final Setup Envase]]=""),"",Table1[[#This Row],[Final Setup Envase]]-Table1[[#This Row],[Início Setup Envase]])</f>
        <v/>
      </c>
      <c r="AP1028" s="663"/>
      <c r="AQ1028" s="663"/>
      <c r="AR1028" s="270"/>
      <c r="AS1028" s="270"/>
      <c r="AT1028" s="270"/>
      <c r="AU1028" s="270"/>
      <c r="AV1028" s="270"/>
      <c r="AW1028" s="270"/>
      <c r="AX1028" s="270"/>
      <c r="AY1028" s="270"/>
      <c r="AZ1028" s="270"/>
      <c r="BA1028" s="270">
        <f>IF(Table1[[#This Row],[Data de Início]]="","",YEAR(Table1[[#This Row],[Data de Início]]))</f>
        <v>2026</v>
      </c>
      <c r="BB1028" s="270">
        <f>IF(Table1[[#This Row],[Data de Início]]="","",MONTH(Table1[[#This Row],[Data de Início]]))</f>
        <v>5</v>
      </c>
      <c r="BC1028" s="270"/>
    </row>
    <row r="1029" spans="2:55" x14ac:dyDescent="0.25">
      <c r="B1029" s="470">
        <v>46154.322916666664</v>
      </c>
      <c r="C1029" s="263">
        <v>46154.452777777777</v>
      </c>
      <c r="D1029" s="264" cm="1">
        <f t="array" ref="D1029">IFERROR(HorasUteisFabrica2Turnos(B1029,C1029), "")</f>
        <v>3.1166666666977108</v>
      </c>
      <c r="E1029" s="697">
        <f t="shared" si="16"/>
        <v>523.6363636311479</v>
      </c>
      <c r="F1029" s="266" t="s">
        <v>378</v>
      </c>
      <c r="G1029" s="655" t="s">
        <v>1470</v>
      </c>
      <c r="H1029" s="266"/>
      <c r="I1029" s="267" t="s">
        <v>1881</v>
      </c>
      <c r="J1029" s="268" t="s">
        <v>15</v>
      </c>
      <c r="K1029" s="268">
        <v>1632</v>
      </c>
      <c r="L1029" s="269" t="s">
        <v>1478</v>
      </c>
      <c r="M1029" s="510" t="str">
        <f>IFERROR(INDEX([1]Produtos!$C:$C,MATCH(L1029,[1]Produtos!$B:$B,0)), "-")</f>
        <v>HIDRATANTE BISNAGA ROSA SUBLIME 200g</v>
      </c>
      <c r="N1029" s="510">
        <f>IFERROR(INDEX([1]Produtos!$E:$E,MATCH(L1029,[1]Produtos!$B:$B,0)), "-")</f>
        <v>200</v>
      </c>
      <c r="O1029" s="270" t="str">
        <f>IFERROR(INDEX([1]Produtos!$F:$F,MATCH(L1029,[1]Produtos!$B:$B,0)), "-")</f>
        <v>g</v>
      </c>
      <c r="P1029" s="264" t="str">
        <f>IFERROR(INDEX([1]Produtos!$G:$G,MATCH(L1029,[1]Produtos!$B:$B,0)), "-")</f>
        <v>HABIBI PERFUMES</v>
      </c>
      <c r="Q1029" s="270" t="str">
        <f>IFERROR(INDEX([1]Produtos!$H:$H,MATCH(L1029,[1]Produtos!$B:$B,0)), "-")</f>
        <v>CORPORAL</v>
      </c>
      <c r="R1029" s="270" t="str">
        <f>IFERROR(INDEX([1]Produtos!$I:$I,MATCH(L1029,[1]Produtos!$B:$B,0)), "-")</f>
        <v>CREME HIDRATANTE</v>
      </c>
      <c r="S1029" s="270" t="str">
        <f>IFERROR(INDEX([1]Produtos!$J:$J,MATCH(L1029,[1]Produtos!$B:$B,0)), "-")</f>
        <v>CREMOSO</v>
      </c>
      <c r="T1029" s="475"/>
      <c r="U1029" s="270"/>
      <c r="V1029" s="270"/>
      <c r="W1029" s="270"/>
      <c r="X1029" s="270"/>
      <c r="Y1029" s="270"/>
      <c r="Z1029" s="270"/>
      <c r="AA1029" s="270"/>
      <c r="AB1029" s="270"/>
      <c r="AC1029" s="270"/>
      <c r="AD1029" s="270"/>
      <c r="AE1029" s="270"/>
      <c r="AF1029" s="270"/>
      <c r="AG1029" s="270"/>
      <c r="AH1029" s="270"/>
      <c r="AI1029" s="270"/>
      <c r="AJ1029" s="270"/>
      <c r="AK1029" s="270"/>
      <c r="AL1029" s="270"/>
      <c r="AM1029" s="663"/>
      <c r="AN1029" s="663"/>
      <c r="AO1029" s="708" t="str">
        <f>IF(OR(Table1[[#This Row],[Início Setup Envase]]="",Table1[[#This Row],[Final Setup Envase]]=""),"",Table1[[#This Row],[Final Setup Envase]]-Table1[[#This Row],[Início Setup Envase]])</f>
        <v/>
      </c>
      <c r="AP1029" s="663"/>
      <c r="AQ1029" s="663"/>
      <c r="AR1029" s="270"/>
      <c r="AS1029" s="674"/>
      <c r="AT1029" s="674"/>
      <c r="AU1029" s="270"/>
      <c r="AV1029" s="270"/>
      <c r="AW1029" s="270"/>
      <c r="AX1029" s="270"/>
      <c r="AY1029" s="270"/>
      <c r="AZ1029" s="270"/>
      <c r="BA1029" s="270">
        <f>IF(Table1[[#This Row],[Data de Início]]="","",YEAR(Table1[[#This Row],[Data de Início]]))</f>
        <v>2026</v>
      </c>
      <c r="BB1029" s="270">
        <f>IF(Table1[[#This Row],[Data de Início]]="","",MONTH(Table1[[#This Row],[Data de Início]]))</f>
        <v>5</v>
      </c>
      <c r="BC1029" s="270" t="s">
        <v>1773</v>
      </c>
    </row>
    <row r="1030" spans="2:55" x14ac:dyDescent="0.25">
      <c r="B1030" s="470">
        <v>46154.32916666667</v>
      </c>
      <c r="C1030" s="263">
        <v>46154.455555555556</v>
      </c>
      <c r="D1030" s="264" cm="1">
        <f t="array" ref="D1030">IFERROR(HorasUteisFabrica2Turnos(B1030,C1030), "")</f>
        <v>3.0333333332673647</v>
      </c>
      <c r="E1030" s="265">
        <f t="shared" si="16"/>
        <v>821.86813188600581</v>
      </c>
      <c r="F1030" s="266" t="s">
        <v>377</v>
      </c>
      <c r="G1030" s="266" t="s">
        <v>1610</v>
      </c>
      <c r="H1030" s="266"/>
      <c r="I1030" s="268" t="s">
        <v>1754</v>
      </c>
      <c r="J1030" s="268" t="s">
        <v>15</v>
      </c>
      <c r="K1030" s="268">
        <v>2493</v>
      </c>
      <c r="L1030" s="269" t="s">
        <v>1280</v>
      </c>
      <c r="M1030" s="510" t="str">
        <f>IFERROR(INDEX([1]Produtos!$C:$C,MATCH(L1030,[1]Produtos!$B:$B,0)), "-")</f>
        <v>BODY SPLASH CEU CELESTE 200ml</v>
      </c>
      <c r="N1030" s="510">
        <f>IFERROR(INDEX([1]Produtos!$E:$E,MATCH(L1030,[1]Produtos!$B:$B,0)), "-")</f>
        <v>215</v>
      </c>
      <c r="O1030" s="270" t="str">
        <f>IFERROR(INDEX([1]Produtos!$F:$F,MATCH(L1030,[1]Produtos!$B:$B,0)), "-")</f>
        <v>ml</v>
      </c>
      <c r="P1030" s="264" t="str">
        <f>IFERROR(INDEX([1]Produtos!$G:$G,MATCH(L1030,[1]Produtos!$B:$B,0)), "-")</f>
        <v>MISS RÔSE</v>
      </c>
      <c r="Q1030" s="270" t="str">
        <f>IFERROR(INDEX([1]Produtos!$H:$H,MATCH(L1030,[1]Produtos!$B:$B,0)), "-")</f>
        <v>PERFUMARIA</v>
      </c>
      <c r="R1030" s="270" t="str">
        <f>IFERROR(INDEX([1]Produtos!$I:$I,MATCH(L1030,[1]Produtos!$B:$B,0)), "-")</f>
        <v>BODY SPLASH</v>
      </c>
      <c r="S1030" s="270" t="str">
        <f>IFERROR(INDEX([1]Produtos!$J:$J,MATCH(L1030,[1]Produtos!$B:$B,0)), "-")</f>
        <v>LÍQUIDO</v>
      </c>
      <c r="T1030" s="475"/>
      <c r="U1030" s="270"/>
      <c r="V1030" s="270"/>
      <c r="W1030" s="270"/>
      <c r="X1030" s="270"/>
      <c r="Y1030" s="270"/>
      <c r="Z1030" s="270"/>
      <c r="AA1030" s="270"/>
      <c r="AB1030" s="270"/>
      <c r="AC1030" s="270"/>
      <c r="AD1030" s="270"/>
      <c r="AE1030" s="270"/>
      <c r="AF1030" s="270"/>
      <c r="AG1030" s="270"/>
      <c r="AH1030" s="270"/>
      <c r="AI1030" s="270"/>
      <c r="AJ1030" s="270"/>
      <c r="AK1030" s="270"/>
      <c r="AL1030" s="270"/>
      <c r="AM1030" s="663"/>
      <c r="AN1030" s="663"/>
      <c r="AO1030" s="708" t="str">
        <f>IF(OR(Table1[[#This Row],[Início Setup Envase]]="",Table1[[#This Row],[Final Setup Envase]]=""),"",Table1[[#This Row],[Final Setup Envase]]-Table1[[#This Row],[Início Setup Envase]])</f>
        <v/>
      </c>
      <c r="AP1030" s="663">
        <v>46154.451388888891</v>
      </c>
      <c r="AQ1030" s="663"/>
      <c r="AR1030" s="270" t="s">
        <v>971</v>
      </c>
      <c r="AS1030" s="270"/>
      <c r="AT1030" s="270"/>
      <c r="AU1030" s="270"/>
      <c r="AV1030" s="270"/>
      <c r="AW1030" s="270"/>
      <c r="AX1030" s="270"/>
      <c r="AY1030" s="270"/>
      <c r="AZ1030" s="270"/>
      <c r="BA1030" s="270">
        <f>IF(Table1[[#This Row],[Data de Início]]="","",YEAR(Table1[[#This Row],[Data de Início]]))</f>
        <v>2026</v>
      </c>
      <c r="BB1030" s="270">
        <f>IF(Table1[[#This Row],[Data de Início]]="","",MONTH(Table1[[#This Row],[Data de Início]]))</f>
        <v>5</v>
      </c>
      <c r="BC1030" s="270"/>
    </row>
    <row r="1031" spans="2:55" x14ac:dyDescent="0.25">
      <c r="B1031" s="470">
        <v>46154.453472222223</v>
      </c>
      <c r="C1031" s="263">
        <v>46154.5625</v>
      </c>
      <c r="D1031" s="264" cm="1">
        <f t="array" ref="D1031">IFERROR(HorasUteisFabrica2Turnos(B1031,C1031), "")</f>
        <v>1.6166666666395031</v>
      </c>
      <c r="E1031" s="265">
        <f t="shared" si="16"/>
        <v>139.79381443533853</v>
      </c>
      <c r="F1031" s="266" t="s">
        <v>378</v>
      </c>
      <c r="G1031" s="266" t="s">
        <v>1470</v>
      </c>
      <c r="H1031" s="266"/>
      <c r="I1031" s="268" t="s">
        <v>1835</v>
      </c>
      <c r="J1031" s="268" t="s">
        <v>15</v>
      </c>
      <c r="K1031" s="268">
        <v>226</v>
      </c>
      <c r="L1031" s="269" t="s">
        <v>1478</v>
      </c>
      <c r="M1031" s="510" t="str">
        <f>IFERROR(INDEX([1]Produtos!$C:$C,MATCH(L1031,[1]Produtos!$B:$B,0)), "-")</f>
        <v>HIDRATANTE BISNAGA ROSA SUBLIME 200g</v>
      </c>
      <c r="N1031" s="510">
        <f>IFERROR(INDEX([1]Produtos!$E:$E,MATCH(L1031,[1]Produtos!$B:$B,0)), "-")</f>
        <v>200</v>
      </c>
      <c r="O1031" s="270" t="str">
        <f>IFERROR(INDEX([1]Produtos!$F:$F,MATCH(L1031,[1]Produtos!$B:$B,0)), "-")</f>
        <v>g</v>
      </c>
      <c r="P1031" s="264" t="str">
        <f>IFERROR(INDEX([1]Produtos!$G:$G,MATCH(L1031,[1]Produtos!$B:$B,0)), "-")</f>
        <v>HABIBI PERFUMES</v>
      </c>
      <c r="Q1031" s="270" t="str">
        <f>IFERROR(INDEX([1]Produtos!$H:$H,MATCH(L1031,[1]Produtos!$B:$B,0)), "-")</f>
        <v>CORPORAL</v>
      </c>
      <c r="R1031" s="270" t="str">
        <f>IFERROR(INDEX([1]Produtos!$I:$I,MATCH(L1031,[1]Produtos!$B:$B,0)), "-")</f>
        <v>CREME HIDRATANTE</v>
      </c>
      <c r="S1031" s="270" t="str">
        <f>IFERROR(INDEX([1]Produtos!$J:$J,MATCH(L1031,[1]Produtos!$B:$B,0)), "-")</f>
        <v>CREMOSO</v>
      </c>
      <c r="T1031" s="475"/>
      <c r="U1031" s="270"/>
      <c r="V1031" s="270"/>
      <c r="W1031" s="270"/>
      <c r="X1031" s="270"/>
      <c r="Y1031" s="270"/>
      <c r="Z1031" s="270"/>
      <c r="AA1031" s="270"/>
      <c r="AB1031" s="270"/>
      <c r="AC1031" s="270"/>
      <c r="AD1031" s="270"/>
      <c r="AE1031" s="270"/>
      <c r="AF1031" s="270"/>
      <c r="AG1031" s="270"/>
      <c r="AH1031" s="270"/>
      <c r="AI1031" s="270"/>
      <c r="AJ1031" s="270"/>
      <c r="AK1031" s="270"/>
      <c r="AL1031" s="270"/>
      <c r="AM1031" s="663"/>
      <c r="AN1031" s="663"/>
      <c r="AO1031" s="708" t="str">
        <f>IF(OR(Table1[[#This Row],[Início Setup Envase]]="",Table1[[#This Row],[Final Setup Envase]]=""),"",Table1[[#This Row],[Final Setup Envase]]-Table1[[#This Row],[Início Setup Envase]])</f>
        <v/>
      </c>
      <c r="AP1031" s="663"/>
      <c r="AQ1031" s="663"/>
      <c r="AR1031" s="270"/>
      <c r="AS1031" s="270"/>
      <c r="AT1031" s="270"/>
      <c r="AU1031" s="270"/>
      <c r="AV1031" s="270"/>
      <c r="AW1031" s="270"/>
      <c r="AX1031" s="270"/>
      <c r="AY1031" s="270"/>
      <c r="AZ1031" s="270"/>
      <c r="BA1031" s="270">
        <f>IF(Table1[[#This Row],[Data de Início]]="","",YEAR(Table1[[#This Row],[Data de Início]]))</f>
        <v>2026</v>
      </c>
      <c r="BB1031" s="270">
        <f>IF(Table1[[#This Row],[Data de Início]]="","",MONTH(Table1[[#This Row],[Data de Início]]))</f>
        <v>5</v>
      </c>
      <c r="BC1031" s="270"/>
    </row>
    <row r="1032" spans="2:55" x14ac:dyDescent="0.25">
      <c r="B1032" s="470">
        <v>46154.541666666664</v>
      </c>
      <c r="C1032" s="263">
        <v>46155.354166666664</v>
      </c>
      <c r="D1032" s="264" cm="1">
        <f t="array" ref="D1032">IFERROR(HorasUteisFabrica2Turnos(B1032,C1032), "")</f>
        <v>5.5000000001164153</v>
      </c>
      <c r="E1032" s="265">
        <f t="shared" si="16"/>
        <v>513.27272726186311</v>
      </c>
      <c r="F1032" s="266" t="s">
        <v>377</v>
      </c>
      <c r="G1032" s="266" t="s">
        <v>1760</v>
      </c>
      <c r="H1032" s="266"/>
      <c r="I1032" s="268" t="s">
        <v>1759</v>
      </c>
      <c r="J1032" s="268" t="s">
        <v>15</v>
      </c>
      <c r="K1032" s="268">
        <v>2823</v>
      </c>
      <c r="L1032" s="269" t="s">
        <v>269</v>
      </c>
      <c r="M1032" s="510" t="str">
        <f>IFERROR(INDEX([1]Produtos!$C:$C,MATCH(L1032,[1]Produtos!$B:$B,0)), "-")</f>
        <v>ESFOLIANTE FACIAL VITAMINA C</v>
      </c>
      <c r="N1032" s="510">
        <f>IFERROR(INDEX([1]Produtos!$E:$E,MATCH(L1032,[1]Produtos!$B:$B,0)), "-")</f>
        <v>100</v>
      </c>
      <c r="O1032" s="270" t="str">
        <f>IFERROR(INDEX([1]Produtos!$F:$F,MATCH(L1032,[1]Produtos!$B:$B,0)), "-")</f>
        <v>ml</v>
      </c>
      <c r="P1032" s="264" t="str">
        <f>IFERROR(INDEX([1]Produtos!$G:$G,MATCH(L1032,[1]Produtos!$B:$B,0)), "-")</f>
        <v>SAFIRA</v>
      </c>
      <c r="Q1032" s="270" t="str">
        <f>IFERROR(INDEX([1]Produtos!$H:$H,MATCH(L1032,[1]Produtos!$B:$B,0)), "-")</f>
        <v>FACIAL</v>
      </c>
      <c r="R1032" s="270" t="str">
        <f>IFERROR(INDEX([1]Produtos!$I:$I,MATCH(L1032,[1]Produtos!$B:$B,0)), "-")</f>
        <v>ESFOLIANTE</v>
      </c>
      <c r="S1032" s="270" t="str">
        <f>IFERROR(INDEX([1]Produtos!$J:$J,MATCH(L1032,[1]Produtos!$B:$B,0)), "-")</f>
        <v>VISCOSO</v>
      </c>
      <c r="T1032" s="475"/>
      <c r="U1032" s="270"/>
      <c r="V1032" s="270"/>
      <c r="W1032" s="270">
        <v>34</v>
      </c>
      <c r="X1032" s="270"/>
      <c r="Y1032" s="270"/>
      <c r="Z1032" s="270"/>
      <c r="AA1032" s="270"/>
      <c r="AB1032" s="270"/>
      <c r="AC1032" s="270"/>
      <c r="AD1032" s="270"/>
      <c r="AE1032" s="270"/>
      <c r="AF1032" s="270"/>
      <c r="AG1032" s="270"/>
      <c r="AH1032" s="270"/>
      <c r="AI1032" s="270"/>
      <c r="AJ1032" s="270"/>
      <c r="AK1032" s="270"/>
      <c r="AL1032" s="270"/>
      <c r="AM1032" s="663"/>
      <c r="AN1032" s="663"/>
      <c r="AO1032" s="708" t="str">
        <f>IF(OR(Table1[[#This Row],[Início Setup Envase]]="",Table1[[#This Row],[Final Setup Envase]]=""),"",Table1[[#This Row],[Final Setup Envase]]-Table1[[#This Row],[Início Setup Envase]])</f>
        <v/>
      </c>
      <c r="AP1032" s="663"/>
      <c r="AQ1032" s="663"/>
      <c r="AR1032" s="270"/>
      <c r="AS1032" s="270"/>
      <c r="AT1032" s="270"/>
      <c r="AU1032" s="270"/>
      <c r="AV1032" s="270"/>
      <c r="AW1032" s="270"/>
      <c r="AX1032" s="270"/>
      <c r="AY1032" s="270"/>
      <c r="AZ1032" s="270"/>
      <c r="BA1032" s="270">
        <f>IF(Table1[[#This Row],[Data de Início]]="","",YEAR(Table1[[#This Row],[Data de Início]]))</f>
        <v>2026</v>
      </c>
      <c r="BB1032" s="270">
        <f>IF(Table1[[#This Row],[Data de Início]]="","",MONTH(Table1[[#This Row],[Data de Início]]))</f>
        <v>5</v>
      </c>
      <c r="BC1032" s="270"/>
    </row>
    <row r="1033" spans="2:55" x14ac:dyDescent="0.25">
      <c r="B1033" s="470">
        <v>46155.354861111111</v>
      </c>
      <c r="C1033" s="263">
        <v>46155.479166666664</v>
      </c>
      <c r="D1033" s="264" cm="1">
        <f t="array" ref="D1033">IFERROR(HorasUteisFabrica2Turnos(B1033,C1033), "")</f>
        <v>2.9833333332790062</v>
      </c>
      <c r="E1033" s="265">
        <f t="shared" si="16"/>
        <v>474.63687151702311</v>
      </c>
      <c r="F1033" s="266" t="s">
        <v>377</v>
      </c>
      <c r="G1033" s="266" t="s">
        <v>1760</v>
      </c>
      <c r="H1033" s="266"/>
      <c r="I1033" s="268" t="s">
        <v>1774</v>
      </c>
      <c r="J1033" s="268" t="s">
        <v>15</v>
      </c>
      <c r="K1033" s="268">
        <v>1416</v>
      </c>
      <c r="L1033" s="269" t="s">
        <v>268</v>
      </c>
      <c r="M1033" s="510" t="str">
        <f>IFERROR(INDEX([1]Produtos!$C:$C,MATCH(L1033,[1]Produtos!$B:$B,0)), "-")</f>
        <v>ESFOLIANTE FACIAL PITAYA</v>
      </c>
      <c r="N1033" s="510">
        <f>IFERROR(INDEX([1]Produtos!$E:$E,MATCH(L1033,[1]Produtos!$B:$B,0)), "-")</f>
        <v>100</v>
      </c>
      <c r="O1033" s="270" t="str">
        <f>IFERROR(INDEX([1]Produtos!$F:$F,MATCH(L1033,[1]Produtos!$B:$B,0)), "-")</f>
        <v>ml</v>
      </c>
      <c r="P1033" s="264" t="str">
        <f>IFERROR(INDEX([1]Produtos!$G:$G,MATCH(L1033,[1]Produtos!$B:$B,0)), "-")</f>
        <v>SAFIRA</v>
      </c>
      <c r="Q1033" s="270" t="str">
        <f>IFERROR(INDEX([1]Produtos!$H:$H,MATCH(L1033,[1]Produtos!$B:$B,0)), "-")</f>
        <v>FACIAL</v>
      </c>
      <c r="R1033" s="270" t="str">
        <f>IFERROR(INDEX([1]Produtos!$I:$I,MATCH(L1033,[1]Produtos!$B:$B,0)), "-")</f>
        <v>ESFOLIANTE</v>
      </c>
      <c r="S1033" s="270" t="str">
        <f>IFERROR(INDEX([1]Produtos!$J:$J,MATCH(L1033,[1]Produtos!$B:$B,0)), "-")</f>
        <v>VISCOSO</v>
      </c>
      <c r="T1033" s="475"/>
      <c r="U1033" s="270"/>
      <c r="V1033" s="270"/>
      <c r="W1033" s="270"/>
      <c r="X1033" s="270"/>
      <c r="Y1033" s="270"/>
      <c r="Z1033" s="270"/>
      <c r="AA1033" s="270"/>
      <c r="AB1033" s="270"/>
      <c r="AC1033" s="270"/>
      <c r="AD1033" s="270"/>
      <c r="AE1033" s="270"/>
      <c r="AF1033" s="270"/>
      <c r="AG1033" s="270"/>
      <c r="AH1033" s="270"/>
      <c r="AI1033" s="270"/>
      <c r="AJ1033" s="270"/>
      <c r="AK1033" s="270"/>
      <c r="AL1033" s="270"/>
      <c r="AM1033" s="663"/>
      <c r="AN1033" s="663"/>
      <c r="AO1033" s="708" t="str">
        <f>IF(OR(Table1[[#This Row],[Início Setup Envase]]="",Table1[[#This Row],[Final Setup Envase]]=""),"",Table1[[#This Row],[Final Setup Envase]]-Table1[[#This Row],[Início Setup Envase]])</f>
        <v/>
      </c>
      <c r="AP1033" s="663"/>
      <c r="AQ1033" s="663"/>
      <c r="AR1033" s="270"/>
      <c r="AS1033" s="270"/>
      <c r="AT1033" s="270"/>
      <c r="AU1033" s="270"/>
      <c r="AV1033" s="270"/>
      <c r="AW1033" s="270"/>
      <c r="AX1033" s="270"/>
      <c r="AY1033" s="270"/>
      <c r="AZ1033" s="270"/>
      <c r="BA1033" s="270">
        <f>IF(Table1[[#This Row],[Data de Início]]="","",YEAR(Table1[[#This Row],[Data de Início]]))</f>
        <v>2026</v>
      </c>
      <c r="BB1033" s="270">
        <f>IF(Table1[[#This Row],[Data de Início]]="","",MONTH(Table1[[#This Row],[Data de Início]]))</f>
        <v>5</v>
      </c>
      <c r="BC1033" s="270"/>
    </row>
    <row r="1034" spans="2:55" x14ac:dyDescent="0.25">
      <c r="B1034" s="470">
        <v>46155.454861111109</v>
      </c>
      <c r="C1034" s="263">
        <v>46155.569444444445</v>
      </c>
      <c r="D1034" s="264" cm="1">
        <f t="array" ref="D1034">IFERROR(HorasUteisFabrica2Turnos(B1034,C1034), "")</f>
        <v>1.7500000000582077</v>
      </c>
      <c r="E1034" s="265">
        <f t="shared" si="16"/>
        <v>381.71428570158929</v>
      </c>
      <c r="F1034" s="266" t="s">
        <v>378</v>
      </c>
      <c r="G1034" s="266" t="s">
        <v>1046</v>
      </c>
      <c r="H1034" s="266"/>
      <c r="I1034" s="268" t="s">
        <v>1780</v>
      </c>
      <c r="J1034" s="268" t="s">
        <v>15</v>
      </c>
      <c r="K1034" s="268">
        <v>668</v>
      </c>
      <c r="L1034" s="269" t="s">
        <v>1100</v>
      </c>
      <c r="M1034" s="510" t="str">
        <f>IFERROR(INDEX([1]Produtos!$C:$C,MATCH(L1034,[1]Produtos!$B:$B,0)), "-")</f>
        <v>BODY CREAM BAUNILHA SELVAGEM</v>
      </c>
      <c r="N1034" s="510">
        <f>IFERROR(INDEX([1]Produtos!$E:$E,MATCH(L1034,[1]Produtos!$B:$B,0)), "-")</f>
        <v>240</v>
      </c>
      <c r="O1034" s="270" t="str">
        <f>IFERROR(INDEX([1]Produtos!$F:$F,MATCH(L1034,[1]Produtos!$B:$B,0)), "-")</f>
        <v>ml</v>
      </c>
      <c r="P1034" s="264" t="str">
        <f>IFERROR(INDEX([1]Produtos!$G:$G,MATCH(L1034,[1]Produtos!$B:$B,0)), "-")</f>
        <v>AMEERATI</v>
      </c>
      <c r="Q1034" s="270" t="str">
        <f>IFERROR(INDEX([1]Produtos!$H:$H,MATCH(L1034,[1]Produtos!$B:$B,0)), "-")</f>
        <v>CORPORAL</v>
      </c>
      <c r="R1034" s="270" t="str">
        <f>IFERROR(INDEX([1]Produtos!$I:$I,MATCH(L1034,[1]Produtos!$B:$B,0)), "-")</f>
        <v>CREME HIDRATANTE</v>
      </c>
      <c r="S1034" s="270" t="str">
        <f>IFERROR(INDEX([1]Produtos!$J:$J,MATCH(L1034,[1]Produtos!$B:$B,0)), "-")</f>
        <v>CREMOSO</v>
      </c>
      <c r="T1034" s="475"/>
      <c r="U1034" s="270"/>
      <c r="V1034" s="270"/>
      <c r="W1034" s="270"/>
      <c r="X1034" s="270"/>
      <c r="Y1034" s="270"/>
      <c r="Z1034" s="270"/>
      <c r="AA1034" s="270"/>
      <c r="AB1034" s="270"/>
      <c r="AC1034" s="270"/>
      <c r="AD1034" s="270"/>
      <c r="AE1034" s="270"/>
      <c r="AF1034" s="270"/>
      <c r="AG1034" s="270"/>
      <c r="AH1034" s="270"/>
      <c r="AI1034" s="270"/>
      <c r="AJ1034" s="270"/>
      <c r="AK1034" s="270"/>
      <c r="AL1034" s="270"/>
      <c r="AM1034" s="663"/>
      <c r="AN1034" s="663" t="s">
        <v>489</v>
      </c>
      <c r="AO1034" s="708" t="str">
        <f>IF(OR(Table1[[#This Row],[Início Setup Envase]]="",Table1[[#This Row],[Final Setup Envase]]=""),"",Table1[[#This Row],[Final Setup Envase]]-Table1[[#This Row],[Início Setup Envase]])</f>
        <v/>
      </c>
      <c r="AP1034" s="663"/>
      <c r="AQ1034" s="663"/>
      <c r="AR1034" s="270"/>
      <c r="AS1034" s="270"/>
      <c r="AT1034" s="270"/>
      <c r="AU1034" s="270"/>
      <c r="AV1034" s="270"/>
      <c r="AW1034" s="270"/>
      <c r="AX1034" s="270"/>
      <c r="AY1034" s="270"/>
      <c r="AZ1034" s="270"/>
      <c r="BA1034" s="270">
        <f>IF(Table1[[#This Row],[Data de Início]]="","",YEAR(Table1[[#This Row],[Data de Início]]))</f>
        <v>2026</v>
      </c>
      <c r="BB1034" s="270">
        <f>IF(Table1[[#This Row],[Data de Início]]="","",MONTH(Table1[[#This Row],[Data de Início]]))</f>
        <v>5</v>
      </c>
      <c r="BC1034" s="270"/>
    </row>
    <row r="1035" spans="2:55" x14ac:dyDescent="0.25">
      <c r="B1035" s="470">
        <v>46155.604166666664</v>
      </c>
      <c r="C1035" s="263">
        <v>46155.65625</v>
      </c>
      <c r="D1035" s="477" cm="1">
        <f t="array" ref="D1035">IFERROR(HorasUteisFabrica2Turnos(B1035,C1035), "")</f>
        <v>1.2500000000582077</v>
      </c>
      <c r="E1035" s="478">
        <f t="shared" si="16"/>
        <v>681.59999996826048</v>
      </c>
      <c r="F1035" s="479" t="s">
        <v>378</v>
      </c>
      <c r="G1035" s="266" t="s">
        <v>1046</v>
      </c>
      <c r="H1035" s="479"/>
      <c r="I1035" s="268" t="s">
        <v>1777</v>
      </c>
      <c r="J1035" s="482" t="s">
        <v>15</v>
      </c>
      <c r="K1035" s="268">
        <v>852</v>
      </c>
      <c r="L1035" s="269" t="s">
        <v>1106</v>
      </c>
      <c r="M1035" s="511" t="str">
        <f>IFERROR(INDEX([1]Produtos!$C:$C,MATCH(L1035,[1]Produtos!$B:$B,0)), "-")</f>
        <v>BODY CREAM FRESCOR LICHIA</v>
      </c>
      <c r="N1035" s="511">
        <f>IFERROR(INDEX([1]Produtos!$E:$E,MATCH(L1035,[1]Produtos!$B:$B,0)), "-")</f>
        <v>240</v>
      </c>
      <c r="O1035" s="483" t="str">
        <f>IFERROR(INDEX([1]Produtos!$F:$F,MATCH(L1035,[1]Produtos!$B:$B,0)), "-")</f>
        <v>ml</v>
      </c>
      <c r="P1035" s="477" t="str">
        <f>IFERROR(INDEX([1]Produtos!$G:$G,MATCH(L1035,[1]Produtos!$B:$B,0)), "-")</f>
        <v>AMEERATI</v>
      </c>
      <c r="Q1035" s="483" t="str">
        <f>IFERROR(INDEX([1]Produtos!$H:$H,MATCH(L1035,[1]Produtos!$B:$B,0)), "-")</f>
        <v>CORPORAL</v>
      </c>
      <c r="R1035" s="483" t="str">
        <f>IFERROR(INDEX([1]Produtos!$I:$I,MATCH(L1035,[1]Produtos!$B:$B,0)), "-")</f>
        <v>CREME HIDRATANTE</v>
      </c>
      <c r="S1035" s="483" t="str">
        <f>IFERROR(INDEX([1]Produtos!$J:$J,MATCH(L1035,[1]Produtos!$B:$B,0)), "-")</f>
        <v>CREMOSO</v>
      </c>
      <c r="T1035" s="484"/>
      <c r="U1035" s="483"/>
      <c r="V1035" s="483"/>
      <c r="W1035" s="483"/>
      <c r="X1035" s="483"/>
      <c r="Y1035" s="483"/>
      <c r="Z1035" s="483"/>
      <c r="AA1035" s="483"/>
      <c r="AB1035" s="483"/>
      <c r="AC1035" s="483"/>
      <c r="AD1035" s="483"/>
      <c r="AE1035" s="483"/>
      <c r="AF1035" s="483"/>
      <c r="AG1035" s="483"/>
      <c r="AH1035" s="483"/>
      <c r="AI1035" s="483"/>
      <c r="AJ1035" s="483"/>
      <c r="AK1035" s="483"/>
      <c r="AL1035" s="483"/>
      <c r="AM1035" s="670">
        <v>46155.600694444445</v>
      </c>
      <c r="AN1035" s="670">
        <v>46155.602083333331</v>
      </c>
      <c r="AO1035" s="711">
        <f>IF(OR(Table1[[#This Row],[Início Setup Envase]]="",Table1[[#This Row],[Final Setup Envase]]=""),"",Table1[[#This Row],[Final Setup Envase]]-Table1[[#This Row],[Início Setup Envase]])</f>
        <v>1.3888888861401938E-3</v>
      </c>
      <c r="AP1035" s="670"/>
      <c r="AQ1035" s="670"/>
      <c r="AR1035" s="483"/>
      <c r="AS1035" s="483"/>
      <c r="AT1035" s="483"/>
      <c r="AU1035" s="483"/>
      <c r="AV1035" s="483"/>
      <c r="AW1035" s="483"/>
      <c r="AX1035" s="483"/>
      <c r="AY1035" s="270"/>
      <c r="AZ1035" s="270"/>
      <c r="BA1035" s="270">
        <f>IF(Table1[[#This Row],[Data de Início]]="","",YEAR(Table1[[#This Row],[Data de Início]]))</f>
        <v>2026</v>
      </c>
      <c r="BB1035" s="270">
        <f>IF(Table1[[#This Row],[Data de Início]]="","",MONTH(Table1[[#This Row],[Data de Início]]))</f>
        <v>5</v>
      </c>
      <c r="BC1035" s="483"/>
    </row>
    <row r="1036" spans="2:55" x14ac:dyDescent="0.25">
      <c r="B1036" s="470">
        <v>46155.670138888891</v>
      </c>
      <c r="C1036" s="263">
        <v>46156.413194444445</v>
      </c>
      <c r="D1036" s="264" cm="1">
        <f t="array" ref="D1036">IFERROR(HorasUteisFabrica2Turnos(B1036,C1036), "")</f>
        <v>3.8333333334303461</v>
      </c>
      <c r="E1036" s="265">
        <f t="shared" si="16"/>
        <v>757.82608693734289</v>
      </c>
      <c r="F1036" s="266" t="s">
        <v>377</v>
      </c>
      <c r="G1036" s="266" t="s">
        <v>1760</v>
      </c>
      <c r="H1036" s="266"/>
      <c r="I1036" s="268" t="s">
        <v>1795</v>
      </c>
      <c r="J1036" s="268" t="s">
        <v>15</v>
      </c>
      <c r="K1036" s="268">
        <v>2905</v>
      </c>
      <c r="L1036" s="269" t="s">
        <v>272</v>
      </c>
      <c r="M1036" s="510" t="str">
        <f>IFERROR(INDEX([1]Produtos!$C:$C,MATCH(L1036,[1]Produtos!$B:$B,0)), "-")</f>
        <v>SABONETE DEMAQUILANTE PITAYA</v>
      </c>
      <c r="N1036" s="510">
        <f>IFERROR(INDEX([1]Produtos!$E:$E,MATCH(L1036,[1]Produtos!$B:$B,0)), "-")</f>
        <v>100</v>
      </c>
      <c r="O1036" s="270" t="str">
        <f>IFERROR(INDEX([1]Produtos!$F:$F,MATCH(L1036,[1]Produtos!$B:$B,0)), "-")</f>
        <v>ml</v>
      </c>
      <c r="P1036" s="264" t="str">
        <f>IFERROR(INDEX([1]Produtos!$G:$G,MATCH(L1036,[1]Produtos!$B:$B,0)), "-")</f>
        <v>SAFIRA</v>
      </c>
      <c r="Q1036" s="270" t="str">
        <f>IFERROR(INDEX([1]Produtos!$H:$H,MATCH(L1036,[1]Produtos!$B:$B,0)), "-")</f>
        <v>MAQUIAGEM</v>
      </c>
      <c r="R1036" s="270" t="str">
        <f>IFERROR(INDEX([1]Produtos!$I:$I,MATCH(L1036,[1]Produtos!$B:$B,0)), "-")</f>
        <v>SABONETE</v>
      </c>
      <c r="S1036" s="270" t="str">
        <f>IFERROR(INDEX([1]Produtos!$J:$J,MATCH(L1036,[1]Produtos!$B:$B,0)), "-")</f>
        <v>VISCOSO</v>
      </c>
      <c r="T1036" s="475"/>
      <c r="U1036" s="270"/>
      <c r="V1036" s="270"/>
      <c r="W1036" s="270"/>
      <c r="X1036" s="270"/>
      <c r="Y1036" s="270"/>
      <c r="Z1036" s="270"/>
      <c r="AA1036" s="270"/>
      <c r="AB1036" s="270"/>
      <c r="AC1036" s="270"/>
      <c r="AD1036" s="270"/>
      <c r="AE1036" s="270"/>
      <c r="AF1036" s="270"/>
      <c r="AG1036" s="270"/>
      <c r="AH1036" s="270"/>
      <c r="AI1036" s="270"/>
      <c r="AJ1036" s="270"/>
      <c r="AK1036" s="270"/>
      <c r="AL1036" s="270"/>
      <c r="AM1036" s="663"/>
      <c r="AN1036" s="663"/>
      <c r="AO1036" s="708" t="str">
        <f>IF(OR(Table1[[#This Row],[Início Setup Envase]]="",Table1[[#This Row],[Final Setup Envase]]=""),"",Table1[[#This Row],[Final Setup Envase]]-Table1[[#This Row],[Início Setup Envase]])</f>
        <v/>
      </c>
      <c r="AP1036" s="663">
        <v>46155.548611111109</v>
      </c>
      <c r="AQ1036" s="663"/>
      <c r="AR1036" s="270" t="s">
        <v>1773</v>
      </c>
      <c r="AS1036" s="270">
        <v>46156.340277777781</v>
      </c>
      <c r="AT1036" s="270" t="s">
        <v>1796</v>
      </c>
      <c r="AU1036" s="270" t="s">
        <v>1773</v>
      </c>
      <c r="AV1036" s="270">
        <v>46156.395833333336</v>
      </c>
      <c r="AW1036" s="270">
        <v>46156.496527777781</v>
      </c>
      <c r="AX1036" s="270" t="s">
        <v>1773</v>
      </c>
      <c r="AY1036" s="270"/>
      <c r="AZ1036" s="270"/>
      <c r="BA1036" s="270">
        <f>IF(Table1[[#This Row],[Data de Início]]="","",YEAR(Table1[[#This Row],[Data de Início]]))</f>
        <v>2026</v>
      </c>
      <c r="BB1036" s="270">
        <f>IF(Table1[[#This Row],[Data de Início]]="","",MONTH(Table1[[#This Row],[Data de Início]]))</f>
        <v>5</v>
      </c>
      <c r="BC1036" s="270"/>
    </row>
    <row r="1037" spans="2:55" x14ac:dyDescent="0.25">
      <c r="B1037" s="470">
        <v>46156.302083333336</v>
      </c>
      <c r="C1037" s="263">
        <v>46156.385416666664</v>
      </c>
      <c r="D1037" s="477" cm="1">
        <f t="array" ref="D1037">IFERROR(HorasUteisFabrica2Turnos(B1037,C1037), "")</f>
        <v>1.9999999998835847</v>
      </c>
      <c r="E1037" s="478">
        <f t="shared" si="16"/>
        <v>422.50000002459274</v>
      </c>
      <c r="F1037" s="266" t="s">
        <v>378</v>
      </c>
      <c r="G1037" s="656" t="s">
        <v>1046</v>
      </c>
      <c r="H1037" s="479"/>
      <c r="I1037" s="268" t="s">
        <v>1775</v>
      </c>
      <c r="J1037" s="268" t="s">
        <v>15</v>
      </c>
      <c r="K1037" s="268">
        <v>845</v>
      </c>
      <c r="L1037" s="269" t="s">
        <v>1116</v>
      </c>
      <c r="M1037" s="511" t="str">
        <f>IFERROR(INDEX([1]Produtos!$C:$C,MATCH(L1037,[1]Produtos!$B:$B,0)), "-")</f>
        <v>BODY CREAM BOUQUET CARMIM</v>
      </c>
      <c r="N1037" s="511">
        <f>IFERROR(INDEX([1]Produtos!$E:$E,MATCH(L1037,[1]Produtos!$B:$B,0)), "-")</f>
        <v>240</v>
      </c>
      <c r="O1037" s="483" t="str">
        <f>IFERROR(INDEX([1]Produtos!$F:$F,MATCH(L1037,[1]Produtos!$B:$B,0)), "-")</f>
        <v>ml</v>
      </c>
      <c r="P1037" s="477" t="str">
        <f>IFERROR(INDEX([1]Produtos!$G:$G,MATCH(L1037,[1]Produtos!$B:$B,0)), "-")</f>
        <v>AMEERATI</v>
      </c>
      <c r="Q1037" s="483" t="str">
        <f>IFERROR(INDEX([1]Produtos!$H:$H,MATCH(L1037,[1]Produtos!$B:$B,0)), "-")</f>
        <v>CORPORAL</v>
      </c>
      <c r="R1037" s="483" t="str">
        <f>IFERROR(INDEX([1]Produtos!$I:$I,MATCH(L1037,[1]Produtos!$B:$B,0)), "-")</f>
        <v>CREME HIDRATANTE</v>
      </c>
      <c r="S1037" s="483" t="str">
        <f>IFERROR(INDEX([1]Produtos!$J:$J,MATCH(L1037,[1]Produtos!$B:$B,0)), "-")</f>
        <v>CREMOSO</v>
      </c>
      <c r="T1037" s="484"/>
      <c r="U1037" s="483"/>
      <c r="V1037" s="483"/>
      <c r="W1037" s="483"/>
      <c r="X1037" s="483"/>
      <c r="Y1037" s="483"/>
      <c r="Z1037" s="483"/>
      <c r="AA1037" s="483"/>
      <c r="AB1037" s="483"/>
      <c r="AC1037" s="483"/>
      <c r="AD1037" s="483"/>
      <c r="AE1037" s="483"/>
      <c r="AF1037" s="483"/>
      <c r="AG1037" s="483"/>
      <c r="AH1037" s="483"/>
      <c r="AI1037" s="483"/>
      <c r="AJ1037" s="483"/>
      <c r="AK1037" s="483"/>
      <c r="AL1037" s="483"/>
      <c r="AM1037" s="670">
        <v>46156.295138888891</v>
      </c>
      <c r="AN1037" s="670">
        <v>46156.296527777777</v>
      </c>
      <c r="AO1037" s="711">
        <f>IF(OR(Table1[[#This Row],[Início Setup Envase]]="",Table1[[#This Row],[Final Setup Envase]]=""),"",Table1[[#This Row],[Final Setup Envase]]-Table1[[#This Row],[Início Setup Envase]])</f>
        <v>1.3888888861401938E-3</v>
      </c>
      <c r="AP1037" s="670">
        <v>46156.357638888891</v>
      </c>
      <c r="AQ1037" s="670">
        <v>46156.361111111109</v>
      </c>
      <c r="AR1037" s="483" t="s">
        <v>1776</v>
      </c>
      <c r="AS1037" s="483"/>
      <c r="AT1037" s="483"/>
      <c r="AU1037" s="483"/>
      <c r="AV1037" s="483"/>
      <c r="AW1037" s="483"/>
      <c r="AX1037" s="483"/>
      <c r="AY1037" s="270"/>
      <c r="AZ1037" s="270"/>
      <c r="BA1037" s="270">
        <f>IF(Table1[[#This Row],[Data de Início]]="","",YEAR(Table1[[#This Row],[Data de Início]]))</f>
        <v>2026</v>
      </c>
      <c r="BB1037" s="270">
        <f>IF(Table1[[#This Row],[Data de Início]]="","",MONTH(Table1[[#This Row],[Data de Início]]))</f>
        <v>5</v>
      </c>
      <c r="BC1037" s="483"/>
    </row>
    <row r="1038" spans="2:55" x14ac:dyDescent="0.25">
      <c r="B1038" s="470">
        <v>46156.402777777781</v>
      </c>
      <c r="C1038" s="263">
        <v>46156.486805555556</v>
      </c>
      <c r="D1038" s="264" cm="1">
        <f t="array" ref="D1038">IFERROR(HorasUteisFabrica2Turnos(B1038,C1038), "")</f>
        <v>2.0166666666045785</v>
      </c>
      <c r="E1038" s="265">
        <f t="shared" si="16"/>
        <v>389.25619835909168</v>
      </c>
      <c r="F1038" s="266" t="s">
        <v>378</v>
      </c>
      <c r="G1038" s="656" t="s">
        <v>1046</v>
      </c>
      <c r="H1038" s="266"/>
      <c r="I1038" s="268" t="s">
        <v>1772</v>
      </c>
      <c r="J1038" s="268" t="s">
        <v>15</v>
      </c>
      <c r="K1038" s="268">
        <v>785</v>
      </c>
      <c r="L1038" s="269" t="s">
        <v>1118</v>
      </c>
      <c r="M1038" s="510" t="str">
        <f>IFERROR(INDEX([1]Produtos!$C:$C,MATCH(L1038,[1]Produtos!$B:$B,0)), "-")</f>
        <v>BODY CREAM DOCE ROSA</v>
      </c>
      <c r="N1038" s="510">
        <f>IFERROR(INDEX([1]Produtos!$E:$E,MATCH(L1038,[1]Produtos!$B:$B,0)), "-")</f>
        <v>240</v>
      </c>
      <c r="O1038" s="270" t="str">
        <f>IFERROR(INDEX([1]Produtos!$F:$F,MATCH(L1038,[1]Produtos!$B:$B,0)), "-")</f>
        <v>ml</v>
      </c>
      <c r="P1038" s="264" t="str">
        <f>IFERROR(INDEX([1]Produtos!$G:$G,MATCH(L1038,[1]Produtos!$B:$B,0)), "-")</f>
        <v>AMEERATI</v>
      </c>
      <c r="Q1038" s="270" t="str">
        <f>IFERROR(INDEX([1]Produtos!$H:$H,MATCH(L1038,[1]Produtos!$B:$B,0)), "-")</f>
        <v>CORPORAL</v>
      </c>
      <c r="R1038" s="270" t="str">
        <f>IFERROR(INDEX([1]Produtos!$I:$I,MATCH(L1038,[1]Produtos!$B:$B,0)), "-")</f>
        <v>CREME HIDRATANTE</v>
      </c>
      <c r="S1038" s="270" t="str">
        <f>IFERROR(INDEX([1]Produtos!$J:$J,MATCH(L1038,[1]Produtos!$B:$B,0)), "-")</f>
        <v>CREMOSO</v>
      </c>
      <c r="T1038" s="475"/>
      <c r="U1038" s="270"/>
      <c r="V1038" s="270"/>
      <c r="W1038" s="270"/>
      <c r="X1038" s="270"/>
      <c r="Y1038" s="270"/>
      <c r="Z1038" s="270"/>
      <c r="AA1038" s="270"/>
      <c r="AB1038" s="270"/>
      <c r="AC1038" s="270"/>
      <c r="AD1038" s="270"/>
      <c r="AE1038" s="270"/>
      <c r="AF1038" s="270"/>
      <c r="AG1038" s="270"/>
      <c r="AH1038" s="270"/>
      <c r="AI1038" s="270"/>
      <c r="AJ1038" s="270"/>
      <c r="AK1038" s="270"/>
      <c r="AL1038" s="270"/>
      <c r="AM1038" s="663"/>
      <c r="AN1038" s="663"/>
      <c r="AO1038" s="708" t="str">
        <f>IF(OR(Table1[[#This Row],[Início Setup Envase]]="",Table1[[#This Row],[Final Setup Envase]]=""),"",Table1[[#This Row],[Final Setup Envase]]-Table1[[#This Row],[Início Setup Envase]])</f>
        <v/>
      </c>
      <c r="AP1038" s="663">
        <v>46157.451388888891</v>
      </c>
      <c r="AQ1038" s="663"/>
      <c r="AR1038" s="270" t="s">
        <v>1773</v>
      </c>
      <c r="AS1038" s="270"/>
      <c r="AT1038" s="270"/>
      <c r="AU1038" s="270"/>
      <c r="AV1038" s="270"/>
      <c r="AW1038" s="270"/>
      <c r="AX1038" s="270"/>
      <c r="AY1038" s="270"/>
      <c r="AZ1038" s="270"/>
      <c r="BA1038" s="270">
        <f>IF(Table1[[#This Row],[Data de Início]]="","",YEAR(Table1[[#This Row],[Data de Início]]))</f>
        <v>2026</v>
      </c>
      <c r="BB1038" s="270">
        <f>IF(Table1[[#This Row],[Data de Início]]="","",MONTH(Table1[[#This Row],[Data de Início]]))</f>
        <v>5</v>
      </c>
      <c r="BC1038" s="270"/>
    </row>
    <row r="1039" spans="2:55" x14ac:dyDescent="0.25">
      <c r="B1039" s="470">
        <v>46156.479166666664</v>
      </c>
      <c r="C1039" s="263">
        <v>46156.559027777781</v>
      </c>
      <c r="D1039" s="477" cm="1">
        <f t="array" ref="D1039">IFERROR(HorasUteisFabrica2Turnos(B1039,C1039), "")</f>
        <v>0.91666666680248454</v>
      </c>
      <c r="E1039" s="478">
        <f t="shared" si="16"/>
        <v>773.45454533994655</v>
      </c>
      <c r="F1039" s="266" t="s">
        <v>378</v>
      </c>
      <c r="G1039" s="656" t="s">
        <v>1046</v>
      </c>
      <c r="H1039" s="479"/>
      <c r="I1039" s="268" t="s">
        <v>1769</v>
      </c>
      <c r="J1039" s="268" t="s">
        <v>15</v>
      </c>
      <c r="K1039" s="268">
        <v>709</v>
      </c>
      <c r="L1039" s="269" t="s">
        <v>1237</v>
      </c>
      <c r="M1039" s="511" t="str">
        <f>IFERROR(INDEX([1]Produtos!$C:$C,MATCH(L1039,[1]Produtos!$B:$B,0)), "-")</f>
        <v>BODY CREAM ROSA IMPERIAL</v>
      </c>
      <c r="N1039" s="511">
        <f>IFERROR(INDEX([1]Produtos!$E:$E,MATCH(L1039,[1]Produtos!$B:$B,0)), "-")</f>
        <v>240</v>
      </c>
      <c r="O1039" s="483" t="str">
        <f>IFERROR(INDEX([1]Produtos!$F:$F,MATCH(L1039,[1]Produtos!$B:$B,0)), "-")</f>
        <v>ml</v>
      </c>
      <c r="P1039" s="477" t="str">
        <f>IFERROR(INDEX([1]Produtos!$G:$G,MATCH(L1039,[1]Produtos!$B:$B,0)), "-")</f>
        <v>AMEERATI</v>
      </c>
      <c r="Q1039" s="483" t="str">
        <f>IFERROR(INDEX([1]Produtos!$H:$H,MATCH(L1039,[1]Produtos!$B:$B,0)), "-")</f>
        <v>CORPORAL</v>
      </c>
      <c r="R1039" s="483" t="str">
        <f>IFERROR(INDEX([1]Produtos!$I:$I,MATCH(L1039,[1]Produtos!$B:$B,0)), "-")</f>
        <v>CREME HIDRATANTE</v>
      </c>
      <c r="S1039" s="483" t="str">
        <f>IFERROR(INDEX([1]Produtos!$J:$J,MATCH(L1039,[1]Produtos!$B:$B,0)), "-")</f>
        <v>CREMOSO</v>
      </c>
      <c r="T1039" s="484"/>
      <c r="U1039" s="483"/>
      <c r="V1039" s="483"/>
      <c r="W1039" s="483"/>
      <c r="X1039" s="483"/>
      <c r="Y1039" s="483"/>
      <c r="Z1039" s="483"/>
      <c r="AA1039" s="483"/>
      <c r="AB1039" s="483"/>
      <c r="AC1039" s="483"/>
      <c r="AD1039" s="483"/>
      <c r="AE1039" s="483"/>
      <c r="AF1039" s="483"/>
      <c r="AG1039" s="483"/>
      <c r="AH1039" s="483"/>
      <c r="AI1039" s="483"/>
      <c r="AJ1039" s="483"/>
      <c r="AK1039" s="483"/>
      <c r="AL1039" s="483"/>
      <c r="AM1039" s="670">
        <v>46156.472222222219</v>
      </c>
      <c r="AN1039" s="670">
        <v>46156.474305555559</v>
      </c>
      <c r="AO1039" s="711">
        <f>IF(OR(Table1[[#This Row],[Início Setup Envase]]="",Table1[[#This Row],[Final Setup Envase]]=""),"",Table1[[#This Row],[Final Setup Envase]]-Table1[[#This Row],[Início Setup Envase]])</f>
        <v>2.0833333401242271E-3</v>
      </c>
      <c r="AP1039" s="670"/>
      <c r="AQ1039" s="670"/>
      <c r="AR1039" s="483"/>
      <c r="AS1039" s="483"/>
      <c r="AT1039" s="483"/>
      <c r="AU1039" s="483"/>
      <c r="AV1039" s="483"/>
      <c r="AW1039" s="483"/>
      <c r="AX1039" s="483"/>
      <c r="AY1039" s="270"/>
      <c r="AZ1039" s="270"/>
      <c r="BA1039" s="270">
        <f>IF(Table1[[#This Row],[Data de Início]]="","",YEAR(Table1[[#This Row],[Data de Início]]))</f>
        <v>2026</v>
      </c>
      <c r="BB1039" s="270">
        <f>IF(Table1[[#This Row],[Data de Início]]="","",MONTH(Table1[[#This Row],[Data de Início]]))</f>
        <v>5</v>
      </c>
      <c r="BC1039" s="483"/>
    </row>
    <row r="1040" spans="2:55" x14ac:dyDescent="0.25">
      <c r="B1040" s="470">
        <v>46156.5625</v>
      </c>
      <c r="C1040" s="263">
        <v>46156.634722222225</v>
      </c>
      <c r="D1040" s="264" cm="1">
        <f t="array" ref="D1040">IFERROR(HorasUteisFabrica2Turnos(B1040,C1040), "")</f>
        <v>1.7333333333954215</v>
      </c>
      <c r="E1040" s="265">
        <f t="shared" si="16"/>
        <v>488.65384613634251</v>
      </c>
      <c r="F1040" s="479" t="s">
        <v>378</v>
      </c>
      <c r="G1040" s="266" t="s">
        <v>1046</v>
      </c>
      <c r="H1040" s="266"/>
      <c r="I1040" s="268" t="s">
        <v>1778</v>
      </c>
      <c r="J1040" s="268" t="s">
        <v>15</v>
      </c>
      <c r="K1040" s="268">
        <v>847</v>
      </c>
      <c r="L1040" s="269" t="s">
        <v>1097</v>
      </c>
      <c r="M1040" s="510" t="str">
        <f>IFERROR(INDEX([1]Produtos!$C:$C,MATCH(L1040,[1]Produtos!$B:$B,0)), "-")</f>
        <v>BODY CREAM SONHO DE PISTACHE</v>
      </c>
      <c r="N1040" s="510">
        <f>IFERROR(INDEX([1]Produtos!$E:$E,MATCH(L1040,[1]Produtos!$B:$B,0)), "-")</f>
        <v>240</v>
      </c>
      <c r="O1040" s="270" t="str">
        <f>IFERROR(INDEX([1]Produtos!$F:$F,MATCH(L1040,[1]Produtos!$B:$B,0)), "-")</f>
        <v>ml</v>
      </c>
      <c r="P1040" s="264" t="str">
        <f>IFERROR(INDEX([1]Produtos!$G:$G,MATCH(L1040,[1]Produtos!$B:$B,0)), "-")</f>
        <v>AMEERATI</v>
      </c>
      <c r="Q1040" s="270" t="str">
        <f>IFERROR(INDEX([1]Produtos!$H:$H,MATCH(L1040,[1]Produtos!$B:$B,0)), "-")</f>
        <v>CORPORAL</v>
      </c>
      <c r="R1040" s="270" t="str">
        <f>IFERROR(INDEX([1]Produtos!$I:$I,MATCH(L1040,[1]Produtos!$B:$B,0)), "-")</f>
        <v>CREME HIDRATANTE</v>
      </c>
      <c r="S1040" s="270" t="str">
        <f>IFERROR(INDEX([1]Produtos!$J:$J,MATCH(L1040,[1]Produtos!$B:$B,0)), "-")</f>
        <v>CREMOSO</v>
      </c>
      <c r="T1040" s="475"/>
      <c r="U1040" s="270"/>
      <c r="V1040" s="270"/>
      <c r="W1040" s="270"/>
      <c r="X1040" s="270"/>
      <c r="Y1040" s="270"/>
      <c r="Z1040" s="270"/>
      <c r="AA1040" s="270"/>
      <c r="AB1040" s="270"/>
      <c r="AC1040" s="270"/>
      <c r="AD1040" s="270"/>
      <c r="AE1040" s="270"/>
      <c r="AF1040" s="270"/>
      <c r="AG1040" s="270"/>
      <c r="AH1040" s="270"/>
      <c r="AI1040" s="270"/>
      <c r="AJ1040" s="270"/>
      <c r="AK1040" s="270"/>
      <c r="AL1040" s="270"/>
      <c r="AM1040" s="663">
        <v>46156.559027777781</v>
      </c>
      <c r="AN1040" s="663">
        <v>46156.5625</v>
      </c>
      <c r="AO1040" s="708">
        <f>IF(OR(Table1[[#This Row],[Início Setup Envase]]="",Table1[[#This Row],[Final Setup Envase]]=""),"",Table1[[#This Row],[Final Setup Envase]]-Table1[[#This Row],[Início Setup Envase]])</f>
        <v>3.4722222189884633E-3</v>
      </c>
      <c r="AP1040" s="663"/>
      <c r="AQ1040" s="663"/>
      <c r="AR1040" s="483"/>
      <c r="AS1040" s="270"/>
      <c r="AT1040" s="270"/>
      <c r="AU1040" s="483"/>
      <c r="AV1040" s="270"/>
      <c r="AW1040" s="270"/>
      <c r="AX1040" s="270"/>
      <c r="AY1040" s="270"/>
      <c r="AZ1040" s="270"/>
      <c r="BA1040" s="270">
        <f>IF(Table1[[#This Row],[Data de Início]]="","",YEAR(Table1[[#This Row],[Data de Início]]))</f>
        <v>2026</v>
      </c>
      <c r="BB1040" s="270">
        <f>IF(Table1[[#This Row],[Data de Início]]="","",MONTH(Table1[[#This Row],[Data de Início]]))</f>
        <v>5</v>
      </c>
      <c r="BC1040" s="270"/>
    </row>
    <row r="1041" spans="2:55" x14ac:dyDescent="0.25">
      <c r="B1041" s="470">
        <v>46156.635416666664</v>
      </c>
      <c r="C1041" s="263">
        <v>46156.652777777781</v>
      </c>
      <c r="D1041" s="477" cm="1">
        <f t="array" ref="D1041">IFERROR(HorasUteisFabrica2Turnos(B1041,C1041), "")</f>
        <v>0.41666666680248454</v>
      </c>
      <c r="E1041" s="478">
        <f t="shared" si="16"/>
        <v>1958.3999993616342</v>
      </c>
      <c r="F1041" s="479" t="s">
        <v>378</v>
      </c>
      <c r="G1041" s="266" t="s">
        <v>1046</v>
      </c>
      <c r="H1041" s="479"/>
      <c r="I1041" s="268" t="s">
        <v>1779</v>
      </c>
      <c r="J1041" s="268" t="s">
        <v>15</v>
      </c>
      <c r="K1041" s="268">
        <v>816</v>
      </c>
      <c r="L1041" s="269" t="s">
        <v>1111</v>
      </c>
      <c r="M1041" s="511" t="str">
        <f>IFERROR(INDEX([1]Produtos!$C:$C,MATCH(L1041,[1]Produtos!$B:$B,0)), "-")</f>
        <v>BODY CREAM SUBLIME CEREJA</v>
      </c>
      <c r="N1041" s="511">
        <f>IFERROR(INDEX([1]Produtos!$E:$E,MATCH(L1041,[1]Produtos!$B:$B,0)), "-")</f>
        <v>240</v>
      </c>
      <c r="O1041" s="483" t="str">
        <f>IFERROR(INDEX([1]Produtos!$F:$F,MATCH(L1041,[1]Produtos!$B:$B,0)), "-")</f>
        <v>ml</v>
      </c>
      <c r="P1041" s="477" t="str">
        <f>IFERROR(INDEX([1]Produtos!$G:$G,MATCH(L1041,[1]Produtos!$B:$B,0)), "-")</f>
        <v>AMEERATI</v>
      </c>
      <c r="Q1041" s="483" t="str">
        <f>IFERROR(INDEX([1]Produtos!$H:$H,MATCH(L1041,[1]Produtos!$B:$B,0)), "-")</f>
        <v>CORPORAL</v>
      </c>
      <c r="R1041" s="483" t="str">
        <f>IFERROR(INDEX([1]Produtos!$I:$I,MATCH(L1041,[1]Produtos!$B:$B,0)), "-")</f>
        <v>CREME HIDRATANTE</v>
      </c>
      <c r="S1041" s="483" t="str">
        <f>IFERROR(INDEX([1]Produtos!$J:$J,MATCH(L1041,[1]Produtos!$B:$B,0)), "-")</f>
        <v>CREMOSO</v>
      </c>
      <c r="T1041" s="484"/>
      <c r="U1041" s="483"/>
      <c r="V1041" s="483"/>
      <c r="W1041" s="483"/>
      <c r="X1041" s="483"/>
      <c r="Y1041" s="483"/>
      <c r="Z1041" s="483"/>
      <c r="AA1041" s="483"/>
      <c r="AB1041" s="483"/>
      <c r="AC1041" s="483"/>
      <c r="AD1041" s="483"/>
      <c r="AE1041" s="483"/>
      <c r="AF1041" s="483"/>
      <c r="AG1041" s="483"/>
      <c r="AH1041" s="483"/>
      <c r="AI1041" s="483"/>
      <c r="AJ1041" s="483"/>
      <c r="AK1041" s="483"/>
      <c r="AL1041" s="483"/>
      <c r="AM1041" s="670">
        <v>46156.631944444445</v>
      </c>
      <c r="AN1041" s="670">
        <v>46156.635416666664</v>
      </c>
      <c r="AO1041" s="711">
        <f>IF(OR(Table1[[#This Row],[Início Setup Envase]]="",Table1[[#This Row],[Final Setup Envase]]=""),"",Table1[[#This Row],[Final Setup Envase]]-Table1[[#This Row],[Início Setup Envase]])</f>
        <v>3.4722222189884633E-3</v>
      </c>
      <c r="AP1041" s="670"/>
      <c r="AQ1041" s="670"/>
      <c r="AR1041" s="483"/>
      <c r="AS1041" s="483"/>
      <c r="AT1041" s="483"/>
      <c r="AU1041" s="483"/>
      <c r="AV1041" s="483"/>
      <c r="AW1041" s="483"/>
      <c r="AX1041" s="483"/>
      <c r="AY1041" s="270"/>
      <c r="AZ1041" s="270"/>
      <c r="BA1041" s="270">
        <f>IF(Table1[[#This Row],[Data de Início]]="","",YEAR(Table1[[#This Row],[Data de Início]]))</f>
        <v>2026</v>
      </c>
      <c r="BB1041" s="270">
        <f>IF(Table1[[#This Row],[Data de Início]]="","",MONTH(Table1[[#This Row],[Data de Início]]))</f>
        <v>5</v>
      </c>
      <c r="BC1041" s="483"/>
    </row>
    <row r="1042" spans="2:55" x14ac:dyDescent="0.25">
      <c r="B1042" s="470">
        <v>46156.692361111112</v>
      </c>
      <c r="C1042" s="263">
        <v>46157.356249999997</v>
      </c>
      <c r="D1042" s="264" cm="1">
        <f t="array" ref="D1042">IFERROR(HorasUteisFabrica2Turnos(B1042,C1042), "")</f>
        <v>1.9333333333488554</v>
      </c>
      <c r="E1042" s="265">
        <f t="shared" si="16"/>
        <v>542.06896551288935</v>
      </c>
      <c r="F1042" s="266" t="s">
        <v>378</v>
      </c>
      <c r="G1042" s="656" t="s">
        <v>1046</v>
      </c>
      <c r="H1042" s="266"/>
      <c r="I1042" s="268" t="s">
        <v>1797</v>
      </c>
      <c r="J1042" s="268" t="s">
        <v>15</v>
      </c>
      <c r="K1042" s="268">
        <v>1048</v>
      </c>
      <c r="L1042" s="269" t="s">
        <v>1191</v>
      </c>
      <c r="M1042" s="510" t="str">
        <f>IFERROR(INDEX([1]Produtos!$C:$C,MATCH(L1042,[1]Produtos!$B:$B,0)), "-")</f>
        <v>BODY CREAM ENCANTO PERSA</v>
      </c>
      <c r="N1042" s="510">
        <f>IFERROR(INDEX([1]Produtos!$E:$E,MATCH(L1042,[1]Produtos!$B:$B,0)), "-")</f>
        <v>240</v>
      </c>
      <c r="O1042" s="270" t="str">
        <f>IFERROR(INDEX([1]Produtos!$F:$F,MATCH(L1042,[1]Produtos!$B:$B,0)), "-")</f>
        <v>ml</v>
      </c>
      <c r="P1042" s="264" t="str">
        <f>IFERROR(INDEX([1]Produtos!$G:$G,MATCH(L1042,[1]Produtos!$B:$B,0)), "-")</f>
        <v>AMEERATI</v>
      </c>
      <c r="Q1042" s="270" t="str">
        <f>IFERROR(INDEX([1]Produtos!$H:$H,MATCH(L1042,[1]Produtos!$B:$B,0)), "-")</f>
        <v>CORPORAL</v>
      </c>
      <c r="R1042" s="270" t="str">
        <f>IFERROR(INDEX([1]Produtos!$I:$I,MATCH(L1042,[1]Produtos!$B:$B,0)), "-")</f>
        <v>CREME HIDRATANTE</v>
      </c>
      <c r="S1042" s="270" t="str">
        <f>IFERROR(INDEX([1]Produtos!$J:$J,MATCH(L1042,[1]Produtos!$B:$B,0)), "-")</f>
        <v>CREMOSO</v>
      </c>
      <c r="T1042" s="475"/>
      <c r="U1042" s="270"/>
      <c r="V1042" s="270"/>
      <c r="W1042" s="270"/>
      <c r="X1042" s="270"/>
      <c r="Y1042" s="270"/>
      <c r="Z1042" s="270"/>
      <c r="AA1042" s="270"/>
      <c r="AB1042" s="270"/>
      <c r="AC1042" s="270"/>
      <c r="AD1042" s="270"/>
      <c r="AE1042" s="270"/>
      <c r="AF1042" s="270"/>
      <c r="AG1042" s="270"/>
      <c r="AH1042" s="270"/>
      <c r="AI1042" s="270"/>
      <c r="AJ1042" s="270"/>
      <c r="AK1042" s="270"/>
      <c r="AL1042" s="270"/>
      <c r="AM1042" s="663">
        <v>46156.6875</v>
      </c>
      <c r="AN1042" s="663">
        <v>46156.690972222219</v>
      </c>
      <c r="AO1042" s="708">
        <f>IF(OR(Table1[[#This Row],[Início Setup Envase]]="",Table1[[#This Row],[Final Setup Envase]]=""),"",Table1[[#This Row],[Final Setup Envase]]-Table1[[#This Row],[Início Setup Envase]])</f>
        <v>3.4722222189884633E-3</v>
      </c>
      <c r="AP1042" s="663"/>
      <c r="AQ1042" s="663"/>
      <c r="AR1042" s="270"/>
      <c r="AS1042" s="270"/>
      <c r="AT1042" s="270"/>
      <c r="AU1042" s="270"/>
      <c r="AV1042" s="270"/>
      <c r="AW1042" s="270"/>
      <c r="AX1042" s="270"/>
      <c r="AY1042" s="270"/>
      <c r="AZ1042" s="270"/>
      <c r="BA1042" s="270">
        <f>IF(Table1[[#This Row],[Data de Início]]="","",YEAR(Table1[[#This Row],[Data de Início]]))</f>
        <v>2026</v>
      </c>
      <c r="BB1042" s="270">
        <f>IF(Table1[[#This Row],[Data de Início]]="","",MONTH(Table1[[#This Row],[Data de Início]]))</f>
        <v>5</v>
      </c>
      <c r="BC1042" s="270"/>
    </row>
    <row r="1043" spans="2:55" x14ac:dyDescent="0.25">
      <c r="B1043" s="470">
        <v>46157.362500000003</v>
      </c>
      <c r="C1043" s="263">
        <v>46157.420138888891</v>
      </c>
      <c r="D1043" s="477" cm="1">
        <f t="array" ref="D1043">IFERROR(HorasUteisFabrica2Turnos(B1043,C1043), "")</f>
        <v>1.3833333333022892</v>
      </c>
      <c r="E1043" s="478">
        <f t="shared" si="16"/>
        <v>686.02409640093754</v>
      </c>
      <c r="F1043" s="266" t="s">
        <v>378</v>
      </c>
      <c r="G1043" s="656" t="s">
        <v>1046</v>
      </c>
      <c r="H1043" s="479"/>
      <c r="I1043" s="268" t="s">
        <v>1798</v>
      </c>
      <c r="J1043" s="268" t="s">
        <v>15</v>
      </c>
      <c r="K1043" s="268">
        <v>949</v>
      </c>
      <c r="L1043" s="269" t="s">
        <v>1114</v>
      </c>
      <c r="M1043" s="511" t="str">
        <f>IFERROR(INDEX([1]Produtos!$C:$C,MATCH(L1043,[1]Produtos!$B:$B,0)), "-")</f>
        <v>BODY CREAM NECTAR DA PERA</v>
      </c>
      <c r="N1043" s="511">
        <f>IFERROR(INDEX([1]Produtos!$E:$E,MATCH(L1043,[1]Produtos!$B:$B,0)), "-")</f>
        <v>240</v>
      </c>
      <c r="O1043" s="483" t="str">
        <f>IFERROR(INDEX([1]Produtos!$F:$F,MATCH(L1043,[1]Produtos!$B:$B,0)), "-")</f>
        <v>ml</v>
      </c>
      <c r="P1043" s="477" t="str">
        <f>IFERROR(INDEX([1]Produtos!$G:$G,MATCH(L1043,[1]Produtos!$B:$B,0)), "-")</f>
        <v>AMEERATI</v>
      </c>
      <c r="Q1043" s="483" t="str">
        <f>IFERROR(INDEX([1]Produtos!$H:$H,MATCH(L1043,[1]Produtos!$B:$B,0)), "-")</f>
        <v>CORPORAL</v>
      </c>
      <c r="R1043" s="483" t="str">
        <f>IFERROR(INDEX([1]Produtos!$I:$I,MATCH(L1043,[1]Produtos!$B:$B,0)), "-")</f>
        <v>CREME HIDRATANTE</v>
      </c>
      <c r="S1043" s="483" t="str">
        <f>IFERROR(INDEX([1]Produtos!$J:$J,MATCH(L1043,[1]Produtos!$B:$B,0)), "-")</f>
        <v>CREMOSO</v>
      </c>
      <c r="T1043" s="484"/>
      <c r="U1043" s="483"/>
      <c r="V1043" s="483"/>
      <c r="W1043" s="483"/>
      <c r="X1043" s="483"/>
      <c r="Y1043" s="483"/>
      <c r="Z1043" s="483"/>
      <c r="AA1043" s="483"/>
      <c r="AB1043" s="483"/>
      <c r="AC1043" s="483"/>
      <c r="AD1043" s="483"/>
      <c r="AE1043" s="483"/>
      <c r="AF1043" s="483"/>
      <c r="AG1043" s="483"/>
      <c r="AH1043" s="483"/>
      <c r="AI1043" s="483"/>
      <c r="AJ1043" s="483"/>
      <c r="AK1043" s="483"/>
      <c r="AL1043" s="483"/>
      <c r="AM1043" s="670">
        <v>46157.356249999997</v>
      </c>
      <c r="AN1043" s="670">
        <v>46157.361111111109</v>
      </c>
      <c r="AO1043" s="711">
        <f>IF(OR(Table1[[#This Row],[Início Setup Envase]]="",Table1[[#This Row],[Final Setup Envase]]=""),"",Table1[[#This Row],[Final Setup Envase]]-Table1[[#This Row],[Início Setup Envase]])</f>
        <v>4.8611111124046147E-3</v>
      </c>
      <c r="AP1043" s="670"/>
      <c r="AQ1043" s="670"/>
      <c r="AR1043" s="483"/>
      <c r="AS1043" s="483"/>
      <c r="AT1043" s="483"/>
      <c r="AU1043" s="483"/>
      <c r="AV1043" s="483"/>
      <c r="AW1043" s="483"/>
      <c r="AX1043" s="483"/>
      <c r="AY1043" s="270"/>
      <c r="AZ1043" s="270"/>
      <c r="BA1043" s="270">
        <f>IF(Table1[[#This Row],[Data de Início]]="","",YEAR(Table1[[#This Row],[Data de Início]]))</f>
        <v>2026</v>
      </c>
      <c r="BB1043" s="270">
        <f>IF(Table1[[#This Row],[Data de Início]]="","",MONTH(Table1[[#This Row],[Data de Início]]))</f>
        <v>5</v>
      </c>
      <c r="BC1043" s="483"/>
    </row>
    <row r="1044" spans="2:55" x14ac:dyDescent="0.25">
      <c r="B1044" s="470">
        <v>46157.388888888891</v>
      </c>
      <c r="C1044" s="263">
        <v>46157.594444444447</v>
      </c>
      <c r="D1044" s="264" cm="1">
        <f t="array" ref="D1044">IFERROR(HorasUteisFabrica2Turnos(B1044,C1044), "")</f>
        <v>3.9333333333488554</v>
      </c>
      <c r="E1044" s="265">
        <f t="shared" si="16"/>
        <v>826.52542372555183</v>
      </c>
      <c r="F1044" s="266" t="s">
        <v>377</v>
      </c>
      <c r="G1044" s="656" t="s">
        <v>1760</v>
      </c>
      <c r="H1044" s="266"/>
      <c r="I1044" s="268" t="s">
        <v>1799</v>
      </c>
      <c r="J1044" s="268" t="s">
        <v>15</v>
      </c>
      <c r="K1044" s="268">
        <v>3251</v>
      </c>
      <c r="L1044" s="269" t="s">
        <v>273</v>
      </c>
      <c r="M1044" s="510" t="str">
        <f>IFERROR(INDEX([1]Produtos!$C:$C,MATCH(L1044,[1]Produtos!$B:$B,0)), "-")</f>
        <v>SABONETE DEMAQUILANTE VITAMINA C</v>
      </c>
      <c r="N1044" s="510">
        <f>IFERROR(INDEX([1]Produtos!$E:$E,MATCH(L1044,[1]Produtos!$B:$B,0)), "-")</f>
        <v>100</v>
      </c>
      <c r="O1044" s="270" t="str">
        <f>IFERROR(INDEX([1]Produtos!$F:$F,MATCH(L1044,[1]Produtos!$B:$B,0)), "-")</f>
        <v>ml</v>
      </c>
      <c r="P1044" s="264" t="str">
        <f>IFERROR(INDEX([1]Produtos!$G:$G,MATCH(L1044,[1]Produtos!$B:$B,0)), "-")</f>
        <v>SAFIRA</v>
      </c>
      <c r="Q1044" s="270" t="str">
        <f>IFERROR(INDEX([1]Produtos!$H:$H,MATCH(L1044,[1]Produtos!$B:$B,0)), "-")</f>
        <v>MAQUIAGEM</v>
      </c>
      <c r="R1044" s="270" t="str">
        <f>IFERROR(INDEX([1]Produtos!$I:$I,MATCH(L1044,[1]Produtos!$B:$B,0)), "-")</f>
        <v>SABONETE</v>
      </c>
      <c r="S1044" s="270" t="str">
        <f>IFERROR(INDEX([1]Produtos!$J:$J,MATCH(L1044,[1]Produtos!$B:$B,0)), "-")</f>
        <v>VISCOSO</v>
      </c>
      <c r="T1044" s="475"/>
      <c r="U1044" s="270"/>
      <c r="V1044" s="270"/>
      <c r="W1044" s="270"/>
      <c r="X1044" s="270"/>
      <c r="Y1044" s="270"/>
      <c r="Z1044" s="270"/>
      <c r="AA1044" s="270"/>
      <c r="AB1044" s="270"/>
      <c r="AC1044" s="270"/>
      <c r="AD1044" s="270"/>
      <c r="AE1044" s="270"/>
      <c r="AF1044" s="270"/>
      <c r="AG1044" s="270"/>
      <c r="AH1044" s="270"/>
      <c r="AI1044" s="270"/>
      <c r="AJ1044" s="270"/>
      <c r="AK1044" s="270"/>
      <c r="AL1044" s="270"/>
      <c r="AM1044" s="663">
        <v>46157.381944444445</v>
      </c>
      <c r="AN1044" s="663">
        <v>46157.386111111111</v>
      </c>
      <c r="AO1044" s="708">
        <f>IF(OR(Table1[[#This Row],[Início Setup Envase]]="",Table1[[#This Row],[Final Setup Envase]]=""),"",Table1[[#This Row],[Final Setup Envase]]-Table1[[#This Row],[Início Setup Envase]])</f>
        <v>4.166666665696539E-3</v>
      </c>
      <c r="AP1044" s="663"/>
      <c r="AQ1044" s="663"/>
      <c r="AR1044" s="270"/>
      <c r="AS1044" s="270"/>
      <c r="AT1044" s="270"/>
      <c r="AU1044" s="270"/>
      <c r="AV1044" s="270"/>
      <c r="AW1044" s="270"/>
      <c r="AX1044" s="270"/>
      <c r="AY1044" s="270"/>
      <c r="AZ1044" s="270"/>
      <c r="BA1044" s="270">
        <f>IF(Table1[[#This Row],[Data de Início]]="","",YEAR(Table1[[#This Row],[Data de Início]]))</f>
        <v>2026</v>
      </c>
      <c r="BB1044" s="270">
        <f>IF(Table1[[#This Row],[Data de Início]]="","",MONTH(Table1[[#This Row],[Data de Início]]))</f>
        <v>5</v>
      </c>
      <c r="BC1044" s="270"/>
    </row>
    <row r="1045" spans="2:55" x14ac:dyDescent="0.25">
      <c r="B1045" s="470">
        <v>46157.427083333336</v>
      </c>
      <c r="C1045" s="263">
        <v>46157.552777777775</v>
      </c>
      <c r="D1045" s="477" cm="1">
        <f t="array" ref="D1045">IFERROR(HorasUteisFabrica2Turnos(B1045,C1045), "")</f>
        <v>2.0166666665463708</v>
      </c>
      <c r="E1045" s="478">
        <f t="shared" si="16"/>
        <v>714.04958681945311</v>
      </c>
      <c r="F1045" s="266" t="s">
        <v>378</v>
      </c>
      <c r="G1045" s="656" t="s">
        <v>1046</v>
      </c>
      <c r="H1045" s="479"/>
      <c r="I1045" s="268" t="s">
        <v>1793</v>
      </c>
      <c r="J1045" s="268" t="s">
        <v>15</v>
      </c>
      <c r="K1045" s="268">
        <v>1440</v>
      </c>
      <c r="L1045" s="269" t="s">
        <v>1198</v>
      </c>
      <c r="M1045" s="511" t="str">
        <f>IFERROR(INDEX([1]Produtos!$C:$C,MATCH(L1045,[1]Produtos!$B:$B,0)), "-")</f>
        <v>BODY CREAM MEL DE ESPECIARIAS</v>
      </c>
      <c r="N1045" s="511">
        <f>IFERROR(INDEX([1]Produtos!$E:$E,MATCH(L1045,[1]Produtos!$B:$B,0)), "-")</f>
        <v>240</v>
      </c>
      <c r="O1045" s="483" t="str">
        <f>IFERROR(INDEX([1]Produtos!$F:$F,MATCH(L1045,[1]Produtos!$B:$B,0)), "-")</f>
        <v>ml</v>
      </c>
      <c r="P1045" s="477" t="str">
        <f>IFERROR(INDEX([1]Produtos!$G:$G,MATCH(L1045,[1]Produtos!$B:$B,0)), "-")</f>
        <v>AMEERATI</v>
      </c>
      <c r="Q1045" s="483" t="str">
        <f>IFERROR(INDEX([1]Produtos!$H:$H,MATCH(L1045,[1]Produtos!$B:$B,0)), "-")</f>
        <v>CORPORAL</v>
      </c>
      <c r="R1045" s="483" t="str">
        <f>IFERROR(INDEX([1]Produtos!$I:$I,MATCH(L1045,[1]Produtos!$B:$B,0)), "-")</f>
        <v>CREME HIDRATANTE</v>
      </c>
      <c r="S1045" s="483" t="str">
        <f>IFERROR(INDEX([1]Produtos!$J:$J,MATCH(L1045,[1]Produtos!$B:$B,0)), "-")</f>
        <v>CREMOSO</v>
      </c>
      <c r="T1045" s="484"/>
      <c r="U1045" s="483"/>
      <c r="V1045" s="483"/>
      <c r="W1045" s="483"/>
      <c r="X1045" s="483"/>
      <c r="Y1045" s="483"/>
      <c r="Z1045" s="483"/>
      <c r="AA1045" s="483"/>
      <c r="AB1045" s="483"/>
      <c r="AC1045" s="483"/>
      <c r="AD1045" s="483"/>
      <c r="AE1045" s="483"/>
      <c r="AF1045" s="483"/>
      <c r="AG1045" s="483"/>
      <c r="AH1045" s="483"/>
      <c r="AI1045" s="483"/>
      <c r="AJ1045" s="483"/>
      <c r="AK1045" s="483"/>
      <c r="AL1045" s="483"/>
      <c r="AM1045" s="670">
        <v>46157.420138888891</v>
      </c>
      <c r="AN1045" s="670">
        <v>46157.423611111109</v>
      </c>
      <c r="AO1045" s="711">
        <f>IF(OR(Table1[[#This Row],[Início Setup Envase]]="",Table1[[#This Row],[Final Setup Envase]]=""),"",Table1[[#This Row],[Final Setup Envase]]-Table1[[#This Row],[Início Setup Envase]])</f>
        <v>3.4722222189884633E-3</v>
      </c>
      <c r="AP1045" s="670">
        <v>46152.422222222223</v>
      </c>
      <c r="AQ1045" s="670">
        <v>46157.427083333336</v>
      </c>
      <c r="AR1045" s="483" t="s">
        <v>1794</v>
      </c>
      <c r="AS1045" s="483"/>
      <c r="AT1045" s="483"/>
      <c r="AU1045" s="483"/>
      <c r="AV1045" s="483"/>
      <c r="AW1045" s="483"/>
      <c r="AX1045" s="483"/>
      <c r="AY1045" s="270"/>
      <c r="AZ1045" s="270"/>
      <c r="BA1045" s="270">
        <f>IF(Table1[[#This Row],[Data de Início]]="","",YEAR(Table1[[#This Row],[Data de Início]]))</f>
        <v>2026</v>
      </c>
      <c r="BB1045" s="270">
        <f>IF(Table1[[#This Row],[Data de Início]]="","",MONTH(Table1[[#This Row],[Data de Início]]))</f>
        <v>5</v>
      </c>
      <c r="BC1045" s="483"/>
    </row>
    <row r="1046" spans="2:55" x14ac:dyDescent="0.25">
      <c r="B1046" s="470">
        <v>46157.554166666669</v>
      </c>
      <c r="C1046" s="263">
        <v>46157.701388888891</v>
      </c>
      <c r="D1046" s="264" cm="1">
        <f t="array" ref="D1046">IFERROR(HorasUteisFabrica2Turnos(B1046,C1046), "")</f>
        <v>2.6999999998952262</v>
      </c>
      <c r="E1046" s="265">
        <f t="shared" si="16"/>
        <v>501.11111113055676</v>
      </c>
      <c r="F1046" s="266" t="s">
        <v>378</v>
      </c>
      <c r="G1046" s="656" t="s">
        <v>1046</v>
      </c>
      <c r="H1046" s="266"/>
      <c r="I1046" s="268" t="s">
        <v>1800</v>
      </c>
      <c r="J1046" s="268" t="s">
        <v>15</v>
      </c>
      <c r="K1046" s="268">
        <v>1353</v>
      </c>
      <c r="L1046" s="269" t="s">
        <v>1190</v>
      </c>
      <c r="M1046" s="510" t="str">
        <f>IFERROR(INDEX([1]Produtos!$C:$C,MATCH(L1046,[1]Produtos!$B:$B,0)), "-")</f>
        <v>BODY CREAM PEROLA DO DESERTO</v>
      </c>
      <c r="N1046" s="510">
        <f>IFERROR(INDEX([1]Produtos!$E:$E,MATCH(L1046,[1]Produtos!$B:$B,0)), "-")</f>
        <v>240</v>
      </c>
      <c r="O1046" s="270" t="str">
        <f>IFERROR(INDEX([1]Produtos!$F:$F,MATCH(L1046,[1]Produtos!$B:$B,0)), "-")</f>
        <v>ml</v>
      </c>
      <c r="P1046" s="264" t="str">
        <f>IFERROR(INDEX([1]Produtos!$G:$G,MATCH(L1046,[1]Produtos!$B:$B,0)), "-")</f>
        <v>AMEERATI</v>
      </c>
      <c r="Q1046" s="270" t="str">
        <f>IFERROR(INDEX([1]Produtos!$H:$H,MATCH(L1046,[1]Produtos!$B:$B,0)), "-")</f>
        <v>CORPORAL</v>
      </c>
      <c r="R1046" s="270" t="str">
        <f>IFERROR(INDEX([1]Produtos!$I:$I,MATCH(L1046,[1]Produtos!$B:$B,0)), "-")</f>
        <v>CREME HIDRATANTE</v>
      </c>
      <c r="S1046" s="270" t="str">
        <f>IFERROR(INDEX([1]Produtos!$J:$J,MATCH(L1046,[1]Produtos!$B:$B,0)), "-")</f>
        <v>CREMOSO</v>
      </c>
      <c r="T1046" s="475"/>
      <c r="U1046" s="270"/>
      <c r="V1046" s="270"/>
      <c r="W1046" s="270"/>
      <c r="X1046" s="270"/>
      <c r="Y1046" s="270"/>
      <c r="Z1046" s="270"/>
      <c r="AA1046" s="270"/>
      <c r="AB1046" s="270"/>
      <c r="AC1046" s="270"/>
      <c r="AD1046" s="270"/>
      <c r="AE1046" s="270"/>
      <c r="AF1046" s="270"/>
      <c r="AG1046" s="270"/>
      <c r="AH1046" s="270"/>
      <c r="AI1046" s="270"/>
      <c r="AJ1046" s="270"/>
      <c r="AK1046" s="270"/>
      <c r="AL1046" s="270"/>
      <c r="AM1046" s="663">
        <v>46157.552777777775</v>
      </c>
      <c r="AN1046" s="663">
        <v>46157.553472222222</v>
      </c>
      <c r="AO1046" s="708">
        <f>IF(OR(Table1[[#This Row],[Início Setup Envase]]="",Table1[[#This Row],[Final Setup Envase]]=""),"",Table1[[#This Row],[Final Setup Envase]]-Table1[[#This Row],[Início Setup Envase]])</f>
        <v>6.944444467080757E-4</v>
      </c>
      <c r="AP1046" s="663"/>
      <c r="AQ1046" s="663"/>
      <c r="AR1046" s="270"/>
      <c r="AS1046" s="270"/>
      <c r="AT1046" s="270"/>
      <c r="AU1046" s="270"/>
      <c r="AV1046" s="270"/>
      <c r="AW1046" s="270"/>
      <c r="AX1046" s="270"/>
      <c r="AY1046" s="270"/>
      <c r="AZ1046" s="270"/>
      <c r="BA1046" s="270">
        <f>IF(Table1[[#This Row],[Data de Início]]="","",YEAR(Table1[[#This Row],[Data de Início]]))</f>
        <v>2026</v>
      </c>
      <c r="BB1046" s="270">
        <f>IF(Table1[[#This Row],[Data de Início]]="","",MONTH(Table1[[#This Row],[Data de Início]]))</f>
        <v>5</v>
      </c>
      <c r="BC1046" s="270"/>
    </row>
    <row r="1047" spans="2:55" x14ac:dyDescent="0.25">
      <c r="B1047" s="470">
        <v>46157.638888888891</v>
      </c>
      <c r="C1047" s="263">
        <v>46160.704861111109</v>
      </c>
      <c r="D1047" s="477" cm="1">
        <f t="array" ref="D1047">IFERROR(HorasUteisFabrica2Turnos(B1047,C1047), "")</f>
        <v>9.5833333332557231</v>
      </c>
      <c r="E1047" s="654">
        <f t="shared" si="16"/>
        <v>494.40000000400386</v>
      </c>
      <c r="F1047" s="266" t="s">
        <v>377</v>
      </c>
      <c r="G1047" s="673" t="s">
        <v>1811</v>
      </c>
      <c r="H1047" s="479"/>
      <c r="I1047" s="268" t="s">
        <v>1810</v>
      </c>
      <c r="J1047" s="268" t="s">
        <v>15</v>
      </c>
      <c r="K1047" s="268">
        <v>4738</v>
      </c>
      <c r="L1047" s="269" t="s">
        <v>212</v>
      </c>
      <c r="M1047" s="511" t="str">
        <f>IFERROR(INDEX([1]Produtos!$C:$C,MATCH(L1047,[1]Produtos!$B:$B,0)), "-")</f>
        <v>BODY SPLASH FORÇA DO LEAO</v>
      </c>
      <c r="N1047" s="511">
        <f>IFERROR(INDEX([1]Produtos!$E:$E,MATCH(L1047,[1]Produtos!$B:$B,0)), "-")</f>
        <v>220</v>
      </c>
      <c r="O1047" s="483" t="str">
        <f>IFERROR(INDEX([1]Produtos!$F:$F,MATCH(L1047,[1]Produtos!$B:$B,0)), "-")</f>
        <v>ml</v>
      </c>
      <c r="P1047" s="477" t="str">
        <f>IFERROR(INDEX([1]Produtos!$G:$G,MATCH(L1047,[1]Produtos!$B:$B,0)), "-")</f>
        <v>MISS RÔSE</v>
      </c>
      <c r="Q1047" s="483" t="str">
        <f>IFERROR(INDEX([1]Produtos!$H:$H,MATCH(L1047,[1]Produtos!$B:$B,0)), "-")</f>
        <v>PERFUMARIA</v>
      </c>
      <c r="R1047" s="483" t="str">
        <f>IFERROR(INDEX([1]Produtos!$I:$I,MATCH(L1047,[1]Produtos!$B:$B,0)), "-")</f>
        <v>BODY SPLASH</v>
      </c>
      <c r="S1047" s="483" t="str">
        <f>IFERROR(INDEX([1]Produtos!$J:$J,MATCH(L1047,[1]Produtos!$B:$B,0)), "-")</f>
        <v>LÍQUIDO</v>
      </c>
      <c r="T1047" s="484"/>
      <c r="U1047" s="483"/>
      <c r="V1047" s="483"/>
      <c r="W1047" s="483"/>
      <c r="X1047" s="483"/>
      <c r="Y1047" s="483"/>
      <c r="Z1047" s="483"/>
      <c r="AA1047" s="483"/>
      <c r="AB1047" s="483"/>
      <c r="AC1047" s="483"/>
      <c r="AD1047" s="483"/>
      <c r="AE1047" s="483"/>
      <c r="AF1047" s="483"/>
      <c r="AG1047" s="483"/>
      <c r="AH1047" s="483"/>
      <c r="AI1047" s="483"/>
      <c r="AJ1047" s="483"/>
      <c r="AK1047" s="483"/>
      <c r="AL1047" s="483"/>
      <c r="AM1047" s="670">
        <v>46157.604166666664</v>
      </c>
      <c r="AN1047" s="670">
        <v>46157.635416666664</v>
      </c>
      <c r="AO1047" s="711">
        <f>IF(OR(Table1[[#This Row],[Início Setup Envase]]="",Table1[[#This Row],[Final Setup Envase]]=""),"",Table1[[#This Row],[Final Setup Envase]]-Table1[[#This Row],[Início Setup Envase]])</f>
        <v>3.125E-2</v>
      </c>
      <c r="AP1047" s="670">
        <v>46160.388888888891</v>
      </c>
      <c r="AQ1047" s="670">
        <v>46160.399305555555</v>
      </c>
      <c r="AR1047" s="483" t="s">
        <v>1812</v>
      </c>
      <c r="AS1047" s="622">
        <v>46160.625</v>
      </c>
      <c r="AT1047" s="622">
        <v>46160.704861111109</v>
      </c>
      <c r="AU1047" s="483" t="s">
        <v>1813</v>
      </c>
      <c r="AV1047" s="483"/>
      <c r="AW1047" s="483"/>
      <c r="AX1047" s="483"/>
      <c r="AY1047" s="270"/>
      <c r="AZ1047" s="270"/>
      <c r="BA1047" s="270">
        <f>IF(Table1[[#This Row],[Data de Início]]="","",YEAR(Table1[[#This Row],[Data de Início]]))</f>
        <v>2026</v>
      </c>
      <c r="BB1047" s="270">
        <f>IF(Table1[[#This Row],[Data de Início]]="","",MONTH(Table1[[#This Row],[Data de Início]]))</f>
        <v>5</v>
      </c>
      <c r="BC1047" s="483"/>
    </row>
    <row r="1048" spans="2:55" x14ac:dyDescent="0.25">
      <c r="B1048" s="470">
        <v>46160.315972222219</v>
      </c>
      <c r="C1048" s="263">
        <v>46161.388888888891</v>
      </c>
      <c r="D1048" s="264" cm="1">
        <f t="array" ref="D1048">IFERROR(HorasUteisFabrica2Turnos(B1048,C1048), "")</f>
        <v>10.750000000232831</v>
      </c>
      <c r="E1048" s="697">
        <f t="shared" si="16"/>
        <v>415.25581394449449</v>
      </c>
      <c r="F1048" s="266" t="s">
        <v>377</v>
      </c>
      <c r="G1048" s="673" t="s">
        <v>1811</v>
      </c>
      <c r="H1048" s="266"/>
      <c r="I1048" s="267" t="s">
        <v>1829</v>
      </c>
      <c r="J1048" s="268" t="s">
        <v>15</v>
      </c>
      <c r="K1048" s="268">
        <v>4464</v>
      </c>
      <c r="L1048" s="269" t="s">
        <v>212</v>
      </c>
      <c r="M1048" s="510" t="str">
        <f>IFERROR(INDEX([1]Produtos!$C:$C,MATCH(L1048,[1]Produtos!$B:$B,0)), "-")</f>
        <v>BODY SPLASH FORÇA DO LEAO</v>
      </c>
      <c r="N1048" s="510">
        <f>IFERROR(INDEX([1]Produtos!$E:$E,MATCH(L1048,[1]Produtos!$B:$B,0)), "-")</f>
        <v>220</v>
      </c>
      <c r="O1048" s="270" t="str">
        <f>IFERROR(INDEX([1]Produtos!$F:$F,MATCH(L1048,[1]Produtos!$B:$B,0)), "-")</f>
        <v>ml</v>
      </c>
      <c r="P1048" s="264" t="str">
        <f>IFERROR(INDEX([1]Produtos!$G:$G,MATCH(L1048,[1]Produtos!$B:$B,0)), "-")</f>
        <v>MISS RÔSE</v>
      </c>
      <c r="Q1048" s="270" t="str">
        <f>IFERROR(INDEX([1]Produtos!$H:$H,MATCH(L1048,[1]Produtos!$B:$B,0)), "-")</f>
        <v>PERFUMARIA</v>
      </c>
      <c r="R1048" s="270" t="str">
        <f>IFERROR(INDEX([1]Produtos!$I:$I,MATCH(L1048,[1]Produtos!$B:$B,0)), "-")</f>
        <v>BODY SPLASH</v>
      </c>
      <c r="S1048" s="270" t="str">
        <f>IFERROR(INDEX([1]Produtos!$J:$J,MATCH(L1048,[1]Produtos!$B:$B,0)), "-")</f>
        <v>LÍQUIDO</v>
      </c>
      <c r="T1048" s="475"/>
      <c r="U1048" s="270"/>
      <c r="V1048" s="270"/>
      <c r="W1048" s="270"/>
      <c r="X1048" s="270"/>
      <c r="Y1048" s="270"/>
      <c r="Z1048" s="270"/>
      <c r="AA1048" s="270"/>
      <c r="AB1048" s="270"/>
      <c r="AC1048" s="270"/>
      <c r="AD1048" s="270"/>
      <c r="AE1048" s="270"/>
      <c r="AF1048" s="270"/>
      <c r="AG1048" s="270"/>
      <c r="AH1048" s="270"/>
      <c r="AI1048" s="270"/>
      <c r="AJ1048" s="270"/>
      <c r="AK1048" s="270"/>
      <c r="AL1048" s="270"/>
      <c r="AM1048" s="663">
        <v>46161.291666666664</v>
      </c>
      <c r="AN1048" s="663">
        <v>46161.3125</v>
      </c>
      <c r="AO1048" s="708">
        <f>IF(OR(Table1[[#This Row],[Início Setup Envase]]="",Table1[[#This Row],[Final Setup Envase]]=""),"",Table1[[#This Row],[Final Setup Envase]]-Table1[[#This Row],[Início Setup Envase]])</f>
        <v>2.0833333335758653E-2</v>
      </c>
      <c r="AP1048" s="663">
        <v>46161.409722222219</v>
      </c>
      <c r="AQ1048" s="663">
        <v>46161.4375</v>
      </c>
      <c r="AR1048" s="270" t="s">
        <v>1830</v>
      </c>
      <c r="AS1048" s="674"/>
      <c r="AT1048" s="674"/>
      <c r="AU1048" s="270"/>
      <c r="AV1048" s="270"/>
      <c r="AW1048" s="270"/>
      <c r="AX1048" s="270"/>
      <c r="AY1048" s="270"/>
      <c r="AZ1048" s="270"/>
      <c r="BA1048" s="270">
        <f>IF(Table1[[#This Row],[Data de Início]]="","",YEAR(Table1[[#This Row],[Data de Início]]))</f>
        <v>2026</v>
      </c>
      <c r="BB1048" s="270">
        <f>IF(Table1[[#This Row],[Data de Início]]="","",MONTH(Table1[[#This Row],[Data de Início]]))</f>
        <v>5</v>
      </c>
      <c r="BC1048" s="270"/>
    </row>
    <row r="1049" spans="2:55" x14ac:dyDescent="0.25">
      <c r="B1049" s="470">
        <v>46160.325694444444</v>
      </c>
      <c r="C1049" s="263">
        <v>46160.418055555558</v>
      </c>
      <c r="D1049" s="477" cm="1">
        <f t="array" ref="D1049">IFERROR(HorasUteisFabrica2Turnos(B1049,C1049), "")</f>
        <v>2.2166666667326353</v>
      </c>
      <c r="E1049" s="478">
        <f t="shared" si="16"/>
        <v>629.32330825194788</v>
      </c>
      <c r="F1049" s="266" t="s">
        <v>378</v>
      </c>
      <c r="G1049" s="656" t="s">
        <v>1046</v>
      </c>
      <c r="H1049" s="479"/>
      <c r="I1049" s="268" t="s">
        <v>1792</v>
      </c>
      <c r="J1049" s="268" t="s">
        <v>15</v>
      </c>
      <c r="K1049" s="268">
        <v>1395</v>
      </c>
      <c r="L1049" s="269" t="s">
        <v>1188</v>
      </c>
      <c r="M1049" s="511" t="str">
        <f>IFERROR(INDEX([1]Produtos!$C:$C,MATCH(L1049,[1]Produtos!$B:$B,0)), "-")</f>
        <v>BODY CREAM RARO ELIXIR</v>
      </c>
      <c r="N1049" s="511">
        <f>IFERROR(INDEX([1]Produtos!$E:$E,MATCH(L1049,[1]Produtos!$B:$B,0)), "-")</f>
        <v>240</v>
      </c>
      <c r="O1049" s="483" t="str">
        <f>IFERROR(INDEX([1]Produtos!$F:$F,MATCH(L1049,[1]Produtos!$B:$B,0)), "-")</f>
        <v>ml</v>
      </c>
      <c r="P1049" s="477" t="str">
        <f>IFERROR(INDEX([1]Produtos!$G:$G,MATCH(L1049,[1]Produtos!$B:$B,0)), "-")</f>
        <v>AMEERATI</v>
      </c>
      <c r="Q1049" s="483" t="str">
        <f>IFERROR(INDEX([1]Produtos!$H:$H,MATCH(L1049,[1]Produtos!$B:$B,0)), "-")</f>
        <v>CORPORAL</v>
      </c>
      <c r="R1049" s="483" t="str">
        <f>IFERROR(INDEX([1]Produtos!$I:$I,MATCH(L1049,[1]Produtos!$B:$B,0)), "-")</f>
        <v>CREME HIDRATANTE</v>
      </c>
      <c r="S1049" s="483" t="str">
        <f>IFERROR(INDEX([1]Produtos!$J:$J,MATCH(L1049,[1]Produtos!$B:$B,0)), "-")</f>
        <v>CREMOSO</v>
      </c>
      <c r="T1049" s="484"/>
      <c r="U1049" s="483"/>
      <c r="V1049" s="483"/>
      <c r="W1049" s="483"/>
      <c r="X1049" s="483"/>
      <c r="Y1049" s="483"/>
      <c r="Z1049" s="483"/>
      <c r="AA1049" s="483"/>
      <c r="AB1049" s="483"/>
      <c r="AC1049" s="483"/>
      <c r="AD1049" s="483"/>
      <c r="AE1049" s="483"/>
      <c r="AF1049" s="483"/>
      <c r="AG1049" s="483"/>
      <c r="AH1049" s="483"/>
      <c r="AI1049" s="483"/>
      <c r="AJ1049" s="483"/>
      <c r="AK1049" s="483"/>
      <c r="AL1049" s="483"/>
      <c r="AM1049" s="670">
        <v>46160.291666666664</v>
      </c>
      <c r="AN1049" s="670">
        <v>46160.324305555558</v>
      </c>
      <c r="AO1049" s="711">
        <f>IF(OR(Table1[[#This Row],[Início Setup Envase]]="",Table1[[#This Row],[Final Setup Envase]]=""),"",Table1[[#This Row],[Final Setup Envase]]-Table1[[#This Row],[Início Setup Envase]])</f>
        <v>3.2638888893416151E-2</v>
      </c>
      <c r="AP1049" s="670"/>
      <c r="AQ1049" s="670"/>
      <c r="AR1049" s="270"/>
      <c r="AS1049" s="483"/>
      <c r="AT1049" s="483"/>
      <c r="AU1049" s="483"/>
      <c r="AV1049" s="483"/>
      <c r="AW1049" s="483"/>
      <c r="AX1049" s="483"/>
      <c r="AY1049" s="270"/>
      <c r="AZ1049" s="270"/>
      <c r="BA1049" s="270">
        <f>IF(Table1[[#This Row],[Data de Início]]="","",YEAR(Table1[[#This Row],[Data de Início]]))</f>
        <v>2026</v>
      </c>
      <c r="BB1049" s="270">
        <f>IF(Table1[[#This Row],[Data de Início]]="","",MONTH(Table1[[#This Row],[Data de Início]]))</f>
        <v>5</v>
      </c>
      <c r="BC1049" s="483" t="s">
        <v>1878</v>
      </c>
    </row>
    <row r="1050" spans="2:55" x14ac:dyDescent="0.25">
      <c r="B1050" s="470">
        <v>46160.42083333333</v>
      </c>
      <c r="C1050" s="263">
        <v>46160.565972222219</v>
      </c>
      <c r="D1050" s="264" cm="1">
        <f t="array" ref="D1050">IFERROR(HorasUteisFabrica2Turnos(B1050,C1050), "")</f>
        <v>2.4833333333372138</v>
      </c>
      <c r="E1050" s="697">
        <f t="shared" si="16"/>
        <v>550.06711409310014</v>
      </c>
      <c r="F1050" s="626" t="s">
        <v>378</v>
      </c>
      <c r="G1050" s="656" t="s">
        <v>1046</v>
      </c>
      <c r="H1050" s="266"/>
      <c r="I1050" s="268" t="s">
        <v>1808</v>
      </c>
      <c r="J1050" s="700" t="s">
        <v>15</v>
      </c>
      <c r="K1050" s="268">
        <v>1366</v>
      </c>
      <c r="L1050" s="269" t="s">
        <v>1186</v>
      </c>
      <c r="M1050" s="510" t="str">
        <f>IFERROR(INDEX([1]Produtos!$C:$C,MATCH(L1050,[1]Produtos!$B:$B,0)), "-")</f>
        <v>BODY CREAM TESOURO DO OASIS</v>
      </c>
      <c r="N1050" s="510">
        <f>IFERROR(INDEX([1]Produtos!$E:$E,MATCH(L1050,[1]Produtos!$B:$B,0)), "-")</f>
        <v>240</v>
      </c>
      <c r="O1050" s="270" t="str">
        <f>IFERROR(INDEX([1]Produtos!$F:$F,MATCH(L1050,[1]Produtos!$B:$B,0)), "-")</f>
        <v>ml</v>
      </c>
      <c r="P1050" s="264" t="str">
        <f>IFERROR(INDEX([1]Produtos!$G:$G,MATCH(L1050,[1]Produtos!$B:$B,0)), "-")</f>
        <v>AMEERATI</v>
      </c>
      <c r="Q1050" s="270" t="str">
        <f>IFERROR(INDEX([1]Produtos!$H:$H,MATCH(L1050,[1]Produtos!$B:$B,0)), "-")</f>
        <v>CORPORAL</v>
      </c>
      <c r="R1050" s="270" t="str">
        <f>IFERROR(INDEX([1]Produtos!$I:$I,MATCH(L1050,[1]Produtos!$B:$B,0)), "-")</f>
        <v>CREME HIDRATANTE</v>
      </c>
      <c r="S1050" s="270" t="str">
        <f>IFERROR(INDEX([1]Produtos!$J:$J,MATCH(L1050,[1]Produtos!$B:$B,0)), "-")</f>
        <v>CREMOSO</v>
      </c>
      <c r="T1050" s="475"/>
      <c r="U1050" s="270"/>
      <c r="V1050" s="270"/>
      <c r="W1050" s="270"/>
      <c r="X1050" s="270"/>
      <c r="Y1050" s="270"/>
      <c r="Z1050" s="270"/>
      <c r="AA1050" s="270"/>
      <c r="AB1050" s="270"/>
      <c r="AC1050" s="270"/>
      <c r="AD1050" s="270"/>
      <c r="AE1050" s="270"/>
      <c r="AF1050" s="270"/>
      <c r="AG1050" s="270"/>
      <c r="AH1050" s="270"/>
      <c r="AI1050" s="270"/>
      <c r="AJ1050" s="270"/>
      <c r="AK1050" s="270"/>
      <c r="AL1050" s="270"/>
      <c r="AM1050" s="663">
        <v>46160.418749999997</v>
      </c>
      <c r="AN1050" s="663">
        <v>46160.420138888891</v>
      </c>
      <c r="AO1050" s="708">
        <f>IF(OR(Table1[[#This Row],[Início Setup Envase]]="",Table1[[#This Row],[Final Setup Envase]]=""),"",Table1[[#This Row],[Final Setup Envase]]-Table1[[#This Row],[Início Setup Envase]])</f>
        <v>1.3888888934161514E-3</v>
      </c>
      <c r="AP1050" s="663"/>
      <c r="AQ1050" s="663"/>
      <c r="AR1050" s="270"/>
      <c r="AS1050" s="270"/>
      <c r="AT1050" s="270"/>
      <c r="AU1050" s="270"/>
      <c r="AV1050" s="270"/>
      <c r="AW1050" s="270"/>
      <c r="AX1050" s="270"/>
      <c r="AY1050" s="270"/>
      <c r="AZ1050" s="270"/>
      <c r="BA1050" s="270">
        <f>IF(Table1[[#This Row],[Data de Início]]="","",YEAR(Table1[[#This Row],[Data de Início]]))</f>
        <v>2026</v>
      </c>
      <c r="BB1050" s="270">
        <f>IF(Table1[[#This Row],[Data de Início]]="","",MONTH(Table1[[#This Row],[Data de Início]]))</f>
        <v>5</v>
      </c>
      <c r="BC1050" s="270" t="s">
        <v>1828</v>
      </c>
    </row>
    <row r="1051" spans="2:55" x14ac:dyDescent="0.25">
      <c r="B1051" s="470">
        <v>46160.56527777778</v>
      </c>
      <c r="C1051" s="263">
        <v>46160.701388888891</v>
      </c>
      <c r="D1051" s="477" cm="1">
        <f t="array" ref="D1051">IFERROR(HorasUteisFabrica2Turnos(B1051,C1051), "")</f>
        <v>3.2666666666627862</v>
      </c>
      <c r="E1051" s="478">
        <f t="shared" si="16"/>
        <v>450.00000000053456</v>
      </c>
      <c r="F1051" s="266" t="s">
        <v>378</v>
      </c>
      <c r="G1051" s="656" t="s">
        <v>1046</v>
      </c>
      <c r="H1051" s="479"/>
      <c r="I1051" s="268" t="s">
        <v>1809</v>
      </c>
      <c r="J1051" s="268" t="s">
        <v>15</v>
      </c>
      <c r="K1051" s="268">
        <v>1470</v>
      </c>
      <c r="L1051" s="269" t="s">
        <v>1196</v>
      </c>
      <c r="M1051" s="511" t="str">
        <f>IFERROR(INDEX([1]Produtos!$C:$C,MATCH(L1051,[1]Produtos!$B:$B,0)), "-")</f>
        <v>BODY CREAM FLOR DO DESERTO</v>
      </c>
      <c r="N1051" s="511">
        <f>IFERROR(INDEX([1]Produtos!$E:$E,MATCH(L1051,[1]Produtos!$B:$B,0)), "-")</f>
        <v>240</v>
      </c>
      <c r="O1051" s="483" t="str">
        <f>IFERROR(INDEX([1]Produtos!$F:$F,MATCH(L1051,[1]Produtos!$B:$B,0)), "-")</f>
        <v>ml</v>
      </c>
      <c r="P1051" s="477" t="str">
        <f>IFERROR(INDEX([1]Produtos!$G:$G,MATCH(L1051,[1]Produtos!$B:$B,0)), "-")</f>
        <v>AMEERATI</v>
      </c>
      <c r="Q1051" s="483" t="str">
        <f>IFERROR(INDEX([1]Produtos!$H:$H,MATCH(L1051,[1]Produtos!$B:$B,0)), "-")</f>
        <v>CORPORAL</v>
      </c>
      <c r="R1051" s="483" t="str">
        <f>IFERROR(INDEX([1]Produtos!$I:$I,MATCH(L1051,[1]Produtos!$B:$B,0)), "-")</f>
        <v>CREME HIDRATANTE</v>
      </c>
      <c r="S1051" s="483" t="str">
        <f>IFERROR(INDEX([1]Produtos!$J:$J,MATCH(L1051,[1]Produtos!$B:$B,0)), "-")</f>
        <v>CREMOSO</v>
      </c>
      <c r="T1051" s="484"/>
      <c r="U1051" s="483"/>
      <c r="V1051" s="483"/>
      <c r="W1051" s="483"/>
      <c r="X1051" s="483"/>
      <c r="Y1051" s="483"/>
      <c r="Z1051" s="483"/>
      <c r="AA1051" s="483"/>
      <c r="AB1051" s="483"/>
      <c r="AC1051" s="483"/>
      <c r="AD1051" s="483"/>
      <c r="AE1051" s="483"/>
      <c r="AF1051" s="483"/>
      <c r="AG1051" s="483"/>
      <c r="AH1051" s="483"/>
      <c r="AI1051" s="483"/>
      <c r="AJ1051" s="483"/>
      <c r="AK1051" s="483"/>
      <c r="AL1051" s="483"/>
      <c r="AM1051" s="670">
        <v>46160.559027777781</v>
      </c>
      <c r="AN1051" s="670">
        <v>46160.564583333333</v>
      </c>
      <c r="AO1051" s="711">
        <f>IF(OR(Table1[[#This Row],[Início Setup Envase]]="",Table1[[#This Row],[Final Setup Envase]]=""),"",Table1[[#This Row],[Final Setup Envase]]-Table1[[#This Row],[Início Setup Envase]])</f>
        <v>5.5555555518367328E-3</v>
      </c>
      <c r="AP1051" s="670">
        <v>46160.631944444445</v>
      </c>
      <c r="AQ1051" s="670">
        <v>46160.652777777781</v>
      </c>
      <c r="AR1051" s="483" t="s">
        <v>1773</v>
      </c>
      <c r="AS1051" s="483"/>
      <c r="AT1051" s="483"/>
      <c r="AU1051" s="483"/>
      <c r="AV1051" s="483"/>
      <c r="AW1051" s="483"/>
      <c r="AX1051" s="483"/>
      <c r="AY1051" s="270"/>
      <c r="AZ1051" s="270"/>
      <c r="BA1051" s="270">
        <f>IF(Table1[[#This Row],[Data de Início]]="","",YEAR(Table1[[#This Row],[Data de Início]]))</f>
        <v>2026</v>
      </c>
      <c r="BB1051" s="270">
        <f>IF(Table1[[#This Row],[Data de Início]]="","",MONTH(Table1[[#This Row],[Data de Início]]))</f>
        <v>5</v>
      </c>
      <c r="BC1051" s="483"/>
    </row>
    <row r="1052" spans="2:55" x14ac:dyDescent="0.25">
      <c r="B1052" s="470">
        <v>46161.306944444441</v>
      </c>
      <c r="C1052" s="263">
        <v>46161.613194444442</v>
      </c>
      <c r="D1052" s="264" cm="1">
        <f t="array" ref="D1052">IFERROR(HorasUteisFabrica2Turnos(B1052,C1052), "")</f>
        <v>6.3500000000349246</v>
      </c>
      <c r="E1052" s="265">
        <f t="shared" si="16"/>
        <v>209.44881889648585</v>
      </c>
      <c r="F1052" s="626" t="s">
        <v>378</v>
      </c>
      <c r="G1052" s="656" t="s">
        <v>1046</v>
      </c>
      <c r="H1052" s="266"/>
      <c r="I1052" s="267" t="s">
        <v>1820</v>
      </c>
      <c r="J1052" s="268" t="s">
        <v>15</v>
      </c>
      <c r="K1052" s="268">
        <v>1330</v>
      </c>
      <c r="L1052" s="269" t="s">
        <v>1194</v>
      </c>
      <c r="M1052" s="510" t="str">
        <f>IFERROR(INDEX([1]Produtos!$C:$C,MATCH(L1052,[1]Produtos!$B:$B,0)), "-")</f>
        <v>BODY CREAM JARDINS DO ORIENTE</v>
      </c>
      <c r="N1052" s="510">
        <f>IFERROR(INDEX([1]Produtos!$E:$E,MATCH(L1052,[1]Produtos!$B:$B,0)), "-")</f>
        <v>240</v>
      </c>
      <c r="O1052" s="270" t="str">
        <f>IFERROR(INDEX([1]Produtos!$F:$F,MATCH(L1052,[1]Produtos!$B:$B,0)), "-")</f>
        <v>ml</v>
      </c>
      <c r="P1052" s="264" t="str">
        <f>IFERROR(INDEX([1]Produtos!$G:$G,MATCH(L1052,[1]Produtos!$B:$B,0)), "-")</f>
        <v>AMEERATI</v>
      </c>
      <c r="Q1052" s="270" t="str">
        <f>IFERROR(INDEX([1]Produtos!$H:$H,MATCH(L1052,[1]Produtos!$B:$B,0)), "-")</f>
        <v>CORPORAL</v>
      </c>
      <c r="R1052" s="270" t="str">
        <f>IFERROR(INDEX([1]Produtos!$I:$I,MATCH(L1052,[1]Produtos!$B:$B,0)), "-")</f>
        <v>CREME HIDRATANTE</v>
      </c>
      <c r="S1052" s="270" t="str">
        <f>IFERROR(INDEX([1]Produtos!$J:$J,MATCH(L1052,[1]Produtos!$B:$B,0)), "-")</f>
        <v>CREMOSO</v>
      </c>
      <c r="T1052" s="475"/>
      <c r="U1052" s="270"/>
      <c r="V1052" s="270"/>
      <c r="W1052" s="270"/>
      <c r="X1052" s="270"/>
      <c r="Y1052" s="270"/>
      <c r="Z1052" s="270"/>
      <c r="AA1052" s="270"/>
      <c r="AB1052" s="270"/>
      <c r="AC1052" s="270"/>
      <c r="AD1052" s="270"/>
      <c r="AE1052" s="270"/>
      <c r="AF1052" s="270"/>
      <c r="AG1052" s="270"/>
      <c r="AH1052" s="270"/>
      <c r="AI1052" s="270"/>
      <c r="AJ1052" s="270"/>
      <c r="AK1052" s="270"/>
      <c r="AL1052" s="270"/>
      <c r="AM1052" s="663">
        <v>46161.291666666664</v>
      </c>
      <c r="AN1052" s="663">
        <v>46161.306250000001</v>
      </c>
      <c r="AO1052" s="708">
        <f>IF(OR(Table1[[#This Row],[Início Setup Envase]]="",Table1[[#This Row],[Final Setup Envase]]=""),"",Table1[[#This Row],[Final Setup Envase]]-Table1[[#This Row],[Início Setup Envase]])</f>
        <v>1.4583333337213844E-2</v>
      </c>
      <c r="AP1052" s="663">
        <v>46161.328472222223</v>
      </c>
      <c r="AQ1052" s="663">
        <v>46161.416666666664</v>
      </c>
      <c r="AR1052" s="270" t="s">
        <v>1773</v>
      </c>
      <c r="AS1052" s="674">
        <v>46161.486111111109</v>
      </c>
      <c r="AT1052" s="270"/>
      <c r="AU1052" s="270" t="s">
        <v>1773</v>
      </c>
      <c r="AV1052" s="270"/>
      <c r="AW1052" s="270"/>
      <c r="AX1052" s="270"/>
      <c r="AY1052" s="270"/>
      <c r="AZ1052" s="270"/>
      <c r="BA1052" s="270">
        <f>IF(Table1[[#This Row],[Data de Início]]="","",YEAR(Table1[[#This Row],[Data de Início]]))</f>
        <v>2026</v>
      </c>
      <c r="BB1052" s="270">
        <f>IF(Table1[[#This Row],[Data de Início]]="","",MONTH(Table1[[#This Row],[Data de Início]]))</f>
        <v>5</v>
      </c>
      <c r="BC1052" s="270" t="s">
        <v>1828</v>
      </c>
    </row>
    <row r="1053" spans="2:55" x14ac:dyDescent="0.25">
      <c r="B1053" s="470">
        <v>46161.416666666664</v>
      </c>
      <c r="C1053" s="263">
        <v>46161.652777777781</v>
      </c>
      <c r="D1053" s="477" cm="1">
        <f t="array" ref="D1053">IFERROR(HorasUteisFabrica2Turnos(B1053,C1053), "")</f>
        <v>4.6666666668024845</v>
      </c>
      <c r="E1053" s="654">
        <f t="shared" si="16"/>
        <v>606.42857141092202</v>
      </c>
      <c r="F1053" s="266" t="s">
        <v>377</v>
      </c>
      <c r="G1053" s="672" t="s">
        <v>1560</v>
      </c>
      <c r="H1053" s="479"/>
      <c r="I1053" s="267" t="s">
        <v>1818</v>
      </c>
      <c r="J1053" s="268" t="s">
        <v>15</v>
      </c>
      <c r="K1053" s="268">
        <v>2830</v>
      </c>
      <c r="L1053" s="269" t="s">
        <v>211</v>
      </c>
      <c r="M1053" s="511" t="str">
        <f>IFERROR(INDEX([1]Produtos!$C:$C,MATCH(L1053,[1]Produtos!$B:$B,0)), "-")</f>
        <v>BODY SPLASH AURORA IMPERIAL</v>
      </c>
      <c r="N1053" s="511">
        <f>IFERROR(INDEX([1]Produtos!$E:$E,MATCH(L1053,[1]Produtos!$B:$B,0)), "-")</f>
        <v>220</v>
      </c>
      <c r="O1053" s="483" t="str">
        <f>IFERROR(INDEX([1]Produtos!$F:$F,MATCH(L1053,[1]Produtos!$B:$B,0)), "-")</f>
        <v>ml</v>
      </c>
      <c r="P1053" s="477" t="str">
        <f>IFERROR(INDEX([1]Produtos!$G:$G,MATCH(L1053,[1]Produtos!$B:$B,0)), "-")</f>
        <v>MISS RÔSE</v>
      </c>
      <c r="Q1053" s="483" t="str">
        <f>IFERROR(INDEX([1]Produtos!$H:$H,MATCH(L1053,[1]Produtos!$B:$B,0)), "-")</f>
        <v>PERFUMARIA</v>
      </c>
      <c r="R1053" s="483" t="str">
        <f>IFERROR(INDEX([1]Produtos!$I:$I,MATCH(L1053,[1]Produtos!$B:$B,0)), "-")</f>
        <v>BODY SPLASH</v>
      </c>
      <c r="S1053" s="483" t="str">
        <f>IFERROR(INDEX([1]Produtos!$J:$J,MATCH(L1053,[1]Produtos!$B:$B,0)), "-")</f>
        <v>LÍQUIDO</v>
      </c>
      <c r="T1053" s="484"/>
      <c r="U1053" s="483"/>
      <c r="V1053" s="483"/>
      <c r="W1053" s="483"/>
      <c r="X1053" s="483"/>
      <c r="Y1053" s="483"/>
      <c r="Z1053" s="483"/>
      <c r="AA1053" s="483"/>
      <c r="AB1053" s="483"/>
      <c r="AC1053" s="483"/>
      <c r="AD1053" s="483"/>
      <c r="AE1053" s="483"/>
      <c r="AF1053" s="483"/>
      <c r="AG1053" s="483"/>
      <c r="AH1053" s="483"/>
      <c r="AI1053" s="483"/>
      <c r="AJ1053" s="483"/>
      <c r="AK1053" s="483"/>
      <c r="AL1053" s="483"/>
      <c r="AM1053" s="670">
        <v>46161.395833333336</v>
      </c>
      <c r="AN1053" s="670">
        <v>46161.414583333331</v>
      </c>
      <c r="AO1053" s="711">
        <f>IF(OR(Table1[[#This Row],[Início Setup Envase]]="",Table1[[#This Row],[Final Setup Envase]]=""),"",Table1[[#This Row],[Final Setup Envase]]-Table1[[#This Row],[Início Setup Envase]])</f>
        <v>1.8749999995634425E-2</v>
      </c>
      <c r="AP1053" s="670">
        <v>46161.430555555555</v>
      </c>
      <c r="AQ1053" s="670">
        <v>46161.469444444447</v>
      </c>
      <c r="AR1053" s="483" t="s">
        <v>1773</v>
      </c>
      <c r="AS1053" s="622">
        <v>46161.414583333331</v>
      </c>
      <c r="AT1053" s="622">
        <v>46161.420138888891</v>
      </c>
      <c r="AU1053" s="483" t="s">
        <v>1819</v>
      </c>
      <c r="AV1053" s="483"/>
      <c r="AW1053" s="483"/>
      <c r="AX1053" s="483"/>
      <c r="AY1053" s="270"/>
      <c r="AZ1053" s="270"/>
      <c r="BA1053" s="270">
        <f>IF(Table1[[#This Row],[Data de Início]]="","",YEAR(Table1[[#This Row],[Data de Início]]))</f>
        <v>2026</v>
      </c>
      <c r="BB1053" s="270">
        <f>IF(Table1[[#This Row],[Data de Início]]="","",MONTH(Table1[[#This Row],[Data de Início]]))</f>
        <v>5</v>
      </c>
      <c r="BC1053" s="483"/>
    </row>
    <row r="1054" spans="2:55" x14ac:dyDescent="0.25">
      <c r="B1054" s="470">
        <v>46161.606944444444</v>
      </c>
      <c r="C1054" s="263">
        <v>46162.395833333336</v>
      </c>
      <c r="D1054" s="264" cm="1">
        <f t="array" ref="D1054">IFERROR(HorasUteisFabrica2Turnos(B1054,C1054), "")</f>
        <v>4.9333333335234784</v>
      </c>
      <c r="E1054" s="697">
        <f t="shared" si="16"/>
        <v>199.45945945177172</v>
      </c>
      <c r="F1054" s="626" t="s">
        <v>378</v>
      </c>
      <c r="G1054" s="266" t="s">
        <v>1046</v>
      </c>
      <c r="H1054" s="266"/>
      <c r="I1054" s="267" t="s">
        <v>1821</v>
      </c>
      <c r="J1054" s="268" t="s">
        <v>15</v>
      </c>
      <c r="K1054" s="268">
        <v>984</v>
      </c>
      <c r="L1054" s="269" t="s">
        <v>1108</v>
      </c>
      <c r="M1054" s="510" t="str">
        <f>IFERROR(INDEX([1]Produtos!$C:$C,MATCH(L1054,[1]Produtos!$B:$B,0)), "-")</f>
        <v>BODY CREAM VERDE SUPREMO</v>
      </c>
      <c r="N1054" s="510">
        <f>IFERROR(INDEX([1]Produtos!$E:$E,MATCH(L1054,[1]Produtos!$B:$B,0)), "-")</f>
        <v>240</v>
      </c>
      <c r="O1054" s="270" t="str">
        <f>IFERROR(INDEX([1]Produtos!$F:$F,MATCH(L1054,[1]Produtos!$B:$B,0)), "-")</f>
        <v>ml</v>
      </c>
      <c r="P1054" s="264" t="str">
        <f>IFERROR(INDEX([1]Produtos!$G:$G,MATCH(L1054,[1]Produtos!$B:$B,0)), "-")</f>
        <v>AMEERATI</v>
      </c>
      <c r="Q1054" s="270" t="str">
        <f>IFERROR(INDEX([1]Produtos!$H:$H,MATCH(L1054,[1]Produtos!$B:$B,0)), "-")</f>
        <v>CORPORAL</v>
      </c>
      <c r="R1054" s="270" t="str">
        <f>IFERROR(INDEX([1]Produtos!$I:$I,MATCH(L1054,[1]Produtos!$B:$B,0)), "-")</f>
        <v>CREME HIDRATANTE</v>
      </c>
      <c r="S1054" s="270" t="str">
        <f>IFERROR(INDEX([1]Produtos!$J:$J,MATCH(L1054,[1]Produtos!$B:$B,0)), "-")</f>
        <v>CREMOSO</v>
      </c>
      <c r="T1054" s="475"/>
      <c r="U1054" s="270"/>
      <c r="V1054" s="270"/>
      <c r="W1054" s="270"/>
      <c r="X1054" s="270"/>
      <c r="Y1054" s="270"/>
      <c r="Z1054" s="270"/>
      <c r="AA1054" s="270"/>
      <c r="AB1054" s="270"/>
      <c r="AC1054" s="270"/>
      <c r="AD1054" s="270"/>
      <c r="AE1054" s="270"/>
      <c r="AF1054" s="270"/>
      <c r="AG1054" s="270"/>
      <c r="AH1054" s="270"/>
      <c r="AI1054" s="270"/>
      <c r="AJ1054" s="270"/>
      <c r="AK1054" s="270"/>
      <c r="AL1054" s="270"/>
      <c r="AM1054" s="663">
        <v>46161.600694444445</v>
      </c>
      <c r="AN1054" s="663">
        <v>46161.606944444444</v>
      </c>
      <c r="AO1054" s="708">
        <f>IF(OR(Table1[[#This Row],[Início Setup Envase]]="",Table1[[#This Row],[Final Setup Envase]]=""),"",Table1[[#This Row],[Final Setup Envase]]-Table1[[#This Row],[Início Setup Envase]])</f>
        <v>6.2499999985448085E-3</v>
      </c>
      <c r="AP1054" s="663"/>
      <c r="AQ1054" s="663"/>
      <c r="AR1054" s="270"/>
      <c r="AS1054" s="674"/>
      <c r="AT1054" s="674"/>
      <c r="AU1054" s="270"/>
      <c r="AV1054" s="270"/>
      <c r="AW1054" s="270"/>
      <c r="AX1054" s="270"/>
      <c r="AY1054" s="270"/>
      <c r="AZ1054" s="270"/>
      <c r="BA1054" s="270">
        <f>IF(Table1[[#This Row],[Data de Início]]="","",YEAR(Table1[[#This Row],[Data de Início]]))</f>
        <v>2026</v>
      </c>
      <c r="BB1054" s="270">
        <f>IF(Table1[[#This Row],[Data de Início]]="","",MONTH(Table1[[#This Row],[Data de Início]]))</f>
        <v>5</v>
      </c>
      <c r="BC1054" s="270"/>
    </row>
    <row r="1055" spans="2:55" x14ac:dyDescent="0.25">
      <c r="B1055" s="470">
        <v>46162.318055555559</v>
      </c>
      <c r="C1055" s="263">
        <v>46162.353472222225</v>
      </c>
      <c r="D1055" s="477" cm="1">
        <f t="array" ref="D1055">IFERROR(HorasUteisFabrica2Turnos(B1055,C1055), "")</f>
        <v>0.84999999997671694</v>
      </c>
      <c r="E1055" s="478">
        <f t="shared" si="16"/>
        <v>1072.9411764999782</v>
      </c>
      <c r="F1055" s="266" t="s">
        <v>377</v>
      </c>
      <c r="G1055" s="675" t="s">
        <v>1817</v>
      </c>
      <c r="H1055" s="479"/>
      <c r="I1055" s="268" t="s">
        <v>1814</v>
      </c>
      <c r="J1055" s="268" t="s">
        <v>15</v>
      </c>
      <c r="K1055" s="268">
        <v>912</v>
      </c>
      <c r="L1055" s="269" t="s">
        <v>1873</v>
      </c>
      <c r="M1055" s="511" t="str">
        <f>IFERROR(INDEX([1]Produtos!$C:$C,MATCH(L1055,[1]Produtos!$B:$B,0)), "-")</f>
        <v>BODY SPLASH AMBER BLOOM 200ML</v>
      </c>
      <c r="N1055" s="511">
        <f>IFERROR(INDEX([1]Produtos!$E:$E,MATCH(L1055,[1]Produtos!$B:$B,0)), "-")</f>
        <v>200</v>
      </c>
      <c r="O1055" s="483" t="str">
        <f>IFERROR(INDEX([1]Produtos!$F:$F,MATCH(L1055,[1]Produtos!$B:$B,0)), "-")</f>
        <v>ml</v>
      </c>
      <c r="P1055" s="477" t="str">
        <f>IFERROR(INDEX([1]Produtos!$G:$G,MATCH(L1055,[1]Produtos!$B:$B,0)), "-")</f>
        <v>FEBELLA BEAUTY</v>
      </c>
      <c r="Q1055" s="483" t="str">
        <f>IFERROR(INDEX([1]Produtos!$H:$H,MATCH(L1055,[1]Produtos!$B:$B,0)), "-")</f>
        <v>PERFUMARIA</v>
      </c>
      <c r="R1055" s="483" t="str">
        <f>IFERROR(INDEX([1]Produtos!$I:$I,MATCH(L1055,[1]Produtos!$B:$B,0)), "-")</f>
        <v>BODY SPLASH</v>
      </c>
      <c r="S1055" s="483" t="str">
        <f>IFERROR(INDEX([1]Produtos!$J:$J,MATCH(L1055,[1]Produtos!$B:$B,0)), "-")</f>
        <v>LÍQUIDO</v>
      </c>
      <c r="T1055" s="484"/>
      <c r="U1055" s="483"/>
      <c r="V1055" s="483"/>
      <c r="W1055" s="483"/>
      <c r="X1055" s="483"/>
      <c r="Y1055" s="483"/>
      <c r="Z1055" s="483"/>
      <c r="AA1055" s="483"/>
      <c r="AB1055" s="483"/>
      <c r="AC1055" s="483"/>
      <c r="AD1055" s="483"/>
      <c r="AE1055" s="483"/>
      <c r="AF1055" s="483"/>
      <c r="AG1055" s="483"/>
      <c r="AH1055" s="483"/>
      <c r="AI1055" s="483"/>
      <c r="AJ1055" s="483"/>
      <c r="AK1055" s="483"/>
      <c r="AL1055" s="483"/>
      <c r="AM1055" s="670">
        <v>46162.291666666664</v>
      </c>
      <c r="AN1055" s="670">
        <v>46162.316666666666</v>
      </c>
      <c r="AO1055" s="711">
        <f>IF(OR(Table1[[#This Row],[Início Setup Envase]]="",Table1[[#This Row],[Final Setup Envase]]=""),"",Table1[[#This Row],[Final Setup Envase]]-Table1[[#This Row],[Início Setup Envase]])</f>
        <v>2.5000000001455192E-2</v>
      </c>
      <c r="AP1055" s="670">
        <v>46161.659722222219</v>
      </c>
      <c r="AQ1055" s="670">
        <v>46162.704861111109</v>
      </c>
      <c r="AR1055" s="483" t="s">
        <v>1815</v>
      </c>
      <c r="AS1055" s="622">
        <v>46162.291666666664</v>
      </c>
      <c r="AT1055" s="622">
        <v>46162.318055555559</v>
      </c>
      <c r="AU1055" s="483" t="s">
        <v>1816</v>
      </c>
      <c r="AV1055" s="483"/>
      <c r="AW1055" s="483"/>
      <c r="AX1055" s="483"/>
      <c r="AY1055" s="270"/>
      <c r="AZ1055" s="270"/>
      <c r="BA1055" s="270">
        <f>IF(Table1[[#This Row],[Data de Início]]="","",YEAR(Table1[[#This Row],[Data de Início]]))</f>
        <v>2026</v>
      </c>
      <c r="BB1055" s="270">
        <f>IF(Table1[[#This Row],[Data de Início]]="","",MONTH(Table1[[#This Row],[Data de Início]]))</f>
        <v>5</v>
      </c>
      <c r="BC1055" s="483"/>
    </row>
    <row r="1056" spans="2:55" x14ac:dyDescent="0.25">
      <c r="B1056" s="470">
        <v>46162.355555555558</v>
      </c>
      <c r="C1056" s="263">
        <v>46162.618055555555</v>
      </c>
      <c r="D1056" s="264" cm="1">
        <f t="array" ref="D1056">IFERROR(HorasUteisFabrica2Turnos(B1056,C1056), "")</f>
        <v>5.2999999999301508</v>
      </c>
      <c r="E1056" s="265">
        <f t="shared" si="16"/>
        <v>858.49056604905002</v>
      </c>
      <c r="F1056" s="266" t="s">
        <v>377</v>
      </c>
      <c r="G1056" s="699" t="s">
        <v>1817</v>
      </c>
      <c r="H1056" s="266"/>
      <c r="I1056" s="267" t="s">
        <v>1827</v>
      </c>
      <c r="J1056" s="268" t="s">
        <v>15</v>
      </c>
      <c r="K1056" s="268">
        <v>4550</v>
      </c>
      <c r="L1056" s="269" t="s">
        <v>1873</v>
      </c>
      <c r="M1056" s="510" t="str">
        <f>IFERROR(INDEX([1]Produtos!$C:$C,MATCH(L1056,[1]Produtos!$B:$B,0)), "-")</f>
        <v>BODY SPLASH AMBER BLOOM 200ML</v>
      </c>
      <c r="N1056" s="510">
        <f>IFERROR(INDEX([1]Produtos!$E:$E,MATCH(L1056,[1]Produtos!$B:$B,0)), "-")</f>
        <v>200</v>
      </c>
      <c r="O1056" s="270" t="str">
        <f>IFERROR(INDEX([1]Produtos!$F:$F,MATCH(L1056,[1]Produtos!$B:$B,0)), "-")</f>
        <v>ml</v>
      </c>
      <c r="P1056" s="264" t="str">
        <f>IFERROR(INDEX([1]Produtos!$G:$G,MATCH(L1056,[1]Produtos!$B:$B,0)), "-")</f>
        <v>FEBELLA BEAUTY</v>
      </c>
      <c r="Q1056" s="270" t="str">
        <f>IFERROR(INDEX([1]Produtos!$H:$H,MATCH(L1056,[1]Produtos!$B:$B,0)), "-")</f>
        <v>PERFUMARIA</v>
      </c>
      <c r="R1056" s="270" t="str">
        <f>IFERROR(INDEX([1]Produtos!$I:$I,MATCH(L1056,[1]Produtos!$B:$B,0)), "-")</f>
        <v>BODY SPLASH</v>
      </c>
      <c r="S1056" s="270" t="str">
        <f>IFERROR(INDEX([1]Produtos!$J:$J,MATCH(L1056,[1]Produtos!$B:$B,0)), "-")</f>
        <v>LÍQUIDO</v>
      </c>
      <c r="T1056" s="475"/>
      <c r="U1056" s="270"/>
      <c r="V1056" s="270"/>
      <c r="W1056" s="270"/>
      <c r="X1056" s="270"/>
      <c r="Y1056" s="270"/>
      <c r="Z1056" s="270"/>
      <c r="AA1056" s="270"/>
      <c r="AB1056" s="270"/>
      <c r="AC1056" s="270"/>
      <c r="AD1056" s="270"/>
      <c r="AE1056" s="270"/>
      <c r="AF1056" s="270"/>
      <c r="AG1056" s="270"/>
      <c r="AH1056" s="270"/>
      <c r="AI1056" s="270"/>
      <c r="AJ1056" s="270"/>
      <c r="AK1056" s="270"/>
      <c r="AL1056" s="270"/>
      <c r="AM1056" s="663">
        <v>46162.353472222225</v>
      </c>
      <c r="AN1056" s="663">
        <v>46162.354166666664</v>
      </c>
      <c r="AO1056" s="708">
        <f>IF(OR(Table1[[#This Row],[Início Setup Envase]]="",Table1[[#This Row],[Final Setup Envase]]=""),"",Table1[[#This Row],[Final Setup Envase]]-Table1[[#This Row],[Início Setup Envase]])</f>
        <v>6.9444443943211809E-4</v>
      </c>
      <c r="AP1056" s="663">
        <v>46162.353472222225</v>
      </c>
      <c r="AQ1056" s="663">
        <v>46162.618055555555</v>
      </c>
      <c r="AR1056" s="270" t="s">
        <v>1828</v>
      </c>
      <c r="AS1056" s="270"/>
      <c r="AT1056" s="270"/>
      <c r="AU1056" s="270"/>
      <c r="AV1056" s="270"/>
      <c r="AW1056" s="270"/>
      <c r="AX1056" s="270"/>
      <c r="AY1056" s="270"/>
      <c r="AZ1056" s="270"/>
      <c r="BA1056" s="270">
        <f>IF(Table1[[#This Row],[Data de Início]]="","",YEAR(Table1[[#This Row],[Data de Início]]))</f>
        <v>2026</v>
      </c>
      <c r="BB1056" s="270">
        <f>IF(Table1[[#This Row],[Data de Início]]="","",MONTH(Table1[[#This Row],[Data de Início]]))</f>
        <v>5</v>
      </c>
      <c r="BC1056" s="270"/>
    </row>
    <row r="1057" spans="2:55" x14ac:dyDescent="0.25">
      <c r="B1057" s="470">
        <v>46162.640277777777</v>
      </c>
      <c r="C1057" s="263">
        <v>46163.493055555555</v>
      </c>
      <c r="D1057" s="477" cm="1">
        <f t="array" ref="D1057">IFERROR(HorasUteisFabrica2Turnos(B1057,C1057), "")</f>
        <v>6.466666666790843</v>
      </c>
      <c r="E1057" s="478">
        <f t="shared" si="16"/>
        <v>563.65979380360932</v>
      </c>
      <c r="F1057" s="266" t="s">
        <v>377</v>
      </c>
      <c r="G1057" s="656" t="s">
        <v>1817</v>
      </c>
      <c r="H1057" s="479"/>
      <c r="I1057" s="268" t="s">
        <v>1836</v>
      </c>
      <c r="J1057" s="268" t="s">
        <v>15</v>
      </c>
      <c r="K1057" s="268">
        <v>3645</v>
      </c>
      <c r="L1057" s="269" t="s">
        <v>1873</v>
      </c>
      <c r="M1057" s="511" t="str">
        <f>IFERROR(INDEX([1]Produtos!$C:$C,MATCH(L1057,[1]Produtos!$B:$B,0)), "-")</f>
        <v>BODY SPLASH AMBER BLOOM 200ML</v>
      </c>
      <c r="N1057" s="511">
        <f>IFERROR(INDEX([1]Produtos!$E:$E,MATCH(L1057,[1]Produtos!$B:$B,0)), "-")</f>
        <v>200</v>
      </c>
      <c r="O1057" s="483" t="str">
        <f>IFERROR(INDEX([1]Produtos!$F:$F,MATCH(L1057,[1]Produtos!$B:$B,0)), "-")</f>
        <v>ml</v>
      </c>
      <c r="P1057" s="477" t="str">
        <f>IFERROR(INDEX([1]Produtos!$G:$G,MATCH(L1057,[1]Produtos!$B:$B,0)), "-")</f>
        <v>FEBELLA BEAUTY</v>
      </c>
      <c r="Q1057" s="483" t="str">
        <f>IFERROR(INDEX([1]Produtos!$H:$H,MATCH(L1057,[1]Produtos!$B:$B,0)), "-")</f>
        <v>PERFUMARIA</v>
      </c>
      <c r="R1057" s="483" t="str">
        <f>IFERROR(INDEX([1]Produtos!$I:$I,MATCH(L1057,[1]Produtos!$B:$B,0)), "-")</f>
        <v>BODY SPLASH</v>
      </c>
      <c r="S1057" s="483" t="str">
        <f>IFERROR(INDEX([1]Produtos!$J:$J,MATCH(L1057,[1]Produtos!$B:$B,0)), "-")</f>
        <v>LÍQUIDO</v>
      </c>
      <c r="T1057" s="484"/>
      <c r="U1057" s="483"/>
      <c r="V1057" s="483"/>
      <c r="W1057" s="483"/>
      <c r="X1057" s="483"/>
      <c r="Y1057" s="483"/>
      <c r="Z1057" s="483"/>
      <c r="AA1057" s="483"/>
      <c r="AB1057" s="483"/>
      <c r="AC1057" s="483"/>
      <c r="AD1057" s="483"/>
      <c r="AE1057" s="483"/>
      <c r="AF1057" s="483"/>
      <c r="AG1057" s="483"/>
      <c r="AH1057" s="483"/>
      <c r="AI1057" s="483"/>
      <c r="AJ1057" s="483"/>
      <c r="AK1057" s="483"/>
      <c r="AL1057" s="483"/>
      <c r="AM1057" s="670">
        <v>46162.618055555555</v>
      </c>
      <c r="AN1057" s="670">
        <v>46162.640277777777</v>
      </c>
      <c r="AO1057" s="711">
        <f>IF(OR(Table1[[#This Row],[Início Setup Envase]]="",Table1[[#This Row],[Final Setup Envase]]=""),"",Table1[[#This Row],[Final Setup Envase]]-Table1[[#This Row],[Início Setup Envase]])</f>
        <v>2.2222222221898846E-2</v>
      </c>
      <c r="AP1057" s="670">
        <v>46162.621527777781</v>
      </c>
      <c r="AQ1057" s="670">
        <v>46162.640277777777</v>
      </c>
      <c r="AR1057" s="483" t="s">
        <v>1837</v>
      </c>
      <c r="AS1057" s="483"/>
      <c r="AT1057" s="483"/>
      <c r="AU1057" s="483"/>
      <c r="AV1057" s="483"/>
      <c r="AW1057" s="483"/>
      <c r="AX1057" s="483"/>
      <c r="AY1057" s="270"/>
      <c r="AZ1057" s="270"/>
      <c r="BA1057" s="270">
        <f>IF(Table1[[#This Row],[Data de Início]]="","",YEAR(Table1[[#This Row],[Data de Início]]))</f>
        <v>2026</v>
      </c>
      <c r="BB1057" s="270">
        <f>IF(Table1[[#This Row],[Data de Início]]="","",MONTH(Table1[[#This Row],[Data de Início]]))</f>
        <v>5</v>
      </c>
      <c r="BC1057" s="483"/>
    </row>
    <row r="1058" spans="2:55" x14ac:dyDescent="0.25">
      <c r="B1058" s="470">
        <v>46162.642361111109</v>
      </c>
      <c r="C1058" s="263">
        <v>46162.694444444445</v>
      </c>
      <c r="D1058" s="264" cm="1">
        <f t="array" ref="D1058">IFERROR(HorasUteisFabrica2Turnos(B1058,C1058), "")</f>
        <v>1.2500000000582077</v>
      </c>
      <c r="E1058" s="265">
        <f t="shared" si="16"/>
        <v>641.59999997012312</v>
      </c>
      <c r="F1058" s="266" t="s">
        <v>1039</v>
      </c>
      <c r="G1058" s="266" t="s">
        <v>1489</v>
      </c>
      <c r="H1058" s="266"/>
      <c r="I1058" s="268" t="s">
        <v>1839</v>
      </c>
      <c r="J1058" s="268" t="s">
        <v>15</v>
      </c>
      <c r="K1058" s="268">
        <v>802</v>
      </c>
      <c r="L1058" s="269" t="s">
        <v>1840</v>
      </c>
      <c r="M1058" s="510" t="str">
        <f>IFERROR(INDEX([1]Produtos!$C:$C,MATCH(L1058,[1]Produtos!$B:$B,0)), "-")</f>
        <v>PERFUME CAPILAR ZAHRA</v>
      </c>
      <c r="N1058" s="510">
        <f>IFERROR(INDEX([1]Produtos!$E:$E,MATCH(L1058,[1]Produtos!$B:$B,0)), "-")</f>
        <v>60</v>
      </c>
      <c r="O1058" s="270" t="str">
        <f>IFERROR(INDEX([1]Produtos!$F:$F,MATCH(L1058,[1]Produtos!$B:$B,0)), "-")</f>
        <v>ml</v>
      </c>
      <c r="P1058" s="264" t="str">
        <f>IFERROR(INDEX([1]Produtos!$G:$G,MATCH(L1058,[1]Produtos!$B:$B,0)), "-")</f>
        <v>BRIA BEAUTY</v>
      </c>
      <c r="Q1058" s="270" t="str">
        <f>IFERROR(INDEX([1]Produtos!$H:$H,MATCH(L1058,[1]Produtos!$B:$B,0)), "-")</f>
        <v>PERFUMARIA</v>
      </c>
      <c r="R1058" s="270" t="str">
        <f>IFERROR(INDEX([1]Produtos!$I:$I,MATCH(L1058,[1]Produtos!$B:$B,0)), "-")</f>
        <v>PERFUME CAPILAR</v>
      </c>
      <c r="S1058" s="270" t="str">
        <f>IFERROR(INDEX([1]Produtos!$J:$J,MATCH(L1058,[1]Produtos!$B:$B,0)), "-")</f>
        <v>LÍQUIDO ESPESSO</v>
      </c>
      <c r="T1058" s="475"/>
      <c r="U1058" s="270"/>
      <c r="V1058" s="270"/>
      <c r="W1058" s="270"/>
      <c r="X1058" s="270"/>
      <c r="Y1058" s="270"/>
      <c r="Z1058" s="270"/>
      <c r="AA1058" s="270"/>
      <c r="AB1058" s="270"/>
      <c r="AC1058" s="270"/>
      <c r="AD1058" s="270"/>
      <c r="AE1058" s="270"/>
      <c r="AF1058" s="270"/>
      <c r="AG1058" s="270"/>
      <c r="AH1058" s="270"/>
      <c r="AI1058" s="270"/>
      <c r="AJ1058" s="270"/>
      <c r="AK1058" s="270"/>
      <c r="AL1058" s="270"/>
      <c r="AM1058" s="663">
        <v>46162.618055555555</v>
      </c>
      <c r="AN1058" s="663">
        <v>46162.638888888891</v>
      </c>
      <c r="AO1058" s="708">
        <f>IF(OR(Table1[[#This Row],[Início Setup Envase]]="",Table1[[#This Row],[Final Setup Envase]]=""),"",Table1[[#This Row],[Final Setup Envase]]-Table1[[#This Row],[Início Setup Envase]])</f>
        <v>2.0833333335758653E-2</v>
      </c>
      <c r="AP1058" s="663"/>
      <c r="AQ1058" s="663"/>
      <c r="AR1058" s="270"/>
      <c r="AS1058" s="270"/>
      <c r="AT1058" s="270"/>
      <c r="AU1058" s="270"/>
      <c r="AV1058" s="270"/>
      <c r="AW1058" s="270"/>
      <c r="AX1058" s="270"/>
      <c r="AY1058" s="270"/>
      <c r="AZ1058" s="270"/>
      <c r="BA1058" s="270">
        <f>IF(Table1[[#This Row],[Data de Início]]="","",YEAR(Table1[[#This Row],[Data de Início]]))</f>
        <v>2026</v>
      </c>
      <c r="BB1058" s="270">
        <f>IF(Table1[[#This Row],[Data de Início]]="","",MONTH(Table1[[#This Row],[Data de Início]]))</f>
        <v>5</v>
      </c>
      <c r="BC1058" s="270"/>
    </row>
    <row r="1059" spans="2:55" x14ac:dyDescent="0.25">
      <c r="B1059" s="470">
        <v>46163.298611111109</v>
      </c>
      <c r="C1059" s="263">
        <v>46163.640277777777</v>
      </c>
      <c r="D1059" s="477" cm="1">
        <f t="array" ref="D1059">IFERROR(HorasUteisFabrica2Turnos(B1059,C1059), "")</f>
        <v>7.2000000000116415</v>
      </c>
      <c r="E1059" s="478">
        <f t="shared" si="16"/>
        <v>711.11111110996137</v>
      </c>
      <c r="F1059" s="266" t="s">
        <v>378</v>
      </c>
      <c r="G1059" s="656" t="s">
        <v>1834</v>
      </c>
      <c r="H1059" s="479"/>
      <c r="I1059" s="268" t="s">
        <v>1833</v>
      </c>
      <c r="J1059" s="268" t="s">
        <v>15</v>
      </c>
      <c r="K1059" s="268">
        <v>5120</v>
      </c>
      <c r="L1059" s="269" t="s">
        <v>1273</v>
      </c>
      <c r="M1059" s="511" t="str">
        <f>IFERROR(INDEX([1]Produtos!$C:$C,MATCH(L1059,[1]Produtos!$B:$B,0)), "-")</f>
        <v>BODY SPLASH LEAO DO DESERTO BOURBON 200ml</v>
      </c>
      <c r="N1059" s="511">
        <f>IFERROR(INDEX([1]Produtos!$E:$E,MATCH(L1059,[1]Produtos!$B:$B,0)), "-")</f>
        <v>215</v>
      </c>
      <c r="O1059" s="483" t="str">
        <f>IFERROR(INDEX([1]Produtos!$F:$F,MATCH(L1059,[1]Produtos!$B:$B,0)), "-")</f>
        <v>ml</v>
      </c>
      <c r="P1059" s="477" t="str">
        <f>IFERROR(INDEX([1]Produtos!$G:$G,MATCH(L1059,[1]Produtos!$B:$B,0)), "-")</f>
        <v>MISS RÔSE</v>
      </c>
      <c r="Q1059" s="483" t="str">
        <f>IFERROR(INDEX([1]Produtos!$H:$H,MATCH(L1059,[1]Produtos!$B:$B,0)), "-")</f>
        <v>PERFUMARIA</v>
      </c>
      <c r="R1059" s="483" t="str">
        <f>IFERROR(INDEX([1]Produtos!$I:$I,MATCH(L1059,[1]Produtos!$B:$B,0)), "-")</f>
        <v>BODY SPLASH</v>
      </c>
      <c r="S1059" s="483" t="str">
        <f>IFERROR(INDEX([1]Produtos!$J:$J,MATCH(L1059,[1]Produtos!$B:$B,0)), "-")</f>
        <v>LÍQUIDO</v>
      </c>
      <c r="T1059" s="484"/>
      <c r="U1059" s="483"/>
      <c r="V1059" s="483"/>
      <c r="W1059" s="483"/>
      <c r="X1059" s="483"/>
      <c r="Y1059" s="483"/>
      <c r="Z1059" s="483"/>
      <c r="AA1059" s="483"/>
      <c r="AB1059" s="483"/>
      <c r="AC1059" s="483"/>
      <c r="AD1059" s="483"/>
      <c r="AE1059" s="483"/>
      <c r="AF1059" s="483"/>
      <c r="AG1059" s="483"/>
      <c r="AH1059" s="483"/>
      <c r="AI1059" s="483"/>
      <c r="AJ1059" s="483"/>
      <c r="AK1059" s="483"/>
      <c r="AL1059" s="483"/>
      <c r="AM1059" s="670">
        <v>46163.291666666664</v>
      </c>
      <c r="AN1059" s="670">
        <v>46163.295138888891</v>
      </c>
      <c r="AO1059" s="711">
        <f>IF(OR(Table1[[#This Row],[Início Setup Envase]]="",Table1[[#This Row],[Final Setup Envase]]=""),"",Table1[[#This Row],[Final Setup Envase]]-Table1[[#This Row],[Início Setup Envase]])</f>
        <v>3.4722222262644209E-3</v>
      </c>
      <c r="AP1059" s="670">
        <v>46163.333333333336</v>
      </c>
      <c r="AQ1059" s="670">
        <v>46163.340277777781</v>
      </c>
      <c r="AR1059" s="483" t="s">
        <v>1773</v>
      </c>
      <c r="AS1059" s="483">
        <v>46163.611111111109</v>
      </c>
      <c r="AT1059" s="483">
        <v>46163.617361111108</v>
      </c>
      <c r="AU1059" s="483" t="s">
        <v>1828</v>
      </c>
      <c r="AV1059" s="483"/>
      <c r="AW1059" s="483"/>
      <c r="AX1059" s="483"/>
      <c r="AY1059" s="270"/>
      <c r="AZ1059" s="270"/>
      <c r="BA1059" s="270">
        <f>IF(Table1[[#This Row],[Data de Início]]="","",YEAR(Table1[[#This Row],[Data de Início]]))</f>
        <v>2026</v>
      </c>
      <c r="BB1059" s="270">
        <f>IF(Table1[[#This Row],[Data de Início]]="","",MONTH(Table1[[#This Row],[Data de Início]]))</f>
        <v>5</v>
      </c>
      <c r="BC1059" s="483"/>
    </row>
    <row r="1060" spans="2:55" x14ac:dyDescent="0.25">
      <c r="B1060" s="470">
        <v>46163.611111111109</v>
      </c>
      <c r="C1060" s="263">
        <v>46164.4375</v>
      </c>
      <c r="D1060" s="264" cm="1">
        <f t="array" ref="D1060">IFERROR(HorasUteisFabrica2Turnos(B1060,C1060), "")</f>
        <v>5.8333333334885538</v>
      </c>
      <c r="E1060" s="265">
        <f t="shared" si="16"/>
        <v>748.79999998007497</v>
      </c>
      <c r="F1060" s="266" t="s">
        <v>377</v>
      </c>
      <c r="G1060" s="699" t="s">
        <v>1817</v>
      </c>
      <c r="H1060" s="266"/>
      <c r="I1060" s="267" t="s">
        <v>1882</v>
      </c>
      <c r="J1060" s="268" t="s">
        <v>15</v>
      </c>
      <c r="K1060" s="268">
        <v>4368</v>
      </c>
      <c r="L1060" s="269" t="s">
        <v>1876</v>
      </c>
      <c r="M1060" s="510" t="str">
        <f>IFERROR(INDEX([1]Produtos!$C:$C,MATCH(L1060,[1]Produtos!$B:$B,0)), "-")</f>
        <v>BODY SPLASH OUD NIGHT 200ML</v>
      </c>
      <c r="N1060" s="510">
        <f>IFERROR(INDEX([1]Produtos!$E:$E,MATCH(L1060,[1]Produtos!$B:$B,0)), "-")</f>
        <v>200</v>
      </c>
      <c r="O1060" s="270" t="str">
        <f>IFERROR(INDEX([1]Produtos!$F:$F,MATCH(L1060,[1]Produtos!$B:$B,0)), "-")</f>
        <v>ml</v>
      </c>
      <c r="P1060" s="264" t="str">
        <f>IFERROR(INDEX([1]Produtos!$G:$G,MATCH(L1060,[1]Produtos!$B:$B,0)), "-")</f>
        <v>FEBELLA BEAUTY</v>
      </c>
      <c r="Q1060" s="270" t="str">
        <f>IFERROR(INDEX([1]Produtos!$H:$H,MATCH(L1060,[1]Produtos!$B:$B,0)), "-")</f>
        <v>PERFUMARIA</v>
      </c>
      <c r="R1060" s="270" t="str">
        <f>IFERROR(INDEX([1]Produtos!$I:$I,MATCH(L1060,[1]Produtos!$B:$B,0)), "-")</f>
        <v>BODY SPLASH</v>
      </c>
      <c r="S1060" s="270" t="str">
        <f>IFERROR(INDEX([1]Produtos!$J:$J,MATCH(L1060,[1]Produtos!$B:$B,0)), "-")</f>
        <v>LÍQUIDO</v>
      </c>
      <c r="T1060" s="475"/>
      <c r="U1060" s="270"/>
      <c r="V1060" s="270"/>
      <c r="W1060" s="270"/>
      <c r="X1060" s="270"/>
      <c r="Y1060" s="270"/>
      <c r="Z1060" s="270"/>
      <c r="AA1060" s="270"/>
      <c r="AB1060" s="270"/>
      <c r="AC1060" s="270"/>
      <c r="AD1060" s="270"/>
      <c r="AE1060" s="270"/>
      <c r="AF1060" s="270"/>
      <c r="AG1060" s="270"/>
      <c r="AH1060" s="270"/>
      <c r="AI1060" s="270"/>
      <c r="AJ1060" s="270"/>
      <c r="AK1060" s="270"/>
      <c r="AL1060" s="270"/>
      <c r="AM1060" s="663">
        <v>46163.5625</v>
      </c>
      <c r="AN1060" s="663">
        <v>46163.611111111109</v>
      </c>
      <c r="AO1060" s="708">
        <f>IF(OR(Table1[[#This Row],[Início Setup Envase]]="",Table1[[#This Row],[Final Setup Envase]]=""),"",Table1[[#This Row],[Final Setup Envase]]-Table1[[#This Row],[Início Setup Envase]])</f>
        <v>4.8611111109494232E-2</v>
      </c>
      <c r="AP1060" s="663">
        <v>46163.5625</v>
      </c>
      <c r="AQ1060" s="663">
        <v>46163.611111111109</v>
      </c>
      <c r="AR1060" s="270" t="s">
        <v>1828</v>
      </c>
      <c r="AS1060" s="674">
        <v>46163.625</v>
      </c>
      <c r="AT1060" s="674">
        <v>46163.627083333333</v>
      </c>
      <c r="AU1060" s="270" t="s">
        <v>1828</v>
      </c>
      <c r="AV1060" s="674">
        <v>46163.642361111109</v>
      </c>
      <c r="AW1060" s="674">
        <v>46163.647222222222</v>
      </c>
      <c r="AX1060" s="270" t="s">
        <v>1828</v>
      </c>
      <c r="AY1060" s="674">
        <v>46164.4375</v>
      </c>
      <c r="AZ1060" s="270"/>
      <c r="BA1060" s="270">
        <f>IF(Table1[[#This Row],[Data de Início]]="","",YEAR(Table1[[#This Row],[Data de Início]]))</f>
        <v>2026</v>
      </c>
      <c r="BB1060" s="270">
        <f>IF(Table1[[#This Row],[Data de Início]]="","",MONTH(Table1[[#This Row],[Data de Início]]))</f>
        <v>5</v>
      </c>
      <c r="BC1060" s="270"/>
    </row>
    <row r="1061" spans="2:55" x14ac:dyDescent="0.25">
      <c r="B1061" s="470">
        <v>46163.672222222223</v>
      </c>
      <c r="C1061" s="263">
        <v>46164.583333333336</v>
      </c>
      <c r="D1061" s="477" cm="1">
        <f t="array" ref="D1061">IFERROR(HorasUteisFabrica2Turnos(B1061,C1061), "")</f>
        <v>6.8666666668141261</v>
      </c>
      <c r="E1061" s="478">
        <f t="shared" si="16"/>
        <v>754.95145629446722</v>
      </c>
      <c r="F1061" s="266" t="s">
        <v>378</v>
      </c>
      <c r="G1061" s="673" t="s">
        <v>1834</v>
      </c>
      <c r="H1061" s="479"/>
      <c r="I1061" s="267" t="s">
        <v>1879</v>
      </c>
      <c r="J1061" s="268" t="s">
        <v>15</v>
      </c>
      <c r="K1061" s="268">
        <v>5184</v>
      </c>
      <c r="L1061" s="269" t="s">
        <v>1273</v>
      </c>
      <c r="M1061" s="511" t="str">
        <f>IFERROR(INDEX([1]Produtos!$C:$C,MATCH(L1061,[1]Produtos!$B:$B,0)), "-")</f>
        <v>BODY SPLASH LEAO DO DESERTO BOURBON 200ml</v>
      </c>
      <c r="N1061" s="511">
        <f>IFERROR(INDEX([1]Produtos!$E:$E,MATCH(L1061,[1]Produtos!$B:$B,0)), "-")</f>
        <v>215</v>
      </c>
      <c r="O1061" s="483" t="str">
        <f>IFERROR(INDEX([1]Produtos!$F:$F,MATCH(L1061,[1]Produtos!$B:$B,0)), "-")</f>
        <v>ml</v>
      </c>
      <c r="P1061" s="477" t="str">
        <f>IFERROR(INDEX([1]Produtos!$G:$G,MATCH(L1061,[1]Produtos!$B:$B,0)), "-")</f>
        <v>MISS RÔSE</v>
      </c>
      <c r="Q1061" s="483" t="str">
        <f>IFERROR(INDEX([1]Produtos!$H:$H,MATCH(L1061,[1]Produtos!$B:$B,0)), "-")</f>
        <v>PERFUMARIA</v>
      </c>
      <c r="R1061" s="483" t="str">
        <f>IFERROR(INDEX([1]Produtos!$I:$I,MATCH(L1061,[1]Produtos!$B:$B,0)), "-")</f>
        <v>BODY SPLASH</v>
      </c>
      <c r="S1061" s="483" t="str">
        <f>IFERROR(INDEX([1]Produtos!$J:$J,MATCH(L1061,[1]Produtos!$B:$B,0)), "-")</f>
        <v>LÍQUIDO</v>
      </c>
      <c r="T1061" s="484"/>
      <c r="U1061" s="483"/>
      <c r="V1061" s="483"/>
      <c r="W1061" s="483"/>
      <c r="X1061" s="483"/>
      <c r="Y1061" s="483"/>
      <c r="Z1061" s="483"/>
      <c r="AA1061" s="483"/>
      <c r="AB1061" s="483"/>
      <c r="AC1061" s="483"/>
      <c r="AD1061" s="483"/>
      <c r="AE1061" s="483"/>
      <c r="AF1061" s="483"/>
      <c r="AG1061" s="483"/>
      <c r="AH1061" s="483"/>
      <c r="AI1061" s="483"/>
      <c r="AJ1061" s="483"/>
      <c r="AK1061" s="483"/>
      <c r="AL1061" s="483"/>
      <c r="AM1061" s="670">
        <v>46163.640277777777</v>
      </c>
      <c r="AN1061" s="670">
        <v>46163.645833333336</v>
      </c>
      <c r="AO1061" s="711">
        <f>IF(OR(Table1[[#This Row],[Início Setup Envase]]="",Table1[[#This Row],[Final Setup Envase]]=""),"",Table1[[#This Row],[Final Setup Envase]]-Table1[[#This Row],[Início Setup Envase]])</f>
        <v>5.5555555591126904E-3</v>
      </c>
      <c r="AP1061" s="670">
        <v>46163.640277777777</v>
      </c>
      <c r="AQ1061" s="670">
        <v>46163.672222222223</v>
      </c>
      <c r="AR1061" s="483" t="s">
        <v>1828</v>
      </c>
      <c r="AS1061" s="622">
        <v>46163.640277777777</v>
      </c>
      <c r="AT1061" s="622">
        <v>46163.672222222223</v>
      </c>
      <c r="AU1061" s="483" t="s">
        <v>1880</v>
      </c>
      <c r="AV1061" s="622">
        <v>46163.569444444445</v>
      </c>
      <c r="AW1061" s="622">
        <v>46163.572916666664</v>
      </c>
      <c r="AX1061" s="483" t="s">
        <v>1828</v>
      </c>
      <c r="AY1061" s="270"/>
      <c r="AZ1061" s="270"/>
      <c r="BA1061" s="270">
        <f>IF(Table1[[#This Row],[Data de Início]]="","",YEAR(Table1[[#This Row],[Data de Início]]))</f>
        <v>2026</v>
      </c>
      <c r="BB1061" s="270">
        <f>IF(Table1[[#This Row],[Data de Início]]="","",MONTH(Table1[[#This Row],[Data de Início]]))</f>
        <v>5</v>
      </c>
      <c r="BC1061" s="483"/>
    </row>
    <row r="1062" spans="2:55" x14ac:dyDescent="0.25">
      <c r="B1062" s="470">
        <v>46164.477777777778</v>
      </c>
      <c r="C1062" s="263">
        <v>46167.336111111108</v>
      </c>
      <c r="D1062" s="264" cm="1">
        <f t="array" ref="D1062">IFERROR(HorasUteisFabrica2Turnos(B1062,C1062), "")</f>
        <v>4.5999999999185093</v>
      </c>
      <c r="E1062" s="265">
        <f t="shared" si="16"/>
        <v>1095.6521739324535</v>
      </c>
      <c r="F1062" s="266" t="s">
        <v>377</v>
      </c>
      <c r="G1062" s="699" t="s">
        <v>1817</v>
      </c>
      <c r="H1062" s="266"/>
      <c r="I1062" s="267" t="s">
        <v>1875</v>
      </c>
      <c r="J1062" s="268" t="s">
        <v>15</v>
      </c>
      <c r="K1062" s="268">
        <v>5040</v>
      </c>
      <c r="L1062" s="269" t="s">
        <v>1876</v>
      </c>
      <c r="M1062" s="510" t="str">
        <f>IFERROR(INDEX([1]Produtos!$C:$C,MATCH(L1062,[1]Produtos!$B:$B,0)), "-")</f>
        <v>BODY SPLASH OUD NIGHT 200ML</v>
      </c>
      <c r="N1062" s="510">
        <f>IFERROR(INDEX([1]Produtos!$E:$E,MATCH(L1062,[1]Produtos!$B:$B,0)), "-")</f>
        <v>200</v>
      </c>
      <c r="O1062" s="270" t="str">
        <f>IFERROR(INDEX([1]Produtos!$F:$F,MATCH(L1062,[1]Produtos!$B:$B,0)), "-")</f>
        <v>ml</v>
      </c>
      <c r="P1062" s="264" t="str">
        <f>IFERROR(INDEX([1]Produtos!$G:$G,MATCH(L1062,[1]Produtos!$B:$B,0)), "-")</f>
        <v>FEBELLA BEAUTY</v>
      </c>
      <c r="Q1062" s="270" t="str">
        <f>IFERROR(INDEX([1]Produtos!$H:$H,MATCH(L1062,[1]Produtos!$B:$B,0)), "-")</f>
        <v>PERFUMARIA</v>
      </c>
      <c r="R1062" s="270" t="str">
        <f>IFERROR(INDEX([1]Produtos!$I:$I,MATCH(L1062,[1]Produtos!$B:$B,0)), "-")</f>
        <v>BODY SPLASH</v>
      </c>
      <c r="S1062" s="270" t="str">
        <f>IFERROR(INDEX([1]Produtos!$J:$J,MATCH(L1062,[1]Produtos!$B:$B,0)), "-")</f>
        <v>LÍQUIDO</v>
      </c>
      <c r="T1062" s="475"/>
      <c r="U1062" s="270"/>
      <c r="V1062" s="270"/>
      <c r="W1062" s="270"/>
      <c r="X1062" s="270"/>
      <c r="Y1062" s="270"/>
      <c r="Z1062" s="270"/>
      <c r="AA1062" s="270"/>
      <c r="AB1062" s="270"/>
      <c r="AC1062" s="270"/>
      <c r="AD1062" s="270"/>
      <c r="AE1062" s="270"/>
      <c r="AF1062" s="270"/>
      <c r="AG1062" s="270"/>
      <c r="AH1062" s="270"/>
      <c r="AI1062" s="270"/>
      <c r="AJ1062" s="270"/>
      <c r="AK1062" s="270"/>
      <c r="AL1062" s="270"/>
      <c r="AM1062" s="663">
        <v>46164.4375</v>
      </c>
      <c r="AN1062" s="663">
        <v>46164.440972222219</v>
      </c>
      <c r="AO1062" s="708">
        <f>IF(OR(Table1[[#This Row],[Início Setup Envase]]="",Table1[[#This Row],[Final Setup Envase]]=""),"",Table1[[#This Row],[Final Setup Envase]]-Table1[[#This Row],[Início Setup Envase]])</f>
        <v>3.4722222189884633E-3</v>
      </c>
      <c r="AP1062" s="663">
        <v>46167.4375</v>
      </c>
      <c r="AQ1062" s="663">
        <v>46167.477777777778</v>
      </c>
      <c r="AR1062" s="674" t="s">
        <v>1871</v>
      </c>
      <c r="AS1062" s="674">
        <v>46167.32916666667</v>
      </c>
      <c r="AT1062" s="270"/>
      <c r="AU1062" s="270" t="s">
        <v>1712</v>
      </c>
      <c r="AV1062" s="270"/>
      <c r="AW1062" s="270"/>
      <c r="AX1062" s="270"/>
      <c r="AY1062" s="270"/>
      <c r="AZ1062" s="270"/>
      <c r="BA1062" s="270">
        <f>IF(Table1[[#This Row],[Data de Início]]="","",YEAR(Table1[[#This Row],[Data de Início]]))</f>
        <v>2026</v>
      </c>
      <c r="BB1062" s="270">
        <f>IF(Table1[[#This Row],[Data de Início]]="","",MONTH(Table1[[#This Row],[Data de Início]]))</f>
        <v>5</v>
      </c>
      <c r="BC1062" s="270"/>
    </row>
    <row r="1063" spans="2:55" x14ac:dyDescent="0.25">
      <c r="B1063" s="470">
        <v>46164.618055555555</v>
      </c>
      <c r="C1063" s="263">
        <v>46167.493055555555</v>
      </c>
      <c r="D1063" s="477" cm="1">
        <f t="array" ref="D1063">IFERROR(HorasUteisFabrica2Turnos(B1063,C1063), "")</f>
        <v>6</v>
      </c>
      <c r="E1063" s="478">
        <f t="shared" si="16"/>
        <v>773.5</v>
      </c>
      <c r="F1063" s="266" t="s">
        <v>378</v>
      </c>
      <c r="G1063" s="673" t="s">
        <v>1834</v>
      </c>
      <c r="H1063" s="479"/>
      <c r="I1063" s="267" t="s">
        <v>1870</v>
      </c>
      <c r="J1063" s="268" t="s">
        <v>15</v>
      </c>
      <c r="K1063" s="268">
        <v>4641</v>
      </c>
      <c r="L1063" s="269" t="s">
        <v>1273</v>
      </c>
      <c r="M1063" s="511" t="str">
        <f>IFERROR(INDEX([1]Produtos!$C:$C,MATCH(L1063,[1]Produtos!$B:$B,0)), "-")</f>
        <v>BODY SPLASH LEAO DO DESERTO BOURBON 200ml</v>
      </c>
      <c r="N1063" s="511">
        <f>IFERROR(INDEX([1]Produtos!$E:$E,MATCH(L1063,[1]Produtos!$B:$B,0)), "-")</f>
        <v>215</v>
      </c>
      <c r="O1063" s="483" t="str">
        <f>IFERROR(INDEX([1]Produtos!$F:$F,MATCH(L1063,[1]Produtos!$B:$B,0)), "-")</f>
        <v>ml</v>
      </c>
      <c r="P1063" s="477" t="str">
        <f>IFERROR(INDEX([1]Produtos!$G:$G,MATCH(L1063,[1]Produtos!$B:$B,0)), "-")</f>
        <v>MISS RÔSE</v>
      </c>
      <c r="Q1063" s="483" t="str">
        <f>IFERROR(INDEX([1]Produtos!$H:$H,MATCH(L1063,[1]Produtos!$B:$B,0)), "-")</f>
        <v>PERFUMARIA</v>
      </c>
      <c r="R1063" s="483" t="str">
        <f>IFERROR(INDEX([1]Produtos!$I:$I,MATCH(L1063,[1]Produtos!$B:$B,0)), "-")</f>
        <v>BODY SPLASH</v>
      </c>
      <c r="S1063" s="483" t="str">
        <f>IFERROR(INDEX([1]Produtos!$J:$J,MATCH(L1063,[1]Produtos!$B:$B,0)), "-")</f>
        <v>LÍQUIDO</v>
      </c>
      <c r="T1063" s="484"/>
      <c r="U1063" s="483"/>
      <c r="V1063" s="483"/>
      <c r="W1063" s="483"/>
      <c r="X1063" s="483"/>
      <c r="Y1063" s="483"/>
      <c r="Z1063" s="483"/>
      <c r="AA1063" s="483"/>
      <c r="AB1063" s="483"/>
      <c r="AC1063" s="483"/>
      <c r="AD1063" s="483"/>
      <c r="AE1063" s="483"/>
      <c r="AF1063" s="483"/>
      <c r="AG1063" s="483"/>
      <c r="AH1063" s="483"/>
      <c r="AI1063" s="483"/>
      <c r="AJ1063" s="483"/>
      <c r="AK1063" s="483"/>
      <c r="AL1063" s="483"/>
      <c r="AM1063" s="670">
        <v>46164.584722222222</v>
      </c>
      <c r="AN1063" s="670">
        <v>46164.586805555555</v>
      </c>
      <c r="AO1063" s="711">
        <f>IF(OR(Table1[[#This Row],[Início Setup Envase]]="",Table1[[#This Row],[Final Setup Envase]]=""),"",Table1[[#This Row],[Final Setup Envase]]-Table1[[#This Row],[Início Setup Envase]])</f>
        <v>2.0833333328482695E-3</v>
      </c>
      <c r="AP1063" s="670">
        <v>46164.586805555555</v>
      </c>
      <c r="AQ1063" s="670">
        <v>46164.618055555555</v>
      </c>
      <c r="AR1063" s="483" t="s">
        <v>1871</v>
      </c>
      <c r="AS1063" s="483"/>
      <c r="AT1063" s="483"/>
      <c r="AU1063" s="483"/>
      <c r="AV1063" s="483"/>
      <c r="AW1063" s="483"/>
      <c r="AX1063" s="483"/>
      <c r="AY1063" s="270"/>
      <c r="AZ1063" s="270"/>
      <c r="BA1063" s="270">
        <f>IF(Table1[[#This Row],[Data de Início]]="","",YEAR(Table1[[#This Row],[Data de Início]]))</f>
        <v>2026</v>
      </c>
      <c r="BB1063" s="270">
        <f>IF(Table1[[#This Row],[Data de Início]]="","",MONTH(Table1[[#This Row],[Data de Início]]))</f>
        <v>5</v>
      </c>
      <c r="BC1063" s="483"/>
    </row>
    <row r="1064" spans="2:55" x14ac:dyDescent="0.25">
      <c r="B1064" s="470">
        <v>46167.340277777781</v>
      </c>
      <c r="C1064" s="263">
        <v>46167.347222222219</v>
      </c>
      <c r="D1064" s="264" cm="1">
        <f t="array" ref="D1064">IFERROR(HorasUteisFabrica2Turnos(B1064,C1064), "")</f>
        <v>0.16666666651144624</v>
      </c>
      <c r="E1064" s="697">
        <f t="shared" si="16"/>
        <v>1152.0000010728836</v>
      </c>
      <c r="F1064" s="266" t="s">
        <v>377</v>
      </c>
      <c r="G1064" s="699" t="s">
        <v>1817</v>
      </c>
      <c r="H1064" s="266"/>
      <c r="I1064" s="267" t="s">
        <v>1872</v>
      </c>
      <c r="J1064" s="268" t="s">
        <v>15</v>
      </c>
      <c r="K1064" s="268">
        <v>192</v>
      </c>
      <c r="L1064" s="269" t="s">
        <v>1874</v>
      </c>
      <c r="M1064" s="510" t="str">
        <f>IFERROR(INDEX([1]Produtos!$C:$C,MATCH(L1064,[1]Produtos!$B:$B,0)), "-")</f>
        <v>BODY SPLASH ROSE MIRAGE 200ML</v>
      </c>
      <c r="N1064" s="510">
        <f>IFERROR(INDEX([1]Produtos!$E:$E,MATCH(L1064,[1]Produtos!$B:$B,0)), "-")</f>
        <v>200</v>
      </c>
      <c r="O1064" s="270" t="str">
        <f>IFERROR(INDEX([1]Produtos!$F:$F,MATCH(L1064,[1]Produtos!$B:$B,0)), "-")</f>
        <v>ml</v>
      </c>
      <c r="P1064" s="264" t="str">
        <f>IFERROR(INDEX([1]Produtos!$G:$G,MATCH(L1064,[1]Produtos!$B:$B,0)), "-")</f>
        <v>FEBELLA BEAUTY</v>
      </c>
      <c r="Q1064" s="270" t="str">
        <f>IFERROR(INDEX([1]Produtos!$H:$H,MATCH(L1064,[1]Produtos!$B:$B,0)), "-")</f>
        <v>PERFUMARIA</v>
      </c>
      <c r="R1064" s="270" t="str">
        <f>IFERROR(INDEX([1]Produtos!$I:$I,MATCH(L1064,[1]Produtos!$B:$B,0)), "-")</f>
        <v>BODY SPLASH</v>
      </c>
      <c r="S1064" s="270" t="str">
        <f>IFERROR(INDEX([1]Produtos!$J:$J,MATCH(L1064,[1]Produtos!$B:$B,0)), "-")</f>
        <v>LÍQUIDO</v>
      </c>
      <c r="T1064" s="475"/>
      <c r="U1064" s="270"/>
      <c r="V1064" s="270"/>
      <c r="W1064" s="270"/>
      <c r="X1064" s="270"/>
      <c r="Y1064" s="270"/>
      <c r="Z1064" s="270"/>
      <c r="AA1064" s="270"/>
      <c r="AB1064" s="270"/>
      <c r="AC1064" s="270"/>
      <c r="AD1064" s="270"/>
      <c r="AE1064" s="270"/>
      <c r="AF1064" s="270"/>
      <c r="AG1064" s="270"/>
      <c r="AH1064" s="270"/>
      <c r="AI1064" s="270"/>
      <c r="AJ1064" s="270"/>
      <c r="AK1064" s="270"/>
      <c r="AL1064" s="270"/>
      <c r="AM1064" s="663">
        <v>46167.336805555555</v>
      </c>
      <c r="AN1064" s="663">
        <v>46167.340277777781</v>
      </c>
      <c r="AO1064" s="708">
        <f>IF(OR(Table1[[#This Row],[Início Setup Envase]]="",Table1[[#This Row],[Final Setup Envase]]=""),"",Table1[[#This Row],[Final Setup Envase]]-Table1[[#This Row],[Início Setup Envase]])</f>
        <v>3.4722222262644209E-3</v>
      </c>
      <c r="AP1064" s="663"/>
      <c r="AQ1064" s="663"/>
      <c r="AR1064" s="270"/>
      <c r="AS1064" s="674"/>
      <c r="AT1064" s="674"/>
      <c r="AU1064" s="270"/>
      <c r="AV1064" s="270"/>
      <c r="AW1064" s="270"/>
      <c r="AX1064" s="270"/>
      <c r="AY1064" s="270"/>
      <c r="AZ1064" s="270"/>
      <c r="BA1064" s="270">
        <f>IF(Table1[[#This Row],[Data de Início]]="","",YEAR(Table1[[#This Row],[Data de Início]]))</f>
        <v>2026</v>
      </c>
      <c r="BB1064" s="270">
        <f>IF(Table1[[#This Row],[Data de Início]]="","",MONTH(Table1[[#This Row],[Data de Início]]))</f>
        <v>5</v>
      </c>
      <c r="BC1064" s="270"/>
    </row>
    <row r="1065" spans="2:55" x14ac:dyDescent="0.25">
      <c r="B1065" s="470">
        <v>46167.379166666666</v>
      </c>
      <c r="C1065" s="263">
        <v>46167.674305555556</v>
      </c>
      <c r="D1065" s="477" cm="1">
        <f t="array" ref="D1065">IFERROR(HorasUteisFabrica2Turnos(B1065,C1065), "")</f>
        <v>6.0833333333721384</v>
      </c>
      <c r="E1065" s="654">
        <f t="shared" si="16"/>
        <v>812.71232876193903</v>
      </c>
      <c r="F1065" s="266" t="s">
        <v>377</v>
      </c>
      <c r="G1065" s="675" t="s">
        <v>1817</v>
      </c>
      <c r="H1065" s="479"/>
      <c r="I1065" s="267" t="s">
        <v>1877</v>
      </c>
      <c r="J1065" s="268" t="s">
        <v>15</v>
      </c>
      <c r="K1065" s="268">
        <v>4944</v>
      </c>
      <c r="L1065" s="269" t="s">
        <v>1874</v>
      </c>
      <c r="M1065" s="511" t="str">
        <f>IFERROR(INDEX([1]Produtos!$C:$C,MATCH(L1065,[1]Produtos!$B:$B,0)), "-")</f>
        <v>BODY SPLASH ROSE MIRAGE 200ML</v>
      </c>
      <c r="N1065" s="511">
        <f>IFERROR(INDEX([1]Produtos!$E:$E,MATCH(L1065,[1]Produtos!$B:$B,0)), "-")</f>
        <v>200</v>
      </c>
      <c r="O1065" s="483" t="str">
        <f>IFERROR(INDEX([1]Produtos!$F:$F,MATCH(L1065,[1]Produtos!$B:$B,0)), "-")</f>
        <v>ml</v>
      </c>
      <c r="P1065" s="477" t="str">
        <f>IFERROR(INDEX([1]Produtos!$G:$G,MATCH(L1065,[1]Produtos!$B:$B,0)), "-")</f>
        <v>FEBELLA BEAUTY</v>
      </c>
      <c r="Q1065" s="483" t="str">
        <f>IFERROR(INDEX([1]Produtos!$H:$H,MATCH(L1065,[1]Produtos!$B:$B,0)), "-")</f>
        <v>PERFUMARIA</v>
      </c>
      <c r="R1065" s="483" t="str">
        <f>IFERROR(INDEX([1]Produtos!$I:$I,MATCH(L1065,[1]Produtos!$B:$B,0)), "-")</f>
        <v>BODY SPLASH</v>
      </c>
      <c r="S1065" s="483" t="str">
        <f>IFERROR(INDEX([1]Produtos!$J:$J,MATCH(L1065,[1]Produtos!$B:$B,0)), "-")</f>
        <v>LÍQUIDO</v>
      </c>
      <c r="T1065" s="484"/>
      <c r="U1065" s="483"/>
      <c r="V1065" s="483"/>
      <c r="W1065" s="483"/>
      <c r="X1065" s="483"/>
      <c r="Y1065" s="483"/>
      <c r="Z1065" s="483"/>
      <c r="AA1065" s="483"/>
      <c r="AB1065" s="483"/>
      <c r="AC1065" s="483"/>
      <c r="AD1065" s="483"/>
      <c r="AE1065" s="483"/>
      <c r="AF1065" s="483"/>
      <c r="AG1065" s="483"/>
      <c r="AH1065" s="483"/>
      <c r="AI1065" s="483"/>
      <c r="AJ1065" s="483"/>
      <c r="AK1065" s="483"/>
      <c r="AL1065" s="483"/>
      <c r="AM1065" s="670">
        <v>46167.375</v>
      </c>
      <c r="AN1065" s="670">
        <v>46167.378472222219</v>
      </c>
      <c r="AO1065" s="711">
        <f>IF(OR(Table1[[#This Row],[Início Setup Envase]]="",Table1[[#This Row],[Final Setup Envase]]=""),"",Table1[[#This Row],[Final Setup Envase]]-Table1[[#This Row],[Início Setup Envase]])</f>
        <v>3.4722222189884633E-3</v>
      </c>
      <c r="AP1065" s="670">
        <v>46167.347222222219</v>
      </c>
      <c r="AQ1065" s="670">
        <v>46167.379166666666</v>
      </c>
      <c r="AR1065" s="622" t="s">
        <v>1871</v>
      </c>
      <c r="AS1065" s="622">
        <v>46167.479861111111</v>
      </c>
      <c r="AT1065" s="622">
        <v>46167.541666666664</v>
      </c>
      <c r="AU1065" s="483" t="s">
        <v>1813</v>
      </c>
      <c r="AV1065" s="622">
        <v>46167.480555555558</v>
      </c>
      <c r="AW1065" s="622">
        <v>46167.541666666664</v>
      </c>
      <c r="AX1065" s="483" t="s">
        <v>1878</v>
      </c>
      <c r="AY1065" s="270"/>
      <c r="AZ1065" s="270"/>
      <c r="BA1065" s="270">
        <f>IF(Table1[[#This Row],[Data de Início]]="","",YEAR(Table1[[#This Row],[Data de Início]]))</f>
        <v>2026</v>
      </c>
      <c r="BB1065" s="270">
        <f>IF(Table1[[#This Row],[Data de Início]]="","",MONTH(Table1[[#This Row],[Data de Início]]))</f>
        <v>5</v>
      </c>
      <c r="BC1065" s="483"/>
    </row>
    <row r="1066" spans="2:55" x14ac:dyDescent="0.25">
      <c r="B1066" s="470">
        <v>46167.496527777781</v>
      </c>
      <c r="C1066" s="263">
        <v>46168.352777777778</v>
      </c>
      <c r="D1066" s="264" cm="1">
        <f t="array" ref="D1066">IFERROR(HorasUteisFabrica2Turnos(B1066,C1066), "")</f>
        <v>5.5500000000465661</v>
      </c>
      <c r="E1066" s="265">
        <f t="shared" si="16"/>
        <v>821.62162161472793</v>
      </c>
      <c r="F1066" s="266" t="s">
        <v>378</v>
      </c>
      <c r="G1066" s="266" t="s">
        <v>1834</v>
      </c>
      <c r="H1066" s="266"/>
      <c r="I1066" s="268" t="s">
        <v>1889</v>
      </c>
      <c r="J1066" s="268" t="s">
        <v>15</v>
      </c>
      <c r="K1066" s="268">
        <v>4560</v>
      </c>
      <c r="L1066" s="269" t="s">
        <v>1273</v>
      </c>
      <c r="M1066" s="510" t="str">
        <f>IFERROR(INDEX([1]Produtos!$C:$C,MATCH(L1066,[1]Produtos!$B:$B,0)), "-")</f>
        <v>BODY SPLASH LEAO DO DESERTO BOURBON 200ml</v>
      </c>
      <c r="N1066" s="510">
        <f>IFERROR(INDEX([1]Produtos!$E:$E,MATCH(L1066,[1]Produtos!$B:$B,0)), "-")</f>
        <v>215</v>
      </c>
      <c r="O1066" s="270" t="str">
        <f>IFERROR(INDEX([1]Produtos!$F:$F,MATCH(L1066,[1]Produtos!$B:$B,0)), "-")</f>
        <v>ml</v>
      </c>
      <c r="P1066" s="264" t="str">
        <f>IFERROR(INDEX([1]Produtos!$G:$G,MATCH(L1066,[1]Produtos!$B:$B,0)), "-")</f>
        <v>MISS RÔSE</v>
      </c>
      <c r="Q1066" s="270" t="str">
        <f>IFERROR(INDEX([1]Produtos!$H:$H,MATCH(L1066,[1]Produtos!$B:$B,0)), "-")</f>
        <v>PERFUMARIA</v>
      </c>
      <c r="R1066" s="270" t="str">
        <f>IFERROR(INDEX([1]Produtos!$I:$I,MATCH(L1066,[1]Produtos!$B:$B,0)), "-")</f>
        <v>BODY SPLASH</v>
      </c>
      <c r="S1066" s="270" t="str">
        <f>IFERROR(INDEX([1]Produtos!$J:$J,MATCH(L1066,[1]Produtos!$B:$B,0)), "-")</f>
        <v>LÍQUIDO</v>
      </c>
      <c r="T1066" s="475"/>
      <c r="U1066" s="270"/>
      <c r="V1066" s="270"/>
      <c r="W1066" s="270"/>
      <c r="X1066" s="270">
        <v>37</v>
      </c>
      <c r="Y1066" s="270"/>
      <c r="Z1066" s="270"/>
      <c r="AA1066" s="270"/>
      <c r="AB1066" s="270"/>
      <c r="AC1066" s="270"/>
      <c r="AD1066" s="270"/>
      <c r="AE1066" s="270"/>
      <c r="AF1066" s="270"/>
      <c r="AG1066" s="270"/>
      <c r="AH1066" s="270"/>
      <c r="AI1066" s="270"/>
      <c r="AJ1066" s="270"/>
      <c r="AK1066" s="270"/>
      <c r="AL1066" s="270"/>
      <c r="AM1066" s="663">
        <v>46167.493055555555</v>
      </c>
      <c r="AN1066" s="663">
        <v>46167.494444444441</v>
      </c>
      <c r="AO1066" s="708">
        <f>IF(OR(Table1[[#This Row],[Início Setup Envase]]="",Table1[[#This Row],[Final Setup Envase]]=""),"",Table1[[#This Row],[Final Setup Envase]]-Table1[[#This Row],[Início Setup Envase]])</f>
        <v>1.3888888861401938E-3</v>
      </c>
      <c r="AP1066" s="663">
        <v>46168.333333333336</v>
      </c>
      <c r="AQ1066" s="663"/>
      <c r="AR1066" s="270" t="s">
        <v>1890</v>
      </c>
      <c r="AS1066" s="270"/>
      <c r="AT1066" s="270"/>
      <c r="AU1066" s="270"/>
      <c r="AV1066" s="270"/>
      <c r="AW1066" s="270"/>
      <c r="AX1066" s="270"/>
      <c r="AY1066" s="270"/>
      <c r="AZ1066" s="270"/>
      <c r="BA1066" s="270">
        <f>IF(Table1[[#This Row],[Data de Início]]="","",YEAR(Table1[[#This Row],[Data de Início]]))</f>
        <v>2026</v>
      </c>
      <c r="BB1066" s="270">
        <f>IF(Table1[[#This Row],[Data de Início]]="","",MONTH(Table1[[#This Row],[Data de Início]]))</f>
        <v>5</v>
      </c>
      <c r="BC1066" s="270"/>
    </row>
    <row r="1067" spans="2:55" x14ac:dyDescent="0.25">
      <c r="B1067" s="470">
        <v>46167.674305555556</v>
      </c>
      <c r="C1067" s="263">
        <v>46168.435416666667</v>
      </c>
      <c r="D1067" s="477" cm="1">
        <f t="array" ref="D1067">IFERROR(HorasUteisFabrica2Turnos(B1067,C1067), "")</f>
        <v>4.2666666667792015</v>
      </c>
      <c r="E1067" s="478">
        <f t="shared" si="16"/>
        <v>896.95312497634256</v>
      </c>
      <c r="F1067" s="266" t="s">
        <v>377</v>
      </c>
      <c r="G1067" s="656" t="s">
        <v>1817</v>
      </c>
      <c r="H1067" s="479"/>
      <c r="I1067" s="268" t="s">
        <v>1899</v>
      </c>
      <c r="J1067" s="268" t="s">
        <v>15</v>
      </c>
      <c r="K1067" s="268">
        <v>3827</v>
      </c>
      <c r="L1067" s="269" t="s">
        <v>1874</v>
      </c>
      <c r="M1067" s="511" t="str">
        <f>IFERROR(INDEX([1]Produtos!$C:$C,MATCH(L1067,[1]Produtos!$B:$B,0)), "-")</f>
        <v>BODY SPLASH ROSE MIRAGE 200ML</v>
      </c>
      <c r="N1067" s="511">
        <f>IFERROR(INDEX([1]Produtos!$E:$E,MATCH(L1067,[1]Produtos!$B:$B,0)), "-")</f>
        <v>200</v>
      </c>
      <c r="O1067" s="483" t="str">
        <f>IFERROR(INDEX([1]Produtos!$F:$F,MATCH(L1067,[1]Produtos!$B:$B,0)), "-")</f>
        <v>ml</v>
      </c>
      <c r="P1067" s="477" t="str">
        <f>IFERROR(INDEX([1]Produtos!$G:$G,MATCH(L1067,[1]Produtos!$B:$B,0)), "-")</f>
        <v>FEBELLA BEAUTY</v>
      </c>
      <c r="Q1067" s="483" t="str">
        <f>IFERROR(INDEX([1]Produtos!$H:$H,MATCH(L1067,[1]Produtos!$B:$B,0)), "-")</f>
        <v>PERFUMARIA</v>
      </c>
      <c r="R1067" s="483" t="str">
        <f>IFERROR(INDEX([1]Produtos!$I:$I,MATCH(L1067,[1]Produtos!$B:$B,0)), "-")</f>
        <v>BODY SPLASH</v>
      </c>
      <c r="S1067" s="483" t="str">
        <f>IFERROR(INDEX([1]Produtos!$J:$J,MATCH(L1067,[1]Produtos!$B:$B,0)), "-")</f>
        <v>LÍQUIDO</v>
      </c>
      <c r="T1067" s="484"/>
      <c r="U1067" s="483"/>
      <c r="V1067" s="483"/>
      <c r="W1067" s="483"/>
      <c r="X1067" s="483"/>
      <c r="Y1067" s="483"/>
      <c r="Z1067" s="483"/>
      <c r="AA1067" s="483"/>
      <c r="AB1067" s="483"/>
      <c r="AC1067" s="483"/>
      <c r="AD1067" s="483"/>
      <c r="AE1067" s="483"/>
      <c r="AF1067" s="483"/>
      <c r="AG1067" s="483"/>
      <c r="AH1067" s="483"/>
      <c r="AI1067" s="483"/>
      <c r="AJ1067" s="483"/>
      <c r="AK1067" s="483"/>
      <c r="AL1067" s="483"/>
      <c r="AM1067" s="670">
        <v>46167.673611111109</v>
      </c>
      <c r="AN1067" s="670">
        <v>46167.674305555556</v>
      </c>
      <c r="AO1067" s="711">
        <f>IF(OR(Table1[[#This Row],[Início Setup Envase]]="",Table1[[#This Row],[Final Setup Envase]]=""),"",Table1[[#This Row],[Final Setup Envase]]-Table1[[#This Row],[Início Setup Envase]])</f>
        <v>6.944444467080757E-4</v>
      </c>
      <c r="AP1067" s="670">
        <v>46168.30972222222</v>
      </c>
      <c r="AQ1067" s="670">
        <v>46168.314583333333</v>
      </c>
      <c r="AR1067" s="483" t="s">
        <v>1828</v>
      </c>
      <c r="AS1067" s="483">
        <v>46168.367361111108</v>
      </c>
      <c r="AT1067" s="483"/>
      <c r="AU1067" s="483" t="s">
        <v>1773</v>
      </c>
      <c r="AV1067" s="483"/>
      <c r="AW1067" s="483"/>
      <c r="AX1067" s="483"/>
      <c r="AY1067" s="270"/>
      <c r="AZ1067" s="270"/>
      <c r="BA1067" s="270">
        <f>IF(Table1[[#This Row],[Data de Início]]="","",YEAR(Table1[[#This Row],[Data de Início]]))</f>
        <v>2026</v>
      </c>
      <c r="BB1067" s="270">
        <f>IF(Table1[[#This Row],[Data de Início]]="","",MONTH(Table1[[#This Row],[Data de Início]]))</f>
        <v>5</v>
      </c>
      <c r="BC1067" s="483"/>
    </row>
    <row r="1068" spans="2:55" x14ac:dyDescent="0.25">
      <c r="B1068" s="470">
        <v>46168.352777777778</v>
      </c>
      <c r="C1068" s="263">
        <v>46168.444444444445</v>
      </c>
      <c r="D1068" s="264" cm="1">
        <f t="array" ref="D1068">IFERROR(HorasUteisFabrica2Turnos(B1068,C1068), "")</f>
        <v>2.2000000000116415</v>
      </c>
      <c r="E1068" s="265">
        <f t="shared" si="16"/>
        <v>718.63636363256091</v>
      </c>
      <c r="F1068" s="266" t="s">
        <v>378</v>
      </c>
      <c r="G1068" s="266" t="s">
        <v>1834</v>
      </c>
      <c r="H1068" s="266"/>
      <c r="I1068" s="268" t="s">
        <v>1891</v>
      </c>
      <c r="J1068" s="268" t="s">
        <v>15</v>
      </c>
      <c r="K1068" s="268">
        <v>1581</v>
      </c>
      <c r="L1068" s="269" t="s">
        <v>1273</v>
      </c>
      <c r="M1068" s="510" t="str">
        <f>IFERROR(INDEX([1]Produtos!$C:$C,MATCH(L1068,[1]Produtos!$B:$B,0)), "-")</f>
        <v>BODY SPLASH LEAO DO DESERTO BOURBON 200ml</v>
      </c>
      <c r="N1068" s="510">
        <f>IFERROR(INDEX([1]Produtos!$E:$E,MATCH(L1068,[1]Produtos!$B:$B,0)), "-")</f>
        <v>215</v>
      </c>
      <c r="O1068" s="270" t="str">
        <f>IFERROR(INDEX([1]Produtos!$F:$F,MATCH(L1068,[1]Produtos!$B:$B,0)), "-")</f>
        <v>ml</v>
      </c>
      <c r="P1068" s="264" t="str">
        <f>IFERROR(INDEX([1]Produtos!$G:$G,MATCH(L1068,[1]Produtos!$B:$B,0)), "-")</f>
        <v>MISS RÔSE</v>
      </c>
      <c r="Q1068" s="270" t="str">
        <f>IFERROR(INDEX([1]Produtos!$H:$H,MATCH(L1068,[1]Produtos!$B:$B,0)), "-")</f>
        <v>PERFUMARIA</v>
      </c>
      <c r="R1068" s="270" t="str">
        <f>IFERROR(INDEX([1]Produtos!$I:$I,MATCH(L1068,[1]Produtos!$B:$B,0)), "-")</f>
        <v>BODY SPLASH</v>
      </c>
      <c r="S1068" s="270" t="str">
        <f>IFERROR(INDEX([1]Produtos!$J:$J,MATCH(L1068,[1]Produtos!$B:$B,0)), "-")</f>
        <v>LÍQUIDO</v>
      </c>
      <c r="T1068" s="475"/>
      <c r="U1068" s="270"/>
      <c r="V1068" s="270"/>
      <c r="W1068" s="270"/>
      <c r="X1068" s="270"/>
      <c r="Y1068" s="270"/>
      <c r="Z1068" s="270"/>
      <c r="AA1068" s="270"/>
      <c r="AB1068" s="270"/>
      <c r="AC1068" s="270"/>
      <c r="AD1068" s="270"/>
      <c r="AE1068" s="270"/>
      <c r="AF1068" s="270"/>
      <c r="AG1068" s="270"/>
      <c r="AH1068" s="270"/>
      <c r="AI1068" s="270"/>
      <c r="AJ1068" s="270"/>
      <c r="AK1068" s="270"/>
      <c r="AL1068" s="270"/>
      <c r="AM1068" s="663">
        <v>46168.347222222219</v>
      </c>
      <c r="AN1068" s="663">
        <v>46168.352083333331</v>
      </c>
      <c r="AO1068" s="708">
        <f>IF(OR(Table1[[#This Row],[Início Setup Envase]]="",Table1[[#This Row],[Final Setup Envase]]=""),"",Table1[[#This Row],[Final Setup Envase]]-Table1[[#This Row],[Início Setup Envase]])</f>
        <v>4.8611111124046147E-3</v>
      </c>
      <c r="AP1068" s="663"/>
      <c r="AQ1068" s="663"/>
      <c r="AR1068" s="270"/>
      <c r="AS1068" s="270"/>
      <c r="AT1068" s="270"/>
      <c r="AU1068" s="270"/>
      <c r="AV1068" s="270"/>
      <c r="AW1068" s="270"/>
      <c r="AX1068" s="270"/>
      <c r="AY1068" s="270"/>
      <c r="AZ1068" s="270"/>
      <c r="BA1068" s="270">
        <f>IF(Table1[[#This Row],[Data de Início]]="","",YEAR(Table1[[#This Row],[Data de Início]]))</f>
        <v>2026</v>
      </c>
      <c r="BB1068" s="270">
        <f>IF(Table1[[#This Row],[Data de Início]]="","",MONTH(Table1[[#This Row],[Data de Início]]))</f>
        <v>5</v>
      </c>
      <c r="BC1068" s="270"/>
    </row>
    <row r="1069" spans="2:55" x14ac:dyDescent="0.25">
      <c r="B1069" s="470">
        <v>46168.459027777775</v>
      </c>
      <c r="C1069" s="263">
        <v>46168.704861111109</v>
      </c>
      <c r="D1069" s="477" cm="1">
        <f t="array" ref="D1069">IFERROR(HorasUteisFabrica2Turnos(B1069,C1069), "")</f>
        <v>4.9000000000232831</v>
      </c>
      <c r="E1069" s="478">
        <f t="shared" si="16"/>
        <v>920.81632652623682</v>
      </c>
      <c r="F1069" s="266" t="s">
        <v>378</v>
      </c>
      <c r="G1069" s="656" t="s">
        <v>1834</v>
      </c>
      <c r="H1069" s="479"/>
      <c r="I1069" s="268" t="s">
        <v>1886</v>
      </c>
      <c r="J1069" s="268" t="s">
        <v>15</v>
      </c>
      <c r="K1069" s="268">
        <v>4512</v>
      </c>
      <c r="L1069" s="269" t="s">
        <v>1281</v>
      </c>
      <c r="M1069" s="511" t="str">
        <f>IFERROR(INDEX([1]Produtos!$C:$C,MATCH(L1069,[1]Produtos!$B:$B,0)), "-")</f>
        <v>BODY SPLASH CEU INFINITO 200ml</v>
      </c>
      <c r="N1069" s="511">
        <f>IFERROR(INDEX([1]Produtos!$E:$E,MATCH(L1069,[1]Produtos!$B:$B,0)), "-")</f>
        <v>215</v>
      </c>
      <c r="O1069" s="483" t="str">
        <f>IFERROR(INDEX([1]Produtos!$F:$F,MATCH(L1069,[1]Produtos!$B:$B,0)), "-")</f>
        <v>ml</v>
      </c>
      <c r="P1069" s="477" t="str">
        <f>IFERROR(INDEX([1]Produtos!$G:$G,MATCH(L1069,[1]Produtos!$B:$B,0)), "-")</f>
        <v>MISS RÔSE</v>
      </c>
      <c r="Q1069" s="483" t="str">
        <f>IFERROR(INDEX([1]Produtos!$H:$H,MATCH(L1069,[1]Produtos!$B:$B,0)), "-")</f>
        <v>PERFUMARIA</v>
      </c>
      <c r="R1069" s="483" t="str">
        <f>IFERROR(INDEX([1]Produtos!$I:$I,MATCH(L1069,[1]Produtos!$B:$B,0)), "-")</f>
        <v>BODY SPLASH</v>
      </c>
      <c r="S1069" s="483" t="str">
        <f>IFERROR(INDEX([1]Produtos!$J:$J,MATCH(L1069,[1]Produtos!$B:$B,0)), "-")</f>
        <v>LÍQUIDO</v>
      </c>
      <c r="T1069" s="484"/>
      <c r="U1069" s="483"/>
      <c r="V1069" s="483"/>
      <c r="W1069" s="483"/>
      <c r="X1069" s="483"/>
      <c r="Y1069" s="483"/>
      <c r="Z1069" s="483"/>
      <c r="AA1069" s="483"/>
      <c r="AB1069" s="483"/>
      <c r="AC1069" s="483"/>
      <c r="AD1069" s="483"/>
      <c r="AE1069" s="483"/>
      <c r="AF1069" s="483"/>
      <c r="AG1069" s="483"/>
      <c r="AH1069" s="483"/>
      <c r="AI1069" s="483"/>
      <c r="AJ1069" s="483"/>
      <c r="AK1069" s="483"/>
      <c r="AL1069" s="483"/>
      <c r="AM1069" s="670"/>
      <c r="AN1069" s="670"/>
      <c r="AO1069" s="711" t="str">
        <f>IF(OR(Table1[[#This Row],[Início Setup Envase]]="",Table1[[#This Row],[Final Setup Envase]]=""),"",Table1[[#This Row],[Final Setup Envase]]-Table1[[#This Row],[Início Setup Envase]])</f>
        <v/>
      </c>
      <c r="AP1069" s="670"/>
      <c r="AQ1069" s="670"/>
      <c r="AR1069" s="483"/>
      <c r="AS1069" s="483"/>
      <c r="AT1069" s="483"/>
      <c r="AU1069" s="483"/>
      <c r="AV1069" s="483"/>
      <c r="AW1069" s="483"/>
      <c r="AX1069" s="483"/>
      <c r="AY1069" s="270"/>
      <c r="AZ1069" s="270"/>
      <c r="BA1069" s="270">
        <f>IF(Table1[[#This Row],[Data de Início]]="","",YEAR(Table1[[#This Row],[Data de Início]]))</f>
        <v>2026</v>
      </c>
      <c r="BB1069" s="270">
        <f>IF(Table1[[#This Row],[Data de Início]]="","",MONTH(Table1[[#This Row],[Data de Início]]))</f>
        <v>5</v>
      </c>
      <c r="BC1069" s="483"/>
    </row>
    <row r="1070" spans="2:55" x14ac:dyDescent="0.25">
      <c r="B1070" s="470">
        <v>46168.541666666664</v>
      </c>
      <c r="C1070" s="263">
        <v>46169.3125</v>
      </c>
      <c r="D1070" s="264" cm="1">
        <f t="array" ref="D1070">IFERROR(HorasUteisFabrica2Turnos(B1070,C1070), "")</f>
        <v>4.500000000174623</v>
      </c>
      <c r="E1070" s="265">
        <f t="shared" si="16"/>
        <v>970.66666662899979</v>
      </c>
      <c r="F1070" s="266" t="s">
        <v>377</v>
      </c>
      <c r="G1070" s="266" t="s">
        <v>1817</v>
      </c>
      <c r="H1070" s="266"/>
      <c r="I1070" s="268" t="s">
        <v>1892</v>
      </c>
      <c r="J1070" s="268" t="s">
        <v>15</v>
      </c>
      <c r="K1070" s="268">
        <v>4368</v>
      </c>
      <c r="L1070" s="269" t="s">
        <v>1893</v>
      </c>
      <c r="M1070" s="510" t="str">
        <f>IFERROR(INDEX([1]Produtos!$C:$C,MATCH(L1070,[1]Produtos!$B:$B,0)), "-")</f>
        <v>BODY SPLASH ROUGE OUT 200ML</v>
      </c>
      <c r="N1070" s="510">
        <f>IFERROR(INDEX([1]Produtos!$E:$E,MATCH(L1070,[1]Produtos!$B:$B,0)), "-")</f>
        <v>200</v>
      </c>
      <c r="O1070" s="270" t="str">
        <f>IFERROR(INDEX([1]Produtos!$F:$F,MATCH(L1070,[1]Produtos!$B:$B,0)), "-")</f>
        <v>ml</v>
      </c>
      <c r="P1070" s="264" t="str">
        <f>IFERROR(INDEX([1]Produtos!$G:$G,MATCH(L1070,[1]Produtos!$B:$B,0)), "-")</f>
        <v>FEBELLA BEAUTY</v>
      </c>
      <c r="Q1070" s="270" t="str">
        <f>IFERROR(INDEX([1]Produtos!$H:$H,MATCH(L1070,[1]Produtos!$B:$B,0)), "-")</f>
        <v>PERFUMARIA</v>
      </c>
      <c r="R1070" s="270" t="str">
        <f>IFERROR(INDEX([1]Produtos!$I:$I,MATCH(L1070,[1]Produtos!$B:$B,0)), "-")</f>
        <v>BODY SPLASH</v>
      </c>
      <c r="S1070" s="270" t="str">
        <f>IFERROR(INDEX([1]Produtos!$J:$J,MATCH(L1070,[1]Produtos!$B:$B,0)), "-")</f>
        <v>LÍQUIDO</v>
      </c>
      <c r="T1070" s="475"/>
      <c r="U1070" s="270"/>
      <c r="V1070" s="270"/>
      <c r="W1070" s="270"/>
      <c r="X1070" s="270"/>
      <c r="Y1070" s="270"/>
      <c r="Z1070" s="270"/>
      <c r="AA1070" s="270"/>
      <c r="AB1070" s="270"/>
      <c r="AC1070" s="270"/>
      <c r="AD1070" s="270"/>
      <c r="AE1070" s="270"/>
      <c r="AF1070" s="270"/>
      <c r="AG1070" s="270"/>
      <c r="AH1070" s="270"/>
      <c r="AI1070" s="270"/>
      <c r="AJ1070" s="270"/>
      <c r="AK1070" s="270"/>
      <c r="AL1070" s="270"/>
      <c r="AM1070" s="663"/>
      <c r="AN1070" s="663"/>
      <c r="AO1070" s="708" t="str">
        <f>IF(OR(Table1[[#This Row],[Início Setup Envase]]="",Table1[[#This Row],[Final Setup Envase]]=""),"",Table1[[#This Row],[Final Setup Envase]]-Table1[[#This Row],[Início Setup Envase]])</f>
        <v/>
      </c>
      <c r="AP1070" s="663"/>
      <c r="AQ1070" s="663"/>
      <c r="AR1070" s="270"/>
      <c r="AS1070" s="270"/>
      <c r="AT1070" s="270"/>
      <c r="AU1070" s="270"/>
      <c r="AV1070" s="270"/>
      <c r="AW1070" s="270"/>
      <c r="AX1070" s="270"/>
      <c r="AY1070" s="270"/>
      <c r="AZ1070" s="270"/>
      <c r="BA1070" s="270">
        <f>IF(Table1[[#This Row],[Data de Início]]="","",YEAR(Table1[[#This Row],[Data de Início]]))</f>
        <v>2026</v>
      </c>
      <c r="BB1070" s="270">
        <f>IF(Table1[[#This Row],[Data de Início]]="","",MONTH(Table1[[#This Row],[Data de Início]]))</f>
        <v>5</v>
      </c>
      <c r="BC1070" s="270"/>
    </row>
    <row r="1071" spans="2:55" x14ac:dyDescent="0.25">
      <c r="B1071" s="470">
        <v>46169.3125</v>
      </c>
      <c r="C1071" s="263">
        <v>46169.425000000003</v>
      </c>
      <c r="D1071" s="477" cm="1">
        <f t="array" ref="D1071">IFERROR(HorasUteisFabrica2Turnos(B1071,C1071), "")</f>
        <v>2.7000000000698492</v>
      </c>
      <c r="E1071" s="478">
        <f t="shared" si="16"/>
        <v>746.66666664735033</v>
      </c>
      <c r="F1071" s="266" t="s">
        <v>378</v>
      </c>
      <c r="G1071" s="656" t="s">
        <v>1834</v>
      </c>
      <c r="H1071" s="479"/>
      <c r="I1071" s="268" t="s">
        <v>1894</v>
      </c>
      <c r="J1071" s="268" t="s">
        <v>15</v>
      </c>
      <c r="K1071" s="268">
        <v>2016</v>
      </c>
      <c r="L1071" s="269" t="s">
        <v>1281</v>
      </c>
      <c r="M1071" s="511" t="str">
        <f>IFERROR(INDEX([1]Produtos!$C:$C,MATCH(L1071,[1]Produtos!$B:$B,0)), "-")</f>
        <v>BODY SPLASH CEU INFINITO 200ml</v>
      </c>
      <c r="N1071" s="511">
        <f>IFERROR(INDEX([1]Produtos!$E:$E,MATCH(L1071,[1]Produtos!$B:$B,0)), "-")</f>
        <v>215</v>
      </c>
      <c r="O1071" s="483" t="str">
        <f>IFERROR(INDEX([1]Produtos!$F:$F,MATCH(L1071,[1]Produtos!$B:$B,0)), "-")</f>
        <v>ml</v>
      </c>
      <c r="P1071" s="477" t="str">
        <f>IFERROR(INDEX([1]Produtos!$G:$G,MATCH(L1071,[1]Produtos!$B:$B,0)), "-")</f>
        <v>MISS RÔSE</v>
      </c>
      <c r="Q1071" s="483" t="str">
        <f>IFERROR(INDEX([1]Produtos!$H:$H,MATCH(L1071,[1]Produtos!$B:$B,0)), "-")</f>
        <v>PERFUMARIA</v>
      </c>
      <c r="R1071" s="483" t="str">
        <f>IFERROR(INDEX([1]Produtos!$I:$I,MATCH(L1071,[1]Produtos!$B:$B,0)), "-")</f>
        <v>BODY SPLASH</v>
      </c>
      <c r="S1071" s="483" t="str">
        <f>IFERROR(INDEX([1]Produtos!$J:$J,MATCH(L1071,[1]Produtos!$B:$B,0)), "-")</f>
        <v>LÍQUIDO</v>
      </c>
      <c r="T1071" s="484"/>
      <c r="U1071" s="483"/>
      <c r="V1071" s="483"/>
      <c r="W1071" s="483"/>
      <c r="X1071" s="483"/>
      <c r="Y1071" s="483"/>
      <c r="Z1071" s="483"/>
      <c r="AA1071" s="483"/>
      <c r="AB1071" s="483"/>
      <c r="AC1071" s="483"/>
      <c r="AD1071" s="483"/>
      <c r="AE1071" s="483"/>
      <c r="AF1071" s="483"/>
      <c r="AG1071" s="483"/>
      <c r="AH1071" s="483"/>
      <c r="AI1071" s="483"/>
      <c r="AJ1071" s="483"/>
      <c r="AK1071" s="483"/>
      <c r="AL1071" s="483"/>
      <c r="AM1071" s="670"/>
      <c r="AN1071" s="670"/>
      <c r="AO1071" s="711" t="str">
        <f>IF(OR(Table1[[#This Row],[Início Setup Envase]]="",Table1[[#This Row],[Final Setup Envase]]=""),"",Table1[[#This Row],[Final Setup Envase]]-Table1[[#This Row],[Início Setup Envase]])</f>
        <v/>
      </c>
      <c r="AP1071" s="670">
        <v>46169.305555555555</v>
      </c>
      <c r="AQ1071" s="670">
        <v>46169.368055555555</v>
      </c>
      <c r="AR1071" s="483" t="s">
        <v>1895</v>
      </c>
      <c r="AS1071" s="483"/>
      <c r="AT1071" s="483"/>
      <c r="AU1071" s="483"/>
      <c r="AV1071" s="483"/>
      <c r="AW1071" s="483"/>
      <c r="AX1071" s="483"/>
      <c r="AY1071" s="270"/>
      <c r="AZ1071" s="270"/>
      <c r="BA1071" s="270">
        <f>IF(Table1[[#This Row],[Data de Início]]="","",YEAR(Table1[[#This Row],[Data de Início]]))</f>
        <v>2026</v>
      </c>
      <c r="BB1071" s="270">
        <f>IF(Table1[[#This Row],[Data de Início]]="","",MONTH(Table1[[#This Row],[Data de Início]]))</f>
        <v>5</v>
      </c>
      <c r="BC1071" s="483"/>
    </row>
    <row r="1072" spans="2:55" x14ac:dyDescent="0.25">
      <c r="B1072" s="470">
        <v>46169.3125</v>
      </c>
      <c r="C1072" s="263">
        <v>46169.572916666664</v>
      </c>
      <c r="D1072" s="264" cm="1">
        <f t="array" ref="D1072">IFERROR(HorasUteisFabrica2Turnos(B1072,C1072), "")</f>
        <v>5.2499999999417923</v>
      </c>
      <c r="E1072" s="265">
        <f t="shared" si="16"/>
        <v>927.42857143885396</v>
      </c>
      <c r="F1072" s="266" t="s">
        <v>377</v>
      </c>
      <c r="G1072" s="656" t="s">
        <v>1817</v>
      </c>
      <c r="H1072" s="266"/>
      <c r="I1072" s="268" t="s">
        <v>1897</v>
      </c>
      <c r="J1072" s="268" t="s">
        <v>15</v>
      </c>
      <c r="K1072" s="268">
        <v>4869</v>
      </c>
      <c r="L1072" s="269" t="s">
        <v>1893</v>
      </c>
      <c r="M1072" s="510" t="str">
        <f>IFERROR(INDEX([1]Produtos!$C:$C,MATCH(L1072,[1]Produtos!$B:$B,0)), "-")</f>
        <v>BODY SPLASH ROUGE OUT 200ML</v>
      </c>
      <c r="N1072" s="510">
        <f>IFERROR(INDEX([1]Produtos!$E:$E,MATCH(L1072,[1]Produtos!$B:$B,0)), "-")</f>
        <v>200</v>
      </c>
      <c r="O1072" s="270" t="str">
        <f>IFERROR(INDEX([1]Produtos!$F:$F,MATCH(L1072,[1]Produtos!$B:$B,0)), "-")</f>
        <v>ml</v>
      </c>
      <c r="P1072" s="264" t="str">
        <f>IFERROR(INDEX([1]Produtos!$G:$G,MATCH(L1072,[1]Produtos!$B:$B,0)), "-")</f>
        <v>FEBELLA BEAUTY</v>
      </c>
      <c r="Q1072" s="270" t="str">
        <f>IFERROR(INDEX([1]Produtos!$H:$H,MATCH(L1072,[1]Produtos!$B:$B,0)), "-")</f>
        <v>PERFUMARIA</v>
      </c>
      <c r="R1072" s="270" t="str">
        <f>IFERROR(INDEX([1]Produtos!$I:$I,MATCH(L1072,[1]Produtos!$B:$B,0)), "-")</f>
        <v>BODY SPLASH</v>
      </c>
      <c r="S1072" s="270" t="str">
        <f>IFERROR(INDEX([1]Produtos!$J:$J,MATCH(L1072,[1]Produtos!$B:$B,0)), "-")</f>
        <v>LÍQUIDO</v>
      </c>
      <c r="T1072" s="475"/>
      <c r="U1072" s="270"/>
      <c r="V1072" s="270"/>
      <c r="W1072" s="270"/>
      <c r="X1072" s="270"/>
      <c r="Y1072" s="270"/>
      <c r="Z1072" s="270"/>
      <c r="AA1072" s="270"/>
      <c r="AB1072" s="270"/>
      <c r="AC1072" s="270"/>
      <c r="AD1072" s="270"/>
      <c r="AE1072" s="270"/>
      <c r="AF1072" s="270"/>
      <c r="AG1072" s="270"/>
      <c r="AH1072" s="270"/>
      <c r="AI1072" s="270"/>
      <c r="AJ1072" s="270"/>
      <c r="AK1072" s="270"/>
      <c r="AL1072" s="270"/>
      <c r="AM1072" s="663"/>
      <c r="AN1072" s="663"/>
      <c r="AO1072" s="708" t="str">
        <f>IF(OR(Table1[[#This Row],[Início Setup Envase]]="",Table1[[#This Row],[Final Setup Envase]]=""),"",Table1[[#This Row],[Final Setup Envase]]-Table1[[#This Row],[Início Setup Envase]])</f>
        <v/>
      </c>
      <c r="AP1072" s="663">
        <v>46169.302083333336</v>
      </c>
      <c r="AQ1072" s="663">
        <v>46169.355555555558</v>
      </c>
      <c r="AR1072" s="270" t="s">
        <v>1898</v>
      </c>
      <c r="AS1072" s="270"/>
      <c r="AT1072" s="270"/>
      <c r="AU1072" s="270"/>
      <c r="AV1072" s="270"/>
      <c r="AW1072" s="270"/>
      <c r="AX1072" s="270"/>
      <c r="AY1072" s="270"/>
      <c r="AZ1072" s="270"/>
      <c r="BA1072" s="270">
        <f>IF(Table1[[#This Row],[Data de Início]]="","",YEAR(Table1[[#This Row],[Data de Início]]))</f>
        <v>2026</v>
      </c>
      <c r="BB1072" s="270">
        <f>IF(Table1[[#This Row],[Data de Início]]="","",MONTH(Table1[[#This Row],[Data de Início]]))</f>
        <v>5</v>
      </c>
      <c r="BC1072" s="270"/>
    </row>
    <row r="1073" spans="2:55" x14ac:dyDescent="0.25">
      <c r="B1073" s="470">
        <v>46169.425694444442</v>
      </c>
      <c r="C1073" s="263">
        <v>46169.673611111109</v>
      </c>
      <c r="D1073" s="477" cm="1">
        <f t="array" ref="D1073">IFERROR(HorasUteisFabrica2Turnos(B1073,C1073), "")</f>
        <v>4.9500000000116415</v>
      </c>
      <c r="E1073" s="478">
        <f t="shared" si="16"/>
        <v>901.81818181606093</v>
      </c>
      <c r="F1073" s="266" t="s">
        <v>378</v>
      </c>
      <c r="G1073" s="656" t="s">
        <v>1834</v>
      </c>
      <c r="H1073" s="479"/>
      <c r="I1073" s="268" t="s">
        <v>1896</v>
      </c>
      <c r="J1073" s="268" t="s">
        <v>15</v>
      </c>
      <c r="K1073" s="268">
        <v>4464</v>
      </c>
      <c r="L1073" s="269" t="s">
        <v>1281</v>
      </c>
      <c r="M1073" s="511" t="str">
        <f>IFERROR(INDEX([1]Produtos!$C:$C,MATCH(L1073,[1]Produtos!$B:$B,0)), "-")</f>
        <v>BODY SPLASH CEU INFINITO 200ml</v>
      </c>
      <c r="N1073" s="511">
        <f>IFERROR(INDEX([1]Produtos!$E:$E,MATCH(L1073,[1]Produtos!$B:$B,0)), "-")</f>
        <v>215</v>
      </c>
      <c r="O1073" s="483" t="str">
        <f>IFERROR(INDEX([1]Produtos!$F:$F,MATCH(L1073,[1]Produtos!$B:$B,0)), "-")</f>
        <v>ml</v>
      </c>
      <c r="P1073" s="477" t="str">
        <f>IFERROR(INDEX([1]Produtos!$G:$G,MATCH(L1073,[1]Produtos!$B:$B,0)), "-")</f>
        <v>MISS RÔSE</v>
      </c>
      <c r="Q1073" s="483" t="str">
        <f>IFERROR(INDEX([1]Produtos!$H:$H,MATCH(L1073,[1]Produtos!$B:$B,0)), "-")</f>
        <v>PERFUMARIA</v>
      </c>
      <c r="R1073" s="483" t="str">
        <f>IFERROR(INDEX([1]Produtos!$I:$I,MATCH(L1073,[1]Produtos!$B:$B,0)), "-")</f>
        <v>BODY SPLASH</v>
      </c>
      <c r="S1073" s="483" t="str">
        <f>IFERROR(INDEX([1]Produtos!$J:$J,MATCH(L1073,[1]Produtos!$B:$B,0)), "-")</f>
        <v>LÍQUIDO</v>
      </c>
      <c r="T1073" s="484"/>
      <c r="U1073" s="483"/>
      <c r="V1073" s="483"/>
      <c r="W1073" s="483"/>
      <c r="X1073" s="483"/>
      <c r="Y1073" s="483"/>
      <c r="Z1073" s="483"/>
      <c r="AA1073" s="483"/>
      <c r="AB1073" s="483"/>
      <c r="AC1073" s="483"/>
      <c r="AD1073" s="483"/>
      <c r="AE1073" s="483"/>
      <c r="AF1073" s="483"/>
      <c r="AG1073" s="483"/>
      <c r="AH1073" s="483"/>
      <c r="AI1073" s="483"/>
      <c r="AJ1073" s="483"/>
      <c r="AK1073" s="483"/>
      <c r="AL1073" s="483"/>
      <c r="AM1073" s="670"/>
      <c r="AN1073" s="670"/>
      <c r="AO1073" s="711" t="str">
        <f>IF(OR(Table1[[#This Row],[Início Setup Envase]]="",Table1[[#This Row],[Final Setup Envase]]=""),"",Table1[[#This Row],[Final Setup Envase]]-Table1[[#This Row],[Início Setup Envase]])</f>
        <v/>
      </c>
      <c r="AP1073" s="670"/>
      <c r="AQ1073" s="670"/>
      <c r="AR1073" s="483"/>
      <c r="AS1073" s="483"/>
      <c r="AT1073" s="483"/>
      <c r="AU1073" s="483"/>
      <c r="AV1073" s="483"/>
      <c r="AW1073" s="483"/>
      <c r="AX1073" s="483"/>
      <c r="AY1073" s="270"/>
      <c r="AZ1073" s="270"/>
      <c r="BA1073" s="270">
        <f>IF(Table1[[#This Row],[Data de Início]]="","",YEAR(Table1[[#This Row],[Data de Início]]))</f>
        <v>2026</v>
      </c>
      <c r="BB1073" s="270">
        <f>IF(Table1[[#This Row],[Data de Início]]="","",MONTH(Table1[[#This Row],[Data de Início]]))</f>
        <v>5</v>
      </c>
      <c r="BC1073" s="483"/>
    </row>
    <row r="1074" spans="2:55" x14ac:dyDescent="0.25">
      <c r="B1074" s="470">
        <v>46169.586805555555</v>
      </c>
      <c r="C1074" s="263">
        <v>46170.352083333331</v>
      </c>
      <c r="D1074" s="264" cm="1">
        <f t="array" ref="D1074">IFERROR(HorasUteisFabrica2Turnos(B1074,C1074), "")</f>
        <v>4.3666666667559184</v>
      </c>
      <c r="E1074" s="265">
        <f t="shared" si="16"/>
        <v>1121.2213740228844</v>
      </c>
      <c r="F1074" s="266" t="s">
        <v>377</v>
      </c>
      <c r="G1074" s="656" t="s">
        <v>1811</v>
      </c>
      <c r="H1074" s="266"/>
      <c r="I1074" s="268" t="s">
        <v>1888</v>
      </c>
      <c r="J1074" s="268" t="s">
        <v>15</v>
      </c>
      <c r="K1074" s="268">
        <v>4896</v>
      </c>
      <c r="L1074" s="269" t="s">
        <v>212</v>
      </c>
      <c r="M1074" s="510" t="str">
        <f>IFERROR(INDEX([1]Produtos!$C:$C,MATCH(L1074,[1]Produtos!$B:$B,0)), "-")</f>
        <v>BODY SPLASH FORÇA DO LEAO</v>
      </c>
      <c r="N1074" s="510">
        <f>IFERROR(INDEX([1]Produtos!$E:$E,MATCH(L1074,[1]Produtos!$B:$B,0)), "-")</f>
        <v>220</v>
      </c>
      <c r="O1074" s="270" t="str">
        <f>IFERROR(INDEX([1]Produtos!$F:$F,MATCH(L1074,[1]Produtos!$B:$B,0)), "-")</f>
        <v>ml</v>
      </c>
      <c r="P1074" s="264" t="str">
        <f>IFERROR(INDEX([1]Produtos!$G:$G,MATCH(L1074,[1]Produtos!$B:$B,0)), "-")</f>
        <v>MISS RÔSE</v>
      </c>
      <c r="Q1074" s="270" t="str">
        <f>IFERROR(INDEX([1]Produtos!$H:$H,MATCH(L1074,[1]Produtos!$B:$B,0)), "-")</f>
        <v>PERFUMARIA</v>
      </c>
      <c r="R1074" s="270" t="str">
        <f>IFERROR(INDEX([1]Produtos!$I:$I,MATCH(L1074,[1]Produtos!$B:$B,0)), "-")</f>
        <v>BODY SPLASH</v>
      </c>
      <c r="S1074" s="270" t="str">
        <f>IFERROR(INDEX([1]Produtos!$J:$J,MATCH(L1074,[1]Produtos!$B:$B,0)), "-")</f>
        <v>LÍQUIDO</v>
      </c>
      <c r="T1074" s="475"/>
      <c r="U1074" s="270"/>
      <c r="V1074" s="270"/>
      <c r="W1074" s="270"/>
      <c r="X1074" s="270"/>
      <c r="Y1074" s="270"/>
      <c r="Z1074" s="270"/>
      <c r="AA1074" s="270"/>
      <c r="AB1074" s="270"/>
      <c r="AC1074" s="270"/>
      <c r="AD1074" s="270"/>
      <c r="AE1074" s="270"/>
      <c r="AF1074" s="270"/>
      <c r="AG1074" s="270"/>
      <c r="AH1074" s="270"/>
      <c r="AI1074" s="270"/>
      <c r="AJ1074" s="270"/>
      <c r="AK1074" s="270"/>
      <c r="AL1074" s="270"/>
      <c r="AM1074" s="663">
        <v>46169.572916666664</v>
      </c>
      <c r="AN1074" s="663">
        <v>46169.576388888891</v>
      </c>
      <c r="AO1074" s="708">
        <f>IF(OR(Table1[[#This Row],[Início Setup Envase]]="",Table1[[#This Row],[Final Setup Envase]]=""),"",Table1[[#This Row],[Final Setup Envase]]-Table1[[#This Row],[Início Setup Envase]])</f>
        <v>3.4722222262644209E-3</v>
      </c>
      <c r="AP1074" s="663"/>
      <c r="AQ1074" s="663"/>
      <c r="AR1074" s="270"/>
      <c r="AS1074" s="270"/>
      <c r="AT1074" s="270"/>
      <c r="AU1074" s="270"/>
      <c r="AV1074" s="270"/>
      <c r="AW1074" s="270"/>
      <c r="AX1074" s="270"/>
      <c r="AY1074" s="270"/>
      <c r="AZ1074" s="270"/>
      <c r="BA1074" s="270">
        <f>IF(Table1[[#This Row],[Data de Início]]="","",YEAR(Table1[[#This Row],[Data de Início]]))</f>
        <v>2026</v>
      </c>
      <c r="BB1074" s="270">
        <f>IF(Table1[[#This Row],[Data de Início]]="","",MONTH(Table1[[#This Row],[Data de Início]]))</f>
        <v>5</v>
      </c>
      <c r="BC1074" s="270"/>
    </row>
    <row r="1075" spans="2:55" x14ac:dyDescent="0.25">
      <c r="B1075" s="470">
        <v>46169.682638888888</v>
      </c>
      <c r="C1075" s="263">
        <v>46170.427083333336</v>
      </c>
      <c r="D1075" s="477" cm="1">
        <f t="array" ref="D1075">IFERROR(HorasUteisFabrica2Turnos(B1075,C1075), "")</f>
        <v>3.8666666668723337</v>
      </c>
      <c r="E1075" s="478">
        <f t="shared" si="16"/>
        <v>1124.2241378712372</v>
      </c>
      <c r="F1075" s="266" t="s">
        <v>378</v>
      </c>
      <c r="G1075" s="266" t="s">
        <v>1834</v>
      </c>
      <c r="H1075" s="479"/>
      <c r="I1075" s="268" t="s">
        <v>1887</v>
      </c>
      <c r="J1075" s="268" t="s">
        <v>15</v>
      </c>
      <c r="K1075" s="268">
        <v>4347</v>
      </c>
      <c r="L1075" s="269" t="s">
        <v>1281</v>
      </c>
      <c r="M1075" s="511" t="str">
        <f>IFERROR(INDEX([1]Produtos!$C:$C,MATCH(L1075,[1]Produtos!$B:$B,0)), "-")</f>
        <v>BODY SPLASH CEU INFINITO 200ml</v>
      </c>
      <c r="N1075" s="511">
        <f>IFERROR(INDEX([1]Produtos!$E:$E,MATCH(L1075,[1]Produtos!$B:$B,0)), "-")</f>
        <v>215</v>
      </c>
      <c r="O1075" s="483" t="str">
        <f>IFERROR(INDEX([1]Produtos!$F:$F,MATCH(L1075,[1]Produtos!$B:$B,0)), "-")</f>
        <v>ml</v>
      </c>
      <c r="P1075" s="477" t="str">
        <f>IFERROR(INDEX([1]Produtos!$G:$G,MATCH(L1075,[1]Produtos!$B:$B,0)), "-")</f>
        <v>MISS RÔSE</v>
      </c>
      <c r="Q1075" s="483" t="str">
        <f>IFERROR(INDEX([1]Produtos!$H:$H,MATCH(L1075,[1]Produtos!$B:$B,0)), "-")</f>
        <v>PERFUMARIA</v>
      </c>
      <c r="R1075" s="483" t="str">
        <f>IFERROR(INDEX([1]Produtos!$I:$I,MATCH(L1075,[1]Produtos!$B:$B,0)), "-")</f>
        <v>BODY SPLASH</v>
      </c>
      <c r="S1075" s="483" t="str">
        <f>IFERROR(INDEX([1]Produtos!$J:$J,MATCH(L1075,[1]Produtos!$B:$B,0)), "-")</f>
        <v>LÍQUIDO</v>
      </c>
      <c r="T1075" s="484"/>
      <c r="U1075" s="483"/>
      <c r="V1075" s="483"/>
      <c r="W1075" s="483"/>
      <c r="X1075" s="483"/>
      <c r="Y1075" s="483"/>
      <c r="Z1075" s="483"/>
      <c r="AA1075" s="483"/>
      <c r="AB1075" s="483"/>
      <c r="AC1075" s="483"/>
      <c r="AD1075" s="483"/>
      <c r="AE1075" s="483"/>
      <c r="AF1075" s="483"/>
      <c r="AG1075" s="483"/>
      <c r="AH1075" s="483"/>
      <c r="AI1075" s="483"/>
      <c r="AJ1075" s="483"/>
      <c r="AK1075" s="483"/>
      <c r="AL1075" s="483"/>
      <c r="AM1075" s="670"/>
      <c r="AN1075" s="670"/>
      <c r="AO1075" s="711" t="str">
        <f>IF(OR(Table1[[#This Row],[Início Setup Envase]]="",Table1[[#This Row],[Final Setup Envase]]=""),"",Table1[[#This Row],[Final Setup Envase]]-Table1[[#This Row],[Início Setup Envase]])</f>
        <v/>
      </c>
      <c r="AP1075" s="670"/>
      <c r="AQ1075" s="670"/>
      <c r="AR1075" s="483"/>
      <c r="AS1075" s="483"/>
      <c r="AT1075" s="483"/>
      <c r="AU1075" s="483"/>
      <c r="AV1075" s="483"/>
      <c r="AW1075" s="483"/>
      <c r="AX1075" s="483"/>
      <c r="AY1075" s="270"/>
      <c r="AZ1075" s="270"/>
      <c r="BA1075" s="270">
        <f>IF(Table1[[#This Row],[Data de Início]]="","",YEAR(Table1[[#This Row],[Data de Início]]))</f>
        <v>2026</v>
      </c>
      <c r="BB1075" s="270">
        <f>IF(Table1[[#This Row],[Data de Início]]="","",MONTH(Table1[[#This Row],[Data de Início]]))</f>
        <v>5</v>
      </c>
      <c r="BC1075" s="483"/>
    </row>
    <row r="1076" spans="2:55" x14ac:dyDescent="0.25">
      <c r="B1076" s="470">
        <v>46170.361111111109</v>
      </c>
      <c r="C1076" s="263">
        <v>46170.645833333336</v>
      </c>
      <c r="D1076" s="264" cm="1">
        <f t="array" ref="D1076">IFERROR(HorasUteisFabrica2Turnos(B1076,C1076), "")</f>
        <v>5.8333333334303461</v>
      </c>
      <c r="E1076" s="265">
        <f t="shared" si="16"/>
        <v>791.48571427255126</v>
      </c>
      <c r="F1076" s="266" t="s">
        <v>377</v>
      </c>
      <c r="G1076" s="266" t="s">
        <v>1811</v>
      </c>
      <c r="H1076" s="266"/>
      <c r="I1076" s="268" t="s">
        <v>1901</v>
      </c>
      <c r="J1076" s="268" t="s">
        <v>15</v>
      </c>
      <c r="K1076" s="268">
        <v>4617</v>
      </c>
      <c r="L1076" s="269" t="s">
        <v>212</v>
      </c>
      <c r="M1076" s="510" t="str">
        <f>IFERROR(INDEX([1]Produtos!$C:$C,MATCH(L1076,[1]Produtos!$B:$B,0)), "-")</f>
        <v>BODY SPLASH FORÇA DO LEAO</v>
      </c>
      <c r="N1076" s="510">
        <f>IFERROR(INDEX([1]Produtos!$E:$E,MATCH(L1076,[1]Produtos!$B:$B,0)), "-")</f>
        <v>220</v>
      </c>
      <c r="O1076" s="270" t="str">
        <f>IFERROR(INDEX([1]Produtos!$F:$F,MATCH(L1076,[1]Produtos!$B:$B,0)), "-")</f>
        <v>ml</v>
      </c>
      <c r="P1076" s="264" t="str">
        <f>IFERROR(INDEX([1]Produtos!$G:$G,MATCH(L1076,[1]Produtos!$B:$B,0)), "-")</f>
        <v>MISS RÔSE</v>
      </c>
      <c r="Q1076" s="270" t="str">
        <f>IFERROR(INDEX([1]Produtos!$H:$H,MATCH(L1076,[1]Produtos!$B:$B,0)), "-")</f>
        <v>PERFUMARIA</v>
      </c>
      <c r="R1076" s="270" t="str">
        <f>IFERROR(INDEX([1]Produtos!$I:$I,MATCH(L1076,[1]Produtos!$B:$B,0)), "-")</f>
        <v>BODY SPLASH</v>
      </c>
      <c r="S1076" s="270" t="str">
        <f>IFERROR(INDEX([1]Produtos!$J:$J,MATCH(L1076,[1]Produtos!$B:$B,0)), "-")</f>
        <v>LÍQUIDO</v>
      </c>
      <c r="T1076" s="475"/>
      <c r="U1076" s="270"/>
      <c r="V1076" s="270"/>
      <c r="W1076" s="270"/>
      <c r="X1076" s="270"/>
      <c r="Y1076" s="270"/>
      <c r="Z1076" s="270"/>
      <c r="AA1076" s="270"/>
      <c r="AB1076" s="270"/>
      <c r="AC1076" s="270"/>
      <c r="AD1076" s="270"/>
      <c r="AE1076" s="270"/>
      <c r="AF1076" s="270"/>
      <c r="AG1076" s="270"/>
      <c r="AH1076" s="270"/>
      <c r="AI1076" s="270"/>
      <c r="AJ1076" s="270"/>
      <c r="AK1076" s="270"/>
      <c r="AL1076" s="270"/>
      <c r="AM1076" s="663">
        <v>46170.354166666664</v>
      </c>
      <c r="AN1076" s="663">
        <v>46170.357638888891</v>
      </c>
      <c r="AO1076" s="708">
        <f>IF(OR(Table1[[#This Row],[Início Setup Envase]]="",Table1[[#This Row],[Final Setup Envase]]=""),"",Table1[[#This Row],[Final Setup Envase]]-Table1[[#This Row],[Início Setup Envase]])</f>
        <v>3.4722222262644209E-3</v>
      </c>
      <c r="AP1076" s="663"/>
      <c r="AQ1076" s="663"/>
      <c r="AR1076" s="270"/>
      <c r="AS1076" s="270"/>
      <c r="AT1076" s="270"/>
      <c r="AU1076" s="270"/>
      <c r="AV1076" s="270"/>
      <c r="AW1076" s="270"/>
      <c r="AX1076" s="270"/>
      <c r="AY1076" s="270"/>
      <c r="AZ1076" s="270"/>
      <c r="BA1076" s="270">
        <f>IF(Table1[[#This Row],[Data de Início]]="","",YEAR(Table1[[#This Row],[Data de Início]]))</f>
        <v>2026</v>
      </c>
      <c r="BB1076" s="270">
        <f>IF(Table1[[#This Row],[Data de Início]]="","",MONTH(Table1[[#This Row],[Data de Início]]))</f>
        <v>5</v>
      </c>
      <c r="BC1076" s="270"/>
    </row>
    <row r="1077" spans="2:55" x14ac:dyDescent="0.25">
      <c r="B1077" s="470">
        <v>46170.423611111109</v>
      </c>
      <c r="C1077" s="263">
        <v>46170.729166666664</v>
      </c>
      <c r="D1077" s="477" cm="1">
        <f t="array" ref="D1077">IFERROR(HorasUteisFabrica2Turnos(B1077,C1077), "")</f>
        <v>6.3333333333139308</v>
      </c>
      <c r="E1077" s="478">
        <f t="shared" si="16"/>
        <v>697.26315789687294</v>
      </c>
      <c r="F1077" s="266" t="s">
        <v>378</v>
      </c>
      <c r="G1077" s="656" t="s">
        <v>1834</v>
      </c>
      <c r="H1077" s="479"/>
      <c r="I1077" s="268" t="s">
        <v>1900</v>
      </c>
      <c r="J1077" s="268" t="s">
        <v>15</v>
      </c>
      <c r="K1077" s="268">
        <v>4416</v>
      </c>
      <c r="L1077" s="269" t="s">
        <v>1284</v>
      </c>
      <c r="M1077" s="511" t="str">
        <f>IFERROR(INDEX([1]Produtos!$C:$C,MATCH(L1077,[1]Produtos!$B:$B,0)), "-")</f>
        <v>BODY SPLASH AMBAR REAL 200ml</v>
      </c>
      <c r="N1077" s="511">
        <f>IFERROR(INDEX([1]Produtos!$E:$E,MATCH(L1077,[1]Produtos!$B:$B,0)), "-")</f>
        <v>215</v>
      </c>
      <c r="O1077" s="483" t="str">
        <f>IFERROR(INDEX([1]Produtos!$F:$F,MATCH(L1077,[1]Produtos!$B:$B,0)), "-")</f>
        <v>ml</v>
      </c>
      <c r="P1077" s="477" t="str">
        <f>IFERROR(INDEX([1]Produtos!$G:$G,MATCH(L1077,[1]Produtos!$B:$B,0)), "-")</f>
        <v>MISS RÔSE</v>
      </c>
      <c r="Q1077" s="483" t="str">
        <f>IFERROR(INDEX([1]Produtos!$H:$H,MATCH(L1077,[1]Produtos!$B:$B,0)), "-")</f>
        <v>PERFUMARIA</v>
      </c>
      <c r="R1077" s="483" t="str">
        <f>IFERROR(INDEX([1]Produtos!$I:$I,MATCH(L1077,[1]Produtos!$B:$B,0)), "-")</f>
        <v>BODY SPLASH</v>
      </c>
      <c r="S1077" s="483" t="str">
        <f>IFERROR(INDEX([1]Produtos!$J:$J,MATCH(L1077,[1]Produtos!$B:$B,0)), "-")</f>
        <v>LÍQUIDO</v>
      </c>
      <c r="T1077" s="484"/>
      <c r="U1077" s="483"/>
      <c r="V1077" s="483"/>
      <c r="W1077" s="483"/>
      <c r="X1077" s="483"/>
      <c r="Y1077" s="483"/>
      <c r="Z1077" s="483"/>
      <c r="AA1077" s="483"/>
      <c r="AB1077" s="483"/>
      <c r="AC1077" s="483"/>
      <c r="AD1077" s="483"/>
      <c r="AE1077" s="483"/>
      <c r="AF1077" s="483"/>
      <c r="AG1077" s="483"/>
      <c r="AH1077" s="483"/>
      <c r="AI1077" s="483"/>
      <c r="AJ1077" s="483"/>
      <c r="AK1077" s="483"/>
      <c r="AL1077" s="483"/>
      <c r="AM1077" s="670">
        <v>46170.416666666664</v>
      </c>
      <c r="AN1077" s="670">
        <v>46170.420138888891</v>
      </c>
      <c r="AO1077" s="711">
        <f>IF(OR(Table1[[#This Row],[Início Setup Envase]]="",Table1[[#This Row],[Final Setup Envase]]=""),"",Table1[[#This Row],[Final Setup Envase]]-Table1[[#This Row],[Início Setup Envase]])</f>
        <v>3.4722222262644209E-3</v>
      </c>
      <c r="AP1077" s="670"/>
      <c r="AQ1077" s="670"/>
      <c r="AR1077" s="483"/>
      <c r="AS1077" s="483"/>
      <c r="AT1077" s="483"/>
      <c r="AU1077" s="483"/>
      <c r="AV1077" s="483"/>
      <c r="AW1077" s="483"/>
      <c r="AX1077" s="483"/>
      <c r="AY1077" s="270"/>
      <c r="AZ1077" s="270"/>
      <c r="BA1077" s="270">
        <f>IF(Table1[[#This Row],[Data de Início]]="","",YEAR(Table1[[#This Row],[Data de Início]]))</f>
        <v>2026</v>
      </c>
      <c r="BB1077" s="270">
        <f>IF(Table1[[#This Row],[Data de Início]]="","",MONTH(Table1[[#This Row],[Data de Início]]))</f>
        <v>5</v>
      </c>
      <c r="BC1077" s="483"/>
    </row>
    <row r="1078" spans="2:55" x14ac:dyDescent="0.25">
      <c r="B1078" s="470">
        <v>46170.649305555555</v>
      </c>
      <c r="C1078" s="263">
        <v>46171.788194444445</v>
      </c>
      <c r="D1078" s="264" cm="1">
        <f t="array" ref="D1078">IFERROR(HorasUteisFabrica2Turnos(B1078,C1078), "")</f>
        <v>17.333333333372138</v>
      </c>
      <c r="E1078" s="265">
        <f t="shared" si="16"/>
        <v>143.88461538429326</v>
      </c>
      <c r="F1078" s="266" t="s">
        <v>378</v>
      </c>
      <c r="G1078" s="656" t="s">
        <v>1834</v>
      </c>
      <c r="H1078" s="266"/>
      <c r="I1078" s="267" t="s">
        <v>1906</v>
      </c>
      <c r="J1078" s="268" t="s">
        <v>15</v>
      </c>
      <c r="K1078" s="268">
        <v>2494</v>
      </c>
      <c r="L1078" s="269" t="s">
        <v>1284</v>
      </c>
      <c r="M1078" s="510" t="str">
        <f>IFERROR(INDEX([1]Produtos!$C:$C,MATCH(L1078,[1]Produtos!$B:$B,0)), "-")</f>
        <v>BODY SPLASH AMBAR REAL 200ml</v>
      </c>
      <c r="N1078" s="510">
        <f>IFERROR(INDEX([1]Produtos!$E:$E,MATCH(L1078,[1]Produtos!$B:$B,0)), "-")</f>
        <v>215</v>
      </c>
      <c r="O1078" s="270" t="str">
        <f>IFERROR(INDEX([1]Produtos!$F:$F,MATCH(L1078,[1]Produtos!$B:$B,0)), "-")</f>
        <v>ml</v>
      </c>
      <c r="P1078" s="264" t="str">
        <f>IFERROR(INDEX([1]Produtos!$G:$G,MATCH(L1078,[1]Produtos!$B:$B,0)), "-")</f>
        <v>MISS RÔSE</v>
      </c>
      <c r="Q1078" s="270" t="str">
        <f>IFERROR(INDEX([1]Produtos!$H:$H,MATCH(L1078,[1]Produtos!$B:$B,0)), "-")</f>
        <v>PERFUMARIA</v>
      </c>
      <c r="R1078" s="270" t="str">
        <f>IFERROR(INDEX([1]Produtos!$I:$I,MATCH(L1078,[1]Produtos!$B:$B,0)), "-")</f>
        <v>BODY SPLASH</v>
      </c>
      <c r="S1078" s="270" t="str">
        <f>IFERROR(INDEX([1]Produtos!$J:$J,MATCH(L1078,[1]Produtos!$B:$B,0)), "-")</f>
        <v>LÍQUIDO</v>
      </c>
      <c r="T1078" s="475"/>
      <c r="U1078" s="270"/>
      <c r="V1078" s="270"/>
      <c r="W1078" s="270"/>
      <c r="X1078" s="270"/>
      <c r="Y1078" s="270"/>
      <c r="Z1078" s="270"/>
      <c r="AA1078" s="270"/>
      <c r="AB1078" s="270"/>
      <c r="AC1078" s="270"/>
      <c r="AD1078" s="270"/>
      <c r="AE1078" s="270"/>
      <c r="AF1078" s="270"/>
      <c r="AG1078" s="270"/>
      <c r="AH1078" s="270"/>
      <c r="AI1078" s="270"/>
      <c r="AJ1078" s="270"/>
      <c r="AK1078" s="270"/>
      <c r="AL1078" s="270"/>
      <c r="AM1078" s="663">
        <v>46171.635416666664</v>
      </c>
      <c r="AN1078" s="663">
        <v>46171.635416666664</v>
      </c>
      <c r="AO1078" s="708">
        <f>IF(OR(Table1[[#This Row],[Início Setup Envase]]="",Table1[[#This Row],[Final Setup Envase]]=""),"",Table1[[#This Row],[Final Setup Envase]]-Table1[[#This Row],[Início Setup Envase]])</f>
        <v>0</v>
      </c>
      <c r="AP1078" s="663"/>
      <c r="AQ1078" s="663"/>
      <c r="AR1078" s="270"/>
      <c r="AS1078" s="270"/>
      <c r="AT1078" s="270"/>
      <c r="AU1078" s="270"/>
      <c r="AV1078" s="270"/>
      <c r="AW1078" s="270"/>
      <c r="AX1078" s="270"/>
      <c r="AY1078" s="270"/>
      <c r="AZ1078" s="270"/>
      <c r="BA1078" s="270">
        <f>IF(Table1[[#This Row],[Data de Início]]="","",YEAR(Table1[[#This Row],[Data de Início]]))</f>
        <v>2026</v>
      </c>
      <c r="BB1078" s="270">
        <f>IF(Table1[[#This Row],[Data de Início]]="","",MONTH(Table1[[#This Row],[Data de Início]]))</f>
        <v>5</v>
      </c>
      <c r="BC1078" s="270"/>
    </row>
    <row r="1079" spans="2:55" x14ac:dyDescent="0.25">
      <c r="B1079" s="470">
        <v>46170.649305555555</v>
      </c>
      <c r="C1079" s="263">
        <v>46171.284722222219</v>
      </c>
      <c r="D1079" s="477" cm="1">
        <f t="array" ref="D1079">IFERROR(HorasUteisFabrica2Turnos(B1079,C1079), "")</f>
        <v>1.4166666667442769</v>
      </c>
      <c r="E1079" s="654">
        <f t="shared" si="16"/>
        <v>3354.3529409927069</v>
      </c>
      <c r="F1079" s="266" t="s">
        <v>377</v>
      </c>
      <c r="G1079" s="656" t="s">
        <v>1811</v>
      </c>
      <c r="H1079" s="479"/>
      <c r="I1079" s="267" t="s">
        <v>1910</v>
      </c>
      <c r="J1079" s="268" t="s">
        <v>15</v>
      </c>
      <c r="K1079" s="268">
        <v>4752</v>
      </c>
      <c r="L1079" s="269" t="s">
        <v>212</v>
      </c>
      <c r="M1079" s="511" t="str">
        <f>IFERROR(INDEX([1]Produtos!$C:$C,MATCH(L1079,[1]Produtos!$B:$B,0)), "-")</f>
        <v>BODY SPLASH FORÇA DO LEAO</v>
      </c>
      <c r="N1079" s="511">
        <f>IFERROR(INDEX([1]Produtos!$E:$E,MATCH(L1079,[1]Produtos!$B:$B,0)), "-")</f>
        <v>220</v>
      </c>
      <c r="O1079" s="483" t="str">
        <f>IFERROR(INDEX([1]Produtos!$F:$F,MATCH(L1079,[1]Produtos!$B:$B,0)), "-")</f>
        <v>ml</v>
      </c>
      <c r="P1079" s="477" t="str">
        <f>IFERROR(INDEX([1]Produtos!$G:$G,MATCH(L1079,[1]Produtos!$B:$B,0)), "-")</f>
        <v>MISS RÔSE</v>
      </c>
      <c r="Q1079" s="483" t="str">
        <f>IFERROR(INDEX([1]Produtos!$H:$H,MATCH(L1079,[1]Produtos!$B:$B,0)), "-")</f>
        <v>PERFUMARIA</v>
      </c>
      <c r="R1079" s="483" t="str">
        <f>IFERROR(INDEX([1]Produtos!$I:$I,MATCH(L1079,[1]Produtos!$B:$B,0)), "-")</f>
        <v>BODY SPLASH</v>
      </c>
      <c r="S1079" s="483" t="str">
        <f>IFERROR(INDEX([1]Produtos!$J:$J,MATCH(L1079,[1]Produtos!$B:$B,0)), "-")</f>
        <v>LÍQUIDO</v>
      </c>
      <c r="T1079" s="484"/>
      <c r="U1079" s="483"/>
      <c r="V1079" s="483"/>
      <c r="W1079" s="483"/>
      <c r="X1079" s="483"/>
      <c r="Y1079" s="483"/>
      <c r="Z1079" s="483"/>
      <c r="AA1079" s="483"/>
      <c r="AB1079" s="483"/>
      <c r="AC1079" s="483"/>
      <c r="AD1079" s="483"/>
      <c r="AE1079" s="483"/>
      <c r="AF1079" s="483"/>
      <c r="AG1079" s="483"/>
      <c r="AH1079" s="483"/>
      <c r="AI1079" s="483"/>
      <c r="AJ1079" s="483"/>
      <c r="AK1079" s="483"/>
      <c r="AL1079" s="483"/>
      <c r="AM1079" s="670">
        <v>46170.645833333336</v>
      </c>
      <c r="AN1079" s="670">
        <v>46170.649305555555</v>
      </c>
      <c r="AO1079" s="711">
        <f>IF(OR(Table1[[#This Row],[Início Setup Envase]]="",Table1[[#This Row],[Final Setup Envase]]=""),"",Table1[[#This Row],[Final Setup Envase]]-Table1[[#This Row],[Início Setup Envase]])</f>
        <v>3.4722222189884633E-3</v>
      </c>
      <c r="AP1079" s="670"/>
      <c r="AQ1079" s="670"/>
      <c r="AR1079" s="483"/>
      <c r="AS1079" s="622"/>
      <c r="AT1079" s="622"/>
      <c r="AU1079" s="483"/>
      <c r="AV1079" s="483"/>
      <c r="AW1079" s="483"/>
      <c r="AX1079" s="483"/>
      <c r="AY1079" s="270"/>
      <c r="AZ1079" s="270"/>
      <c r="BA1079" s="270">
        <f>IF(Table1[[#This Row],[Data de Início]]="","",YEAR(Table1[[#This Row],[Data de Início]]))</f>
        <v>2026</v>
      </c>
      <c r="BB1079" s="270">
        <f>IF(Table1[[#This Row],[Data de Início]]="","",MONTH(Table1[[#This Row],[Data de Início]]))</f>
        <v>5</v>
      </c>
      <c r="BC1079" s="483"/>
    </row>
    <row r="1080" spans="2:55" x14ac:dyDescent="0.25">
      <c r="B1080" s="470">
        <v>46171.387499999997</v>
      </c>
      <c r="C1080" s="263">
        <v>46171.632638888892</v>
      </c>
      <c r="D1080" s="264" cm="1">
        <f t="array" ref="D1080">IFERROR(HorasUteisFabrica2Turnos(B1080,C1080), "")</f>
        <v>4.8833333334769122</v>
      </c>
      <c r="E1080" s="697">
        <f t="shared" si="16"/>
        <v>871.94539246583076</v>
      </c>
      <c r="F1080" s="266" t="s">
        <v>378</v>
      </c>
      <c r="G1080" s="266" t="s">
        <v>1834</v>
      </c>
      <c r="H1080" s="266"/>
      <c r="I1080" s="267" t="s">
        <v>1908</v>
      </c>
      <c r="J1080" s="268" t="s">
        <v>15</v>
      </c>
      <c r="K1080" s="268">
        <v>4258</v>
      </c>
      <c r="L1080" s="269" t="s">
        <v>1284</v>
      </c>
      <c r="M1080" s="510" t="str">
        <f>IFERROR(INDEX([1]Produtos!$C:$C,MATCH(L1080,[1]Produtos!$B:$B,0)), "-")</f>
        <v>BODY SPLASH AMBAR REAL 200ml</v>
      </c>
      <c r="N1080" s="510">
        <f>IFERROR(INDEX([1]Produtos!$E:$E,MATCH(L1080,[1]Produtos!$B:$B,0)), "-")</f>
        <v>215</v>
      </c>
      <c r="O1080" s="270" t="str">
        <f>IFERROR(INDEX([1]Produtos!$F:$F,MATCH(L1080,[1]Produtos!$B:$B,0)), "-")</f>
        <v>ml</v>
      </c>
      <c r="P1080" s="264" t="str">
        <f>IFERROR(INDEX([1]Produtos!$G:$G,MATCH(L1080,[1]Produtos!$B:$B,0)), "-")</f>
        <v>MISS RÔSE</v>
      </c>
      <c r="Q1080" s="270" t="str">
        <f>IFERROR(INDEX([1]Produtos!$H:$H,MATCH(L1080,[1]Produtos!$B:$B,0)), "-")</f>
        <v>PERFUMARIA</v>
      </c>
      <c r="R1080" s="270" t="str">
        <f>IFERROR(INDEX([1]Produtos!$I:$I,MATCH(L1080,[1]Produtos!$B:$B,0)), "-")</f>
        <v>BODY SPLASH</v>
      </c>
      <c r="S1080" s="270" t="str">
        <f>IFERROR(INDEX([1]Produtos!$J:$J,MATCH(L1080,[1]Produtos!$B:$B,0)), "-")</f>
        <v>LÍQUIDO</v>
      </c>
      <c r="T1080" s="475"/>
      <c r="U1080" s="270"/>
      <c r="V1080" s="270"/>
      <c r="W1080" s="270"/>
      <c r="X1080" s="270"/>
      <c r="Y1080" s="270"/>
      <c r="Z1080" s="270"/>
      <c r="AA1080" s="270"/>
      <c r="AB1080" s="270"/>
      <c r="AC1080" s="270"/>
      <c r="AD1080" s="270"/>
      <c r="AE1080" s="270"/>
      <c r="AF1080" s="270"/>
      <c r="AG1080" s="270"/>
      <c r="AH1080" s="270"/>
      <c r="AI1080" s="270"/>
      <c r="AJ1080" s="270"/>
      <c r="AK1080" s="270"/>
      <c r="AL1080" s="270"/>
      <c r="AM1080" s="663">
        <v>46171.385416666664</v>
      </c>
      <c r="AN1080" s="663">
        <v>46171.386111111111</v>
      </c>
      <c r="AO1080" s="708">
        <f>IF(OR(Table1[[#This Row],[Início Setup Envase]]="",Table1[[#This Row],[Final Setup Envase]]=""),"",Table1[[#This Row],[Final Setup Envase]]-Table1[[#This Row],[Início Setup Envase]])</f>
        <v>6.944444467080757E-4</v>
      </c>
      <c r="AP1080" s="663"/>
      <c r="AQ1080" s="663"/>
      <c r="AR1080" s="270"/>
      <c r="AS1080" s="674"/>
      <c r="AT1080" s="674"/>
      <c r="AU1080" s="270"/>
      <c r="AV1080" s="270"/>
      <c r="AW1080" s="270"/>
      <c r="AX1080" s="270"/>
      <c r="AY1080" s="270"/>
      <c r="AZ1080" s="270"/>
      <c r="BA1080" s="270">
        <f>IF(Table1[[#This Row],[Data de Início]]="","",YEAR(Table1[[#This Row],[Data de Início]]))</f>
        <v>2026</v>
      </c>
      <c r="BB1080" s="270">
        <f>IF(Table1[[#This Row],[Data de Início]]="","",MONTH(Table1[[#This Row],[Data de Início]]))</f>
        <v>5</v>
      </c>
      <c r="BC1080" s="270"/>
    </row>
    <row r="1081" spans="2:55" x14ac:dyDescent="0.25">
      <c r="B1081" s="470">
        <v>46171.650694444441</v>
      </c>
      <c r="C1081" s="263">
        <v>46171.706944444442</v>
      </c>
      <c r="D1081" s="477" cm="1">
        <f t="array" ref="D1081">IFERROR(HorasUteisFabrica2Turnos(B1081,C1081), "")</f>
        <v>0.38333333336049691</v>
      </c>
      <c r="E1081" s="478">
        <f t="shared" si="16"/>
        <v>2436.5217389577792</v>
      </c>
      <c r="F1081" s="266" t="s">
        <v>377</v>
      </c>
      <c r="G1081" s="656" t="s">
        <v>1811</v>
      </c>
      <c r="H1081" s="479"/>
      <c r="I1081" s="267" t="s">
        <v>1909</v>
      </c>
      <c r="J1081" s="268" t="s">
        <v>15</v>
      </c>
      <c r="K1081" s="268">
        <v>934</v>
      </c>
      <c r="L1081" s="269" t="s">
        <v>212</v>
      </c>
      <c r="M1081" s="511" t="str">
        <f>IFERROR(INDEX([1]Produtos!$C:$C,MATCH(L1081,[1]Produtos!$B:$B,0)), "-")</f>
        <v>BODY SPLASH FORÇA DO LEAO</v>
      </c>
      <c r="N1081" s="511">
        <f>IFERROR(INDEX([1]Produtos!$E:$E,MATCH(L1081,[1]Produtos!$B:$B,0)), "-")</f>
        <v>220</v>
      </c>
      <c r="O1081" s="483" t="str">
        <f>IFERROR(INDEX([1]Produtos!$F:$F,MATCH(L1081,[1]Produtos!$B:$B,0)), "-")</f>
        <v>ml</v>
      </c>
      <c r="P1081" s="477" t="str">
        <f>IFERROR(INDEX([1]Produtos!$G:$G,MATCH(L1081,[1]Produtos!$B:$B,0)), "-")</f>
        <v>MISS RÔSE</v>
      </c>
      <c r="Q1081" s="483" t="str">
        <f>IFERROR(INDEX([1]Produtos!$H:$H,MATCH(L1081,[1]Produtos!$B:$B,0)), "-")</f>
        <v>PERFUMARIA</v>
      </c>
      <c r="R1081" s="483" t="str">
        <f>IFERROR(INDEX([1]Produtos!$I:$I,MATCH(L1081,[1]Produtos!$B:$B,0)), "-")</f>
        <v>BODY SPLASH</v>
      </c>
      <c r="S1081" s="483" t="str">
        <f>IFERROR(INDEX([1]Produtos!$J:$J,MATCH(L1081,[1]Produtos!$B:$B,0)), "-")</f>
        <v>LÍQUIDO</v>
      </c>
      <c r="T1081" s="484"/>
      <c r="U1081" s="483"/>
      <c r="V1081" s="483"/>
      <c r="W1081" s="483"/>
      <c r="X1081" s="483"/>
      <c r="Y1081" s="483"/>
      <c r="Z1081" s="483"/>
      <c r="AA1081" s="483"/>
      <c r="AB1081" s="483"/>
      <c r="AC1081" s="483"/>
      <c r="AD1081" s="483"/>
      <c r="AE1081" s="483"/>
      <c r="AF1081" s="483"/>
      <c r="AG1081" s="483"/>
      <c r="AH1081" s="483"/>
      <c r="AI1081" s="483"/>
      <c r="AJ1081" s="483"/>
      <c r="AK1081" s="483"/>
      <c r="AL1081" s="483"/>
      <c r="AM1081" s="670">
        <v>46171.645833333336</v>
      </c>
      <c r="AN1081" s="670">
        <v>46171.646527777775</v>
      </c>
      <c r="AO1081" s="711">
        <f>IF(OR(Table1[[#This Row],[Início Setup Envase]]="",Table1[[#This Row],[Final Setup Envase]]=""),"",Table1[[#This Row],[Final Setup Envase]]-Table1[[#This Row],[Início Setup Envase]])</f>
        <v>6.9444443943211809E-4</v>
      </c>
      <c r="AP1081" s="670"/>
      <c r="AQ1081" s="670"/>
      <c r="AR1081" s="483"/>
      <c r="AS1081" s="483"/>
      <c r="AT1081" s="483"/>
      <c r="AU1081" s="483"/>
      <c r="AV1081" s="483"/>
      <c r="AW1081" s="483"/>
      <c r="AX1081" s="483"/>
      <c r="AY1081" s="270"/>
      <c r="AZ1081" s="270"/>
      <c r="BA1081" s="270">
        <f>IF(Table1[[#This Row],[Data de Início]]="","",YEAR(Table1[[#This Row],[Data de Início]]))</f>
        <v>2026</v>
      </c>
      <c r="BB1081" s="270">
        <f>IF(Table1[[#This Row],[Data de Início]]="","",MONTH(Table1[[#This Row],[Data de Início]]))</f>
        <v>5</v>
      </c>
      <c r="BC1081" s="483"/>
    </row>
    <row r="1082" spans="2:55" x14ac:dyDescent="0.25">
      <c r="B1082" s="470">
        <v>46171.729166666664</v>
      </c>
      <c r="C1082" s="263">
        <v>46171.789583333331</v>
      </c>
      <c r="D1082" s="264" cm="1">
        <f t="array" ref="D1082">IFERROR(HorasUteisFabrica2Turnos(B1082,C1082), "")</f>
        <v>1.4500000000116415</v>
      </c>
      <c r="E1082" s="697">
        <f t="shared" si="16"/>
        <v>309.65517241130698</v>
      </c>
      <c r="F1082" s="266" t="s">
        <v>377</v>
      </c>
      <c r="G1082" s="672" t="s">
        <v>1903</v>
      </c>
      <c r="H1082" s="266"/>
      <c r="I1082" s="268" t="s">
        <v>1904</v>
      </c>
      <c r="J1082" s="268" t="s">
        <v>15</v>
      </c>
      <c r="K1082" s="268">
        <v>449</v>
      </c>
      <c r="L1082" s="269" t="s">
        <v>1905</v>
      </c>
      <c r="M1082" s="510" t="str">
        <f>IFERROR(INDEX([1]Produtos!$C:$C,MATCH(L1082,[1]Produtos!$B:$B,0)), "-")</f>
        <v>BODY SPLASH CLAIRE 120ml</v>
      </c>
      <c r="N1082" s="510">
        <f>IFERROR(INDEX([1]Produtos!$E:$E,MATCH(L1082,[1]Produtos!$B:$B,0)), "-")</f>
        <v>120</v>
      </c>
      <c r="O1082" s="270" t="str">
        <f>IFERROR(INDEX([1]Produtos!$F:$F,MATCH(L1082,[1]Produtos!$B:$B,0)), "-")</f>
        <v>ml</v>
      </c>
      <c r="P1082" s="264" t="str">
        <f>IFERROR(INDEX([1]Produtos!$G:$G,MATCH(L1082,[1]Produtos!$B:$B,0)), "-")</f>
        <v>WIKE MAKE</v>
      </c>
      <c r="Q1082" s="270" t="str">
        <f>IFERROR(INDEX([1]Produtos!$H:$H,MATCH(L1082,[1]Produtos!$B:$B,0)), "-")</f>
        <v>PERFUMARIA</v>
      </c>
      <c r="R1082" s="270" t="str">
        <f>IFERROR(INDEX([1]Produtos!$I:$I,MATCH(L1082,[1]Produtos!$B:$B,0)), "-")</f>
        <v>BODY SPLASH</v>
      </c>
      <c r="S1082" s="270" t="str">
        <f>IFERROR(INDEX([1]Produtos!$J:$J,MATCH(L1082,[1]Produtos!$B:$B,0)), "-")</f>
        <v>LÍQUIDO</v>
      </c>
      <c r="T1082" s="475"/>
      <c r="U1082" s="270"/>
      <c r="V1082" s="270"/>
      <c r="W1082" s="270"/>
      <c r="X1082" s="270"/>
      <c r="Y1082" s="270"/>
      <c r="Z1082" s="270"/>
      <c r="AA1082" s="270"/>
      <c r="AB1082" s="270"/>
      <c r="AC1082" s="270"/>
      <c r="AD1082" s="270"/>
      <c r="AE1082" s="270"/>
      <c r="AF1082" s="270"/>
      <c r="AG1082" s="270"/>
      <c r="AH1082" s="270"/>
      <c r="AI1082" s="270"/>
      <c r="AJ1082" s="270"/>
      <c r="AK1082" s="270"/>
      <c r="AL1082" s="270"/>
      <c r="AM1082" s="663">
        <v>46171.708333333336</v>
      </c>
      <c r="AN1082" s="663">
        <v>46171.722222222219</v>
      </c>
      <c r="AO1082" s="708">
        <f>IF(OR(Table1[[#This Row],[Início Setup Envase]]="",Table1[[#This Row],[Final Setup Envase]]=""),"",Table1[[#This Row],[Final Setup Envase]]-Table1[[#This Row],[Início Setup Envase]])</f>
        <v>1.3888888883229811E-2</v>
      </c>
      <c r="AP1082" s="663"/>
      <c r="AQ1082" s="663"/>
      <c r="AR1082" s="270"/>
      <c r="AS1082" s="674"/>
      <c r="AT1082" s="674"/>
      <c r="AU1082" s="270"/>
      <c r="AV1082" s="270"/>
      <c r="AW1082" s="270"/>
      <c r="AX1082" s="270"/>
      <c r="AY1082" s="270"/>
      <c r="AZ1082" s="270"/>
      <c r="BA1082" s="270">
        <f>IF(Table1[[#This Row],[Data de Início]]="","",YEAR(Table1[[#This Row],[Data de Início]]))</f>
        <v>2026</v>
      </c>
      <c r="BB1082" s="270">
        <f>IF(Table1[[#This Row],[Data de Início]]="","",MONTH(Table1[[#This Row],[Data de Início]]))</f>
        <v>5</v>
      </c>
      <c r="BC1082" s="270"/>
    </row>
    <row r="1083" spans="2:55" x14ac:dyDescent="0.25">
      <c r="B1083" s="470">
        <v>46171.865972222222</v>
      </c>
      <c r="C1083" s="263">
        <v>46174.444444444445</v>
      </c>
      <c r="D1083" s="477" cm="1">
        <f t="array" ref="D1083">IFERROR(HorasUteisFabrica2Turnos(B1083,C1083), "")</f>
        <v>4.8833333333604969</v>
      </c>
      <c r="E1083" s="478">
        <f t="shared" si="16"/>
        <v>933.78839589924269</v>
      </c>
      <c r="F1083" s="266" t="s">
        <v>378</v>
      </c>
      <c r="G1083" s="266" t="s">
        <v>1834</v>
      </c>
      <c r="H1083" s="479"/>
      <c r="I1083" s="267" t="s">
        <v>1911</v>
      </c>
      <c r="J1083" s="268" t="s">
        <v>15</v>
      </c>
      <c r="K1083" s="268">
        <v>4560</v>
      </c>
      <c r="L1083" s="269" t="s">
        <v>1280</v>
      </c>
      <c r="M1083" s="511" t="str">
        <f>IFERROR(INDEX([1]Produtos!$C:$C,MATCH(L1083,[1]Produtos!$B:$B,0)), "-")</f>
        <v>BODY SPLASH CEU CELESTE 200ml</v>
      </c>
      <c r="N1083" s="511">
        <f>IFERROR(INDEX([1]Produtos!$E:$E,MATCH(L1083,[1]Produtos!$B:$B,0)), "-")</f>
        <v>215</v>
      </c>
      <c r="O1083" s="483" t="str">
        <f>IFERROR(INDEX([1]Produtos!$F:$F,MATCH(L1083,[1]Produtos!$B:$B,0)), "-")</f>
        <v>ml</v>
      </c>
      <c r="P1083" s="477" t="str">
        <f>IFERROR(INDEX([1]Produtos!$G:$G,MATCH(L1083,[1]Produtos!$B:$B,0)), "-")</f>
        <v>MISS RÔSE</v>
      </c>
      <c r="Q1083" s="483" t="str">
        <f>IFERROR(INDEX([1]Produtos!$H:$H,MATCH(L1083,[1]Produtos!$B:$B,0)), "-")</f>
        <v>PERFUMARIA</v>
      </c>
      <c r="R1083" s="483" t="str">
        <f>IFERROR(INDEX([1]Produtos!$I:$I,MATCH(L1083,[1]Produtos!$B:$B,0)), "-")</f>
        <v>BODY SPLASH</v>
      </c>
      <c r="S1083" s="483" t="str">
        <f>IFERROR(INDEX([1]Produtos!$J:$J,MATCH(L1083,[1]Produtos!$B:$B,0)), "-")</f>
        <v>LÍQUIDO</v>
      </c>
      <c r="T1083" s="484"/>
      <c r="U1083" s="483"/>
      <c r="V1083" s="483"/>
      <c r="W1083" s="483"/>
      <c r="X1083" s="483"/>
      <c r="Y1083" s="483"/>
      <c r="Z1083" s="483"/>
      <c r="AA1083" s="483"/>
      <c r="AB1083" s="483"/>
      <c r="AC1083" s="483"/>
      <c r="AD1083" s="483"/>
      <c r="AE1083" s="483"/>
      <c r="AF1083" s="483"/>
      <c r="AG1083" s="483"/>
      <c r="AH1083" s="483"/>
      <c r="AI1083" s="483"/>
      <c r="AJ1083" s="483"/>
      <c r="AK1083" s="483"/>
      <c r="AL1083" s="483"/>
      <c r="AM1083" s="670">
        <v>46171.861111111109</v>
      </c>
      <c r="AN1083" s="670">
        <v>46171.865972222222</v>
      </c>
      <c r="AO1083" s="711">
        <f>IF(OR(Table1[[#This Row],[Início Setup Envase]]="",Table1[[#This Row],[Final Setup Envase]]=""),"",Table1[[#This Row],[Final Setup Envase]]-Table1[[#This Row],[Início Setup Envase]])</f>
        <v>4.8611111124046147E-3</v>
      </c>
      <c r="AP1083" s="670">
        <v>46174.427083333336</v>
      </c>
      <c r="AQ1083" s="670">
        <v>46174.440972222219</v>
      </c>
      <c r="AR1083" s="483" t="s">
        <v>1912</v>
      </c>
      <c r="AS1083" s="483"/>
      <c r="AT1083" s="483"/>
      <c r="AU1083" s="483"/>
      <c r="AV1083" s="483"/>
      <c r="AW1083" s="483"/>
      <c r="AX1083" s="483"/>
      <c r="AY1083" s="270"/>
      <c r="AZ1083" s="270"/>
      <c r="BA1083" s="270">
        <f>IF(Table1[[#This Row],[Data de Início]]="","",YEAR(Table1[[#This Row],[Data de Início]]))</f>
        <v>2026</v>
      </c>
      <c r="BB1083" s="270">
        <f>IF(Table1[[#This Row],[Data de Início]]="","",MONTH(Table1[[#This Row],[Data de Início]]))</f>
        <v>5</v>
      </c>
      <c r="BC1083" s="483"/>
    </row>
    <row r="1084" spans="2:55" x14ac:dyDescent="0.25">
      <c r="B1084" s="470">
        <v>46174.444444444445</v>
      </c>
      <c r="C1084" s="263">
        <v>46174.738194444442</v>
      </c>
      <c r="D1084" s="264" cm="1">
        <f t="array" ref="D1084">IFERROR(HorasUteisFabrica2Turnos(B1084,C1084), "")</f>
        <v>6.0499999999301508</v>
      </c>
      <c r="E1084" s="265">
        <f t="shared" si="16"/>
        <v>761.652892570777</v>
      </c>
      <c r="F1084" s="266" t="s">
        <v>378</v>
      </c>
      <c r="G1084" s="656" t="s">
        <v>1834</v>
      </c>
      <c r="H1084" s="266"/>
      <c r="I1084" s="267" t="s">
        <v>1914</v>
      </c>
      <c r="J1084" s="268" t="s">
        <v>15</v>
      </c>
      <c r="K1084" s="268">
        <v>4608</v>
      </c>
      <c r="L1084" s="269" t="s">
        <v>1280</v>
      </c>
      <c r="M1084" s="510" t="str">
        <f>IFERROR(INDEX([1]Produtos!$C:$C,MATCH(L1084,[1]Produtos!$B:$B,0)), "-")</f>
        <v>BODY SPLASH CEU CELESTE 200ml</v>
      </c>
      <c r="N1084" s="510">
        <f>IFERROR(INDEX([1]Produtos!$E:$E,MATCH(L1084,[1]Produtos!$B:$B,0)), "-")</f>
        <v>215</v>
      </c>
      <c r="O1084" s="270" t="str">
        <f>IFERROR(INDEX([1]Produtos!$F:$F,MATCH(L1084,[1]Produtos!$B:$B,0)), "-")</f>
        <v>ml</v>
      </c>
      <c r="P1084" s="264" t="str">
        <f>IFERROR(INDEX([1]Produtos!$G:$G,MATCH(L1084,[1]Produtos!$B:$B,0)), "-")</f>
        <v>MISS RÔSE</v>
      </c>
      <c r="Q1084" s="270" t="str">
        <f>IFERROR(INDEX([1]Produtos!$H:$H,MATCH(L1084,[1]Produtos!$B:$B,0)), "-")</f>
        <v>PERFUMARIA</v>
      </c>
      <c r="R1084" s="270" t="str">
        <f>IFERROR(INDEX([1]Produtos!$I:$I,MATCH(L1084,[1]Produtos!$B:$B,0)), "-")</f>
        <v>BODY SPLASH</v>
      </c>
      <c r="S1084" s="270" t="str">
        <f>IFERROR(INDEX([1]Produtos!$J:$J,MATCH(L1084,[1]Produtos!$B:$B,0)), "-")</f>
        <v>LÍQUIDO</v>
      </c>
      <c r="T1084" s="475"/>
      <c r="U1084" s="270"/>
      <c r="V1084" s="270"/>
      <c r="W1084" s="270"/>
      <c r="X1084" s="270"/>
      <c r="Y1084" s="270"/>
      <c r="Z1084" s="270"/>
      <c r="AA1084" s="270"/>
      <c r="AB1084" s="270"/>
      <c r="AC1084" s="270"/>
      <c r="AD1084" s="270"/>
      <c r="AE1084" s="270"/>
      <c r="AF1084" s="270"/>
      <c r="AG1084" s="270"/>
      <c r="AH1084" s="270"/>
      <c r="AI1084" s="270"/>
      <c r="AJ1084" s="270"/>
      <c r="AK1084" s="270"/>
      <c r="AL1084" s="270"/>
      <c r="AM1084" s="663">
        <v>46174.438888888886</v>
      </c>
      <c r="AN1084" s="663">
        <v>46174.440972222219</v>
      </c>
      <c r="AO1084" s="708">
        <f>IF(OR(Table1[[#This Row],[Início Setup Envase]]="",Table1[[#This Row],[Final Setup Envase]]=""),"",Table1[[#This Row],[Final Setup Envase]]-Table1[[#This Row],[Início Setup Envase]])</f>
        <v>2.0833333328482695E-3</v>
      </c>
      <c r="AP1084" s="663">
        <v>46174.534722222219</v>
      </c>
      <c r="AQ1084" s="663">
        <v>46174.541666666664</v>
      </c>
      <c r="AR1084" s="270" t="s">
        <v>1830</v>
      </c>
      <c r="AS1084" s="270"/>
      <c r="AT1084" s="270"/>
      <c r="AU1084" s="270"/>
      <c r="AV1084" s="270"/>
      <c r="AW1084" s="270"/>
      <c r="AX1084" s="270"/>
      <c r="AY1084" s="270"/>
      <c r="AZ1084" s="270"/>
      <c r="BA1084" s="270">
        <f>IF(Table1[[#This Row],[Data de Início]]="","",YEAR(Table1[[#This Row],[Data de Início]]))</f>
        <v>2026</v>
      </c>
      <c r="BB1084" s="270">
        <f>IF(Table1[[#This Row],[Data de Início]]="","",MONTH(Table1[[#This Row],[Data de Início]]))</f>
        <v>6</v>
      </c>
      <c r="BC1084" s="270"/>
    </row>
    <row r="1085" spans="2:55" x14ac:dyDescent="0.25">
      <c r="B1085" s="470">
        <v>46174.552777777775</v>
      </c>
      <c r="C1085" s="263">
        <v>46176.568749999999</v>
      </c>
      <c r="D1085" s="477" cm="1">
        <f t="array" ref="D1085">IFERROR(HorasUteisFabrica2Turnos(B1085,C1085), "")</f>
        <v>18.383333333593328</v>
      </c>
      <c r="E1085" s="654">
        <f t="shared" si="16"/>
        <v>13.055303716950446</v>
      </c>
      <c r="F1085" s="266" t="s">
        <v>378</v>
      </c>
      <c r="G1085" s="672" t="s">
        <v>1903</v>
      </c>
      <c r="H1085" s="479"/>
      <c r="I1085" s="268" t="s">
        <v>1931</v>
      </c>
      <c r="J1085" s="268" t="s">
        <v>15</v>
      </c>
      <c r="K1085" s="268">
        <v>240</v>
      </c>
      <c r="L1085" s="269" t="s">
        <v>1932</v>
      </c>
      <c r="M1085" s="511" t="str">
        <f>IFERROR(INDEX([1]Produtos!$C:$C,MATCH(L1085,[1]Produtos!$B:$B,0)), "-")</f>
        <v>BODY SPLASH IDOLA 120ml</v>
      </c>
      <c r="N1085" s="511">
        <f>IFERROR(INDEX([1]Produtos!$E:$E,MATCH(L1085,[1]Produtos!$B:$B,0)), "-")</f>
        <v>120</v>
      </c>
      <c r="O1085" s="483" t="str">
        <f>IFERROR(INDEX([1]Produtos!$F:$F,MATCH(L1085,[1]Produtos!$B:$B,0)), "-")</f>
        <v>ml</v>
      </c>
      <c r="P1085" s="477" t="str">
        <f>IFERROR(INDEX([1]Produtos!$G:$G,MATCH(L1085,[1]Produtos!$B:$B,0)), "-")</f>
        <v>WIKE MAKE</v>
      </c>
      <c r="Q1085" s="483" t="str">
        <f>IFERROR(INDEX([1]Produtos!$H:$H,MATCH(L1085,[1]Produtos!$B:$B,0)), "-")</f>
        <v>PERFUMARIA</v>
      </c>
      <c r="R1085" s="483" t="str">
        <f>IFERROR(INDEX([1]Produtos!$I:$I,MATCH(L1085,[1]Produtos!$B:$B,0)), "-")</f>
        <v>BODY SPLASH</v>
      </c>
      <c r="S1085" s="483" t="str">
        <f>IFERROR(INDEX([1]Produtos!$J:$J,MATCH(L1085,[1]Produtos!$B:$B,0)), "-")</f>
        <v>LÍQUIDO</v>
      </c>
      <c r="T1085" s="484"/>
      <c r="U1085" s="483"/>
      <c r="V1085" s="483"/>
      <c r="W1085" s="483"/>
      <c r="X1085" s="483"/>
      <c r="Y1085" s="483"/>
      <c r="Z1085" s="483"/>
      <c r="AA1085" s="483"/>
      <c r="AB1085" s="483"/>
      <c r="AC1085" s="483"/>
      <c r="AD1085" s="483"/>
      <c r="AE1085" s="483"/>
      <c r="AF1085" s="483"/>
      <c r="AG1085" s="483"/>
      <c r="AH1085" s="483"/>
      <c r="AI1085" s="483"/>
      <c r="AJ1085" s="483"/>
      <c r="AK1085" s="483"/>
      <c r="AL1085" s="483"/>
      <c r="AM1085" s="670">
        <v>46176.548611111109</v>
      </c>
      <c r="AN1085" s="670">
        <v>46176.552083333336</v>
      </c>
      <c r="AO1085" s="711">
        <f>IF(OR(Table1[[#This Row],[Início Setup Envase]]="",Table1[[#This Row],[Final Setup Envase]]=""),"",Table1[[#This Row],[Final Setup Envase]]-Table1[[#This Row],[Início Setup Envase]])</f>
        <v>3.4722222262644209E-3</v>
      </c>
      <c r="AP1085" s="670"/>
      <c r="AQ1085" s="670"/>
      <c r="AR1085" s="483"/>
      <c r="AS1085" s="622"/>
      <c r="AT1085" s="622"/>
      <c r="AU1085" s="483"/>
      <c r="AV1085" s="483"/>
      <c r="AW1085" s="483"/>
      <c r="AX1085" s="483"/>
      <c r="AY1085" s="270"/>
      <c r="AZ1085" s="270"/>
      <c r="BA1085" s="270">
        <f>IF(Table1[[#This Row],[Data de Início]]="","",YEAR(Table1[[#This Row],[Data de Início]]))</f>
        <v>2026</v>
      </c>
      <c r="BB1085" s="270">
        <f>IF(Table1[[#This Row],[Data de Início]]="","",MONTH(Table1[[#This Row],[Data de Início]]))</f>
        <v>6</v>
      </c>
      <c r="BC1085" s="483"/>
    </row>
    <row r="1086" spans="2:55" x14ac:dyDescent="0.25">
      <c r="B1086" s="470">
        <v>46174.652777777781</v>
      </c>
      <c r="C1086" s="263">
        <v>46175.362500000003</v>
      </c>
      <c r="D1086" s="264" cm="1">
        <f t="array" ref="D1086">IFERROR(HorasUteisFabrica2Turnos(B1086,C1086), "")</f>
        <v>3.0333333334419876</v>
      </c>
      <c r="E1086" s="697">
        <f t="shared" si="16"/>
        <v>2204.8351647561876</v>
      </c>
      <c r="F1086" s="266" t="s">
        <v>377</v>
      </c>
      <c r="G1086" s="672" t="s">
        <v>1903</v>
      </c>
      <c r="H1086" s="266"/>
      <c r="I1086" s="267" t="s">
        <v>1919</v>
      </c>
      <c r="J1086" s="268" t="s">
        <v>15</v>
      </c>
      <c r="K1086" s="268">
        <v>6688</v>
      </c>
      <c r="L1086" s="269" t="s">
        <v>1905</v>
      </c>
      <c r="M1086" s="510" t="str">
        <f>IFERROR(INDEX([1]Produtos!$C:$C,MATCH(L1086,[1]Produtos!$B:$B,0)), "-")</f>
        <v>BODY SPLASH CLAIRE 120ml</v>
      </c>
      <c r="N1086" s="510">
        <f>IFERROR(INDEX([1]Produtos!$E:$E,MATCH(L1086,[1]Produtos!$B:$B,0)), "-")</f>
        <v>120</v>
      </c>
      <c r="O1086" s="270" t="str">
        <f>IFERROR(INDEX([1]Produtos!$F:$F,MATCH(L1086,[1]Produtos!$B:$B,0)), "-")</f>
        <v>ml</v>
      </c>
      <c r="P1086" s="264" t="str">
        <f>IFERROR(INDEX([1]Produtos!$G:$G,MATCH(L1086,[1]Produtos!$B:$B,0)), "-")</f>
        <v>WIKE MAKE</v>
      </c>
      <c r="Q1086" s="270" t="str">
        <f>IFERROR(INDEX([1]Produtos!$H:$H,MATCH(L1086,[1]Produtos!$B:$B,0)), "-")</f>
        <v>PERFUMARIA</v>
      </c>
      <c r="R1086" s="270" t="str">
        <f>IFERROR(INDEX([1]Produtos!$I:$I,MATCH(L1086,[1]Produtos!$B:$B,0)), "-")</f>
        <v>BODY SPLASH</v>
      </c>
      <c r="S1086" s="270" t="str">
        <f>IFERROR(INDEX([1]Produtos!$J:$J,MATCH(L1086,[1]Produtos!$B:$B,0)), "-")</f>
        <v>LÍQUIDO</v>
      </c>
      <c r="T1086" s="475"/>
      <c r="U1086" s="270"/>
      <c r="V1086" s="270"/>
      <c r="W1086" s="270"/>
      <c r="X1086" s="270">
        <v>250</v>
      </c>
      <c r="Y1086" s="270"/>
      <c r="Z1086" s="270"/>
      <c r="AA1086" s="270"/>
      <c r="AB1086" s="270"/>
      <c r="AC1086" s="270"/>
      <c r="AD1086" s="270"/>
      <c r="AE1086" s="270"/>
      <c r="AF1086" s="270"/>
      <c r="AG1086" s="270"/>
      <c r="AH1086" s="270"/>
      <c r="AI1086" s="270"/>
      <c r="AJ1086" s="270"/>
      <c r="AK1086" s="270"/>
      <c r="AL1086" s="270"/>
      <c r="AM1086" s="663">
        <v>46174.645833333336</v>
      </c>
      <c r="AN1086" s="663">
        <v>46174.652777777781</v>
      </c>
      <c r="AO1086" s="708">
        <f>IF(OR(Table1[[#This Row],[Início Setup Envase]]="",Table1[[#This Row],[Final Setup Envase]]=""),"",Table1[[#This Row],[Final Setup Envase]]-Table1[[#This Row],[Início Setup Envase]])</f>
        <v>6.9444444452528842E-3</v>
      </c>
      <c r="AP1086" s="663"/>
      <c r="AQ1086" s="663"/>
      <c r="AR1086" s="270"/>
      <c r="AS1086" s="674"/>
      <c r="AT1086" s="674"/>
      <c r="AU1086" s="270"/>
      <c r="AV1086" s="270"/>
      <c r="AW1086" s="270"/>
      <c r="AX1086" s="270"/>
      <c r="AY1086" s="270"/>
      <c r="AZ1086" s="270"/>
      <c r="BA1086" s="270">
        <f>IF(Table1[[#This Row],[Data de Início]]="","",YEAR(Table1[[#This Row],[Data de Início]]))</f>
        <v>2026</v>
      </c>
      <c r="BB1086" s="270">
        <f>IF(Table1[[#This Row],[Data de Início]]="","",MONTH(Table1[[#This Row],[Data de Início]]))</f>
        <v>6</v>
      </c>
      <c r="BC1086" s="270"/>
    </row>
    <row r="1087" spans="2:55" x14ac:dyDescent="0.25">
      <c r="B1087" s="470">
        <v>46174.743055555555</v>
      </c>
      <c r="C1087" s="263">
        <v>46174.885416666664</v>
      </c>
      <c r="D1087" s="477" cm="1">
        <f t="array" ref="D1087">IFERROR(HorasUteisFabrica2Turnos(B1087,C1087), "")</f>
        <v>3.4166666666278616</v>
      </c>
      <c r="E1087" s="654">
        <f t="shared" si="16"/>
        <v>486.1463414689361</v>
      </c>
      <c r="F1087" s="266" t="s">
        <v>378</v>
      </c>
      <c r="G1087" s="656" t="s">
        <v>1834</v>
      </c>
      <c r="H1087" s="479"/>
      <c r="I1087" s="267" t="s">
        <v>1913</v>
      </c>
      <c r="J1087" s="268" t="s">
        <v>15</v>
      </c>
      <c r="K1087" s="268">
        <v>1661</v>
      </c>
      <c r="L1087" s="269" t="s">
        <v>1280</v>
      </c>
      <c r="M1087" s="511" t="str">
        <f>IFERROR(INDEX([1]Produtos!$C:$C,MATCH(L1087,[1]Produtos!$B:$B,0)), "-")</f>
        <v>BODY SPLASH CEU CELESTE 200ml</v>
      </c>
      <c r="N1087" s="511">
        <f>IFERROR(INDEX([1]Produtos!$E:$E,MATCH(L1087,[1]Produtos!$B:$B,0)), "-")</f>
        <v>215</v>
      </c>
      <c r="O1087" s="483" t="str">
        <f>IFERROR(INDEX([1]Produtos!$F:$F,MATCH(L1087,[1]Produtos!$B:$B,0)), "-")</f>
        <v>ml</v>
      </c>
      <c r="P1087" s="477" t="str">
        <f>IFERROR(INDEX([1]Produtos!$G:$G,MATCH(L1087,[1]Produtos!$B:$B,0)), "-")</f>
        <v>MISS RÔSE</v>
      </c>
      <c r="Q1087" s="483" t="str">
        <f>IFERROR(INDEX([1]Produtos!$H:$H,MATCH(L1087,[1]Produtos!$B:$B,0)), "-")</f>
        <v>PERFUMARIA</v>
      </c>
      <c r="R1087" s="483" t="str">
        <f>IFERROR(INDEX([1]Produtos!$I:$I,MATCH(L1087,[1]Produtos!$B:$B,0)), "-")</f>
        <v>BODY SPLASH</v>
      </c>
      <c r="S1087" s="483" t="str">
        <f>IFERROR(INDEX([1]Produtos!$J:$J,MATCH(L1087,[1]Produtos!$B:$B,0)), "-")</f>
        <v>LÍQUIDO</v>
      </c>
      <c r="T1087" s="484"/>
      <c r="U1087" s="483"/>
      <c r="V1087" s="483"/>
      <c r="W1087" s="483"/>
      <c r="X1087" s="483"/>
      <c r="Y1087" s="483"/>
      <c r="Z1087" s="483"/>
      <c r="AA1087" s="483"/>
      <c r="AB1087" s="483"/>
      <c r="AC1087" s="483"/>
      <c r="AD1087" s="483"/>
      <c r="AE1087" s="483"/>
      <c r="AF1087" s="483"/>
      <c r="AG1087" s="483"/>
      <c r="AH1087" s="483"/>
      <c r="AI1087" s="483"/>
      <c r="AJ1087" s="483"/>
      <c r="AK1087" s="483"/>
      <c r="AL1087" s="483"/>
      <c r="AM1087" s="670">
        <v>46174.738194444442</v>
      </c>
      <c r="AN1087" s="670">
        <v>46174.743055555555</v>
      </c>
      <c r="AO1087" s="711">
        <f>IF(OR(Table1[[#This Row],[Início Setup Envase]]="",Table1[[#This Row],[Final Setup Envase]]=""),"",Table1[[#This Row],[Final Setup Envase]]-Table1[[#This Row],[Início Setup Envase]])</f>
        <v>4.8611111124046147E-3</v>
      </c>
      <c r="AP1087" s="670"/>
      <c r="AQ1087" s="670"/>
      <c r="AR1087" s="483"/>
      <c r="AS1087" s="622"/>
      <c r="AT1087" s="622"/>
      <c r="AU1087" s="483"/>
      <c r="AV1087" s="483"/>
      <c r="AW1087" s="483"/>
      <c r="AX1087" s="483"/>
      <c r="AY1087" s="270"/>
      <c r="AZ1087" s="270"/>
      <c r="BA1087" s="270">
        <f>IF(Table1[[#This Row],[Data de Início]]="","",YEAR(Table1[[#This Row],[Data de Início]]))</f>
        <v>2026</v>
      </c>
      <c r="BB1087" s="270">
        <f>IF(Table1[[#This Row],[Data de Início]]="","",MONTH(Table1[[#This Row],[Data de Início]]))</f>
        <v>6</v>
      </c>
      <c r="BC1087" s="483"/>
    </row>
    <row r="1088" spans="2:55" x14ac:dyDescent="0.25">
      <c r="B1088" s="470">
        <v>46174.890277777777</v>
      </c>
      <c r="C1088" s="263">
        <v>46175.418749999997</v>
      </c>
      <c r="D1088" s="264" cm="1">
        <f t="array" ref="D1088">IFERROR(HorasUteisFabrica2Turnos(B1088,C1088), "")</f>
        <v>3.6833333332906477</v>
      </c>
      <c r="E1088" s="697">
        <f t="shared" si="16"/>
        <v>1146.7873303300321</v>
      </c>
      <c r="F1088" s="266" t="s">
        <v>378</v>
      </c>
      <c r="G1088" s="656" t="s">
        <v>1834</v>
      </c>
      <c r="H1088" s="266"/>
      <c r="I1088" s="267" t="s">
        <v>1922</v>
      </c>
      <c r="J1088" s="268" t="s">
        <v>15</v>
      </c>
      <c r="K1088" s="268">
        <v>4224</v>
      </c>
      <c r="L1088" s="269" t="s">
        <v>1260</v>
      </c>
      <c r="M1088" s="510" t="str">
        <f>IFERROR(INDEX([1]Produtos!$C:$C,MATCH(L1088,[1]Produtos!$B:$B,0)), "-")</f>
        <v>BODY SPLASH FLOR D AURA 200ml</v>
      </c>
      <c r="N1088" s="510">
        <f>IFERROR(INDEX([1]Produtos!$E:$E,MATCH(L1088,[1]Produtos!$B:$B,0)), "-")</f>
        <v>215</v>
      </c>
      <c r="O1088" s="270" t="str">
        <f>IFERROR(INDEX([1]Produtos!$F:$F,MATCH(L1088,[1]Produtos!$B:$B,0)), "-")</f>
        <v>ml</v>
      </c>
      <c r="P1088" s="264" t="str">
        <f>IFERROR(INDEX([1]Produtos!$G:$G,MATCH(L1088,[1]Produtos!$B:$B,0)), "-")</f>
        <v>MISS RÔSE</v>
      </c>
      <c r="Q1088" s="270" t="str">
        <f>IFERROR(INDEX([1]Produtos!$H:$H,MATCH(L1088,[1]Produtos!$B:$B,0)), "-")</f>
        <v>PERFUMARIA</v>
      </c>
      <c r="R1088" s="270" t="str">
        <f>IFERROR(INDEX([1]Produtos!$I:$I,MATCH(L1088,[1]Produtos!$B:$B,0)), "-")</f>
        <v>BODY SPLASH</v>
      </c>
      <c r="S1088" s="270" t="str">
        <f>IFERROR(INDEX([1]Produtos!$J:$J,MATCH(L1088,[1]Produtos!$B:$B,0)), "-")</f>
        <v>LÍQUIDO</v>
      </c>
      <c r="T1088" s="475"/>
      <c r="U1088" s="270"/>
      <c r="V1088" s="270"/>
      <c r="W1088" s="270"/>
      <c r="X1088" s="270"/>
      <c r="Y1088" s="270"/>
      <c r="Z1088" s="270"/>
      <c r="AA1088" s="270"/>
      <c r="AB1088" s="270"/>
      <c r="AC1088" s="270"/>
      <c r="AD1088" s="270"/>
      <c r="AE1088" s="270"/>
      <c r="AF1088" s="270"/>
      <c r="AG1088" s="270"/>
      <c r="AH1088" s="270"/>
      <c r="AI1088" s="270"/>
      <c r="AJ1088" s="270"/>
      <c r="AK1088" s="270"/>
      <c r="AL1088" s="270"/>
      <c r="AM1088" s="663">
        <v>46174.875</v>
      </c>
      <c r="AN1088" s="663">
        <v>46174.88958333333</v>
      </c>
      <c r="AO1088" s="708">
        <f>IF(OR(Table1[[#This Row],[Início Setup Envase]]="",Table1[[#This Row],[Final Setup Envase]]=""),"",Table1[[#This Row],[Final Setup Envase]]-Table1[[#This Row],[Início Setup Envase]])</f>
        <v>1.4583333329937886E-2</v>
      </c>
      <c r="AP1088" s="663"/>
      <c r="AQ1088" s="663"/>
      <c r="AR1088" s="270"/>
      <c r="AS1088" s="674"/>
      <c r="AT1088" s="674"/>
      <c r="AU1088" s="270"/>
      <c r="AV1088" s="270"/>
      <c r="AW1088" s="270"/>
      <c r="AX1088" s="270"/>
      <c r="AY1088" s="270"/>
      <c r="AZ1088" s="270"/>
      <c r="BA1088" s="270">
        <f>IF(Table1[[#This Row],[Data de Início]]="","",YEAR(Table1[[#This Row],[Data de Início]]))</f>
        <v>2026</v>
      </c>
      <c r="BB1088" s="270">
        <f>IF(Table1[[#This Row],[Data de Início]]="","",MONTH(Table1[[#This Row],[Data de Início]]))</f>
        <v>6</v>
      </c>
      <c r="BC1088" s="270"/>
    </row>
    <row r="1089" spans="2:55" x14ac:dyDescent="0.25">
      <c r="B1089" s="470">
        <v>46175.378472222219</v>
      </c>
      <c r="C1089" s="263">
        <v>46175.390277777777</v>
      </c>
      <c r="D1089" s="477" cm="1">
        <f t="array" ref="D1089">IFERROR(HorasUteisFabrica2Turnos(B1089,C1089), "")</f>
        <v>0.28333333338377997</v>
      </c>
      <c r="E1089" s="265">
        <f t="shared" si="16"/>
        <v>847.05882337859555</v>
      </c>
      <c r="F1089" s="266" t="s">
        <v>377</v>
      </c>
      <c r="G1089" s="672" t="s">
        <v>1903</v>
      </c>
      <c r="H1089" s="479"/>
      <c r="I1089" s="267" t="s">
        <v>1920</v>
      </c>
      <c r="J1089" s="268" t="s">
        <v>15</v>
      </c>
      <c r="K1089" s="268">
        <v>240</v>
      </c>
      <c r="L1089" s="269" t="s">
        <v>1921</v>
      </c>
      <c r="M1089" s="511" t="str">
        <f>IFERROR(INDEX([1]Produtos!$C:$C,MATCH(L1089,[1]Produtos!$B:$B,0)), "-")</f>
        <v>BODY SPLASH DESERTO DOURADO 120ml</v>
      </c>
      <c r="N1089" s="511">
        <f>IFERROR(INDEX([1]Produtos!$E:$E,MATCH(L1089,[1]Produtos!$B:$B,0)), "-")</f>
        <v>120</v>
      </c>
      <c r="O1089" s="483" t="str">
        <f>IFERROR(INDEX([1]Produtos!$F:$F,MATCH(L1089,[1]Produtos!$B:$B,0)), "-")</f>
        <v>ml</v>
      </c>
      <c r="P1089" s="477" t="str">
        <f>IFERROR(INDEX([1]Produtos!$G:$G,MATCH(L1089,[1]Produtos!$B:$B,0)), "-")</f>
        <v>WIKE MAKE</v>
      </c>
      <c r="Q1089" s="483" t="str">
        <f>IFERROR(INDEX([1]Produtos!$H:$H,MATCH(L1089,[1]Produtos!$B:$B,0)), "-")</f>
        <v>PERFUMARIA</v>
      </c>
      <c r="R1089" s="483" t="str">
        <f>IFERROR(INDEX([1]Produtos!$I:$I,MATCH(L1089,[1]Produtos!$B:$B,0)), "-")</f>
        <v>BODY SPLASH</v>
      </c>
      <c r="S1089" s="483" t="str">
        <f>IFERROR(INDEX([1]Produtos!$J:$J,MATCH(L1089,[1]Produtos!$B:$B,0)), "-")</f>
        <v>LÍQUIDO</v>
      </c>
      <c r="T1089" s="484"/>
      <c r="U1089" s="483"/>
      <c r="V1089" s="483"/>
      <c r="W1089" s="483"/>
      <c r="X1089" s="483"/>
      <c r="Y1089" s="483"/>
      <c r="Z1089" s="483"/>
      <c r="AA1089" s="483"/>
      <c r="AB1089" s="483"/>
      <c r="AC1089" s="483"/>
      <c r="AD1089" s="483"/>
      <c r="AE1089" s="483"/>
      <c r="AF1089" s="483"/>
      <c r="AG1089" s="483"/>
      <c r="AH1089" s="483"/>
      <c r="AI1089" s="483"/>
      <c r="AJ1089" s="483"/>
      <c r="AK1089" s="483"/>
      <c r="AL1089" s="483"/>
      <c r="AM1089" s="670">
        <v>46175.368055555555</v>
      </c>
      <c r="AN1089" s="670">
        <v>46175.375</v>
      </c>
      <c r="AO1089" s="711">
        <f>IF(OR(Table1[[#This Row],[Início Setup Envase]]="",Table1[[#This Row],[Final Setup Envase]]=""),"",Table1[[#This Row],[Final Setup Envase]]-Table1[[#This Row],[Início Setup Envase]])</f>
        <v>6.9444444452528842E-3</v>
      </c>
      <c r="AP1089" s="670"/>
      <c r="AQ1089" s="670"/>
      <c r="AR1089" s="483"/>
      <c r="AS1089" s="483"/>
      <c r="AT1089" s="483"/>
      <c r="AU1089" s="483"/>
      <c r="AV1089" s="483"/>
      <c r="AW1089" s="483"/>
      <c r="AX1089" s="483"/>
      <c r="AY1089" s="270"/>
      <c r="AZ1089" s="270"/>
      <c r="BA1089" s="270">
        <f>IF(Table1[[#This Row],[Data de Início]]="","",YEAR(Table1[[#This Row],[Data de Início]]))</f>
        <v>2026</v>
      </c>
      <c r="BB1089" s="270">
        <f>IF(Table1[[#This Row],[Data de Início]]="","",MONTH(Table1[[#This Row],[Data de Início]]))</f>
        <v>6</v>
      </c>
      <c r="BC1089" s="483"/>
    </row>
    <row r="1090" spans="2:55" x14ac:dyDescent="0.25">
      <c r="B1090" s="470">
        <v>46175.395833333336</v>
      </c>
      <c r="C1090" s="263">
        <v>46175.584027777775</v>
      </c>
      <c r="D1090" s="264" cm="1">
        <f t="array" ref="D1090">IFERROR(HorasUteisFabrica2Turnos(B1090,C1090), "")</f>
        <v>3.5166666665463708</v>
      </c>
      <c r="E1090" s="697">
        <f t="shared" si="16"/>
        <v>2293.0805687988195</v>
      </c>
      <c r="F1090" s="266" t="s">
        <v>377</v>
      </c>
      <c r="G1090" s="672" t="s">
        <v>1903</v>
      </c>
      <c r="H1090" s="266"/>
      <c r="I1090" s="267" t="s">
        <v>1927</v>
      </c>
      <c r="J1090" s="268" t="s">
        <v>15</v>
      </c>
      <c r="K1090" s="268">
        <v>8064</v>
      </c>
      <c r="L1090" s="269" t="s">
        <v>1921</v>
      </c>
      <c r="M1090" s="510" t="str">
        <f>IFERROR(INDEX([1]Produtos!$C:$C,MATCH(L1090,[1]Produtos!$B:$B,0)), "-")</f>
        <v>BODY SPLASH DESERTO DOURADO 120ml</v>
      </c>
      <c r="N1090" s="510">
        <f>IFERROR(INDEX([1]Produtos!$E:$E,MATCH(L1090,[1]Produtos!$B:$B,0)), "-")</f>
        <v>120</v>
      </c>
      <c r="O1090" s="270" t="str">
        <f>IFERROR(INDEX([1]Produtos!$F:$F,MATCH(L1090,[1]Produtos!$B:$B,0)), "-")</f>
        <v>ml</v>
      </c>
      <c r="P1090" s="264" t="str">
        <f>IFERROR(INDEX([1]Produtos!$G:$G,MATCH(L1090,[1]Produtos!$B:$B,0)), "-")</f>
        <v>WIKE MAKE</v>
      </c>
      <c r="Q1090" s="270" t="str">
        <f>IFERROR(INDEX([1]Produtos!$H:$H,MATCH(L1090,[1]Produtos!$B:$B,0)), "-")</f>
        <v>PERFUMARIA</v>
      </c>
      <c r="R1090" s="270" t="str">
        <f>IFERROR(INDEX([1]Produtos!$I:$I,MATCH(L1090,[1]Produtos!$B:$B,0)), "-")</f>
        <v>BODY SPLASH</v>
      </c>
      <c r="S1090" s="270" t="str">
        <f>IFERROR(INDEX([1]Produtos!$J:$J,MATCH(L1090,[1]Produtos!$B:$B,0)), "-")</f>
        <v>LÍQUIDO</v>
      </c>
      <c r="T1090" s="475"/>
      <c r="U1090" s="270"/>
      <c r="V1090" s="270"/>
      <c r="W1090" s="270"/>
      <c r="X1090" s="270"/>
      <c r="Y1090" s="270"/>
      <c r="Z1090" s="270"/>
      <c r="AA1090" s="270"/>
      <c r="AB1090" s="270"/>
      <c r="AC1090" s="270"/>
      <c r="AD1090" s="270"/>
      <c r="AE1090" s="270"/>
      <c r="AF1090" s="270"/>
      <c r="AG1090" s="270"/>
      <c r="AH1090" s="270"/>
      <c r="AI1090" s="270"/>
      <c r="AJ1090" s="270"/>
      <c r="AK1090" s="270"/>
      <c r="AL1090" s="270"/>
      <c r="AM1090" s="663">
        <v>46175.390277777777</v>
      </c>
      <c r="AN1090" s="663">
        <v>46175.392361111109</v>
      </c>
      <c r="AO1090" s="708">
        <f>IF(OR(Table1[[#This Row],[Início Setup Envase]]="",Table1[[#This Row],[Final Setup Envase]]=""),"",Table1[[#This Row],[Final Setup Envase]]-Table1[[#This Row],[Início Setup Envase]])</f>
        <v>2.0833333328482695E-3</v>
      </c>
      <c r="AP1090" s="663"/>
      <c r="AQ1090" s="663"/>
      <c r="AR1090" s="270"/>
      <c r="AS1090" s="674"/>
      <c r="AT1090" s="674"/>
      <c r="AU1090" s="270"/>
      <c r="AV1090" s="270"/>
      <c r="AW1090" s="270"/>
      <c r="AX1090" s="270"/>
      <c r="AY1090" s="270"/>
      <c r="AZ1090" s="270"/>
      <c r="BA1090" s="270">
        <f>IF(Table1[[#This Row],[Data de Início]]="","",YEAR(Table1[[#This Row],[Data de Início]]))</f>
        <v>2026</v>
      </c>
      <c r="BB1090" s="270">
        <f>IF(Table1[[#This Row],[Data de Início]]="","",MONTH(Table1[[#This Row],[Data de Início]]))</f>
        <v>6</v>
      </c>
      <c r="BC1090" s="270"/>
    </row>
    <row r="1091" spans="2:55" x14ac:dyDescent="0.25">
      <c r="B1091" s="470">
        <v>46175.420138888891</v>
      </c>
      <c r="C1091" s="263">
        <v>46175.55972222222</v>
      </c>
      <c r="D1091" s="477" cm="1">
        <f t="array" ref="D1091">IFERROR(HorasUteisFabrica2Turnos(B1091,C1091), "")</f>
        <v>2.3499999999185093</v>
      </c>
      <c r="E1091" s="478">
        <f t="shared" ref="E1091:E1123" si="17">IFERROR(K1091/D1091, "")</f>
        <v>1920.0000000665796</v>
      </c>
      <c r="F1091" s="266" t="s">
        <v>378</v>
      </c>
      <c r="G1091" s="656" t="s">
        <v>1834</v>
      </c>
      <c r="H1091" s="479"/>
      <c r="I1091" s="267" t="s">
        <v>1928</v>
      </c>
      <c r="J1091" s="268" t="s">
        <v>15</v>
      </c>
      <c r="K1091" s="268">
        <v>4512</v>
      </c>
      <c r="L1091" s="269" t="s">
        <v>1260</v>
      </c>
      <c r="M1091" s="511" t="str">
        <f>IFERROR(INDEX([1]Produtos!$C:$C,MATCH(L1091,[1]Produtos!$B:$B,0)), "-")</f>
        <v>BODY SPLASH FLOR D AURA 200ml</v>
      </c>
      <c r="N1091" s="511">
        <f>IFERROR(INDEX([1]Produtos!$E:$E,MATCH(L1091,[1]Produtos!$B:$B,0)), "-")</f>
        <v>215</v>
      </c>
      <c r="O1091" s="483" t="str">
        <f>IFERROR(INDEX([1]Produtos!$F:$F,MATCH(L1091,[1]Produtos!$B:$B,0)), "-")</f>
        <v>ml</v>
      </c>
      <c r="P1091" s="477" t="str">
        <f>IFERROR(INDEX([1]Produtos!$G:$G,MATCH(L1091,[1]Produtos!$B:$B,0)), "-")</f>
        <v>MISS RÔSE</v>
      </c>
      <c r="Q1091" s="483" t="str">
        <f>IFERROR(INDEX([1]Produtos!$H:$H,MATCH(L1091,[1]Produtos!$B:$B,0)), "-")</f>
        <v>PERFUMARIA</v>
      </c>
      <c r="R1091" s="483" t="str">
        <f>IFERROR(INDEX([1]Produtos!$I:$I,MATCH(L1091,[1]Produtos!$B:$B,0)), "-")</f>
        <v>BODY SPLASH</v>
      </c>
      <c r="S1091" s="483" t="str">
        <f>IFERROR(INDEX([1]Produtos!$J:$J,MATCH(L1091,[1]Produtos!$B:$B,0)), "-")</f>
        <v>LÍQUIDO</v>
      </c>
      <c r="T1091" s="484"/>
      <c r="U1091" s="483"/>
      <c r="V1091" s="483"/>
      <c r="W1091" s="483"/>
      <c r="X1091" s="483"/>
      <c r="Y1091" s="483"/>
      <c r="Z1091" s="483"/>
      <c r="AA1091" s="483"/>
      <c r="AB1091" s="483"/>
      <c r="AC1091" s="483"/>
      <c r="AD1091" s="483"/>
      <c r="AE1091" s="483"/>
      <c r="AF1091" s="483"/>
      <c r="AG1091" s="483"/>
      <c r="AH1091" s="483"/>
      <c r="AI1091" s="483"/>
      <c r="AJ1091" s="483"/>
      <c r="AK1091" s="483"/>
      <c r="AL1091" s="483"/>
      <c r="AM1091" s="670">
        <v>46175.416666666664</v>
      </c>
      <c r="AN1091" s="670">
        <v>46175.418749999997</v>
      </c>
      <c r="AO1091" s="711">
        <f>IF(OR(Table1[[#This Row],[Início Setup Envase]]="",Table1[[#This Row],[Final Setup Envase]]=""),"",Table1[[#This Row],[Final Setup Envase]]-Table1[[#This Row],[Início Setup Envase]])</f>
        <v>2.0833333328482695E-3</v>
      </c>
      <c r="AP1091" s="670"/>
      <c r="AQ1091" s="670"/>
      <c r="AR1091" s="483"/>
      <c r="AS1091" s="483"/>
      <c r="AT1091" s="483"/>
      <c r="AU1091" s="483"/>
      <c r="AV1091" s="483"/>
      <c r="AW1091" s="483"/>
      <c r="AX1091" s="483"/>
      <c r="AY1091" s="270"/>
      <c r="AZ1091" s="270"/>
      <c r="BA1091" s="270">
        <f>IF(Table1[[#This Row],[Data de Início]]="","",YEAR(Table1[[#This Row],[Data de Início]]))</f>
        <v>2026</v>
      </c>
      <c r="BB1091" s="270">
        <f>IF(Table1[[#This Row],[Data de Início]]="","",MONTH(Table1[[#This Row],[Data de Início]]))</f>
        <v>6</v>
      </c>
      <c r="BC1091" s="483"/>
    </row>
    <row r="1092" spans="2:55" x14ac:dyDescent="0.25">
      <c r="B1092" s="470">
        <v>46175.590277777781</v>
      </c>
      <c r="C1092" s="263">
        <v>46175.787499999999</v>
      </c>
      <c r="D1092" s="264" cm="1">
        <f t="array" ref="D1092">IFERROR(HorasUteisFabrica2Turnos(B1092,C1092), "")</f>
        <v>4.7333333332207985</v>
      </c>
      <c r="E1092" s="697">
        <f t="shared" si="17"/>
        <v>673.09859156529865</v>
      </c>
      <c r="F1092" s="266" t="s">
        <v>378</v>
      </c>
      <c r="G1092" s="656" t="s">
        <v>1834</v>
      </c>
      <c r="H1092" s="266"/>
      <c r="I1092" s="267" t="s">
        <v>1929</v>
      </c>
      <c r="J1092" s="268" t="s">
        <v>15</v>
      </c>
      <c r="K1092" s="268">
        <v>3186</v>
      </c>
      <c r="L1092" s="269" t="s">
        <v>1275</v>
      </c>
      <c r="M1092" s="510" t="str">
        <f>IFERROR(INDEX([1]Produtos!$C:$C,MATCH(L1092,[1]Produtos!$B:$B,0)), "-")</f>
        <v>BODY SPLASH DESPERTAR DAS FLORES 200ml</v>
      </c>
      <c r="N1092" s="510">
        <f>IFERROR(INDEX([1]Produtos!$E:$E,MATCH(L1092,[1]Produtos!$B:$B,0)), "-")</f>
        <v>215</v>
      </c>
      <c r="O1092" s="270" t="str">
        <f>IFERROR(INDEX([1]Produtos!$F:$F,MATCH(L1092,[1]Produtos!$B:$B,0)), "-")</f>
        <v>ml</v>
      </c>
      <c r="P1092" s="264" t="str">
        <f>IFERROR(INDEX([1]Produtos!$G:$G,MATCH(L1092,[1]Produtos!$B:$B,0)), "-")</f>
        <v>MISS RÔSE</v>
      </c>
      <c r="Q1092" s="270" t="str">
        <f>IFERROR(INDEX([1]Produtos!$H:$H,MATCH(L1092,[1]Produtos!$B:$B,0)), "-")</f>
        <v>PERFUMARIA</v>
      </c>
      <c r="R1092" s="270" t="str">
        <f>IFERROR(INDEX([1]Produtos!$I:$I,MATCH(L1092,[1]Produtos!$B:$B,0)), "-")</f>
        <v>BODY SPLASH</v>
      </c>
      <c r="S1092" s="270" t="str">
        <f>IFERROR(INDEX([1]Produtos!$J:$J,MATCH(L1092,[1]Produtos!$B:$B,0)), "-")</f>
        <v>LÍQUIDO</v>
      </c>
      <c r="T1092" s="475"/>
      <c r="U1092" s="270"/>
      <c r="V1092" s="270"/>
      <c r="W1092" s="270"/>
      <c r="X1092" s="270"/>
      <c r="Y1092" s="270"/>
      <c r="Z1092" s="270"/>
      <c r="AA1092" s="270"/>
      <c r="AB1092" s="270"/>
      <c r="AC1092" s="270"/>
      <c r="AD1092" s="270"/>
      <c r="AE1092" s="270"/>
      <c r="AF1092" s="270"/>
      <c r="AG1092" s="270"/>
      <c r="AH1092" s="270"/>
      <c r="AI1092" s="270"/>
      <c r="AJ1092" s="270"/>
      <c r="AK1092" s="270"/>
      <c r="AL1092" s="270"/>
      <c r="AM1092" s="663">
        <v>46175.583333333336</v>
      </c>
      <c r="AN1092" s="663">
        <v>46175.590277777781</v>
      </c>
      <c r="AO1092" s="708">
        <f>IF(OR(Table1[[#This Row],[Início Setup Envase]]="",Table1[[#This Row],[Final Setup Envase]]=""),"",Table1[[#This Row],[Final Setup Envase]]-Table1[[#This Row],[Início Setup Envase]])</f>
        <v>6.9444444452528842E-3</v>
      </c>
      <c r="AP1092" s="663">
        <v>46175.638888888891</v>
      </c>
      <c r="AQ1092" s="663">
        <v>46175.642361111109</v>
      </c>
      <c r="AR1092" s="270" t="s">
        <v>1712</v>
      </c>
      <c r="AS1092" s="674"/>
      <c r="AT1092" s="674"/>
      <c r="AU1092" s="270"/>
      <c r="AV1092" s="270"/>
      <c r="AW1092" s="270"/>
      <c r="AX1092" s="270"/>
      <c r="AY1092" s="270"/>
      <c r="AZ1092" s="270"/>
      <c r="BA1092" s="270">
        <f>IF(Table1[[#This Row],[Data de Início]]="","",YEAR(Table1[[#This Row],[Data de Início]]))</f>
        <v>2026</v>
      </c>
      <c r="BB1092" s="270">
        <f>IF(Table1[[#This Row],[Data de Início]]="","",MONTH(Table1[[#This Row],[Data de Início]]))</f>
        <v>6</v>
      </c>
      <c r="BC1092" s="270"/>
    </row>
    <row r="1093" spans="2:55" x14ac:dyDescent="0.25">
      <c r="B1093" s="470">
        <v>46175.878472222219</v>
      </c>
      <c r="C1093" s="263">
        <v>46176.701388888891</v>
      </c>
      <c r="D1093" s="477" cm="1">
        <f t="array" ref="D1093">IFERROR(HorasUteisFabrica2Turnos(B1093,C1093), "")</f>
        <v>9.7500000001164153</v>
      </c>
      <c r="E1093" s="478">
        <f t="shared" si="17"/>
        <v>1024.6153846031507</v>
      </c>
      <c r="F1093" s="266" t="s">
        <v>377</v>
      </c>
      <c r="G1093" s="672" t="s">
        <v>1903</v>
      </c>
      <c r="H1093" s="479"/>
      <c r="I1093" s="267" t="s">
        <v>1930</v>
      </c>
      <c r="J1093" s="268" t="s">
        <v>15</v>
      </c>
      <c r="K1093" s="268">
        <v>9990</v>
      </c>
      <c r="L1093" s="269" t="s">
        <v>1921</v>
      </c>
      <c r="M1093" s="511" t="str">
        <f>IFERROR(INDEX([1]Produtos!$C:$C,MATCH(L1093,[1]Produtos!$B:$B,0)), "-")</f>
        <v>BODY SPLASH DESERTO DOURADO 120ml</v>
      </c>
      <c r="N1093" s="511">
        <f>IFERROR(INDEX([1]Produtos!$E:$E,MATCH(L1093,[1]Produtos!$B:$B,0)), "-")</f>
        <v>120</v>
      </c>
      <c r="O1093" s="483" t="str">
        <f>IFERROR(INDEX([1]Produtos!$F:$F,MATCH(L1093,[1]Produtos!$B:$B,0)), "-")</f>
        <v>ml</v>
      </c>
      <c r="P1093" s="477" t="str">
        <f>IFERROR(INDEX([1]Produtos!$G:$G,MATCH(L1093,[1]Produtos!$B:$B,0)), "-")</f>
        <v>WIKE MAKE</v>
      </c>
      <c r="Q1093" s="483" t="str">
        <f>IFERROR(INDEX([1]Produtos!$H:$H,MATCH(L1093,[1]Produtos!$B:$B,0)), "-")</f>
        <v>PERFUMARIA</v>
      </c>
      <c r="R1093" s="483" t="str">
        <f>IFERROR(INDEX([1]Produtos!$I:$I,MATCH(L1093,[1]Produtos!$B:$B,0)), "-")</f>
        <v>BODY SPLASH</v>
      </c>
      <c r="S1093" s="483" t="str">
        <f>IFERROR(INDEX([1]Produtos!$J:$J,MATCH(L1093,[1]Produtos!$B:$B,0)), "-")</f>
        <v>LÍQUIDO</v>
      </c>
      <c r="T1093" s="484"/>
      <c r="U1093" s="483"/>
      <c r="V1093" s="483"/>
      <c r="W1093" s="483"/>
      <c r="X1093" s="483"/>
      <c r="Y1093" s="483"/>
      <c r="Z1093" s="483"/>
      <c r="AA1093" s="483"/>
      <c r="AB1093" s="483"/>
      <c r="AC1093" s="483"/>
      <c r="AD1093" s="483"/>
      <c r="AE1093" s="483"/>
      <c r="AF1093" s="483"/>
      <c r="AG1093" s="483"/>
      <c r="AH1093" s="483"/>
      <c r="AI1093" s="483"/>
      <c r="AJ1093" s="483"/>
      <c r="AK1093" s="483"/>
      <c r="AL1093" s="483"/>
      <c r="AM1093" s="670">
        <v>46175.875694444447</v>
      </c>
      <c r="AN1093" s="670">
        <v>46175.878472222219</v>
      </c>
      <c r="AO1093" s="711">
        <f>IF(OR(Table1[[#This Row],[Início Setup Envase]]="",Table1[[#This Row],[Final Setup Envase]]=""),"",Table1[[#This Row],[Final Setup Envase]]-Table1[[#This Row],[Início Setup Envase]])</f>
        <v>2.7777777722803876E-3</v>
      </c>
      <c r="AP1093" s="670"/>
      <c r="AQ1093" s="670"/>
      <c r="AR1093" s="483"/>
      <c r="AS1093" s="483"/>
      <c r="AT1093" s="483"/>
      <c r="AU1093" s="483"/>
      <c r="AV1093" s="483"/>
      <c r="AW1093" s="483"/>
      <c r="AX1093" s="483"/>
      <c r="AY1093" s="270"/>
      <c r="AZ1093" s="270"/>
      <c r="BA1093" s="270">
        <f>IF(Table1[[#This Row],[Data de Início]]="","",YEAR(Table1[[#This Row],[Data de Início]]))</f>
        <v>2026</v>
      </c>
      <c r="BB1093" s="270">
        <f>IF(Table1[[#This Row],[Data de Início]]="","",MONTH(Table1[[#This Row],[Data de Início]]))</f>
        <v>6</v>
      </c>
      <c r="BC1093" s="483"/>
    </row>
    <row r="1094" spans="2:55" x14ac:dyDescent="0.25">
      <c r="B1094" s="470">
        <v>46176.368055555555</v>
      </c>
      <c r="C1094" s="263">
        <v>46176.548611111109</v>
      </c>
      <c r="D1094" s="264" cm="1">
        <f t="array" ref="D1094">IFERROR(HorasUteisFabrica2Turnos(B1094,C1094), "")</f>
        <v>3.3333333333139308</v>
      </c>
      <c r="E1094" s="697">
        <f t="shared" si="17"/>
        <v>722.70000000420669</v>
      </c>
      <c r="F1094" s="266" t="s">
        <v>378</v>
      </c>
      <c r="G1094" s="656" t="s">
        <v>1834</v>
      </c>
      <c r="H1094" s="266"/>
      <c r="I1094" s="267" t="s">
        <v>1926</v>
      </c>
      <c r="J1094" s="268" t="s">
        <v>15</v>
      </c>
      <c r="K1094" s="268">
        <v>2409</v>
      </c>
      <c r="L1094" s="269" t="s">
        <v>1275</v>
      </c>
      <c r="M1094" s="510" t="str">
        <f>IFERROR(INDEX([1]Produtos!$C:$C,MATCH(L1094,[1]Produtos!$B:$B,0)), "-")</f>
        <v>BODY SPLASH DESPERTAR DAS FLORES 200ml</v>
      </c>
      <c r="N1094" s="510">
        <f>IFERROR(INDEX([1]Produtos!$E:$E,MATCH(L1094,[1]Produtos!$B:$B,0)), "-")</f>
        <v>215</v>
      </c>
      <c r="O1094" s="270" t="str">
        <f>IFERROR(INDEX([1]Produtos!$F:$F,MATCH(L1094,[1]Produtos!$B:$B,0)), "-")</f>
        <v>ml</v>
      </c>
      <c r="P1094" s="264" t="str">
        <f>IFERROR(INDEX([1]Produtos!$G:$G,MATCH(L1094,[1]Produtos!$B:$B,0)), "-")</f>
        <v>MISS RÔSE</v>
      </c>
      <c r="Q1094" s="270" t="str">
        <f>IFERROR(INDEX([1]Produtos!$H:$H,MATCH(L1094,[1]Produtos!$B:$B,0)), "-")</f>
        <v>PERFUMARIA</v>
      </c>
      <c r="R1094" s="270" t="str">
        <f>IFERROR(INDEX([1]Produtos!$I:$I,MATCH(L1094,[1]Produtos!$B:$B,0)), "-")</f>
        <v>BODY SPLASH</v>
      </c>
      <c r="S1094" s="270" t="str">
        <f>IFERROR(INDEX([1]Produtos!$J:$J,MATCH(L1094,[1]Produtos!$B:$B,0)), "-")</f>
        <v>LÍQUIDO</v>
      </c>
      <c r="T1094" s="475"/>
      <c r="U1094" s="270"/>
      <c r="V1094" s="270"/>
      <c r="W1094" s="270"/>
      <c r="X1094" s="270"/>
      <c r="Y1094" s="270"/>
      <c r="Z1094" s="270"/>
      <c r="AA1094" s="270"/>
      <c r="AB1094" s="270"/>
      <c r="AC1094" s="270"/>
      <c r="AD1094" s="270"/>
      <c r="AE1094" s="270"/>
      <c r="AF1094" s="270"/>
      <c r="AG1094" s="270"/>
      <c r="AH1094" s="270"/>
      <c r="AI1094" s="270"/>
      <c r="AJ1094" s="270"/>
      <c r="AK1094" s="270"/>
      <c r="AL1094" s="270"/>
      <c r="AM1094" s="663">
        <v>46176.361111111109</v>
      </c>
      <c r="AN1094" s="663">
        <v>46176.364583333336</v>
      </c>
      <c r="AO1094" s="708">
        <f>IF(OR(Table1[[#This Row],[Início Setup Envase]]="",Table1[[#This Row],[Final Setup Envase]]=""),"",Table1[[#This Row],[Final Setup Envase]]-Table1[[#This Row],[Início Setup Envase]])</f>
        <v>3.4722222262644209E-3</v>
      </c>
      <c r="AP1094" s="663"/>
      <c r="AQ1094" s="663"/>
      <c r="AR1094" s="270"/>
      <c r="AS1094" s="270"/>
      <c r="AT1094" s="270"/>
      <c r="AU1094" s="270"/>
      <c r="AV1094" s="270"/>
      <c r="AW1094" s="270"/>
      <c r="AX1094" s="270"/>
      <c r="AY1094" s="270"/>
      <c r="AZ1094" s="270"/>
      <c r="BA1094" s="270">
        <f>IF(Table1[[#This Row],[Data de Início]]="","",YEAR(Table1[[#This Row],[Data de Início]]))</f>
        <v>2026</v>
      </c>
      <c r="BB1094" s="270">
        <f>IF(Table1[[#This Row],[Data de Início]]="","",MONTH(Table1[[#This Row],[Data de Início]]))</f>
        <v>6</v>
      </c>
      <c r="BC1094" s="270"/>
    </row>
    <row r="1095" spans="2:55" x14ac:dyDescent="0.25">
      <c r="B1095" s="470">
        <v>46176.570138888892</v>
      </c>
      <c r="C1095" s="263">
        <v>46178.570138888892</v>
      </c>
      <c r="D1095" s="477" cm="1">
        <f t="array" ref="D1095">IFERROR(HorasUteisFabrica2Turnos(B1095,C1095), "")</f>
        <v>18.000000000232831</v>
      </c>
      <c r="E1095" s="478">
        <f t="shared" si="17"/>
        <v>389.33333332829727</v>
      </c>
      <c r="F1095" s="266" t="s">
        <v>378</v>
      </c>
      <c r="G1095" s="672" t="s">
        <v>1903</v>
      </c>
      <c r="H1095" s="479"/>
      <c r="I1095" s="267" t="s">
        <v>1933</v>
      </c>
      <c r="J1095" s="268" t="s">
        <v>15</v>
      </c>
      <c r="K1095" s="268">
        <v>7008</v>
      </c>
      <c r="L1095" s="269" t="s">
        <v>1932</v>
      </c>
      <c r="M1095" s="511" t="str">
        <f>IFERROR(INDEX([1]Produtos!$C:$C,MATCH(L1095,[1]Produtos!$B:$B,0)), "-")</f>
        <v>BODY SPLASH IDOLA 120ml</v>
      </c>
      <c r="N1095" s="511">
        <f>IFERROR(INDEX([1]Produtos!$E:$E,MATCH(L1095,[1]Produtos!$B:$B,0)), "-")</f>
        <v>120</v>
      </c>
      <c r="O1095" s="483" t="str">
        <f>IFERROR(INDEX([1]Produtos!$F:$F,MATCH(L1095,[1]Produtos!$B:$B,0)), "-")</f>
        <v>ml</v>
      </c>
      <c r="P1095" s="477" t="str">
        <f>IFERROR(INDEX([1]Produtos!$G:$G,MATCH(L1095,[1]Produtos!$B:$B,0)), "-")</f>
        <v>WIKE MAKE</v>
      </c>
      <c r="Q1095" s="483" t="str">
        <f>IFERROR(INDEX([1]Produtos!$H:$H,MATCH(L1095,[1]Produtos!$B:$B,0)), "-")</f>
        <v>PERFUMARIA</v>
      </c>
      <c r="R1095" s="483" t="str">
        <f>IFERROR(INDEX([1]Produtos!$I:$I,MATCH(L1095,[1]Produtos!$B:$B,0)), "-")</f>
        <v>BODY SPLASH</v>
      </c>
      <c r="S1095" s="483" t="str">
        <f>IFERROR(INDEX([1]Produtos!$J:$J,MATCH(L1095,[1]Produtos!$B:$B,0)), "-")</f>
        <v>LÍQUIDO</v>
      </c>
      <c r="T1095" s="484"/>
      <c r="U1095" s="483"/>
      <c r="V1095" s="483"/>
      <c r="W1095" s="483"/>
      <c r="X1095" s="483"/>
      <c r="Y1095" s="483"/>
      <c r="Z1095" s="483"/>
      <c r="AA1095" s="483"/>
      <c r="AB1095" s="483"/>
      <c r="AC1095" s="483"/>
      <c r="AD1095" s="483"/>
      <c r="AE1095" s="483"/>
      <c r="AF1095" s="483"/>
      <c r="AG1095" s="483"/>
      <c r="AH1095" s="483"/>
      <c r="AI1095" s="483"/>
      <c r="AJ1095" s="483"/>
      <c r="AK1095" s="483"/>
      <c r="AL1095" s="483"/>
      <c r="AM1095" s="670">
        <v>46176.564583333333</v>
      </c>
      <c r="AN1095" s="670">
        <v>46176.565972222219</v>
      </c>
      <c r="AO1095" s="711">
        <f>IF(OR(Table1[[#This Row],[Início Setup Envase]]="",Table1[[#This Row],[Final Setup Envase]]=""),"",Table1[[#This Row],[Final Setup Envase]]-Table1[[#This Row],[Início Setup Envase]])</f>
        <v>1.3888888861401938E-3</v>
      </c>
      <c r="AP1095" s="670"/>
      <c r="AQ1095" s="670"/>
      <c r="AR1095" s="483"/>
      <c r="AS1095" s="483"/>
      <c r="AT1095" s="483"/>
      <c r="AU1095" s="483"/>
      <c r="AV1095" s="483"/>
      <c r="AW1095" s="483"/>
      <c r="AX1095" s="483"/>
      <c r="AY1095" s="270"/>
      <c r="AZ1095" s="270"/>
      <c r="BA1095" s="270">
        <f>IF(Table1[[#This Row],[Data de Início]]="","",YEAR(Table1[[#This Row],[Data de Início]]))</f>
        <v>2026</v>
      </c>
      <c r="BB1095" s="270">
        <f>IF(Table1[[#This Row],[Data de Início]]="","",MONTH(Table1[[#This Row],[Data de Início]]))</f>
        <v>6</v>
      </c>
      <c r="BC1095" s="483"/>
    </row>
    <row r="1096" spans="2:55" x14ac:dyDescent="0.25">
      <c r="B1096" s="470">
        <v>46176.712500000001</v>
      </c>
      <c r="C1096" s="263">
        <v>46178.4375</v>
      </c>
      <c r="D1096" s="264" cm="1">
        <f t="array" ref="D1096">IFERROR(HorasUteisFabrica2Turnos(B1096,C1096), "")</f>
        <v>22.399999999965075</v>
      </c>
      <c r="E1096" s="697">
        <f t="shared" si="17"/>
        <v>347.14285714339837</v>
      </c>
      <c r="F1096" s="266" t="s">
        <v>377</v>
      </c>
      <c r="G1096" s="672" t="s">
        <v>1903</v>
      </c>
      <c r="H1096" s="266"/>
      <c r="I1096" s="267" t="s">
        <v>1934</v>
      </c>
      <c r="J1096" s="268" t="s">
        <v>15</v>
      </c>
      <c r="K1096" s="268">
        <v>7776</v>
      </c>
      <c r="L1096" s="269" t="s">
        <v>1935</v>
      </c>
      <c r="M1096" s="510" t="str">
        <f>IFERROR(INDEX([1]Produtos!$C:$C,MATCH(L1096,[1]Produtos!$B:$B,0)), "-")</f>
        <v>BODY SPLASH JARDIM DO ORIENTE 120ml</v>
      </c>
      <c r="N1096" s="510">
        <f>IFERROR(INDEX([1]Produtos!$E:$E,MATCH(L1096,[1]Produtos!$B:$B,0)), "-")</f>
        <v>120</v>
      </c>
      <c r="O1096" s="270" t="str">
        <f>IFERROR(INDEX([1]Produtos!$F:$F,MATCH(L1096,[1]Produtos!$B:$B,0)), "-")</f>
        <v>ml</v>
      </c>
      <c r="P1096" s="264" t="str">
        <f>IFERROR(INDEX([1]Produtos!$G:$G,MATCH(L1096,[1]Produtos!$B:$B,0)), "-")</f>
        <v>WIKE MAKE</v>
      </c>
      <c r="Q1096" s="270" t="str">
        <f>IFERROR(INDEX([1]Produtos!$H:$H,MATCH(L1096,[1]Produtos!$B:$B,0)), "-")</f>
        <v>PERFUMARIA</v>
      </c>
      <c r="R1096" s="270" t="str">
        <f>IFERROR(INDEX([1]Produtos!$I:$I,MATCH(L1096,[1]Produtos!$B:$B,0)), "-")</f>
        <v>BODY SPLASH</v>
      </c>
      <c r="S1096" s="270" t="str">
        <f>IFERROR(INDEX([1]Produtos!$J:$J,MATCH(L1096,[1]Produtos!$B:$B,0)), "-")</f>
        <v>LÍQUIDO</v>
      </c>
      <c r="T1096" s="475" t="s">
        <v>1937</v>
      </c>
      <c r="U1096" s="270"/>
      <c r="V1096" s="270"/>
      <c r="W1096" s="270"/>
      <c r="X1096" s="270"/>
      <c r="Y1096" s="270"/>
      <c r="Z1096" s="270"/>
      <c r="AA1096" s="270"/>
      <c r="AB1096" s="270"/>
      <c r="AC1096" s="270"/>
      <c r="AD1096" s="270"/>
      <c r="AE1096" s="270"/>
      <c r="AF1096" s="270"/>
      <c r="AG1096" s="270"/>
      <c r="AH1096" s="270"/>
      <c r="AI1096" s="270"/>
      <c r="AJ1096" s="270"/>
      <c r="AK1096" s="270"/>
      <c r="AL1096" s="270"/>
      <c r="AM1096" s="663">
        <v>46176.701388888891</v>
      </c>
      <c r="AN1096" s="663">
        <v>46176.702777777777</v>
      </c>
      <c r="AO1096" s="708">
        <f>IF(OR(Table1[[#This Row],[Início Setup Envase]]="",Table1[[#This Row],[Final Setup Envase]]=""),"",Table1[[#This Row],[Final Setup Envase]]-Table1[[#This Row],[Início Setup Envase]])</f>
        <v>1.3888888861401938E-3</v>
      </c>
      <c r="AP1096" s="663"/>
      <c r="AQ1096" s="663"/>
      <c r="AR1096" s="270"/>
      <c r="AS1096" s="674"/>
      <c r="AT1096" s="674"/>
      <c r="AU1096" s="270"/>
      <c r="AV1096" s="270"/>
      <c r="AW1096" s="270"/>
      <c r="AX1096" s="270"/>
      <c r="AY1096" s="270"/>
      <c r="AZ1096" s="270"/>
      <c r="BA1096" s="270">
        <f>IF(Table1[[#This Row],[Data de Início]]="","",YEAR(Table1[[#This Row],[Data de Início]]))</f>
        <v>2026</v>
      </c>
      <c r="BB1096" s="270">
        <f>IF(Table1[[#This Row],[Data de Início]]="","",MONTH(Table1[[#This Row],[Data de Início]]))</f>
        <v>6</v>
      </c>
      <c r="BC1096" s="270"/>
    </row>
    <row r="1097" spans="2:55" x14ac:dyDescent="0.25">
      <c r="B1097" s="470">
        <v>46178.361111111109</v>
      </c>
      <c r="C1097" s="263">
        <v>46178.867361111108</v>
      </c>
      <c r="D1097" s="477" cm="1">
        <f t="array" ref="D1097">IFERROR(HorasUteisFabrica2Turnos(B1097,C1097), "")</f>
        <v>11.149999999965075</v>
      </c>
      <c r="E1097" s="478">
        <f t="shared" si="17"/>
        <v>744.75336323103227</v>
      </c>
      <c r="F1097" s="266" t="s">
        <v>378</v>
      </c>
      <c r="G1097" s="672" t="s">
        <v>1903</v>
      </c>
      <c r="H1097" s="479"/>
      <c r="I1097" s="267" t="s">
        <v>1936</v>
      </c>
      <c r="J1097" s="268" t="s">
        <v>15</v>
      </c>
      <c r="K1097" s="268">
        <v>8304</v>
      </c>
      <c r="L1097" s="269" t="s">
        <v>1932</v>
      </c>
      <c r="M1097" s="511" t="str">
        <f>IFERROR(INDEX([1]Produtos!$C:$C,MATCH(L1097,[1]Produtos!$B:$B,0)), "-")</f>
        <v>BODY SPLASH IDOLA 120ml</v>
      </c>
      <c r="N1097" s="511">
        <f>IFERROR(INDEX([1]Produtos!$E:$E,MATCH(L1097,[1]Produtos!$B:$B,0)), "-")</f>
        <v>120</v>
      </c>
      <c r="O1097" s="483" t="str">
        <f>IFERROR(INDEX([1]Produtos!$F:$F,MATCH(L1097,[1]Produtos!$B:$B,0)), "-")</f>
        <v>ml</v>
      </c>
      <c r="P1097" s="477" t="str">
        <f>IFERROR(INDEX([1]Produtos!$G:$G,MATCH(L1097,[1]Produtos!$B:$B,0)), "-")</f>
        <v>WIKE MAKE</v>
      </c>
      <c r="Q1097" s="483" t="str">
        <f>IFERROR(INDEX([1]Produtos!$H:$H,MATCH(L1097,[1]Produtos!$B:$B,0)), "-")</f>
        <v>PERFUMARIA</v>
      </c>
      <c r="R1097" s="483" t="str">
        <f>IFERROR(INDEX([1]Produtos!$I:$I,MATCH(L1097,[1]Produtos!$B:$B,0)), "-")</f>
        <v>BODY SPLASH</v>
      </c>
      <c r="S1097" s="483" t="str">
        <f>IFERROR(INDEX([1]Produtos!$J:$J,MATCH(L1097,[1]Produtos!$B:$B,0)), "-")</f>
        <v>LÍQUIDO</v>
      </c>
      <c r="T1097" s="484" t="s">
        <v>1937</v>
      </c>
      <c r="U1097" s="483"/>
      <c r="V1097" s="483"/>
      <c r="W1097" s="483"/>
      <c r="X1097" s="483"/>
      <c r="Y1097" s="483"/>
      <c r="Z1097" s="483"/>
      <c r="AA1097" s="483"/>
      <c r="AB1097" s="483"/>
      <c r="AC1097" s="483"/>
      <c r="AD1097" s="483"/>
      <c r="AE1097" s="483"/>
      <c r="AF1097" s="483"/>
      <c r="AG1097" s="483"/>
      <c r="AH1097" s="483"/>
      <c r="AI1097" s="483"/>
      <c r="AJ1097" s="483"/>
      <c r="AK1097" s="483"/>
      <c r="AL1097" s="483"/>
      <c r="AM1097" s="670">
        <v>46178.36041666667</v>
      </c>
      <c r="AN1097" s="670">
        <v>46178.361111111109</v>
      </c>
      <c r="AO1097" s="711">
        <f>IF(OR(Table1[[#This Row],[Início Setup Envase]]="",Table1[[#This Row],[Final Setup Envase]]=""),"",Table1[[#This Row],[Final Setup Envase]]-Table1[[#This Row],[Início Setup Envase]])</f>
        <v>6.9444443943211809E-4</v>
      </c>
      <c r="AP1097" s="670"/>
      <c r="AQ1097" s="670"/>
      <c r="AR1097" s="483"/>
      <c r="AS1097" s="483"/>
      <c r="AT1097" s="483"/>
      <c r="AU1097" s="483"/>
      <c r="AV1097" s="483"/>
      <c r="AW1097" s="483"/>
      <c r="AX1097" s="483"/>
      <c r="AY1097" s="270"/>
      <c r="AZ1097" s="270"/>
      <c r="BA1097" s="270">
        <f>IF(Table1[[#This Row],[Data de Início]]="","",YEAR(Table1[[#This Row],[Data de Início]]))</f>
        <v>2026</v>
      </c>
      <c r="BB1097" s="270">
        <f>IF(Table1[[#This Row],[Data de Início]]="","",MONTH(Table1[[#This Row],[Data de Início]]))</f>
        <v>6</v>
      </c>
      <c r="BC1097" s="483"/>
    </row>
    <row r="1098" spans="2:55" x14ac:dyDescent="0.25">
      <c r="B1098" s="470">
        <v>46178.868750000001</v>
      </c>
      <c r="C1098" s="263"/>
      <c r="D1098" s="264" cm="1">
        <f t="array" ref="D1098">IFERROR(HorasUteisFabrica2Turnos(B1098,C1098), "")</f>
        <v>0</v>
      </c>
      <c r="E1098" s="265" t="str">
        <f t="shared" si="17"/>
        <v/>
      </c>
      <c r="F1098" s="266" t="s">
        <v>377</v>
      </c>
      <c r="G1098" s="672" t="s">
        <v>1903</v>
      </c>
      <c r="H1098" s="266"/>
      <c r="I1098" s="267" t="s">
        <v>1951</v>
      </c>
      <c r="J1098" s="268" t="s">
        <v>15</v>
      </c>
      <c r="K1098" s="268">
        <v>983</v>
      </c>
      <c r="L1098" s="269" t="s">
        <v>1932</v>
      </c>
      <c r="M1098" s="510" t="str">
        <f>IFERROR(INDEX([1]Produtos!$C:$C,MATCH(L1098,[1]Produtos!$B:$B,0)), "-")</f>
        <v>BODY SPLASH IDOLA 120ml</v>
      </c>
      <c r="N1098" s="510">
        <f>IFERROR(INDEX([1]Produtos!$E:$E,MATCH(L1098,[1]Produtos!$B:$B,0)), "-")</f>
        <v>120</v>
      </c>
      <c r="O1098" s="270" t="str">
        <f>IFERROR(INDEX([1]Produtos!$F:$F,MATCH(L1098,[1]Produtos!$B:$B,0)), "-")</f>
        <v>ml</v>
      </c>
      <c r="P1098" s="264" t="str">
        <f>IFERROR(INDEX([1]Produtos!$G:$G,MATCH(L1098,[1]Produtos!$B:$B,0)), "-")</f>
        <v>WIKE MAKE</v>
      </c>
      <c r="Q1098" s="270" t="str">
        <f>IFERROR(INDEX([1]Produtos!$H:$H,MATCH(L1098,[1]Produtos!$B:$B,0)), "-")</f>
        <v>PERFUMARIA</v>
      </c>
      <c r="R1098" s="270" t="str">
        <f>IFERROR(INDEX([1]Produtos!$I:$I,MATCH(L1098,[1]Produtos!$B:$B,0)), "-")</f>
        <v>BODY SPLASH</v>
      </c>
      <c r="S1098" s="270" t="str">
        <f>IFERROR(INDEX([1]Produtos!$J:$J,MATCH(L1098,[1]Produtos!$B:$B,0)), "-")</f>
        <v>LÍQUIDO</v>
      </c>
      <c r="T1098" s="475"/>
      <c r="U1098" s="270"/>
      <c r="V1098" s="270"/>
      <c r="W1098" s="270"/>
      <c r="X1098" s="270"/>
      <c r="Y1098" s="270"/>
      <c r="Z1098" s="270"/>
      <c r="AA1098" s="270"/>
      <c r="AB1098" s="270"/>
      <c r="AC1098" s="270"/>
      <c r="AD1098" s="270"/>
      <c r="AE1098" s="270"/>
      <c r="AF1098" s="270"/>
      <c r="AG1098" s="270"/>
      <c r="AH1098" s="270"/>
      <c r="AI1098" s="270"/>
      <c r="AJ1098" s="270"/>
      <c r="AK1098" s="270"/>
      <c r="AL1098" s="270"/>
      <c r="AM1098" s="663">
        <v>46178.868055555555</v>
      </c>
      <c r="AN1098" s="663">
        <v>46178.868750000001</v>
      </c>
      <c r="AO1098" s="708">
        <f>IF(OR(Table1[[#This Row],[Início Setup Envase]]="",Table1[[#This Row],[Final Setup Envase]]=""),"",Table1[[#This Row],[Final Setup Envase]]-Table1[[#This Row],[Início Setup Envase]])</f>
        <v>6.944444467080757E-4</v>
      </c>
      <c r="AP1098" s="663"/>
      <c r="AQ1098" s="663"/>
      <c r="AR1098" s="270"/>
      <c r="AS1098" s="270"/>
      <c r="AT1098" s="270"/>
      <c r="AU1098" s="270"/>
      <c r="AV1098" s="270"/>
      <c r="AW1098" s="270"/>
      <c r="AX1098" s="270"/>
      <c r="AY1098" s="270"/>
      <c r="AZ1098" s="270"/>
      <c r="BA1098" s="270">
        <f>IF(Table1[[#This Row],[Data de Início]]="","",YEAR(Table1[[#This Row],[Data de Início]]))</f>
        <v>2026</v>
      </c>
      <c r="BB1098" s="270">
        <f>IF(Table1[[#This Row],[Data de Início]]="","",MONTH(Table1[[#This Row],[Data de Início]]))</f>
        <v>6</v>
      </c>
      <c r="BC1098" s="270"/>
    </row>
    <row r="1099" spans="2:55" x14ac:dyDescent="0.25">
      <c r="B1099" s="470">
        <v>46183.302083333336</v>
      </c>
      <c r="C1099" s="263">
        <v>46183.459027777775</v>
      </c>
      <c r="D1099" s="477" cm="1">
        <f t="array" ref="D1099">IFERROR(HorasUteisFabrica2Turnos(B1099,C1099), "")</f>
        <v>3.7666666665463708</v>
      </c>
      <c r="E1099" s="654">
        <f t="shared" si="17"/>
        <v>1006.7256637489659</v>
      </c>
      <c r="F1099" s="266" t="s">
        <v>377</v>
      </c>
      <c r="G1099" s="672" t="s">
        <v>1903</v>
      </c>
      <c r="H1099" s="479"/>
      <c r="I1099" s="267" t="s">
        <v>1939</v>
      </c>
      <c r="J1099" s="268" t="s">
        <v>15</v>
      </c>
      <c r="K1099" s="268">
        <v>3792</v>
      </c>
      <c r="L1099" s="269" t="s">
        <v>1935</v>
      </c>
      <c r="M1099" s="511" t="str">
        <f>IFERROR(INDEX([1]Produtos!$C:$C,MATCH(L1099,[1]Produtos!$B:$B,0)), "-")</f>
        <v>BODY SPLASH JARDIM DO ORIENTE 120ml</v>
      </c>
      <c r="N1099" s="511">
        <f>IFERROR(INDEX([1]Produtos!$E:$E,MATCH(L1099,[1]Produtos!$B:$B,0)), "-")</f>
        <v>120</v>
      </c>
      <c r="O1099" s="483" t="str">
        <f>IFERROR(INDEX([1]Produtos!$F:$F,MATCH(L1099,[1]Produtos!$B:$B,0)), "-")</f>
        <v>ml</v>
      </c>
      <c r="P1099" s="477" t="str">
        <f>IFERROR(INDEX([1]Produtos!$G:$G,MATCH(L1099,[1]Produtos!$B:$B,0)), "-")</f>
        <v>WIKE MAKE</v>
      </c>
      <c r="Q1099" s="483" t="str">
        <f>IFERROR(INDEX([1]Produtos!$H:$H,MATCH(L1099,[1]Produtos!$B:$B,0)), "-")</f>
        <v>PERFUMARIA</v>
      </c>
      <c r="R1099" s="483" t="str">
        <f>IFERROR(INDEX([1]Produtos!$I:$I,MATCH(L1099,[1]Produtos!$B:$B,0)), "-")</f>
        <v>BODY SPLASH</v>
      </c>
      <c r="S1099" s="483" t="str">
        <f>IFERROR(INDEX([1]Produtos!$J:$J,MATCH(L1099,[1]Produtos!$B:$B,0)), "-")</f>
        <v>LÍQUIDO</v>
      </c>
      <c r="T1099" s="484"/>
      <c r="U1099" s="483"/>
      <c r="V1099" s="483"/>
      <c r="W1099" s="483"/>
      <c r="X1099" s="483"/>
      <c r="Y1099" s="483"/>
      <c r="Z1099" s="483"/>
      <c r="AA1099" s="483"/>
      <c r="AB1099" s="483"/>
      <c r="AC1099" s="483"/>
      <c r="AD1099" s="483"/>
      <c r="AE1099" s="483"/>
      <c r="AF1099" s="483"/>
      <c r="AG1099" s="483"/>
      <c r="AH1099" s="483"/>
      <c r="AI1099" s="483"/>
      <c r="AJ1099" s="483"/>
      <c r="AK1099" s="483"/>
      <c r="AL1099" s="483"/>
      <c r="AM1099" s="670"/>
      <c r="AN1099" s="670"/>
      <c r="AO1099" s="711" t="str">
        <f>IF(OR(Table1[[#This Row],[Início Setup Envase]]="",Table1[[#This Row],[Final Setup Envase]]=""),"",Table1[[#This Row],[Final Setup Envase]]-Table1[[#This Row],[Início Setup Envase]])</f>
        <v/>
      </c>
      <c r="AP1099" s="670"/>
      <c r="AQ1099" s="670"/>
      <c r="AR1099" s="483"/>
      <c r="AS1099" s="622"/>
      <c r="AT1099" s="622"/>
      <c r="AU1099" s="483"/>
      <c r="AV1099" s="483"/>
      <c r="AW1099" s="483"/>
      <c r="AX1099" s="483"/>
      <c r="AY1099" s="270"/>
      <c r="AZ1099" s="270"/>
      <c r="BA1099" s="270">
        <f>IF(Table1[[#This Row],[Data de Início]]="","",YEAR(Table1[[#This Row],[Data de Início]]))</f>
        <v>2026</v>
      </c>
      <c r="BB1099" s="270">
        <f>IF(Table1[[#This Row],[Data de Início]]="","",MONTH(Table1[[#This Row],[Data de Início]]))</f>
        <v>6</v>
      </c>
      <c r="BC1099" s="483"/>
    </row>
    <row r="1100" spans="2:55" x14ac:dyDescent="0.25">
      <c r="B1100" s="470">
        <v>46183.459027777775</v>
      </c>
      <c r="C1100" s="263">
        <v>46183.583333333336</v>
      </c>
      <c r="D1100" s="264" cm="1">
        <f t="array" ref="D1100">IFERROR(HorasUteisFabrica2Turnos(B1100,C1100), "")</f>
        <v>1.9833333334536292</v>
      </c>
      <c r="E1100" s="265">
        <f t="shared" si="17"/>
        <v>1045.210083970218</v>
      </c>
      <c r="F1100" s="266" t="s">
        <v>378</v>
      </c>
      <c r="G1100" s="672" t="s">
        <v>1903</v>
      </c>
      <c r="H1100" s="266"/>
      <c r="I1100" s="267" t="s">
        <v>1943</v>
      </c>
      <c r="J1100" s="268" t="s">
        <v>15</v>
      </c>
      <c r="K1100" s="268">
        <v>2073</v>
      </c>
      <c r="L1100" s="269" t="s">
        <v>1932</v>
      </c>
      <c r="M1100" s="510" t="str">
        <f>IFERROR(INDEX([1]Produtos!$C:$C,MATCH(L1100,[1]Produtos!$B:$B,0)), "-")</f>
        <v>BODY SPLASH IDOLA 120ml</v>
      </c>
      <c r="N1100" s="510">
        <f>IFERROR(INDEX([1]Produtos!$E:$E,MATCH(L1100,[1]Produtos!$B:$B,0)), "-")</f>
        <v>120</v>
      </c>
      <c r="O1100" s="270" t="str">
        <f>IFERROR(INDEX([1]Produtos!$F:$F,MATCH(L1100,[1]Produtos!$B:$B,0)), "-")</f>
        <v>ml</v>
      </c>
      <c r="P1100" s="264" t="str">
        <f>IFERROR(INDEX([1]Produtos!$G:$G,MATCH(L1100,[1]Produtos!$B:$B,0)), "-")</f>
        <v>WIKE MAKE</v>
      </c>
      <c r="Q1100" s="270" t="str">
        <f>IFERROR(INDEX([1]Produtos!$H:$H,MATCH(L1100,[1]Produtos!$B:$B,0)), "-")</f>
        <v>PERFUMARIA</v>
      </c>
      <c r="R1100" s="270" t="str">
        <f>IFERROR(INDEX([1]Produtos!$I:$I,MATCH(L1100,[1]Produtos!$B:$B,0)), "-")</f>
        <v>BODY SPLASH</v>
      </c>
      <c r="S1100" s="270" t="str">
        <f>IFERROR(INDEX([1]Produtos!$J:$J,MATCH(L1100,[1]Produtos!$B:$B,0)), "-")</f>
        <v>LÍQUIDO</v>
      </c>
      <c r="T1100" s="475"/>
      <c r="U1100" s="270"/>
      <c r="V1100" s="270"/>
      <c r="W1100" s="270"/>
      <c r="X1100" s="270"/>
      <c r="Y1100" s="270"/>
      <c r="Z1100" s="270"/>
      <c r="AA1100" s="270"/>
      <c r="AB1100" s="270"/>
      <c r="AC1100" s="270"/>
      <c r="AD1100" s="270"/>
      <c r="AE1100" s="270"/>
      <c r="AF1100" s="270"/>
      <c r="AG1100" s="270"/>
      <c r="AH1100" s="270"/>
      <c r="AI1100" s="270"/>
      <c r="AJ1100" s="270"/>
      <c r="AK1100" s="270"/>
      <c r="AL1100" s="270"/>
      <c r="AM1100" s="663"/>
      <c r="AN1100" s="663"/>
      <c r="AO1100" s="708" t="str">
        <f>IF(OR(Table1[[#This Row],[Início Setup Envase]]="",Table1[[#This Row],[Final Setup Envase]]=""),"",Table1[[#This Row],[Final Setup Envase]]-Table1[[#This Row],[Início Setup Envase]])</f>
        <v/>
      </c>
      <c r="AP1100" s="663"/>
      <c r="AQ1100" s="663"/>
      <c r="AR1100" s="270"/>
      <c r="AS1100" s="270"/>
      <c r="AT1100" s="270"/>
      <c r="AU1100" s="270"/>
      <c r="AV1100" s="270"/>
      <c r="AW1100" s="270"/>
      <c r="AX1100" s="270"/>
      <c r="AY1100" s="270"/>
      <c r="AZ1100" s="270"/>
      <c r="BA1100" s="270">
        <f>IF(Table1[[#This Row],[Data de Início]]="","",YEAR(Table1[[#This Row],[Data de Início]]))</f>
        <v>2026</v>
      </c>
      <c r="BB1100" s="270">
        <f>IF(Table1[[#This Row],[Data de Início]]="","",MONTH(Table1[[#This Row],[Data de Início]]))</f>
        <v>6</v>
      </c>
      <c r="BC1100" s="270"/>
    </row>
    <row r="1101" spans="2:55" x14ac:dyDescent="0.25">
      <c r="B1101" s="470">
        <v>46183.552083333336</v>
      </c>
      <c r="C1101" s="263">
        <v>46183.597222222219</v>
      </c>
      <c r="D1101" s="477" cm="1">
        <f t="array" ref="D1101">IFERROR(HorasUteisFabrica2Turnos(B1101,C1101), "")</f>
        <v>1.0833333331975155</v>
      </c>
      <c r="E1101" s="478">
        <f t="shared" si="17"/>
        <v>770.76923086586237</v>
      </c>
      <c r="F1101" s="266" t="s">
        <v>377</v>
      </c>
      <c r="G1101" s="672" t="s">
        <v>1903</v>
      </c>
      <c r="H1101" s="479"/>
      <c r="I1101" s="267" t="s">
        <v>1940</v>
      </c>
      <c r="J1101" s="268" t="s">
        <v>15</v>
      </c>
      <c r="K1101" s="268">
        <v>835</v>
      </c>
      <c r="L1101" s="269" t="s">
        <v>1935</v>
      </c>
      <c r="M1101" s="511" t="str">
        <f>IFERROR(INDEX([1]Produtos!$C:$C,MATCH(L1101,[1]Produtos!$B:$B,0)), "-")</f>
        <v>BODY SPLASH JARDIM DO ORIENTE 120ml</v>
      </c>
      <c r="N1101" s="511">
        <f>IFERROR(INDEX([1]Produtos!$E:$E,MATCH(L1101,[1]Produtos!$B:$B,0)), "-")</f>
        <v>120</v>
      </c>
      <c r="O1101" s="483" t="str">
        <f>IFERROR(INDEX([1]Produtos!$F:$F,MATCH(L1101,[1]Produtos!$B:$B,0)), "-")</f>
        <v>ml</v>
      </c>
      <c r="P1101" s="477" t="str">
        <f>IFERROR(INDEX([1]Produtos!$G:$G,MATCH(L1101,[1]Produtos!$B:$B,0)), "-")</f>
        <v>WIKE MAKE</v>
      </c>
      <c r="Q1101" s="483" t="str">
        <f>IFERROR(INDEX([1]Produtos!$H:$H,MATCH(L1101,[1]Produtos!$B:$B,0)), "-")</f>
        <v>PERFUMARIA</v>
      </c>
      <c r="R1101" s="483" t="str">
        <f>IFERROR(INDEX([1]Produtos!$I:$I,MATCH(L1101,[1]Produtos!$B:$B,0)), "-")</f>
        <v>BODY SPLASH</v>
      </c>
      <c r="S1101" s="483" t="str">
        <f>IFERROR(INDEX([1]Produtos!$J:$J,MATCH(L1101,[1]Produtos!$B:$B,0)), "-")</f>
        <v>LÍQUIDO</v>
      </c>
      <c r="T1101" s="484"/>
      <c r="U1101" s="483"/>
      <c r="V1101" s="483"/>
      <c r="W1101" s="483"/>
      <c r="X1101" s="483"/>
      <c r="Y1101" s="483"/>
      <c r="Z1101" s="483"/>
      <c r="AA1101" s="483"/>
      <c r="AB1101" s="483"/>
      <c r="AC1101" s="483"/>
      <c r="AD1101" s="483"/>
      <c r="AE1101" s="483"/>
      <c r="AF1101" s="483"/>
      <c r="AG1101" s="483"/>
      <c r="AH1101" s="483"/>
      <c r="AI1101" s="483"/>
      <c r="AJ1101" s="483"/>
      <c r="AK1101" s="483"/>
      <c r="AL1101" s="483"/>
      <c r="AM1101" s="670">
        <v>46183.541666666664</v>
      </c>
      <c r="AN1101" s="670">
        <v>46183.545138888891</v>
      </c>
      <c r="AO1101" s="711">
        <f>IF(OR(Table1[[#This Row],[Início Setup Envase]]="",Table1[[#This Row],[Final Setup Envase]]=""),"",Table1[[#This Row],[Final Setup Envase]]-Table1[[#This Row],[Início Setup Envase]])</f>
        <v>3.4722222262644209E-3</v>
      </c>
      <c r="AP1101" s="670"/>
      <c r="AQ1101" s="670"/>
      <c r="AR1101" s="483"/>
      <c r="AS1101" s="483"/>
      <c r="AT1101" s="483"/>
      <c r="AU1101" s="483"/>
      <c r="AV1101" s="483"/>
      <c r="AW1101" s="483"/>
      <c r="AX1101" s="483"/>
      <c r="AY1101" s="270"/>
      <c r="AZ1101" s="270"/>
      <c r="BA1101" s="270">
        <f>IF(Table1[[#This Row],[Data de Início]]="","",YEAR(Table1[[#This Row],[Data de Início]]))</f>
        <v>2026</v>
      </c>
      <c r="BB1101" s="270">
        <f>IF(Table1[[#This Row],[Data de Início]]="","",MONTH(Table1[[#This Row],[Data de Início]]))</f>
        <v>6</v>
      </c>
      <c r="BC1101" s="483"/>
    </row>
    <row r="1102" spans="2:55" x14ac:dyDescent="0.25">
      <c r="B1102" s="470">
        <v>46183.586805555555</v>
      </c>
      <c r="C1102" s="263">
        <v>46183.600694444445</v>
      </c>
      <c r="D1102" s="264" cm="1">
        <f t="array" ref="D1102">IFERROR(HorasUteisFabrica2Turnos(B1102,C1102), "")</f>
        <v>0.33333333337213844</v>
      </c>
      <c r="E1102" s="697">
        <f t="shared" si="17"/>
        <v>719.99999991618097</v>
      </c>
      <c r="F1102" s="266" t="s">
        <v>378</v>
      </c>
      <c r="G1102" s="655" t="s">
        <v>1903</v>
      </c>
      <c r="H1102" s="266"/>
      <c r="I1102" s="268" t="s">
        <v>1941</v>
      </c>
      <c r="J1102" s="268" t="s">
        <v>15</v>
      </c>
      <c r="K1102" s="268">
        <v>240</v>
      </c>
      <c r="L1102" s="269" t="s">
        <v>1942</v>
      </c>
      <c r="M1102" s="510" t="str">
        <f>IFERROR(INDEX([1]Produtos!$C:$C,MATCH(L1102,[1]Produtos!$B:$B,0)), "-")</f>
        <v>BODY SPLASH NOITE DE AMBAR 120ml</v>
      </c>
      <c r="N1102" s="510">
        <f>IFERROR(INDEX([1]Produtos!$E:$E,MATCH(L1102,[1]Produtos!$B:$B,0)), "-")</f>
        <v>120</v>
      </c>
      <c r="O1102" s="270" t="str">
        <f>IFERROR(INDEX([1]Produtos!$F:$F,MATCH(L1102,[1]Produtos!$B:$B,0)), "-")</f>
        <v>ml</v>
      </c>
      <c r="P1102" s="264" t="str">
        <f>IFERROR(INDEX([1]Produtos!$G:$G,MATCH(L1102,[1]Produtos!$B:$B,0)), "-")</f>
        <v>WIKE MAKE</v>
      </c>
      <c r="Q1102" s="270" t="str">
        <f>IFERROR(INDEX([1]Produtos!$H:$H,MATCH(L1102,[1]Produtos!$B:$B,0)), "-")</f>
        <v>PERFUMARIA</v>
      </c>
      <c r="R1102" s="270" t="str">
        <f>IFERROR(INDEX([1]Produtos!$I:$I,MATCH(L1102,[1]Produtos!$B:$B,0)), "-")</f>
        <v>BODY SPLASH</v>
      </c>
      <c r="S1102" s="270" t="str">
        <f>IFERROR(INDEX([1]Produtos!$J:$J,MATCH(L1102,[1]Produtos!$B:$B,0)), "-")</f>
        <v>LÍQUIDO</v>
      </c>
      <c r="T1102" s="475"/>
      <c r="U1102" s="270"/>
      <c r="V1102" s="270"/>
      <c r="W1102" s="270"/>
      <c r="X1102" s="270"/>
      <c r="Y1102" s="270"/>
      <c r="Z1102" s="270"/>
      <c r="AA1102" s="270"/>
      <c r="AB1102" s="270"/>
      <c r="AC1102" s="270"/>
      <c r="AD1102" s="270"/>
      <c r="AE1102" s="270"/>
      <c r="AF1102" s="270"/>
      <c r="AG1102" s="270"/>
      <c r="AH1102" s="270"/>
      <c r="AI1102" s="270"/>
      <c r="AJ1102" s="270"/>
      <c r="AK1102" s="270"/>
      <c r="AL1102" s="270"/>
      <c r="AM1102" s="663">
        <v>46183.583333333336</v>
      </c>
      <c r="AN1102" s="663">
        <v>46183.586805555555</v>
      </c>
      <c r="AO1102" s="708">
        <f>IF(OR(Table1[[#This Row],[Início Setup Envase]]="",Table1[[#This Row],[Final Setup Envase]]=""),"",Table1[[#This Row],[Final Setup Envase]]-Table1[[#This Row],[Início Setup Envase]])</f>
        <v>3.4722222189884633E-3</v>
      </c>
      <c r="AP1102" s="663"/>
      <c r="AQ1102" s="663"/>
      <c r="AR1102" s="270"/>
      <c r="AS1102" s="674"/>
      <c r="AT1102" s="674"/>
      <c r="AU1102" s="270"/>
      <c r="AV1102" s="270"/>
      <c r="AW1102" s="270"/>
      <c r="AX1102" s="270"/>
      <c r="AY1102" s="270"/>
      <c r="AZ1102" s="270"/>
      <c r="BA1102" s="270">
        <f>IF(Table1[[#This Row],[Data de Início]]="","",YEAR(Table1[[#This Row],[Data de Início]]))</f>
        <v>2026</v>
      </c>
      <c r="BB1102" s="270">
        <f>IF(Table1[[#This Row],[Data de Início]]="","",MONTH(Table1[[#This Row],[Data de Início]]))</f>
        <v>6</v>
      </c>
      <c r="BC1102" s="270"/>
    </row>
    <row r="1103" spans="2:55" x14ac:dyDescent="0.25">
      <c r="B1103" s="470">
        <v>46183.600694444445</v>
      </c>
      <c r="C1103" s="263">
        <v>46184.569444444445</v>
      </c>
      <c r="D1103" s="477" cm="1">
        <f t="array" ref="D1103">IFERROR(HorasUteisFabrica2Turnos(B1103,C1103), "")</f>
        <v>8.2500000001164153</v>
      </c>
      <c r="E1103" s="654">
        <f t="shared" si="17"/>
        <v>959.99999998645353</v>
      </c>
      <c r="F1103" s="266" t="s">
        <v>378</v>
      </c>
      <c r="G1103" s="672" t="s">
        <v>1903</v>
      </c>
      <c r="H1103" s="479"/>
      <c r="I1103" s="267" t="s">
        <v>1946</v>
      </c>
      <c r="J1103" s="268" t="s">
        <v>15</v>
      </c>
      <c r="K1103" s="268">
        <v>7920</v>
      </c>
      <c r="L1103" s="269" t="s">
        <v>1942</v>
      </c>
      <c r="M1103" s="511" t="str">
        <f>IFERROR(INDEX([1]Produtos!$C:$C,MATCH(L1103,[1]Produtos!$B:$B,0)), "-")</f>
        <v>BODY SPLASH NOITE DE AMBAR 120ml</v>
      </c>
      <c r="N1103" s="511">
        <f>IFERROR(INDEX([1]Produtos!$E:$E,MATCH(L1103,[1]Produtos!$B:$B,0)), "-")</f>
        <v>120</v>
      </c>
      <c r="O1103" s="483" t="str">
        <f>IFERROR(INDEX([1]Produtos!$F:$F,MATCH(L1103,[1]Produtos!$B:$B,0)), "-")</f>
        <v>ml</v>
      </c>
      <c r="P1103" s="477" t="str">
        <f>IFERROR(INDEX([1]Produtos!$G:$G,MATCH(L1103,[1]Produtos!$B:$B,0)), "-")</f>
        <v>WIKE MAKE</v>
      </c>
      <c r="Q1103" s="483" t="str">
        <f>IFERROR(INDEX([1]Produtos!$H:$H,MATCH(L1103,[1]Produtos!$B:$B,0)), "-")</f>
        <v>PERFUMARIA</v>
      </c>
      <c r="R1103" s="483" t="str">
        <f>IFERROR(INDEX([1]Produtos!$I:$I,MATCH(L1103,[1]Produtos!$B:$B,0)), "-")</f>
        <v>BODY SPLASH</v>
      </c>
      <c r="S1103" s="483" t="str">
        <f>IFERROR(INDEX([1]Produtos!$J:$J,MATCH(L1103,[1]Produtos!$B:$B,0)), "-")</f>
        <v>LÍQUIDO</v>
      </c>
      <c r="T1103" s="484"/>
      <c r="U1103" s="483"/>
      <c r="V1103" s="483"/>
      <c r="W1103" s="483"/>
      <c r="X1103" s="483"/>
      <c r="Y1103" s="483"/>
      <c r="Z1103" s="483"/>
      <c r="AA1103" s="483"/>
      <c r="AB1103" s="483"/>
      <c r="AC1103" s="483"/>
      <c r="AD1103" s="483"/>
      <c r="AE1103" s="483"/>
      <c r="AF1103" s="483"/>
      <c r="AG1103" s="483"/>
      <c r="AH1103" s="483"/>
      <c r="AI1103" s="483"/>
      <c r="AJ1103" s="483"/>
      <c r="AK1103" s="483"/>
      <c r="AL1103" s="483"/>
      <c r="AM1103" s="670">
        <v>46183.59375</v>
      </c>
      <c r="AN1103" s="670">
        <v>46183.597222222219</v>
      </c>
      <c r="AO1103" s="711">
        <f>IF(OR(Table1[[#This Row],[Início Setup Envase]]="",Table1[[#This Row],[Final Setup Envase]]=""),"",Table1[[#This Row],[Final Setup Envase]]-Table1[[#This Row],[Início Setup Envase]])</f>
        <v>3.4722222189884633E-3</v>
      </c>
      <c r="AP1103" s="670"/>
      <c r="AQ1103" s="670"/>
      <c r="AR1103" s="483"/>
      <c r="AS1103" s="622"/>
      <c r="AT1103" s="622"/>
      <c r="AU1103" s="483"/>
      <c r="AV1103" s="483"/>
      <c r="AW1103" s="483"/>
      <c r="AX1103" s="483"/>
      <c r="AY1103" s="270"/>
      <c r="AZ1103" s="270"/>
      <c r="BA1103" s="270">
        <f>IF(Table1[[#This Row],[Data de Início]]="","",YEAR(Table1[[#This Row],[Data de Início]]))</f>
        <v>2026</v>
      </c>
      <c r="BB1103" s="270">
        <f>IF(Table1[[#This Row],[Data de Início]]="","",MONTH(Table1[[#This Row],[Data de Início]]))</f>
        <v>6</v>
      </c>
      <c r="BC1103" s="483"/>
    </row>
    <row r="1104" spans="2:55" x14ac:dyDescent="0.25">
      <c r="B1104" s="470">
        <v>46183.602083333331</v>
      </c>
      <c r="C1104" s="263">
        <v>46184.582638888889</v>
      </c>
      <c r="D1104" s="264" cm="1">
        <f t="array" ref="D1104">IFERROR(HorasUteisFabrica2Turnos(B1104,C1104), "")</f>
        <v>8.5333333335001953</v>
      </c>
      <c r="E1104" s="265">
        <f t="shared" si="17"/>
        <v>933.74999998174133</v>
      </c>
      <c r="F1104" s="266" t="s">
        <v>377</v>
      </c>
      <c r="G1104" s="672" t="s">
        <v>1903</v>
      </c>
      <c r="H1104" s="266"/>
      <c r="I1104" s="267" t="s">
        <v>1945</v>
      </c>
      <c r="J1104" s="268" t="s">
        <v>15</v>
      </c>
      <c r="K1104" s="268">
        <v>7968</v>
      </c>
      <c r="L1104" s="269" t="s">
        <v>1942</v>
      </c>
      <c r="M1104" s="510" t="str">
        <f>IFERROR(INDEX([1]Produtos!$C:$C,MATCH(L1104,[1]Produtos!$B:$B,0)), "-")</f>
        <v>BODY SPLASH NOITE DE AMBAR 120ml</v>
      </c>
      <c r="N1104" s="510">
        <f>IFERROR(INDEX([1]Produtos!$E:$E,MATCH(L1104,[1]Produtos!$B:$B,0)), "-")</f>
        <v>120</v>
      </c>
      <c r="O1104" s="270" t="str">
        <f>IFERROR(INDEX([1]Produtos!$F:$F,MATCH(L1104,[1]Produtos!$B:$B,0)), "-")</f>
        <v>ml</v>
      </c>
      <c r="P1104" s="264" t="str">
        <f>IFERROR(INDEX([1]Produtos!$G:$G,MATCH(L1104,[1]Produtos!$B:$B,0)), "-")</f>
        <v>WIKE MAKE</v>
      </c>
      <c r="Q1104" s="270" t="str">
        <f>IFERROR(INDEX([1]Produtos!$H:$H,MATCH(L1104,[1]Produtos!$B:$B,0)), "-")</f>
        <v>PERFUMARIA</v>
      </c>
      <c r="R1104" s="270" t="str">
        <f>IFERROR(INDEX([1]Produtos!$I:$I,MATCH(L1104,[1]Produtos!$B:$B,0)), "-")</f>
        <v>BODY SPLASH</v>
      </c>
      <c r="S1104" s="270" t="str">
        <f>IFERROR(INDEX([1]Produtos!$J:$J,MATCH(L1104,[1]Produtos!$B:$B,0)), "-")</f>
        <v>LÍQUIDO</v>
      </c>
      <c r="T1104" s="475"/>
      <c r="U1104" s="270"/>
      <c r="V1104" s="270"/>
      <c r="W1104" s="270"/>
      <c r="X1104" s="270"/>
      <c r="Y1104" s="270"/>
      <c r="Z1104" s="270"/>
      <c r="AA1104" s="270"/>
      <c r="AB1104" s="270"/>
      <c r="AC1104" s="270"/>
      <c r="AD1104" s="270"/>
      <c r="AE1104" s="270"/>
      <c r="AF1104" s="270"/>
      <c r="AG1104" s="270"/>
      <c r="AH1104" s="270"/>
      <c r="AI1104" s="270"/>
      <c r="AJ1104" s="270"/>
      <c r="AK1104" s="270"/>
      <c r="AL1104" s="270"/>
      <c r="AM1104" s="663">
        <v>46183.635416666664</v>
      </c>
      <c r="AN1104" s="663">
        <v>46183.601388888892</v>
      </c>
      <c r="AO1104" s="708" t="s">
        <v>489</v>
      </c>
      <c r="AP1104" s="663"/>
      <c r="AQ1104" s="663"/>
      <c r="AR1104" s="270"/>
      <c r="AS1104" s="270"/>
      <c r="AT1104" s="270"/>
      <c r="AU1104" s="270"/>
      <c r="AV1104" s="270"/>
      <c r="AW1104" s="270"/>
      <c r="AX1104" s="270"/>
      <c r="AY1104" s="270"/>
      <c r="AZ1104" s="270"/>
      <c r="BA1104" s="270">
        <f>IF(Table1[[#This Row],[Data de Início]]="","",YEAR(Table1[[#This Row],[Data de Início]]))</f>
        <v>2026</v>
      </c>
      <c r="BB1104" s="270">
        <f>IF(Table1[[#This Row],[Data de Início]]="","",MONTH(Table1[[#This Row],[Data de Início]]))</f>
        <v>6</v>
      </c>
      <c r="BC1104" s="270"/>
    </row>
    <row r="1105" spans="2:55" x14ac:dyDescent="0.25">
      <c r="B1105" s="470">
        <v>46184.561111111114</v>
      </c>
      <c r="C1105" s="263">
        <v>46184.673611111109</v>
      </c>
      <c r="D1105" s="477" cm="1">
        <f t="array" ref="D1105">IFERROR(HorasUteisFabrica2Turnos(B1105,C1105), "")</f>
        <v>2.6999999998952262</v>
      </c>
      <c r="E1105" s="478">
        <f t="shared" si="17"/>
        <v>1066.6666667080588</v>
      </c>
      <c r="F1105" s="266" t="s">
        <v>378</v>
      </c>
      <c r="G1105" s="672" t="s">
        <v>1903</v>
      </c>
      <c r="H1105" s="479"/>
      <c r="I1105" s="267" t="s">
        <v>1947</v>
      </c>
      <c r="J1105" s="268" t="s">
        <v>15</v>
      </c>
      <c r="K1105" s="268">
        <v>2880</v>
      </c>
      <c r="L1105" s="269" t="s">
        <v>1942</v>
      </c>
      <c r="M1105" s="511" t="str">
        <f>IFERROR(INDEX([1]Produtos!$C:$C,MATCH(L1105,[1]Produtos!$B:$B,0)), "-")</f>
        <v>BODY SPLASH NOITE DE AMBAR 120ml</v>
      </c>
      <c r="N1105" s="511">
        <f>IFERROR(INDEX([1]Produtos!$E:$E,MATCH(L1105,[1]Produtos!$B:$B,0)), "-")</f>
        <v>120</v>
      </c>
      <c r="O1105" s="483" t="str">
        <f>IFERROR(INDEX([1]Produtos!$F:$F,MATCH(L1105,[1]Produtos!$B:$B,0)), "-")</f>
        <v>ml</v>
      </c>
      <c r="P1105" s="477" t="str">
        <f>IFERROR(INDEX([1]Produtos!$G:$G,MATCH(L1105,[1]Produtos!$B:$B,0)), "-")</f>
        <v>WIKE MAKE</v>
      </c>
      <c r="Q1105" s="483" t="str">
        <f>IFERROR(INDEX([1]Produtos!$H:$H,MATCH(L1105,[1]Produtos!$B:$B,0)), "-")</f>
        <v>PERFUMARIA</v>
      </c>
      <c r="R1105" s="483" t="str">
        <f>IFERROR(INDEX([1]Produtos!$I:$I,MATCH(L1105,[1]Produtos!$B:$B,0)), "-")</f>
        <v>BODY SPLASH</v>
      </c>
      <c r="S1105" s="483" t="str">
        <f>IFERROR(INDEX([1]Produtos!$J:$J,MATCH(L1105,[1]Produtos!$B:$B,0)), "-")</f>
        <v>LÍQUIDO</v>
      </c>
      <c r="T1105" s="484"/>
      <c r="U1105" s="483"/>
      <c r="V1105" s="483"/>
      <c r="W1105" s="483"/>
      <c r="X1105" s="483"/>
      <c r="Y1105" s="483"/>
      <c r="Z1105" s="483"/>
      <c r="AA1105" s="483"/>
      <c r="AB1105" s="483"/>
      <c r="AC1105" s="483"/>
      <c r="AD1105" s="483"/>
      <c r="AE1105" s="483"/>
      <c r="AF1105" s="483"/>
      <c r="AG1105" s="483"/>
      <c r="AH1105" s="483"/>
      <c r="AI1105" s="483"/>
      <c r="AJ1105" s="483"/>
      <c r="AK1105" s="483"/>
      <c r="AL1105" s="483"/>
      <c r="AM1105" s="670">
        <v>46184.560416666667</v>
      </c>
      <c r="AN1105" s="670">
        <v>46184.561111111114</v>
      </c>
      <c r="AO1105" s="711">
        <f>IF(OR(Table1[[#This Row],[Início Setup Envase]]="",Table1[[#This Row],[Final Setup Envase]]=""),"",Table1[[#This Row],[Final Setup Envase]]-Table1[[#This Row],[Início Setup Envase]])</f>
        <v>6.944444467080757E-4</v>
      </c>
      <c r="AP1105" s="670"/>
      <c r="AQ1105" s="670"/>
      <c r="AR1105" s="483"/>
      <c r="AS1105" s="483"/>
      <c r="AT1105" s="483"/>
      <c r="AU1105" s="483"/>
      <c r="AV1105" s="483"/>
      <c r="AW1105" s="483"/>
      <c r="AX1105" s="483"/>
      <c r="AY1105" s="270"/>
      <c r="AZ1105" s="270"/>
      <c r="BA1105" s="270">
        <f>IF(Table1[[#This Row],[Data de Início]]="","",YEAR(Table1[[#This Row],[Data de Início]]))</f>
        <v>2026</v>
      </c>
      <c r="BB1105" s="270">
        <f>IF(Table1[[#This Row],[Data de Início]]="","",MONTH(Table1[[#This Row],[Data de Início]]))</f>
        <v>6</v>
      </c>
      <c r="BC1105" s="483"/>
    </row>
    <row r="1106" spans="2:55" x14ac:dyDescent="0.25">
      <c r="B1106" s="470">
        <v>46184.682638888888</v>
      </c>
      <c r="C1106" s="263">
        <v>46186.322916666664</v>
      </c>
      <c r="D1106" s="264" cm="1">
        <f t="array" ref="D1106">IFERROR(HorasUteisFabrica2Turnos(B1106,C1106), "")</f>
        <v>9.3666666667559184</v>
      </c>
      <c r="E1106" s="697">
        <f t="shared" si="17"/>
        <v>89.466192169966007</v>
      </c>
      <c r="F1106" s="266" t="s">
        <v>378</v>
      </c>
      <c r="G1106" s="672" t="s">
        <v>1903</v>
      </c>
      <c r="H1106" s="266"/>
      <c r="I1106" s="267" t="s">
        <v>1948</v>
      </c>
      <c r="J1106" s="268" t="s">
        <v>15</v>
      </c>
      <c r="K1106" s="268">
        <v>838</v>
      </c>
      <c r="L1106" s="269" t="s">
        <v>1942</v>
      </c>
      <c r="M1106" s="510" t="str">
        <f>IFERROR(INDEX([1]Produtos!$C:$C,MATCH(L1106,[1]Produtos!$B:$B,0)), "-")</f>
        <v>BODY SPLASH NOITE DE AMBAR 120ml</v>
      </c>
      <c r="N1106" s="510">
        <f>IFERROR(INDEX([1]Produtos!$E:$E,MATCH(L1106,[1]Produtos!$B:$B,0)), "-")</f>
        <v>120</v>
      </c>
      <c r="O1106" s="270" t="str">
        <f>IFERROR(INDEX([1]Produtos!$F:$F,MATCH(L1106,[1]Produtos!$B:$B,0)), "-")</f>
        <v>ml</v>
      </c>
      <c r="P1106" s="264" t="str">
        <f>IFERROR(INDEX([1]Produtos!$G:$G,MATCH(L1106,[1]Produtos!$B:$B,0)), "-")</f>
        <v>WIKE MAKE</v>
      </c>
      <c r="Q1106" s="270" t="str">
        <f>IFERROR(INDEX([1]Produtos!$H:$H,MATCH(L1106,[1]Produtos!$B:$B,0)), "-")</f>
        <v>PERFUMARIA</v>
      </c>
      <c r="R1106" s="270" t="str">
        <f>IFERROR(INDEX([1]Produtos!$I:$I,MATCH(L1106,[1]Produtos!$B:$B,0)), "-")</f>
        <v>BODY SPLASH</v>
      </c>
      <c r="S1106" s="270" t="str">
        <f>IFERROR(INDEX([1]Produtos!$J:$J,MATCH(L1106,[1]Produtos!$B:$B,0)), "-")</f>
        <v>LÍQUIDO</v>
      </c>
      <c r="T1106" s="475"/>
      <c r="U1106" s="270"/>
      <c r="V1106" s="270"/>
      <c r="W1106" s="270"/>
      <c r="X1106" s="270"/>
      <c r="Y1106" s="270"/>
      <c r="Z1106" s="270"/>
      <c r="AA1106" s="270"/>
      <c r="AB1106" s="270"/>
      <c r="AC1106" s="270"/>
      <c r="AD1106" s="270"/>
      <c r="AE1106" s="270"/>
      <c r="AF1106" s="270"/>
      <c r="AG1106" s="270"/>
      <c r="AH1106" s="270"/>
      <c r="AI1106" s="270"/>
      <c r="AJ1106" s="270"/>
      <c r="AK1106" s="270"/>
      <c r="AL1106" s="270"/>
      <c r="AM1106" s="663">
        <v>46184.677083333336</v>
      </c>
      <c r="AN1106" s="663">
        <v>46184.677777777775</v>
      </c>
      <c r="AO1106" s="708">
        <f>IF(OR(Table1[[#This Row],[Início Setup Envase]]="",Table1[[#This Row],[Final Setup Envase]]=""),"",Table1[[#This Row],[Final Setup Envase]]-Table1[[#This Row],[Início Setup Envase]])</f>
        <v>6.9444443943211809E-4</v>
      </c>
      <c r="AP1106" s="663"/>
      <c r="AQ1106" s="663"/>
      <c r="AR1106" s="270"/>
      <c r="AS1106" s="674"/>
      <c r="AT1106" s="674"/>
      <c r="AU1106" s="270"/>
      <c r="AV1106" s="270"/>
      <c r="AW1106" s="270"/>
      <c r="AX1106" s="270"/>
      <c r="AY1106" s="270"/>
      <c r="AZ1106" s="270"/>
      <c r="BA1106" s="270">
        <f>IF(Table1[[#This Row],[Data de Início]]="","",YEAR(Table1[[#This Row],[Data de Início]]))</f>
        <v>2026</v>
      </c>
      <c r="BB1106" s="270">
        <f>IF(Table1[[#This Row],[Data de Início]]="","",MONTH(Table1[[#This Row],[Data de Início]]))</f>
        <v>6</v>
      </c>
      <c r="BC1106" s="270"/>
    </row>
    <row r="1107" spans="2:55" x14ac:dyDescent="0.25">
      <c r="B1107" s="470">
        <v>46185.331250000003</v>
      </c>
      <c r="C1107" s="263">
        <v>46185.581250000003</v>
      </c>
      <c r="D1107" s="477" cm="1">
        <f t="array" ref="D1107">IFERROR(HorasUteisFabrica2Turnos(B1107,C1107), "")</f>
        <v>5</v>
      </c>
      <c r="E1107" s="654">
        <f t="shared" si="17"/>
        <v>844.8</v>
      </c>
      <c r="F1107" s="266" t="s">
        <v>378</v>
      </c>
      <c r="G1107" s="698" t="s">
        <v>1811</v>
      </c>
      <c r="H1107" s="479"/>
      <c r="I1107" s="267" t="s">
        <v>1944</v>
      </c>
      <c r="J1107" s="268" t="s">
        <v>15</v>
      </c>
      <c r="K1107" s="268">
        <v>4224</v>
      </c>
      <c r="L1107" s="269" t="s">
        <v>212</v>
      </c>
      <c r="M1107" s="511" t="str">
        <f>IFERROR(INDEX([1]Produtos!$C:$C,MATCH(L1107,[1]Produtos!$B:$B,0)), "-")</f>
        <v>BODY SPLASH FORÇA DO LEAO</v>
      </c>
      <c r="N1107" s="511">
        <f>IFERROR(INDEX([1]Produtos!$E:$E,MATCH(L1107,[1]Produtos!$B:$B,0)), "-")</f>
        <v>220</v>
      </c>
      <c r="O1107" s="483" t="str">
        <f>IFERROR(INDEX([1]Produtos!$F:$F,MATCH(L1107,[1]Produtos!$B:$B,0)), "-")</f>
        <v>ml</v>
      </c>
      <c r="P1107" s="477" t="str">
        <f>IFERROR(INDEX([1]Produtos!$G:$G,MATCH(L1107,[1]Produtos!$B:$B,0)), "-")</f>
        <v>MISS RÔSE</v>
      </c>
      <c r="Q1107" s="483" t="str">
        <f>IFERROR(INDEX([1]Produtos!$H:$H,MATCH(L1107,[1]Produtos!$B:$B,0)), "-")</f>
        <v>PERFUMARIA</v>
      </c>
      <c r="R1107" s="483" t="str">
        <f>IFERROR(INDEX([1]Produtos!$I:$I,MATCH(L1107,[1]Produtos!$B:$B,0)), "-")</f>
        <v>BODY SPLASH</v>
      </c>
      <c r="S1107" s="483" t="str">
        <f>IFERROR(INDEX([1]Produtos!$J:$J,MATCH(L1107,[1]Produtos!$B:$B,0)), "-")</f>
        <v>LÍQUIDO</v>
      </c>
      <c r="T1107" s="484"/>
      <c r="U1107" s="483"/>
      <c r="V1107" s="483"/>
      <c r="W1107" s="483"/>
      <c r="X1107" s="483"/>
      <c r="Y1107" s="483"/>
      <c r="Z1107" s="483"/>
      <c r="AA1107" s="483"/>
      <c r="AB1107" s="483"/>
      <c r="AC1107" s="483"/>
      <c r="AD1107" s="483"/>
      <c r="AE1107" s="483"/>
      <c r="AF1107" s="483"/>
      <c r="AG1107" s="483"/>
      <c r="AH1107" s="483"/>
      <c r="AI1107" s="483"/>
      <c r="AJ1107" s="483"/>
      <c r="AK1107" s="483"/>
      <c r="AL1107" s="483"/>
      <c r="AM1107" s="670">
        <v>46185.326388888891</v>
      </c>
      <c r="AN1107" s="670">
        <v>46185.329861111109</v>
      </c>
      <c r="AO1107" s="711">
        <f>IF(OR(Table1[[#This Row],[Início Setup Envase]]="",Table1[[#This Row],[Final Setup Envase]]=""),"",Table1[[#This Row],[Final Setup Envase]]-Table1[[#This Row],[Início Setup Envase]])</f>
        <v>3.4722222189884633E-3</v>
      </c>
      <c r="AP1107" s="670"/>
      <c r="AQ1107" s="670"/>
      <c r="AR1107" s="483"/>
      <c r="AS1107" s="622"/>
      <c r="AT1107" s="622"/>
      <c r="AU1107" s="483"/>
      <c r="AV1107" s="483"/>
      <c r="AW1107" s="483"/>
      <c r="AX1107" s="483"/>
      <c r="AY1107" s="270"/>
      <c r="AZ1107" s="270"/>
      <c r="BA1107" s="270">
        <f>IF(Table1[[#This Row],[Data de Início]]="","",YEAR(Table1[[#This Row],[Data de Início]]))</f>
        <v>2026</v>
      </c>
      <c r="BB1107" s="270">
        <f>IF(Table1[[#This Row],[Data de Início]]="","",MONTH(Table1[[#This Row],[Data de Início]]))</f>
        <v>6</v>
      </c>
      <c r="BC1107" s="483"/>
    </row>
    <row r="1108" spans="2:55" x14ac:dyDescent="0.25">
      <c r="B1108" s="470">
        <v>46185.49722222222</v>
      </c>
      <c r="C1108" s="263"/>
      <c r="D1108" s="264" cm="1">
        <f t="array" ref="D1108">IFERROR(HorasUteisFabrica2Turnos(B1108,C1108), "")</f>
        <v>0</v>
      </c>
      <c r="E1108" s="697" t="str">
        <f t="shared" si="17"/>
        <v/>
      </c>
      <c r="F1108" s="266" t="s">
        <v>377</v>
      </c>
      <c r="G1108" s="656" t="s">
        <v>1834</v>
      </c>
      <c r="H1108" s="266"/>
      <c r="I1108" s="267" t="s">
        <v>1950</v>
      </c>
      <c r="J1108" s="268" t="s">
        <v>15</v>
      </c>
      <c r="K1108" s="268">
        <v>4360</v>
      </c>
      <c r="L1108" s="269" t="s">
        <v>1275</v>
      </c>
      <c r="M1108" s="510" t="str">
        <f>IFERROR(INDEX([1]Produtos!$C:$C,MATCH(L1108,[1]Produtos!$B:$B,0)), "-")</f>
        <v>BODY SPLASH DESPERTAR DAS FLORES 200ml</v>
      </c>
      <c r="N1108" s="510">
        <f>IFERROR(INDEX([1]Produtos!$E:$E,MATCH(L1108,[1]Produtos!$B:$B,0)), "-")</f>
        <v>215</v>
      </c>
      <c r="O1108" s="270" t="str">
        <f>IFERROR(INDEX([1]Produtos!$F:$F,MATCH(L1108,[1]Produtos!$B:$B,0)), "-")</f>
        <v>ml</v>
      </c>
      <c r="P1108" s="264" t="str">
        <f>IFERROR(INDEX([1]Produtos!$G:$G,MATCH(L1108,[1]Produtos!$B:$B,0)), "-")</f>
        <v>MISS RÔSE</v>
      </c>
      <c r="Q1108" s="270" t="str">
        <f>IFERROR(INDEX([1]Produtos!$H:$H,MATCH(L1108,[1]Produtos!$B:$B,0)), "-")</f>
        <v>PERFUMARIA</v>
      </c>
      <c r="R1108" s="270" t="str">
        <f>IFERROR(INDEX([1]Produtos!$I:$I,MATCH(L1108,[1]Produtos!$B:$B,0)), "-")</f>
        <v>BODY SPLASH</v>
      </c>
      <c r="S1108" s="270" t="str">
        <f>IFERROR(INDEX([1]Produtos!$J:$J,MATCH(L1108,[1]Produtos!$B:$B,0)), "-")</f>
        <v>LÍQUIDO</v>
      </c>
      <c r="T1108" s="475"/>
      <c r="U1108" s="270"/>
      <c r="V1108" s="270"/>
      <c r="W1108" s="270"/>
      <c r="X1108" s="270"/>
      <c r="Y1108" s="270"/>
      <c r="Z1108" s="270"/>
      <c r="AA1108" s="270"/>
      <c r="AB1108" s="270"/>
      <c r="AC1108" s="270"/>
      <c r="AD1108" s="270"/>
      <c r="AE1108" s="270"/>
      <c r="AF1108" s="270"/>
      <c r="AG1108" s="270"/>
      <c r="AH1108" s="270"/>
      <c r="AI1108" s="270"/>
      <c r="AJ1108" s="270"/>
      <c r="AK1108" s="270"/>
      <c r="AL1108" s="270"/>
      <c r="AM1108" s="663">
        <v>46185.486111111109</v>
      </c>
      <c r="AN1108" s="663">
        <v>46185.489583333336</v>
      </c>
      <c r="AO1108" s="708">
        <f>IF(OR(Table1[[#This Row],[Início Setup Envase]]="",Table1[[#This Row],[Final Setup Envase]]=""),"",Table1[[#This Row],[Final Setup Envase]]-Table1[[#This Row],[Início Setup Envase]])</f>
        <v>3.4722222262644209E-3</v>
      </c>
      <c r="AP1108" s="663"/>
      <c r="AQ1108" s="663"/>
      <c r="AR1108" s="270"/>
      <c r="AS1108" s="674"/>
      <c r="AT1108" s="674"/>
      <c r="AU1108" s="270"/>
      <c r="AV1108" s="270"/>
      <c r="AW1108" s="270"/>
      <c r="AX1108" s="270"/>
      <c r="AY1108" s="270"/>
      <c r="AZ1108" s="270"/>
      <c r="BA1108" s="270">
        <f>IF(Table1[[#This Row],[Data de Início]]="","",YEAR(Table1[[#This Row],[Data de Início]]))</f>
        <v>2026</v>
      </c>
      <c r="BB1108" s="270">
        <f>IF(Table1[[#This Row],[Data de Início]]="","",MONTH(Table1[[#This Row],[Data de Início]]))</f>
        <v>6</v>
      </c>
      <c r="BC1108" s="270"/>
    </row>
    <row r="1109" spans="2:55" x14ac:dyDescent="0.25">
      <c r="B1109" s="470">
        <v>46185.582638888889</v>
      </c>
      <c r="C1109" s="263">
        <v>46188.333333333336</v>
      </c>
      <c r="D1109" s="477" cm="1">
        <f t="array" ref="D1109">IFERROR(HorasUteisFabrica2Turnos(B1109,C1109), "")</f>
        <v>3.0166666667209938</v>
      </c>
      <c r="E1109" s="478">
        <f t="shared" si="17"/>
        <v>1543.4254143368453</v>
      </c>
      <c r="F1109" s="266" t="s">
        <v>378</v>
      </c>
      <c r="G1109" s="673" t="s">
        <v>1811</v>
      </c>
      <c r="H1109" s="479"/>
      <c r="I1109" s="267" t="s">
        <v>1949</v>
      </c>
      <c r="J1109" s="268" t="s">
        <v>15</v>
      </c>
      <c r="K1109" s="268">
        <v>4656</v>
      </c>
      <c r="L1109" s="269" t="s">
        <v>212</v>
      </c>
      <c r="M1109" s="511" t="str">
        <f>IFERROR(INDEX([1]Produtos!$C:$C,MATCH(L1109,[1]Produtos!$B:$B,0)), "-")</f>
        <v>BODY SPLASH FORÇA DO LEAO</v>
      </c>
      <c r="N1109" s="511">
        <f>IFERROR(INDEX([1]Produtos!$E:$E,MATCH(L1109,[1]Produtos!$B:$B,0)), "-")</f>
        <v>220</v>
      </c>
      <c r="O1109" s="483" t="str">
        <f>IFERROR(INDEX([1]Produtos!$F:$F,MATCH(L1109,[1]Produtos!$B:$B,0)), "-")</f>
        <v>ml</v>
      </c>
      <c r="P1109" s="477" t="str">
        <f>IFERROR(INDEX([1]Produtos!$G:$G,MATCH(L1109,[1]Produtos!$B:$B,0)), "-")</f>
        <v>MISS RÔSE</v>
      </c>
      <c r="Q1109" s="483" t="str">
        <f>IFERROR(INDEX([1]Produtos!$H:$H,MATCH(L1109,[1]Produtos!$B:$B,0)), "-")</f>
        <v>PERFUMARIA</v>
      </c>
      <c r="R1109" s="483" t="str">
        <f>IFERROR(INDEX([1]Produtos!$I:$I,MATCH(L1109,[1]Produtos!$B:$B,0)), "-")</f>
        <v>BODY SPLASH</v>
      </c>
      <c r="S1109" s="483" t="str">
        <f>IFERROR(INDEX([1]Produtos!$J:$J,MATCH(L1109,[1]Produtos!$B:$B,0)), "-")</f>
        <v>LÍQUIDO</v>
      </c>
      <c r="T1109" s="484"/>
      <c r="U1109" s="483"/>
      <c r="V1109" s="483"/>
      <c r="W1109" s="483"/>
      <c r="X1109" s="483"/>
      <c r="Y1109" s="483"/>
      <c r="Z1109" s="483"/>
      <c r="AA1109" s="483"/>
      <c r="AB1109" s="483"/>
      <c r="AC1109" s="483"/>
      <c r="AD1109" s="483"/>
      <c r="AE1109" s="483"/>
      <c r="AF1109" s="483"/>
      <c r="AG1109" s="483"/>
      <c r="AH1109" s="483"/>
      <c r="AI1109" s="483"/>
      <c r="AJ1109" s="483"/>
      <c r="AK1109" s="483"/>
      <c r="AL1109" s="483"/>
      <c r="AM1109" s="670">
        <v>46185.580555555556</v>
      </c>
      <c r="AN1109" s="670">
        <v>46185.581250000003</v>
      </c>
      <c r="AO1109" s="711">
        <f>IF(OR(Table1[[#This Row],[Início Setup Envase]]="",Table1[[#This Row],[Final Setup Envase]]=""),"",Table1[[#This Row],[Final Setup Envase]]-Table1[[#This Row],[Início Setup Envase]])</f>
        <v>6.944444467080757E-4</v>
      </c>
      <c r="AP1109" s="670"/>
      <c r="AQ1109" s="670"/>
      <c r="AR1109" s="483"/>
      <c r="AS1109" s="483"/>
      <c r="AT1109" s="483"/>
      <c r="AU1109" s="483"/>
      <c r="AV1109" s="483"/>
      <c r="AW1109" s="483"/>
      <c r="AX1109" s="483"/>
      <c r="AY1109" s="270"/>
      <c r="AZ1109" s="270"/>
      <c r="BA1109" s="270">
        <f>IF(Table1[[#This Row],[Data de Início]]="","",YEAR(Table1[[#This Row],[Data de Início]]))</f>
        <v>2026</v>
      </c>
      <c r="BB1109" s="270">
        <f>IF(Table1[[#This Row],[Data de Início]]="","",MONTH(Table1[[#This Row],[Data de Início]]))</f>
        <v>6</v>
      </c>
      <c r="BC1109" s="483"/>
    </row>
    <row r="1110" spans="2:55" x14ac:dyDescent="0.25">
      <c r="B1110" s="470">
        <v>46188.263888888891</v>
      </c>
      <c r="C1110" s="263">
        <v>46188.5</v>
      </c>
      <c r="D1110" s="264" cm="1">
        <f t="array" ref="D1110">IFERROR(HorasUteisFabrica2Turnos(B1110,C1110), "")</f>
        <v>5.0000000000582077</v>
      </c>
      <c r="E1110" s="265">
        <f t="shared" si="17"/>
        <v>937.19999998908952</v>
      </c>
      <c r="F1110" s="266" t="s">
        <v>377</v>
      </c>
      <c r="G1110" s="266" t="s">
        <v>1834</v>
      </c>
      <c r="H1110" s="266"/>
      <c r="I1110" s="267" t="s">
        <v>1975</v>
      </c>
      <c r="J1110" s="268" t="s">
        <v>15</v>
      </c>
      <c r="K1110" s="268">
        <v>4686</v>
      </c>
      <c r="L1110" s="269" t="s">
        <v>1275</v>
      </c>
      <c r="M1110" s="510" t="str">
        <f>IFERROR(INDEX([1]Produtos!$C:$C,MATCH(L1110,[1]Produtos!$B:$B,0)), "-")</f>
        <v>BODY SPLASH DESPERTAR DAS FLORES 200ml</v>
      </c>
      <c r="N1110" s="510">
        <f>IFERROR(INDEX([1]Produtos!$E:$E,MATCH(L1110,[1]Produtos!$B:$B,0)), "-")</f>
        <v>215</v>
      </c>
      <c r="O1110" s="270" t="str">
        <f>IFERROR(INDEX([1]Produtos!$F:$F,MATCH(L1110,[1]Produtos!$B:$B,0)), "-")</f>
        <v>ml</v>
      </c>
      <c r="P1110" s="264" t="str">
        <f>IFERROR(INDEX([1]Produtos!$G:$G,MATCH(L1110,[1]Produtos!$B:$B,0)), "-")</f>
        <v>MISS RÔSE</v>
      </c>
      <c r="Q1110" s="270" t="str">
        <f>IFERROR(INDEX([1]Produtos!$H:$H,MATCH(L1110,[1]Produtos!$B:$B,0)), "-")</f>
        <v>PERFUMARIA</v>
      </c>
      <c r="R1110" s="270" t="str">
        <f>IFERROR(INDEX([1]Produtos!$I:$I,MATCH(L1110,[1]Produtos!$B:$B,0)), "-")</f>
        <v>BODY SPLASH</v>
      </c>
      <c r="S1110" s="270" t="str">
        <f>IFERROR(INDEX([1]Produtos!$J:$J,MATCH(L1110,[1]Produtos!$B:$B,0)), "-")</f>
        <v>LÍQUIDO</v>
      </c>
      <c r="T1110" s="475"/>
      <c r="U1110" s="270"/>
      <c r="V1110" s="270"/>
      <c r="W1110" s="270"/>
      <c r="X1110" s="270"/>
      <c r="Y1110" s="270"/>
      <c r="Z1110" s="270"/>
      <c r="AA1110" s="270"/>
      <c r="AB1110" s="270"/>
      <c r="AC1110" s="270"/>
      <c r="AD1110" s="270"/>
      <c r="AE1110" s="270"/>
      <c r="AF1110" s="270"/>
      <c r="AG1110" s="270"/>
      <c r="AH1110" s="270"/>
      <c r="AI1110" s="270"/>
      <c r="AJ1110" s="270"/>
      <c r="AK1110" s="270"/>
      <c r="AL1110" s="270"/>
      <c r="AM1110" s="663"/>
      <c r="AN1110" s="663"/>
      <c r="AO1110" s="708" t="str">
        <f>IF(OR(Table1[[#This Row],[Início Setup Envase]]="",Table1[[#This Row],[Final Setup Envase]]=""),"",Table1[[#This Row],[Final Setup Envase]]-Table1[[#This Row],[Início Setup Envase]])</f>
        <v/>
      </c>
      <c r="AP1110" s="663"/>
      <c r="AQ1110" s="663"/>
      <c r="AR1110" s="270"/>
      <c r="AS1110" s="270"/>
      <c r="AT1110" s="270"/>
      <c r="AU1110" s="270"/>
      <c r="AV1110" s="270"/>
      <c r="AW1110" s="270"/>
      <c r="AX1110" s="270"/>
      <c r="AY1110" s="270"/>
      <c r="AZ1110" s="270"/>
      <c r="BA1110" s="270">
        <f>IF(Table1[[#This Row],[Data de Início]]="","",YEAR(Table1[[#This Row],[Data de Início]]))</f>
        <v>2026</v>
      </c>
      <c r="BB1110" s="270">
        <f>IF(Table1[[#This Row],[Data de Início]]="","",MONTH(Table1[[#This Row],[Data de Início]]))</f>
        <v>6</v>
      </c>
      <c r="BC1110" s="270"/>
    </row>
    <row r="1111" spans="2:55" x14ac:dyDescent="0.25">
      <c r="B1111" s="470">
        <v>46188.631944444445</v>
      </c>
      <c r="C1111" s="263">
        <v>46188.845138888886</v>
      </c>
      <c r="D1111" s="477" cm="1">
        <f t="array" ref="D1111">IFERROR(HorasUteisFabrica2Turnos(B1111,C1111), "")</f>
        <v>5.1166666665812954</v>
      </c>
      <c r="E1111" s="654">
        <f t="shared" si="17"/>
        <v>633.81107492914191</v>
      </c>
      <c r="F1111" s="266" t="s">
        <v>378</v>
      </c>
      <c r="G1111" s="673" t="s">
        <v>1811</v>
      </c>
      <c r="H1111" s="479"/>
      <c r="I1111" s="267" t="s">
        <v>1952</v>
      </c>
      <c r="J1111" s="268" t="s">
        <v>15</v>
      </c>
      <c r="K1111" s="268">
        <v>3243</v>
      </c>
      <c r="L1111" s="269" t="s">
        <v>212</v>
      </c>
      <c r="M1111" s="511" t="str">
        <f>IFERROR(INDEX([1]Produtos!$C:$C,MATCH(L1111,[1]Produtos!$B:$B,0)), "-")</f>
        <v>BODY SPLASH FORÇA DO LEAO</v>
      </c>
      <c r="N1111" s="511">
        <f>IFERROR(INDEX([1]Produtos!$E:$E,MATCH(L1111,[1]Produtos!$B:$B,0)), "-")</f>
        <v>220</v>
      </c>
      <c r="O1111" s="483" t="str">
        <f>IFERROR(INDEX([1]Produtos!$F:$F,MATCH(L1111,[1]Produtos!$B:$B,0)), "-")</f>
        <v>ml</v>
      </c>
      <c r="P1111" s="477" t="str">
        <f>IFERROR(INDEX([1]Produtos!$G:$G,MATCH(L1111,[1]Produtos!$B:$B,0)), "-")</f>
        <v>MISS RÔSE</v>
      </c>
      <c r="Q1111" s="483" t="str">
        <f>IFERROR(INDEX([1]Produtos!$H:$H,MATCH(L1111,[1]Produtos!$B:$B,0)), "-")</f>
        <v>PERFUMARIA</v>
      </c>
      <c r="R1111" s="483" t="str">
        <f>IFERROR(INDEX([1]Produtos!$I:$I,MATCH(L1111,[1]Produtos!$B:$B,0)), "-")</f>
        <v>BODY SPLASH</v>
      </c>
      <c r="S1111" s="483" t="str">
        <f>IFERROR(INDEX([1]Produtos!$J:$J,MATCH(L1111,[1]Produtos!$B:$B,0)), "-")</f>
        <v>LÍQUIDO</v>
      </c>
      <c r="T1111" s="484"/>
      <c r="U1111" s="483"/>
      <c r="V1111" s="483"/>
      <c r="W1111" s="483"/>
      <c r="X1111" s="483"/>
      <c r="Y1111" s="483"/>
      <c r="Z1111" s="483"/>
      <c r="AA1111" s="483"/>
      <c r="AB1111" s="483"/>
      <c r="AC1111" s="483"/>
      <c r="AD1111" s="483"/>
      <c r="AE1111" s="483"/>
      <c r="AF1111" s="483"/>
      <c r="AG1111" s="483"/>
      <c r="AH1111" s="483"/>
      <c r="AI1111" s="483"/>
      <c r="AJ1111" s="483"/>
      <c r="AK1111" s="483"/>
      <c r="AL1111" s="483"/>
      <c r="AM1111" s="670">
        <v>46188.652777777781</v>
      </c>
      <c r="AN1111" s="670">
        <v>46188.659722222219</v>
      </c>
      <c r="AO1111" s="711">
        <f>IF(OR(Table1[[#This Row],[Início Setup Envase]]="",Table1[[#This Row],[Final Setup Envase]]=""),"",Table1[[#This Row],[Final Setup Envase]]-Table1[[#This Row],[Início Setup Envase]])</f>
        <v>6.9444444379769266E-3</v>
      </c>
      <c r="AP1111" s="670"/>
      <c r="AQ1111" s="670"/>
      <c r="AR1111" s="483"/>
      <c r="AS1111" s="622"/>
      <c r="AT1111" s="622"/>
      <c r="AU1111" s="483"/>
      <c r="AV1111" s="483"/>
      <c r="AW1111" s="483"/>
      <c r="AX1111" s="483"/>
      <c r="AY1111" s="270"/>
      <c r="AZ1111" s="270"/>
      <c r="BA1111" s="270">
        <f>IF(Table1[[#This Row],[Data de Início]]="","",YEAR(Table1[[#This Row],[Data de Início]]))</f>
        <v>2026</v>
      </c>
      <c r="BB1111" s="270">
        <f>IF(Table1[[#This Row],[Data de Início]]="","",MONTH(Table1[[#This Row],[Data de Início]]))</f>
        <v>6</v>
      </c>
      <c r="BC1111" s="483"/>
    </row>
    <row r="1112" spans="2:55" x14ac:dyDescent="0.25">
      <c r="B1112" s="470">
        <v>46188.715277777781</v>
      </c>
      <c r="C1112" s="263">
        <v>46188.743055555555</v>
      </c>
      <c r="D1112" s="264" cm="1">
        <f t="array" ref="D1112">IFERROR(HorasUteisFabrica2Turnos(B1112,C1112), "")</f>
        <v>0.6666666665696539</v>
      </c>
      <c r="E1112" s="265">
        <f t="shared" si="17"/>
        <v>360.00000005238689</v>
      </c>
      <c r="F1112" s="266" t="s">
        <v>377</v>
      </c>
      <c r="G1112" s="655" t="s">
        <v>1903</v>
      </c>
      <c r="H1112" s="266"/>
      <c r="I1112" s="267" t="s">
        <v>1953</v>
      </c>
      <c r="J1112" s="268" t="s">
        <v>15</v>
      </c>
      <c r="K1112" s="268">
        <v>240</v>
      </c>
      <c r="L1112" s="269" t="s">
        <v>1954</v>
      </c>
      <c r="M1112" s="510" t="str">
        <f>IFERROR(INDEX([1]Produtos!$C:$C,MATCH(L1112,[1]Produtos!$B:$B,0)), "-")</f>
        <v>BODY SPLASH LINDA VIDA 120ml</v>
      </c>
      <c r="N1112" s="510">
        <f>IFERROR(INDEX([1]Produtos!$E:$E,MATCH(L1112,[1]Produtos!$B:$B,0)), "-")</f>
        <v>120</v>
      </c>
      <c r="O1112" s="270" t="str">
        <f>IFERROR(INDEX([1]Produtos!$F:$F,MATCH(L1112,[1]Produtos!$B:$B,0)), "-")</f>
        <v>ml</v>
      </c>
      <c r="P1112" s="264" t="str">
        <f>IFERROR(INDEX([1]Produtos!$G:$G,MATCH(L1112,[1]Produtos!$B:$B,0)), "-")</f>
        <v>WIKE MAKE</v>
      </c>
      <c r="Q1112" s="270" t="str">
        <f>IFERROR(INDEX([1]Produtos!$H:$H,MATCH(L1112,[1]Produtos!$B:$B,0)), "-")</f>
        <v>PERFUMARIA</v>
      </c>
      <c r="R1112" s="270" t="str">
        <f>IFERROR(INDEX([1]Produtos!$I:$I,MATCH(L1112,[1]Produtos!$B:$B,0)), "-")</f>
        <v>BODY SPLASH</v>
      </c>
      <c r="S1112" s="270" t="str">
        <f>IFERROR(INDEX([1]Produtos!$J:$J,MATCH(L1112,[1]Produtos!$B:$B,0)), "-")</f>
        <v>LÍQUIDO</v>
      </c>
      <c r="T1112" s="475"/>
      <c r="U1112" s="270"/>
      <c r="V1112" s="270"/>
      <c r="W1112" s="270"/>
      <c r="X1112" s="270"/>
      <c r="Y1112" s="270"/>
      <c r="Z1112" s="270"/>
      <c r="AA1112" s="270"/>
      <c r="AB1112" s="270"/>
      <c r="AC1112" s="270"/>
      <c r="AD1112" s="270"/>
      <c r="AE1112" s="270"/>
      <c r="AF1112" s="270"/>
      <c r="AG1112" s="270"/>
      <c r="AH1112" s="270"/>
      <c r="AI1112" s="270"/>
      <c r="AJ1112" s="270"/>
      <c r="AK1112" s="270"/>
      <c r="AL1112" s="270"/>
      <c r="AM1112" s="663">
        <v>46188.715277777781</v>
      </c>
      <c r="AN1112" s="663">
        <v>46188.743055555555</v>
      </c>
      <c r="AO1112" s="708">
        <f>IF(OR(Table1[[#This Row],[Início Setup Envase]]="",Table1[[#This Row],[Final Setup Envase]]=""),"",Table1[[#This Row],[Final Setup Envase]]-Table1[[#This Row],[Início Setup Envase]])</f>
        <v>2.7777777773735579E-2</v>
      </c>
      <c r="AP1112" s="663"/>
      <c r="AQ1112" s="663"/>
      <c r="AR1112" s="270"/>
      <c r="AS1112" s="270"/>
      <c r="AT1112" s="270"/>
      <c r="AU1112" s="270"/>
      <c r="AV1112" s="270"/>
      <c r="AW1112" s="270"/>
      <c r="AX1112" s="270"/>
      <c r="AY1112" s="270"/>
      <c r="AZ1112" s="270"/>
      <c r="BA1112" s="270">
        <f>IF(Table1[[#This Row],[Data de Início]]="","",YEAR(Table1[[#This Row],[Data de Início]]))</f>
        <v>2026</v>
      </c>
      <c r="BB1112" s="270">
        <f>IF(Table1[[#This Row],[Data de Início]]="","",MONTH(Table1[[#This Row],[Data de Início]]))</f>
        <v>6</v>
      </c>
      <c r="BC1112" s="270"/>
    </row>
    <row r="1113" spans="2:55" x14ac:dyDescent="0.25">
      <c r="B1113" s="470">
        <v>46188.857638888891</v>
      </c>
      <c r="C1113" s="263">
        <v>46189.344444444447</v>
      </c>
      <c r="D1113" s="477" cm="1">
        <f t="array" ref="D1113">IFERROR(HorasUteisFabrica2Turnos(B1113,C1113), "")</f>
        <v>2.6833333333488554</v>
      </c>
      <c r="E1113" s="654">
        <f t="shared" si="17"/>
        <v>2844.2236024680192</v>
      </c>
      <c r="F1113" s="266" t="s">
        <v>377</v>
      </c>
      <c r="G1113" s="672" t="s">
        <v>1903</v>
      </c>
      <c r="H1113" s="479"/>
      <c r="I1113" s="267" t="s">
        <v>1957</v>
      </c>
      <c r="J1113" s="268" t="s">
        <v>15</v>
      </c>
      <c r="K1113" s="268">
        <v>7632</v>
      </c>
      <c r="L1113" s="269" t="s">
        <v>1954</v>
      </c>
      <c r="M1113" s="511" t="str">
        <f>IFERROR(INDEX([1]Produtos!$C:$C,MATCH(L1113,[1]Produtos!$B:$B,0)), "-")</f>
        <v>BODY SPLASH LINDA VIDA 120ml</v>
      </c>
      <c r="N1113" s="511">
        <f>IFERROR(INDEX([1]Produtos!$E:$E,MATCH(L1113,[1]Produtos!$B:$B,0)), "-")</f>
        <v>120</v>
      </c>
      <c r="O1113" s="483" t="str">
        <f>IFERROR(INDEX([1]Produtos!$F:$F,MATCH(L1113,[1]Produtos!$B:$B,0)), "-")</f>
        <v>ml</v>
      </c>
      <c r="P1113" s="477" t="str">
        <f>IFERROR(INDEX([1]Produtos!$G:$G,MATCH(L1113,[1]Produtos!$B:$B,0)), "-")</f>
        <v>WIKE MAKE</v>
      </c>
      <c r="Q1113" s="483" t="str">
        <f>IFERROR(INDEX([1]Produtos!$H:$H,MATCH(L1113,[1]Produtos!$B:$B,0)), "-")</f>
        <v>PERFUMARIA</v>
      </c>
      <c r="R1113" s="483" t="str">
        <f>IFERROR(INDEX([1]Produtos!$I:$I,MATCH(L1113,[1]Produtos!$B:$B,0)), "-")</f>
        <v>BODY SPLASH</v>
      </c>
      <c r="S1113" s="483" t="str">
        <f>IFERROR(INDEX([1]Produtos!$J:$J,MATCH(L1113,[1]Produtos!$B:$B,0)), "-")</f>
        <v>LÍQUIDO</v>
      </c>
      <c r="T1113" s="484"/>
      <c r="U1113" s="483"/>
      <c r="V1113" s="483"/>
      <c r="W1113" s="483"/>
      <c r="X1113" s="483"/>
      <c r="Y1113" s="483"/>
      <c r="Z1113" s="483"/>
      <c r="AA1113" s="483"/>
      <c r="AB1113" s="483"/>
      <c r="AC1113" s="483"/>
      <c r="AD1113" s="483"/>
      <c r="AE1113" s="483"/>
      <c r="AF1113" s="483"/>
      <c r="AG1113" s="483"/>
      <c r="AH1113" s="483"/>
      <c r="AI1113" s="483"/>
      <c r="AJ1113" s="483"/>
      <c r="AK1113" s="483"/>
      <c r="AL1113" s="483"/>
      <c r="AM1113" s="670">
        <v>46188.845138888886</v>
      </c>
      <c r="AN1113" s="670">
        <v>46188.857638888891</v>
      </c>
      <c r="AO1113" s="711">
        <f>IF(OR(Table1[[#This Row],[Início Setup Envase]]="",Table1[[#This Row],[Final Setup Envase]]=""),"",Table1[[#This Row],[Final Setup Envase]]-Table1[[#This Row],[Início Setup Envase]])</f>
        <v>1.2500000004365575E-2</v>
      </c>
      <c r="AP1113" s="670">
        <v>46189.3</v>
      </c>
      <c r="AQ1113" s="670">
        <v>46189.303472222222</v>
      </c>
      <c r="AR1113" s="483" t="s">
        <v>1958</v>
      </c>
      <c r="AS1113" s="622"/>
      <c r="AT1113" s="622"/>
      <c r="AU1113" s="483"/>
      <c r="AV1113" s="483"/>
      <c r="AW1113" s="483"/>
      <c r="AX1113" s="483"/>
      <c r="AY1113" s="270"/>
      <c r="AZ1113" s="270"/>
      <c r="BA1113" s="270">
        <f>IF(Table1[[#This Row],[Data de Início]]="","",YEAR(Table1[[#This Row],[Data de Início]]))</f>
        <v>2026</v>
      </c>
      <c r="BB1113" s="270">
        <f>IF(Table1[[#This Row],[Data de Início]]="","",MONTH(Table1[[#This Row],[Data de Início]]))</f>
        <v>6</v>
      </c>
      <c r="BC1113" s="483"/>
    </row>
    <row r="1114" spans="2:55" x14ac:dyDescent="0.25">
      <c r="B1114" s="470">
        <v>46189.344444444447</v>
      </c>
      <c r="C1114" s="263">
        <v>46189.652777777781</v>
      </c>
      <c r="D1114" s="264" cm="1">
        <f t="array" ref="D1114">IFERROR(HorasUteisFabrica2Turnos(B1114,C1114), "")</f>
        <v>6.4000000000232831</v>
      </c>
      <c r="E1114" s="697">
        <f t="shared" si="17"/>
        <v>1297.4999999952797</v>
      </c>
      <c r="F1114" s="266" t="s">
        <v>378</v>
      </c>
      <c r="G1114" s="672" t="s">
        <v>1903</v>
      </c>
      <c r="H1114" s="266"/>
      <c r="I1114" s="267" t="s">
        <v>1960</v>
      </c>
      <c r="J1114" s="268" t="s">
        <v>15</v>
      </c>
      <c r="K1114" s="268">
        <v>8304</v>
      </c>
      <c r="L1114" s="269" t="s">
        <v>1954</v>
      </c>
      <c r="M1114" s="510" t="str">
        <f>IFERROR(INDEX([1]Produtos!$C:$C,MATCH(L1114,[1]Produtos!$B:$B,0)), "-")</f>
        <v>BODY SPLASH LINDA VIDA 120ml</v>
      </c>
      <c r="N1114" s="510">
        <f>IFERROR(INDEX([1]Produtos!$E:$E,MATCH(L1114,[1]Produtos!$B:$B,0)), "-")</f>
        <v>120</v>
      </c>
      <c r="O1114" s="270" t="str">
        <f>IFERROR(INDEX([1]Produtos!$F:$F,MATCH(L1114,[1]Produtos!$B:$B,0)), "-")</f>
        <v>ml</v>
      </c>
      <c r="P1114" s="264" t="str">
        <f>IFERROR(INDEX([1]Produtos!$G:$G,MATCH(L1114,[1]Produtos!$B:$B,0)), "-")</f>
        <v>WIKE MAKE</v>
      </c>
      <c r="Q1114" s="270" t="str">
        <f>IFERROR(INDEX([1]Produtos!$H:$H,MATCH(L1114,[1]Produtos!$B:$B,0)), "-")</f>
        <v>PERFUMARIA</v>
      </c>
      <c r="R1114" s="270" t="str">
        <f>IFERROR(INDEX([1]Produtos!$I:$I,MATCH(L1114,[1]Produtos!$B:$B,0)), "-")</f>
        <v>BODY SPLASH</v>
      </c>
      <c r="S1114" s="270" t="str">
        <f>IFERROR(INDEX([1]Produtos!$J:$J,MATCH(L1114,[1]Produtos!$B:$B,0)), "-")</f>
        <v>LÍQUIDO</v>
      </c>
      <c r="T1114" s="475"/>
      <c r="U1114" s="270"/>
      <c r="V1114" s="270"/>
      <c r="W1114" s="270"/>
      <c r="X1114" s="270"/>
      <c r="Y1114" s="270"/>
      <c r="Z1114" s="270"/>
      <c r="AA1114" s="270"/>
      <c r="AB1114" s="270"/>
      <c r="AC1114" s="270"/>
      <c r="AD1114" s="270"/>
      <c r="AE1114" s="270"/>
      <c r="AF1114" s="270"/>
      <c r="AG1114" s="270"/>
      <c r="AH1114" s="270"/>
      <c r="AI1114" s="270"/>
      <c r="AJ1114" s="270"/>
      <c r="AK1114" s="270"/>
      <c r="AL1114" s="270"/>
      <c r="AM1114" s="663">
        <v>46189.340277777781</v>
      </c>
      <c r="AN1114" s="663">
        <v>46189.34375</v>
      </c>
      <c r="AO1114" s="708">
        <f>IF(OR(Table1[[#This Row],[Início Setup Envase]]="",Table1[[#This Row],[Final Setup Envase]]=""),"",Table1[[#This Row],[Final Setup Envase]]-Table1[[#This Row],[Início Setup Envase]])</f>
        <v>3.4722222189884633E-3</v>
      </c>
      <c r="AP1114" s="663"/>
      <c r="AQ1114" s="663"/>
      <c r="AR1114" s="270"/>
      <c r="AS1114" s="674"/>
      <c r="AT1114" s="674"/>
      <c r="AU1114" s="270"/>
      <c r="AV1114" s="270"/>
      <c r="AW1114" s="270"/>
      <c r="AX1114" s="270"/>
      <c r="AY1114" s="270"/>
      <c r="AZ1114" s="270"/>
      <c r="BA1114" s="270">
        <f>IF(Table1[[#This Row],[Data de Início]]="","",YEAR(Table1[[#This Row],[Data de Início]]))</f>
        <v>2026</v>
      </c>
      <c r="BB1114" s="270">
        <f>IF(Table1[[#This Row],[Data de Início]]="","",MONTH(Table1[[#This Row],[Data de Início]]))</f>
        <v>6</v>
      </c>
      <c r="BC1114" s="270"/>
    </row>
    <row r="1115" spans="2:55" x14ac:dyDescent="0.25">
      <c r="B1115" s="470">
        <v>46189.548611111109</v>
      </c>
      <c r="C1115" s="263">
        <v>46190.388888888891</v>
      </c>
      <c r="D1115" s="477" cm="1">
        <f t="array" ref="D1115">IFERROR(HorasUteisFabrica2Turnos(B1115,C1115), "")</f>
        <v>6.1666666668606922</v>
      </c>
      <c r="E1115" s="654">
        <f t="shared" si="17"/>
        <v>1411.4594594150499</v>
      </c>
      <c r="F1115" s="266" t="s">
        <v>378</v>
      </c>
      <c r="G1115" s="672" t="s">
        <v>1436</v>
      </c>
      <c r="H1115" s="479"/>
      <c r="I1115" s="267" t="s">
        <v>1976</v>
      </c>
      <c r="J1115" s="268" t="s">
        <v>15</v>
      </c>
      <c r="K1115" s="268">
        <v>8704</v>
      </c>
      <c r="L1115" s="269" t="s">
        <v>1437</v>
      </c>
      <c r="M1115" s="511" t="str">
        <f>IFERROR(INDEX([1]Produtos!$C:$C,MATCH(L1115,[1]Produtos!$B:$B,0)), "-")</f>
        <v>FIXADOR FIX MATTE 120ml</v>
      </c>
      <c r="N1115" s="511">
        <f>IFERROR(INDEX([1]Produtos!$E:$E,MATCH(L1115,[1]Produtos!$B:$B,0)), "-")</f>
        <v>120</v>
      </c>
      <c r="O1115" s="483" t="str">
        <f>IFERROR(INDEX([1]Produtos!$F:$F,MATCH(L1115,[1]Produtos!$B:$B,0)), "-")</f>
        <v>ml</v>
      </c>
      <c r="P1115" s="477" t="str">
        <f>IFERROR(INDEX([1]Produtos!$G:$G,MATCH(L1115,[1]Produtos!$B:$B,0)), "-")</f>
        <v>MISS RÔSE</v>
      </c>
      <c r="Q1115" s="483" t="str">
        <f>IFERROR(INDEX([1]Produtos!$H:$H,MATCH(L1115,[1]Produtos!$B:$B,0)), "-")</f>
        <v>MAQUIAGEM</v>
      </c>
      <c r="R1115" s="483" t="str">
        <f>IFERROR(INDEX([1]Produtos!$I:$I,MATCH(L1115,[1]Produtos!$B:$B,0)), "-")</f>
        <v>FIXADOR</v>
      </c>
      <c r="S1115" s="483" t="str">
        <f>IFERROR(INDEX([1]Produtos!$J:$J,MATCH(L1115,[1]Produtos!$B:$B,0)), "-")</f>
        <v>LÍQUIDO</v>
      </c>
      <c r="T1115" s="484"/>
      <c r="U1115" s="483"/>
      <c r="V1115" s="483"/>
      <c r="W1115" s="483"/>
      <c r="X1115" s="483"/>
      <c r="Y1115" s="483"/>
      <c r="Z1115" s="483"/>
      <c r="AA1115" s="483"/>
      <c r="AB1115" s="483"/>
      <c r="AC1115" s="483"/>
      <c r="AD1115" s="483"/>
      <c r="AE1115" s="483"/>
      <c r="AF1115" s="483"/>
      <c r="AG1115" s="483"/>
      <c r="AH1115" s="483"/>
      <c r="AI1115" s="483"/>
      <c r="AJ1115" s="483"/>
      <c r="AK1115" s="483"/>
      <c r="AL1115" s="483"/>
      <c r="AM1115" s="670">
        <v>46189.541666666664</v>
      </c>
      <c r="AN1115" s="670">
        <v>46189.545138888891</v>
      </c>
      <c r="AO1115" s="711">
        <f>IF(OR(Table1[[#This Row],[Início Setup Envase]]="",Table1[[#This Row],[Final Setup Envase]]=""),"",Table1[[#This Row],[Final Setup Envase]]-Table1[[#This Row],[Início Setup Envase]])</f>
        <v>3.4722222262644209E-3</v>
      </c>
      <c r="AP1115" s="670"/>
      <c r="AQ1115" s="670"/>
      <c r="AR1115" s="483"/>
      <c r="AS1115" s="622"/>
      <c r="AT1115" s="622"/>
      <c r="AU1115" s="483"/>
      <c r="AV1115" s="483"/>
      <c r="AW1115" s="483"/>
      <c r="AX1115" s="483"/>
      <c r="AY1115" s="270"/>
      <c r="AZ1115" s="270"/>
      <c r="BA1115" s="270">
        <f>IF(Table1[[#This Row],[Data de Início]]="","",YEAR(Table1[[#This Row],[Data de Início]]))</f>
        <v>2026</v>
      </c>
      <c r="BB1115" s="270">
        <f>IF(Table1[[#This Row],[Data de Início]]="","",MONTH(Table1[[#This Row],[Data de Início]]))</f>
        <v>6</v>
      </c>
      <c r="BC1115" s="483"/>
    </row>
    <row r="1116" spans="2:55" x14ac:dyDescent="0.25">
      <c r="B1116" s="470">
        <v>46189.65625</v>
      </c>
      <c r="C1116" s="263">
        <v>46189.902777777781</v>
      </c>
      <c r="D1116" s="264" cm="1">
        <f t="array" ref="D1116">IFERROR(HorasUteisFabrica2Turnos(B1116,C1116), "")</f>
        <v>5.9166666667442769</v>
      </c>
      <c r="E1116" s="265">
        <f t="shared" si="17"/>
        <v>609.8028168934095</v>
      </c>
      <c r="F1116" s="266" t="s">
        <v>378</v>
      </c>
      <c r="G1116" s="672" t="s">
        <v>1903</v>
      </c>
      <c r="H1116" s="266"/>
      <c r="I1116" s="267" t="s">
        <v>1959</v>
      </c>
      <c r="J1116" s="268" t="s">
        <v>15</v>
      </c>
      <c r="K1116" s="268">
        <v>3608</v>
      </c>
      <c r="L1116" s="269" t="s">
        <v>1954</v>
      </c>
      <c r="M1116" s="510" t="str">
        <f>IFERROR(INDEX([1]Produtos!$C:$C,MATCH(L1116,[1]Produtos!$B:$B,0)), "-")</f>
        <v>BODY SPLASH LINDA VIDA 120ml</v>
      </c>
      <c r="N1116" s="510">
        <f>IFERROR(INDEX([1]Produtos!$E:$E,MATCH(L1116,[1]Produtos!$B:$B,0)), "-")</f>
        <v>120</v>
      </c>
      <c r="O1116" s="270" t="str">
        <f>IFERROR(INDEX([1]Produtos!$F:$F,MATCH(L1116,[1]Produtos!$B:$B,0)), "-")</f>
        <v>ml</v>
      </c>
      <c r="P1116" s="264" t="str">
        <f>IFERROR(INDEX([1]Produtos!$G:$G,MATCH(L1116,[1]Produtos!$B:$B,0)), "-")</f>
        <v>WIKE MAKE</v>
      </c>
      <c r="Q1116" s="270" t="str">
        <f>IFERROR(INDEX([1]Produtos!$H:$H,MATCH(L1116,[1]Produtos!$B:$B,0)), "-")</f>
        <v>PERFUMARIA</v>
      </c>
      <c r="R1116" s="270" t="str">
        <f>IFERROR(INDEX([1]Produtos!$I:$I,MATCH(L1116,[1]Produtos!$B:$B,0)), "-")</f>
        <v>BODY SPLASH</v>
      </c>
      <c r="S1116" s="270" t="str">
        <f>IFERROR(INDEX([1]Produtos!$J:$J,MATCH(L1116,[1]Produtos!$B:$B,0)), "-")</f>
        <v>LÍQUIDO</v>
      </c>
      <c r="T1116" s="475"/>
      <c r="U1116" s="270"/>
      <c r="V1116" s="270"/>
      <c r="W1116" s="270"/>
      <c r="X1116" s="270"/>
      <c r="Y1116" s="270"/>
      <c r="Z1116" s="270"/>
      <c r="AA1116" s="270"/>
      <c r="AB1116" s="270"/>
      <c r="AC1116" s="270"/>
      <c r="AD1116" s="270"/>
      <c r="AE1116" s="270"/>
      <c r="AF1116" s="270"/>
      <c r="AG1116" s="270"/>
      <c r="AH1116" s="270"/>
      <c r="AI1116" s="270"/>
      <c r="AJ1116" s="270"/>
      <c r="AK1116" s="270"/>
      <c r="AL1116" s="270"/>
      <c r="AM1116" s="663">
        <v>46189.654166666667</v>
      </c>
      <c r="AN1116" s="663">
        <v>46189.65625</v>
      </c>
      <c r="AO1116" s="708">
        <f>IF(OR(Table1[[#This Row],[Início Setup Envase]]="",Table1[[#This Row],[Final Setup Envase]]=""),"",Table1[[#This Row],[Final Setup Envase]]-Table1[[#This Row],[Início Setup Envase]])</f>
        <v>2.0833333328482695E-3</v>
      </c>
      <c r="AP1116" s="663"/>
      <c r="AQ1116" s="663"/>
      <c r="AR1116" s="270"/>
      <c r="AS1116" s="270"/>
      <c r="AT1116" s="270"/>
      <c r="AU1116" s="270"/>
      <c r="AV1116" s="270"/>
      <c r="AW1116" s="270"/>
      <c r="AX1116" s="270"/>
      <c r="AY1116" s="270"/>
      <c r="AZ1116" s="270"/>
      <c r="BA1116" s="270">
        <f>IF(Table1[[#This Row],[Data de Início]]="","",YEAR(Table1[[#This Row],[Data de Início]]))</f>
        <v>2026</v>
      </c>
      <c r="BB1116" s="270">
        <f>IF(Table1[[#This Row],[Data de Início]]="","",MONTH(Table1[[#This Row],[Data de Início]]))</f>
        <v>6</v>
      </c>
      <c r="BC1116" s="270"/>
    </row>
    <row r="1117" spans="2:55" x14ac:dyDescent="0.25">
      <c r="B1117" s="470">
        <v>46190.364583333336</v>
      </c>
      <c r="C1117" s="263">
        <v>46191.425000000003</v>
      </c>
      <c r="D1117" s="477" cm="1">
        <f t="array" ref="D1117">IFERROR(HorasUteisFabrica2Turnos(B1117,C1117), "")</f>
        <v>10.450000000128057</v>
      </c>
      <c r="E1117" s="654">
        <f t="shared" si="17"/>
        <v>832.91866027687456</v>
      </c>
      <c r="F1117" s="266" t="s">
        <v>378</v>
      </c>
      <c r="G1117" s="672" t="s">
        <v>1436</v>
      </c>
      <c r="H1117" s="479"/>
      <c r="I1117" s="267" t="s">
        <v>1974</v>
      </c>
      <c r="J1117" s="268" t="s">
        <v>15</v>
      </c>
      <c r="K1117" s="268">
        <v>8704</v>
      </c>
      <c r="L1117" s="269" t="s">
        <v>1437</v>
      </c>
      <c r="M1117" s="511" t="str">
        <f>IFERROR(INDEX([1]Produtos!$C:$C,MATCH(L1117,[1]Produtos!$B:$B,0)), "-")</f>
        <v>FIXADOR FIX MATTE 120ml</v>
      </c>
      <c r="N1117" s="511">
        <f>IFERROR(INDEX([1]Produtos!$E:$E,MATCH(L1117,[1]Produtos!$B:$B,0)), "-")</f>
        <v>120</v>
      </c>
      <c r="O1117" s="483" t="str">
        <f>IFERROR(INDEX([1]Produtos!$F:$F,MATCH(L1117,[1]Produtos!$B:$B,0)), "-")</f>
        <v>ml</v>
      </c>
      <c r="P1117" s="477" t="str">
        <f>IFERROR(INDEX([1]Produtos!$G:$G,MATCH(L1117,[1]Produtos!$B:$B,0)), "-")</f>
        <v>MISS RÔSE</v>
      </c>
      <c r="Q1117" s="483" t="str">
        <f>IFERROR(INDEX([1]Produtos!$H:$H,MATCH(L1117,[1]Produtos!$B:$B,0)), "-")</f>
        <v>MAQUIAGEM</v>
      </c>
      <c r="R1117" s="483" t="str">
        <f>IFERROR(INDEX([1]Produtos!$I:$I,MATCH(L1117,[1]Produtos!$B:$B,0)), "-")</f>
        <v>FIXADOR</v>
      </c>
      <c r="S1117" s="483" t="str">
        <f>IFERROR(INDEX([1]Produtos!$J:$J,MATCH(L1117,[1]Produtos!$B:$B,0)), "-")</f>
        <v>LÍQUIDO</v>
      </c>
      <c r="T1117" s="484"/>
      <c r="U1117" s="483"/>
      <c r="V1117" s="483"/>
      <c r="W1117" s="483"/>
      <c r="X1117" s="483"/>
      <c r="Y1117" s="483"/>
      <c r="Z1117" s="483"/>
      <c r="AA1117" s="483"/>
      <c r="AB1117" s="483"/>
      <c r="AC1117" s="483"/>
      <c r="AD1117" s="483"/>
      <c r="AE1117" s="483"/>
      <c r="AF1117" s="483"/>
      <c r="AG1117" s="483"/>
      <c r="AH1117" s="483"/>
      <c r="AI1117" s="483"/>
      <c r="AJ1117" s="483"/>
      <c r="AK1117" s="483"/>
      <c r="AL1117" s="483"/>
      <c r="AM1117" s="670">
        <v>46190.361111111109</v>
      </c>
      <c r="AN1117" s="670">
        <v>46190.361111111109</v>
      </c>
      <c r="AO1117" s="711">
        <f>IF(OR(Table1[[#This Row],[Início Setup Envase]]="",Table1[[#This Row],[Final Setup Envase]]=""),"",Table1[[#This Row],[Final Setup Envase]]-Table1[[#This Row],[Início Setup Envase]])</f>
        <v>0</v>
      </c>
      <c r="AP1117" s="670">
        <v>46190.388888888891</v>
      </c>
      <c r="AQ1117" s="670">
        <v>46190.414583333331</v>
      </c>
      <c r="AR1117" s="483" t="s">
        <v>1712</v>
      </c>
      <c r="AS1117" s="622">
        <v>46190.427083333336</v>
      </c>
      <c r="AT1117" s="622">
        <v>46190.458333333336</v>
      </c>
      <c r="AU1117" s="483" t="s">
        <v>1712</v>
      </c>
      <c r="AV1117" s="622">
        <v>46191.270833333336</v>
      </c>
      <c r="AW1117" s="483"/>
      <c r="AX1117" s="483" t="s">
        <v>1712</v>
      </c>
      <c r="AY1117" s="270"/>
      <c r="AZ1117" s="270"/>
      <c r="BA1117" s="270">
        <f>IF(Table1[[#This Row],[Data de Início]]="","",YEAR(Table1[[#This Row],[Data de Início]]))</f>
        <v>2026</v>
      </c>
      <c r="BB1117" s="270">
        <f>IF(Table1[[#This Row],[Data de Início]]="","",MONTH(Table1[[#This Row],[Data de Início]]))</f>
        <v>6</v>
      </c>
      <c r="BC1117" s="483"/>
    </row>
    <row r="1118" spans="2:55" x14ac:dyDescent="0.25">
      <c r="B1118" s="470">
        <v>46190.506249999999</v>
      </c>
      <c r="C1118" s="263">
        <v>46190.527777777781</v>
      </c>
      <c r="D1118" s="264" cm="1">
        <f t="array" ref="D1118">IFERROR(HorasUteisFabrica2Turnos(B1118,C1118), "")</f>
        <v>0.51666666677920148</v>
      </c>
      <c r="E1118" s="697">
        <f t="shared" si="17"/>
        <v>739.35483854863901</v>
      </c>
      <c r="F1118" s="266" t="s">
        <v>377</v>
      </c>
      <c r="G1118" s="672" t="s">
        <v>1903</v>
      </c>
      <c r="H1118" s="266"/>
      <c r="I1118" s="267" t="s">
        <v>1970</v>
      </c>
      <c r="J1118" s="268" t="s">
        <v>15</v>
      </c>
      <c r="K1118" s="268">
        <v>382</v>
      </c>
      <c r="L1118" s="269" t="s">
        <v>1954</v>
      </c>
      <c r="M1118" s="510" t="str">
        <f>IFERROR(INDEX([1]Produtos!$C:$C,MATCH(L1118,[1]Produtos!$B:$B,0)), "-")</f>
        <v>BODY SPLASH LINDA VIDA 120ml</v>
      </c>
      <c r="N1118" s="510">
        <f>IFERROR(INDEX([1]Produtos!$E:$E,MATCH(L1118,[1]Produtos!$B:$B,0)), "-")</f>
        <v>120</v>
      </c>
      <c r="O1118" s="270" t="str">
        <f>IFERROR(INDEX([1]Produtos!$F:$F,MATCH(L1118,[1]Produtos!$B:$B,0)), "-")</f>
        <v>ml</v>
      </c>
      <c r="P1118" s="264" t="str">
        <f>IFERROR(INDEX([1]Produtos!$G:$G,MATCH(L1118,[1]Produtos!$B:$B,0)), "-")</f>
        <v>WIKE MAKE</v>
      </c>
      <c r="Q1118" s="270" t="str">
        <f>IFERROR(INDEX([1]Produtos!$H:$H,MATCH(L1118,[1]Produtos!$B:$B,0)), "-")</f>
        <v>PERFUMARIA</v>
      </c>
      <c r="R1118" s="270" t="str">
        <f>IFERROR(INDEX([1]Produtos!$I:$I,MATCH(L1118,[1]Produtos!$B:$B,0)), "-")</f>
        <v>BODY SPLASH</v>
      </c>
      <c r="S1118" s="270" t="str">
        <f>IFERROR(INDEX([1]Produtos!$J:$J,MATCH(L1118,[1]Produtos!$B:$B,0)), "-")</f>
        <v>LÍQUIDO</v>
      </c>
      <c r="T1118" s="475"/>
      <c r="U1118" s="270"/>
      <c r="V1118" s="270"/>
      <c r="W1118" s="270"/>
      <c r="X1118" s="270"/>
      <c r="Y1118" s="270"/>
      <c r="Z1118" s="270"/>
      <c r="AA1118" s="270"/>
      <c r="AB1118" s="270"/>
      <c r="AC1118" s="270"/>
      <c r="AD1118" s="270"/>
      <c r="AE1118" s="270"/>
      <c r="AF1118" s="270"/>
      <c r="AG1118" s="270"/>
      <c r="AH1118" s="270"/>
      <c r="AI1118" s="270"/>
      <c r="AJ1118" s="270"/>
      <c r="AK1118" s="270"/>
      <c r="AL1118" s="270"/>
      <c r="AM1118" s="663">
        <v>46190.430555555555</v>
      </c>
      <c r="AN1118" s="663">
        <v>46190.430555555555</v>
      </c>
      <c r="AO1118" s="708">
        <f>IF(OR(Table1[[#This Row],[Início Setup Envase]]="",Table1[[#This Row],[Final Setup Envase]]=""),"",Table1[[#This Row],[Final Setup Envase]]-Table1[[#This Row],[Início Setup Envase]])</f>
        <v>0</v>
      </c>
      <c r="AP1118" s="663">
        <v>46190.388888888891</v>
      </c>
      <c r="AQ1118" s="663">
        <v>46190.433333333334</v>
      </c>
      <c r="AR1118" s="270" t="s">
        <v>1971</v>
      </c>
      <c r="AS1118" s="674">
        <v>46190.416666666664</v>
      </c>
      <c r="AT1118" s="674">
        <v>46183.458333333336</v>
      </c>
      <c r="AU1118" s="270" t="s">
        <v>1971</v>
      </c>
      <c r="AV1118" s="674">
        <v>46190.527083333334</v>
      </c>
      <c r="AW1118" s="674">
        <v>46190.527777777781</v>
      </c>
      <c r="AX1118" s="270" t="s">
        <v>1971</v>
      </c>
      <c r="AY1118" s="270"/>
      <c r="AZ1118" s="270"/>
      <c r="BA1118" s="270">
        <f>IF(Table1[[#This Row],[Data de Início]]="","",YEAR(Table1[[#This Row],[Data de Início]]))</f>
        <v>2026</v>
      </c>
      <c r="BB1118" s="270">
        <f>IF(Table1[[#This Row],[Data de Início]]="","",MONTH(Table1[[#This Row],[Data de Início]]))</f>
        <v>6</v>
      </c>
      <c r="BC1118" s="270"/>
    </row>
    <row r="1119" spans="2:55" x14ac:dyDescent="0.25">
      <c r="B1119" s="470">
        <v>46190.604166666664</v>
      </c>
      <c r="C1119" s="263">
        <v>46190.659722222219</v>
      </c>
      <c r="D1119" s="477" cm="1">
        <f t="array" ref="D1119">IFERROR(HorasUteisFabrica2Turnos(B1119,C1119), "")</f>
        <v>1.3333333333139308</v>
      </c>
      <c r="E1119" s="265">
        <f t="shared" si="17"/>
        <v>315.00000000458385</v>
      </c>
      <c r="F1119" s="266" t="s">
        <v>377</v>
      </c>
      <c r="G1119" s="673" t="s">
        <v>1962</v>
      </c>
      <c r="H1119" s="479"/>
      <c r="I1119" s="267" t="s">
        <v>1961</v>
      </c>
      <c r="J1119" s="268" t="s">
        <v>15</v>
      </c>
      <c r="K1119" s="466">
        <v>420</v>
      </c>
      <c r="L1119" s="269" t="s">
        <v>312</v>
      </c>
      <c r="M1119" s="511" t="str">
        <f>IFERROR(INDEX([1]Produtos!$C:$C,MATCH(L1119,[1]Produtos!$B:$B,0)), "-")</f>
        <v>BODY SPLASH MATTE SORVETE DE BAUNILHA</v>
      </c>
      <c r="N1119" s="511">
        <f>IFERROR(INDEX([1]Produtos!$E:$E,MATCH(L1119,[1]Produtos!$B:$B,0)), "-")</f>
        <v>120</v>
      </c>
      <c r="O1119" s="483" t="str">
        <f>IFERROR(INDEX([1]Produtos!$F:$F,MATCH(L1119,[1]Produtos!$B:$B,0)), "-")</f>
        <v>ml</v>
      </c>
      <c r="P1119" s="477" t="str">
        <f>IFERROR(INDEX([1]Produtos!$G:$G,MATCH(L1119,[1]Produtos!$B:$B,0)), "-")</f>
        <v>DAPOP</v>
      </c>
      <c r="Q1119" s="483" t="str">
        <f>IFERROR(INDEX([1]Produtos!$H:$H,MATCH(L1119,[1]Produtos!$B:$B,0)), "-")</f>
        <v>PERFUMARIA</v>
      </c>
      <c r="R1119" s="483" t="str">
        <f>IFERROR(INDEX([1]Produtos!$I:$I,MATCH(L1119,[1]Produtos!$B:$B,0)), "-")</f>
        <v>BODY SPLASH</v>
      </c>
      <c r="S1119" s="483" t="str">
        <f>IFERROR(INDEX([1]Produtos!$J:$J,MATCH(L1119,[1]Produtos!$B:$B,0)), "-")</f>
        <v>LÍQUIDO</v>
      </c>
      <c r="T1119" s="484"/>
      <c r="U1119" s="483"/>
      <c r="V1119" s="483"/>
      <c r="W1119" s="483"/>
      <c r="X1119" s="483"/>
      <c r="Y1119" s="483"/>
      <c r="Z1119" s="483"/>
      <c r="AA1119" s="483"/>
      <c r="AB1119" s="483"/>
      <c r="AC1119" s="483"/>
      <c r="AD1119" s="483"/>
      <c r="AE1119" s="483"/>
      <c r="AF1119" s="483"/>
      <c r="AG1119" s="483"/>
      <c r="AH1119" s="483"/>
      <c r="AI1119" s="483"/>
      <c r="AJ1119" s="483"/>
      <c r="AK1119" s="483"/>
      <c r="AL1119" s="483"/>
      <c r="AM1119" s="670">
        <v>46190.583333333336</v>
      </c>
      <c r="AN1119" s="670">
        <v>46190.604166666664</v>
      </c>
      <c r="AO1119" s="711">
        <f>IF(OR(Table1[[#This Row],[Início Setup Envase]]="",Table1[[#This Row],[Final Setup Envase]]=""),"",Table1[[#This Row],[Final Setup Envase]]-Table1[[#This Row],[Início Setup Envase]])</f>
        <v>2.0833333328482695E-2</v>
      </c>
      <c r="AP1119" s="670"/>
      <c r="AQ1119" s="670"/>
      <c r="AR1119" s="483"/>
      <c r="AS1119" s="483"/>
      <c r="AT1119" s="483"/>
      <c r="AU1119" s="483"/>
      <c r="AV1119" s="483"/>
      <c r="AW1119" s="483"/>
      <c r="AX1119" s="483"/>
      <c r="AY1119" s="270"/>
      <c r="AZ1119" s="270"/>
      <c r="BA1119" s="270">
        <f>IF(Table1[[#This Row],[Data de Início]]="","",YEAR(Table1[[#This Row],[Data de Início]]))</f>
        <v>2026</v>
      </c>
      <c r="BB1119" s="270">
        <f>IF(Table1[[#This Row],[Data de Início]]="","",MONTH(Table1[[#This Row],[Data de Início]]))</f>
        <v>6</v>
      </c>
      <c r="BC1119" s="483"/>
    </row>
    <row r="1120" spans="2:55" x14ac:dyDescent="0.25">
      <c r="B1120" s="470">
        <v>46190.660416666666</v>
      </c>
      <c r="C1120" s="263">
        <v>46191.520833333336</v>
      </c>
      <c r="D1120" s="264" cm="1">
        <f t="array" ref="D1120">IFERROR(HorasUteisFabrica2Turnos(B1120,C1120), "")</f>
        <v>6.650000000197906</v>
      </c>
      <c r="E1120" s="697">
        <f t="shared" si="17"/>
        <v>1064.6616541036537</v>
      </c>
      <c r="F1120" s="266" t="s">
        <v>378</v>
      </c>
      <c r="G1120" s="673" t="s">
        <v>1962</v>
      </c>
      <c r="H1120" s="266"/>
      <c r="I1120" s="267" t="s">
        <v>1972</v>
      </c>
      <c r="J1120" s="268" t="s">
        <v>15</v>
      </c>
      <c r="K1120" s="268">
        <v>7080</v>
      </c>
      <c r="L1120" s="269" t="s">
        <v>312</v>
      </c>
      <c r="M1120" s="510" t="str">
        <f>IFERROR(INDEX([1]Produtos!$C:$C,MATCH(L1120,[1]Produtos!$B:$B,0)), "-")</f>
        <v>BODY SPLASH MATTE SORVETE DE BAUNILHA</v>
      </c>
      <c r="N1120" s="510">
        <f>IFERROR(INDEX([1]Produtos!$E:$E,MATCH(L1120,[1]Produtos!$B:$B,0)), "-")</f>
        <v>120</v>
      </c>
      <c r="O1120" s="270" t="str">
        <f>IFERROR(INDEX([1]Produtos!$F:$F,MATCH(L1120,[1]Produtos!$B:$B,0)), "-")</f>
        <v>ml</v>
      </c>
      <c r="P1120" s="264" t="str">
        <f>IFERROR(INDEX([1]Produtos!$G:$G,MATCH(L1120,[1]Produtos!$B:$B,0)), "-")</f>
        <v>DAPOP</v>
      </c>
      <c r="Q1120" s="270" t="str">
        <f>IFERROR(INDEX([1]Produtos!$H:$H,MATCH(L1120,[1]Produtos!$B:$B,0)), "-")</f>
        <v>PERFUMARIA</v>
      </c>
      <c r="R1120" s="270" t="str">
        <f>IFERROR(INDEX([1]Produtos!$I:$I,MATCH(L1120,[1]Produtos!$B:$B,0)), "-")</f>
        <v>BODY SPLASH</v>
      </c>
      <c r="S1120" s="270" t="str">
        <f>IFERROR(INDEX([1]Produtos!$J:$J,MATCH(L1120,[1]Produtos!$B:$B,0)), "-")</f>
        <v>LÍQUIDO</v>
      </c>
      <c r="T1120" s="475"/>
      <c r="U1120" s="270"/>
      <c r="V1120" s="270"/>
      <c r="W1120" s="270"/>
      <c r="X1120" s="270"/>
      <c r="Y1120" s="270"/>
      <c r="Z1120" s="270"/>
      <c r="AA1120" s="270"/>
      <c r="AB1120" s="270"/>
      <c r="AC1120" s="270"/>
      <c r="AD1120" s="270"/>
      <c r="AE1120" s="270"/>
      <c r="AF1120" s="270"/>
      <c r="AG1120" s="270"/>
      <c r="AH1120" s="270"/>
      <c r="AI1120" s="270"/>
      <c r="AJ1120" s="270"/>
      <c r="AK1120" s="270"/>
      <c r="AL1120" s="270"/>
      <c r="AM1120" s="663">
        <v>46190.659722222219</v>
      </c>
      <c r="AN1120" s="663">
        <v>46190.660416666666</v>
      </c>
      <c r="AO1120" s="708">
        <f>IF(OR(Table1[[#This Row],[Início Setup Envase]]="",Table1[[#This Row],[Final Setup Envase]]=""),"",Table1[[#This Row],[Final Setup Envase]]-Table1[[#This Row],[Início Setup Envase]])</f>
        <v>6.944444467080757E-4</v>
      </c>
      <c r="AP1120" s="663">
        <v>46190.666666666664</v>
      </c>
      <c r="AQ1120" s="663">
        <v>46190.677083333336</v>
      </c>
      <c r="AR1120" s="270" t="s">
        <v>1973</v>
      </c>
      <c r="AS1120" s="270"/>
      <c r="AT1120" s="270"/>
      <c r="AU1120" s="270"/>
      <c r="AV1120" s="270"/>
      <c r="AW1120" s="270"/>
      <c r="AX1120" s="270"/>
      <c r="AY1120" s="270"/>
      <c r="AZ1120" s="270"/>
      <c r="BA1120" s="270">
        <f>IF(Table1[[#This Row],[Data de Início]]="","",YEAR(Table1[[#This Row],[Data de Início]]))</f>
        <v>2026</v>
      </c>
      <c r="BB1120" s="270">
        <f>IF(Table1[[#This Row],[Data de Início]]="","",MONTH(Table1[[#This Row],[Data de Início]]))</f>
        <v>6</v>
      </c>
      <c r="BC1120" s="270"/>
    </row>
    <row r="1121" spans="2:55" x14ac:dyDescent="0.25">
      <c r="B1121" s="470">
        <v>46191.425694444442</v>
      </c>
      <c r="C1121" s="263">
        <v>46192.425694444442</v>
      </c>
      <c r="D1121" s="477" cm="1">
        <f t="array" ref="D1121">IFERROR(HorasUteisFabrica2Turnos(B1121,C1121), "")</f>
        <v>9.0000000001164153</v>
      </c>
      <c r="E1121" s="654">
        <f t="shared" si="17"/>
        <v>967.11111109860144</v>
      </c>
      <c r="F1121" s="266" t="s">
        <v>378</v>
      </c>
      <c r="G1121" s="672" t="s">
        <v>1436</v>
      </c>
      <c r="H1121" s="479"/>
      <c r="I1121" s="267" t="s">
        <v>1979</v>
      </c>
      <c r="J1121" s="268" t="s">
        <v>15</v>
      </c>
      <c r="K1121" s="268">
        <v>8704</v>
      </c>
      <c r="L1121" s="269" t="s">
        <v>1437</v>
      </c>
      <c r="M1121" s="511" t="str">
        <f>IFERROR(INDEX([1]Produtos!$C:$C,MATCH(L1121,[1]Produtos!$B:$B,0)), "-")</f>
        <v>FIXADOR FIX MATTE 120ml</v>
      </c>
      <c r="N1121" s="511">
        <f>IFERROR(INDEX([1]Produtos!$E:$E,MATCH(L1121,[1]Produtos!$B:$B,0)), "-")</f>
        <v>120</v>
      </c>
      <c r="O1121" s="483" t="str">
        <f>IFERROR(INDEX([1]Produtos!$F:$F,MATCH(L1121,[1]Produtos!$B:$B,0)), "-")</f>
        <v>ml</v>
      </c>
      <c r="P1121" s="477" t="str">
        <f>IFERROR(INDEX([1]Produtos!$G:$G,MATCH(L1121,[1]Produtos!$B:$B,0)), "-")</f>
        <v>MISS RÔSE</v>
      </c>
      <c r="Q1121" s="483" t="str">
        <f>IFERROR(INDEX([1]Produtos!$H:$H,MATCH(L1121,[1]Produtos!$B:$B,0)), "-")</f>
        <v>MAQUIAGEM</v>
      </c>
      <c r="R1121" s="483" t="str">
        <f>IFERROR(INDEX([1]Produtos!$I:$I,MATCH(L1121,[1]Produtos!$B:$B,0)), "-")</f>
        <v>FIXADOR</v>
      </c>
      <c r="S1121" s="483" t="str">
        <f>IFERROR(INDEX([1]Produtos!$J:$J,MATCH(L1121,[1]Produtos!$B:$B,0)), "-")</f>
        <v>LÍQUIDO</v>
      </c>
      <c r="T1121" s="484"/>
      <c r="U1121" s="483"/>
      <c r="V1121" s="483"/>
      <c r="W1121" s="483"/>
      <c r="X1121" s="483"/>
      <c r="Y1121" s="483"/>
      <c r="Z1121" s="483"/>
      <c r="AA1121" s="483"/>
      <c r="AB1121" s="483"/>
      <c r="AC1121" s="483"/>
      <c r="AD1121" s="483"/>
      <c r="AE1121" s="483"/>
      <c r="AF1121" s="483"/>
      <c r="AG1121" s="483"/>
      <c r="AH1121" s="483"/>
      <c r="AI1121" s="483"/>
      <c r="AJ1121" s="483"/>
      <c r="AK1121" s="483"/>
      <c r="AL1121" s="483"/>
      <c r="AM1121" s="670">
        <v>46191.425000000003</v>
      </c>
      <c r="AN1121" s="670">
        <v>46191.425694444442</v>
      </c>
      <c r="AO1121" s="711">
        <f>IF(OR(Table1[[#This Row],[Início Setup Envase]]="",Table1[[#This Row],[Final Setup Envase]]=""),"",Table1[[#This Row],[Final Setup Envase]]-Table1[[#This Row],[Início Setup Envase]])</f>
        <v>6.9444443943211809E-4</v>
      </c>
      <c r="AP1121" s="670">
        <v>46191.53125</v>
      </c>
      <c r="AQ1121" s="670"/>
      <c r="AR1121" s="483" t="s">
        <v>1712</v>
      </c>
      <c r="AS1121" s="622"/>
      <c r="AT1121" s="622"/>
      <c r="AU1121" s="483"/>
      <c r="AV1121" s="483"/>
      <c r="AW1121" s="483"/>
      <c r="AX1121" s="483"/>
      <c r="AY1121" s="270"/>
      <c r="AZ1121" s="270"/>
      <c r="BA1121" s="270">
        <f>IF(Table1[[#This Row],[Data de Início]]="","",YEAR(Table1[[#This Row],[Data de Início]]))</f>
        <v>2026</v>
      </c>
      <c r="BB1121" s="270">
        <f>IF(Table1[[#This Row],[Data de Início]]="","",MONTH(Table1[[#This Row],[Data de Início]]))</f>
        <v>6</v>
      </c>
      <c r="BC1121" s="483"/>
    </row>
    <row r="1122" spans="2:55" x14ac:dyDescent="0.25">
      <c r="B1122" s="470">
        <v>46191.522222222222</v>
      </c>
      <c r="C1122" s="263"/>
      <c r="D1122" s="264" cm="1">
        <f t="array" ref="D1122">IFERROR(HorasUteisFabrica2Turnos(B1122,C1122), "")</f>
        <v>0</v>
      </c>
      <c r="E1122" s="265" t="str">
        <f t="shared" si="17"/>
        <v/>
      </c>
      <c r="F1122" s="266" t="s">
        <v>377</v>
      </c>
      <c r="G1122" s="673" t="s">
        <v>1962</v>
      </c>
      <c r="H1122" s="266"/>
      <c r="I1122" s="267" t="s">
        <v>1980</v>
      </c>
      <c r="J1122" s="268" t="s">
        <v>15</v>
      </c>
      <c r="K1122" s="268">
        <v>6540</v>
      </c>
      <c r="L1122" s="269" t="s">
        <v>312</v>
      </c>
      <c r="M1122" s="510" t="str">
        <f>IFERROR(INDEX([1]Produtos!$C:$C,MATCH(L1122,[1]Produtos!$B:$B,0)), "-")</f>
        <v>BODY SPLASH MATTE SORVETE DE BAUNILHA</v>
      </c>
      <c r="N1122" s="510">
        <f>IFERROR(INDEX([1]Produtos!$E:$E,MATCH(L1122,[1]Produtos!$B:$B,0)), "-")</f>
        <v>120</v>
      </c>
      <c r="O1122" s="270" t="str">
        <f>IFERROR(INDEX([1]Produtos!$F:$F,MATCH(L1122,[1]Produtos!$B:$B,0)), "-")</f>
        <v>ml</v>
      </c>
      <c r="P1122" s="264" t="str">
        <f>IFERROR(INDEX([1]Produtos!$G:$G,MATCH(L1122,[1]Produtos!$B:$B,0)), "-")</f>
        <v>DAPOP</v>
      </c>
      <c r="Q1122" s="270" t="str">
        <f>IFERROR(INDEX([1]Produtos!$H:$H,MATCH(L1122,[1]Produtos!$B:$B,0)), "-")</f>
        <v>PERFUMARIA</v>
      </c>
      <c r="R1122" s="270" t="str">
        <f>IFERROR(INDEX([1]Produtos!$I:$I,MATCH(L1122,[1]Produtos!$B:$B,0)), "-")</f>
        <v>BODY SPLASH</v>
      </c>
      <c r="S1122" s="270" t="str">
        <f>IFERROR(INDEX([1]Produtos!$J:$J,MATCH(L1122,[1]Produtos!$B:$B,0)), "-")</f>
        <v>LÍQUIDO</v>
      </c>
      <c r="T1122" s="475"/>
      <c r="U1122" s="270"/>
      <c r="V1122" s="270"/>
      <c r="W1122" s="270"/>
      <c r="X1122" s="270"/>
      <c r="Y1122" s="270"/>
      <c r="Z1122" s="270"/>
      <c r="AA1122" s="270"/>
      <c r="AB1122" s="270"/>
      <c r="AC1122" s="270"/>
      <c r="AD1122" s="270"/>
      <c r="AE1122" s="270"/>
      <c r="AF1122" s="270"/>
      <c r="AG1122" s="270"/>
      <c r="AH1122" s="270"/>
      <c r="AI1122" s="270"/>
      <c r="AJ1122" s="270"/>
      <c r="AK1122" s="270"/>
      <c r="AL1122" s="270"/>
      <c r="AM1122" s="663">
        <v>46191.520833333336</v>
      </c>
      <c r="AN1122" s="663">
        <v>46191.522222222222</v>
      </c>
      <c r="AO1122" s="708">
        <f>IF(OR(Table1[[#This Row],[Início Setup Envase]]="",Table1[[#This Row],[Final Setup Envase]]=""),"",Table1[[#This Row],[Final Setup Envase]]-Table1[[#This Row],[Início Setup Envase]])</f>
        <v>1.3888888861401938E-3</v>
      </c>
      <c r="AP1122" s="663"/>
      <c r="AQ1122" s="663"/>
      <c r="AR1122" s="270"/>
      <c r="AS1122" s="270"/>
      <c r="AT1122" s="270"/>
      <c r="AU1122" s="270"/>
      <c r="AV1122" s="270"/>
      <c r="AW1122" s="270"/>
      <c r="AX1122" s="270"/>
      <c r="AY1122" s="270"/>
      <c r="AZ1122" s="270"/>
      <c r="BA1122" s="270">
        <f>IF(Table1[[#This Row],[Data de Início]]="","",YEAR(Table1[[#This Row],[Data de Início]]))</f>
        <v>2026</v>
      </c>
      <c r="BB1122" s="270">
        <f>IF(Table1[[#This Row],[Data de Início]]="","",MONTH(Table1[[#This Row],[Data de Início]]))</f>
        <v>6</v>
      </c>
      <c r="BC1122" s="270"/>
    </row>
    <row r="1123" spans="2:55" x14ac:dyDescent="0.25">
      <c r="B1123" s="470">
        <v>46192.270833333336</v>
      </c>
      <c r="C1123" s="263">
        <v>46192.777777777781</v>
      </c>
      <c r="D1123" s="477" cm="1">
        <f t="array" ref="D1123">IFERROR(HorasUteisFabrica2Turnos(B1123,C1123), "")</f>
        <v>10.666666666802485</v>
      </c>
      <c r="E1123" s="654">
        <f t="shared" si="17"/>
        <v>751.12499999043598</v>
      </c>
      <c r="F1123" s="266" t="s">
        <v>377</v>
      </c>
      <c r="G1123" s="673" t="s">
        <v>1962</v>
      </c>
      <c r="H1123" s="479"/>
      <c r="I1123" s="267" t="s">
        <v>1981</v>
      </c>
      <c r="J1123" s="268" t="s">
        <v>15</v>
      </c>
      <c r="K1123" s="268">
        <v>8012</v>
      </c>
      <c r="L1123" s="269" t="s">
        <v>372</v>
      </c>
      <c r="M1123" s="511" t="str">
        <f>IFERROR(INDEX([1]Produtos!$C:$C,MATCH(L1123,[1]Produtos!$B:$B,0)), "-")</f>
        <v>BODY SPLASH MATTE DOCE SEDUÇÃO</v>
      </c>
      <c r="N1123" s="511">
        <f>IFERROR(INDEX([1]Produtos!$E:$E,MATCH(L1123,[1]Produtos!$B:$B,0)), "-")</f>
        <v>120</v>
      </c>
      <c r="O1123" s="483" t="str">
        <f>IFERROR(INDEX([1]Produtos!$F:$F,MATCH(L1123,[1]Produtos!$B:$B,0)), "-")</f>
        <v>ml</v>
      </c>
      <c r="P1123" s="477" t="str">
        <f>IFERROR(INDEX([1]Produtos!$G:$G,MATCH(L1123,[1]Produtos!$B:$B,0)), "-")</f>
        <v>DAPOP</v>
      </c>
      <c r="Q1123" s="483" t="str">
        <f>IFERROR(INDEX([1]Produtos!$H:$H,MATCH(L1123,[1]Produtos!$B:$B,0)), "-")</f>
        <v>PERFUMARIA</v>
      </c>
      <c r="R1123" s="483" t="str">
        <f>IFERROR(INDEX([1]Produtos!$I:$I,MATCH(L1123,[1]Produtos!$B:$B,0)), "-")</f>
        <v>BODY SPLASH</v>
      </c>
      <c r="S1123" s="483" t="str">
        <f>IFERROR(INDEX([1]Produtos!$J:$J,MATCH(L1123,[1]Produtos!$B:$B,0)), "-")</f>
        <v>LÍQUIDO</v>
      </c>
      <c r="T1123" s="484"/>
      <c r="U1123" s="483"/>
      <c r="V1123" s="483"/>
      <c r="W1123" s="483"/>
      <c r="X1123" s="483"/>
      <c r="Y1123" s="483"/>
      <c r="Z1123" s="483"/>
      <c r="AA1123" s="483"/>
      <c r="AB1123" s="483"/>
      <c r="AC1123" s="483"/>
      <c r="AD1123" s="483"/>
      <c r="AE1123" s="483"/>
      <c r="AF1123" s="483"/>
      <c r="AG1123" s="483"/>
      <c r="AH1123" s="483"/>
      <c r="AI1123" s="483"/>
      <c r="AJ1123" s="483"/>
      <c r="AK1123" s="483"/>
      <c r="AL1123" s="483"/>
      <c r="AM1123" s="670"/>
      <c r="AN1123" s="670"/>
      <c r="AO1123" s="711" t="str">
        <f>IF(OR(Table1[[#This Row],[Início Setup Envase]]="",Table1[[#This Row],[Final Setup Envase]]=""),"",Table1[[#This Row],[Final Setup Envase]]-Table1[[#This Row],[Início Setup Envase]])</f>
        <v/>
      </c>
      <c r="AP1123" s="670"/>
      <c r="AQ1123" s="670"/>
      <c r="AR1123" s="483"/>
      <c r="AS1123" s="622"/>
      <c r="AT1123" s="622"/>
      <c r="AU1123" s="483"/>
      <c r="AV1123" s="483"/>
      <c r="AW1123" s="483"/>
      <c r="AX1123" s="483"/>
      <c r="AY1123" s="270"/>
      <c r="AZ1123" s="270"/>
      <c r="BA1123" s="270">
        <f>IF(Table1[[#This Row],[Data de Início]]="","",YEAR(Table1[[#This Row],[Data de Início]]))</f>
        <v>2026</v>
      </c>
      <c r="BB1123" s="270">
        <f>IF(Table1[[#This Row],[Data de Início]]="","",MONTH(Table1[[#This Row],[Data de Início]]))</f>
        <v>6</v>
      </c>
      <c r="BC1123" s="483"/>
    </row>
    <row r="1124" spans="2:55" x14ac:dyDescent="0.25">
      <c r="B1124" s="470">
        <v>46192.697916666664</v>
      </c>
      <c r="C1124" s="263">
        <v>46161</v>
      </c>
      <c r="D1124" s="264"/>
      <c r="E1124" s="265"/>
      <c r="F1124" s="266" t="s">
        <v>377</v>
      </c>
      <c r="G1124" s="672" t="s">
        <v>1436</v>
      </c>
      <c r="H1124" s="266"/>
      <c r="I1124" s="267" t="s">
        <v>1978</v>
      </c>
      <c r="J1124" s="268" t="s">
        <v>15</v>
      </c>
      <c r="K1124" s="268">
        <v>1664</v>
      </c>
      <c r="L1124" s="269" t="s">
        <v>1437</v>
      </c>
      <c r="M1124" s="510" t="str">
        <f>IFERROR(INDEX([1]Produtos!$C:$C,MATCH(L1124,[1]Produtos!$B:$B,0)), "-")</f>
        <v>FIXADOR FIX MATTE 120ml</v>
      </c>
      <c r="N1124" s="510">
        <f>IFERROR(INDEX([1]Produtos!$E:$E,MATCH(L1124,[1]Produtos!$B:$B,0)), "-")</f>
        <v>120</v>
      </c>
      <c r="O1124" s="270" t="str">
        <f>IFERROR(INDEX([1]Produtos!$F:$F,MATCH(L1124,[1]Produtos!$B:$B,0)), "-")</f>
        <v>ml</v>
      </c>
      <c r="P1124" s="264" t="str">
        <f>IFERROR(INDEX([1]Produtos!$G:$G,MATCH(L1124,[1]Produtos!$B:$B,0)), "-")</f>
        <v>MISS RÔSE</v>
      </c>
      <c r="Q1124" s="270" t="str">
        <f>IFERROR(INDEX([1]Produtos!$H:$H,MATCH(L1124,[1]Produtos!$B:$B,0)), "-")</f>
        <v>MAQUIAGEM</v>
      </c>
      <c r="R1124" s="270" t="str">
        <f>IFERROR(INDEX([1]Produtos!$I:$I,MATCH(L1124,[1]Produtos!$B:$B,0)), "-")</f>
        <v>FIXADOR</v>
      </c>
      <c r="S1124" s="270" t="str">
        <f>IFERROR(INDEX([1]Produtos!$J:$J,MATCH(L1124,[1]Produtos!$B:$B,0)), "-")</f>
        <v>LÍQUIDO</v>
      </c>
      <c r="T1124" s="475"/>
      <c r="U1124" s="270"/>
      <c r="V1124" s="270"/>
      <c r="W1124" s="270"/>
      <c r="X1124" s="270"/>
      <c r="Y1124" s="270"/>
      <c r="Z1124" s="270"/>
      <c r="AA1124" s="270"/>
      <c r="AB1124" s="270"/>
      <c r="AC1124" s="270"/>
      <c r="AD1124" s="270"/>
      <c r="AE1124" s="270"/>
      <c r="AF1124" s="270"/>
      <c r="AG1124" s="270"/>
      <c r="AH1124" s="270"/>
      <c r="AI1124" s="270"/>
      <c r="AJ1124" s="270"/>
      <c r="AK1124" s="270"/>
      <c r="AL1124" s="270"/>
      <c r="AM1124" s="663">
        <v>46192.697222222225</v>
      </c>
      <c r="AN1124" s="663">
        <v>46192.697916666664</v>
      </c>
      <c r="AO1124" s="708">
        <f>IF(OR(Table1[[#This Row],[Início Setup Envase]]="",Table1[[#This Row],[Final Setup Envase]]=""),"",Table1[[#This Row],[Final Setup Envase]]-Table1[[#This Row],[Início Setup Envase]])</f>
        <v>6.9444443943211809E-4</v>
      </c>
      <c r="AP1124" s="663"/>
      <c r="AQ1124" s="663"/>
      <c r="AR1124" s="270"/>
      <c r="AS1124" s="270"/>
      <c r="AT1124" s="270"/>
      <c r="AU1124" s="270"/>
      <c r="AV1124" s="270"/>
      <c r="AW1124" s="270"/>
      <c r="AX1124" s="270"/>
      <c r="AY1124" s="270"/>
      <c r="AZ1124" s="270"/>
      <c r="BA1124" s="270">
        <f>IF(Table1[[#This Row],[Data de Início]]="","",YEAR(Table1[[#This Row],[Data de Início]]))</f>
        <v>2026</v>
      </c>
      <c r="BB1124" s="270">
        <f>IF(Table1[[#This Row],[Data de Início]]="","",MONTH(Table1[[#This Row],[Data de Início]]))</f>
        <v>6</v>
      </c>
      <c r="BC1124" s="270"/>
    </row>
    <row r="1125" spans="2:55" x14ac:dyDescent="0.25">
      <c r="B1125" s="470">
        <v>46195.671527777777</v>
      </c>
      <c r="C1125" s="263">
        <v>46196.44027777778</v>
      </c>
      <c r="D1125" s="477" cm="1">
        <f t="array" ref="D1125">IFERROR(HorasUteisFabrica2Turnos(B1125,C1125), "")</f>
        <v>4.4500000001862645</v>
      </c>
      <c r="E1125" s="654">
        <f t="shared" ref="E1125:E1188" si="18">IFERROR(K1125/D1125, "")</f>
        <v>1024.7191010807037</v>
      </c>
      <c r="F1125" s="266" t="s">
        <v>377</v>
      </c>
      <c r="G1125" s="673" t="s">
        <v>1811</v>
      </c>
      <c r="H1125" s="479"/>
      <c r="I1125" s="267" t="s">
        <v>1982</v>
      </c>
      <c r="J1125" s="268" t="s">
        <v>15</v>
      </c>
      <c r="K1125" s="268">
        <v>4560</v>
      </c>
      <c r="L1125" s="269" t="s">
        <v>212</v>
      </c>
      <c r="M1125" s="511" t="str">
        <f>IFERROR(INDEX([1]Produtos!$C:$C,MATCH(L1125,[1]Produtos!$B:$B,0)), "-")</f>
        <v>BODY SPLASH FORÇA DO LEAO</v>
      </c>
      <c r="N1125" s="511">
        <f>IFERROR(INDEX([1]Produtos!$E:$E,MATCH(L1125,[1]Produtos!$B:$B,0)), "-")</f>
        <v>220</v>
      </c>
      <c r="O1125" s="483" t="str">
        <f>IFERROR(INDEX([1]Produtos!$F:$F,MATCH(L1125,[1]Produtos!$B:$B,0)), "-")</f>
        <v>ml</v>
      </c>
      <c r="P1125" s="477" t="str">
        <f>IFERROR(INDEX([1]Produtos!$G:$G,MATCH(L1125,[1]Produtos!$B:$B,0)), "-")</f>
        <v>MISS RÔSE</v>
      </c>
      <c r="Q1125" s="483" t="str">
        <f>IFERROR(INDEX([1]Produtos!$H:$H,MATCH(L1125,[1]Produtos!$B:$B,0)), "-")</f>
        <v>PERFUMARIA</v>
      </c>
      <c r="R1125" s="483" t="str">
        <f>IFERROR(INDEX([1]Produtos!$I:$I,MATCH(L1125,[1]Produtos!$B:$B,0)), "-")</f>
        <v>BODY SPLASH</v>
      </c>
      <c r="S1125" s="483" t="str">
        <f>IFERROR(INDEX([1]Produtos!$J:$J,MATCH(L1125,[1]Produtos!$B:$B,0)), "-")</f>
        <v>LÍQUIDO</v>
      </c>
      <c r="T1125" s="484"/>
      <c r="U1125" s="483"/>
      <c r="V1125" s="483"/>
      <c r="W1125" s="483"/>
      <c r="X1125" s="483"/>
      <c r="Y1125" s="483"/>
      <c r="Z1125" s="483"/>
      <c r="AA1125" s="483"/>
      <c r="AB1125" s="483"/>
      <c r="AC1125" s="483"/>
      <c r="AD1125" s="483"/>
      <c r="AE1125" s="483"/>
      <c r="AF1125" s="483"/>
      <c r="AG1125" s="483"/>
      <c r="AH1125" s="483"/>
      <c r="AI1125" s="483"/>
      <c r="AJ1125" s="483"/>
      <c r="AK1125" s="483"/>
      <c r="AL1125" s="483"/>
      <c r="AM1125" s="670">
        <v>46195.628472222219</v>
      </c>
      <c r="AN1125" s="670">
        <v>46195.629861111112</v>
      </c>
      <c r="AO1125" s="711">
        <f>IF(OR(Table1[[#This Row],[Início Setup Envase]]="",Table1[[#This Row],[Final Setup Envase]]=""),"",Table1[[#This Row],[Final Setup Envase]]-Table1[[#This Row],[Início Setup Envase]])</f>
        <v>1.3888888934161514E-3</v>
      </c>
      <c r="AP1125" s="670"/>
      <c r="AQ1125" s="670"/>
      <c r="AR1125" s="483"/>
      <c r="AS1125" s="622"/>
      <c r="AT1125" s="622"/>
      <c r="AU1125" s="483"/>
      <c r="AV1125" s="483"/>
      <c r="AW1125" s="483"/>
      <c r="AX1125" s="483"/>
      <c r="AY1125" s="270"/>
      <c r="AZ1125" s="270"/>
      <c r="BA1125" s="270">
        <f>IF(Table1[[#This Row],[Data de Início]]="","",YEAR(Table1[[#This Row],[Data de Início]]))</f>
        <v>2026</v>
      </c>
      <c r="BB1125" s="270">
        <f>IF(Table1[[#This Row],[Data de Início]]="","",MONTH(Table1[[#This Row],[Data de Início]]))</f>
        <v>6</v>
      </c>
      <c r="BC1125" s="483"/>
    </row>
    <row r="1126" spans="2:55" x14ac:dyDescent="0.25">
      <c r="B1126" s="470">
        <v>46196.42083333333</v>
      </c>
      <c r="C1126" s="263">
        <v>46196.694444444445</v>
      </c>
      <c r="D1126" s="264" cm="1">
        <f t="array" ref="D1126">IFERROR(HorasUteisFabrica2Turnos(B1126,C1126), "")</f>
        <v>5.5666666667675599</v>
      </c>
      <c r="E1126" s="265">
        <f t="shared" si="18"/>
        <v>935.38922153993269</v>
      </c>
      <c r="F1126" s="266" t="s">
        <v>378</v>
      </c>
      <c r="G1126" s="673" t="s">
        <v>1962</v>
      </c>
      <c r="H1126" s="266"/>
      <c r="I1126" s="267" t="s">
        <v>1985</v>
      </c>
      <c r="J1126" s="268" t="s">
        <v>15</v>
      </c>
      <c r="K1126" s="268">
        <v>5207</v>
      </c>
      <c r="L1126" s="269" t="s">
        <v>313</v>
      </c>
      <c r="M1126" s="510" t="str">
        <f>IFERROR(INDEX([1]Produtos!$C:$C,MATCH(L1126,[1]Produtos!$B:$B,0)), "-")</f>
        <v>BODY SPLASH MATTE OITAVA MARAVILHA</v>
      </c>
      <c r="N1126" s="510">
        <f>IFERROR(INDEX([1]Produtos!$E:$E,MATCH(L1126,[1]Produtos!$B:$B,0)), "-")</f>
        <v>120</v>
      </c>
      <c r="O1126" s="270" t="str">
        <f>IFERROR(INDEX([1]Produtos!$F:$F,MATCH(L1126,[1]Produtos!$B:$B,0)), "-")</f>
        <v>ml</v>
      </c>
      <c r="P1126" s="264" t="str">
        <f>IFERROR(INDEX([1]Produtos!$G:$G,MATCH(L1126,[1]Produtos!$B:$B,0)), "-")</f>
        <v>DAPOP</v>
      </c>
      <c r="Q1126" s="270" t="str">
        <f>IFERROR(INDEX([1]Produtos!$H:$H,MATCH(L1126,[1]Produtos!$B:$B,0)), "-")</f>
        <v>PERFUMARIA</v>
      </c>
      <c r="R1126" s="270" t="str">
        <f>IFERROR(INDEX([1]Produtos!$I:$I,MATCH(L1126,[1]Produtos!$B:$B,0)), "-")</f>
        <v>BODY SPLASH</v>
      </c>
      <c r="S1126" s="270" t="str">
        <f>IFERROR(INDEX([1]Produtos!$J:$J,MATCH(L1126,[1]Produtos!$B:$B,0)), "-")</f>
        <v>LÍQUIDO</v>
      </c>
      <c r="T1126" s="475"/>
      <c r="U1126" s="270"/>
      <c r="V1126" s="270"/>
      <c r="W1126" s="270"/>
      <c r="X1126" s="270"/>
      <c r="Y1126" s="270"/>
      <c r="Z1126" s="270"/>
      <c r="AA1126" s="270"/>
      <c r="AB1126" s="270"/>
      <c r="AC1126" s="270"/>
      <c r="AD1126" s="270"/>
      <c r="AE1126" s="270"/>
      <c r="AF1126" s="270"/>
      <c r="AG1126" s="270"/>
      <c r="AH1126" s="270"/>
      <c r="AI1126" s="270"/>
      <c r="AJ1126" s="270"/>
      <c r="AK1126" s="270"/>
      <c r="AL1126" s="270"/>
      <c r="AM1126" s="663">
        <v>46196.420138888891</v>
      </c>
      <c r="AN1126" s="663">
        <v>46196.420138888891</v>
      </c>
      <c r="AO1126" s="708">
        <f>IF(OR(Table1[[#This Row],[Início Setup Envase]]="",Table1[[#This Row],[Final Setup Envase]]=""),"",Table1[[#This Row],[Final Setup Envase]]-Table1[[#This Row],[Início Setup Envase]])</f>
        <v>0</v>
      </c>
      <c r="AP1126" s="663"/>
      <c r="AQ1126" s="663"/>
      <c r="AR1126" s="270"/>
      <c r="AS1126" s="270"/>
      <c r="AT1126" s="270"/>
      <c r="AU1126" s="270"/>
      <c r="AV1126" s="270"/>
      <c r="AW1126" s="270"/>
      <c r="AX1126" s="270"/>
      <c r="AY1126" s="270"/>
      <c r="AZ1126" s="270"/>
      <c r="BA1126" s="270">
        <f>IF(Table1[[#This Row],[Data de Início]]="","",YEAR(Table1[[#This Row],[Data de Início]]))</f>
        <v>2026</v>
      </c>
      <c r="BB1126" s="270">
        <f>IF(Table1[[#This Row],[Data de Início]]="","",MONTH(Table1[[#This Row],[Data de Início]]))</f>
        <v>6</v>
      </c>
      <c r="BC1126" s="270"/>
    </row>
    <row r="1127" spans="2:55" x14ac:dyDescent="0.25">
      <c r="B1127" s="470">
        <v>46196.444444444445</v>
      </c>
      <c r="C1127" s="263">
        <v>46196.666666666664</v>
      </c>
      <c r="D1127" s="264" cm="1">
        <f t="array" ref="D1127">IFERROR(HorasUteisFabrica2Turnos(B1127,C1127), "")</f>
        <v>4.3333333332557231</v>
      </c>
      <c r="E1127" s="265">
        <f t="shared" si="18"/>
        <v>994.15384617165148</v>
      </c>
      <c r="F1127" s="266" t="s">
        <v>377</v>
      </c>
      <c r="G1127" s="673" t="s">
        <v>1811</v>
      </c>
      <c r="H1127" s="266"/>
      <c r="I1127" s="267" t="s">
        <v>1991</v>
      </c>
      <c r="J1127" s="268" t="s">
        <v>15</v>
      </c>
      <c r="K1127" s="268">
        <v>4308</v>
      </c>
      <c r="L1127" s="269" t="s">
        <v>212</v>
      </c>
      <c r="M1127" s="510" t="str">
        <f>IFERROR(INDEX([1]Produtos!$C:$C,MATCH(L1127,[1]Produtos!$B:$B,0)), "-")</f>
        <v>BODY SPLASH FORÇA DO LEAO</v>
      </c>
      <c r="N1127" s="510">
        <f>IFERROR(INDEX([1]Produtos!$E:$E,MATCH(L1127,[1]Produtos!$B:$B,0)), "-")</f>
        <v>220</v>
      </c>
      <c r="O1127" s="270" t="str">
        <f>IFERROR(INDEX([1]Produtos!$F:$F,MATCH(L1127,[1]Produtos!$B:$B,0)), "-")</f>
        <v>ml</v>
      </c>
      <c r="P1127" s="264" t="str">
        <f>IFERROR(INDEX([1]Produtos!$G:$G,MATCH(L1127,[1]Produtos!$B:$B,0)), "-")</f>
        <v>MISS RÔSE</v>
      </c>
      <c r="Q1127" s="270" t="str">
        <f>IFERROR(INDEX([1]Produtos!$H:$H,MATCH(L1127,[1]Produtos!$B:$B,0)), "-")</f>
        <v>PERFUMARIA</v>
      </c>
      <c r="R1127" s="270" t="str">
        <f>IFERROR(INDEX([1]Produtos!$I:$I,MATCH(L1127,[1]Produtos!$B:$B,0)), "-")</f>
        <v>BODY SPLASH</v>
      </c>
      <c r="S1127" s="270" t="str">
        <f>IFERROR(INDEX([1]Produtos!$J:$J,MATCH(L1127,[1]Produtos!$B:$B,0)), "-")</f>
        <v>LÍQUIDO</v>
      </c>
      <c r="T1127" s="475"/>
      <c r="U1127" s="270"/>
      <c r="V1127" s="270"/>
      <c r="W1127" s="270"/>
      <c r="X1127" s="270"/>
      <c r="Y1127" s="270"/>
      <c r="Z1127" s="270"/>
      <c r="AA1127" s="270"/>
      <c r="AB1127" s="270"/>
      <c r="AC1127" s="270"/>
      <c r="AD1127" s="270"/>
      <c r="AE1127" s="270"/>
      <c r="AF1127" s="270"/>
      <c r="AG1127" s="270"/>
      <c r="AH1127" s="270"/>
      <c r="AI1127" s="270"/>
      <c r="AJ1127" s="270"/>
      <c r="AK1127" s="270"/>
      <c r="AL1127" s="270"/>
      <c r="AM1127" s="663">
        <v>46196.443749999999</v>
      </c>
      <c r="AN1127" s="663">
        <v>46196.444444444445</v>
      </c>
      <c r="AO1127" s="708">
        <f>IF(OR(Table1[[#This Row],[Início Setup Envase]]="",Table1[[#This Row],[Final Setup Envase]]=""),"",Table1[[#This Row],[Final Setup Envase]]-Table1[[#This Row],[Início Setup Envase]])</f>
        <v>6.944444467080757E-4</v>
      </c>
      <c r="AP1127" s="663"/>
      <c r="AQ1127" s="663"/>
      <c r="AR1127" s="270"/>
      <c r="AS1127" s="270"/>
      <c r="AT1127" s="270"/>
      <c r="AU1127" s="270"/>
      <c r="AV1127" s="270"/>
      <c r="AW1127" s="270"/>
      <c r="AX1127" s="270"/>
      <c r="AY1127" s="270"/>
      <c r="AZ1127" s="270"/>
      <c r="BA1127" s="270">
        <f>IF(Table1[[#This Row],[Data de Início]]="","",YEAR(Table1[[#This Row],[Data de Início]]))</f>
        <v>2026</v>
      </c>
      <c r="BB1127" s="270">
        <f>IF(Table1[[#This Row],[Data de Início]]="","",MONTH(Table1[[#This Row],[Data de Início]]))</f>
        <v>6</v>
      </c>
      <c r="BC1127" s="483"/>
    </row>
    <row r="1128" spans="2:55" x14ac:dyDescent="0.25">
      <c r="B1128" s="470">
        <v>46196.668055555558</v>
      </c>
      <c r="C1128" s="263">
        <v>46197.357638888891</v>
      </c>
      <c r="D1128" s="477" cm="1">
        <f t="array" ref="D1128">IFERROR(HorasUteisFabrica2Turnos(B1128,C1128), "")</f>
        <v>2.5500000001047738</v>
      </c>
      <c r="E1128" s="478">
        <f t="shared" si="18"/>
        <v>985.09803917521083</v>
      </c>
      <c r="F1128" s="266" t="s">
        <v>377</v>
      </c>
      <c r="G1128" s="673" t="s">
        <v>1811</v>
      </c>
      <c r="H1128" s="479"/>
      <c r="I1128" s="267" t="s">
        <v>1994</v>
      </c>
      <c r="J1128" s="268" t="s">
        <v>15</v>
      </c>
      <c r="K1128" s="268">
        <v>2512</v>
      </c>
      <c r="L1128" s="269" t="s">
        <v>212</v>
      </c>
      <c r="M1128" s="511" t="str">
        <f>IFERROR(INDEX([1]Produtos!$C:$C,MATCH(L1128,[1]Produtos!$B:$B,0)), "-")</f>
        <v>BODY SPLASH FORÇA DO LEAO</v>
      </c>
      <c r="N1128" s="511">
        <f>IFERROR(INDEX([1]Produtos!$E:$E,MATCH(L1128,[1]Produtos!$B:$B,0)), "-")</f>
        <v>220</v>
      </c>
      <c r="O1128" s="483" t="str">
        <f>IFERROR(INDEX([1]Produtos!$F:$F,MATCH(L1128,[1]Produtos!$B:$B,0)), "-")</f>
        <v>ml</v>
      </c>
      <c r="P1128" s="477" t="str">
        <f>IFERROR(INDEX([1]Produtos!$G:$G,MATCH(L1128,[1]Produtos!$B:$B,0)), "-")</f>
        <v>MISS RÔSE</v>
      </c>
      <c r="Q1128" s="483" t="str">
        <f>IFERROR(INDEX([1]Produtos!$H:$H,MATCH(L1128,[1]Produtos!$B:$B,0)), "-")</f>
        <v>PERFUMARIA</v>
      </c>
      <c r="R1128" s="483" t="str">
        <f>IFERROR(INDEX([1]Produtos!$I:$I,MATCH(L1128,[1]Produtos!$B:$B,0)), "-")</f>
        <v>BODY SPLASH</v>
      </c>
      <c r="S1128" s="483" t="str">
        <f>IFERROR(INDEX([1]Produtos!$J:$J,MATCH(L1128,[1]Produtos!$B:$B,0)), "-")</f>
        <v>LÍQUIDO</v>
      </c>
      <c r="T1128" s="484"/>
      <c r="U1128" s="483"/>
      <c r="V1128" s="483"/>
      <c r="W1128" s="483"/>
      <c r="X1128" s="483"/>
      <c r="Y1128" s="483"/>
      <c r="Z1128" s="483"/>
      <c r="AA1128" s="483"/>
      <c r="AB1128" s="483"/>
      <c r="AC1128" s="483"/>
      <c r="AD1128" s="483"/>
      <c r="AE1128" s="483"/>
      <c r="AF1128" s="483"/>
      <c r="AG1128" s="483"/>
      <c r="AH1128" s="483"/>
      <c r="AI1128" s="483"/>
      <c r="AJ1128" s="483"/>
      <c r="AK1128" s="483"/>
      <c r="AL1128" s="483"/>
      <c r="AM1128" s="670">
        <v>46196.666666666664</v>
      </c>
      <c r="AN1128" s="670">
        <v>46196.667361111111</v>
      </c>
      <c r="AO1128" s="711">
        <f>IF(OR(Table1[[#This Row],[Início Setup Envase]]="",Table1[[#This Row],[Final Setup Envase]]=""),"",Table1[[#This Row],[Final Setup Envase]]-Table1[[#This Row],[Início Setup Envase]])</f>
        <v>6.944444467080757E-4</v>
      </c>
      <c r="AP1128" s="670"/>
      <c r="AQ1128" s="670"/>
      <c r="AR1128" s="483"/>
      <c r="AS1128" s="483"/>
      <c r="AT1128" s="483"/>
      <c r="AU1128" s="483"/>
      <c r="AV1128" s="483"/>
      <c r="AW1128" s="483"/>
      <c r="AX1128" s="483"/>
      <c r="AY1128" s="270"/>
      <c r="AZ1128" s="270"/>
      <c r="BA1128" s="270">
        <f>IF(Table1[[#This Row],[Data de Início]]="","",YEAR(Table1[[#This Row],[Data de Início]]))</f>
        <v>2026</v>
      </c>
      <c r="BB1128" s="270">
        <f>IF(Table1[[#This Row],[Data de Início]]="","",MONTH(Table1[[#This Row],[Data de Início]]))</f>
        <v>6</v>
      </c>
      <c r="BC1128" s="270"/>
    </row>
    <row r="1129" spans="2:55" x14ac:dyDescent="0.25">
      <c r="B1129" s="470">
        <v>46197.29583333333</v>
      </c>
      <c r="C1129" s="263">
        <v>46197.541666666664</v>
      </c>
      <c r="D1129" s="264" cm="1">
        <f t="array" ref="D1129">IFERROR(HorasUteisFabrica2Turnos(B1129,C1129), "")</f>
        <v>5.9000000000232831</v>
      </c>
      <c r="E1129" s="697">
        <f t="shared" si="18"/>
        <v>764.74576270884654</v>
      </c>
      <c r="F1129" s="266" t="s">
        <v>378</v>
      </c>
      <c r="G1129" s="673" t="s">
        <v>1987</v>
      </c>
      <c r="H1129" s="266"/>
      <c r="I1129" s="267" t="s">
        <v>1986</v>
      </c>
      <c r="J1129" s="268" t="s">
        <v>15</v>
      </c>
      <c r="K1129" s="268">
        <v>4512</v>
      </c>
      <c r="L1129" s="269" t="s">
        <v>1273</v>
      </c>
      <c r="M1129" s="510" t="str">
        <f>IFERROR(INDEX([1]Produtos!$C:$C,MATCH(L1129,[1]Produtos!$B:$B,0)), "-")</f>
        <v>BODY SPLASH LEAO DO DESERTO BOURBON 200ml</v>
      </c>
      <c r="N1129" s="510">
        <f>IFERROR(INDEX([1]Produtos!$E:$E,MATCH(L1129,[1]Produtos!$B:$B,0)), "-")</f>
        <v>215</v>
      </c>
      <c r="O1129" s="270" t="str">
        <f>IFERROR(INDEX([1]Produtos!$F:$F,MATCH(L1129,[1]Produtos!$B:$B,0)), "-")</f>
        <v>ml</v>
      </c>
      <c r="P1129" s="264" t="str">
        <f>IFERROR(INDEX([1]Produtos!$G:$G,MATCH(L1129,[1]Produtos!$B:$B,0)), "-")</f>
        <v>MISS RÔSE</v>
      </c>
      <c r="Q1129" s="270" t="str">
        <f>IFERROR(INDEX([1]Produtos!$H:$H,MATCH(L1129,[1]Produtos!$B:$B,0)), "-")</f>
        <v>PERFUMARIA</v>
      </c>
      <c r="R1129" s="270" t="str">
        <f>IFERROR(INDEX([1]Produtos!$I:$I,MATCH(L1129,[1]Produtos!$B:$B,0)), "-")</f>
        <v>BODY SPLASH</v>
      </c>
      <c r="S1129" s="270" t="str">
        <f>IFERROR(INDEX([1]Produtos!$J:$J,MATCH(L1129,[1]Produtos!$B:$B,0)), "-")</f>
        <v>LÍQUIDO</v>
      </c>
      <c r="T1129" s="475"/>
      <c r="U1129" s="270"/>
      <c r="V1129" s="270"/>
      <c r="W1129" s="270"/>
      <c r="X1129" s="270"/>
      <c r="Y1129" s="270"/>
      <c r="Z1129" s="270"/>
      <c r="AA1129" s="270"/>
      <c r="AB1129" s="270"/>
      <c r="AC1129" s="270"/>
      <c r="AD1129" s="270"/>
      <c r="AE1129" s="270"/>
      <c r="AF1129" s="270"/>
      <c r="AG1129" s="270"/>
      <c r="AH1129" s="270"/>
      <c r="AI1129" s="270"/>
      <c r="AJ1129" s="270"/>
      <c r="AK1129" s="270"/>
      <c r="AL1129" s="270"/>
      <c r="AM1129" s="663">
        <v>46197.291666666664</v>
      </c>
      <c r="AN1129" s="663">
        <v>46197.295138888891</v>
      </c>
      <c r="AO1129" s="708">
        <f>IF(OR(Table1[[#This Row],[Início Setup Envase]]="",Table1[[#This Row],[Final Setup Envase]]=""),"",Table1[[#This Row],[Final Setup Envase]]-Table1[[#This Row],[Início Setup Envase]])</f>
        <v>3.4722222262644209E-3</v>
      </c>
      <c r="AP1129" s="663"/>
      <c r="AQ1129" s="663"/>
      <c r="AR1129" s="270"/>
      <c r="AS1129" s="674"/>
      <c r="AT1129" s="674"/>
      <c r="AU1129" s="270"/>
      <c r="AV1129" s="270"/>
      <c r="AW1129" s="270"/>
      <c r="AX1129" s="270"/>
      <c r="AY1129" s="270"/>
      <c r="AZ1129" s="270"/>
      <c r="BA1129" s="270">
        <f>IF(Table1[[#This Row],[Data de Início]]="","",YEAR(Table1[[#This Row],[Data de Início]]))</f>
        <v>2026</v>
      </c>
      <c r="BB1129" s="270">
        <f>IF(Table1[[#This Row],[Data de Início]]="","",MONTH(Table1[[#This Row],[Data de Início]]))</f>
        <v>6</v>
      </c>
      <c r="BC1129" s="483"/>
    </row>
    <row r="1130" spans="2:55" x14ac:dyDescent="0.25">
      <c r="B1130" s="470">
        <v>46197.3125</v>
      </c>
      <c r="C1130" s="263">
        <v>46197.46875</v>
      </c>
      <c r="D1130" s="477" cm="1">
        <f t="array" ref="D1130">IFERROR(HorasUteisFabrica2Turnos(B1130,C1130), "")</f>
        <v>3.75</v>
      </c>
      <c r="E1130" s="654">
        <f t="shared" si="18"/>
        <v>430.66666666666669</v>
      </c>
      <c r="F1130" s="266" t="s">
        <v>1039</v>
      </c>
      <c r="G1130" s="672" t="s">
        <v>1470</v>
      </c>
      <c r="H1130" s="479"/>
      <c r="I1130" s="267" t="s">
        <v>1992</v>
      </c>
      <c r="J1130" s="268" t="s">
        <v>15</v>
      </c>
      <c r="K1130" s="268">
        <v>1615</v>
      </c>
      <c r="L1130" s="269" t="s">
        <v>1483</v>
      </c>
      <c r="M1130" s="511" t="str">
        <f>IFERROR(INDEX([1]Produtos!$C:$C,MATCH(L1130,[1]Produtos!$B:$B,0)), "-")</f>
        <v>HIDRATANTE BISNAGA ROSE AURORA 200g</v>
      </c>
      <c r="N1130" s="511">
        <f>IFERROR(INDEX([1]Produtos!$E:$E,MATCH(L1130,[1]Produtos!$B:$B,0)), "-")</f>
        <v>200</v>
      </c>
      <c r="O1130" s="483" t="str">
        <f>IFERROR(INDEX([1]Produtos!$F:$F,MATCH(L1130,[1]Produtos!$B:$B,0)), "-")</f>
        <v>g</v>
      </c>
      <c r="P1130" s="477" t="str">
        <f>IFERROR(INDEX([1]Produtos!$G:$G,MATCH(L1130,[1]Produtos!$B:$B,0)), "-")</f>
        <v>HABIBI PERFUMES</v>
      </c>
      <c r="Q1130" s="483" t="str">
        <f>IFERROR(INDEX([1]Produtos!$H:$H,MATCH(L1130,[1]Produtos!$B:$B,0)), "-")</f>
        <v>CORPORAL</v>
      </c>
      <c r="R1130" s="483" t="str">
        <f>IFERROR(INDEX([1]Produtos!$I:$I,MATCH(L1130,[1]Produtos!$B:$B,0)), "-")</f>
        <v>CREME HIDRATANTE</v>
      </c>
      <c r="S1130" s="483" t="str">
        <f>IFERROR(INDEX([1]Produtos!$J:$J,MATCH(L1130,[1]Produtos!$B:$B,0)), "-")</f>
        <v>CREMOSO</v>
      </c>
      <c r="T1130" s="484"/>
      <c r="U1130" s="483"/>
      <c r="V1130" s="483"/>
      <c r="W1130" s="483"/>
      <c r="X1130" s="483"/>
      <c r="Y1130" s="483"/>
      <c r="Z1130" s="483"/>
      <c r="AA1130" s="483"/>
      <c r="AB1130" s="483"/>
      <c r="AC1130" s="483"/>
      <c r="AD1130" s="483"/>
      <c r="AE1130" s="483"/>
      <c r="AF1130" s="483"/>
      <c r="AG1130" s="483"/>
      <c r="AH1130" s="483"/>
      <c r="AI1130" s="483"/>
      <c r="AJ1130" s="483"/>
      <c r="AK1130" s="483"/>
      <c r="AL1130" s="483"/>
      <c r="AM1130" s="670">
        <v>46197.291666666664</v>
      </c>
      <c r="AN1130" s="670">
        <v>46197.309027777781</v>
      </c>
      <c r="AO1130" s="711">
        <f>IF(OR(Table1[[#This Row],[Início Setup Envase]]="",Table1[[#This Row],[Final Setup Envase]]=""),"",Table1[[#This Row],[Final Setup Envase]]-Table1[[#This Row],[Início Setup Envase]])</f>
        <v>1.7361111116770189E-2</v>
      </c>
      <c r="AP1130" s="670">
        <v>46197.319444444445</v>
      </c>
      <c r="AQ1130" s="670">
        <v>46197.34375</v>
      </c>
      <c r="AR1130" s="483" t="s">
        <v>1993</v>
      </c>
      <c r="AS1130" s="622">
        <v>46198.385416666664</v>
      </c>
      <c r="AT1130" s="622">
        <v>46197.402777777781</v>
      </c>
      <c r="AU1130" s="483" t="s">
        <v>1993</v>
      </c>
      <c r="AV1130" s="483"/>
      <c r="AW1130" s="483"/>
      <c r="AX1130" s="483"/>
      <c r="AY1130" s="270"/>
      <c r="AZ1130" s="270"/>
      <c r="BA1130" s="270">
        <f>IF(Table1[[#This Row],[Data de Início]]="","",YEAR(Table1[[#This Row],[Data de Início]]))</f>
        <v>2026</v>
      </c>
      <c r="BB1130" s="270">
        <f>IF(Table1[[#This Row],[Data de Início]]="","",MONTH(Table1[[#This Row],[Data de Início]]))</f>
        <v>6</v>
      </c>
      <c r="BC1130" s="270"/>
    </row>
    <row r="1131" spans="2:55" x14ac:dyDescent="0.25">
      <c r="B1131" s="470">
        <v>46197.361111111109</v>
      </c>
      <c r="C1131" s="263">
        <v>46197.552777777775</v>
      </c>
      <c r="D1131" s="264" cm="1">
        <f t="array" ref="D1131">IFERROR(HorasUteisFabrica2Turnos(B1131,C1131), "")</f>
        <v>3.5999999999767169</v>
      </c>
      <c r="E1131" s="265">
        <f t="shared" si="18"/>
        <v>1266.6666666748588</v>
      </c>
      <c r="F1131" s="266" t="s">
        <v>377</v>
      </c>
      <c r="G1131" s="673" t="s">
        <v>1834</v>
      </c>
      <c r="H1131" s="266"/>
      <c r="I1131" s="267" t="s">
        <v>1988</v>
      </c>
      <c r="J1131" s="268" t="s">
        <v>15</v>
      </c>
      <c r="K1131" s="268">
        <v>4560</v>
      </c>
      <c r="L1131" s="269" t="s">
        <v>1325</v>
      </c>
      <c r="M1131" s="510" t="str">
        <f>IFERROR(INDEX([1]Produtos!$C:$C,MATCH(L1131,[1]Produtos!$B:$B,0)), "-")</f>
        <v>BODY SPLASH ROSA RAINHA 200ml</v>
      </c>
      <c r="N1131" s="510">
        <f>IFERROR(INDEX([1]Produtos!$E:$E,MATCH(L1131,[1]Produtos!$B:$B,0)), "-")</f>
        <v>215</v>
      </c>
      <c r="O1131" s="270" t="str">
        <f>IFERROR(INDEX([1]Produtos!$F:$F,MATCH(L1131,[1]Produtos!$B:$B,0)), "-")</f>
        <v>ml</v>
      </c>
      <c r="P1131" s="264" t="str">
        <f>IFERROR(INDEX([1]Produtos!$G:$G,MATCH(L1131,[1]Produtos!$B:$B,0)), "-")</f>
        <v>MISS RÔSE</v>
      </c>
      <c r="Q1131" s="270" t="str">
        <f>IFERROR(INDEX([1]Produtos!$H:$H,MATCH(L1131,[1]Produtos!$B:$B,0)), "-")</f>
        <v>PERFUMARIA</v>
      </c>
      <c r="R1131" s="270" t="str">
        <f>IFERROR(INDEX([1]Produtos!$I:$I,MATCH(L1131,[1]Produtos!$B:$B,0)), "-")</f>
        <v>BODY SPLASH</v>
      </c>
      <c r="S1131" s="270" t="str">
        <f>IFERROR(INDEX([1]Produtos!$J:$J,MATCH(L1131,[1]Produtos!$B:$B,0)), "-")</f>
        <v>LÍQUIDO</v>
      </c>
      <c r="T1131" s="475"/>
      <c r="U1131" s="270"/>
      <c r="V1131" s="270"/>
      <c r="W1131" s="270"/>
      <c r="X1131" s="270"/>
      <c r="Y1131" s="270"/>
      <c r="Z1131" s="270"/>
      <c r="AA1131" s="270"/>
      <c r="AB1131" s="270"/>
      <c r="AC1131" s="270"/>
      <c r="AD1131" s="270"/>
      <c r="AE1131" s="270"/>
      <c r="AF1131" s="270"/>
      <c r="AG1131" s="270"/>
      <c r="AH1131" s="270"/>
      <c r="AI1131" s="270"/>
      <c r="AJ1131" s="270"/>
      <c r="AK1131" s="270"/>
      <c r="AL1131" s="270"/>
      <c r="AM1131" s="663">
        <v>46197.357638888891</v>
      </c>
      <c r="AN1131" s="663">
        <v>46197.35833333333</v>
      </c>
      <c r="AO1131" s="708">
        <f>IF(OR(Table1[[#This Row],[Início Setup Envase]]="",Table1[[#This Row],[Final Setup Envase]]=""),"",Table1[[#This Row],[Final Setup Envase]]-Table1[[#This Row],[Início Setup Envase]])</f>
        <v>6.9444443943211809E-4</v>
      </c>
      <c r="AP1131" s="663"/>
      <c r="AQ1131" s="663"/>
      <c r="AR1131" s="270"/>
      <c r="AS1131" s="270"/>
      <c r="AT1131" s="270"/>
      <c r="AU1131" s="270"/>
      <c r="AV1131" s="270"/>
      <c r="AW1131" s="270"/>
      <c r="AX1131" s="270"/>
      <c r="AY1131" s="270"/>
      <c r="AZ1131" s="270"/>
      <c r="BA1131" s="270">
        <f>IF(Table1[[#This Row],[Data de Início]]="","",YEAR(Table1[[#This Row],[Data de Início]]))</f>
        <v>2026</v>
      </c>
      <c r="BB1131" s="270">
        <f>IF(Table1[[#This Row],[Data de Início]]="","",MONTH(Table1[[#This Row],[Data de Início]]))</f>
        <v>6</v>
      </c>
      <c r="BC1131" s="483"/>
    </row>
    <row r="1132" spans="2:55" x14ac:dyDescent="0.25">
      <c r="B1132" s="470">
        <v>46197.469444444447</v>
      </c>
      <c r="C1132" s="263">
        <v>46197.670138888891</v>
      </c>
      <c r="D1132" s="477" cm="1">
        <f t="array" ref="D1132">IFERROR(HorasUteisFabrica2Turnos(B1132,C1132), "")</f>
        <v>3.8166666666511446</v>
      </c>
      <c r="E1132" s="654">
        <f t="shared" si="18"/>
        <v>465.327510918923</v>
      </c>
      <c r="F1132" s="266" t="s">
        <v>1039</v>
      </c>
      <c r="G1132" s="672" t="s">
        <v>1470</v>
      </c>
      <c r="H1132" s="479"/>
      <c r="I1132" s="267" t="s">
        <v>1990</v>
      </c>
      <c r="J1132" s="268" t="s">
        <v>15</v>
      </c>
      <c r="K1132" s="268">
        <v>1776</v>
      </c>
      <c r="L1132" s="269" t="s">
        <v>1483</v>
      </c>
      <c r="M1132" s="511" t="str">
        <f>IFERROR(INDEX([1]Produtos!$C:$C,MATCH(L1132,[1]Produtos!$B:$B,0)), "-")</f>
        <v>HIDRATANTE BISNAGA ROSE AURORA 200g</v>
      </c>
      <c r="N1132" s="511">
        <f>IFERROR(INDEX([1]Produtos!$E:$E,MATCH(L1132,[1]Produtos!$B:$B,0)), "-")</f>
        <v>200</v>
      </c>
      <c r="O1132" s="483" t="str">
        <f>IFERROR(INDEX([1]Produtos!$F:$F,MATCH(L1132,[1]Produtos!$B:$B,0)), "-")</f>
        <v>g</v>
      </c>
      <c r="P1132" s="477" t="str">
        <f>IFERROR(INDEX([1]Produtos!$G:$G,MATCH(L1132,[1]Produtos!$B:$B,0)), "-")</f>
        <v>HABIBI PERFUMES</v>
      </c>
      <c r="Q1132" s="483" t="str">
        <f>IFERROR(INDEX([1]Produtos!$H:$H,MATCH(L1132,[1]Produtos!$B:$B,0)), "-")</f>
        <v>CORPORAL</v>
      </c>
      <c r="R1132" s="483" t="str">
        <f>IFERROR(INDEX([1]Produtos!$I:$I,MATCH(L1132,[1]Produtos!$B:$B,0)), "-")</f>
        <v>CREME HIDRATANTE</v>
      </c>
      <c r="S1132" s="483" t="str">
        <f>IFERROR(INDEX([1]Produtos!$J:$J,MATCH(L1132,[1]Produtos!$B:$B,0)), "-")</f>
        <v>CREMOSO</v>
      </c>
      <c r="T1132" s="484"/>
      <c r="U1132" s="483"/>
      <c r="V1132" s="483"/>
      <c r="W1132" s="483"/>
      <c r="X1132" s="483"/>
      <c r="Y1132" s="483"/>
      <c r="Z1132" s="483"/>
      <c r="AA1132" s="483"/>
      <c r="AB1132" s="483"/>
      <c r="AC1132" s="483"/>
      <c r="AD1132" s="483"/>
      <c r="AE1132" s="483"/>
      <c r="AF1132" s="483"/>
      <c r="AG1132" s="483"/>
      <c r="AH1132" s="483"/>
      <c r="AI1132" s="483"/>
      <c r="AJ1132" s="483"/>
      <c r="AK1132" s="483"/>
      <c r="AL1132" s="483"/>
      <c r="AM1132" s="670">
        <v>46197.46875</v>
      </c>
      <c r="AN1132" s="670">
        <v>46197.46875</v>
      </c>
      <c r="AO1132" s="711">
        <f>IF(OR(Table1[[#This Row],[Início Setup Envase]]="",Table1[[#This Row],[Final Setup Envase]]=""),"",Table1[[#This Row],[Final Setup Envase]]-Table1[[#This Row],[Início Setup Envase]])</f>
        <v>0</v>
      </c>
      <c r="AP1132" s="670"/>
      <c r="AQ1132" s="670"/>
      <c r="AR1132" s="483"/>
      <c r="AS1132" s="622"/>
      <c r="AT1132" s="622"/>
      <c r="AU1132" s="483"/>
      <c r="AV1132" s="483"/>
      <c r="AW1132" s="483"/>
      <c r="AX1132" s="483"/>
      <c r="AY1132" s="270"/>
      <c r="AZ1132" s="270"/>
      <c r="BA1132" s="270">
        <f>IF(Table1[[#This Row],[Data de Início]]="","",YEAR(Table1[[#This Row],[Data de Início]]))</f>
        <v>2026</v>
      </c>
      <c r="BB1132" s="270">
        <f>IF(Table1[[#This Row],[Data de Início]]="","",MONTH(Table1[[#This Row],[Data de Início]]))</f>
        <v>6</v>
      </c>
      <c r="BC1132" s="270"/>
    </row>
    <row r="1133" spans="2:55" x14ac:dyDescent="0.25">
      <c r="B1133" s="263">
        <v>46197.550694444442</v>
      </c>
      <c r="C1133" s="263">
        <v>46198.31527777778</v>
      </c>
      <c r="D1133" s="477" cm="1">
        <f t="array" ref="D1133">IFERROR(HorasUteisFabrica2Turnos(B1133,C1133), "")</f>
        <v>4.3500000002095476</v>
      </c>
      <c r="E1133" s="265">
        <f t="shared" si="18"/>
        <v>1070.3448275346464</v>
      </c>
      <c r="F1133" s="266" t="s">
        <v>377</v>
      </c>
      <c r="G1133" s="673" t="s">
        <v>1987</v>
      </c>
      <c r="H1133" s="266"/>
      <c r="I1133" s="267" t="s">
        <v>1996</v>
      </c>
      <c r="J1133" s="268" t="s">
        <v>15</v>
      </c>
      <c r="K1133" s="268">
        <v>4656</v>
      </c>
      <c r="L1133" s="269" t="s">
        <v>1273</v>
      </c>
      <c r="M1133" s="510" t="str">
        <f>IFERROR(INDEX([1]Produtos!$C:$C,MATCH(L1133,[1]Produtos!$B:$B,0)), "-")</f>
        <v>BODY SPLASH LEAO DO DESERTO BOURBON 200ml</v>
      </c>
      <c r="N1133" s="510">
        <f>IFERROR(INDEX([1]Produtos!$E:$E,MATCH(L1133,[1]Produtos!$B:$B,0)), "-")</f>
        <v>215</v>
      </c>
      <c r="O1133" s="270" t="str">
        <f>IFERROR(INDEX([1]Produtos!$F:$F,MATCH(L1133,[1]Produtos!$B:$B,0)), "-")</f>
        <v>ml</v>
      </c>
      <c r="P1133" s="264" t="str">
        <f>IFERROR(INDEX([1]Produtos!$G:$G,MATCH(L1133,[1]Produtos!$B:$B,0)), "-")</f>
        <v>MISS RÔSE</v>
      </c>
      <c r="Q1133" s="270" t="str">
        <f>IFERROR(INDEX([1]Produtos!$H:$H,MATCH(L1133,[1]Produtos!$B:$B,0)), "-")</f>
        <v>PERFUMARIA</v>
      </c>
      <c r="R1133" s="270" t="str">
        <f>IFERROR(INDEX([1]Produtos!$I:$I,MATCH(L1133,[1]Produtos!$B:$B,0)), "-")</f>
        <v>BODY SPLASH</v>
      </c>
      <c r="S1133" s="270" t="str">
        <f>IFERROR(INDEX([1]Produtos!$J:$J,MATCH(L1133,[1]Produtos!$B:$B,0)), "-")</f>
        <v>LÍQUIDO</v>
      </c>
      <c r="T1133" s="475"/>
      <c r="U1133" s="270"/>
      <c r="V1133" s="270"/>
      <c r="W1133" s="270"/>
      <c r="X1133" s="270"/>
      <c r="Y1133" s="270"/>
      <c r="Z1133" s="270"/>
      <c r="AA1133" s="270"/>
      <c r="AB1133" s="270"/>
      <c r="AC1133" s="270"/>
      <c r="AD1133" s="270"/>
      <c r="AE1133" s="270"/>
      <c r="AF1133" s="270"/>
      <c r="AG1133" s="270"/>
      <c r="AH1133" s="270"/>
      <c r="AI1133" s="270"/>
      <c r="AJ1133" s="270"/>
      <c r="AK1133" s="270"/>
      <c r="AL1133" s="270"/>
      <c r="AM1133" s="663">
        <v>46197.548611111109</v>
      </c>
      <c r="AN1133" s="663">
        <v>46197.548611111109</v>
      </c>
      <c r="AO1133" s="708">
        <f>IF(OR(Table1[[#This Row],[Início Setup Envase]]="",Table1[[#This Row],[Final Setup Envase]]=""),"",Table1[[#This Row],[Final Setup Envase]]-Table1[[#This Row],[Início Setup Envase]])</f>
        <v>0</v>
      </c>
      <c r="AP1133" s="663"/>
      <c r="AQ1133" s="663"/>
      <c r="AR1133" s="270"/>
      <c r="AS1133" s="270"/>
      <c r="AT1133" s="270"/>
      <c r="AU1133" s="270"/>
      <c r="AV1133" s="270"/>
      <c r="AW1133" s="270"/>
      <c r="AX1133" s="270"/>
      <c r="AY1133" s="270"/>
      <c r="AZ1133" s="270"/>
      <c r="BA1133" s="270">
        <f>IF(Table1[[#This Row],[Data de Início]]="","",YEAR(Table1[[#This Row],[Data de Início]]))</f>
        <v>2026</v>
      </c>
      <c r="BB1133" s="270">
        <f>IF(Table1[[#This Row],[Data de Início]]="","",MONTH(Table1[[#This Row],[Data de Início]]))</f>
        <v>6</v>
      </c>
      <c r="BC1133" s="483"/>
    </row>
    <row r="1134" spans="2:55" x14ac:dyDescent="0.25">
      <c r="B1134" s="470">
        <v>46197.555555555555</v>
      </c>
      <c r="C1134" s="263">
        <v>46198.333333333336</v>
      </c>
      <c r="D1134" s="477" cm="1">
        <f t="array" ref="D1134">IFERROR(HorasUteisFabrica2Turnos(B1134,C1134), "")</f>
        <v>4.6666666668606922</v>
      </c>
      <c r="E1134" s="654">
        <f t="shared" si="18"/>
        <v>987.4285713875172</v>
      </c>
      <c r="F1134" s="266" t="s">
        <v>377</v>
      </c>
      <c r="G1134" s="673" t="s">
        <v>1834</v>
      </c>
      <c r="H1134" s="479"/>
      <c r="I1134" s="267" t="s">
        <v>1998</v>
      </c>
      <c r="J1134" s="268" t="s">
        <v>15</v>
      </c>
      <c r="K1134" s="268" t="s">
        <v>1997</v>
      </c>
      <c r="L1134" s="269" t="s">
        <v>1325</v>
      </c>
      <c r="M1134" s="511" t="str">
        <f>IFERROR(INDEX([1]Produtos!$C:$C,MATCH(L1134,[1]Produtos!$B:$B,0)), "-")</f>
        <v>BODY SPLASH ROSA RAINHA 200ml</v>
      </c>
      <c r="N1134" s="511">
        <f>IFERROR(INDEX([1]Produtos!$E:$E,MATCH(L1134,[1]Produtos!$B:$B,0)), "-")</f>
        <v>215</v>
      </c>
      <c r="O1134" s="483" t="str">
        <f>IFERROR(INDEX([1]Produtos!$F:$F,MATCH(L1134,[1]Produtos!$B:$B,0)), "-")</f>
        <v>ml</v>
      </c>
      <c r="P1134" s="477" t="str">
        <f>IFERROR(INDEX([1]Produtos!$G:$G,MATCH(L1134,[1]Produtos!$B:$B,0)), "-")</f>
        <v>MISS RÔSE</v>
      </c>
      <c r="Q1134" s="483" t="str">
        <f>IFERROR(INDEX([1]Produtos!$H:$H,MATCH(L1134,[1]Produtos!$B:$B,0)), "-")</f>
        <v>PERFUMARIA</v>
      </c>
      <c r="R1134" s="483" t="str">
        <f>IFERROR(INDEX([1]Produtos!$I:$I,MATCH(L1134,[1]Produtos!$B:$B,0)), "-")</f>
        <v>BODY SPLASH</v>
      </c>
      <c r="S1134" s="483" t="str">
        <f>IFERROR(INDEX([1]Produtos!$J:$J,MATCH(L1134,[1]Produtos!$B:$B,0)), "-")</f>
        <v>LÍQUIDO</v>
      </c>
      <c r="T1134" s="484"/>
      <c r="U1134" s="483"/>
      <c r="V1134" s="483"/>
      <c r="W1134" s="483"/>
      <c r="X1134" s="483"/>
      <c r="Y1134" s="483"/>
      <c r="Z1134" s="483"/>
      <c r="AA1134" s="483"/>
      <c r="AB1134" s="483"/>
      <c r="AC1134" s="483"/>
      <c r="AD1134" s="483"/>
      <c r="AE1134" s="483"/>
      <c r="AF1134" s="483"/>
      <c r="AG1134" s="483"/>
      <c r="AH1134" s="483"/>
      <c r="AI1134" s="483"/>
      <c r="AJ1134" s="483"/>
      <c r="AK1134" s="483"/>
      <c r="AL1134" s="483"/>
      <c r="AM1134" s="670">
        <v>46197.554861111108</v>
      </c>
      <c r="AN1134" s="670">
        <v>46197.555555555555</v>
      </c>
      <c r="AO1134" s="711">
        <f>IF(OR(Table1[[#This Row],[Início Setup Envase]]="",Table1[[#This Row],[Final Setup Envase]]=""),"",Table1[[#This Row],[Final Setup Envase]]-Table1[[#This Row],[Início Setup Envase]])</f>
        <v>6.944444467080757E-4</v>
      </c>
      <c r="AP1134" s="670"/>
      <c r="AQ1134" s="670"/>
      <c r="AR1134" s="483"/>
      <c r="AS1134" s="622"/>
      <c r="AT1134" s="622"/>
      <c r="AU1134" s="483"/>
      <c r="AV1134" s="483"/>
      <c r="AW1134" s="483"/>
      <c r="AX1134" s="483"/>
      <c r="AY1134" s="270"/>
      <c r="AZ1134" s="270"/>
      <c r="BA1134" s="270">
        <f>IF(Table1[[#This Row],[Data de Início]]="","",YEAR(Table1[[#This Row],[Data de Início]]))</f>
        <v>2026</v>
      </c>
      <c r="BB1134" s="270">
        <f>IF(Table1[[#This Row],[Data de Início]]="","",MONTH(Table1[[#This Row],[Data de Início]]))</f>
        <v>6</v>
      </c>
      <c r="BC1134" s="270"/>
    </row>
    <row r="1135" spans="2:55" x14ac:dyDescent="0.25">
      <c r="B1135" s="470">
        <v>46197.67083333333</v>
      </c>
      <c r="C1135" s="263">
        <v>46198.3125</v>
      </c>
      <c r="D1135" s="477" cm="1">
        <f t="array" ref="D1135">IFERROR(HorasUteisFabrica2Turnos(B1135,C1135), "")</f>
        <v>1.400000000197906</v>
      </c>
      <c r="E1135" s="697">
        <f t="shared" si="18"/>
        <v>377.14285708954367</v>
      </c>
      <c r="F1135" s="266" t="s">
        <v>1039</v>
      </c>
      <c r="G1135" s="672" t="s">
        <v>1470</v>
      </c>
      <c r="H1135" s="266"/>
      <c r="I1135" s="267" t="s">
        <v>1995</v>
      </c>
      <c r="J1135" s="268" t="s">
        <v>15</v>
      </c>
      <c r="K1135" s="268">
        <v>528</v>
      </c>
      <c r="L1135" s="269" t="s">
        <v>1483</v>
      </c>
      <c r="M1135" s="510" t="str">
        <f>IFERROR(INDEX([1]Produtos!$C:$C,MATCH(L1135,[1]Produtos!$B:$B,0)), "-")</f>
        <v>HIDRATANTE BISNAGA ROSE AURORA 200g</v>
      </c>
      <c r="N1135" s="510">
        <f>IFERROR(INDEX([1]Produtos!$E:$E,MATCH(L1135,[1]Produtos!$B:$B,0)), "-")</f>
        <v>200</v>
      </c>
      <c r="O1135" s="270" t="str">
        <f>IFERROR(INDEX([1]Produtos!$F:$F,MATCH(L1135,[1]Produtos!$B:$B,0)), "-")</f>
        <v>g</v>
      </c>
      <c r="P1135" s="264" t="str">
        <f>IFERROR(INDEX([1]Produtos!$G:$G,MATCH(L1135,[1]Produtos!$B:$B,0)), "-")</f>
        <v>HABIBI PERFUMES</v>
      </c>
      <c r="Q1135" s="270" t="str">
        <f>IFERROR(INDEX([1]Produtos!$H:$H,MATCH(L1135,[1]Produtos!$B:$B,0)), "-")</f>
        <v>CORPORAL</v>
      </c>
      <c r="R1135" s="270" t="str">
        <f>IFERROR(INDEX([1]Produtos!$I:$I,MATCH(L1135,[1]Produtos!$B:$B,0)), "-")</f>
        <v>CREME HIDRATANTE</v>
      </c>
      <c r="S1135" s="270" t="str">
        <f>IFERROR(INDEX([1]Produtos!$J:$J,MATCH(L1135,[1]Produtos!$B:$B,0)), "-")</f>
        <v>CREMOSO</v>
      </c>
      <c r="T1135" s="475"/>
      <c r="U1135" s="270"/>
      <c r="V1135" s="270"/>
      <c r="W1135" s="270"/>
      <c r="X1135" s="270"/>
      <c r="Y1135" s="270"/>
      <c r="Z1135" s="270"/>
      <c r="AA1135" s="270"/>
      <c r="AB1135" s="270"/>
      <c r="AC1135" s="270"/>
      <c r="AD1135" s="270"/>
      <c r="AE1135" s="270"/>
      <c r="AF1135" s="270"/>
      <c r="AG1135" s="270"/>
      <c r="AH1135" s="270"/>
      <c r="AI1135" s="270"/>
      <c r="AJ1135" s="270"/>
      <c r="AK1135" s="270"/>
      <c r="AL1135" s="270"/>
      <c r="AM1135" s="663">
        <v>46197.670138888891</v>
      </c>
      <c r="AN1135" s="663">
        <v>46197.67083333333</v>
      </c>
      <c r="AO1135" s="708">
        <f>IF(OR(Table1[[#This Row],[Início Setup Envase]]="",Table1[[#This Row],[Final Setup Envase]]=""),"",Table1[[#This Row],[Final Setup Envase]]-Table1[[#This Row],[Início Setup Envase]])</f>
        <v>6.9444443943211809E-4</v>
      </c>
      <c r="AP1135" s="663"/>
      <c r="AQ1135" s="663"/>
      <c r="AR1135" s="270"/>
      <c r="AS1135" s="674"/>
      <c r="AT1135" s="674"/>
      <c r="AU1135" s="270"/>
      <c r="AV1135" s="270"/>
      <c r="AW1135" s="270"/>
      <c r="AX1135" s="270"/>
      <c r="AY1135" s="270"/>
      <c r="AZ1135" s="270"/>
      <c r="BA1135" s="270">
        <f>IF(Table1[[#This Row],[Data de Início]]="","",YEAR(Table1[[#This Row],[Data de Início]]))</f>
        <v>2026</v>
      </c>
      <c r="BB1135" s="270">
        <f>IF(Table1[[#This Row],[Data de Início]]="","",MONTH(Table1[[#This Row],[Data de Início]]))</f>
        <v>6</v>
      </c>
      <c r="BC1135" s="483"/>
    </row>
    <row r="1136" spans="2:55" x14ac:dyDescent="0.25">
      <c r="B1136" s="470">
        <v>46198.3125</v>
      </c>
      <c r="C1136" s="263">
        <v>46198.515972222223</v>
      </c>
      <c r="D1136" s="477" cm="1">
        <f t="array" ref="D1136">IFERROR(HorasUteisFabrica2Turnos(B1136,C1136), "")</f>
        <v>4.8833333333604969</v>
      </c>
      <c r="E1136" s="654">
        <f t="shared" si="18"/>
        <v>357.74744027104759</v>
      </c>
      <c r="F1136" s="266" t="s">
        <v>1039</v>
      </c>
      <c r="G1136" s="672" t="s">
        <v>1470</v>
      </c>
      <c r="H1136" s="479"/>
      <c r="I1136" s="267" t="s">
        <v>2000</v>
      </c>
      <c r="J1136" s="268" t="s">
        <v>15</v>
      </c>
      <c r="K1136" s="268">
        <v>1747</v>
      </c>
      <c r="L1136" s="269" t="s">
        <v>1476</v>
      </c>
      <c r="M1136" s="511" t="str">
        <f>IFERROR(INDEX([1]Produtos!$C:$C,MATCH(L1136,[1]Produtos!$B:$B,0)), "-")</f>
        <v>HIDRATANTE BISNAGA IMPERIUM 200g</v>
      </c>
      <c r="N1136" s="511">
        <f>IFERROR(INDEX([1]Produtos!$E:$E,MATCH(L1136,[1]Produtos!$B:$B,0)), "-")</f>
        <v>200</v>
      </c>
      <c r="O1136" s="483" t="str">
        <f>IFERROR(INDEX([1]Produtos!$F:$F,MATCH(L1136,[1]Produtos!$B:$B,0)), "-")</f>
        <v>g</v>
      </c>
      <c r="P1136" s="477" t="str">
        <f>IFERROR(INDEX([1]Produtos!$G:$G,MATCH(L1136,[1]Produtos!$B:$B,0)), "-")</f>
        <v>HABIBI PERFUMES</v>
      </c>
      <c r="Q1136" s="483" t="str">
        <f>IFERROR(INDEX([1]Produtos!$H:$H,MATCH(L1136,[1]Produtos!$B:$B,0)), "-")</f>
        <v>CORPORAL</v>
      </c>
      <c r="R1136" s="483" t="str">
        <f>IFERROR(INDEX([1]Produtos!$I:$I,MATCH(L1136,[1]Produtos!$B:$B,0)), "-")</f>
        <v>CREME HIDRATANTE</v>
      </c>
      <c r="S1136" s="483" t="str">
        <f>IFERROR(INDEX([1]Produtos!$J:$J,MATCH(L1136,[1]Produtos!$B:$B,0)), "-")</f>
        <v>CREMOSO</v>
      </c>
      <c r="T1136" s="484"/>
      <c r="U1136" s="483"/>
      <c r="V1136" s="483"/>
      <c r="W1136" s="483"/>
      <c r="X1136" s="483"/>
      <c r="Y1136" s="483"/>
      <c r="Z1136" s="483"/>
      <c r="AA1136" s="483"/>
      <c r="AB1136" s="483"/>
      <c r="AC1136" s="483"/>
      <c r="AD1136" s="483"/>
      <c r="AE1136" s="483"/>
      <c r="AF1136" s="483"/>
      <c r="AG1136" s="483"/>
      <c r="AH1136" s="483"/>
      <c r="AI1136" s="483"/>
      <c r="AJ1136" s="483"/>
      <c r="AK1136" s="483"/>
      <c r="AL1136" s="483"/>
      <c r="AM1136" s="670">
        <v>46198.309027777781</v>
      </c>
      <c r="AN1136" s="670">
        <v>46198.30972222222</v>
      </c>
      <c r="AO1136" s="711">
        <f>IF(OR(Table1[[#This Row],[Início Setup Envase]]="",Table1[[#This Row],[Final Setup Envase]]=""),"",Table1[[#This Row],[Final Setup Envase]]-Table1[[#This Row],[Início Setup Envase]])</f>
        <v>6.9444443943211809E-4</v>
      </c>
      <c r="AP1136" s="670"/>
      <c r="AQ1136" s="670"/>
      <c r="AR1136" s="483"/>
      <c r="AS1136" s="622"/>
      <c r="AT1136" s="622"/>
      <c r="AU1136" s="483"/>
      <c r="AV1136" s="483"/>
      <c r="AW1136" s="483"/>
      <c r="AX1136" s="483"/>
      <c r="AY1136" s="270"/>
      <c r="AZ1136" s="270"/>
      <c r="BA1136" s="270">
        <f>IF(Table1[[#This Row],[Data de Início]]="","",YEAR(Table1[[#This Row],[Data de Início]]))</f>
        <v>2026</v>
      </c>
      <c r="BB1136" s="270">
        <f>IF(Table1[[#This Row],[Data de Início]]="","",MONTH(Table1[[#This Row],[Data de Início]]))</f>
        <v>6</v>
      </c>
      <c r="BC1136" s="270"/>
    </row>
    <row r="1137" spans="2:55" x14ac:dyDescent="0.25">
      <c r="B1137" s="470">
        <v>46198.316666666666</v>
      </c>
      <c r="C1137" s="263">
        <v>46198.498611111114</v>
      </c>
      <c r="D1137" s="477" cm="1">
        <f t="array" ref="D1137">IFERROR(HorasUteisFabrica2Turnos(B1137,C1137), "")</f>
        <v>4.3666666667559184</v>
      </c>
      <c r="E1137" s="265">
        <f t="shared" si="18"/>
        <v>1055.2671755509502</v>
      </c>
      <c r="F1137" s="266" t="s">
        <v>378</v>
      </c>
      <c r="G1137" s="673" t="s">
        <v>1987</v>
      </c>
      <c r="H1137" s="266"/>
      <c r="I1137" s="267" t="s">
        <v>1999</v>
      </c>
      <c r="J1137" s="268" t="s">
        <v>15</v>
      </c>
      <c r="K1137" s="269">
        <v>4608</v>
      </c>
      <c r="L1137" s="269" t="s">
        <v>1273</v>
      </c>
      <c r="M1137" s="510" t="str">
        <f>IFERROR(INDEX([1]Produtos!$C:$C,MATCH(L1137,[1]Produtos!$B:$B,0)), "-")</f>
        <v>BODY SPLASH LEAO DO DESERTO BOURBON 200ml</v>
      </c>
      <c r="N1137" s="510">
        <f>IFERROR(INDEX([1]Produtos!$E:$E,MATCH(L1137,[1]Produtos!$B:$B,0)), "-")</f>
        <v>215</v>
      </c>
      <c r="O1137" s="270" t="str">
        <f>IFERROR(INDEX([1]Produtos!$F:$F,MATCH(L1137,[1]Produtos!$B:$B,0)), "-")</f>
        <v>ml</v>
      </c>
      <c r="P1137" s="264" t="str">
        <f>IFERROR(INDEX([1]Produtos!$G:$G,MATCH(L1137,[1]Produtos!$B:$B,0)), "-")</f>
        <v>MISS RÔSE</v>
      </c>
      <c r="Q1137" s="270" t="str">
        <f>IFERROR(INDEX([1]Produtos!$H:$H,MATCH(L1137,[1]Produtos!$B:$B,0)), "-")</f>
        <v>PERFUMARIA</v>
      </c>
      <c r="R1137" s="270" t="str">
        <f>IFERROR(INDEX([1]Produtos!$I:$I,MATCH(L1137,[1]Produtos!$B:$B,0)), "-")</f>
        <v>BODY SPLASH</v>
      </c>
      <c r="S1137" s="270" t="str">
        <f>IFERROR(INDEX([1]Produtos!$J:$J,MATCH(L1137,[1]Produtos!$B:$B,0)), "-")</f>
        <v>LÍQUIDO</v>
      </c>
      <c r="T1137" s="475"/>
      <c r="U1137" s="270"/>
      <c r="V1137" s="270"/>
      <c r="W1137" s="270"/>
      <c r="X1137" s="270"/>
      <c r="Y1137" s="270"/>
      <c r="Z1137" s="270"/>
      <c r="AA1137" s="270"/>
      <c r="AB1137" s="270"/>
      <c r="AC1137" s="270"/>
      <c r="AD1137" s="270"/>
      <c r="AE1137" s="270"/>
      <c r="AF1137" s="270"/>
      <c r="AG1137" s="270"/>
      <c r="AH1137" s="270"/>
      <c r="AI1137" s="270"/>
      <c r="AJ1137" s="270"/>
      <c r="AK1137" s="270"/>
      <c r="AL1137" s="270"/>
      <c r="AM1137" s="663">
        <v>46198.315972222219</v>
      </c>
      <c r="AN1137" s="663">
        <v>46198.316666666666</v>
      </c>
      <c r="AO1137" s="708">
        <f>IF(OR(Table1[[#This Row],[Início Setup Envase]]="",Table1[[#This Row],[Final Setup Envase]]=""),"",Table1[[#This Row],[Final Setup Envase]]-Table1[[#This Row],[Início Setup Envase]])</f>
        <v>6.944444467080757E-4</v>
      </c>
      <c r="AP1137" s="663"/>
      <c r="AQ1137" s="663"/>
      <c r="AR1137" s="270"/>
      <c r="AS1137" s="270"/>
      <c r="AT1137" s="270"/>
      <c r="AU1137" s="270"/>
      <c r="AV1137" s="270"/>
      <c r="AW1137" s="270"/>
      <c r="AX1137" s="270"/>
      <c r="AY1137" s="270"/>
      <c r="AZ1137" s="270"/>
      <c r="BA1137" s="270">
        <f>IF(Table1[[#This Row],[Data de Início]]="","",YEAR(Table1[[#This Row],[Data de Início]]))</f>
        <v>2026</v>
      </c>
      <c r="BB1137" s="270">
        <f>IF(Table1[[#This Row],[Data de Início]]="","",MONTH(Table1[[#This Row],[Data de Início]]))</f>
        <v>6</v>
      </c>
      <c r="BC1137" s="483"/>
    </row>
    <row r="1138" spans="2:55" x14ac:dyDescent="0.25">
      <c r="B1138" s="470">
        <v>46198.334027777775</v>
      </c>
      <c r="C1138" s="263">
        <v>46198.468055555553</v>
      </c>
      <c r="D1138" s="477" cm="1">
        <f t="array" ref="D1138">IFERROR(HorasUteisFabrica2Turnos(B1138,C1138), "")</f>
        <v>3.2166666666744277</v>
      </c>
      <c r="E1138" s="478">
        <f t="shared" si="18"/>
        <v>891.29533678541429</v>
      </c>
      <c r="F1138" s="266" t="s">
        <v>377</v>
      </c>
      <c r="G1138" s="673" t="s">
        <v>1834</v>
      </c>
      <c r="H1138" s="479"/>
      <c r="I1138" s="267" t="s">
        <v>2003</v>
      </c>
      <c r="J1138" s="268" t="s">
        <v>15</v>
      </c>
      <c r="K1138" s="268">
        <v>2867</v>
      </c>
      <c r="L1138" s="269" t="s">
        <v>1325</v>
      </c>
      <c r="M1138" s="511" t="str">
        <f>IFERROR(INDEX([1]Produtos!$C:$C,MATCH(L1138,[1]Produtos!$B:$B,0)), "-")</f>
        <v>BODY SPLASH ROSA RAINHA 200ml</v>
      </c>
      <c r="N1138" s="511">
        <f>IFERROR(INDEX([1]Produtos!$E:$E,MATCH(L1138,[1]Produtos!$B:$B,0)), "-")</f>
        <v>215</v>
      </c>
      <c r="O1138" s="483" t="str">
        <f>IFERROR(INDEX([1]Produtos!$F:$F,MATCH(L1138,[1]Produtos!$B:$B,0)), "-")</f>
        <v>ml</v>
      </c>
      <c r="P1138" s="477" t="str">
        <f>IFERROR(INDEX([1]Produtos!$G:$G,MATCH(L1138,[1]Produtos!$B:$B,0)), "-")</f>
        <v>MISS RÔSE</v>
      </c>
      <c r="Q1138" s="483" t="str">
        <f>IFERROR(INDEX([1]Produtos!$H:$H,MATCH(L1138,[1]Produtos!$B:$B,0)), "-")</f>
        <v>PERFUMARIA</v>
      </c>
      <c r="R1138" s="483" t="str">
        <f>IFERROR(INDEX([1]Produtos!$I:$I,MATCH(L1138,[1]Produtos!$B:$B,0)), "-")</f>
        <v>BODY SPLASH</v>
      </c>
      <c r="S1138" s="483" t="str">
        <f>IFERROR(INDEX([1]Produtos!$J:$J,MATCH(L1138,[1]Produtos!$B:$B,0)), "-")</f>
        <v>LÍQUIDO</v>
      </c>
      <c r="T1138" s="484"/>
      <c r="U1138" s="483"/>
      <c r="V1138" s="483"/>
      <c r="W1138" s="483"/>
      <c r="X1138" s="483"/>
      <c r="Y1138" s="483"/>
      <c r="Z1138" s="483"/>
      <c r="AA1138" s="483"/>
      <c r="AB1138" s="483"/>
      <c r="AC1138" s="483"/>
      <c r="AD1138" s="483"/>
      <c r="AE1138" s="483"/>
      <c r="AF1138" s="483"/>
      <c r="AG1138" s="483"/>
      <c r="AH1138" s="483"/>
      <c r="AI1138" s="483"/>
      <c r="AJ1138" s="483"/>
      <c r="AK1138" s="483"/>
      <c r="AL1138" s="483"/>
      <c r="AM1138" s="670">
        <v>46198.333333333336</v>
      </c>
      <c r="AN1138" s="670">
        <v>46198.334027777775</v>
      </c>
      <c r="AO1138" s="711">
        <f>IF(OR(Table1[[#This Row],[Início Setup Envase]]="",Table1[[#This Row],[Final Setup Envase]]=""),"",Table1[[#This Row],[Final Setup Envase]]-Table1[[#This Row],[Início Setup Envase]])</f>
        <v>6.9444443943211809E-4</v>
      </c>
      <c r="AP1138" s="670"/>
      <c r="AQ1138" s="670"/>
      <c r="AR1138" s="483"/>
      <c r="AS1138" s="483"/>
      <c r="AT1138" s="483"/>
      <c r="AU1138" s="483"/>
      <c r="AV1138" s="483"/>
      <c r="AW1138" s="483"/>
      <c r="AX1138" s="483"/>
      <c r="AY1138" s="270"/>
      <c r="AZ1138" s="270"/>
      <c r="BA1138" s="270">
        <f>IF(Table1[[#This Row],[Data de Início]]="","",YEAR(Table1[[#This Row],[Data de Início]]))</f>
        <v>2026</v>
      </c>
      <c r="BB1138" s="270">
        <f>IF(Table1[[#This Row],[Data de Início]]="","",MONTH(Table1[[#This Row],[Data de Início]]))</f>
        <v>6</v>
      </c>
      <c r="BC1138" s="270"/>
    </row>
    <row r="1139" spans="2:55" x14ac:dyDescent="0.25">
      <c r="B1139" s="470">
        <v>46198.472222222219</v>
      </c>
      <c r="C1139" s="263">
        <v>46199.339583333334</v>
      </c>
      <c r="D1139" s="477" cm="1">
        <f t="array" ref="D1139">IFERROR(HorasUteisFabrica2Turnos(B1139,C1139), "")</f>
        <v>5.8166666668839753</v>
      </c>
      <c r="E1139" s="697">
        <f t="shared" si="18"/>
        <v>783.95415469850548</v>
      </c>
      <c r="F1139" s="266" t="s">
        <v>377</v>
      </c>
      <c r="G1139" s="673" t="s">
        <v>1987</v>
      </c>
      <c r="H1139" s="266"/>
      <c r="I1139" s="267" t="s">
        <v>2004</v>
      </c>
      <c r="J1139" s="268" t="s">
        <v>15</v>
      </c>
      <c r="K1139" s="268">
        <v>4560</v>
      </c>
      <c r="L1139" s="269" t="s">
        <v>1273</v>
      </c>
      <c r="M1139" s="510" t="str">
        <f>IFERROR(INDEX([1]Produtos!$C:$C,MATCH(L1139,[1]Produtos!$B:$B,0)), "-")</f>
        <v>BODY SPLASH LEAO DO DESERTO BOURBON 200ml</v>
      </c>
      <c r="N1139" s="510">
        <f>IFERROR(INDEX([1]Produtos!$E:$E,MATCH(L1139,[1]Produtos!$B:$B,0)), "-")</f>
        <v>215</v>
      </c>
      <c r="O1139" s="270" t="str">
        <f>IFERROR(INDEX([1]Produtos!$F:$F,MATCH(L1139,[1]Produtos!$B:$B,0)), "-")</f>
        <v>ml</v>
      </c>
      <c r="P1139" s="264" t="str">
        <f>IFERROR(INDEX([1]Produtos!$G:$G,MATCH(L1139,[1]Produtos!$B:$B,0)), "-")</f>
        <v>MISS RÔSE</v>
      </c>
      <c r="Q1139" s="270" t="str">
        <f>IFERROR(INDEX([1]Produtos!$H:$H,MATCH(L1139,[1]Produtos!$B:$B,0)), "-")</f>
        <v>PERFUMARIA</v>
      </c>
      <c r="R1139" s="270" t="str">
        <f>IFERROR(INDEX([1]Produtos!$I:$I,MATCH(L1139,[1]Produtos!$B:$B,0)), "-")</f>
        <v>BODY SPLASH</v>
      </c>
      <c r="S1139" s="270" t="str">
        <f>IFERROR(INDEX([1]Produtos!$J:$J,MATCH(L1139,[1]Produtos!$B:$B,0)), "-")</f>
        <v>LÍQUIDO</v>
      </c>
      <c r="T1139" s="475"/>
      <c r="U1139" s="270"/>
      <c r="V1139" s="270"/>
      <c r="W1139" s="270"/>
      <c r="X1139" s="270"/>
      <c r="Y1139" s="270"/>
      <c r="Z1139" s="270"/>
      <c r="AA1139" s="270"/>
      <c r="AB1139" s="270"/>
      <c r="AC1139" s="270"/>
      <c r="AD1139" s="270"/>
      <c r="AE1139" s="270"/>
      <c r="AF1139" s="270"/>
      <c r="AG1139" s="270"/>
      <c r="AH1139" s="270"/>
      <c r="AI1139" s="270"/>
      <c r="AJ1139" s="270"/>
      <c r="AK1139" s="270"/>
      <c r="AL1139" s="270"/>
      <c r="AM1139" s="663">
        <v>46198.47152777778</v>
      </c>
      <c r="AN1139" s="663">
        <v>46198.472222222219</v>
      </c>
      <c r="AO1139" s="708">
        <f>IF(OR(Table1[[#This Row],[Início Setup Envase]]="",Table1[[#This Row],[Final Setup Envase]]=""),"",Table1[[#This Row],[Final Setup Envase]]-Table1[[#This Row],[Início Setup Envase]])</f>
        <v>6.9444443943211809E-4</v>
      </c>
      <c r="AP1139" s="663">
        <v>46198.488194444442</v>
      </c>
      <c r="AQ1139" s="663">
        <v>46198.555555555555</v>
      </c>
      <c r="AR1139" s="270" t="s">
        <v>2005</v>
      </c>
      <c r="AS1139" s="674">
        <v>46198.488194444442</v>
      </c>
      <c r="AT1139" s="674">
        <v>46198.5625</v>
      </c>
      <c r="AU1139" s="270" t="s">
        <v>971</v>
      </c>
      <c r="AV1139" s="270"/>
      <c r="AW1139" s="270"/>
      <c r="AX1139" s="270"/>
      <c r="AY1139" s="270"/>
      <c r="AZ1139" s="270"/>
      <c r="BA1139" s="270">
        <f>IF(Table1[[#This Row],[Data de Início]]="","",YEAR(Table1[[#This Row],[Data de Início]]))</f>
        <v>2026</v>
      </c>
      <c r="BB1139" s="270">
        <f>IF(Table1[[#This Row],[Data de Início]]="","",MONTH(Table1[[#This Row],[Data de Início]]))</f>
        <v>6</v>
      </c>
      <c r="BC1139" s="483"/>
    </row>
    <row r="1140" spans="2:55" x14ac:dyDescent="0.25">
      <c r="B1140" s="470">
        <v>46198.520833333336</v>
      </c>
      <c r="C1140" s="263">
        <v>46199.302083333336</v>
      </c>
      <c r="D1140" s="477" cm="1">
        <f t="array" ref="D1140">IFERROR(HorasUteisFabrica2Turnos(B1140,C1140), "")</f>
        <v>4.7500000001164153</v>
      </c>
      <c r="E1140" s="478">
        <f t="shared" si="18"/>
        <v>287.3684210455886</v>
      </c>
      <c r="F1140" s="266" t="s">
        <v>1039</v>
      </c>
      <c r="G1140" s="672" t="s">
        <v>1470</v>
      </c>
      <c r="H1140" s="479"/>
      <c r="I1140" s="267" t="s">
        <v>2001</v>
      </c>
      <c r="J1140" s="268" t="s">
        <v>15</v>
      </c>
      <c r="K1140" s="268">
        <v>1365</v>
      </c>
      <c r="L1140" s="269" t="s">
        <v>1476</v>
      </c>
      <c r="M1140" s="511" t="str">
        <f>IFERROR(INDEX([1]Produtos!$C:$C,MATCH(L1140,[1]Produtos!$B:$B,0)), "-")</f>
        <v>HIDRATANTE BISNAGA IMPERIUM 200g</v>
      </c>
      <c r="N1140" s="511">
        <f>IFERROR(INDEX([1]Produtos!$E:$E,MATCH(L1140,[1]Produtos!$B:$B,0)), "-")</f>
        <v>200</v>
      </c>
      <c r="O1140" s="483" t="str">
        <f>IFERROR(INDEX([1]Produtos!$F:$F,MATCH(L1140,[1]Produtos!$B:$B,0)), "-")</f>
        <v>g</v>
      </c>
      <c r="P1140" s="477" t="str">
        <f>IFERROR(INDEX([1]Produtos!$G:$G,MATCH(L1140,[1]Produtos!$B:$B,0)), "-")</f>
        <v>HABIBI PERFUMES</v>
      </c>
      <c r="Q1140" s="483" t="str">
        <f>IFERROR(INDEX([1]Produtos!$H:$H,MATCH(L1140,[1]Produtos!$B:$B,0)), "-")</f>
        <v>CORPORAL</v>
      </c>
      <c r="R1140" s="483" t="str">
        <f>IFERROR(INDEX([1]Produtos!$I:$I,MATCH(L1140,[1]Produtos!$B:$B,0)), "-")</f>
        <v>CREME HIDRATANTE</v>
      </c>
      <c r="S1140" s="483" t="str">
        <f>IFERROR(INDEX([1]Produtos!$J:$J,MATCH(L1140,[1]Produtos!$B:$B,0)), "-")</f>
        <v>CREMOSO</v>
      </c>
      <c r="T1140" s="484"/>
      <c r="U1140" s="483"/>
      <c r="V1140" s="483"/>
      <c r="W1140" s="483"/>
      <c r="X1140" s="483"/>
      <c r="Y1140" s="483"/>
      <c r="Z1140" s="483"/>
      <c r="AA1140" s="483"/>
      <c r="AB1140" s="483"/>
      <c r="AC1140" s="483"/>
      <c r="AD1140" s="483"/>
      <c r="AE1140" s="483"/>
      <c r="AF1140" s="483"/>
      <c r="AG1140" s="483"/>
      <c r="AH1140" s="483"/>
      <c r="AI1140" s="483"/>
      <c r="AJ1140" s="483"/>
      <c r="AK1140" s="483"/>
      <c r="AL1140" s="483"/>
      <c r="AM1140" s="663">
        <v>46198.309027777781</v>
      </c>
      <c r="AN1140" s="670">
        <v>46199.311805555553</v>
      </c>
      <c r="AO1140" s="711">
        <f>IF(OR(Table1[[#This Row],[Início Setup Envase]]="",Table1[[#This Row],[Final Setup Envase]]=""),"",Table1[[#This Row],[Final Setup Envase]]-Table1[[#This Row],[Início Setup Envase]])</f>
        <v>1.0027777777722804</v>
      </c>
      <c r="AP1140" s="670"/>
      <c r="AQ1140" s="670"/>
      <c r="AR1140" s="483"/>
      <c r="AS1140" s="483"/>
      <c r="AT1140" s="483"/>
      <c r="AU1140" s="483"/>
      <c r="AV1140" s="483"/>
      <c r="AW1140" s="483"/>
      <c r="AX1140" s="483"/>
      <c r="AY1140" s="270"/>
      <c r="AZ1140" s="270"/>
      <c r="BA1140" s="270">
        <f>IF(Table1[[#This Row],[Data de Início]]="","",YEAR(Table1[[#This Row],[Data de Início]]))</f>
        <v>2026</v>
      </c>
      <c r="BB1140" s="270">
        <f>IF(Table1[[#This Row],[Data de Início]]="","",MONTH(Table1[[#This Row],[Data de Início]]))</f>
        <v>6</v>
      </c>
      <c r="BC1140" s="270"/>
    </row>
    <row r="1141" spans="2:55" x14ac:dyDescent="0.25">
      <c r="B1141" s="470">
        <v>46198.543749999997</v>
      </c>
      <c r="C1141" s="263">
        <v>46199.350694444445</v>
      </c>
      <c r="D1141" s="477" cm="1">
        <f t="array" ref="D1141">IFERROR(HorasUteisFabrica2Turnos(B1141,C1141), "")</f>
        <v>5.3666666668723337</v>
      </c>
      <c r="E1141" s="697">
        <f t="shared" si="18"/>
        <v>912.2981366110007</v>
      </c>
      <c r="F1141" s="266" t="s">
        <v>378</v>
      </c>
      <c r="G1141" s="729" t="s">
        <v>1817</v>
      </c>
      <c r="H1141" s="266"/>
      <c r="I1141" s="267" t="s">
        <v>2002</v>
      </c>
      <c r="J1141" s="268" t="s">
        <v>15</v>
      </c>
      <c r="K1141" s="268">
        <v>4896</v>
      </c>
      <c r="L1141" s="269" t="s">
        <v>1893</v>
      </c>
      <c r="M1141" s="510" t="str">
        <f>IFERROR(INDEX([1]Produtos!$C:$C,MATCH(L1141,[1]Produtos!$B:$B,0)), "-")</f>
        <v>BODY SPLASH ROUGE OUT 200ML</v>
      </c>
      <c r="N1141" s="510">
        <f>IFERROR(INDEX([1]Produtos!$E:$E,MATCH(L1141,[1]Produtos!$B:$B,0)), "-")</f>
        <v>200</v>
      </c>
      <c r="O1141" s="270" t="str">
        <f>IFERROR(INDEX([1]Produtos!$F:$F,MATCH(L1141,[1]Produtos!$B:$B,0)), "-")</f>
        <v>ml</v>
      </c>
      <c r="P1141" s="264" t="str">
        <f>IFERROR(INDEX([1]Produtos!$G:$G,MATCH(L1141,[1]Produtos!$B:$B,0)), "-")</f>
        <v>FEBELLA BEAUTY</v>
      </c>
      <c r="Q1141" s="270" t="str">
        <f>IFERROR(INDEX([1]Produtos!$H:$H,MATCH(L1141,[1]Produtos!$B:$B,0)), "-")</f>
        <v>PERFUMARIA</v>
      </c>
      <c r="R1141" s="270" t="str">
        <f>IFERROR(INDEX([1]Produtos!$I:$I,MATCH(L1141,[1]Produtos!$B:$B,0)), "-")</f>
        <v>BODY SPLASH</v>
      </c>
      <c r="S1141" s="270" t="str">
        <f>IFERROR(INDEX([1]Produtos!$J:$J,MATCH(L1141,[1]Produtos!$B:$B,0)), "-")</f>
        <v>LÍQUIDO</v>
      </c>
      <c r="T1141" s="475"/>
      <c r="U1141" s="270"/>
      <c r="V1141" s="270"/>
      <c r="W1141" s="270"/>
      <c r="X1141" s="270"/>
      <c r="Y1141" s="270"/>
      <c r="Z1141" s="270"/>
      <c r="AA1141" s="270"/>
      <c r="AB1141" s="270"/>
      <c r="AC1141" s="270"/>
      <c r="AD1141" s="270"/>
      <c r="AE1141" s="270"/>
      <c r="AF1141" s="270"/>
      <c r="AG1141" s="270"/>
      <c r="AH1141" s="270"/>
      <c r="AI1141" s="270"/>
      <c r="AJ1141" s="270"/>
      <c r="AK1141" s="270"/>
      <c r="AL1141" s="270"/>
      <c r="AM1141" s="663">
        <v>46198.541666666664</v>
      </c>
      <c r="AN1141" s="663">
        <v>46198.543749999997</v>
      </c>
      <c r="AO1141" s="708">
        <f>IF(OR(Table1[[#This Row],[Início Setup Envase]]="",Table1[[#This Row],[Final Setup Envase]]=""),"",Table1[[#This Row],[Final Setup Envase]]-Table1[[#This Row],[Início Setup Envase]])</f>
        <v>2.0833333328482695E-3</v>
      </c>
      <c r="AP1141" s="663"/>
      <c r="AQ1141" s="663"/>
      <c r="AR1141" s="270"/>
      <c r="AS1141" s="674"/>
      <c r="AT1141" s="674"/>
      <c r="AU1141" s="270"/>
      <c r="AV1141" s="270"/>
      <c r="AW1141" s="270"/>
      <c r="AX1141" s="270"/>
      <c r="AY1141" s="270"/>
      <c r="AZ1141" s="270"/>
      <c r="BA1141" s="270">
        <f>IF(Table1[[#This Row],[Data de Início]]="","",YEAR(Table1[[#This Row],[Data de Início]]))</f>
        <v>2026</v>
      </c>
      <c r="BB1141" s="270">
        <f>IF(Table1[[#This Row],[Data de Início]]="","",MONTH(Table1[[#This Row],[Data de Início]]))</f>
        <v>6</v>
      </c>
      <c r="BC1141" s="483"/>
    </row>
    <row r="1142" spans="2:55" x14ac:dyDescent="0.25">
      <c r="B1142" s="470">
        <v>46199.309027777781</v>
      </c>
      <c r="C1142" s="263">
        <v>46199.465277777781</v>
      </c>
      <c r="D1142" s="477" cm="1">
        <f t="array" ref="D1142">IFERROR(HorasUteisFabrica2Turnos(B1142,C1142), "")</f>
        <v>3.75</v>
      </c>
      <c r="E1142" s="654">
        <f t="shared" si="18"/>
        <v>355.73333333333335</v>
      </c>
      <c r="F1142" s="266" t="s">
        <v>1039</v>
      </c>
      <c r="G1142" s="672" t="s">
        <v>1470</v>
      </c>
      <c r="H1142" s="479"/>
      <c r="I1142" s="267" t="s">
        <v>2013</v>
      </c>
      <c r="J1142" s="268" t="s">
        <v>15</v>
      </c>
      <c r="K1142" s="268">
        <v>1334</v>
      </c>
      <c r="L1142" s="269" t="s">
        <v>1476</v>
      </c>
      <c r="M1142" s="511" t="str">
        <f>IFERROR(INDEX([1]Produtos!$C:$C,MATCH(L1142,[1]Produtos!$B:$B,0)), "-")</f>
        <v>HIDRATANTE BISNAGA IMPERIUM 200g</v>
      </c>
      <c r="N1142" s="511">
        <f>IFERROR(INDEX([1]Produtos!$E:$E,MATCH(L1142,[1]Produtos!$B:$B,0)), "-")</f>
        <v>200</v>
      </c>
      <c r="O1142" s="483" t="str">
        <f>IFERROR(INDEX([1]Produtos!$F:$F,MATCH(L1142,[1]Produtos!$B:$B,0)), "-")</f>
        <v>g</v>
      </c>
      <c r="P1142" s="477" t="str">
        <f>IFERROR(INDEX([1]Produtos!$G:$G,MATCH(L1142,[1]Produtos!$B:$B,0)), "-")</f>
        <v>HABIBI PERFUMES</v>
      </c>
      <c r="Q1142" s="483" t="str">
        <f>IFERROR(INDEX([1]Produtos!$H:$H,MATCH(L1142,[1]Produtos!$B:$B,0)), "-")</f>
        <v>CORPORAL</v>
      </c>
      <c r="R1142" s="483" t="str">
        <f>IFERROR(INDEX([1]Produtos!$I:$I,MATCH(L1142,[1]Produtos!$B:$B,0)), "-")</f>
        <v>CREME HIDRATANTE</v>
      </c>
      <c r="S1142" s="483" t="str">
        <f>IFERROR(INDEX([1]Produtos!$J:$J,MATCH(L1142,[1]Produtos!$B:$B,0)), "-")</f>
        <v>CREMOSO</v>
      </c>
      <c r="T1142" s="484"/>
      <c r="U1142" s="483"/>
      <c r="V1142" s="483"/>
      <c r="W1142" s="483"/>
      <c r="X1142" s="483"/>
      <c r="Y1142" s="483"/>
      <c r="Z1142" s="483"/>
      <c r="AA1142" s="483"/>
      <c r="AB1142" s="483"/>
      <c r="AC1142" s="483"/>
      <c r="AD1142" s="483"/>
      <c r="AE1142" s="483"/>
      <c r="AF1142" s="483"/>
      <c r="AG1142" s="483"/>
      <c r="AH1142" s="483"/>
      <c r="AI1142" s="483"/>
      <c r="AJ1142" s="483"/>
      <c r="AK1142" s="483"/>
      <c r="AL1142" s="483"/>
      <c r="AM1142" s="670">
        <v>46199.305555555555</v>
      </c>
      <c r="AN1142" s="670">
        <v>46199.309027777781</v>
      </c>
      <c r="AO1142" s="711">
        <f>IF(OR(Table1[[#This Row],[Início Setup Envase]]="",Table1[[#This Row],[Final Setup Envase]]=""),"",Table1[[#This Row],[Final Setup Envase]]-Table1[[#This Row],[Início Setup Envase]])</f>
        <v>3.4722222262644209E-3</v>
      </c>
      <c r="AP1142" s="670"/>
      <c r="AQ1142" s="670"/>
      <c r="AR1142" s="483"/>
      <c r="AS1142" s="622"/>
      <c r="AT1142" s="622"/>
      <c r="AU1142" s="483"/>
      <c r="AV1142" s="483"/>
      <c r="AW1142" s="483"/>
      <c r="AX1142" s="483"/>
      <c r="AY1142" s="270"/>
      <c r="AZ1142" s="270"/>
      <c r="BA1142" s="270">
        <f>IF(Table1[[#This Row],[Data de Início]]="","",YEAR(Table1[[#This Row],[Data de Início]]))</f>
        <v>2026</v>
      </c>
      <c r="BB1142" s="270">
        <f>IF(Table1[[#This Row],[Data de Início]]="","",MONTH(Table1[[#This Row],[Data de Início]]))</f>
        <v>6</v>
      </c>
      <c r="BC1142" s="270"/>
    </row>
    <row r="1143" spans="2:55" x14ac:dyDescent="0.25">
      <c r="B1143" s="470">
        <v>46199.340277777781</v>
      </c>
      <c r="C1143" s="263">
        <v>46199.583333333336</v>
      </c>
      <c r="D1143" s="477" cm="1">
        <f t="array" ref="D1143">IFERROR(HorasUteisFabrica2Turnos(B1143,C1143), "")</f>
        <v>4.8333333333139308</v>
      </c>
      <c r="E1143" s="265">
        <f t="shared" si="18"/>
        <v>923.5862069002593</v>
      </c>
      <c r="F1143" s="266" t="s">
        <v>377</v>
      </c>
      <c r="G1143" s="673" t="s">
        <v>1987</v>
      </c>
      <c r="H1143" s="266"/>
      <c r="I1143" s="267" t="s">
        <v>2012</v>
      </c>
      <c r="J1143" s="268" t="s">
        <v>15</v>
      </c>
      <c r="K1143" s="268">
        <v>4464</v>
      </c>
      <c r="L1143" s="269" t="s">
        <v>1273</v>
      </c>
      <c r="M1143" s="510" t="str">
        <f>IFERROR(INDEX([1]Produtos!$C:$C,MATCH(L1143,[1]Produtos!$B:$B,0)), "-")</f>
        <v>BODY SPLASH LEAO DO DESERTO BOURBON 200ml</v>
      </c>
      <c r="N1143" s="510">
        <f>IFERROR(INDEX([1]Produtos!$E:$E,MATCH(L1143,[1]Produtos!$B:$B,0)), "-")</f>
        <v>215</v>
      </c>
      <c r="O1143" s="270" t="str">
        <f>IFERROR(INDEX([1]Produtos!$F:$F,MATCH(L1143,[1]Produtos!$B:$B,0)), "-")</f>
        <v>ml</v>
      </c>
      <c r="P1143" s="264" t="str">
        <f>IFERROR(INDEX([1]Produtos!$G:$G,MATCH(L1143,[1]Produtos!$B:$B,0)), "-")</f>
        <v>MISS RÔSE</v>
      </c>
      <c r="Q1143" s="270" t="str">
        <f>IFERROR(INDEX([1]Produtos!$H:$H,MATCH(L1143,[1]Produtos!$B:$B,0)), "-")</f>
        <v>PERFUMARIA</v>
      </c>
      <c r="R1143" s="270" t="str">
        <f>IFERROR(INDEX([1]Produtos!$I:$I,MATCH(L1143,[1]Produtos!$B:$B,0)), "-")</f>
        <v>BODY SPLASH</v>
      </c>
      <c r="S1143" s="270" t="str">
        <f>IFERROR(INDEX([1]Produtos!$J:$J,MATCH(L1143,[1]Produtos!$B:$B,0)), "-")</f>
        <v>LÍQUIDO</v>
      </c>
      <c r="T1143" s="475"/>
      <c r="U1143" s="270"/>
      <c r="V1143" s="270"/>
      <c r="W1143" s="270"/>
      <c r="X1143" s="270"/>
      <c r="Y1143" s="270"/>
      <c r="Z1143" s="270"/>
      <c r="AA1143" s="270"/>
      <c r="AB1143" s="270"/>
      <c r="AC1143" s="270"/>
      <c r="AD1143" s="270"/>
      <c r="AE1143" s="270"/>
      <c r="AF1143" s="270"/>
      <c r="AG1143" s="270"/>
      <c r="AH1143" s="270"/>
      <c r="AI1143" s="270"/>
      <c r="AJ1143" s="270"/>
      <c r="AK1143" s="270"/>
      <c r="AL1143" s="270"/>
      <c r="AM1143" s="663">
        <v>46199.339583333334</v>
      </c>
      <c r="AN1143" s="663">
        <v>46199.340277777781</v>
      </c>
      <c r="AO1143" s="708">
        <f>IF(OR(Table1[[#This Row],[Início Setup Envase]]="",Table1[[#This Row],[Final Setup Envase]]=""),"",Table1[[#This Row],[Final Setup Envase]]-Table1[[#This Row],[Início Setup Envase]])</f>
        <v>6.944444467080757E-4</v>
      </c>
      <c r="AP1143" s="663"/>
      <c r="AQ1143" s="663"/>
      <c r="AR1143" s="270"/>
      <c r="AS1143" s="270"/>
      <c r="AT1143" s="270"/>
      <c r="AU1143" s="270"/>
      <c r="AV1143" s="270"/>
      <c r="AW1143" s="270"/>
      <c r="AX1143" s="270"/>
      <c r="AY1143" s="270"/>
      <c r="AZ1143" s="270"/>
      <c r="BA1143" s="270">
        <f>IF(Table1[[#This Row],[Data de Início]]="","",YEAR(Table1[[#This Row],[Data de Início]]))</f>
        <v>2026</v>
      </c>
      <c r="BB1143" s="270">
        <f>IF(Table1[[#This Row],[Data de Início]]="","",MONTH(Table1[[#This Row],[Data de Início]]))</f>
        <v>6</v>
      </c>
      <c r="BC1143" s="483"/>
    </row>
    <row r="1144" spans="2:55" x14ac:dyDescent="0.25">
      <c r="B1144" s="470">
        <v>46199.463888888888</v>
      </c>
      <c r="C1144" s="263">
        <v>46202.340277777781</v>
      </c>
      <c r="D1144" s="477" cm="1">
        <f t="array" ref="D1144">IFERROR(HorasUteisFabrica2Turnos(B1144,C1144), "")</f>
        <v>5.0333333334419876</v>
      </c>
      <c r="E1144" s="478">
        <f t="shared" si="18"/>
        <v>346.68874171437034</v>
      </c>
      <c r="F1144" s="266" t="s">
        <v>1039</v>
      </c>
      <c r="G1144" s="672" t="s">
        <v>1470</v>
      </c>
      <c r="H1144" s="479"/>
      <c r="I1144" s="267" t="s">
        <v>2008</v>
      </c>
      <c r="J1144" s="268" t="s">
        <v>15</v>
      </c>
      <c r="K1144" s="268">
        <v>1745</v>
      </c>
      <c r="L1144" s="269" t="s">
        <v>1478</v>
      </c>
      <c r="M1144" s="511" t="str">
        <f>IFERROR(INDEX([1]Produtos!$C:$C,MATCH(L1144,[1]Produtos!$B:$B,0)), "-")</f>
        <v>HIDRATANTE BISNAGA ROSA SUBLIME 200g</v>
      </c>
      <c r="N1144" s="511">
        <f>IFERROR(INDEX([1]Produtos!$E:$E,MATCH(L1144,[1]Produtos!$B:$B,0)), "-")</f>
        <v>200</v>
      </c>
      <c r="O1144" s="483" t="str">
        <f>IFERROR(INDEX([1]Produtos!$F:$F,MATCH(L1144,[1]Produtos!$B:$B,0)), "-")</f>
        <v>g</v>
      </c>
      <c r="P1144" s="477" t="str">
        <f>IFERROR(INDEX([1]Produtos!$G:$G,MATCH(L1144,[1]Produtos!$B:$B,0)), "-")</f>
        <v>HABIBI PERFUMES</v>
      </c>
      <c r="Q1144" s="483" t="str">
        <f>IFERROR(INDEX([1]Produtos!$H:$H,MATCH(L1144,[1]Produtos!$B:$B,0)), "-")</f>
        <v>CORPORAL</v>
      </c>
      <c r="R1144" s="483" t="str">
        <f>IFERROR(INDEX([1]Produtos!$I:$I,MATCH(L1144,[1]Produtos!$B:$B,0)), "-")</f>
        <v>CREME HIDRATANTE</v>
      </c>
      <c r="S1144" s="483" t="str">
        <f>IFERROR(INDEX([1]Produtos!$J:$J,MATCH(L1144,[1]Produtos!$B:$B,0)), "-")</f>
        <v>CREMOSO</v>
      </c>
      <c r="T1144" s="484"/>
      <c r="U1144" s="483"/>
      <c r="V1144" s="483"/>
      <c r="W1144" s="483"/>
      <c r="X1144" s="483"/>
      <c r="Y1144" s="483"/>
      <c r="Z1144" s="483"/>
      <c r="AA1144" s="483"/>
      <c r="AB1144" s="483"/>
      <c r="AC1144" s="483"/>
      <c r="AD1144" s="483"/>
      <c r="AE1144" s="483"/>
      <c r="AF1144" s="483"/>
      <c r="AG1144" s="483"/>
      <c r="AH1144" s="483"/>
      <c r="AI1144" s="483"/>
      <c r="AJ1144" s="483"/>
      <c r="AK1144" s="483"/>
      <c r="AL1144" s="483"/>
      <c r="AM1144" s="670">
        <v>46199.458333333336</v>
      </c>
      <c r="AN1144" s="670">
        <v>46199.463194444441</v>
      </c>
      <c r="AO1144" s="711">
        <f>IF(OR(Table1[[#This Row],[Início Setup Envase]]="",Table1[[#This Row],[Final Setup Envase]]=""),"",Table1[[#This Row],[Final Setup Envase]]-Table1[[#This Row],[Início Setup Envase]])</f>
        <v>4.8611111051286571E-3</v>
      </c>
      <c r="AP1144" s="670"/>
      <c r="AQ1144" s="670"/>
      <c r="AR1144" s="483"/>
      <c r="AS1144" s="483"/>
      <c r="AT1144" s="483"/>
      <c r="AU1144" s="483"/>
      <c r="AV1144" s="483"/>
      <c r="AW1144" s="483"/>
      <c r="AX1144" s="483"/>
      <c r="AY1144" s="270"/>
      <c r="AZ1144" s="270"/>
      <c r="BA1144" s="270">
        <f>IF(Table1[[#This Row],[Data de Início]]="","",YEAR(Table1[[#This Row],[Data de Início]]))</f>
        <v>2026</v>
      </c>
      <c r="BB1144" s="270">
        <f>IF(Table1[[#This Row],[Data de Início]]="","",MONTH(Table1[[#This Row],[Data de Início]]))</f>
        <v>6</v>
      </c>
      <c r="BC1144" s="270"/>
    </row>
    <row r="1145" spans="2:55" x14ac:dyDescent="0.25">
      <c r="B1145" s="470">
        <v>46199.581250000003</v>
      </c>
      <c r="C1145" s="263">
        <v>46202.40902777778</v>
      </c>
      <c r="D1145" s="477" cm="1">
        <f t="array" ref="D1145">IFERROR(HorasUteisFabrica2Turnos(B1145,C1145), "")</f>
        <v>4.8666666666395031</v>
      </c>
      <c r="E1145" s="697">
        <f t="shared" si="18"/>
        <v>1045.4794520606299</v>
      </c>
      <c r="F1145" s="266" t="s">
        <v>377</v>
      </c>
      <c r="G1145" s="673" t="s">
        <v>1987</v>
      </c>
      <c r="H1145" s="266"/>
      <c r="I1145" s="267" t="s">
        <v>2009</v>
      </c>
      <c r="J1145" s="268" t="s">
        <v>15</v>
      </c>
      <c r="K1145" s="268">
        <v>5088</v>
      </c>
      <c r="L1145" s="269" t="s">
        <v>1273</v>
      </c>
      <c r="M1145" s="510" t="str">
        <f>IFERROR(INDEX([1]Produtos!$C:$C,MATCH(L1145,[1]Produtos!$B:$B,0)), "-")</f>
        <v>BODY SPLASH LEAO DO DESERTO BOURBON 200ml</v>
      </c>
      <c r="N1145" s="510">
        <f>IFERROR(INDEX([1]Produtos!$E:$E,MATCH(L1145,[1]Produtos!$B:$B,0)), "-")</f>
        <v>215</v>
      </c>
      <c r="O1145" s="270" t="str">
        <f>IFERROR(INDEX([1]Produtos!$F:$F,MATCH(L1145,[1]Produtos!$B:$B,0)), "-")</f>
        <v>ml</v>
      </c>
      <c r="P1145" s="264" t="str">
        <f>IFERROR(INDEX([1]Produtos!$G:$G,MATCH(L1145,[1]Produtos!$B:$B,0)), "-")</f>
        <v>MISS RÔSE</v>
      </c>
      <c r="Q1145" s="270" t="str">
        <f>IFERROR(INDEX([1]Produtos!$H:$H,MATCH(L1145,[1]Produtos!$B:$B,0)), "-")</f>
        <v>PERFUMARIA</v>
      </c>
      <c r="R1145" s="270" t="str">
        <f>IFERROR(INDEX([1]Produtos!$I:$I,MATCH(L1145,[1]Produtos!$B:$B,0)), "-")</f>
        <v>BODY SPLASH</v>
      </c>
      <c r="S1145" s="270" t="str">
        <f>IFERROR(INDEX([1]Produtos!$J:$J,MATCH(L1145,[1]Produtos!$B:$B,0)), "-")</f>
        <v>LÍQUIDO</v>
      </c>
      <c r="T1145" s="475"/>
      <c r="U1145" s="270"/>
      <c r="V1145" s="270"/>
      <c r="W1145" s="270"/>
      <c r="X1145" s="270"/>
      <c r="Y1145" s="270"/>
      <c r="Z1145" s="270"/>
      <c r="AA1145" s="270"/>
      <c r="AB1145" s="270"/>
      <c r="AC1145" s="270"/>
      <c r="AD1145" s="270"/>
      <c r="AE1145" s="270"/>
      <c r="AF1145" s="270"/>
      <c r="AG1145" s="270"/>
      <c r="AH1145" s="270"/>
      <c r="AI1145" s="270"/>
      <c r="AJ1145" s="270"/>
      <c r="AK1145" s="270"/>
      <c r="AL1145" s="270"/>
      <c r="AM1145" s="663">
        <v>46199.581250000003</v>
      </c>
      <c r="AN1145" s="663">
        <v>46199.581250000003</v>
      </c>
      <c r="AO1145" s="708">
        <f>IF(OR(Table1[[#This Row],[Início Setup Envase]]="",Table1[[#This Row],[Final Setup Envase]]=""),"",Table1[[#This Row],[Final Setup Envase]]-Table1[[#This Row],[Início Setup Envase]])</f>
        <v>0</v>
      </c>
      <c r="AP1145" s="663"/>
      <c r="AQ1145" s="663"/>
      <c r="AR1145" s="270"/>
      <c r="AS1145" s="674"/>
      <c r="AT1145" s="674"/>
      <c r="AU1145" s="270"/>
      <c r="AV1145" s="270"/>
      <c r="AW1145" s="270"/>
      <c r="AX1145" s="270"/>
      <c r="AY1145" s="270"/>
      <c r="AZ1145" s="270"/>
      <c r="BA1145" s="270">
        <f>IF(Table1[[#This Row],[Data de Início]]="","",YEAR(Table1[[#This Row],[Data de Início]]))</f>
        <v>2026</v>
      </c>
      <c r="BB1145" s="270">
        <f>IF(Table1[[#This Row],[Data de Início]]="","",MONTH(Table1[[#This Row],[Data de Início]]))</f>
        <v>6</v>
      </c>
      <c r="BC1145" s="483"/>
    </row>
    <row r="1146" spans="2:55" x14ac:dyDescent="0.25">
      <c r="B1146" s="470">
        <v>46202.304861111108</v>
      </c>
      <c r="C1146" s="263">
        <v>46202.484722222223</v>
      </c>
      <c r="D1146" s="477" cm="1">
        <f t="array" ref="D1146">IFERROR(HorasUteisFabrica2Turnos(B1146,C1146), "")</f>
        <v>4.3166666667675599</v>
      </c>
      <c r="E1146" s="654">
        <f t="shared" si="18"/>
        <v>1100.8494208236907</v>
      </c>
      <c r="F1146" s="266" t="s">
        <v>377</v>
      </c>
      <c r="G1146" s="672" t="s">
        <v>1560</v>
      </c>
      <c r="H1146" s="479"/>
      <c r="I1146" s="267" t="s">
        <v>2011</v>
      </c>
      <c r="J1146" s="268" t="s">
        <v>15</v>
      </c>
      <c r="K1146" s="268">
        <v>4752</v>
      </c>
      <c r="L1146" s="269" t="s">
        <v>211</v>
      </c>
      <c r="M1146" s="511" t="str">
        <f>IFERROR(INDEX([1]Produtos!$C:$C,MATCH(L1146,[1]Produtos!$B:$B,0)), "-")</f>
        <v>BODY SPLASH AURORA IMPERIAL</v>
      </c>
      <c r="N1146" s="511">
        <f>IFERROR(INDEX([1]Produtos!$E:$E,MATCH(L1146,[1]Produtos!$B:$B,0)), "-")</f>
        <v>220</v>
      </c>
      <c r="O1146" s="483" t="str">
        <f>IFERROR(INDEX([1]Produtos!$F:$F,MATCH(L1146,[1]Produtos!$B:$B,0)), "-")</f>
        <v>ml</v>
      </c>
      <c r="P1146" s="477" t="str">
        <f>IFERROR(INDEX([1]Produtos!$G:$G,MATCH(L1146,[1]Produtos!$B:$B,0)), "-")</f>
        <v>MISS RÔSE</v>
      </c>
      <c r="Q1146" s="483" t="str">
        <f>IFERROR(INDEX([1]Produtos!$H:$H,MATCH(L1146,[1]Produtos!$B:$B,0)), "-")</f>
        <v>PERFUMARIA</v>
      </c>
      <c r="R1146" s="483" t="str">
        <f>IFERROR(INDEX([1]Produtos!$I:$I,MATCH(L1146,[1]Produtos!$B:$B,0)), "-")</f>
        <v>BODY SPLASH</v>
      </c>
      <c r="S1146" s="483" t="str">
        <f>IFERROR(INDEX([1]Produtos!$J:$J,MATCH(L1146,[1]Produtos!$B:$B,0)), "-")</f>
        <v>LÍQUIDO</v>
      </c>
      <c r="T1146" s="484"/>
      <c r="U1146" s="483"/>
      <c r="V1146" s="483"/>
      <c r="W1146" s="483"/>
      <c r="X1146" s="483"/>
      <c r="Y1146" s="483"/>
      <c r="Z1146" s="483"/>
      <c r="AA1146" s="483"/>
      <c r="AB1146" s="483"/>
      <c r="AC1146" s="483"/>
      <c r="AD1146" s="483"/>
      <c r="AE1146" s="483"/>
      <c r="AF1146" s="483"/>
      <c r="AG1146" s="483"/>
      <c r="AH1146" s="483"/>
      <c r="AI1146" s="483"/>
      <c r="AJ1146" s="483"/>
      <c r="AK1146" s="483"/>
      <c r="AL1146" s="483"/>
      <c r="AM1146" s="670">
        <v>46202.291666666664</v>
      </c>
      <c r="AN1146" s="670">
        <v>46202.304166666669</v>
      </c>
      <c r="AO1146" s="711">
        <f>IF(OR(Table1[[#This Row],[Início Setup Envase]]="",Table1[[#This Row],[Final Setup Envase]]=""),"",Table1[[#This Row],[Final Setup Envase]]-Table1[[#This Row],[Início Setup Envase]])</f>
        <v>1.2500000004365575E-2</v>
      </c>
      <c r="AP1146" s="670"/>
      <c r="AQ1146" s="670"/>
      <c r="AR1146" s="483"/>
      <c r="AS1146" s="622"/>
      <c r="AT1146" s="622"/>
      <c r="AU1146" s="483"/>
      <c r="AV1146" s="483"/>
      <c r="AW1146" s="483"/>
      <c r="AX1146" s="483"/>
      <c r="AY1146" s="270"/>
      <c r="AZ1146" s="270"/>
      <c r="BA1146" s="270">
        <f>IF(Table1[[#This Row],[Data de Início]]="","",YEAR(Table1[[#This Row],[Data de Início]]))</f>
        <v>2026</v>
      </c>
      <c r="BB1146" s="270">
        <f>IF(Table1[[#This Row],[Data de Início]]="","",MONTH(Table1[[#This Row],[Data de Início]]))</f>
        <v>6</v>
      </c>
      <c r="BC1146" s="270"/>
    </row>
    <row r="1147" spans="2:55" x14ac:dyDescent="0.25">
      <c r="B1147" s="470">
        <v>46202.34097222222</v>
      </c>
      <c r="C1147" s="263">
        <v>46203.3125</v>
      </c>
      <c r="D1147" s="477" cm="1">
        <f t="array" ref="D1147">IFERROR(HorasUteisFabrica2Turnos(B1147,C1147), "")</f>
        <v>8.3166666668257676</v>
      </c>
      <c r="E1147" s="265">
        <f t="shared" si="18"/>
        <v>202.24448897408689</v>
      </c>
      <c r="F1147" s="266" t="s">
        <v>1039</v>
      </c>
      <c r="G1147" s="672" t="s">
        <v>1470</v>
      </c>
      <c r="H1147" s="266"/>
      <c r="I1147" s="267" t="s">
        <v>2010</v>
      </c>
      <c r="J1147" s="268" t="s">
        <v>15</v>
      </c>
      <c r="K1147" s="268">
        <v>1682</v>
      </c>
      <c r="L1147" s="269" t="s">
        <v>1478</v>
      </c>
      <c r="M1147" s="510" t="str">
        <f>IFERROR(INDEX([1]Produtos!$C:$C,MATCH(L1147,[1]Produtos!$B:$B,0)), "-")</f>
        <v>HIDRATANTE BISNAGA ROSA SUBLIME 200g</v>
      </c>
      <c r="N1147" s="510">
        <f>IFERROR(INDEX([1]Produtos!$E:$E,MATCH(L1147,[1]Produtos!$B:$B,0)), "-")</f>
        <v>200</v>
      </c>
      <c r="O1147" s="270" t="str">
        <f>IFERROR(INDEX([1]Produtos!$F:$F,MATCH(L1147,[1]Produtos!$B:$B,0)), "-")</f>
        <v>g</v>
      </c>
      <c r="P1147" s="264" t="str">
        <f>IFERROR(INDEX([1]Produtos!$G:$G,MATCH(L1147,[1]Produtos!$B:$B,0)), "-")</f>
        <v>HABIBI PERFUMES</v>
      </c>
      <c r="Q1147" s="270" t="str">
        <f>IFERROR(INDEX([1]Produtos!$H:$H,MATCH(L1147,[1]Produtos!$B:$B,0)), "-")</f>
        <v>CORPORAL</v>
      </c>
      <c r="R1147" s="270" t="str">
        <f>IFERROR(INDEX([1]Produtos!$I:$I,MATCH(L1147,[1]Produtos!$B:$B,0)), "-")</f>
        <v>CREME HIDRATANTE</v>
      </c>
      <c r="S1147" s="270" t="str">
        <f>IFERROR(INDEX([1]Produtos!$J:$J,MATCH(L1147,[1]Produtos!$B:$B,0)), "-")</f>
        <v>CREMOSO</v>
      </c>
      <c r="T1147" s="475"/>
      <c r="U1147" s="270"/>
      <c r="V1147" s="270"/>
      <c r="W1147" s="270"/>
      <c r="X1147" s="270"/>
      <c r="Y1147" s="270"/>
      <c r="Z1147" s="270"/>
      <c r="AA1147" s="270"/>
      <c r="AB1147" s="270"/>
      <c r="AC1147" s="270"/>
      <c r="AD1147" s="270"/>
      <c r="AE1147" s="270"/>
      <c r="AF1147" s="270"/>
      <c r="AG1147" s="270"/>
      <c r="AH1147" s="270"/>
      <c r="AI1147" s="270"/>
      <c r="AJ1147" s="270"/>
      <c r="AK1147" s="270"/>
      <c r="AL1147" s="270"/>
      <c r="AM1147" s="663">
        <v>46202.340277777781</v>
      </c>
      <c r="AN1147" s="663">
        <v>46202.340277777781</v>
      </c>
      <c r="AO1147" s="708">
        <f>IF(OR(Table1[[#This Row],[Início Setup Envase]]="",Table1[[#This Row],[Final Setup Envase]]=""),"",Table1[[#This Row],[Final Setup Envase]]-Table1[[#This Row],[Início Setup Envase]])</f>
        <v>0</v>
      </c>
      <c r="AP1147" s="663"/>
      <c r="AQ1147" s="663"/>
      <c r="AR1147" s="270"/>
      <c r="AS1147" s="270"/>
      <c r="AT1147" s="270"/>
      <c r="AU1147" s="270"/>
      <c r="AV1147" s="270"/>
      <c r="AW1147" s="270"/>
      <c r="AX1147" s="270"/>
      <c r="AY1147" s="270"/>
      <c r="AZ1147" s="270"/>
      <c r="BA1147" s="270">
        <f>IF(Table1[[#This Row],[Data de Início]]="","",YEAR(Table1[[#This Row],[Data de Início]]))</f>
        <v>2026</v>
      </c>
      <c r="BB1147" s="270">
        <f>IF(Table1[[#This Row],[Data de Início]]="","",MONTH(Table1[[#This Row],[Data de Início]]))</f>
        <v>6</v>
      </c>
      <c r="BC1147" s="483"/>
    </row>
    <row r="1148" spans="2:55" x14ac:dyDescent="0.25">
      <c r="B1148" s="470"/>
      <c r="C1148" s="263"/>
      <c r="D1148" s="477" cm="1">
        <f t="array" ref="D1148">IFERROR(HorasUteisFabrica2Turnos(B1148,C1148), "")</f>
        <v>0</v>
      </c>
      <c r="E1148" s="654" t="str">
        <f t="shared" si="18"/>
        <v/>
      </c>
      <c r="F1148" s="266" t="s">
        <v>378</v>
      </c>
      <c r="G1148" s="673" t="s">
        <v>1811</v>
      </c>
      <c r="H1148" s="479"/>
      <c r="I1148" s="267" t="s">
        <v>1955</v>
      </c>
      <c r="J1148" s="268" t="s">
        <v>15</v>
      </c>
      <c r="K1148" s="268">
        <v>4752</v>
      </c>
      <c r="L1148" s="269" t="s">
        <v>212</v>
      </c>
      <c r="M1148" s="511" t="str">
        <f>IFERROR(INDEX([1]Produtos!$C:$C,MATCH(L1148,[1]Produtos!$B:$B,0)), "-")</f>
        <v>BODY SPLASH FORÇA DO LEAO</v>
      </c>
      <c r="N1148" s="511">
        <f>IFERROR(INDEX([1]Produtos!$E:$E,MATCH(L1148,[1]Produtos!$B:$B,0)), "-")</f>
        <v>220</v>
      </c>
      <c r="O1148" s="483" t="str">
        <f>IFERROR(INDEX([1]Produtos!$F:$F,MATCH(L1148,[1]Produtos!$B:$B,0)), "-")</f>
        <v>ml</v>
      </c>
      <c r="P1148" s="477" t="str">
        <f>IFERROR(INDEX([1]Produtos!$G:$G,MATCH(L1148,[1]Produtos!$B:$B,0)), "-")</f>
        <v>MISS RÔSE</v>
      </c>
      <c r="Q1148" s="483" t="str">
        <f>IFERROR(INDEX([1]Produtos!$H:$H,MATCH(L1148,[1]Produtos!$B:$B,0)), "-")</f>
        <v>PERFUMARIA</v>
      </c>
      <c r="R1148" s="483" t="str">
        <f>IFERROR(INDEX([1]Produtos!$I:$I,MATCH(L1148,[1]Produtos!$B:$B,0)), "-")</f>
        <v>BODY SPLASH</v>
      </c>
      <c r="S1148" s="483" t="str">
        <f>IFERROR(INDEX([1]Produtos!$J:$J,MATCH(L1148,[1]Produtos!$B:$B,0)), "-")</f>
        <v>LÍQUIDO</v>
      </c>
      <c r="T1148" s="484"/>
      <c r="U1148" s="483"/>
      <c r="V1148" s="483"/>
      <c r="W1148" s="483"/>
      <c r="X1148" s="483"/>
      <c r="Y1148" s="483"/>
      <c r="Z1148" s="483"/>
      <c r="AA1148" s="483"/>
      <c r="AB1148" s="483"/>
      <c r="AC1148" s="483"/>
      <c r="AD1148" s="483"/>
      <c r="AE1148" s="483"/>
      <c r="AF1148" s="483"/>
      <c r="AG1148" s="483"/>
      <c r="AH1148" s="483"/>
      <c r="AI1148" s="483"/>
      <c r="AJ1148" s="483"/>
      <c r="AK1148" s="483"/>
      <c r="AL1148" s="483"/>
      <c r="AM1148" s="670">
        <v>46188.347222222219</v>
      </c>
      <c r="AN1148" s="670"/>
      <c r="AO1148" s="711" t="str">
        <f>IF(OR(Table1[[#This Row],[Início Setup Envase]]="",Table1[[#This Row],[Final Setup Envase]]=""),"",Table1[[#This Row],[Final Setup Envase]]-Table1[[#This Row],[Início Setup Envase]])</f>
        <v/>
      </c>
      <c r="AP1148" s="670"/>
      <c r="AQ1148" s="670"/>
      <c r="AR1148" s="483"/>
      <c r="AS1148" s="622"/>
      <c r="AT1148" s="622"/>
      <c r="AU1148" s="483"/>
      <c r="AV1148" s="483"/>
      <c r="AW1148" s="483"/>
      <c r="AX1148" s="483"/>
      <c r="AY1148" s="270"/>
      <c r="AZ1148" s="270"/>
      <c r="BA1148" s="270" t="str">
        <f>IF(Table1[[#This Row],[Data de Início]]="","",YEAR(Table1[[#This Row],[Data de Início]]))</f>
        <v/>
      </c>
      <c r="BB1148" s="270" t="str">
        <f>IF(Table1[[#This Row],[Data de Início]]="","",MONTH(Table1[[#This Row],[Data de Início]]))</f>
        <v/>
      </c>
      <c r="BC1148" s="270"/>
    </row>
    <row r="1149" spans="2:55" x14ac:dyDescent="0.25">
      <c r="B1149" s="470"/>
      <c r="C1149" s="263"/>
      <c r="D1149" s="477" cm="1">
        <f t="array" ref="D1149">IFERROR(HorasUteisFabrica2Turnos(B1149,C1149), "")</f>
        <v>0</v>
      </c>
      <c r="E1149" s="265" t="str">
        <f t="shared" si="18"/>
        <v/>
      </c>
      <c r="F1149" s="266" t="s">
        <v>377</v>
      </c>
      <c r="G1149" s="656" t="s">
        <v>1834</v>
      </c>
      <c r="H1149" s="266"/>
      <c r="I1149" s="267" t="s">
        <v>1956</v>
      </c>
      <c r="J1149" s="268" t="s">
        <v>15</v>
      </c>
      <c r="K1149" s="268">
        <v>3324</v>
      </c>
      <c r="L1149" s="269" t="s">
        <v>1260</v>
      </c>
      <c r="M1149" s="510" t="str">
        <f>IFERROR(INDEX([1]Produtos!$C:$C,MATCH(L1149,[1]Produtos!$B:$B,0)), "-")</f>
        <v>BODY SPLASH FLOR D AURA 200ml</v>
      </c>
      <c r="N1149" s="510">
        <f>IFERROR(INDEX([1]Produtos!$E:$E,MATCH(L1149,[1]Produtos!$B:$B,0)), "-")</f>
        <v>215</v>
      </c>
      <c r="O1149" s="270" t="str">
        <f>IFERROR(INDEX([1]Produtos!$F:$F,MATCH(L1149,[1]Produtos!$B:$B,0)), "-")</f>
        <v>ml</v>
      </c>
      <c r="P1149" s="264" t="str">
        <f>IFERROR(INDEX([1]Produtos!$G:$G,MATCH(L1149,[1]Produtos!$B:$B,0)), "-")</f>
        <v>MISS RÔSE</v>
      </c>
      <c r="Q1149" s="270" t="str">
        <f>IFERROR(INDEX([1]Produtos!$H:$H,MATCH(L1149,[1]Produtos!$B:$B,0)), "-")</f>
        <v>PERFUMARIA</v>
      </c>
      <c r="R1149" s="270" t="str">
        <f>IFERROR(INDEX([1]Produtos!$I:$I,MATCH(L1149,[1]Produtos!$B:$B,0)), "-")</f>
        <v>BODY SPLASH</v>
      </c>
      <c r="S1149" s="270" t="str">
        <f>IFERROR(INDEX([1]Produtos!$J:$J,MATCH(L1149,[1]Produtos!$B:$B,0)), "-")</f>
        <v>LÍQUIDO</v>
      </c>
      <c r="T1149" s="475"/>
      <c r="U1149" s="270"/>
      <c r="V1149" s="270"/>
      <c r="W1149" s="270"/>
      <c r="X1149" s="270"/>
      <c r="Y1149" s="270"/>
      <c r="Z1149" s="270"/>
      <c r="AA1149" s="270"/>
      <c r="AB1149" s="270"/>
      <c r="AC1149" s="270"/>
      <c r="AD1149" s="270"/>
      <c r="AE1149" s="270"/>
      <c r="AF1149" s="270"/>
      <c r="AG1149" s="270"/>
      <c r="AH1149" s="270"/>
      <c r="AI1149" s="270"/>
      <c r="AJ1149" s="270"/>
      <c r="AK1149" s="270"/>
      <c r="AL1149" s="270"/>
      <c r="AM1149" s="663"/>
      <c r="AN1149" s="663"/>
      <c r="AO1149" s="708" t="str">
        <f>IF(OR(Table1[[#This Row],[Início Setup Envase]]="",Table1[[#This Row],[Final Setup Envase]]=""),"",Table1[[#This Row],[Final Setup Envase]]-Table1[[#This Row],[Início Setup Envase]])</f>
        <v/>
      </c>
      <c r="AP1149" s="663"/>
      <c r="AQ1149" s="663"/>
      <c r="AR1149" s="270"/>
      <c r="AS1149" s="270"/>
      <c r="AT1149" s="270"/>
      <c r="AU1149" s="270"/>
      <c r="AV1149" s="270"/>
      <c r="AW1149" s="270"/>
      <c r="AX1149" s="270"/>
      <c r="AY1149" s="270"/>
      <c r="AZ1149" s="270"/>
      <c r="BA1149" s="270" t="str">
        <f>IF(Table1[[#This Row],[Data de Início]]="","",YEAR(Table1[[#This Row],[Data de Início]]))</f>
        <v/>
      </c>
      <c r="BB1149" s="270" t="str">
        <f>IF(Table1[[#This Row],[Data de Início]]="","",MONTH(Table1[[#This Row],[Data de Início]]))</f>
        <v/>
      </c>
      <c r="BC1149" s="483"/>
    </row>
    <row r="1150" spans="2:55" x14ac:dyDescent="0.25">
      <c r="B1150" s="470">
        <v>46206.454861111109</v>
      </c>
      <c r="C1150" s="263">
        <v>46206.645833333336</v>
      </c>
      <c r="D1150" s="477" cm="1">
        <f t="array" ref="D1150">IFERROR(HorasUteisFabrica2Turnos(B1150,C1150), "")</f>
        <v>3.5833333334303461</v>
      </c>
      <c r="E1150" s="478">
        <f t="shared" si="18"/>
        <v>780.55813951375137</v>
      </c>
      <c r="F1150" s="266" t="s">
        <v>377</v>
      </c>
      <c r="G1150" s="673" t="s">
        <v>1987</v>
      </c>
      <c r="H1150" s="479"/>
      <c r="I1150" s="267" t="s">
        <v>2052</v>
      </c>
      <c r="J1150" s="268" t="s">
        <v>15</v>
      </c>
      <c r="K1150" s="268">
        <v>2797</v>
      </c>
      <c r="L1150" s="269" t="s">
        <v>1273</v>
      </c>
      <c r="M1150" s="511" t="str">
        <f>IFERROR(INDEX([1]Produtos!$C:$C,MATCH(L1150,[1]Produtos!$B:$B,0)), "-")</f>
        <v>BODY SPLASH LEAO DO DESERTO BOURBON 200ml</v>
      </c>
      <c r="N1150" s="511">
        <f>IFERROR(INDEX([1]Produtos!$E:$E,MATCH(L1150,[1]Produtos!$B:$B,0)), "-")</f>
        <v>215</v>
      </c>
      <c r="O1150" s="483" t="str">
        <f>IFERROR(INDEX([1]Produtos!$F:$F,MATCH(L1150,[1]Produtos!$B:$B,0)), "-")</f>
        <v>ml</v>
      </c>
      <c r="P1150" s="477" t="str">
        <f>IFERROR(INDEX([1]Produtos!$G:$G,MATCH(L1150,[1]Produtos!$B:$B,0)), "-")</f>
        <v>MISS RÔSE</v>
      </c>
      <c r="Q1150" s="483" t="str">
        <f>IFERROR(INDEX([1]Produtos!$H:$H,MATCH(L1150,[1]Produtos!$B:$B,0)), "-")</f>
        <v>PERFUMARIA</v>
      </c>
      <c r="R1150" s="483" t="str">
        <f>IFERROR(INDEX([1]Produtos!$I:$I,MATCH(L1150,[1]Produtos!$B:$B,0)), "-")</f>
        <v>BODY SPLASH</v>
      </c>
      <c r="S1150" s="483" t="str">
        <f>IFERROR(INDEX([1]Produtos!$J:$J,MATCH(L1150,[1]Produtos!$B:$B,0)), "-")</f>
        <v>LÍQUIDO</v>
      </c>
      <c r="T1150" s="484"/>
      <c r="U1150" s="483"/>
      <c r="V1150" s="483"/>
      <c r="W1150" s="483"/>
      <c r="X1150" s="483"/>
      <c r="Y1150" s="483"/>
      <c r="Z1150" s="483"/>
      <c r="AA1150" s="483"/>
      <c r="AB1150" s="483"/>
      <c r="AC1150" s="483"/>
      <c r="AD1150" s="483"/>
      <c r="AE1150" s="483"/>
      <c r="AF1150" s="483"/>
      <c r="AG1150" s="483"/>
      <c r="AH1150" s="483"/>
      <c r="AI1150" s="483"/>
      <c r="AJ1150" s="483"/>
      <c r="AK1150" s="483"/>
      <c r="AL1150" s="483"/>
      <c r="AM1150" s="670">
        <v>46206.451388888891</v>
      </c>
      <c r="AN1150" s="670">
        <v>46206.454861111109</v>
      </c>
      <c r="AO1150" s="711">
        <f>IF(OR(Table1[[#This Row],[Início Setup Envase]]="",Table1[[#This Row],[Final Setup Envase]]=""),"",Table1[[#This Row],[Final Setup Envase]]-Table1[[#This Row],[Início Setup Envase]])</f>
        <v>3.4722222189884633E-3</v>
      </c>
      <c r="AP1150" s="670"/>
      <c r="AQ1150" s="670"/>
      <c r="AR1150" s="483"/>
      <c r="AS1150" s="483"/>
      <c r="AT1150" s="483"/>
      <c r="AU1150" s="483"/>
      <c r="AV1150" s="483"/>
      <c r="AW1150" s="483"/>
      <c r="AX1150" s="483"/>
      <c r="AY1150" s="270"/>
      <c r="AZ1150" s="270"/>
      <c r="BA1150" s="270">
        <f>IF(Table1[[#This Row],[Data de Início]]="","",YEAR(Table1[[#This Row],[Data de Início]]))</f>
        <v>2026</v>
      </c>
      <c r="BB1150" s="270">
        <f>IF(Table1[[#This Row],[Data de Início]]="","",MONTH(Table1[[#This Row],[Data de Início]]))</f>
        <v>7</v>
      </c>
      <c r="BC1150" s="270"/>
    </row>
    <row r="1151" spans="2:55" x14ac:dyDescent="0.25">
      <c r="B1151" s="470">
        <v>46202.409722222219</v>
      </c>
      <c r="C1151" s="263">
        <v>46203.388888888891</v>
      </c>
      <c r="D1151" s="477" cm="1">
        <f t="array" ref="D1151">IFERROR(HorasUteisFabrica2Turnos(B1151,C1151), "")</f>
        <v>8.5000000002328306</v>
      </c>
      <c r="E1151" s="697">
        <f t="shared" si="18"/>
        <v>609.88235292447064</v>
      </c>
      <c r="F1151" s="266" t="s">
        <v>377</v>
      </c>
      <c r="G1151" s="673" t="s">
        <v>1987</v>
      </c>
      <c r="H1151" s="266"/>
      <c r="I1151" s="267" t="s">
        <v>2053</v>
      </c>
      <c r="J1151" s="268" t="s">
        <v>15</v>
      </c>
      <c r="K1151" s="268">
        <v>5184</v>
      </c>
      <c r="L1151" s="269" t="s">
        <v>1273</v>
      </c>
      <c r="M1151" s="510" t="str">
        <f>IFERROR(INDEX([1]Produtos!$C:$C,MATCH(L1151,[1]Produtos!$B:$B,0)), "-")</f>
        <v>BODY SPLASH LEAO DO DESERTO BOURBON 200ml</v>
      </c>
      <c r="N1151" s="510">
        <f>IFERROR(INDEX([1]Produtos!$E:$E,MATCH(L1151,[1]Produtos!$B:$B,0)), "-")</f>
        <v>215</v>
      </c>
      <c r="O1151" s="270" t="str">
        <f>IFERROR(INDEX([1]Produtos!$F:$F,MATCH(L1151,[1]Produtos!$B:$B,0)), "-")</f>
        <v>ml</v>
      </c>
      <c r="P1151" s="264" t="str">
        <f>IFERROR(INDEX([1]Produtos!$G:$G,MATCH(L1151,[1]Produtos!$B:$B,0)), "-")</f>
        <v>MISS RÔSE</v>
      </c>
      <c r="Q1151" s="270" t="str">
        <f>IFERROR(INDEX([1]Produtos!$H:$H,MATCH(L1151,[1]Produtos!$B:$B,0)), "-")</f>
        <v>PERFUMARIA</v>
      </c>
      <c r="R1151" s="270" t="str">
        <f>IFERROR(INDEX([1]Produtos!$I:$I,MATCH(L1151,[1]Produtos!$B:$B,0)), "-")</f>
        <v>BODY SPLASH</v>
      </c>
      <c r="S1151" s="270" t="str">
        <f>IFERROR(INDEX([1]Produtos!$J:$J,MATCH(L1151,[1]Produtos!$B:$B,0)), "-")</f>
        <v>LÍQUIDO</v>
      </c>
      <c r="T1151" s="475"/>
      <c r="U1151" s="270"/>
      <c r="V1151" s="270"/>
      <c r="W1151" s="270"/>
      <c r="X1151" s="270"/>
      <c r="Y1151" s="270"/>
      <c r="Z1151" s="270"/>
      <c r="AA1151" s="270"/>
      <c r="AB1151" s="270"/>
      <c r="AC1151" s="270"/>
      <c r="AD1151" s="270"/>
      <c r="AE1151" s="270"/>
      <c r="AF1151" s="270"/>
      <c r="AG1151" s="270"/>
      <c r="AH1151" s="270"/>
      <c r="AI1151" s="270"/>
      <c r="AJ1151" s="270"/>
      <c r="AK1151" s="270"/>
      <c r="AL1151" s="270"/>
      <c r="AM1151" s="663">
        <v>46202.40902777778</v>
      </c>
      <c r="AN1151" s="663">
        <v>46202.409722222219</v>
      </c>
      <c r="AO1151" s="708">
        <f>IF(OR(Table1[[#This Row],[Início Setup Envase]]="",Table1[[#This Row],[Final Setup Envase]]=""),"",Table1[[#This Row],[Final Setup Envase]]-Table1[[#This Row],[Início Setup Envase]])</f>
        <v>6.9444443943211809E-4</v>
      </c>
      <c r="AP1151" s="663"/>
      <c r="AQ1151" s="663"/>
      <c r="AR1151" s="270"/>
      <c r="AS1151" s="674"/>
      <c r="AT1151" s="674"/>
      <c r="AU1151" s="270"/>
      <c r="AV1151" s="270"/>
      <c r="AW1151" s="270"/>
      <c r="AX1151" s="270"/>
      <c r="AY1151" s="270"/>
      <c r="AZ1151" s="270"/>
      <c r="BA1151" s="270">
        <f>IF(Table1[[#This Row],[Data de Início]]="","",YEAR(Table1[[#This Row],[Data de Início]]))</f>
        <v>2026</v>
      </c>
      <c r="BB1151" s="270">
        <f>IF(Table1[[#This Row],[Data de Início]]="","",MONTH(Table1[[#This Row],[Data de Início]]))</f>
        <v>6</v>
      </c>
      <c r="BC1151" s="483"/>
    </row>
    <row r="1152" spans="2:55" x14ac:dyDescent="0.25">
      <c r="B1152" s="470">
        <v>46202.48541666667</v>
      </c>
      <c r="C1152" s="263">
        <v>46203.4375</v>
      </c>
      <c r="D1152" s="477" cm="1">
        <f t="array" ref="D1152">IFERROR(HorasUteisFabrica2Turnos(B1152,C1152), "")</f>
        <v>7.8500000000349246</v>
      </c>
      <c r="E1152" s="478">
        <f t="shared" si="18"/>
        <v>425.73248407453906</v>
      </c>
      <c r="F1152" s="266" t="s">
        <v>378</v>
      </c>
      <c r="G1152" s="672" t="s">
        <v>1560</v>
      </c>
      <c r="H1152" s="479"/>
      <c r="I1152" s="267" t="s">
        <v>2054</v>
      </c>
      <c r="J1152" s="268" t="s">
        <v>15</v>
      </c>
      <c r="K1152" s="268">
        <v>3342</v>
      </c>
      <c r="L1152" s="269" t="s">
        <v>211</v>
      </c>
      <c r="M1152" s="511" t="str">
        <f>IFERROR(INDEX([1]Produtos!$C:$C,MATCH(L1152,[1]Produtos!$B:$B,0)), "-")</f>
        <v>BODY SPLASH AURORA IMPERIAL</v>
      </c>
      <c r="N1152" s="511">
        <f>IFERROR(INDEX([1]Produtos!$E:$E,MATCH(L1152,[1]Produtos!$B:$B,0)), "-")</f>
        <v>220</v>
      </c>
      <c r="O1152" s="483" t="str">
        <f>IFERROR(INDEX([1]Produtos!$F:$F,MATCH(L1152,[1]Produtos!$B:$B,0)), "-")</f>
        <v>ml</v>
      </c>
      <c r="P1152" s="477" t="str">
        <f>IFERROR(INDEX([1]Produtos!$G:$G,MATCH(L1152,[1]Produtos!$B:$B,0)), "-")</f>
        <v>MISS RÔSE</v>
      </c>
      <c r="Q1152" s="483" t="str">
        <f>IFERROR(INDEX([1]Produtos!$H:$H,MATCH(L1152,[1]Produtos!$B:$B,0)), "-")</f>
        <v>PERFUMARIA</v>
      </c>
      <c r="R1152" s="483" t="str">
        <f>IFERROR(INDEX([1]Produtos!$I:$I,MATCH(L1152,[1]Produtos!$B:$B,0)), "-")</f>
        <v>BODY SPLASH</v>
      </c>
      <c r="S1152" s="483" t="str">
        <f>IFERROR(INDEX([1]Produtos!$J:$J,MATCH(L1152,[1]Produtos!$B:$B,0)), "-")</f>
        <v>LÍQUIDO</v>
      </c>
      <c r="T1152" s="484"/>
      <c r="U1152" s="483"/>
      <c r="V1152" s="483"/>
      <c r="W1152" s="483"/>
      <c r="X1152" s="483"/>
      <c r="Y1152" s="483"/>
      <c r="Z1152" s="483"/>
      <c r="AA1152" s="483"/>
      <c r="AB1152" s="483"/>
      <c r="AC1152" s="483"/>
      <c r="AD1152" s="483"/>
      <c r="AE1152" s="483"/>
      <c r="AF1152" s="483"/>
      <c r="AG1152" s="483"/>
      <c r="AH1152" s="483"/>
      <c r="AI1152" s="483"/>
      <c r="AJ1152" s="483"/>
      <c r="AK1152" s="483"/>
      <c r="AL1152" s="483"/>
      <c r="AM1152" s="670">
        <v>46202.484722222223</v>
      </c>
      <c r="AN1152" s="670">
        <v>46202.48541666667</v>
      </c>
      <c r="AO1152" s="708">
        <f>IF(OR(Table1[[#This Row],[Início Setup Envase]]="",Table1[[#This Row],[Final Setup Envase]]=""),"",Table1[[#This Row],[Final Setup Envase]]-Table1[[#This Row],[Início Setup Envase]])</f>
        <v>6.944444467080757E-4</v>
      </c>
      <c r="AP1152" s="670"/>
      <c r="AQ1152" s="670"/>
      <c r="AR1152" s="483"/>
      <c r="AS1152" s="483"/>
      <c r="AT1152" s="483"/>
      <c r="AU1152" s="483"/>
      <c r="AV1152" s="483"/>
      <c r="AW1152" s="483"/>
      <c r="AX1152" s="483"/>
      <c r="AY1152" s="270"/>
      <c r="AZ1152" s="270"/>
      <c r="BA1152" s="270">
        <f>IF(Table1[[#This Row],[Data de Início]]="","",YEAR(Table1[[#This Row],[Data de Início]]))</f>
        <v>2026</v>
      </c>
      <c r="BB1152" s="270">
        <f>IF(Table1[[#This Row],[Data de Início]]="","",MONTH(Table1[[#This Row],[Data de Início]]))</f>
        <v>6</v>
      </c>
      <c r="BC1152" s="270"/>
    </row>
    <row r="1153" spans="2:55" x14ac:dyDescent="0.25">
      <c r="B1153" s="470">
        <v>46199.352083333331</v>
      </c>
      <c r="C1153" s="263">
        <v>46199.583333333336</v>
      </c>
      <c r="D1153" s="477" cm="1">
        <f t="array" ref="D1153">IFERROR(HorasUteisFabrica2Turnos(B1153,C1153), "")</f>
        <v>4.5500000001047738</v>
      </c>
      <c r="E1153" s="697">
        <f t="shared" si="18"/>
        <v>959.99999997789394</v>
      </c>
      <c r="F1153" s="266" t="s">
        <v>378</v>
      </c>
      <c r="G1153" s="672" t="s">
        <v>1903</v>
      </c>
      <c r="H1153" s="266"/>
      <c r="I1153" s="267" t="s">
        <v>2055</v>
      </c>
      <c r="J1153" s="268" t="s">
        <v>15</v>
      </c>
      <c r="K1153" s="268">
        <v>4368</v>
      </c>
      <c r="L1153" s="269" t="s">
        <v>1893</v>
      </c>
      <c r="M1153" s="510" t="str">
        <f>IFERROR(INDEX([1]Produtos!$C:$C,MATCH(L1153,[1]Produtos!$B:$B,0)), "-")</f>
        <v>BODY SPLASH ROUGE OUT 200ML</v>
      </c>
      <c r="N1153" s="510">
        <f>IFERROR(INDEX([1]Produtos!$E:$E,MATCH(L1153,[1]Produtos!$B:$B,0)), "-")</f>
        <v>200</v>
      </c>
      <c r="O1153" s="270" t="str">
        <f>IFERROR(INDEX([1]Produtos!$F:$F,MATCH(L1153,[1]Produtos!$B:$B,0)), "-")</f>
        <v>ml</v>
      </c>
      <c r="P1153" s="264" t="str">
        <f>IFERROR(INDEX([1]Produtos!$G:$G,MATCH(L1153,[1]Produtos!$B:$B,0)), "-")</f>
        <v>FEBELLA BEAUTY</v>
      </c>
      <c r="Q1153" s="270" t="str">
        <f>IFERROR(INDEX([1]Produtos!$H:$H,MATCH(L1153,[1]Produtos!$B:$B,0)), "-")</f>
        <v>PERFUMARIA</v>
      </c>
      <c r="R1153" s="270" t="str">
        <f>IFERROR(INDEX([1]Produtos!$I:$I,MATCH(L1153,[1]Produtos!$B:$B,0)), "-")</f>
        <v>BODY SPLASH</v>
      </c>
      <c r="S1153" s="270" t="str">
        <f>IFERROR(INDEX([1]Produtos!$J:$J,MATCH(L1153,[1]Produtos!$B:$B,0)), "-")</f>
        <v>LÍQUIDO</v>
      </c>
      <c r="T1153" s="475"/>
      <c r="U1153" s="270"/>
      <c r="V1153" s="270"/>
      <c r="W1153" s="270"/>
      <c r="X1153" s="270"/>
      <c r="Y1153" s="270"/>
      <c r="Z1153" s="270"/>
      <c r="AA1153" s="270"/>
      <c r="AB1153" s="270"/>
      <c r="AC1153" s="270"/>
      <c r="AD1153" s="270"/>
      <c r="AE1153" s="270"/>
      <c r="AF1153" s="270"/>
      <c r="AG1153" s="270"/>
      <c r="AH1153" s="270"/>
      <c r="AI1153" s="270"/>
      <c r="AJ1153" s="270"/>
      <c r="AK1153" s="270"/>
      <c r="AL1153" s="270"/>
      <c r="AM1153" s="663">
        <v>46199.350694444445</v>
      </c>
      <c r="AN1153" s="663">
        <v>46199.352083333331</v>
      </c>
      <c r="AO1153" s="708">
        <f>IF(OR(Table1[[#This Row],[Início Setup Envase]]="",Table1[[#This Row],[Final Setup Envase]]=""),"",Table1[[#This Row],[Final Setup Envase]]-Table1[[#This Row],[Início Setup Envase]])</f>
        <v>1.3888888861401938E-3</v>
      </c>
      <c r="AP1153" s="663"/>
      <c r="AQ1153" s="663"/>
      <c r="AR1153" s="270"/>
      <c r="AS1153" s="674"/>
      <c r="AT1153" s="674"/>
      <c r="AU1153" s="270"/>
      <c r="AV1153" s="270"/>
      <c r="AW1153" s="270"/>
      <c r="AX1153" s="270"/>
      <c r="AY1153" s="270"/>
      <c r="AZ1153" s="270"/>
      <c r="BA1153" s="270">
        <f>IF(Table1[[#This Row],[Data de Início]]="","",YEAR(Table1[[#This Row],[Data de Início]]))</f>
        <v>2026</v>
      </c>
      <c r="BB1153" s="270">
        <f>IF(Table1[[#This Row],[Data de Início]]="","",MONTH(Table1[[#This Row],[Data de Início]]))</f>
        <v>6</v>
      </c>
      <c r="BC1153" s="483"/>
    </row>
    <row r="1154" spans="2:55" x14ac:dyDescent="0.25">
      <c r="B1154" s="470">
        <v>46199.625694444447</v>
      </c>
      <c r="C1154" s="263">
        <v>46199.650694444441</v>
      </c>
      <c r="D1154" s="477" cm="1">
        <f t="array" ref="D1154">IFERROR(HorasUteisFabrica2Turnos(B1154,C1154), "")</f>
        <v>0.59999999986030161</v>
      </c>
      <c r="E1154" s="478">
        <f t="shared" si="18"/>
        <v>1300.0000003026798</v>
      </c>
      <c r="F1154" s="266" t="s">
        <v>378</v>
      </c>
      <c r="G1154" s="672" t="s">
        <v>1903</v>
      </c>
      <c r="H1154" s="479"/>
      <c r="I1154" s="267" t="s">
        <v>2056</v>
      </c>
      <c r="J1154" s="268" t="s">
        <v>15</v>
      </c>
      <c r="K1154" s="268">
        <v>780</v>
      </c>
      <c r="L1154" s="269" t="s">
        <v>1893</v>
      </c>
      <c r="M1154" s="511" t="str">
        <f>IFERROR(INDEX([1]Produtos!$C:$C,MATCH(L1154,[1]Produtos!$B:$B,0)), "-")</f>
        <v>BODY SPLASH ROUGE OUT 200ML</v>
      </c>
      <c r="N1154" s="511">
        <f>IFERROR(INDEX([1]Produtos!$E:$E,MATCH(L1154,[1]Produtos!$B:$B,0)), "-")</f>
        <v>200</v>
      </c>
      <c r="O1154" s="483" t="str">
        <f>IFERROR(INDEX([1]Produtos!$F:$F,MATCH(L1154,[1]Produtos!$B:$B,0)), "-")</f>
        <v>ml</v>
      </c>
      <c r="P1154" s="477" t="str">
        <f>IFERROR(INDEX([1]Produtos!$G:$G,MATCH(L1154,[1]Produtos!$B:$B,0)), "-")</f>
        <v>FEBELLA BEAUTY</v>
      </c>
      <c r="Q1154" s="483" t="str">
        <f>IFERROR(INDEX([1]Produtos!$H:$H,MATCH(L1154,[1]Produtos!$B:$B,0)), "-")</f>
        <v>PERFUMARIA</v>
      </c>
      <c r="R1154" s="483" t="str">
        <f>IFERROR(INDEX([1]Produtos!$I:$I,MATCH(L1154,[1]Produtos!$B:$B,0)), "-")</f>
        <v>BODY SPLASH</v>
      </c>
      <c r="S1154" s="483" t="str">
        <f>IFERROR(INDEX([1]Produtos!$J:$J,MATCH(L1154,[1]Produtos!$B:$B,0)), "-")</f>
        <v>LÍQUIDO</v>
      </c>
      <c r="T1154" s="484"/>
      <c r="U1154" s="483"/>
      <c r="V1154" s="483"/>
      <c r="W1154" s="483"/>
      <c r="X1154" s="483"/>
      <c r="Y1154" s="483"/>
      <c r="Z1154" s="483"/>
      <c r="AA1154" s="483"/>
      <c r="AB1154" s="483"/>
      <c r="AC1154" s="483"/>
      <c r="AD1154" s="483"/>
      <c r="AE1154" s="483"/>
      <c r="AF1154" s="483"/>
      <c r="AG1154" s="483"/>
      <c r="AH1154" s="483"/>
      <c r="AI1154" s="483"/>
      <c r="AJ1154" s="483"/>
      <c r="AK1154" s="483"/>
      <c r="AL1154" s="483"/>
      <c r="AM1154" s="670">
        <v>46199.625</v>
      </c>
      <c r="AN1154" s="670">
        <v>46199.625694444447</v>
      </c>
      <c r="AO1154" s="711">
        <f>IF(OR(Table1[[#This Row],[Início Setup Envase]]="",Table1[[#This Row],[Final Setup Envase]]=""),"",Table1[[#This Row],[Final Setup Envase]]-Table1[[#This Row],[Início Setup Envase]])</f>
        <v>6.944444467080757E-4</v>
      </c>
      <c r="AP1154" s="670"/>
      <c r="AQ1154" s="670"/>
      <c r="AR1154" s="483"/>
      <c r="AS1154" s="483"/>
      <c r="AT1154" s="483"/>
      <c r="AU1154" s="483"/>
      <c r="AV1154" s="483"/>
      <c r="AW1154" s="483"/>
      <c r="AX1154" s="483"/>
      <c r="AY1154" s="270"/>
      <c r="AZ1154" s="270"/>
      <c r="BA1154" s="270">
        <f>IF(Table1[[#This Row],[Data de Início]]="","",YEAR(Table1[[#This Row],[Data de Início]]))</f>
        <v>2026</v>
      </c>
      <c r="BB1154" s="270">
        <f>IF(Table1[[#This Row],[Data de Início]]="","",MONTH(Table1[[#This Row],[Data de Início]]))</f>
        <v>6</v>
      </c>
      <c r="BC1154" s="270"/>
    </row>
    <row r="1155" spans="2:55" x14ac:dyDescent="0.25">
      <c r="B1155" s="470">
        <v>46203.313888888886</v>
      </c>
      <c r="C1155" s="263">
        <v>46203.541666666664</v>
      </c>
      <c r="D1155" s="477" cm="1">
        <f t="array" ref="D1155">IFERROR(HorasUteisFabrica2Turnos(B1155,C1155), "")</f>
        <v>5.4666666666744277</v>
      </c>
      <c r="E1155" s="697">
        <f t="shared" si="18"/>
        <v>289.02439024349212</v>
      </c>
      <c r="F1155" s="266" t="s">
        <v>1039</v>
      </c>
      <c r="G1155" s="672" t="s">
        <v>1470</v>
      </c>
      <c r="H1155" s="266"/>
      <c r="I1155" s="267" t="s">
        <v>2057</v>
      </c>
      <c r="J1155" s="268" t="s">
        <v>15</v>
      </c>
      <c r="K1155" s="268">
        <v>1580</v>
      </c>
      <c r="L1155" s="269" t="s">
        <v>1480</v>
      </c>
      <c r="M1155" s="510" t="str">
        <f>IFERROR(INDEX([1]Produtos!$C:$C,MATCH(L1155,[1]Produtos!$B:$B,0)), "-")</f>
        <v>HIDRATANTE BISNAGA DELICADA 200g</v>
      </c>
      <c r="N1155" s="510">
        <f>IFERROR(INDEX([1]Produtos!$E:$E,MATCH(L1155,[1]Produtos!$B:$B,0)), "-")</f>
        <v>200</v>
      </c>
      <c r="O1155" s="270" t="str">
        <f>IFERROR(INDEX([1]Produtos!$F:$F,MATCH(L1155,[1]Produtos!$B:$B,0)), "-")</f>
        <v>g</v>
      </c>
      <c r="P1155" s="264" t="str">
        <f>IFERROR(INDEX([1]Produtos!$G:$G,MATCH(L1155,[1]Produtos!$B:$B,0)), "-")</f>
        <v>HABIBI PERFUMES</v>
      </c>
      <c r="Q1155" s="270" t="str">
        <f>IFERROR(INDEX([1]Produtos!$H:$H,MATCH(L1155,[1]Produtos!$B:$B,0)), "-")</f>
        <v>CORPORAL</v>
      </c>
      <c r="R1155" s="270" t="str">
        <f>IFERROR(INDEX([1]Produtos!$I:$I,MATCH(L1155,[1]Produtos!$B:$B,0)), "-")</f>
        <v>CREME HIDRATANTE</v>
      </c>
      <c r="S1155" s="270" t="str">
        <f>IFERROR(INDEX([1]Produtos!$J:$J,MATCH(L1155,[1]Produtos!$B:$B,0)), "-")</f>
        <v>CREMOSO</v>
      </c>
      <c r="T1155" s="475"/>
      <c r="U1155" s="270"/>
      <c r="V1155" s="270"/>
      <c r="W1155" s="270"/>
      <c r="X1155" s="270"/>
      <c r="Y1155" s="270"/>
      <c r="Z1155" s="270"/>
      <c r="AA1155" s="270"/>
      <c r="AB1155" s="270"/>
      <c r="AC1155" s="270"/>
      <c r="AD1155" s="270"/>
      <c r="AE1155" s="270"/>
      <c r="AF1155" s="270"/>
      <c r="AG1155" s="270"/>
      <c r="AH1155" s="270"/>
      <c r="AI1155" s="270"/>
      <c r="AJ1155" s="270"/>
      <c r="AK1155" s="270"/>
      <c r="AL1155" s="270"/>
      <c r="AM1155" s="663">
        <v>46203.3125</v>
      </c>
      <c r="AN1155" s="663">
        <v>46203.313888888886</v>
      </c>
      <c r="AO1155" s="708">
        <f>IF(OR(Table1[[#This Row],[Início Setup Envase]]="",Table1[[#This Row],[Final Setup Envase]]=""),"",Table1[[#This Row],[Final Setup Envase]]-Table1[[#This Row],[Início Setup Envase]])</f>
        <v>1.3888888861401938E-3</v>
      </c>
      <c r="AP1155" s="663"/>
      <c r="AQ1155" s="663"/>
      <c r="AR1155" s="270"/>
      <c r="AS1155" s="674"/>
      <c r="AT1155" s="674"/>
      <c r="AU1155" s="270"/>
      <c r="AV1155" s="270"/>
      <c r="AW1155" s="270"/>
      <c r="AX1155" s="270"/>
      <c r="AY1155" s="270"/>
      <c r="AZ1155" s="270"/>
      <c r="BA1155" s="270">
        <f>IF(Table1[[#This Row],[Data de Início]]="","",YEAR(Table1[[#This Row],[Data de Início]]))</f>
        <v>2026</v>
      </c>
      <c r="BB1155" s="270">
        <f>IF(Table1[[#This Row],[Data de Início]]="","",MONTH(Table1[[#This Row],[Data de Início]]))</f>
        <v>6</v>
      </c>
      <c r="BC1155" s="483"/>
    </row>
    <row r="1156" spans="2:55" x14ac:dyDescent="0.25">
      <c r="B1156" s="470">
        <v>46174.359027777777</v>
      </c>
      <c r="C1156" s="263">
        <v>46174.370138888888</v>
      </c>
      <c r="D1156" s="477" cm="1">
        <f t="array" ref="D1156">IFERROR(HorasUteisFabrica2Turnos(B1156,C1156), "")</f>
        <v>0.26666666666278616</v>
      </c>
      <c r="E1156" s="478">
        <f t="shared" si="18"/>
        <v>450.00000000654836</v>
      </c>
      <c r="F1156" s="266" t="s">
        <v>378</v>
      </c>
      <c r="G1156" s="729" t="s">
        <v>1817</v>
      </c>
      <c r="H1156" s="479"/>
      <c r="I1156" s="267" t="s">
        <v>2058</v>
      </c>
      <c r="J1156" s="268" t="s">
        <v>15</v>
      </c>
      <c r="K1156" s="268">
        <v>120</v>
      </c>
      <c r="L1156" s="269" t="s">
        <v>2059</v>
      </c>
      <c r="M1156" s="511" t="str">
        <f>IFERROR(INDEX([1]Produtos!$C:$C,MATCH(L1156,[1]Produtos!$B:$B,0)), "-")</f>
        <v>BODY SPLASH SORVETE DE MORANGO 120ML</v>
      </c>
      <c r="N1156" s="511">
        <f>IFERROR(INDEX([1]Produtos!$E:$E,MATCH(L1156,[1]Produtos!$B:$B,0)), "-")</f>
        <v>120</v>
      </c>
      <c r="O1156" s="483" t="str">
        <f>IFERROR(INDEX([1]Produtos!$F:$F,MATCH(L1156,[1]Produtos!$B:$B,0)), "-")</f>
        <v>ml</v>
      </c>
      <c r="P1156" s="477" t="str">
        <f>IFERROR(INDEX([1]Produtos!$G:$G,MATCH(L1156,[1]Produtos!$B:$B,0)), "-")</f>
        <v>FEBELLA BEAUTY</v>
      </c>
      <c r="Q1156" s="483" t="str">
        <f>IFERROR(INDEX([1]Produtos!$H:$H,MATCH(L1156,[1]Produtos!$B:$B,0)), "-")</f>
        <v>PERFUMARIA</v>
      </c>
      <c r="R1156" s="483" t="str">
        <f>IFERROR(INDEX([1]Produtos!$I:$I,MATCH(L1156,[1]Produtos!$B:$B,0)), "-")</f>
        <v>BODY SPLASH</v>
      </c>
      <c r="S1156" s="483" t="str">
        <f>IFERROR(INDEX([1]Produtos!$J:$J,MATCH(L1156,[1]Produtos!$B:$B,0)), "-")</f>
        <v>LÍQUIDO</v>
      </c>
      <c r="T1156" s="484"/>
      <c r="U1156" s="483"/>
      <c r="V1156" s="483"/>
      <c r="W1156" s="483"/>
      <c r="X1156" s="483"/>
      <c r="Y1156" s="483"/>
      <c r="Z1156" s="483"/>
      <c r="AA1156" s="483"/>
      <c r="AB1156" s="483"/>
      <c r="AC1156" s="483"/>
      <c r="AD1156" s="483"/>
      <c r="AE1156" s="483"/>
      <c r="AF1156" s="483"/>
      <c r="AG1156" s="483"/>
      <c r="AH1156" s="483"/>
      <c r="AI1156" s="483"/>
      <c r="AJ1156" s="483"/>
      <c r="AK1156" s="483"/>
      <c r="AL1156" s="483"/>
      <c r="AM1156" s="670">
        <v>46174.333333333336</v>
      </c>
      <c r="AN1156" s="670">
        <v>46174.352777777778</v>
      </c>
      <c r="AO1156" s="711">
        <f>IF(OR(Table1[[#This Row],[Início Setup Envase]]="",Table1[[#This Row],[Final Setup Envase]]=""),"",Table1[[#This Row],[Final Setup Envase]]-Table1[[#This Row],[Início Setup Envase]])</f>
        <v>1.9444444442342501E-2</v>
      </c>
      <c r="AP1156" s="670"/>
      <c r="AQ1156" s="670"/>
      <c r="AR1156" s="483"/>
      <c r="AS1156" s="483"/>
      <c r="AT1156" s="483"/>
      <c r="AU1156" s="483"/>
      <c r="AV1156" s="483"/>
      <c r="AW1156" s="483"/>
      <c r="AX1156" s="483"/>
      <c r="AY1156" s="270"/>
      <c r="AZ1156" s="270"/>
      <c r="BA1156" s="270">
        <f>IF(Table1[[#This Row],[Data de Início]]="","",YEAR(Table1[[#This Row],[Data de Início]]))</f>
        <v>2026</v>
      </c>
      <c r="BB1156" s="270">
        <f>IF(Table1[[#This Row],[Data de Início]]="","",MONTH(Table1[[#This Row],[Data de Início]]))</f>
        <v>6</v>
      </c>
      <c r="BC1156" s="270"/>
    </row>
    <row r="1157" spans="2:55" x14ac:dyDescent="0.25">
      <c r="B1157" s="470">
        <v>46205.311111111114</v>
      </c>
      <c r="C1157" s="263">
        <v>46205.375</v>
      </c>
      <c r="D1157" s="477" cm="1">
        <f t="array" ref="D1157">IFERROR(HorasUteisFabrica2Turnos(B1157,C1157), "")</f>
        <v>1.5333333332673647</v>
      </c>
      <c r="E1157" s="697">
        <f t="shared" si="18"/>
        <v>860.86956525442849</v>
      </c>
      <c r="F1157" s="266" t="s">
        <v>378</v>
      </c>
      <c r="G1157" s="729" t="s">
        <v>1817</v>
      </c>
      <c r="H1157" s="266"/>
      <c r="I1157" s="267" t="s">
        <v>2060</v>
      </c>
      <c r="J1157" s="268" t="s">
        <v>15</v>
      </c>
      <c r="K1157" s="268">
        <v>1320</v>
      </c>
      <c r="L1157" s="269" t="s">
        <v>2059</v>
      </c>
      <c r="M1157" s="510" t="str">
        <f>IFERROR(INDEX([1]Produtos!$C:$C,MATCH(L1157,[1]Produtos!$B:$B,0)), "-")</f>
        <v>BODY SPLASH SORVETE DE MORANGO 120ML</v>
      </c>
      <c r="N1157" s="510">
        <f>IFERROR(INDEX([1]Produtos!$E:$E,MATCH(L1157,[1]Produtos!$B:$B,0)), "-")</f>
        <v>120</v>
      </c>
      <c r="O1157" s="270" t="str">
        <f>IFERROR(INDEX([1]Produtos!$F:$F,MATCH(L1157,[1]Produtos!$B:$B,0)), "-")</f>
        <v>ml</v>
      </c>
      <c r="P1157" s="264" t="str">
        <f>IFERROR(INDEX([1]Produtos!$G:$G,MATCH(L1157,[1]Produtos!$B:$B,0)), "-")</f>
        <v>FEBELLA BEAUTY</v>
      </c>
      <c r="Q1157" s="270" t="str">
        <f>IFERROR(INDEX([1]Produtos!$H:$H,MATCH(L1157,[1]Produtos!$B:$B,0)), "-")</f>
        <v>PERFUMARIA</v>
      </c>
      <c r="R1157" s="270" t="str">
        <f>IFERROR(INDEX([1]Produtos!$I:$I,MATCH(L1157,[1]Produtos!$B:$B,0)), "-")</f>
        <v>BODY SPLASH</v>
      </c>
      <c r="S1157" s="270" t="str">
        <f>IFERROR(INDEX([1]Produtos!$J:$J,MATCH(L1157,[1]Produtos!$B:$B,0)), "-")</f>
        <v>LÍQUIDO</v>
      </c>
      <c r="T1157" s="475"/>
      <c r="U1157" s="270"/>
      <c r="V1157" s="270"/>
      <c r="W1157" s="270"/>
      <c r="X1157" s="270"/>
      <c r="Y1157" s="270"/>
      <c r="Z1157" s="270"/>
      <c r="AA1157" s="270"/>
      <c r="AB1157" s="270"/>
      <c r="AC1157" s="270"/>
      <c r="AD1157" s="270"/>
      <c r="AE1157" s="270"/>
      <c r="AF1157" s="270"/>
      <c r="AG1157" s="270"/>
      <c r="AH1157" s="270"/>
      <c r="AI1157" s="270"/>
      <c r="AJ1157" s="270"/>
      <c r="AK1157" s="270"/>
      <c r="AL1157" s="270"/>
      <c r="AM1157" s="663">
        <v>46205.293749999997</v>
      </c>
      <c r="AN1157" s="663">
        <v>46205.298611111109</v>
      </c>
      <c r="AO1157" s="708">
        <f>IF(OR(Table1[[#This Row],[Início Setup Envase]]="",Table1[[#This Row],[Final Setup Envase]]=""),"",Table1[[#This Row],[Final Setup Envase]]-Table1[[#This Row],[Início Setup Envase]])</f>
        <v>4.8611111124046147E-3</v>
      </c>
      <c r="AP1157" s="663"/>
      <c r="AQ1157" s="663"/>
      <c r="AR1157" s="270"/>
      <c r="AS1157" s="674"/>
      <c r="AT1157" s="674"/>
      <c r="AU1157" s="270"/>
      <c r="AV1157" s="270"/>
      <c r="AW1157" s="270"/>
      <c r="AX1157" s="270"/>
      <c r="AY1157" s="270"/>
      <c r="AZ1157" s="270"/>
      <c r="BA1157" s="270">
        <f>IF(Table1[[#This Row],[Data de Início]]="","",YEAR(Table1[[#This Row],[Data de Início]]))</f>
        <v>2026</v>
      </c>
      <c r="BB1157" s="270">
        <f>IF(Table1[[#This Row],[Data de Início]]="","",MONTH(Table1[[#This Row],[Data de Início]]))</f>
        <v>7</v>
      </c>
      <c r="BC1157" s="483"/>
    </row>
    <row r="1158" spans="2:55" x14ac:dyDescent="0.25">
      <c r="B1158" s="470">
        <v>46204.378472222219</v>
      </c>
      <c r="C1158" s="263">
        <v>46205.404861111114</v>
      </c>
      <c r="D1158" s="477" cm="1">
        <f t="array" ref="D1158">IFERROR(HorasUteisFabrica2Turnos(B1158,C1158), "")</f>
        <v>9.6333333335933276</v>
      </c>
      <c r="E1158" s="478">
        <f t="shared" si="18"/>
        <v>503.25259514212706</v>
      </c>
      <c r="F1158" s="266" t="s">
        <v>377</v>
      </c>
      <c r="G1158" s="673" t="s">
        <v>1987</v>
      </c>
      <c r="H1158" s="479"/>
      <c r="I1158" s="267" t="s">
        <v>2061</v>
      </c>
      <c r="J1158" s="268" t="s">
        <v>15</v>
      </c>
      <c r="K1158" s="268">
        <v>4848</v>
      </c>
      <c r="L1158" s="269" t="s">
        <v>1273</v>
      </c>
      <c r="M1158" s="511" t="str">
        <f>IFERROR(INDEX([1]Produtos!$C:$C,MATCH(L1158,[1]Produtos!$B:$B,0)), "-")</f>
        <v>BODY SPLASH LEAO DO DESERTO BOURBON 200ml</v>
      </c>
      <c r="N1158" s="511">
        <f>IFERROR(INDEX([1]Produtos!$E:$E,MATCH(L1158,[1]Produtos!$B:$B,0)), "-")</f>
        <v>215</v>
      </c>
      <c r="O1158" s="483" t="str">
        <f>IFERROR(INDEX([1]Produtos!$F:$F,MATCH(L1158,[1]Produtos!$B:$B,0)), "-")</f>
        <v>ml</v>
      </c>
      <c r="P1158" s="477" t="str">
        <f>IFERROR(INDEX([1]Produtos!$G:$G,MATCH(L1158,[1]Produtos!$B:$B,0)), "-")</f>
        <v>MISS RÔSE</v>
      </c>
      <c r="Q1158" s="483" t="str">
        <f>IFERROR(INDEX([1]Produtos!$H:$H,MATCH(L1158,[1]Produtos!$B:$B,0)), "-")</f>
        <v>PERFUMARIA</v>
      </c>
      <c r="R1158" s="483" t="str">
        <f>IFERROR(INDEX([1]Produtos!$I:$I,MATCH(L1158,[1]Produtos!$B:$B,0)), "-")</f>
        <v>BODY SPLASH</v>
      </c>
      <c r="S1158" s="483" t="str">
        <f>IFERROR(INDEX([1]Produtos!$J:$J,MATCH(L1158,[1]Produtos!$B:$B,0)), "-")</f>
        <v>LÍQUIDO</v>
      </c>
      <c r="T1158" s="484"/>
      <c r="U1158" s="483"/>
      <c r="V1158" s="483"/>
      <c r="W1158" s="483"/>
      <c r="X1158" s="483"/>
      <c r="Y1158" s="483"/>
      <c r="Z1158" s="483"/>
      <c r="AA1158" s="483"/>
      <c r="AB1158" s="483"/>
      <c r="AC1158" s="483"/>
      <c r="AD1158" s="483"/>
      <c r="AE1158" s="483"/>
      <c r="AF1158" s="483"/>
      <c r="AG1158" s="483"/>
      <c r="AH1158" s="483"/>
      <c r="AI1158" s="483"/>
      <c r="AJ1158" s="483"/>
      <c r="AK1158" s="483"/>
      <c r="AL1158" s="483"/>
      <c r="AM1158" s="670">
        <v>46204.375</v>
      </c>
      <c r="AN1158" s="670">
        <v>46204.378472222219</v>
      </c>
      <c r="AO1158" s="711">
        <f>IF(OR(Table1[[#This Row],[Início Setup Envase]]="",Table1[[#This Row],[Final Setup Envase]]=""),"",Table1[[#This Row],[Final Setup Envase]]-Table1[[#This Row],[Início Setup Envase]])</f>
        <v>3.4722222189884633E-3</v>
      </c>
      <c r="AP1158" s="670">
        <v>46204.395833333336</v>
      </c>
      <c r="AQ1158" s="670"/>
      <c r="AR1158" s="483" t="s">
        <v>2005</v>
      </c>
      <c r="AS1158" s="622">
        <v>46204.395833333336</v>
      </c>
      <c r="AT1158" s="622">
        <v>46204.48333333333</v>
      </c>
      <c r="AU1158" s="483" t="s">
        <v>2062</v>
      </c>
      <c r="AV1158" s="622">
        <v>46204.541666666664</v>
      </c>
      <c r="AW1158" s="622">
        <v>46204.59652777778</v>
      </c>
      <c r="AX1158" s="483" t="s">
        <v>2005</v>
      </c>
      <c r="AY1158" s="674">
        <v>46204.626388888886</v>
      </c>
      <c r="AZ1158" s="270"/>
      <c r="BA1158" s="270">
        <f>IF(Table1[[#This Row],[Data de Início]]="","",YEAR(Table1[[#This Row],[Data de Início]]))</f>
        <v>2026</v>
      </c>
      <c r="BB1158" s="270">
        <f>IF(Table1[[#This Row],[Data de Início]]="","",MONTH(Table1[[#This Row],[Data de Início]]))</f>
        <v>7</v>
      </c>
      <c r="BC1158" s="270"/>
    </row>
    <row r="1159" spans="2:55" x14ac:dyDescent="0.25">
      <c r="B1159" s="470">
        <v>46204.361111111109</v>
      </c>
      <c r="C1159" s="263">
        <v>46205.30972222222</v>
      </c>
      <c r="D1159" s="477" cm="1">
        <f t="array" ref="D1159">IFERROR(HorasUteisFabrica2Turnos(B1159,C1159), "")</f>
        <v>7.7666666667792015</v>
      </c>
      <c r="E1159" s="697">
        <f t="shared" si="18"/>
        <v>872.96137337790924</v>
      </c>
      <c r="F1159" s="266" t="s">
        <v>378</v>
      </c>
      <c r="G1159" s="729" t="s">
        <v>1817</v>
      </c>
      <c r="H1159" s="266"/>
      <c r="I1159" s="267" t="s">
        <v>2063</v>
      </c>
      <c r="J1159" s="268" t="s">
        <v>15</v>
      </c>
      <c r="K1159" s="268">
        <v>6780</v>
      </c>
      <c r="L1159" s="269" t="s">
        <v>2059</v>
      </c>
      <c r="M1159" s="510" t="str">
        <f>IFERROR(INDEX([1]Produtos!$C:$C,MATCH(L1159,[1]Produtos!$B:$B,0)), "-")</f>
        <v>BODY SPLASH SORVETE DE MORANGO 120ML</v>
      </c>
      <c r="N1159" s="510">
        <f>IFERROR(INDEX([1]Produtos!$E:$E,MATCH(L1159,[1]Produtos!$B:$B,0)), "-")</f>
        <v>120</v>
      </c>
      <c r="O1159" s="270" t="str">
        <f>IFERROR(INDEX([1]Produtos!$F:$F,MATCH(L1159,[1]Produtos!$B:$B,0)), "-")</f>
        <v>ml</v>
      </c>
      <c r="P1159" s="264" t="str">
        <f>IFERROR(INDEX([1]Produtos!$G:$G,MATCH(L1159,[1]Produtos!$B:$B,0)), "-")</f>
        <v>FEBELLA BEAUTY</v>
      </c>
      <c r="Q1159" s="270" t="str">
        <f>IFERROR(INDEX([1]Produtos!$H:$H,MATCH(L1159,[1]Produtos!$B:$B,0)), "-")</f>
        <v>PERFUMARIA</v>
      </c>
      <c r="R1159" s="270" t="str">
        <f>IFERROR(INDEX([1]Produtos!$I:$I,MATCH(L1159,[1]Produtos!$B:$B,0)), "-")</f>
        <v>BODY SPLASH</v>
      </c>
      <c r="S1159" s="270" t="str">
        <f>IFERROR(INDEX([1]Produtos!$J:$J,MATCH(L1159,[1]Produtos!$B:$B,0)), "-")</f>
        <v>LÍQUIDO</v>
      </c>
      <c r="T1159" s="475"/>
      <c r="U1159" s="270"/>
      <c r="V1159" s="270"/>
      <c r="W1159" s="270"/>
      <c r="X1159" s="270"/>
      <c r="Y1159" s="270"/>
      <c r="Z1159" s="270"/>
      <c r="AA1159" s="270"/>
      <c r="AB1159" s="270"/>
      <c r="AC1159" s="270"/>
      <c r="AD1159" s="270"/>
      <c r="AE1159" s="270"/>
      <c r="AF1159" s="270"/>
      <c r="AG1159" s="270"/>
      <c r="AH1159" s="270"/>
      <c r="AI1159" s="270"/>
      <c r="AJ1159" s="270"/>
      <c r="AK1159" s="270"/>
      <c r="AL1159" s="270"/>
      <c r="AM1159" s="663">
        <v>46204.370138888888</v>
      </c>
      <c r="AN1159" s="663">
        <v>46204.370138888888</v>
      </c>
      <c r="AO1159" s="708">
        <f>IF(OR(Table1[[#This Row],[Início Setup Envase]]="",Table1[[#This Row],[Final Setup Envase]]=""),"",Table1[[#This Row],[Final Setup Envase]]-Table1[[#This Row],[Início Setup Envase]])</f>
        <v>0</v>
      </c>
      <c r="AP1159" s="663"/>
      <c r="AQ1159" s="663"/>
      <c r="AR1159" s="270"/>
      <c r="AS1159" s="674"/>
      <c r="AT1159" s="674"/>
      <c r="AU1159" s="270"/>
      <c r="AV1159" s="270"/>
      <c r="AW1159" s="270"/>
      <c r="AX1159" s="270"/>
      <c r="AY1159" s="270"/>
      <c r="AZ1159" s="270"/>
      <c r="BA1159" s="270">
        <f>IF(Table1[[#This Row],[Data de Início]]="","",YEAR(Table1[[#This Row],[Data de Início]]))</f>
        <v>2026</v>
      </c>
      <c r="BB1159" s="270">
        <f>IF(Table1[[#This Row],[Data de Início]]="","",MONTH(Table1[[#This Row],[Data de Início]]))</f>
        <v>7</v>
      </c>
      <c r="BC1159" s="483"/>
    </row>
    <row r="1160" spans="2:55" x14ac:dyDescent="0.25">
      <c r="B1160" s="470">
        <v>46205.408333333333</v>
      </c>
      <c r="C1160" s="263">
        <v>46205.65</v>
      </c>
      <c r="D1160" s="477" cm="1">
        <f t="array" ref="D1160">IFERROR(HorasUteisFabrica2Turnos(B1160,C1160), "")</f>
        <v>4.8000000000465661</v>
      </c>
      <c r="E1160" s="478">
        <f t="shared" si="18"/>
        <v>969.9999999905898</v>
      </c>
      <c r="F1160" s="266" t="s">
        <v>377</v>
      </c>
      <c r="G1160" s="673" t="s">
        <v>1987</v>
      </c>
      <c r="H1160" s="479"/>
      <c r="I1160" s="267" t="s">
        <v>2064</v>
      </c>
      <c r="J1160" s="268" t="s">
        <v>15</v>
      </c>
      <c r="K1160" s="268">
        <v>4656</v>
      </c>
      <c r="L1160" s="269" t="s">
        <v>1273</v>
      </c>
      <c r="M1160" s="511" t="str">
        <f>IFERROR(INDEX([1]Produtos!$C:$C,MATCH(L1160,[1]Produtos!$B:$B,0)), "-")</f>
        <v>BODY SPLASH LEAO DO DESERTO BOURBON 200ml</v>
      </c>
      <c r="N1160" s="511">
        <f>IFERROR(INDEX([1]Produtos!$E:$E,MATCH(L1160,[1]Produtos!$B:$B,0)), "-")</f>
        <v>215</v>
      </c>
      <c r="O1160" s="483" t="str">
        <f>IFERROR(INDEX([1]Produtos!$F:$F,MATCH(L1160,[1]Produtos!$B:$B,0)), "-")</f>
        <v>ml</v>
      </c>
      <c r="P1160" s="477" t="str">
        <f>IFERROR(INDEX([1]Produtos!$G:$G,MATCH(L1160,[1]Produtos!$B:$B,0)), "-")</f>
        <v>MISS RÔSE</v>
      </c>
      <c r="Q1160" s="483" t="str">
        <f>IFERROR(INDEX([1]Produtos!$H:$H,MATCH(L1160,[1]Produtos!$B:$B,0)), "-")</f>
        <v>PERFUMARIA</v>
      </c>
      <c r="R1160" s="483" t="str">
        <f>IFERROR(INDEX([1]Produtos!$I:$I,MATCH(L1160,[1]Produtos!$B:$B,0)), "-")</f>
        <v>BODY SPLASH</v>
      </c>
      <c r="S1160" s="483" t="str">
        <f>IFERROR(INDEX([1]Produtos!$J:$J,MATCH(L1160,[1]Produtos!$B:$B,0)), "-")</f>
        <v>LÍQUIDO</v>
      </c>
      <c r="T1160" s="484"/>
      <c r="U1160" s="483"/>
      <c r="V1160" s="483"/>
      <c r="W1160" s="483"/>
      <c r="X1160" s="483"/>
      <c r="Y1160" s="483"/>
      <c r="Z1160" s="483"/>
      <c r="AA1160" s="483"/>
      <c r="AB1160" s="483"/>
      <c r="AC1160" s="483"/>
      <c r="AD1160" s="483"/>
      <c r="AE1160" s="483"/>
      <c r="AF1160" s="483"/>
      <c r="AG1160" s="483"/>
      <c r="AH1160" s="483"/>
      <c r="AI1160" s="483"/>
      <c r="AJ1160" s="483"/>
      <c r="AK1160" s="483"/>
      <c r="AL1160" s="483"/>
      <c r="AM1160" s="670">
        <v>46205.404861111114</v>
      </c>
      <c r="AN1160" s="670">
        <v>46205.404861111114</v>
      </c>
      <c r="AO1160" s="711">
        <f>IF(OR(Table1[[#This Row],[Início Setup Envase]]="",Table1[[#This Row],[Final Setup Envase]]=""),"",Table1[[#This Row],[Final Setup Envase]]-Table1[[#This Row],[Início Setup Envase]])</f>
        <v>0</v>
      </c>
      <c r="AP1160" s="670"/>
      <c r="AQ1160" s="670"/>
      <c r="AR1160" s="483"/>
      <c r="AS1160" s="483"/>
      <c r="AT1160" s="483"/>
      <c r="AU1160" s="483"/>
      <c r="AV1160" s="483"/>
      <c r="AW1160" s="483"/>
      <c r="AX1160" s="483"/>
      <c r="AY1160" s="270"/>
      <c r="AZ1160" s="270"/>
      <c r="BA1160" s="270">
        <f>IF(Table1[[#This Row],[Data de Início]]="","",YEAR(Table1[[#This Row],[Data de Início]]))</f>
        <v>2026</v>
      </c>
      <c r="BB1160" s="270">
        <f>IF(Table1[[#This Row],[Data de Início]]="","",MONTH(Table1[[#This Row],[Data de Início]]))</f>
        <v>7</v>
      </c>
      <c r="BC1160" s="270"/>
    </row>
    <row r="1161" spans="2:55" x14ac:dyDescent="0.25">
      <c r="B1161" s="470">
        <v>46205.503472222219</v>
      </c>
      <c r="C1161" s="263">
        <v>46206.365277777775</v>
      </c>
      <c r="D1161" s="477" cm="1">
        <f t="array" ref="D1161">IFERROR(HorasUteisFabrica2Turnos(B1161,C1161), "")</f>
        <v>6.6833333334652707</v>
      </c>
      <c r="E1161" s="697">
        <f t="shared" si="18"/>
        <v>754.11471320207045</v>
      </c>
      <c r="F1161" s="266" t="s">
        <v>378</v>
      </c>
      <c r="G1161" s="673" t="s">
        <v>1987</v>
      </c>
      <c r="H1161" s="266"/>
      <c r="I1161" s="267" t="s">
        <v>2065</v>
      </c>
      <c r="J1161" s="268" t="s">
        <v>15</v>
      </c>
      <c r="K1161" s="268">
        <v>5040</v>
      </c>
      <c r="L1161" s="269" t="s">
        <v>1284</v>
      </c>
      <c r="M1161" s="510" t="str">
        <f>IFERROR(INDEX([1]Produtos!$C:$C,MATCH(L1161,[1]Produtos!$B:$B,0)), "-")</f>
        <v>BODY SPLASH AMBAR REAL 200ml</v>
      </c>
      <c r="N1161" s="510">
        <f>IFERROR(INDEX([1]Produtos!$E:$E,MATCH(L1161,[1]Produtos!$B:$B,0)), "-")</f>
        <v>215</v>
      </c>
      <c r="O1161" s="270" t="str">
        <f>IFERROR(INDEX([1]Produtos!$F:$F,MATCH(L1161,[1]Produtos!$B:$B,0)), "-")</f>
        <v>ml</v>
      </c>
      <c r="P1161" s="264" t="str">
        <f>IFERROR(INDEX([1]Produtos!$G:$G,MATCH(L1161,[1]Produtos!$B:$B,0)), "-")</f>
        <v>MISS RÔSE</v>
      </c>
      <c r="Q1161" s="270" t="str">
        <f>IFERROR(INDEX([1]Produtos!$H:$H,MATCH(L1161,[1]Produtos!$B:$B,0)), "-")</f>
        <v>PERFUMARIA</v>
      </c>
      <c r="R1161" s="270" t="str">
        <f>IFERROR(INDEX([1]Produtos!$I:$I,MATCH(L1161,[1]Produtos!$B:$B,0)), "-")</f>
        <v>BODY SPLASH</v>
      </c>
      <c r="S1161" s="270" t="str">
        <f>IFERROR(INDEX([1]Produtos!$J:$J,MATCH(L1161,[1]Produtos!$B:$B,0)), "-")</f>
        <v>LÍQUIDO</v>
      </c>
      <c r="T1161" s="475"/>
      <c r="U1161" s="270"/>
      <c r="V1161" s="270"/>
      <c r="W1161" s="270"/>
      <c r="X1161" s="270"/>
      <c r="Y1161" s="270"/>
      <c r="Z1161" s="270"/>
      <c r="AA1161" s="270"/>
      <c r="AB1161" s="270"/>
      <c r="AC1161" s="270"/>
      <c r="AD1161" s="270"/>
      <c r="AE1161" s="270"/>
      <c r="AF1161" s="270"/>
      <c r="AG1161" s="270"/>
      <c r="AH1161" s="270"/>
      <c r="AI1161" s="270"/>
      <c r="AJ1161" s="270"/>
      <c r="AK1161" s="270"/>
      <c r="AL1161" s="270"/>
      <c r="AM1161" s="663">
        <v>46205.5</v>
      </c>
      <c r="AN1161" s="663">
        <v>46205.503472222219</v>
      </c>
      <c r="AO1161" s="708">
        <f>IF(OR(Table1[[#This Row],[Início Setup Envase]]="",Table1[[#This Row],[Final Setup Envase]]=""),"",Table1[[#This Row],[Final Setup Envase]]-Table1[[#This Row],[Início Setup Envase]])</f>
        <v>3.4722222189884633E-3</v>
      </c>
      <c r="AP1161" s="663"/>
      <c r="AQ1161" s="663"/>
      <c r="AR1161" s="270"/>
      <c r="AS1161" s="674"/>
      <c r="AT1161" s="674"/>
      <c r="AU1161" s="270"/>
      <c r="AV1161" s="270"/>
      <c r="AW1161" s="270"/>
      <c r="AX1161" s="270"/>
      <c r="AY1161" s="270"/>
      <c r="AZ1161" s="270"/>
      <c r="BA1161" s="270">
        <f>IF(Table1[[#This Row],[Data de Início]]="","",YEAR(Table1[[#This Row],[Data de Início]]))</f>
        <v>2026</v>
      </c>
      <c r="BB1161" s="270">
        <f>IF(Table1[[#This Row],[Data de Início]]="","",MONTH(Table1[[#This Row],[Data de Início]]))</f>
        <v>7</v>
      </c>
      <c r="BC1161" s="483"/>
    </row>
    <row r="1162" spans="2:55" x14ac:dyDescent="0.25">
      <c r="B1162" s="470">
        <v>46203.583333333336</v>
      </c>
      <c r="C1162" s="263">
        <v>46205.368055555555</v>
      </c>
      <c r="D1162" s="477" cm="1">
        <f t="array" ref="D1162">IFERROR(HorasUteisFabrica2Turnos(B1162,C1162), "")</f>
        <v>13.833333333488554</v>
      </c>
      <c r="E1162" s="478">
        <f t="shared" si="18"/>
        <v>202.62650602182276</v>
      </c>
      <c r="F1162" s="266" t="s">
        <v>1039</v>
      </c>
      <c r="G1162" s="672" t="s">
        <v>1470</v>
      </c>
      <c r="H1162" s="479"/>
      <c r="I1162" s="267" t="s">
        <v>2066</v>
      </c>
      <c r="J1162" s="268" t="s">
        <v>15</v>
      </c>
      <c r="K1162" s="268">
        <v>2803</v>
      </c>
      <c r="L1162" s="269" t="s">
        <v>1480</v>
      </c>
      <c r="M1162" s="511" t="str">
        <f>IFERROR(INDEX([1]Produtos!$C:$C,MATCH(L1162,[1]Produtos!$B:$B,0)), "-")</f>
        <v>HIDRATANTE BISNAGA DELICADA 200g</v>
      </c>
      <c r="N1162" s="511">
        <f>IFERROR(INDEX([1]Produtos!$E:$E,MATCH(L1162,[1]Produtos!$B:$B,0)), "-")</f>
        <v>200</v>
      </c>
      <c r="O1162" s="483" t="str">
        <f>IFERROR(INDEX([1]Produtos!$F:$F,MATCH(L1162,[1]Produtos!$B:$B,0)), "-")</f>
        <v>g</v>
      </c>
      <c r="P1162" s="477" t="str">
        <f>IFERROR(INDEX([1]Produtos!$G:$G,MATCH(L1162,[1]Produtos!$B:$B,0)), "-")</f>
        <v>HABIBI PERFUMES</v>
      </c>
      <c r="Q1162" s="483" t="str">
        <f>IFERROR(INDEX([1]Produtos!$H:$H,MATCH(L1162,[1]Produtos!$B:$B,0)), "-")</f>
        <v>CORPORAL</v>
      </c>
      <c r="R1162" s="483" t="str">
        <f>IFERROR(INDEX([1]Produtos!$I:$I,MATCH(L1162,[1]Produtos!$B:$B,0)), "-")</f>
        <v>CREME HIDRATANTE</v>
      </c>
      <c r="S1162" s="483" t="str">
        <f>IFERROR(INDEX([1]Produtos!$J:$J,MATCH(L1162,[1]Produtos!$B:$B,0)), "-")</f>
        <v>CREMOSO</v>
      </c>
      <c r="T1162" s="484"/>
      <c r="U1162" s="483"/>
      <c r="V1162" s="483"/>
      <c r="W1162" s="483"/>
      <c r="X1162" s="483"/>
      <c r="Y1162" s="483"/>
      <c r="Z1162" s="483"/>
      <c r="AA1162" s="483"/>
      <c r="AB1162" s="483"/>
      <c r="AC1162" s="483"/>
      <c r="AD1162" s="483"/>
      <c r="AE1162" s="483"/>
      <c r="AF1162" s="483"/>
      <c r="AG1162" s="483"/>
      <c r="AH1162" s="483"/>
      <c r="AI1162" s="483"/>
      <c r="AJ1162" s="483"/>
      <c r="AK1162" s="483"/>
      <c r="AL1162" s="483"/>
      <c r="AM1162" s="670">
        <v>46203.583333333336</v>
      </c>
      <c r="AN1162" s="670">
        <v>46203.586805555555</v>
      </c>
      <c r="AO1162" s="711">
        <f>IF(OR(Table1[[#This Row],[Início Setup Envase]]="",Table1[[#This Row],[Final Setup Envase]]=""),"",Table1[[#This Row],[Final Setup Envase]]-Table1[[#This Row],[Início Setup Envase]])</f>
        <v>3.4722222189884633E-3</v>
      </c>
      <c r="AP1162" s="670"/>
      <c r="AQ1162" s="670"/>
      <c r="AR1162" s="483"/>
      <c r="AS1162" s="483"/>
      <c r="AT1162" s="483"/>
      <c r="AU1162" s="483"/>
      <c r="AV1162" s="483"/>
      <c r="AW1162" s="483"/>
      <c r="AX1162" s="483"/>
      <c r="AY1162" s="270"/>
      <c r="AZ1162" s="270"/>
      <c r="BA1162" s="270">
        <f>IF(Table1[[#This Row],[Data de Início]]="","",YEAR(Table1[[#This Row],[Data de Início]]))</f>
        <v>2026</v>
      </c>
      <c r="BB1162" s="270">
        <f>IF(Table1[[#This Row],[Data de Início]]="","",MONTH(Table1[[#This Row],[Data de Início]]))</f>
        <v>6</v>
      </c>
      <c r="BC1162" s="270"/>
    </row>
    <row r="1163" spans="2:55" x14ac:dyDescent="0.25">
      <c r="B1163" s="470">
        <v>46205.651388888888</v>
      </c>
      <c r="C1163" s="263">
        <v>46206.455555555556</v>
      </c>
      <c r="D1163" s="477" cm="1">
        <f t="array" ref="D1163">IFERROR(HorasUteisFabrica2Turnos(B1163,C1163), "")</f>
        <v>5.3000000001629815</v>
      </c>
      <c r="E1163" s="697">
        <f t="shared" si="18"/>
        <v>878.49056601072118</v>
      </c>
      <c r="F1163" s="266" t="s">
        <v>377</v>
      </c>
      <c r="G1163" s="673" t="s">
        <v>1987</v>
      </c>
      <c r="H1163" s="266"/>
      <c r="I1163" s="267" t="s">
        <v>2067</v>
      </c>
      <c r="J1163" s="268" t="s">
        <v>15</v>
      </c>
      <c r="K1163" s="268">
        <v>4656</v>
      </c>
      <c r="L1163" s="269" t="s">
        <v>1273</v>
      </c>
      <c r="M1163" s="510" t="str">
        <f>IFERROR(INDEX([1]Produtos!$C:$C,MATCH(L1163,[1]Produtos!$B:$B,0)), "-")</f>
        <v>BODY SPLASH LEAO DO DESERTO BOURBON 200ml</v>
      </c>
      <c r="N1163" s="510">
        <f>IFERROR(INDEX([1]Produtos!$E:$E,MATCH(L1163,[1]Produtos!$B:$B,0)), "-")</f>
        <v>215</v>
      </c>
      <c r="O1163" s="270" t="str">
        <f>IFERROR(INDEX([1]Produtos!$F:$F,MATCH(L1163,[1]Produtos!$B:$B,0)), "-")</f>
        <v>ml</v>
      </c>
      <c r="P1163" s="264" t="str">
        <f>IFERROR(INDEX([1]Produtos!$G:$G,MATCH(L1163,[1]Produtos!$B:$B,0)), "-")</f>
        <v>MISS RÔSE</v>
      </c>
      <c r="Q1163" s="270" t="str">
        <f>IFERROR(INDEX([1]Produtos!$H:$H,MATCH(L1163,[1]Produtos!$B:$B,0)), "-")</f>
        <v>PERFUMARIA</v>
      </c>
      <c r="R1163" s="270" t="str">
        <f>IFERROR(INDEX([1]Produtos!$I:$I,MATCH(L1163,[1]Produtos!$B:$B,0)), "-")</f>
        <v>BODY SPLASH</v>
      </c>
      <c r="S1163" s="270" t="str">
        <f>IFERROR(INDEX([1]Produtos!$J:$J,MATCH(L1163,[1]Produtos!$B:$B,0)), "-")</f>
        <v>LÍQUIDO</v>
      </c>
      <c r="T1163" s="475"/>
      <c r="U1163" s="270"/>
      <c r="V1163" s="270"/>
      <c r="W1163" s="270"/>
      <c r="X1163" s="270"/>
      <c r="Y1163" s="270"/>
      <c r="Z1163" s="270"/>
      <c r="AA1163" s="270"/>
      <c r="AB1163" s="270"/>
      <c r="AC1163" s="270"/>
      <c r="AD1163" s="270"/>
      <c r="AE1163" s="270"/>
      <c r="AF1163" s="270"/>
      <c r="AG1163" s="270"/>
      <c r="AH1163" s="270"/>
      <c r="AI1163" s="270"/>
      <c r="AJ1163" s="270"/>
      <c r="AK1163" s="270"/>
      <c r="AL1163" s="270"/>
      <c r="AM1163" s="663">
        <v>46205.65</v>
      </c>
      <c r="AN1163" s="663">
        <v>46205.651388888888</v>
      </c>
      <c r="AO1163" s="708">
        <f>IF(OR(Table1[[#This Row],[Início Setup Envase]]="",Table1[[#This Row],[Final Setup Envase]]=""),"",Table1[[#This Row],[Final Setup Envase]]-Table1[[#This Row],[Início Setup Envase]])</f>
        <v>1.3888888861401938E-3</v>
      </c>
      <c r="AP1163" s="663"/>
      <c r="AQ1163" s="663"/>
      <c r="AR1163" s="270"/>
      <c r="AS1163" s="674"/>
      <c r="AT1163" s="674"/>
      <c r="AU1163" s="270"/>
      <c r="AV1163" s="270"/>
      <c r="AW1163" s="270"/>
      <c r="AX1163" s="270"/>
      <c r="AY1163" s="270"/>
      <c r="AZ1163" s="270"/>
      <c r="BA1163" s="270">
        <f>IF(Table1[[#This Row],[Data de Início]]="","",YEAR(Table1[[#This Row],[Data de Início]]))</f>
        <v>2026</v>
      </c>
      <c r="BB1163" s="270">
        <f>IF(Table1[[#This Row],[Data de Início]]="","",MONTH(Table1[[#This Row],[Data de Início]]))</f>
        <v>7</v>
      </c>
      <c r="BC1163" s="483"/>
    </row>
    <row r="1164" spans="2:55" x14ac:dyDescent="0.25">
      <c r="B1164" s="470">
        <v>46205.361111111109</v>
      </c>
      <c r="C1164" s="263">
        <v>46206.585416666669</v>
      </c>
      <c r="D1164" s="477" cm="1">
        <f t="array" ref="D1164">IFERROR(HorasUteisFabrica2Turnos(B1164,C1164), "")</f>
        <v>13.38333333353512</v>
      </c>
      <c r="E1164" s="478">
        <f t="shared" si="18"/>
        <v>126.65006226459106</v>
      </c>
      <c r="F1164" s="266" t="s">
        <v>1039</v>
      </c>
      <c r="G1164" s="672" t="s">
        <v>1470</v>
      </c>
      <c r="H1164" s="479"/>
      <c r="I1164" s="267" t="s">
        <v>2068</v>
      </c>
      <c r="J1164" s="268" t="s">
        <v>15</v>
      </c>
      <c r="K1164" s="268">
        <v>1695</v>
      </c>
      <c r="L1164" s="269" t="s">
        <v>1472</v>
      </c>
      <c r="M1164" s="511" t="str">
        <f>IFERROR(INDEX([1]Produtos!$C:$C,MATCH(L1164,[1]Produtos!$B:$B,0)), "-")</f>
        <v>HIDRATANTE BISNAGA LUX AMBER 200g</v>
      </c>
      <c r="N1164" s="511">
        <f>IFERROR(INDEX([1]Produtos!$E:$E,MATCH(L1164,[1]Produtos!$B:$B,0)), "-")</f>
        <v>200</v>
      </c>
      <c r="O1164" s="483" t="str">
        <f>IFERROR(INDEX([1]Produtos!$F:$F,MATCH(L1164,[1]Produtos!$B:$B,0)), "-")</f>
        <v>g</v>
      </c>
      <c r="P1164" s="477" t="str">
        <f>IFERROR(INDEX([1]Produtos!$G:$G,MATCH(L1164,[1]Produtos!$B:$B,0)), "-")</f>
        <v>HABIBI PERFUMES</v>
      </c>
      <c r="Q1164" s="483" t="str">
        <f>IFERROR(INDEX([1]Produtos!$H:$H,MATCH(L1164,[1]Produtos!$B:$B,0)), "-")</f>
        <v>CORPORAL</v>
      </c>
      <c r="R1164" s="483" t="str">
        <f>IFERROR(INDEX([1]Produtos!$I:$I,MATCH(L1164,[1]Produtos!$B:$B,0)), "-")</f>
        <v>CREME HIDRATANTE</v>
      </c>
      <c r="S1164" s="483" t="str">
        <f>IFERROR(INDEX([1]Produtos!$J:$J,MATCH(L1164,[1]Produtos!$B:$B,0)), "-")</f>
        <v>CREMOSO</v>
      </c>
      <c r="T1164" s="484"/>
      <c r="U1164" s="483"/>
      <c r="V1164" s="483"/>
      <c r="W1164" s="483"/>
      <c r="X1164" s="483"/>
      <c r="Y1164" s="483"/>
      <c r="Z1164" s="483"/>
      <c r="AA1164" s="483"/>
      <c r="AB1164" s="483"/>
      <c r="AC1164" s="483"/>
      <c r="AD1164" s="483"/>
      <c r="AE1164" s="483"/>
      <c r="AF1164" s="483"/>
      <c r="AG1164" s="483"/>
      <c r="AH1164" s="483"/>
      <c r="AI1164" s="483"/>
      <c r="AJ1164" s="483"/>
      <c r="AK1164" s="483"/>
      <c r="AL1164" s="483"/>
      <c r="AM1164" s="670">
        <v>46205.354166666664</v>
      </c>
      <c r="AN1164" s="670">
        <v>46205.361111111109</v>
      </c>
      <c r="AO1164" s="711">
        <f>IF(OR(Table1[[#This Row],[Início Setup Envase]]="",Table1[[#This Row],[Final Setup Envase]]=""),"",Table1[[#This Row],[Final Setup Envase]]-Table1[[#This Row],[Início Setup Envase]])</f>
        <v>6.9444444452528842E-3</v>
      </c>
      <c r="AP1164" s="670"/>
      <c r="AQ1164" s="670"/>
      <c r="AR1164" s="483"/>
      <c r="AS1164" s="483"/>
      <c r="AT1164" s="483"/>
      <c r="AU1164" s="483"/>
      <c r="AV1164" s="483"/>
      <c r="AW1164" s="483"/>
      <c r="AX1164" s="483"/>
      <c r="AY1164" s="270"/>
      <c r="AZ1164" s="270"/>
      <c r="BA1164" s="270">
        <f>IF(Table1[[#This Row],[Data de Início]]="","",YEAR(Table1[[#This Row],[Data de Início]]))</f>
        <v>2026</v>
      </c>
      <c r="BB1164" s="270">
        <f>IF(Table1[[#This Row],[Data de Início]]="","",MONTH(Table1[[#This Row],[Data de Início]]))</f>
        <v>7</v>
      </c>
      <c r="BC1164" s="270"/>
    </row>
    <row r="1165" spans="2:55" x14ac:dyDescent="0.25">
      <c r="B1165" s="470">
        <v>46208.59097222222</v>
      </c>
      <c r="C1165" s="263">
        <v>46209.385416666664</v>
      </c>
      <c r="D1165" s="477" cm="1">
        <f t="array" ref="D1165">IFERROR(HorasUteisFabrica2Turnos(B1165,C1165), "")</f>
        <v>2.25</v>
      </c>
      <c r="E1165" s="478">
        <f t="shared" si="18"/>
        <v>448</v>
      </c>
      <c r="F1165" s="266" t="s">
        <v>1039</v>
      </c>
      <c r="G1165" s="672" t="s">
        <v>1470</v>
      </c>
      <c r="H1165" s="266"/>
      <c r="I1165" s="267" t="s">
        <v>2069</v>
      </c>
      <c r="J1165" s="268" t="s">
        <v>15</v>
      </c>
      <c r="K1165" s="268">
        <v>1008</v>
      </c>
      <c r="L1165" s="269" t="s">
        <v>1472</v>
      </c>
      <c r="M1165" s="510" t="str">
        <f>IFERROR(INDEX([1]Produtos!$C:$C,MATCH(L1165,[1]Produtos!$B:$B,0)), "-")</f>
        <v>HIDRATANTE BISNAGA LUX AMBER 200g</v>
      </c>
      <c r="N1165" s="510">
        <f>IFERROR(INDEX([1]Produtos!$E:$E,MATCH(L1165,[1]Produtos!$B:$B,0)), "-")</f>
        <v>200</v>
      </c>
      <c r="O1165" s="270" t="str">
        <f>IFERROR(INDEX([1]Produtos!$F:$F,MATCH(L1165,[1]Produtos!$B:$B,0)), "-")</f>
        <v>g</v>
      </c>
      <c r="P1165" s="264" t="str">
        <f>IFERROR(INDEX([1]Produtos!$G:$G,MATCH(L1165,[1]Produtos!$B:$B,0)), "-")</f>
        <v>HABIBI PERFUMES</v>
      </c>
      <c r="Q1165" s="270" t="str">
        <f>IFERROR(INDEX([1]Produtos!$H:$H,MATCH(L1165,[1]Produtos!$B:$B,0)), "-")</f>
        <v>CORPORAL</v>
      </c>
      <c r="R1165" s="270" t="str">
        <f>IFERROR(INDEX([1]Produtos!$I:$I,MATCH(L1165,[1]Produtos!$B:$B,0)), "-")</f>
        <v>CREME HIDRATANTE</v>
      </c>
      <c r="S1165" s="270" t="str">
        <f>IFERROR(INDEX([1]Produtos!$J:$J,MATCH(L1165,[1]Produtos!$B:$B,0)), "-")</f>
        <v>CREMOSO</v>
      </c>
      <c r="T1165" s="475"/>
      <c r="U1165" s="270"/>
      <c r="V1165" s="270"/>
      <c r="W1165" s="270"/>
      <c r="X1165" s="270"/>
      <c r="Y1165" s="270"/>
      <c r="Z1165" s="270"/>
      <c r="AA1165" s="270"/>
      <c r="AB1165" s="270"/>
      <c r="AC1165" s="270"/>
      <c r="AD1165" s="270"/>
      <c r="AE1165" s="270"/>
      <c r="AF1165" s="270"/>
      <c r="AG1165" s="270"/>
      <c r="AH1165" s="270"/>
      <c r="AI1165" s="270"/>
      <c r="AJ1165" s="270"/>
      <c r="AK1165" s="270"/>
      <c r="AL1165" s="270"/>
      <c r="AM1165" s="663">
        <v>46206.590277777781</v>
      </c>
      <c r="AN1165" s="663">
        <v>46206.590277777781</v>
      </c>
      <c r="AO1165" s="708">
        <f>IF(OR(Table1[[#This Row],[Início Setup Envase]]="",Table1[[#This Row],[Final Setup Envase]]=""),"",Table1[[#This Row],[Final Setup Envase]]-Table1[[#This Row],[Início Setup Envase]])</f>
        <v>0</v>
      </c>
      <c r="AP1165" s="663"/>
      <c r="AQ1165" s="663"/>
      <c r="AR1165" s="270"/>
      <c r="AS1165" s="674"/>
      <c r="AT1165" s="674"/>
      <c r="AU1165" s="270"/>
      <c r="AV1165" s="270"/>
      <c r="AW1165" s="270"/>
      <c r="AX1165" s="270"/>
      <c r="AY1165" s="270"/>
      <c r="AZ1165" s="270"/>
      <c r="BA1165" s="270">
        <f>IF(Table1[[#This Row],[Data de Início]]="","",YEAR(Table1[[#This Row],[Data de Início]]))</f>
        <v>2026</v>
      </c>
      <c r="BB1165" s="270">
        <f>IF(Table1[[#This Row],[Data de Início]]="","",MONTH(Table1[[#This Row],[Data de Início]]))</f>
        <v>7</v>
      </c>
      <c r="BC1165" s="483"/>
    </row>
    <row r="1166" spans="2:55" x14ac:dyDescent="0.25">
      <c r="B1166" s="470">
        <v>46206.367361111108</v>
      </c>
      <c r="C1166" s="263">
        <v>46209.541666666664</v>
      </c>
      <c r="D1166" s="477" cm="1">
        <f t="array" ref="D1166">IFERROR(HorasUteisFabrica2Turnos(B1166,C1166), "")</f>
        <v>12.183333333348855</v>
      </c>
      <c r="E1166" s="478">
        <f t="shared" si="18"/>
        <v>358.52257181896869</v>
      </c>
      <c r="F1166" s="266" t="s">
        <v>378</v>
      </c>
      <c r="G1166" s="673" t="s">
        <v>1987</v>
      </c>
      <c r="H1166" s="479"/>
      <c r="I1166" s="267" t="s">
        <v>2070</v>
      </c>
      <c r="J1166" s="268" t="s">
        <v>15</v>
      </c>
      <c r="K1166" s="268">
        <v>4368</v>
      </c>
      <c r="L1166" s="269" t="s">
        <v>1284</v>
      </c>
      <c r="M1166" s="511" t="str">
        <f>IFERROR(INDEX([1]Produtos!$C:$C,MATCH(L1166,[1]Produtos!$B:$B,0)), "-")</f>
        <v>BODY SPLASH AMBAR REAL 200ml</v>
      </c>
      <c r="N1166" s="511">
        <f>IFERROR(INDEX([1]Produtos!$E:$E,MATCH(L1166,[1]Produtos!$B:$B,0)), "-")</f>
        <v>215</v>
      </c>
      <c r="O1166" s="483" t="str">
        <f>IFERROR(INDEX([1]Produtos!$F:$F,MATCH(L1166,[1]Produtos!$B:$B,0)), "-")</f>
        <v>ml</v>
      </c>
      <c r="P1166" s="477" t="str">
        <f>IFERROR(INDEX([1]Produtos!$G:$G,MATCH(L1166,[1]Produtos!$B:$B,0)), "-")</f>
        <v>MISS RÔSE</v>
      </c>
      <c r="Q1166" s="483" t="str">
        <f>IFERROR(INDEX([1]Produtos!$H:$H,MATCH(L1166,[1]Produtos!$B:$B,0)), "-")</f>
        <v>PERFUMARIA</v>
      </c>
      <c r="R1166" s="483" t="str">
        <f>IFERROR(INDEX([1]Produtos!$I:$I,MATCH(L1166,[1]Produtos!$B:$B,0)), "-")</f>
        <v>BODY SPLASH</v>
      </c>
      <c r="S1166" s="483" t="str">
        <f>IFERROR(INDEX([1]Produtos!$J:$J,MATCH(L1166,[1]Produtos!$B:$B,0)), "-")</f>
        <v>LÍQUIDO</v>
      </c>
      <c r="T1166" s="484"/>
      <c r="U1166" s="483"/>
      <c r="V1166" s="483"/>
      <c r="W1166" s="483"/>
      <c r="X1166" s="483"/>
      <c r="Y1166" s="483"/>
      <c r="Z1166" s="483"/>
      <c r="AA1166" s="483"/>
      <c r="AB1166" s="483"/>
      <c r="AC1166" s="483"/>
      <c r="AD1166" s="483"/>
      <c r="AE1166" s="483"/>
      <c r="AF1166" s="483"/>
      <c r="AG1166" s="483"/>
      <c r="AH1166" s="483"/>
      <c r="AI1166" s="483"/>
      <c r="AJ1166" s="483"/>
      <c r="AK1166" s="483"/>
      <c r="AL1166" s="483"/>
      <c r="AM1166" s="670">
        <v>46206.365277777775</v>
      </c>
      <c r="AN1166" s="670">
        <v>46206.367361111108</v>
      </c>
      <c r="AO1166" s="711">
        <f>IF(OR(Table1[[#This Row],[Início Setup Envase]]="",Table1[[#This Row],[Final Setup Envase]]=""),"",Table1[[#This Row],[Final Setup Envase]]-Table1[[#This Row],[Início Setup Envase]])</f>
        <v>2.0833333328482695E-3</v>
      </c>
      <c r="AP1166" s="670"/>
      <c r="AQ1166" s="670"/>
      <c r="AR1166" s="483"/>
      <c r="AS1166" s="483"/>
      <c r="AT1166" s="483"/>
      <c r="AU1166" s="483"/>
      <c r="AV1166" s="483"/>
      <c r="AW1166" s="483"/>
      <c r="AX1166" s="483"/>
      <c r="AY1166" s="270"/>
      <c r="AZ1166" s="270"/>
      <c r="BA1166" s="270">
        <f>IF(Table1[[#This Row],[Data de Início]]="","",YEAR(Table1[[#This Row],[Data de Início]]))</f>
        <v>2026</v>
      </c>
      <c r="BB1166" s="270">
        <f>IF(Table1[[#This Row],[Data de Início]]="","",MONTH(Table1[[#This Row],[Data de Início]]))</f>
        <v>7</v>
      </c>
      <c r="BC1166" s="270"/>
    </row>
    <row r="1167" spans="2:55" x14ac:dyDescent="0.25">
      <c r="B1167" s="470"/>
      <c r="C1167" s="263"/>
      <c r="D1167" s="477" cm="1">
        <f t="array" ref="D1167">IFERROR(HorasUteisFabrica2Turnos(B1167,C1167), "")</f>
        <v>0</v>
      </c>
      <c r="E1167" s="697" t="str">
        <f t="shared" si="18"/>
        <v/>
      </c>
      <c r="F1167" s="266"/>
      <c r="G1167" s="698"/>
      <c r="H1167" s="266"/>
      <c r="I1167" s="268"/>
      <c r="J1167" s="268"/>
      <c r="K1167" s="268"/>
      <c r="L1167" s="269"/>
      <c r="M1167" s="510" t="str">
        <f>IFERROR(INDEX([1]Produtos!$C:$C,MATCH(L1167,[1]Produtos!$B:$B,0)), "-")</f>
        <v>-</v>
      </c>
      <c r="N1167" s="510" t="str">
        <f>IFERROR(INDEX([1]Produtos!$E:$E,MATCH(L1167,[1]Produtos!$B:$B,0)), "-")</f>
        <v>-</v>
      </c>
      <c r="O1167" s="270" t="str">
        <f>IFERROR(INDEX([1]Produtos!$F:$F,MATCH(L1167,[1]Produtos!$B:$B,0)), "-")</f>
        <v>-</v>
      </c>
      <c r="P1167" s="264" t="str">
        <f>IFERROR(INDEX([1]Produtos!$G:$G,MATCH(L1167,[1]Produtos!$B:$B,0)), "-")</f>
        <v>-</v>
      </c>
      <c r="Q1167" s="270" t="str">
        <f>IFERROR(INDEX([1]Produtos!$H:$H,MATCH(L1167,[1]Produtos!$B:$B,0)), "-")</f>
        <v>-</v>
      </c>
      <c r="R1167" s="270" t="str">
        <f>IFERROR(INDEX([1]Produtos!$I:$I,MATCH(L1167,[1]Produtos!$B:$B,0)), "-")</f>
        <v>-</v>
      </c>
      <c r="S1167" s="270" t="str">
        <f>IFERROR(INDEX([1]Produtos!$J:$J,MATCH(L1167,[1]Produtos!$B:$B,0)), "-")</f>
        <v>-</v>
      </c>
      <c r="T1167" s="475"/>
      <c r="U1167" s="270"/>
      <c r="V1167" s="270"/>
      <c r="W1167" s="270"/>
      <c r="X1167" s="270"/>
      <c r="Y1167" s="270"/>
      <c r="Z1167" s="270"/>
      <c r="AA1167" s="270"/>
      <c r="AB1167" s="270"/>
      <c r="AC1167" s="270"/>
      <c r="AD1167" s="270"/>
      <c r="AE1167" s="270"/>
      <c r="AF1167" s="270"/>
      <c r="AG1167" s="270"/>
      <c r="AH1167" s="270"/>
      <c r="AI1167" s="270"/>
      <c r="AJ1167" s="270"/>
      <c r="AK1167" s="270"/>
      <c r="AL1167" s="270"/>
      <c r="AM1167" s="663"/>
      <c r="AN1167" s="663"/>
      <c r="AO1167" s="708" t="str">
        <f>IF(OR(Table1[[#This Row],[Início Setup Envase]]="",Table1[[#This Row],[Final Setup Envase]]=""),"",Table1[[#This Row],[Final Setup Envase]]-Table1[[#This Row],[Início Setup Envase]])</f>
        <v/>
      </c>
      <c r="AP1167" s="663"/>
      <c r="AQ1167" s="663"/>
      <c r="AR1167" s="270"/>
      <c r="AS1167" s="674"/>
      <c r="AT1167" s="674"/>
      <c r="AU1167" s="270"/>
      <c r="AV1167" s="270"/>
      <c r="AW1167" s="270"/>
      <c r="AX1167" s="270"/>
      <c r="AY1167" s="270"/>
      <c r="AZ1167" s="270"/>
      <c r="BA1167" s="270" t="str">
        <f>IF(Table1[[#This Row],[Data de Início]]="","",YEAR(Table1[[#This Row],[Data de Início]]))</f>
        <v/>
      </c>
      <c r="BB1167" s="270" t="str">
        <f>IF(Table1[[#This Row],[Data de Início]]="","",MONTH(Table1[[#This Row],[Data de Início]]))</f>
        <v/>
      </c>
      <c r="BC1167" s="483"/>
    </row>
    <row r="1168" spans="2:55" x14ac:dyDescent="0.25">
      <c r="B1168" s="470"/>
      <c r="C1168" s="263"/>
      <c r="D1168" s="477" cm="1">
        <f t="array" ref="D1168">IFERROR(HorasUteisFabrica2Turnos(B1168,C1168), "")</f>
        <v>0</v>
      </c>
      <c r="E1168" s="478" t="str">
        <f t="shared" si="18"/>
        <v/>
      </c>
      <c r="F1168" s="266"/>
      <c r="G1168" s="656"/>
      <c r="H1168" s="479"/>
      <c r="I1168" s="268"/>
      <c r="J1168" s="268"/>
      <c r="K1168" s="268"/>
      <c r="L1168" s="269"/>
      <c r="M1168" s="511" t="str">
        <f>IFERROR(INDEX([1]Produtos!$C:$C,MATCH(L1168,[1]Produtos!$B:$B,0)), "-")</f>
        <v>-</v>
      </c>
      <c r="N1168" s="511" t="str">
        <f>IFERROR(INDEX([1]Produtos!$E:$E,MATCH(L1168,[1]Produtos!$B:$B,0)), "-")</f>
        <v>-</v>
      </c>
      <c r="O1168" s="483" t="str">
        <f>IFERROR(INDEX([1]Produtos!$F:$F,MATCH(L1168,[1]Produtos!$B:$B,0)), "-")</f>
        <v>-</v>
      </c>
      <c r="P1168" s="477" t="str">
        <f>IFERROR(INDEX([1]Produtos!$G:$G,MATCH(L1168,[1]Produtos!$B:$B,0)), "-")</f>
        <v>-</v>
      </c>
      <c r="Q1168" s="483" t="str">
        <f>IFERROR(INDEX([1]Produtos!$H:$H,MATCH(L1168,[1]Produtos!$B:$B,0)), "-")</f>
        <v>-</v>
      </c>
      <c r="R1168" s="483" t="str">
        <f>IFERROR(INDEX([1]Produtos!$I:$I,MATCH(L1168,[1]Produtos!$B:$B,0)), "-")</f>
        <v>-</v>
      </c>
      <c r="S1168" s="483" t="str">
        <f>IFERROR(INDEX([1]Produtos!$J:$J,MATCH(L1168,[1]Produtos!$B:$B,0)), "-")</f>
        <v>-</v>
      </c>
      <c r="T1168" s="484"/>
      <c r="U1168" s="483"/>
      <c r="V1168" s="483"/>
      <c r="W1168" s="483"/>
      <c r="X1168" s="483"/>
      <c r="Y1168" s="483"/>
      <c r="Z1168" s="483"/>
      <c r="AA1168" s="483"/>
      <c r="AB1168" s="483"/>
      <c r="AC1168" s="483"/>
      <c r="AD1168" s="483"/>
      <c r="AE1168" s="483"/>
      <c r="AF1168" s="483"/>
      <c r="AG1168" s="483"/>
      <c r="AH1168" s="483"/>
      <c r="AI1168" s="483"/>
      <c r="AJ1168" s="483"/>
      <c r="AK1168" s="483"/>
      <c r="AL1168" s="483"/>
      <c r="AM1168" s="670"/>
      <c r="AN1168" s="670"/>
      <c r="AO1168" s="711" t="str">
        <f>IF(OR(Table1[[#This Row],[Início Setup Envase]]="",Table1[[#This Row],[Final Setup Envase]]=""),"",Table1[[#This Row],[Final Setup Envase]]-Table1[[#This Row],[Início Setup Envase]])</f>
        <v/>
      </c>
      <c r="AP1168" s="670"/>
      <c r="AQ1168" s="670"/>
      <c r="AR1168" s="483"/>
      <c r="AS1168" s="483"/>
      <c r="AT1168" s="483"/>
      <c r="AU1168" s="483"/>
      <c r="AV1168" s="483"/>
      <c r="AW1168" s="483"/>
      <c r="AX1168" s="483"/>
      <c r="AY1168" s="270"/>
      <c r="AZ1168" s="270"/>
      <c r="BA1168" s="270" t="str">
        <f>IF(Table1[[#This Row],[Data de Início]]="","",YEAR(Table1[[#This Row],[Data de Início]]))</f>
        <v/>
      </c>
      <c r="BB1168" s="270" t="str">
        <f>IF(Table1[[#This Row],[Data de Início]]="","",MONTH(Table1[[#This Row],[Data de Início]]))</f>
        <v/>
      </c>
      <c r="BC1168" s="270"/>
    </row>
    <row r="1169" spans="2:55" x14ac:dyDescent="0.25">
      <c r="B1169" s="470"/>
      <c r="C1169" s="263"/>
      <c r="D1169" s="477" cm="1">
        <f t="array" ref="D1169">IFERROR(HorasUteisFabrica2Turnos(B1169,C1169), "")</f>
        <v>0</v>
      </c>
      <c r="E1169" s="697" t="str">
        <f t="shared" si="18"/>
        <v/>
      </c>
      <c r="F1169" s="266"/>
      <c r="G1169" s="698"/>
      <c r="H1169" s="266"/>
      <c r="I1169" s="268"/>
      <c r="J1169" s="268"/>
      <c r="K1169" s="268"/>
      <c r="L1169" s="269"/>
      <c r="M1169" s="510" t="str">
        <f>IFERROR(INDEX([1]Produtos!$C:$C,MATCH(L1169,[1]Produtos!$B:$B,0)), "-")</f>
        <v>-</v>
      </c>
      <c r="N1169" s="510" t="str">
        <f>IFERROR(INDEX([1]Produtos!$E:$E,MATCH(L1169,[1]Produtos!$B:$B,0)), "-")</f>
        <v>-</v>
      </c>
      <c r="O1169" s="270" t="str">
        <f>IFERROR(INDEX([1]Produtos!$F:$F,MATCH(L1169,[1]Produtos!$B:$B,0)), "-")</f>
        <v>-</v>
      </c>
      <c r="P1169" s="264" t="str">
        <f>IFERROR(INDEX([1]Produtos!$G:$G,MATCH(L1169,[1]Produtos!$B:$B,0)), "-")</f>
        <v>-</v>
      </c>
      <c r="Q1169" s="270" t="str">
        <f>IFERROR(INDEX([1]Produtos!$H:$H,MATCH(L1169,[1]Produtos!$B:$B,0)), "-")</f>
        <v>-</v>
      </c>
      <c r="R1169" s="270" t="str">
        <f>IFERROR(INDEX([1]Produtos!$I:$I,MATCH(L1169,[1]Produtos!$B:$B,0)), "-")</f>
        <v>-</v>
      </c>
      <c r="S1169" s="270" t="str">
        <f>IFERROR(INDEX([1]Produtos!$J:$J,MATCH(L1169,[1]Produtos!$B:$B,0)), "-")</f>
        <v>-</v>
      </c>
      <c r="T1169" s="475"/>
      <c r="U1169" s="270"/>
      <c r="V1169" s="270"/>
      <c r="W1169" s="270"/>
      <c r="X1169" s="270"/>
      <c r="Y1169" s="270"/>
      <c r="Z1169" s="270"/>
      <c r="AA1169" s="270"/>
      <c r="AB1169" s="270"/>
      <c r="AC1169" s="270"/>
      <c r="AD1169" s="270"/>
      <c r="AE1169" s="270"/>
      <c r="AF1169" s="270"/>
      <c r="AG1169" s="270"/>
      <c r="AH1169" s="270"/>
      <c r="AI1169" s="270"/>
      <c r="AJ1169" s="270"/>
      <c r="AK1169" s="270"/>
      <c r="AL1169" s="270"/>
      <c r="AM1169" s="663"/>
      <c r="AN1169" s="663"/>
      <c r="AO1169" s="708" t="str">
        <f>IF(OR(Table1[[#This Row],[Início Setup Envase]]="",Table1[[#This Row],[Final Setup Envase]]=""),"",Table1[[#This Row],[Final Setup Envase]]-Table1[[#This Row],[Início Setup Envase]])</f>
        <v/>
      </c>
      <c r="AP1169" s="663"/>
      <c r="AQ1169" s="663"/>
      <c r="AR1169" s="270"/>
      <c r="AS1169" s="674"/>
      <c r="AT1169" s="674"/>
      <c r="AU1169" s="270"/>
      <c r="AV1169" s="270"/>
      <c r="AW1169" s="270"/>
      <c r="AX1169" s="270"/>
      <c r="AY1169" s="270"/>
      <c r="AZ1169" s="270"/>
      <c r="BA1169" s="270" t="str">
        <f>IF(Table1[[#This Row],[Data de Início]]="","",YEAR(Table1[[#This Row],[Data de Início]]))</f>
        <v/>
      </c>
      <c r="BB1169" s="270" t="str">
        <f>IF(Table1[[#This Row],[Data de Início]]="","",MONTH(Table1[[#This Row],[Data de Início]]))</f>
        <v/>
      </c>
      <c r="BC1169" s="483"/>
    </row>
    <row r="1170" spans="2:55" x14ac:dyDescent="0.25">
      <c r="B1170" s="470"/>
      <c r="C1170" s="263"/>
      <c r="D1170" s="477" cm="1">
        <f t="array" ref="D1170">IFERROR(HorasUteisFabrica2Turnos(B1170,C1170), "")</f>
        <v>0</v>
      </c>
      <c r="E1170" s="478" t="str">
        <f t="shared" si="18"/>
        <v/>
      </c>
      <c r="F1170" s="266"/>
      <c r="G1170" s="656"/>
      <c r="H1170" s="479"/>
      <c r="I1170" s="268"/>
      <c r="J1170" s="268"/>
      <c r="K1170" s="268"/>
      <c r="L1170" s="269"/>
      <c r="M1170" s="511" t="str">
        <f>IFERROR(INDEX([1]Produtos!$C:$C,MATCH(L1170,[1]Produtos!$B:$B,0)), "-")</f>
        <v>-</v>
      </c>
      <c r="N1170" s="511" t="str">
        <f>IFERROR(INDEX([1]Produtos!$E:$E,MATCH(L1170,[1]Produtos!$B:$B,0)), "-")</f>
        <v>-</v>
      </c>
      <c r="O1170" s="483" t="str">
        <f>IFERROR(INDEX([1]Produtos!$F:$F,MATCH(L1170,[1]Produtos!$B:$B,0)), "-")</f>
        <v>-</v>
      </c>
      <c r="P1170" s="477" t="str">
        <f>IFERROR(INDEX([1]Produtos!$G:$G,MATCH(L1170,[1]Produtos!$B:$B,0)), "-")</f>
        <v>-</v>
      </c>
      <c r="Q1170" s="483" t="str">
        <f>IFERROR(INDEX([1]Produtos!$H:$H,MATCH(L1170,[1]Produtos!$B:$B,0)), "-")</f>
        <v>-</v>
      </c>
      <c r="R1170" s="483" t="str">
        <f>IFERROR(INDEX([1]Produtos!$I:$I,MATCH(L1170,[1]Produtos!$B:$B,0)), "-")</f>
        <v>-</v>
      </c>
      <c r="S1170" s="483" t="str">
        <f>IFERROR(INDEX([1]Produtos!$J:$J,MATCH(L1170,[1]Produtos!$B:$B,0)), "-")</f>
        <v>-</v>
      </c>
      <c r="T1170" s="484"/>
      <c r="U1170" s="483"/>
      <c r="V1170" s="483"/>
      <c r="W1170" s="483"/>
      <c r="X1170" s="483"/>
      <c r="Y1170" s="483"/>
      <c r="Z1170" s="483"/>
      <c r="AA1170" s="483"/>
      <c r="AB1170" s="483"/>
      <c r="AC1170" s="483"/>
      <c r="AD1170" s="483"/>
      <c r="AE1170" s="483"/>
      <c r="AF1170" s="483"/>
      <c r="AG1170" s="483"/>
      <c r="AH1170" s="483"/>
      <c r="AI1170" s="483"/>
      <c r="AJ1170" s="483"/>
      <c r="AK1170" s="483"/>
      <c r="AL1170" s="483"/>
      <c r="AM1170" s="670"/>
      <c r="AN1170" s="670"/>
      <c r="AO1170" s="711" t="str">
        <f>IF(OR(Table1[[#This Row],[Início Setup Envase]]="",Table1[[#This Row],[Final Setup Envase]]=""),"",Table1[[#This Row],[Final Setup Envase]]-Table1[[#This Row],[Início Setup Envase]])</f>
        <v/>
      </c>
      <c r="AP1170" s="670"/>
      <c r="AQ1170" s="670"/>
      <c r="AR1170" s="483"/>
      <c r="AS1170" s="483"/>
      <c r="AT1170" s="483"/>
      <c r="AU1170" s="483"/>
      <c r="AV1170" s="483"/>
      <c r="AW1170" s="483"/>
      <c r="AX1170" s="483"/>
      <c r="AY1170" s="270"/>
      <c r="AZ1170" s="270"/>
      <c r="BA1170" s="270" t="str">
        <f>IF(Table1[[#This Row],[Data de Início]]="","",YEAR(Table1[[#This Row],[Data de Início]]))</f>
        <v/>
      </c>
      <c r="BB1170" s="270" t="str">
        <f>IF(Table1[[#This Row],[Data de Início]]="","",MONTH(Table1[[#This Row],[Data de Início]]))</f>
        <v/>
      </c>
      <c r="BC1170" s="270"/>
    </row>
    <row r="1171" spans="2:55" x14ac:dyDescent="0.25">
      <c r="B1171" s="470"/>
      <c r="C1171" s="263"/>
      <c r="D1171" s="477" cm="1">
        <f t="array" ref="D1171">IFERROR(HorasUteisFabrica2Turnos(B1171,C1171), "")</f>
        <v>0</v>
      </c>
      <c r="E1171" s="697" t="str">
        <f t="shared" si="18"/>
        <v/>
      </c>
      <c r="F1171" s="266"/>
      <c r="G1171" s="698"/>
      <c r="H1171" s="266"/>
      <c r="I1171" s="268"/>
      <c r="J1171" s="268"/>
      <c r="K1171" s="268"/>
      <c r="L1171" s="269"/>
      <c r="M1171" s="510" t="str">
        <f>IFERROR(INDEX([1]Produtos!$C:$C,MATCH(L1171,[1]Produtos!$B:$B,0)), "-")</f>
        <v>-</v>
      </c>
      <c r="N1171" s="510" t="str">
        <f>IFERROR(INDEX([1]Produtos!$E:$E,MATCH(L1171,[1]Produtos!$B:$B,0)), "-")</f>
        <v>-</v>
      </c>
      <c r="O1171" s="270" t="str">
        <f>IFERROR(INDEX([1]Produtos!$F:$F,MATCH(L1171,[1]Produtos!$B:$B,0)), "-")</f>
        <v>-</v>
      </c>
      <c r="P1171" s="264" t="str">
        <f>IFERROR(INDEX([1]Produtos!$G:$G,MATCH(L1171,[1]Produtos!$B:$B,0)), "-")</f>
        <v>-</v>
      </c>
      <c r="Q1171" s="270" t="str">
        <f>IFERROR(INDEX([1]Produtos!$H:$H,MATCH(L1171,[1]Produtos!$B:$B,0)), "-")</f>
        <v>-</v>
      </c>
      <c r="R1171" s="270" t="str">
        <f>IFERROR(INDEX([1]Produtos!$I:$I,MATCH(L1171,[1]Produtos!$B:$B,0)), "-")</f>
        <v>-</v>
      </c>
      <c r="S1171" s="270" t="str">
        <f>IFERROR(INDEX([1]Produtos!$J:$J,MATCH(L1171,[1]Produtos!$B:$B,0)), "-")</f>
        <v>-</v>
      </c>
      <c r="T1171" s="475"/>
      <c r="U1171" s="270"/>
      <c r="V1171" s="270"/>
      <c r="W1171" s="270"/>
      <c r="X1171" s="270"/>
      <c r="Y1171" s="270"/>
      <c r="Z1171" s="270"/>
      <c r="AA1171" s="270"/>
      <c r="AB1171" s="270"/>
      <c r="AC1171" s="270"/>
      <c r="AD1171" s="270"/>
      <c r="AE1171" s="270"/>
      <c r="AF1171" s="270"/>
      <c r="AG1171" s="270"/>
      <c r="AH1171" s="270"/>
      <c r="AI1171" s="270"/>
      <c r="AJ1171" s="270"/>
      <c r="AK1171" s="270"/>
      <c r="AL1171" s="270"/>
      <c r="AM1171" s="663"/>
      <c r="AN1171" s="663"/>
      <c r="AO1171" s="708" t="str">
        <f>IF(OR(Table1[[#This Row],[Início Setup Envase]]="",Table1[[#This Row],[Final Setup Envase]]=""),"",Table1[[#This Row],[Final Setup Envase]]-Table1[[#This Row],[Início Setup Envase]])</f>
        <v/>
      </c>
      <c r="AP1171" s="663"/>
      <c r="AQ1171" s="663"/>
      <c r="AR1171" s="270"/>
      <c r="AS1171" s="674"/>
      <c r="AT1171" s="674"/>
      <c r="AU1171" s="270"/>
      <c r="AV1171" s="270"/>
      <c r="AW1171" s="270"/>
      <c r="AX1171" s="270"/>
      <c r="AY1171" s="270"/>
      <c r="AZ1171" s="270"/>
      <c r="BA1171" s="270" t="str">
        <f>IF(Table1[[#This Row],[Data de Início]]="","",YEAR(Table1[[#This Row],[Data de Início]]))</f>
        <v/>
      </c>
      <c r="BB1171" s="270" t="str">
        <f>IF(Table1[[#This Row],[Data de Início]]="","",MONTH(Table1[[#This Row],[Data de Início]]))</f>
        <v/>
      </c>
      <c r="BC1171" s="483"/>
    </row>
    <row r="1172" spans="2:55" x14ac:dyDescent="0.25">
      <c r="B1172" s="470"/>
      <c r="C1172" s="263"/>
      <c r="D1172" s="477" cm="1">
        <f t="array" ref="D1172">IFERROR(HorasUteisFabrica2Turnos(B1172,C1172), "")</f>
        <v>0</v>
      </c>
      <c r="E1172" s="478" t="str">
        <f t="shared" si="18"/>
        <v/>
      </c>
      <c r="F1172" s="266"/>
      <c r="G1172" s="656"/>
      <c r="H1172" s="479"/>
      <c r="I1172" s="268"/>
      <c r="J1172" s="268"/>
      <c r="K1172" s="268"/>
      <c r="L1172" s="269"/>
      <c r="M1172" s="511" t="str">
        <f>IFERROR(INDEX([1]Produtos!$C:$C,MATCH(L1172,[1]Produtos!$B:$B,0)), "-")</f>
        <v>-</v>
      </c>
      <c r="N1172" s="511" t="str">
        <f>IFERROR(INDEX([1]Produtos!$E:$E,MATCH(L1172,[1]Produtos!$B:$B,0)), "-")</f>
        <v>-</v>
      </c>
      <c r="O1172" s="483" t="str">
        <f>IFERROR(INDEX([1]Produtos!$F:$F,MATCH(L1172,[1]Produtos!$B:$B,0)), "-")</f>
        <v>-</v>
      </c>
      <c r="P1172" s="477" t="str">
        <f>IFERROR(INDEX([1]Produtos!$G:$G,MATCH(L1172,[1]Produtos!$B:$B,0)), "-")</f>
        <v>-</v>
      </c>
      <c r="Q1172" s="483" t="str">
        <f>IFERROR(INDEX([1]Produtos!$H:$H,MATCH(L1172,[1]Produtos!$B:$B,0)), "-")</f>
        <v>-</v>
      </c>
      <c r="R1172" s="483" t="str">
        <f>IFERROR(INDEX([1]Produtos!$I:$I,MATCH(L1172,[1]Produtos!$B:$B,0)), "-")</f>
        <v>-</v>
      </c>
      <c r="S1172" s="483" t="str">
        <f>IFERROR(INDEX([1]Produtos!$J:$J,MATCH(L1172,[1]Produtos!$B:$B,0)), "-")</f>
        <v>-</v>
      </c>
      <c r="T1172" s="484"/>
      <c r="U1172" s="483"/>
      <c r="V1172" s="483"/>
      <c r="W1172" s="483"/>
      <c r="X1172" s="483"/>
      <c r="Y1172" s="483"/>
      <c r="Z1172" s="483"/>
      <c r="AA1172" s="483"/>
      <c r="AB1172" s="483"/>
      <c r="AC1172" s="483"/>
      <c r="AD1172" s="483"/>
      <c r="AE1172" s="483"/>
      <c r="AF1172" s="483"/>
      <c r="AG1172" s="483"/>
      <c r="AH1172" s="483"/>
      <c r="AI1172" s="483"/>
      <c r="AJ1172" s="483"/>
      <c r="AK1172" s="483"/>
      <c r="AL1172" s="483"/>
      <c r="AM1172" s="670"/>
      <c r="AN1172" s="670"/>
      <c r="AO1172" s="711" t="str">
        <f>IF(OR(Table1[[#This Row],[Início Setup Envase]]="",Table1[[#This Row],[Final Setup Envase]]=""),"",Table1[[#This Row],[Final Setup Envase]]-Table1[[#This Row],[Início Setup Envase]])</f>
        <v/>
      </c>
      <c r="AP1172" s="670"/>
      <c r="AQ1172" s="670"/>
      <c r="AR1172" s="483"/>
      <c r="AS1172" s="483"/>
      <c r="AT1172" s="483"/>
      <c r="AU1172" s="483"/>
      <c r="AV1172" s="483"/>
      <c r="AW1172" s="483"/>
      <c r="AX1172" s="483"/>
      <c r="AY1172" s="270"/>
      <c r="AZ1172" s="270"/>
      <c r="BA1172" s="270" t="str">
        <f>IF(Table1[[#This Row],[Data de Início]]="","",YEAR(Table1[[#This Row],[Data de Início]]))</f>
        <v/>
      </c>
      <c r="BB1172" s="270" t="str">
        <f>IF(Table1[[#This Row],[Data de Início]]="","",MONTH(Table1[[#This Row],[Data de Início]]))</f>
        <v/>
      </c>
      <c r="BC1172" s="270"/>
    </row>
    <row r="1173" spans="2:55" x14ac:dyDescent="0.25">
      <c r="B1173" s="470"/>
      <c r="C1173" s="263"/>
      <c r="D1173" s="477" cm="1">
        <f t="array" ref="D1173">IFERROR(HorasUteisFabrica2Turnos(B1173,C1173), "")</f>
        <v>0</v>
      </c>
      <c r="E1173" s="697" t="str">
        <f t="shared" si="18"/>
        <v/>
      </c>
      <c r="F1173" s="266"/>
      <c r="G1173" s="698"/>
      <c r="H1173" s="266"/>
      <c r="I1173" s="268"/>
      <c r="J1173" s="268"/>
      <c r="K1173" s="268"/>
      <c r="L1173" s="269"/>
      <c r="M1173" s="510" t="str">
        <f>IFERROR(INDEX([1]Produtos!$C:$C,MATCH(L1173,[1]Produtos!$B:$B,0)), "-")</f>
        <v>-</v>
      </c>
      <c r="N1173" s="510" t="str">
        <f>IFERROR(INDEX([1]Produtos!$E:$E,MATCH(L1173,[1]Produtos!$B:$B,0)), "-")</f>
        <v>-</v>
      </c>
      <c r="O1173" s="270" t="str">
        <f>IFERROR(INDEX([1]Produtos!$F:$F,MATCH(L1173,[1]Produtos!$B:$B,0)), "-")</f>
        <v>-</v>
      </c>
      <c r="P1173" s="264" t="str">
        <f>IFERROR(INDEX([1]Produtos!$G:$G,MATCH(L1173,[1]Produtos!$B:$B,0)), "-")</f>
        <v>-</v>
      </c>
      <c r="Q1173" s="270" t="str">
        <f>IFERROR(INDEX([1]Produtos!$H:$H,MATCH(L1173,[1]Produtos!$B:$B,0)), "-")</f>
        <v>-</v>
      </c>
      <c r="R1173" s="270" t="str">
        <f>IFERROR(INDEX([1]Produtos!$I:$I,MATCH(L1173,[1]Produtos!$B:$B,0)), "-")</f>
        <v>-</v>
      </c>
      <c r="S1173" s="270" t="str">
        <f>IFERROR(INDEX([1]Produtos!$J:$J,MATCH(L1173,[1]Produtos!$B:$B,0)), "-")</f>
        <v>-</v>
      </c>
      <c r="T1173" s="475"/>
      <c r="U1173" s="270"/>
      <c r="V1173" s="270"/>
      <c r="W1173" s="270"/>
      <c r="X1173" s="270"/>
      <c r="Y1173" s="270"/>
      <c r="Z1173" s="270"/>
      <c r="AA1173" s="270"/>
      <c r="AB1173" s="270"/>
      <c r="AC1173" s="270"/>
      <c r="AD1173" s="270"/>
      <c r="AE1173" s="270"/>
      <c r="AF1173" s="270"/>
      <c r="AG1173" s="270"/>
      <c r="AH1173" s="270"/>
      <c r="AI1173" s="270"/>
      <c r="AJ1173" s="270"/>
      <c r="AK1173" s="270"/>
      <c r="AL1173" s="270"/>
      <c r="AM1173" s="663"/>
      <c r="AN1173" s="663"/>
      <c r="AO1173" s="708" t="str">
        <f>IF(OR(Table1[[#This Row],[Início Setup Envase]]="",Table1[[#This Row],[Final Setup Envase]]=""),"",Table1[[#This Row],[Final Setup Envase]]-Table1[[#This Row],[Início Setup Envase]])</f>
        <v/>
      </c>
      <c r="AP1173" s="663"/>
      <c r="AQ1173" s="663"/>
      <c r="AR1173" s="270"/>
      <c r="AS1173" s="674"/>
      <c r="AT1173" s="674"/>
      <c r="AU1173" s="270"/>
      <c r="AV1173" s="270"/>
      <c r="AW1173" s="270"/>
      <c r="AX1173" s="270"/>
      <c r="AY1173" s="270"/>
      <c r="AZ1173" s="270"/>
      <c r="BA1173" s="270" t="str">
        <f>IF(Table1[[#This Row],[Data de Início]]="","",YEAR(Table1[[#This Row],[Data de Início]]))</f>
        <v/>
      </c>
      <c r="BB1173" s="270" t="str">
        <f>IF(Table1[[#This Row],[Data de Início]]="","",MONTH(Table1[[#This Row],[Data de Início]]))</f>
        <v/>
      </c>
      <c r="BC1173" s="483"/>
    </row>
    <row r="1174" spans="2:55" x14ac:dyDescent="0.25">
      <c r="B1174" s="470"/>
      <c r="C1174" s="263"/>
      <c r="D1174" s="477" cm="1">
        <f t="array" ref="D1174">IFERROR(HorasUteisFabrica2Turnos(B1174,C1174), "")</f>
        <v>0</v>
      </c>
      <c r="E1174" s="478" t="str">
        <f t="shared" si="18"/>
        <v/>
      </c>
      <c r="F1174" s="266"/>
      <c r="G1174" s="656"/>
      <c r="H1174" s="479"/>
      <c r="I1174" s="268"/>
      <c r="J1174" s="268"/>
      <c r="K1174" s="268"/>
      <c r="L1174" s="269"/>
      <c r="M1174" s="511" t="str">
        <f>IFERROR(INDEX([1]Produtos!$C:$C,MATCH(L1174,[1]Produtos!$B:$B,0)), "-")</f>
        <v>-</v>
      </c>
      <c r="N1174" s="511" t="str">
        <f>IFERROR(INDEX([1]Produtos!$E:$E,MATCH(L1174,[1]Produtos!$B:$B,0)), "-")</f>
        <v>-</v>
      </c>
      <c r="O1174" s="483" t="str">
        <f>IFERROR(INDEX([1]Produtos!$F:$F,MATCH(L1174,[1]Produtos!$B:$B,0)), "-")</f>
        <v>-</v>
      </c>
      <c r="P1174" s="477" t="str">
        <f>IFERROR(INDEX([1]Produtos!$G:$G,MATCH(L1174,[1]Produtos!$B:$B,0)), "-")</f>
        <v>-</v>
      </c>
      <c r="Q1174" s="483" t="str">
        <f>IFERROR(INDEX([1]Produtos!$H:$H,MATCH(L1174,[1]Produtos!$B:$B,0)), "-")</f>
        <v>-</v>
      </c>
      <c r="R1174" s="483" t="str">
        <f>IFERROR(INDEX([1]Produtos!$I:$I,MATCH(L1174,[1]Produtos!$B:$B,0)), "-")</f>
        <v>-</v>
      </c>
      <c r="S1174" s="483" t="str">
        <f>IFERROR(INDEX([1]Produtos!$J:$J,MATCH(L1174,[1]Produtos!$B:$B,0)), "-")</f>
        <v>-</v>
      </c>
      <c r="T1174" s="484"/>
      <c r="U1174" s="483"/>
      <c r="V1174" s="483"/>
      <c r="W1174" s="483"/>
      <c r="X1174" s="483"/>
      <c r="Y1174" s="483"/>
      <c r="Z1174" s="483"/>
      <c r="AA1174" s="483"/>
      <c r="AB1174" s="483"/>
      <c r="AC1174" s="483"/>
      <c r="AD1174" s="483"/>
      <c r="AE1174" s="483"/>
      <c r="AF1174" s="483"/>
      <c r="AG1174" s="483"/>
      <c r="AH1174" s="483"/>
      <c r="AI1174" s="483"/>
      <c r="AJ1174" s="483"/>
      <c r="AK1174" s="483"/>
      <c r="AL1174" s="483"/>
      <c r="AM1174" s="670"/>
      <c r="AN1174" s="670"/>
      <c r="AO1174" s="711" t="str">
        <f>IF(OR(Table1[[#This Row],[Início Setup Envase]]="",Table1[[#This Row],[Final Setup Envase]]=""),"",Table1[[#This Row],[Final Setup Envase]]-Table1[[#This Row],[Início Setup Envase]])</f>
        <v/>
      </c>
      <c r="AP1174" s="670"/>
      <c r="AQ1174" s="670"/>
      <c r="AR1174" s="483"/>
      <c r="AS1174" s="483"/>
      <c r="AT1174" s="483"/>
      <c r="AU1174" s="483"/>
      <c r="AV1174" s="483"/>
      <c r="AW1174" s="483"/>
      <c r="AX1174" s="483"/>
      <c r="AY1174" s="270"/>
      <c r="AZ1174" s="270"/>
      <c r="BA1174" s="270" t="str">
        <f>IF(Table1[[#This Row],[Data de Início]]="","",YEAR(Table1[[#This Row],[Data de Início]]))</f>
        <v/>
      </c>
      <c r="BB1174" s="270" t="str">
        <f>IF(Table1[[#This Row],[Data de Início]]="","",MONTH(Table1[[#This Row],[Data de Início]]))</f>
        <v/>
      </c>
      <c r="BC1174" s="270"/>
    </row>
    <row r="1175" spans="2:55" x14ac:dyDescent="0.25">
      <c r="B1175" s="470"/>
      <c r="C1175" s="263"/>
      <c r="D1175" s="477" cm="1">
        <f t="array" ref="D1175">IFERROR(HorasUteisFabrica2Turnos(B1175,C1175), "")</f>
        <v>0</v>
      </c>
      <c r="E1175" s="697" t="str">
        <f t="shared" si="18"/>
        <v/>
      </c>
      <c r="F1175" s="266"/>
      <c r="G1175" s="698"/>
      <c r="H1175" s="266"/>
      <c r="I1175" s="268"/>
      <c r="J1175" s="268"/>
      <c r="K1175" s="268"/>
      <c r="L1175" s="269"/>
      <c r="M1175" s="510" t="str">
        <f>IFERROR(INDEX([1]Produtos!$C:$C,MATCH(L1175,[1]Produtos!$B:$B,0)), "-")</f>
        <v>-</v>
      </c>
      <c r="N1175" s="510" t="str">
        <f>IFERROR(INDEX([1]Produtos!$E:$E,MATCH(L1175,[1]Produtos!$B:$B,0)), "-")</f>
        <v>-</v>
      </c>
      <c r="O1175" s="270" t="str">
        <f>IFERROR(INDEX([1]Produtos!$F:$F,MATCH(L1175,[1]Produtos!$B:$B,0)), "-")</f>
        <v>-</v>
      </c>
      <c r="P1175" s="264" t="str">
        <f>IFERROR(INDEX([1]Produtos!$G:$G,MATCH(L1175,[1]Produtos!$B:$B,0)), "-")</f>
        <v>-</v>
      </c>
      <c r="Q1175" s="270" t="str">
        <f>IFERROR(INDEX([1]Produtos!$H:$H,MATCH(L1175,[1]Produtos!$B:$B,0)), "-")</f>
        <v>-</v>
      </c>
      <c r="R1175" s="270" t="str">
        <f>IFERROR(INDEX([1]Produtos!$I:$I,MATCH(L1175,[1]Produtos!$B:$B,0)), "-")</f>
        <v>-</v>
      </c>
      <c r="S1175" s="270" t="str">
        <f>IFERROR(INDEX([1]Produtos!$J:$J,MATCH(L1175,[1]Produtos!$B:$B,0)), "-")</f>
        <v>-</v>
      </c>
      <c r="T1175" s="475"/>
      <c r="U1175" s="270"/>
      <c r="V1175" s="270"/>
      <c r="W1175" s="270"/>
      <c r="X1175" s="270"/>
      <c r="Y1175" s="270"/>
      <c r="Z1175" s="270"/>
      <c r="AA1175" s="270"/>
      <c r="AB1175" s="270"/>
      <c r="AC1175" s="270"/>
      <c r="AD1175" s="270"/>
      <c r="AE1175" s="270"/>
      <c r="AF1175" s="270"/>
      <c r="AG1175" s="270"/>
      <c r="AH1175" s="270"/>
      <c r="AI1175" s="270"/>
      <c r="AJ1175" s="270"/>
      <c r="AK1175" s="270"/>
      <c r="AL1175" s="270"/>
      <c r="AM1175" s="663"/>
      <c r="AN1175" s="663"/>
      <c r="AO1175" s="708" t="str">
        <f>IF(OR(Table1[[#This Row],[Início Setup Envase]]="",Table1[[#This Row],[Final Setup Envase]]=""),"",Table1[[#This Row],[Final Setup Envase]]-Table1[[#This Row],[Início Setup Envase]])</f>
        <v/>
      </c>
      <c r="AP1175" s="663"/>
      <c r="AQ1175" s="663"/>
      <c r="AR1175" s="270"/>
      <c r="AS1175" s="674"/>
      <c r="AT1175" s="674"/>
      <c r="AU1175" s="270"/>
      <c r="AV1175" s="270"/>
      <c r="AW1175" s="270"/>
      <c r="AX1175" s="270"/>
      <c r="AY1175" s="270"/>
      <c r="AZ1175" s="270"/>
      <c r="BA1175" s="270" t="str">
        <f>IF(Table1[[#This Row],[Data de Início]]="","",YEAR(Table1[[#This Row],[Data de Início]]))</f>
        <v/>
      </c>
      <c r="BB1175" s="270" t="str">
        <f>IF(Table1[[#This Row],[Data de Início]]="","",MONTH(Table1[[#This Row],[Data de Início]]))</f>
        <v/>
      </c>
      <c r="BC1175" s="483"/>
    </row>
    <row r="1176" spans="2:55" x14ac:dyDescent="0.25">
      <c r="B1176" s="470"/>
      <c r="C1176" s="263"/>
      <c r="D1176" s="477" cm="1">
        <f t="array" ref="D1176">IFERROR(HorasUteisFabrica2Turnos(B1176,C1176), "")</f>
        <v>0</v>
      </c>
      <c r="E1176" s="478" t="str">
        <f t="shared" si="18"/>
        <v/>
      </c>
      <c r="F1176" s="266"/>
      <c r="G1176" s="656"/>
      <c r="H1176" s="479"/>
      <c r="I1176" s="268"/>
      <c r="J1176" s="268"/>
      <c r="K1176" s="268"/>
      <c r="L1176" s="269"/>
      <c r="M1176" s="511" t="str">
        <f>IFERROR(INDEX([1]Produtos!$C:$C,MATCH(L1176,[1]Produtos!$B:$B,0)), "-")</f>
        <v>-</v>
      </c>
      <c r="N1176" s="511" t="str">
        <f>IFERROR(INDEX([1]Produtos!$E:$E,MATCH(L1176,[1]Produtos!$B:$B,0)), "-")</f>
        <v>-</v>
      </c>
      <c r="O1176" s="483" t="str">
        <f>IFERROR(INDEX([1]Produtos!$F:$F,MATCH(L1176,[1]Produtos!$B:$B,0)), "-")</f>
        <v>-</v>
      </c>
      <c r="P1176" s="477" t="str">
        <f>IFERROR(INDEX([1]Produtos!$G:$G,MATCH(L1176,[1]Produtos!$B:$B,0)), "-")</f>
        <v>-</v>
      </c>
      <c r="Q1176" s="483" t="str">
        <f>IFERROR(INDEX([1]Produtos!$H:$H,MATCH(L1176,[1]Produtos!$B:$B,0)), "-")</f>
        <v>-</v>
      </c>
      <c r="R1176" s="483" t="str">
        <f>IFERROR(INDEX([1]Produtos!$I:$I,MATCH(L1176,[1]Produtos!$B:$B,0)), "-")</f>
        <v>-</v>
      </c>
      <c r="S1176" s="483" t="str">
        <f>IFERROR(INDEX([1]Produtos!$J:$J,MATCH(L1176,[1]Produtos!$B:$B,0)), "-")</f>
        <v>-</v>
      </c>
      <c r="T1176" s="484"/>
      <c r="U1176" s="483"/>
      <c r="V1176" s="483"/>
      <c r="W1176" s="483"/>
      <c r="X1176" s="483"/>
      <c r="Y1176" s="483"/>
      <c r="Z1176" s="483"/>
      <c r="AA1176" s="483"/>
      <c r="AB1176" s="483"/>
      <c r="AC1176" s="483"/>
      <c r="AD1176" s="483"/>
      <c r="AE1176" s="483"/>
      <c r="AF1176" s="483"/>
      <c r="AG1176" s="483"/>
      <c r="AH1176" s="483"/>
      <c r="AI1176" s="483"/>
      <c r="AJ1176" s="483"/>
      <c r="AK1176" s="483"/>
      <c r="AL1176" s="483"/>
      <c r="AM1176" s="670"/>
      <c r="AN1176" s="670"/>
      <c r="AO1176" s="711" t="str">
        <f>IF(OR(Table1[[#This Row],[Início Setup Envase]]="",Table1[[#This Row],[Final Setup Envase]]=""),"",Table1[[#This Row],[Final Setup Envase]]-Table1[[#This Row],[Início Setup Envase]])</f>
        <v/>
      </c>
      <c r="AP1176" s="670"/>
      <c r="AQ1176" s="670"/>
      <c r="AR1176" s="483"/>
      <c r="AS1176" s="483"/>
      <c r="AT1176" s="483"/>
      <c r="AU1176" s="483"/>
      <c r="AV1176" s="483"/>
      <c r="AW1176" s="483"/>
      <c r="AX1176" s="483"/>
      <c r="AY1176" s="270"/>
      <c r="AZ1176" s="270"/>
      <c r="BA1176" s="270" t="str">
        <f>IF(Table1[[#This Row],[Data de Início]]="","",YEAR(Table1[[#This Row],[Data de Início]]))</f>
        <v/>
      </c>
      <c r="BB1176" s="270" t="str">
        <f>IF(Table1[[#This Row],[Data de Início]]="","",MONTH(Table1[[#This Row],[Data de Início]]))</f>
        <v/>
      </c>
      <c r="BC1176" s="270"/>
    </row>
    <row r="1177" spans="2:55" x14ac:dyDescent="0.25">
      <c r="B1177" s="470"/>
      <c r="C1177" s="263"/>
      <c r="D1177" s="477" cm="1">
        <f t="array" ref="D1177">IFERROR(HorasUteisFabrica2Turnos(B1177,C1177), "")</f>
        <v>0</v>
      </c>
      <c r="E1177" s="697" t="str">
        <f t="shared" si="18"/>
        <v/>
      </c>
      <c r="F1177" s="266"/>
      <c r="G1177" s="698"/>
      <c r="H1177" s="266"/>
      <c r="I1177" s="268"/>
      <c r="J1177" s="268"/>
      <c r="K1177" s="268"/>
      <c r="L1177" s="269"/>
      <c r="M1177" s="510" t="str">
        <f>IFERROR(INDEX([1]Produtos!$C:$C,MATCH(L1177,[1]Produtos!$B:$B,0)), "-")</f>
        <v>-</v>
      </c>
      <c r="N1177" s="510" t="str">
        <f>IFERROR(INDEX([1]Produtos!$E:$E,MATCH(L1177,[1]Produtos!$B:$B,0)), "-")</f>
        <v>-</v>
      </c>
      <c r="O1177" s="270" t="str">
        <f>IFERROR(INDEX([1]Produtos!$F:$F,MATCH(L1177,[1]Produtos!$B:$B,0)), "-")</f>
        <v>-</v>
      </c>
      <c r="P1177" s="264" t="str">
        <f>IFERROR(INDEX([1]Produtos!$G:$G,MATCH(L1177,[1]Produtos!$B:$B,0)), "-")</f>
        <v>-</v>
      </c>
      <c r="Q1177" s="270" t="str">
        <f>IFERROR(INDEX([1]Produtos!$H:$H,MATCH(L1177,[1]Produtos!$B:$B,0)), "-")</f>
        <v>-</v>
      </c>
      <c r="R1177" s="270" t="str">
        <f>IFERROR(INDEX([1]Produtos!$I:$I,MATCH(L1177,[1]Produtos!$B:$B,0)), "-")</f>
        <v>-</v>
      </c>
      <c r="S1177" s="270" t="str">
        <f>IFERROR(INDEX([1]Produtos!$J:$J,MATCH(L1177,[1]Produtos!$B:$B,0)), "-")</f>
        <v>-</v>
      </c>
      <c r="T1177" s="475"/>
      <c r="U1177" s="270"/>
      <c r="V1177" s="270"/>
      <c r="W1177" s="270"/>
      <c r="X1177" s="270"/>
      <c r="Y1177" s="270"/>
      <c r="Z1177" s="270"/>
      <c r="AA1177" s="270"/>
      <c r="AB1177" s="270"/>
      <c r="AC1177" s="270"/>
      <c r="AD1177" s="270"/>
      <c r="AE1177" s="270"/>
      <c r="AF1177" s="270"/>
      <c r="AG1177" s="270"/>
      <c r="AH1177" s="270"/>
      <c r="AI1177" s="270"/>
      <c r="AJ1177" s="270"/>
      <c r="AK1177" s="270"/>
      <c r="AL1177" s="270"/>
      <c r="AM1177" s="663"/>
      <c r="AN1177" s="663"/>
      <c r="AO1177" s="708" t="str">
        <f>IF(OR(Table1[[#This Row],[Início Setup Envase]]="",Table1[[#This Row],[Final Setup Envase]]=""),"",Table1[[#This Row],[Final Setup Envase]]-Table1[[#This Row],[Início Setup Envase]])</f>
        <v/>
      </c>
      <c r="AP1177" s="663"/>
      <c r="AQ1177" s="663"/>
      <c r="AR1177" s="270"/>
      <c r="AS1177" s="674"/>
      <c r="AT1177" s="674"/>
      <c r="AU1177" s="270"/>
      <c r="AV1177" s="270"/>
      <c r="AW1177" s="270"/>
      <c r="AX1177" s="270"/>
      <c r="AY1177" s="270"/>
      <c r="AZ1177" s="270"/>
      <c r="BA1177" s="270" t="str">
        <f>IF(Table1[[#This Row],[Data de Início]]="","",YEAR(Table1[[#This Row],[Data de Início]]))</f>
        <v/>
      </c>
      <c r="BB1177" s="270" t="str">
        <f>IF(Table1[[#This Row],[Data de Início]]="","",MONTH(Table1[[#This Row],[Data de Início]]))</f>
        <v/>
      </c>
      <c r="BC1177" s="483"/>
    </row>
    <row r="1178" spans="2:55" x14ac:dyDescent="0.25">
      <c r="B1178" s="470"/>
      <c r="C1178" s="263"/>
      <c r="D1178" s="477" cm="1">
        <f t="array" ref="D1178">IFERROR(HorasUteisFabrica2Turnos(B1178,C1178), "")</f>
        <v>0</v>
      </c>
      <c r="E1178" s="478" t="str">
        <f t="shared" si="18"/>
        <v/>
      </c>
      <c r="F1178" s="266"/>
      <c r="G1178" s="656"/>
      <c r="H1178" s="479"/>
      <c r="I1178" s="268"/>
      <c r="J1178" s="268"/>
      <c r="K1178" s="268"/>
      <c r="L1178" s="269"/>
      <c r="M1178" s="511" t="str">
        <f>IFERROR(INDEX([1]Produtos!$C:$C,MATCH(L1178,[1]Produtos!$B:$B,0)), "-")</f>
        <v>-</v>
      </c>
      <c r="N1178" s="511" t="str">
        <f>IFERROR(INDEX([1]Produtos!$E:$E,MATCH(L1178,[1]Produtos!$B:$B,0)), "-")</f>
        <v>-</v>
      </c>
      <c r="O1178" s="483" t="str">
        <f>IFERROR(INDEX([1]Produtos!$F:$F,MATCH(L1178,[1]Produtos!$B:$B,0)), "-")</f>
        <v>-</v>
      </c>
      <c r="P1178" s="477" t="str">
        <f>IFERROR(INDEX([1]Produtos!$G:$G,MATCH(L1178,[1]Produtos!$B:$B,0)), "-")</f>
        <v>-</v>
      </c>
      <c r="Q1178" s="483" t="str">
        <f>IFERROR(INDEX([1]Produtos!$H:$H,MATCH(L1178,[1]Produtos!$B:$B,0)), "-")</f>
        <v>-</v>
      </c>
      <c r="R1178" s="483" t="str">
        <f>IFERROR(INDEX([1]Produtos!$I:$I,MATCH(L1178,[1]Produtos!$B:$B,0)), "-")</f>
        <v>-</v>
      </c>
      <c r="S1178" s="483" t="str">
        <f>IFERROR(INDEX([1]Produtos!$J:$J,MATCH(L1178,[1]Produtos!$B:$B,0)), "-")</f>
        <v>-</v>
      </c>
      <c r="T1178" s="484"/>
      <c r="U1178" s="483"/>
      <c r="V1178" s="483"/>
      <c r="W1178" s="483"/>
      <c r="X1178" s="483"/>
      <c r="Y1178" s="483"/>
      <c r="Z1178" s="483"/>
      <c r="AA1178" s="483"/>
      <c r="AB1178" s="483"/>
      <c r="AC1178" s="483"/>
      <c r="AD1178" s="483"/>
      <c r="AE1178" s="483"/>
      <c r="AF1178" s="483"/>
      <c r="AG1178" s="483"/>
      <c r="AH1178" s="483"/>
      <c r="AI1178" s="483"/>
      <c r="AJ1178" s="483"/>
      <c r="AK1178" s="483"/>
      <c r="AL1178" s="483"/>
      <c r="AM1178" s="670"/>
      <c r="AN1178" s="670"/>
      <c r="AO1178" s="711" t="str">
        <f>IF(OR(Table1[[#This Row],[Início Setup Envase]]="",Table1[[#This Row],[Final Setup Envase]]=""),"",Table1[[#This Row],[Final Setup Envase]]-Table1[[#This Row],[Início Setup Envase]])</f>
        <v/>
      </c>
      <c r="AP1178" s="670"/>
      <c r="AQ1178" s="670"/>
      <c r="AR1178" s="483"/>
      <c r="AS1178" s="483"/>
      <c r="AT1178" s="483"/>
      <c r="AU1178" s="483"/>
      <c r="AV1178" s="483"/>
      <c r="AW1178" s="483"/>
      <c r="AX1178" s="483"/>
      <c r="AY1178" s="270"/>
      <c r="AZ1178" s="270"/>
      <c r="BA1178" s="270" t="str">
        <f>IF(Table1[[#This Row],[Data de Início]]="","",YEAR(Table1[[#This Row],[Data de Início]]))</f>
        <v/>
      </c>
      <c r="BB1178" s="270" t="str">
        <f>IF(Table1[[#This Row],[Data de Início]]="","",MONTH(Table1[[#This Row],[Data de Início]]))</f>
        <v/>
      </c>
      <c r="BC1178" s="270"/>
    </row>
    <row r="1179" spans="2:55" x14ac:dyDescent="0.25">
      <c r="B1179" s="470"/>
      <c r="C1179" s="263"/>
      <c r="D1179" s="477" cm="1">
        <f t="array" ref="D1179">IFERROR(HorasUteisFabrica2Turnos(B1179,C1179), "")</f>
        <v>0</v>
      </c>
      <c r="E1179" s="697" t="str">
        <f t="shared" si="18"/>
        <v/>
      </c>
      <c r="F1179" s="266"/>
      <c r="G1179" s="698"/>
      <c r="H1179" s="266"/>
      <c r="I1179" s="268"/>
      <c r="J1179" s="268"/>
      <c r="K1179" s="268"/>
      <c r="L1179" s="269"/>
      <c r="M1179" s="510" t="str">
        <f>IFERROR(INDEX([1]Produtos!$C:$C,MATCH(L1179,[1]Produtos!$B:$B,0)), "-")</f>
        <v>-</v>
      </c>
      <c r="N1179" s="510" t="str">
        <f>IFERROR(INDEX([1]Produtos!$E:$E,MATCH(L1179,[1]Produtos!$B:$B,0)), "-")</f>
        <v>-</v>
      </c>
      <c r="O1179" s="270" t="str">
        <f>IFERROR(INDEX([1]Produtos!$F:$F,MATCH(L1179,[1]Produtos!$B:$B,0)), "-")</f>
        <v>-</v>
      </c>
      <c r="P1179" s="264" t="str">
        <f>IFERROR(INDEX([1]Produtos!$G:$G,MATCH(L1179,[1]Produtos!$B:$B,0)), "-")</f>
        <v>-</v>
      </c>
      <c r="Q1179" s="270" t="str">
        <f>IFERROR(INDEX([1]Produtos!$H:$H,MATCH(L1179,[1]Produtos!$B:$B,0)), "-")</f>
        <v>-</v>
      </c>
      <c r="R1179" s="270" t="str">
        <f>IFERROR(INDEX([1]Produtos!$I:$I,MATCH(L1179,[1]Produtos!$B:$B,0)), "-")</f>
        <v>-</v>
      </c>
      <c r="S1179" s="270" t="str">
        <f>IFERROR(INDEX([1]Produtos!$J:$J,MATCH(L1179,[1]Produtos!$B:$B,0)), "-")</f>
        <v>-</v>
      </c>
      <c r="T1179" s="475"/>
      <c r="U1179" s="270"/>
      <c r="V1179" s="270"/>
      <c r="W1179" s="270"/>
      <c r="X1179" s="270"/>
      <c r="Y1179" s="270"/>
      <c r="Z1179" s="270"/>
      <c r="AA1179" s="270"/>
      <c r="AB1179" s="270"/>
      <c r="AC1179" s="270"/>
      <c r="AD1179" s="270"/>
      <c r="AE1179" s="270"/>
      <c r="AF1179" s="270"/>
      <c r="AG1179" s="270"/>
      <c r="AH1179" s="270"/>
      <c r="AI1179" s="270"/>
      <c r="AJ1179" s="270"/>
      <c r="AK1179" s="270"/>
      <c r="AL1179" s="270"/>
      <c r="AM1179" s="663"/>
      <c r="AN1179" s="663"/>
      <c r="AO1179" s="708" t="str">
        <f>IF(OR(Table1[[#This Row],[Início Setup Envase]]="",Table1[[#This Row],[Final Setup Envase]]=""),"",Table1[[#This Row],[Final Setup Envase]]-Table1[[#This Row],[Início Setup Envase]])</f>
        <v/>
      </c>
      <c r="AP1179" s="663"/>
      <c r="AQ1179" s="663"/>
      <c r="AR1179" s="270"/>
      <c r="AS1179" s="674"/>
      <c r="AT1179" s="674"/>
      <c r="AU1179" s="270"/>
      <c r="AV1179" s="270"/>
      <c r="AW1179" s="270"/>
      <c r="AX1179" s="270"/>
      <c r="AY1179" s="270"/>
      <c r="AZ1179" s="270"/>
      <c r="BA1179" s="270" t="str">
        <f>IF(Table1[[#This Row],[Data de Início]]="","",YEAR(Table1[[#This Row],[Data de Início]]))</f>
        <v/>
      </c>
      <c r="BB1179" s="270" t="str">
        <f>IF(Table1[[#This Row],[Data de Início]]="","",MONTH(Table1[[#This Row],[Data de Início]]))</f>
        <v/>
      </c>
      <c r="BC1179" s="483"/>
    </row>
    <row r="1180" spans="2:55" x14ac:dyDescent="0.25">
      <c r="B1180" s="470"/>
      <c r="C1180" s="263"/>
      <c r="D1180" s="477" cm="1">
        <f t="array" ref="D1180">IFERROR(HorasUteisFabrica2Turnos(B1180,C1180), "")</f>
        <v>0</v>
      </c>
      <c r="E1180" s="478" t="str">
        <f t="shared" si="18"/>
        <v/>
      </c>
      <c r="F1180" s="266"/>
      <c r="G1180" s="656"/>
      <c r="H1180" s="479"/>
      <c r="I1180" s="268"/>
      <c r="J1180" s="268"/>
      <c r="K1180" s="268"/>
      <c r="L1180" s="269"/>
      <c r="M1180" s="511" t="str">
        <f>IFERROR(INDEX([1]Produtos!$C:$C,MATCH(L1180,[1]Produtos!$B:$B,0)), "-")</f>
        <v>-</v>
      </c>
      <c r="N1180" s="511" t="str">
        <f>IFERROR(INDEX([1]Produtos!$E:$E,MATCH(L1180,[1]Produtos!$B:$B,0)), "-")</f>
        <v>-</v>
      </c>
      <c r="O1180" s="483" t="str">
        <f>IFERROR(INDEX([1]Produtos!$F:$F,MATCH(L1180,[1]Produtos!$B:$B,0)), "-")</f>
        <v>-</v>
      </c>
      <c r="P1180" s="477" t="str">
        <f>IFERROR(INDEX([1]Produtos!$G:$G,MATCH(L1180,[1]Produtos!$B:$B,0)), "-")</f>
        <v>-</v>
      </c>
      <c r="Q1180" s="483" t="str">
        <f>IFERROR(INDEX([1]Produtos!$H:$H,MATCH(L1180,[1]Produtos!$B:$B,0)), "-")</f>
        <v>-</v>
      </c>
      <c r="R1180" s="483" t="str">
        <f>IFERROR(INDEX([1]Produtos!$I:$I,MATCH(L1180,[1]Produtos!$B:$B,0)), "-")</f>
        <v>-</v>
      </c>
      <c r="S1180" s="483" t="str">
        <f>IFERROR(INDEX([1]Produtos!$J:$J,MATCH(L1180,[1]Produtos!$B:$B,0)), "-")</f>
        <v>-</v>
      </c>
      <c r="T1180" s="484"/>
      <c r="U1180" s="483"/>
      <c r="V1180" s="483"/>
      <c r="W1180" s="483"/>
      <c r="X1180" s="483"/>
      <c r="Y1180" s="483"/>
      <c r="Z1180" s="483"/>
      <c r="AA1180" s="483"/>
      <c r="AB1180" s="483"/>
      <c r="AC1180" s="483"/>
      <c r="AD1180" s="483"/>
      <c r="AE1180" s="483"/>
      <c r="AF1180" s="483"/>
      <c r="AG1180" s="483"/>
      <c r="AH1180" s="483"/>
      <c r="AI1180" s="483"/>
      <c r="AJ1180" s="483"/>
      <c r="AK1180" s="483"/>
      <c r="AL1180" s="483"/>
      <c r="AM1180" s="670"/>
      <c r="AN1180" s="670"/>
      <c r="AO1180" s="711" t="str">
        <f>IF(OR(Table1[[#This Row],[Início Setup Envase]]="",Table1[[#This Row],[Final Setup Envase]]=""),"",Table1[[#This Row],[Final Setup Envase]]-Table1[[#This Row],[Início Setup Envase]])</f>
        <v/>
      </c>
      <c r="AP1180" s="670"/>
      <c r="AQ1180" s="670"/>
      <c r="AR1180" s="483"/>
      <c r="AS1180" s="483"/>
      <c r="AT1180" s="483"/>
      <c r="AU1180" s="483"/>
      <c r="AV1180" s="483"/>
      <c r="AW1180" s="483"/>
      <c r="AX1180" s="483"/>
      <c r="AY1180" s="270"/>
      <c r="AZ1180" s="270"/>
      <c r="BA1180" s="270" t="str">
        <f>IF(Table1[[#This Row],[Data de Início]]="","",YEAR(Table1[[#This Row],[Data de Início]]))</f>
        <v/>
      </c>
      <c r="BB1180" s="270" t="str">
        <f>IF(Table1[[#This Row],[Data de Início]]="","",MONTH(Table1[[#This Row],[Data de Início]]))</f>
        <v/>
      </c>
      <c r="BC1180" s="270"/>
    </row>
    <row r="1181" spans="2:55" x14ac:dyDescent="0.25">
      <c r="B1181" s="470"/>
      <c r="C1181" s="263"/>
      <c r="D1181" s="477" cm="1">
        <f t="array" ref="D1181">IFERROR(HorasUteisFabrica2Turnos(B1181,C1181), "")</f>
        <v>0</v>
      </c>
      <c r="E1181" s="697" t="str">
        <f t="shared" si="18"/>
        <v/>
      </c>
      <c r="F1181" s="266"/>
      <c r="G1181" s="698"/>
      <c r="H1181" s="266"/>
      <c r="I1181" s="268"/>
      <c r="J1181" s="268"/>
      <c r="K1181" s="268"/>
      <c r="L1181" s="269"/>
      <c r="M1181" s="510" t="str">
        <f>IFERROR(INDEX([1]Produtos!$C:$C,MATCH(L1181,[1]Produtos!$B:$B,0)), "-")</f>
        <v>-</v>
      </c>
      <c r="N1181" s="510" t="str">
        <f>IFERROR(INDEX([1]Produtos!$E:$E,MATCH(L1181,[1]Produtos!$B:$B,0)), "-")</f>
        <v>-</v>
      </c>
      <c r="O1181" s="270" t="str">
        <f>IFERROR(INDEX([1]Produtos!$F:$F,MATCH(L1181,[1]Produtos!$B:$B,0)), "-")</f>
        <v>-</v>
      </c>
      <c r="P1181" s="264" t="str">
        <f>IFERROR(INDEX([1]Produtos!$G:$G,MATCH(L1181,[1]Produtos!$B:$B,0)), "-")</f>
        <v>-</v>
      </c>
      <c r="Q1181" s="270" t="str">
        <f>IFERROR(INDEX([1]Produtos!$H:$H,MATCH(L1181,[1]Produtos!$B:$B,0)), "-")</f>
        <v>-</v>
      </c>
      <c r="R1181" s="270" t="str">
        <f>IFERROR(INDEX([1]Produtos!$I:$I,MATCH(L1181,[1]Produtos!$B:$B,0)), "-")</f>
        <v>-</v>
      </c>
      <c r="S1181" s="270" t="str">
        <f>IFERROR(INDEX([1]Produtos!$J:$J,MATCH(L1181,[1]Produtos!$B:$B,0)), "-")</f>
        <v>-</v>
      </c>
      <c r="T1181" s="475"/>
      <c r="U1181" s="270"/>
      <c r="V1181" s="270"/>
      <c r="W1181" s="270"/>
      <c r="X1181" s="270"/>
      <c r="Y1181" s="270"/>
      <c r="Z1181" s="270"/>
      <c r="AA1181" s="270"/>
      <c r="AB1181" s="270"/>
      <c r="AC1181" s="270"/>
      <c r="AD1181" s="270"/>
      <c r="AE1181" s="270"/>
      <c r="AF1181" s="270"/>
      <c r="AG1181" s="270"/>
      <c r="AH1181" s="270"/>
      <c r="AI1181" s="270"/>
      <c r="AJ1181" s="270"/>
      <c r="AK1181" s="270"/>
      <c r="AL1181" s="270"/>
      <c r="AM1181" s="663"/>
      <c r="AN1181" s="663"/>
      <c r="AO1181" s="708" t="str">
        <f>IF(OR(Table1[[#This Row],[Início Setup Envase]]="",Table1[[#This Row],[Final Setup Envase]]=""),"",Table1[[#This Row],[Final Setup Envase]]-Table1[[#This Row],[Início Setup Envase]])</f>
        <v/>
      </c>
      <c r="AP1181" s="663"/>
      <c r="AQ1181" s="663"/>
      <c r="AR1181" s="270"/>
      <c r="AS1181" s="674"/>
      <c r="AT1181" s="674"/>
      <c r="AU1181" s="270"/>
      <c r="AV1181" s="270"/>
      <c r="AW1181" s="270"/>
      <c r="AX1181" s="270"/>
      <c r="AY1181" s="270"/>
      <c r="AZ1181" s="270"/>
      <c r="BA1181" s="270" t="str">
        <f>IF(Table1[[#This Row],[Data de Início]]="","",YEAR(Table1[[#This Row],[Data de Início]]))</f>
        <v/>
      </c>
      <c r="BB1181" s="270" t="str">
        <f>IF(Table1[[#This Row],[Data de Início]]="","",MONTH(Table1[[#This Row],[Data de Início]]))</f>
        <v/>
      </c>
      <c r="BC1181" s="483"/>
    </row>
    <row r="1182" spans="2:55" x14ac:dyDescent="0.25">
      <c r="B1182" s="470"/>
      <c r="C1182" s="263"/>
      <c r="D1182" s="477" cm="1">
        <f t="array" ref="D1182">IFERROR(HorasUteisFabrica2Turnos(B1182,C1182), "")</f>
        <v>0</v>
      </c>
      <c r="E1182" s="478" t="str">
        <f t="shared" si="18"/>
        <v/>
      </c>
      <c r="F1182" s="266"/>
      <c r="G1182" s="656"/>
      <c r="H1182" s="479"/>
      <c r="I1182" s="268"/>
      <c r="J1182" s="268"/>
      <c r="K1182" s="268"/>
      <c r="L1182" s="269"/>
      <c r="M1182" s="511" t="str">
        <f>IFERROR(INDEX([1]Produtos!$C:$C,MATCH(L1182,[1]Produtos!$B:$B,0)), "-")</f>
        <v>-</v>
      </c>
      <c r="N1182" s="511" t="str">
        <f>IFERROR(INDEX([1]Produtos!$E:$E,MATCH(L1182,[1]Produtos!$B:$B,0)), "-")</f>
        <v>-</v>
      </c>
      <c r="O1182" s="483" t="str">
        <f>IFERROR(INDEX([1]Produtos!$F:$F,MATCH(L1182,[1]Produtos!$B:$B,0)), "-")</f>
        <v>-</v>
      </c>
      <c r="P1182" s="477" t="str">
        <f>IFERROR(INDEX([1]Produtos!$G:$G,MATCH(L1182,[1]Produtos!$B:$B,0)), "-")</f>
        <v>-</v>
      </c>
      <c r="Q1182" s="483" t="str">
        <f>IFERROR(INDEX([1]Produtos!$H:$H,MATCH(L1182,[1]Produtos!$B:$B,0)), "-")</f>
        <v>-</v>
      </c>
      <c r="R1182" s="483" t="str">
        <f>IFERROR(INDEX([1]Produtos!$I:$I,MATCH(L1182,[1]Produtos!$B:$B,0)), "-")</f>
        <v>-</v>
      </c>
      <c r="S1182" s="483" t="str">
        <f>IFERROR(INDEX([1]Produtos!$J:$J,MATCH(L1182,[1]Produtos!$B:$B,0)), "-")</f>
        <v>-</v>
      </c>
      <c r="T1182" s="484"/>
      <c r="U1182" s="483"/>
      <c r="V1182" s="483"/>
      <c r="W1182" s="483"/>
      <c r="X1182" s="483"/>
      <c r="Y1182" s="483"/>
      <c r="Z1182" s="483"/>
      <c r="AA1182" s="483"/>
      <c r="AB1182" s="483"/>
      <c r="AC1182" s="483"/>
      <c r="AD1182" s="483"/>
      <c r="AE1182" s="483"/>
      <c r="AF1182" s="483"/>
      <c r="AG1182" s="483"/>
      <c r="AH1182" s="483"/>
      <c r="AI1182" s="483"/>
      <c r="AJ1182" s="483"/>
      <c r="AK1182" s="483"/>
      <c r="AL1182" s="483"/>
      <c r="AM1182" s="670"/>
      <c r="AN1182" s="670"/>
      <c r="AO1182" s="711" t="str">
        <f>IF(OR(Table1[[#This Row],[Início Setup Envase]]="",Table1[[#This Row],[Final Setup Envase]]=""),"",Table1[[#This Row],[Final Setup Envase]]-Table1[[#This Row],[Início Setup Envase]])</f>
        <v/>
      </c>
      <c r="AP1182" s="670"/>
      <c r="AQ1182" s="670"/>
      <c r="AR1182" s="483"/>
      <c r="AS1182" s="483"/>
      <c r="AT1182" s="483"/>
      <c r="AU1182" s="483"/>
      <c r="AV1182" s="483"/>
      <c r="AW1182" s="483"/>
      <c r="AX1182" s="483"/>
      <c r="AY1182" s="270"/>
      <c r="AZ1182" s="270"/>
      <c r="BA1182" s="270" t="str">
        <f>IF(Table1[[#This Row],[Data de Início]]="","",YEAR(Table1[[#This Row],[Data de Início]]))</f>
        <v/>
      </c>
      <c r="BB1182" s="270" t="str">
        <f>IF(Table1[[#This Row],[Data de Início]]="","",MONTH(Table1[[#This Row],[Data de Início]]))</f>
        <v/>
      </c>
      <c r="BC1182" s="270"/>
    </row>
    <row r="1183" spans="2:55" x14ac:dyDescent="0.25">
      <c r="B1183" s="470"/>
      <c r="C1183" s="263"/>
      <c r="D1183" s="477" cm="1">
        <f t="array" ref="D1183">IFERROR(HorasUteisFabrica2Turnos(B1183,C1183), "")</f>
        <v>0</v>
      </c>
      <c r="E1183" s="697" t="str">
        <f t="shared" si="18"/>
        <v/>
      </c>
      <c r="F1183" s="266"/>
      <c r="G1183" s="698"/>
      <c r="H1183" s="266"/>
      <c r="I1183" s="268"/>
      <c r="J1183" s="268"/>
      <c r="K1183" s="268"/>
      <c r="L1183" s="269"/>
      <c r="M1183" s="510" t="str">
        <f>IFERROR(INDEX([1]Produtos!$C:$C,MATCH(L1183,[1]Produtos!$B:$B,0)), "-")</f>
        <v>-</v>
      </c>
      <c r="N1183" s="510" t="str">
        <f>IFERROR(INDEX([1]Produtos!$E:$E,MATCH(L1183,[1]Produtos!$B:$B,0)), "-")</f>
        <v>-</v>
      </c>
      <c r="O1183" s="270" t="str">
        <f>IFERROR(INDEX([1]Produtos!$F:$F,MATCH(L1183,[1]Produtos!$B:$B,0)), "-")</f>
        <v>-</v>
      </c>
      <c r="P1183" s="264" t="str">
        <f>IFERROR(INDEX([1]Produtos!$G:$G,MATCH(L1183,[1]Produtos!$B:$B,0)), "-")</f>
        <v>-</v>
      </c>
      <c r="Q1183" s="270" t="str">
        <f>IFERROR(INDEX([1]Produtos!$H:$H,MATCH(L1183,[1]Produtos!$B:$B,0)), "-")</f>
        <v>-</v>
      </c>
      <c r="R1183" s="270" t="str">
        <f>IFERROR(INDEX([1]Produtos!$I:$I,MATCH(L1183,[1]Produtos!$B:$B,0)), "-")</f>
        <v>-</v>
      </c>
      <c r="S1183" s="270" t="str">
        <f>IFERROR(INDEX([1]Produtos!$J:$J,MATCH(L1183,[1]Produtos!$B:$B,0)), "-")</f>
        <v>-</v>
      </c>
      <c r="T1183" s="475"/>
      <c r="U1183" s="270"/>
      <c r="V1183" s="270"/>
      <c r="W1183" s="270"/>
      <c r="X1183" s="270"/>
      <c r="Y1183" s="270"/>
      <c r="Z1183" s="270"/>
      <c r="AA1183" s="270"/>
      <c r="AB1183" s="270"/>
      <c r="AC1183" s="270"/>
      <c r="AD1183" s="270"/>
      <c r="AE1183" s="270"/>
      <c r="AF1183" s="270"/>
      <c r="AG1183" s="270"/>
      <c r="AH1183" s="270"/>
      <c r="AI1183" s="270"/>
      <c r="AJ1183" s="270"/>
      <c r="AK1183" s="270"/>
      <c r="AL1183" s="270"/>
      <c r="AM1183" s="663"/>
      <c r="AN1183" s="663"/>
      <c r="AO1183" s="708" t="str">
        <f>IF(OR(Table1[[#This Row],[Início Setup Envase]]="",Table1[[#This Row],[Final Setup Envase]]=""),"",Table1[[#This Row],[Final Setup Envase]]-Table1[[#This Row],[Início Setup Envase]])</f>
        <v/>
      </c>
      <c r="AP1183" s="663"/>
      <c r="AQ1183" s="663"/>
      <c r="AR1183" s="270"/>
      <c r="AS1183" s="674"/>
      <c r="AT1183" s="674"/>
      <c r="AU1183" s="270"/>
      <c r="AV1183" s="270"/>
      <c r="AW1183" s="270"/>
      <c r="AX1183" s="270"/>
      <c r="AY1183" s="270"/>
      <c r="AZ1183" s="270"/>
      <c r="BA1183" s="270" t="str">
        <f>IF(Table1[[#This Row],[Data de Início]]="","",YEAR(Table1[[#This Row],[Data de Início]]))</f>
        <v/>
      </c>
      <c r="BB1183" s="270" t="str">
        <f>IF(Table1[[#This Row],[Data de Início]]="","",MONTH(Table1[[#This Row],[Data de Início]]))</f>
        <v/>
      </c>
      <c r="BC1183" s="483"/>
    </row>
    <row r="1184" spans="2:55" x14ac:dyDescent="0.25">
      <c r="B1184" s="470"/>
      <c r="C1184" s="263"/>
      <c r="D1184" s="477" cm="1">
        <f t="array" ref="D1184">IFERROR(HorasUteisFabrica2Turnos(B1184,C1184), "")</f>
        <v>0</v>
      </c>
      <c r="E1184" s="478" t="str">
        <f t="shared" si="18"/>
        <v/>
      </c>
      <c r="F1184" s="266"/>
      <c r="G1184" s="656"/>
      <c r="H1184" s="479"/>
      <c r="I1184" s="268"/>
      <c r="J1184" s="268"/>
      <c r="K1184" s="268"/>
      <c r="L1184" s="269"/>
      <c r="M1184" s="511" t="str">
        <f>IFERROR(INDEX([1]Produtos!$C:$C,MATCH(L1184,[1]Produtos!$B:$B,0)), "-")</f>
        <v>-</v>
      </c>
      <c r="N1184" s="511" t="str">
        <f>IFERROR(INDEX([1]Produtos!$E:$E,MATCH(L1184,[1]Produtos!$B:$B,0)), "-")</f>
        <v>-</v>
      </c>
      <c r="O1184" s="483" t="str">
        <f>IFERROR(INDEX([1]Produtos!$F:$F,MATCH(L1184,[1]Produtos!$B:$B,0)), "-")</f>
        <v>-</v>
      </c>
      <c r="P1184" s="477" t="str">
        <f>IFERROR(INDEX([1]Produtos!$G:$G,MATCH(L1184,[1]Produtos!$B:$B,0)), "-")</f>
        <v>-</v>
      </c>
      <c r="Q1184" s="483" t="str">
        <f>IFERROR(INDEX([1]Produtos!$H:$H,MATCH(L1184,[1]Produtos!$B:$B,0)), "-")</f>
        <v>-</v>
      </c>
      <c r="R1184" s="483" t="str">
        <f>IFERROR(INDEX([1]Produtos!$I:$I,MATCH(L1184,[1]Produtos!$B:$B,0)), "-")</f>
        <v>-</v>
      </c>
      <c r="S1184" s="483" t="str">
        <f>IFERROR(INDEX([1]Produtos!$J:$J,MATCH(L1184,[1]Produtos!$B:$B,0)), "-")</f>
        <v>-</v>
      </c>
      <c r="T1184" s="484"/>
      <c r="U1184" s="483"/>
      <c r="V1184" s="483"/>
      <c r="W1184" s="483"/>
      <c r="X1184" s="483"/>
      <c r="Y1184" s="483"/>
      <c r="Z1184" s="483"/>
      <c r="AA1184" s="483"/>
      <c r="AB1184" s="483"/>
      <c r="AC1184" s="483"/>
      <c r="AD1184" s="483"/>
      <c r="AE1184" s="483"/>
      <c r="AF1184" s="483"/>
      <c r="AG1184" s="483"/>
      <c r="AH1184" s="483"/>
      <c r="AI1184" s="483"/>
      <c r="AJ1184" s="483"/>
      <c r="AK1184" s="483"/>
      <c r="AL1184" s="483"/>
      <c r="AM1184" s="670"/>
      <c r="AN1184" s="670"/>
      <c r="AO1184" s="711" t="str">
        <f>IF(OR(Table1[[#This Row],[Início Setup Envase]]="",Table1[[#This Row],[Final Setup Envase]]=""),"",Table1[[#This Row],[Final Setup Envase]]-Table1[[#This Row],[Início Setup Envase]])</f>
        <v/>
      </c>
      <c r="AP1184" s="670"/>
      <c r="AQ1184" s="670"/>
      <c r="AR1184" s="483"/>
      <c r="AS1184" s="483"/>
      <c r="AT1184" s="483"/>
      <c r="AU1184" s="483"/>
      <c r="AV1184" s="483"/>
      <c r="AW1184" s="483"/>
      <c r="AX1184" s="483"/>
      <c r="AY1184" s="270"/>
      <c r="AZ1184" s="270"/>
      <c r="BA1184" s="270" t="str">
        <f>IF(Table1[[#This Row],[Data de Início]]="","",YEAR(Table1[[#This Row],[Data de Início]]))</f>
        <v/>
      </c>
      <c r="BB1184" s="270" t="str">
        <f>IF(Table1[[#This Row],[Data de Início]]="","",MONTH(Table1[[#This Row],[Data de Início]]))</f>
        <v/>
      </c>
      <c r="BC1184" s="270"/>
    </row>
    <row r="1185" spans="2:55" x14ac:dyDescent="0.25">
      <c r="B1185" s="470"/>
      <c r="C1185" s="263"/>
      <c r="D1185" s="477" cm="1">
        <f t="array" ref="D1185">IFERROR(HorasUteisFabrica2Turnos(B1185,C1185), "")</f>
        <v>0</v>
      </c>
      <c r="E1185" s="697" t="str">
        <f t="shared" si="18"/>
        <v/>
      </c>
      <c r="F1185" s="266"/>
      <c r="G1185" s="698"/>
      <c r="H1185" s="266"/>
      <c r="I1185" s="268"/>
      <c r="J1185" s="268"/>
      <c r="K1185" s="268"/>
      <c r="L1185" s="269"/>
      <c r="M1185" s="510" t="str">
        <f>IFERROR(INDEX([1]Produtos!$C:$C,MATCH(L1185,[1]Produtos!$B:$B,0)), "-")</f>
        <v>-</v>
      </c>
      <c r="N1185" s="510" t="str">
        <f>IFERROR(INDEX([1]Produtos!$E:$E,MATCH(L1185,[1]Produtos!$B:$B,0)), "-")</f>
        <v>-</v>
      </c>
      <c r="O1185" s="270" t="str">
        <f>IFERROR(INDEX([1]Produtos!$F:$F,MATCH(L1185,[1]Produtos!$B:$B,0)), "-")</f>
        <v>-</v>
      </c>
      <c r="P1185" s="264" t="str">
        <f>IFERROR(INDEX([1]Produtos!$G:$G,MATCH(L1185,[1]Produtos!$B:$B,0)), "-")</f>
        <v>-</v>
      </c>
      <c r="Q1185" s="270" t="str">
        <f>IFERROR(INDEX([1]Produtos!$H:$H,MATCH(L1185,[1]Produtos!$B:$B,0)), "-")</f>
        <v>-</v>
      </c>
      <c r="R1185" s="270" t="str">
        <f>IFERROR(INDEX([1]Produtos!$I:$I,MATCH(L1185,[1]Produtos!$B:$B,0)), "-")</f>
        <v>-</v>
      </c>
      <c r="S1185" s="270" t="str">
        <f>IFERROR(INDEX([1]Produtos!$J:$J,MATCH(L1185,[1]Produtos!$B:$B,0)), "-")</f>
        <v>-</v>
      </c>
      <c r="T1185" s="475"/>
      <c r="U1185" s="270"/>
      <c r="V1185" s="270"/>
      <c r="W1185" s="270"/>
      <c r="X1185" s="270"/>
      <c r="Y1185" s="270"/>
      <c r="Z1185" s="270"/>
      <c r="AA1185" s="270"/>
      <c r="AB1185" s="270"/>
      <c r="AC1185" s="270"/>
      <c r="AD1185" s="270"/>
      <c r="AE1185" s="270"/>
      <c r="AF1185" s="270"/>
      <c r="AG1185" s="270"/>
      <c r="AH1185" s="270"/>
      <c r="AI1185" s="270"/>
      <c r="AJ1185" s="270"/>
      <c r="AK1185" s="270"/>
      <c r="AL1185" s="270"/>
      <c r="AM1185" s="663"/>
      <c r="AN1185" s="663"/>
      <c r="AO1185" s="708" t="str">
        <f>IF(OR(Table1[[#This Row],[Início Setup Envase]]="",Table1[[#This Row],[Final Setup Envase]]=""),"",Table1[[#This Row],[Final Setup Envase]]-Table1[[#This Row],[Início Setup Envase]])</f>
        <v/>
      </c>
      <c r="AP1185" s="663"/>
      <c r="AQ1185" s="663"/>
      <c r="AR1185" s="270"/>
      <c r="AS1185" s="674"/>
      <c r="AT1185" s="674"/>
      <c r="AU1185" s="270"/>
      <c r="AV1185" s="270"/>
      <c r="AW1185" s="270"/>
      <c r="AX1185" s="270"/>
      <c r="AY1185" s="270"/>
      <c r="AZ1185" s="270"/>
      <c r="BA1185" s="270" t="str">
        <f>IF(Table1[[#This Row],[Data de Início]]="","",YEAR(Table1[[#This Row],[Data de Início]]))</f>
        <v/>
      </c>
      <c r="BB1185" s="270" t="str">
        <f>IF(Table1[[#This Row],[Data de Início]]="","",MONTH(Table1[[#This Row],[Data de Início]]))</f>
        <v/>
      </c>
      <c r="BC1185" s="483"/>
    </row>
    <row r="1186" spans="2:55" x14ac:dyDescent="0.25">
      <c r="B1186" s="470"/>
      <c r="C1186" s="263"/>
      <c r="D1186" s="477" cm="1">
        <f t="array" ref="D1186">IFERROR(HorasUteisFabrica2Turnos(B1186,C1186), "")</f>
        <v>0</v>
      </c>
      <c r="E1186" s="478" t="str">
        <f t="shared" si="18"/>
        <v/>
      </c>
      <c r="F1186" s="266"/>
      <c r="G1186" s="656"/>
      <c r="H1186" s="479"/>
      <c r="I1186" s="268"/>
      <c r="J1186" s="268"/>
      <c r="K1186" s="268"/>
      <c r="L1186" s="269"/>
      <c r="M1186" s="511" t="str">
        <f>IFERROR(INDEX([1]Produtos!$C:$C,MATCH(L1186,[1]Produtos!$B:$B,0)), "-")</f>
        <v>-</v>
      </c>
      <c r="N1186" s="511" t="str">
        <f>IFERROR(INDEX([1]Produtos!$E:$E,MATCH(L1186,[1]Produtos!$B:$B,0)), "-")</f>
        <v>-</v>
      </c>
      <c r="O1186" s="483" t="str">
        <f>IFERROR(INDEX([1]Produtos!$F:$F,MATCH(L1186,[1]Produtos!$B:$B,0)), "-")</f>
        <v>-</v>
      </c>
      <c r="P1186" s="477" t="str">
        <f>IFERROR(INDEX([1]Produtos!$G:$G,MATCH(L1186,[1]Produtos!$B:$B,0)), "-")</f>
        <v>-</v>
      </c>
      <c r="Q1186" s="483" t="str">
        <f>IFERROR(INDEX([1]Produtos!$H:$H,MATCH(L1186,[1]Produtos!$B:$B,0)), "-")</f>
        <v>-</v>
      </c>
      <c r="R1186" s="483" t="str">
        <f>IFERROR(INDEX([1]Produtos!$I:$I,MATCH(L1186,[1]Produtos!$B:$B,0)), "-")</f>
        <v>-</v>
      </c>
      <c r="S1186" s="483" t="str">
        <f>IFERROR(INDEX([1]Produtos!$J:$J,MATCH(L1186,[1]Produtos!$B:$B,0)), "-")</f>
        <v>-</v>
      </c>
      <c r="T1186" s="484"/>
      <c r="U1186" s="483"/>
      <c r="V1186" s="483"/>
      <c r="W1186" s="483"/>
      <c r="X1186" s="483"/>
      <c r="Y1186" s="483"/>
      <c r="Z1186" s="483"/>
      <c r="AA1186" s="483"/>
      <c r="AB1186" s="483"/>
      <c r="AC1186" s="483"/>
      <c r="AD1186" s="483"/>
      <c r="AE1186" s="483"/>
      <c r="AF1186" s="483"/>
      <c r="AG1186" s="483"/>
      <c r="AH1186" s="483"/>
      <c r="AI1186" s="483"/>
      <c r="AJ1186" s="483"/>
      <c r="AK1186" s="483"/>
      <c r="AL1186" s="483"/>
      <c r="AM1186" s="670"/>
      <c r="AN1186" s="670"/>
      <c r="AO1186" s="711" t="str">
        <f>IF(OR(Table1[[#This Row],[Início Setup Envase]]="",Table1[[#This Row],[Final Setup Envase]]=""),"",Table1[[#This Row],[Final Setup Envase]]-Table1[[#This Row],[Início Setup Envase]])</f>
        <v/>
      </c>
      <c r="AP1186" s="670"/>
      <c r="AQ1186" s="670"/>
      <c r="AR1186" s="483"/>
      <c r="AS1186" s="483"/>
      <c r="AT1186" s="483"/>
      <c r="AU1186" s="483"/>
      <c r="AV1186" s="483"/>
      <c r="AW1186" s="483"/>
      <c r="AX1186" s="483"/>
      <c r="AY1186" s="270"/>
      <c r="AZ1186" s="270"/>
      <c r="BA1186" s="270" t="str">
        <f>IF(Table1[[#This Row],[Data de Início]]="","",YEAR(Table1[[#This Row],[Data de Início]]))</f>
        <v/>
      </c>
      <c r="BB1186" s="270" t="str">
        <f>IF(Table1[[#This Row],[Data de Início]]="","",MONTH(Table1[[#This Row],[Data de Início]]))</f>
        <v/>
      </c>
      <c r="BC1186" s="270"/>
    </row>
    <row r="1187" spans="2:55" x14ac:dyDescent="0.25">
      <c r="B1187" s="470"/>
      <c r="C1187" s="263"/>
      <c r="D1187" s="477" cm="1">
        <f t="array" ref="D1187">IFERROR(HorasUteisFabrica2Turnos(B1187,C1187), "")</f>
        <v>0</v>
      </c>
      <c r="E1187" s="697" t="str">
        <f t="shared" si="18"/>
        <v/>
      </c>
      <c r="F1187" s="266"/>
      <c r="G1187" s="698"/>
      <c r="H1187" s="266"/>
      <c r="I1187" s="268"/>
      <c r="J1187" s="268"/>
      <c r="K1187" s="268"/>
      <c r="L1187" s="269"/>
      <c r="M1187" s="510" t="str">
        <f>IFERROR(INDEX([1]Produtos!$C:$C,MATCH(L1187,[1]Produtos!$B:$B,0)), "-")</f>
        <v>-</v>
      </c>
      <c r="N1187" s="510" t="str">
        <f>IFERROR(INDEX([1]Produtos!$E:$E,MATCH(L1187,[1]Produtos!$B:$B,0)), "-")</f>
        <v>-</v>
      </c>
      <c r="O1187" s="270" t="str">
        <f>IFERROR(INDEX([1]Produtos!$F:$F,MATCH(L1187,[1]Produtos!$B:$B,0)), "-")</f>
        <v>-</v>
      </c>
      <c r="P1187" s="264" t="str">
        <f>IFERROR(INDEX([1]Produtos!$G:$G,MATCH(L1187,[1]Produtos!$B:$B,0)), "-")</f>
        <v>-</v>
      </c>
      <c r="Q1187" s="270" t="str">
        <f>IFERROR(INDEX([1]Produtos!$H:$H,MATCH(L1187,[1]Produtos!$B:$B,0)), "-")</f>
        <v>-</v>
      </c>
      <c r="R1187" s="270" t="str">
        <f>IFERROR(INDEX([1]Produtos!$I:$I,MATCH(L1187,[1]Produtos!$B:$B,0)), "-")</f>
        <v>-</v>
      </c>
      <c r="S1187" s="270" t="str">
        <f>IFERROR(INDEX([1]Produtos!$J:$J,MATCH(L1187,[1]Produtos!$B:$B,0)), "-")</f>
        <v>-</v>
      </c>
      <c r="T1187" s="475"/>
      <c r="U1187" s="270"/>
      <c r="V1187" s="270"/>
      <c r="W1187" s="270"/>
      <c r="X1187" s="270"/>
      <c r="Y1187" s="270"/>
      <c r="Z1187" s="270"/>
      <c r="AA1187" s="270"/>
      <c r="AB1187" s="270"/>
      <c r="AC1187" s="270"/>
      <c r="AD1187" s="270"/>
      <c r="AE1187" s="270"/>
      <c r="AF1187" s="270"/>
      <c r="AG1187" s="270"/>
      <c r="AH1187" s="270"/>
      <c r="AI1187" s="270"/>
      <c r="AJ1187" s="270"/>
      <c r="AK1187" s="270"/>
      <c r="AL1187" s="270"/>
      <c r="AM1187" s="663"/>
      <c r="AN1187" s="663"/>
      <c r="AO1187" s="708" t="str">
        <f>IF(OR(Table1[[#This Row],[Início Setup Envase]]="",Table1[[#This Row],[Final Setup Envase]]=""),"",Table1[[#This Row],[Final Setup Envase]]-Table1[[#This Row],[Início Setup Envase]])</f>
        <v/>
      </c>
      <c r="AP1187" s="663"/>
      <c r="AQ1187" s="663"/>
      <c r="AR1187" s="270"/>
      <c r="AS1187" s="674"/>
      <c r="AT1187" s="674"/>
      <c r="AU1187" s="270"/>
      <c r="AV1187" s="270"/>
      <c r="AW1187" s="270"/>
      <c r="AX1187" s="270"/>
      <c r="AY1187" s="270"/>
      <c r="AZ1187" s="270"/>
      <c r="BA1187" s="270" t="str">
        <f>IF(Table1[[#This Row],[Data de Início]]="","",YEAR(Table1[[#This Row],[Data de Início]]))</f>
        <v/>
      </c>
      <c r="BB1187" s="270" t="str">
        <f>IF(Table1[[#This Row],[Data de Início]]="","",MONTH(Table1[[#This Row],[Data de Início]]))</f>
        <v/>
      </c>
      <c r="BC1187" s="483"/>
    </row>
    <row r="1188" spans="2:55" x14ac:dyDescent="0.25">
      <c r="B1188" s="470"/>
      <c r="C1188" s="263"/>
      <c r="D1188" s="477" cm="1">
        <f t="array" ref="D1188">IFERROR(HorasUteisFabrica2Turnos(B1188,C1188), "")</f>
        <v>0</v>
      </c>
      <c r="E1188" s="478" t="str">
        <f t="shared" si="18"/>
        <v/>
      </c>
      <c r="F1188" s="266"/>
      <c r="G1188" s="656"/>
      <c r="H1188" s="479"/>
      <c r="I1188" s="268"/>
      <c r="J1188" s="268"/>
      <c r="K1188" s="268"/>
      <c r="L1188" s="269"/>
      <c r="M1188" s="511" t="str">
        <f>IFERROR(INDEX([1]Produtos!$C:$C,MATCH(L1188,[1]Produtos!$B:$B,0)), "-")</f>
        <v>-</v>
      </c>
      <c r="N1188" s="511" t="str">
        <f>IFERROR(INDEX([1]Produtos!$E:$E,MATCH(L1188,[1]Produtos!$B:$B,0)), "-")</f>
        <v>-</v>
      </c>
      <c r="O1188" s="483" t="str">
        <f>IFERROR(INDEX([1]Produtos!$F:$F,MATCH(L1188,[1]Produtos!$B:$B,0)), "-")</f>
        <v>-</v>
      </c>
      <c r="P1188" s="477" t="str">
        <f>IFERROR(INDEX([1]Produtos!$G:$G,MATCH(L1188,[1]Produtos!$B:$B,0)), "-")</f>
        <v>-</v>
      </c>
      <c r="Q1188" s="483" t="str">
        <f>IFERROR(INDEX([1]Produtos!$H:$H,MATCH(L1188,[1]Produtos!$B:$B,0)), "-")</f>
        <v>-</v>
      </c>
      <c r="R1188" s="483" t="str">
        <f>IFERROR(INDEX([1]Produtos!$I:$I,MATCH(L1188,[1]Produtos!$B:$B,0)), "-")</f>
        <v>-</v>
      </c>
      <c r="S1188" s="483" t="str">
        <f>IFERROR(INDEX([1]Produtos!$J:$J,MATCH(L1188,[1]Produtos!$B:$B,0)), "-")</f>
        <v>-</v>
      </c>
      <c r="T1188" s="484"/>
      <c r="U1188" s="483"/>
      <c r="V1188" s="483"/>
      <c r="W1188" s="483"/>
      <c r="X1188" s="483"/>
      <c r="Y1188" s="483"/>
      <c r="Z1188" s="483"/>
      <c r="AA1188" s="483"/>
      <c r="AB1188" s="483"/>
      <c r="AC1188" s="483"/>
      <c r="AD1188" s="483"/>
      <c r="AE1188" s="483"/>
      <c r="AF1188" s="483"/>
      <c r="AG1188" s="483"/>
      <c r="AH1188" s="483"/>
      <c r="AI1188" s="483"/>
      <c r="AJ1188" s="483"/>
      <c r="AK1188" s="483"/>
      <c r="AL1188" s="483"/>
      <c r="AM1188" s="670"/>
      <c r="AN1188" s="670"/>
      <c r="AO1188" s="711" t="str">
        <f>IF(OR(Table1[[#This Row],[Início Setup Envase]]="",Table1[[#This Row],[Final Setup Envase]]=""),"",Table1[[#This Row],[Final Setup Envase]]-Table1[[#This Row],[Início Setup Envase]])</f>
        <v/>
      </c>
      <c r="AP1188" s="670"/>
      <c r="AQ1188" s="670"/>
      <c r="AR1188" s="483"/>
      <c r="AS1188" s="483"/>
      <c r="AT1188" s="483"/>
      <c r="AU1188" s="483"/>
      <c r="AV1188" s="483"/>
      <c r="AW1188" s="483"/>
      <c r="AX1188" s="483"/>
      <c r="AY1188" s="270"/>
      <c r="AZ1188" s="270"/>
      <c r="BA1188" s="270" t="str">
        <f>IF(Table1[[#This Row],[Data de Início]]="","",YEAR(Table1[[#This Row],[Data de Início]]))</f>
        <v/>
      </c>
      <c r="BB1188" s="270" t="str">
        <f>IF(Table1[[#This Row],[Data de Início]]="","",MONTH(Table1[[#This Row],[Data de Início]]))</f>
        <v/>
      </c>
      <c r="BC1188" s="270"/>
    </row>
    <row r="1189" spans="2:55" x14ac:dyDescent="0.25">
      <c r="B1189" s="470"/>
      <c r="C1189" s="263"/>
      <c r="D1189" s="477" cm="1">
        <f t="array" ref="D1189">IFERROR(HorasUteisFabrica2Turnos(B1189,C1189), "")</f>
        <v>0</v>
      </c>
      <c r="E1189" s="697" t="str">
        <f t="shared" ref="E1189:E1252" si="19">IFERROR(K1189/D1189, "")</f>
        <v/>
      </c>
      <c r="F1189" s="266"/>
      <c r="G1189" s="698"/>
      <c r="H1189" s="266"/>
      <c r="I1189" s="268"/>
      <c r="J1189" s="268"/>
      <c r="K1189" s="268"/>
      <c r="L1189" s="269"/>
      <c r="M1189" s="510" t="str">
        <f>IFERROR(INDEX([1]Produtos!$C:$C,MATCH(L1189,[1]Produtos!$B:$B,0)), "-")</f>
        <v>-</v>
      </c>
      <c r="N1189" s="510" t="str">
        <f>IFERROR(INDEX([1]Produtos!$E:$E,MATCH(L1189,[1]Produtos!$B:$B,0)), "-")</f>
        <v>-</v>
      </c>
      <c r="O1189" s="270" t="str">
        <f>IFERROR(INDEX([1]Produtos!$F:$F,MATCH(L1189,[1]Produtos!$B:$B,0)), "-")</f>
        <v>-</v>
      </c>
      <c r="P1189" s="264" t="str">
        <f>IFERROR(INDEX([1]Produtos!$G:$G,MATCH(L1189,[1]Produtos!$B:$B,0)), "-")</f>
        <v>-</v>
      </c>
      <c r="Q1189" s="270" t="str">
        <f>IFERROR(INDEX([1]Produtos!$H:$H,MATCH(L1189,[1]Produtos!$B:$B,0)), "-")</f>
        <v>-</v>
      </c>
      <c r="R1189" s="270" t="str">
        <f>IFERROR(INDEX([1]Produtos!$I:$I,MATCH(L1189,[1]Produtos!$B:$B,0)), "-")</f>
        <v>-</v>
      </c>
      <c r="S1189" s="270" t="str">
        <f>IFERROR(INDEX([1]Produtos!$J:$J,MATCH(L1189,[1]Produtos!$B:$B,0)), "-")</f>
        <v>-</v>
      </c>
      <c r="T1189" s="475"/>
      <c r="U1189" s="270"/>
      <c r="V1189" s="270"/>
      <c r="W1189" s="270"/>
      <c r="X1189" s="270"/>
      <c r="Y1189" s="270"/>
      <c r="Z1189" s="270"/>
      <c r="AA1189" s="270"/>
      <c r="AB1189" s="270"/>
      <c r="AC1189" s="270"/>
      <c r="AD1189" s="270"/>
      <c r="AE1189" s="270"/>
      <c r="AF1189" s="270"/>
      <c r="AG1189" s="270"/>
      <c r="AH1189" s="270"/>
      <c r="AI1189" s="270"/>
      <c r="AJ1189" s="270"/>
      <c r="AK1189" s="270"/>
      <c r="AL1189" s="270"/>
      <c r="AM1189" s="663"/>
      <c r="AN1189" s="663"/>
      <c r="AO1189" s="708" t="str">
        <f>IF(OR(Table1[[#This Row],[Início Setup Envase]]="",Table1[[#This Row],[Final Setup Envase]]=""),"",Table1[[#This Row],[Final Setup Envase]]-Table1[[#This Row],[Início Setup Envase]])</f>
        <v/>
      </c>
      <c r="AP1189" s="663"/>
      <c r="AQ1189" s="663"/>
      <c r="AR1189" s="270"/>
      <c r="AS1189" s="674"/>
      <c r="AT1189" s="674"/>
      <c r="AU1189" s="270"/>
      <c r="AV1189" s="270"/>
      <c r="AW1189" s="270"/>
      <c r="AX1189" s="270"/>
      <c r="AY1189" s="270"/>
      <c r="AZ1189" s="270"/>
      <c r="BA1189" s="270" t="str">
        <f>IF(Table1[[#This Row],[Data de Início]]="","",YEAR(Table1[[#This Row],[Data de Início]]))</f>
        <v/>
      </c>
      <c r="BB1189" s="270" t="str">
        <f>IF(Table1[[#This Row],[Data de Início]]="","",MONTH(Table1[[#This Row],[Data de Início]]))</f>
        <v/>
      </c>
      <c r="BC1189" s="483"/>
    </row>
    <row r="1190" spans="2:55" x14ac:dyDescent="0.25">
      <c r="B1190" s="470"/>
      <c r="C1190" s="263"/>
      <c r="D1190" s="477" cm="1">
        <f t="array" ref="D1190">IFERROR(HorasUteisFabrica2Turnos(B1190,C1190), "")</f>
        <v>0</v>
      </c>
      <c r="E1190" s="478" t="str">
        <f t="shared" si="19"/>
        <v/>
      </c>
      <c r="F1190" s="266"/>
      <c r="G1190" s="656"/>
      <c r="H1190" s="479"/>
      <c r="I1190" s="268"/>
      <c r="J1190" s="268"/>
      <c r="K1190" s="268"/>
      <c r="L1190" s="269"/>
      <c r="M1190" s="511" t="str">
        <f>IFERROR(INDEX([1]Produtos!$C:$C,MATCH(L1190,[1]Produtos!$B:$B,0)), "-")</f>
        <v>-</v>
      </c>
      <c r="N1190" s="511" t="str">
        <f>IFERROR(INDEX([1]Produtos!$E:$E,MATCH(L1190,[1]Produtos!$B:$B,0)), "-")</f>
        <v>-</v>
      </c>
      <c r="O1190" s="483" t="str">
        <f>IFERROR(INDEX([1]Produtos!$F:$F,MATCH(L1190,[1]Produtos!$B:$B,0)), "-")</f>
        <v>-</v>
      </c>
      <c r="P1190" s="477" t="str">
        <f>IFERROR(INDEX([1]Produtos!$G:$G,MATCH(L1190,[1]Produtos!$B:$B,0)), "-")</f>
        <v>-</v>
      </c>
      <c r="Q1190" s="483" t="str">
        <f>IFERROR(INDEX([1]Produtos!$H:$H,MATCH(L1190,[1]Produtos!$B:$B,0)), "-")</f>
        <v>-</v>
      </c>
      <c r="R1190" s="483" t="str">
        <f>IFERROR(INDEX([1]Produtos!$I:$I,MATCH(L1190,[1]Produtos!$B:$B,0)), "-")</f>
        <v>-</v>
      </c>
      <c r="S1190" s="483" t="str">
        <f>IFERROR(INDEX([1]Produtos!$J:$J,MATCH(L1190,[1]Produtos!$B:$B,0)), "-")</f>
        <v>-</v>
      </c>
      <c r="T1190" s="484"/>
      <c r="U1190" s="483"/>
      <c r="V1190" s="483"/>
      <c r="W1190" s="483"/>
      <c r="X1190" s="483"/>
      <c r="Y1190" s="483"/>
      <c r="Z1190" s="483"/>
      <c r="AA1190" s="483"/>
      <c r="AB1190" s="483"/>
      <c r="AC1190" s="483"/>
      <c r="AD1190" s="483"/>
      <c r="AE1190" s="483"/>
      <c r="AF1190" s="483"/>
      <c r="AG1190" s="483"/>
      <c r="AH1190" s="483"/>
      <c r="AI1190" s="483"/>
      <c r="AJ1190" s="483"/>
      <c r="AK1190" s="483"/>
      <c r="AL1190" s="483"/>
      <c r="AM1190" s="670"/>
      <c r="AN1190" s="670"/>
      <c r="AO1190" s="711" t="str">
        <f>IF(OR(Table1[[#This Row],[Início Setup Envase]]="",Table1[[#This Row],[Final Setup Envase]]=""),"",Table1[[#This Row],[Final Setup Envase]]-Table1[[#This Row],[Início Setup Envase]])</f>
        <v/>
      </c>
      <c r="AP1190" s="670"/>
      <c r="AQ1190" s="670"/>
      <c r="AR1190" s="483"/>
      <c r="AS1190" s="483"/>
      <c r="AT1190" s="483"/>
      <c r="AU1190" s="483"/>
      <c r="AV1190" s="483"/>
      <c r="AW1190" s="483"/>
      <c r="AX1190" s="483"/>
      <c r="AY1190" s="270"/>
      <c r="AZ1190" s="270"/>
      <c r="BA1190" s="270" t="str">
        <f>IF(Table1[[#This Row],[Data de Início]]="","",YEAR(Table1[[#This Row],[Data de Início]]))</f>
        <v/>
      </c>
      <c r="BB1190" s="270" t="str">
        <f>IF(Table1[[#This Row],[Data de Início]]="","",MONTH(Table1[[#This Row],[Data de Início]]))</f>
        <v/>
      </c>
      <c r="BC1190" s="270"/>
    </row>
    <row r="1191" spans="2:55" x14ac:dyDescent="0.25">
      <c r="B1191" s="470"/>
      <c r="C1191" s="263"/>
      <c r="D1191" s="477" cm="1">
        <f t="array" ref="D1191">IFERROR(HorasUteisFabrica2Turnos(B1191,C1191), "")</f>
        <v>0</v>
      </c>
      <c r="E1191" s="697" t="str">
        <f t="shared" si="19"/>
        <v/>
      </c>
      <c r="F1191" s="266"/>
      <c r="G1191" s="698"/>
      <c r="H1191" s="266"/>
      <c r="I1191" s="268"/>
      <c r="J1191" s="268"/>
      <c r="K1191" s="268"/>
      <c r="L1191" s="269"/>
      <c r="M1191" s="510" t="str">
        <f>IFERROR(INDEX([1]Produtos!$C:$C,MATCH(L1191,[1]Produtos!$B:$B,0)), "-")</f>
        <v>-</v>
      </c>
      <c r="N1191" s="510" t="str">
        <f>IFERROR(INDEX([1]Produtos!$E:$E,MATCH(L1191,[1]Produtos!$B:$B,0)), "-")</f>
        <v>-</v>
      </c>
      <c r="O1191" s="270" t="str">
        <f>IFERROR(INDEX([1]Produtos!$F:$F,MATCH(L1191,[1]Produtos!$B:$B,0)), "-")</f>
        <v>-</v>
      </c>
      <c r="P1191" s="264" t="str">
        <f>IFERROR(INDEX([1]Produtos!$G:$G,MATCH(L1191,[1]Produtos!$B:$B,0)), "-")</f>
        <v>-</v>
      </c>
      <c r="Q1191" s="270" t="str">
        <f>IFERROR(INDEX([1]Produtos!$H:$H,MATCH(L1191,[1]Produtos!$B:$B,0)), "-")</f>
        <v>-</v>
      </c>
      <c r="R1191" s="270" t="str">
        <f>IFERROR(INDEX([1]Produtos!$I:$I,MATCH(L1191,[1]Produtos!$B:$B,0)), "-")</f>
        <v>-</v>
      </c>
      <c r="S1191" s="270" t="str">
        <f>IFERROR(INDEX([1]Produtos!$J:$J,MATCH(L1191,[1]Produtos!$B:$B,0)), "-")</f>
        <v>-</v>
      </c>
      <c r="T1191" s="475"/>
      <c r="U1191" s="270"/>
      <c r="V1191" s="270"/>
      <c r="W1191" s="270"/>
      <c r="X1191" s="270"/>
      <c r="Y1191" s="270"/>
      <c r="Z1191" s="270"/>
      <c r="AA1191" s="270"/>
      <c r="AB1191" s="270"/>
      <c r="AC1191" s="270"/>
      <c r="AD1191" s="270"/>
      <c r="AE1191" s="270"/>
      <c r="AF1191" s="270"/>
      <c r="AG1191" s="270"/>
      <c r="AH1191" s="270"/>
      <c r="AI1191" s="270"/>
      <c r="AJ1191" s="270"/>
      <c r="AK1191" s="270"/>
      <c r="AL1191" s="270"/>
      <c r="AM1191" s="663"/>
      <c r="AN1191" s="663"/>
      <c r="AO1191" s="708" t="str">
        <f>IF(OR(Table1[[#This Row],[Início Setup Envase]]="",Table1[[#This Row],[Final Setup Envase]]=""),"",Table1[[#This Row],[Final Setup Envase]]-Table1[[#This Row],[Início Setup Envase]])</f>
        <v/>
      </c>
      <c r="AP1191" s="663"/>
      <c r="AQ1191" s="663"/>
      <c r="AR1191" s="270"/>
      <c r="AS1191" s="674"/>
      <c r="AT1191" s="674"/>
      <c r="AU1191" s="270"/>
      <c r="AV1191" s="270"/>
      <c r="AW1191" s="270"/>
      <c r="AX1191" s="270"/>
      <c r="AY1191" s="270"/>
      <c r="AZ1191" s="270"/>
      <c r="BA1191" s="270" t="str">
        <f>IF(Table1[[#This Row],[Data de Início]]="","",YEAR(Table1[[#This Row],[Data de Início]]))</f>
        <v/>
      </c>
      <c r="BB1191" s="270" t="str">
        <f>IF(Table1[[#This Row],[Data de Início]]="","",MONTH(Table1[[#This Row],[Data de Início]]))</f>
        <v/>
      </c>
      <c r="BC1191" s="483"/>
    </row>
    <row r="1192" spans="2:55" x14ac:dyDescent="0.25">
      <c r="B1192" s="470"/>
      <c r="C1192" s="263"/>
      <c r="D1192" s="477" cm="1">
        <f t="array" ref="D1192">IFERROR(HorasUteisFabrica2Turnos(B1192,C1192), "")</f>
        <v>0</v>
      </c>
      <c r="E1192" s="478" t="str">
        <f t="shared" si="19"/>
        <v/>
      </c>
      <c r="F1192" s="266"/>
      <c r="G1192" s="656"/>
      <c r="H1192" s="479"/>
      <c r="I1192" s="268"/>
      <c r="J1192" s="268"/>
      <c r="K1192" s="268"/>
      <c r="L1192" s="269"/>
      <c r="M1192" s="511" t="str">
        <f>IFERROR(INDEX([1]Produtos!$C:$C,MATCH(L1192,[1]Produtos!$B:$B,0)), "-")</f>
        <v>-</v>
      </c>
      <c r="N1192" s="511" t="str">
        <f>IFERROR(INDEX([1]Produtos!$E:$E,MATCH(L1192,[1]Produtos!$B:$B,0)), "-")</f>
        <v>-</v>
      </c>
      <c r="O1192" s="483" t="str">
        <f>IFERROR(INDEX([1]Produtos!$F:$F,MATCH(L1192,[1]Produtos!$B:$B,0)), "-")</f>
        <v>-</v>
      </c>
      <c r="P1192" s="477" t="str">
        <f>IFERROR(INDEX([1]Produtos!$G:$G,MATCH(L1192,[1]Produtos!$B:$B,0)), "-")</f>
        <v>-</v>
      </c>
      <c r="Q1192" s="483" t="str">
        <f>IFERROR(INDEX([1]Produtos!$H:$H,MATCH(L1192,[1]Produtos!$B:$B,0)), "-")</f>
        <v>-</v>
      </c>
      <c r="R1192" s="483" t="str">
        <f>IFERROR(INDEX([1]Produtos!$I:$I,MATCH(L1192,[1]Produtos!$B:$B,0)), "-")</f>
        <v>-</v>
      </c>
      <c r="S1192" s="483" t="str">
        <f>IFERROR(INDEX([1]Produtos!$J:$J,MATCH(L1192,[1]Produtos!$B:$B,0)), "-")</f>
        <v>-</v>
      </c>
      <c r="T1192" s="484"/>
      <c r="U1192" s="483"/>
      <c r="V1192" s="483"/>
      <c r="W1192" s="483"/>
      <c r="X1192" s="483"/>
      <c r="Y1192" s="483"/>
      <c r="Z1192" s="483"/>
      <c r="AA1192" s="483"/>
      <c r="AB1192" s="483"/>
      <c r="AC1192" s="483"/>
      <c r="AD1192" s="483"/>
      <c r="AE1192" s="483"/>
      <c r="AF1192" s="483"/>
      <c r="AG1192" s="483"/>
      <c r="AH1192" s="483"/>
      <c r="AI1192" s="483"/>
      <c r="AJ1192" s="483"/>
      <c r="AK1192" s="483"/>
      <c r="AL1192" s="483"/>
      <c r="AM1192" s="670"/>
      <c r="AN1192" s="670"/>
      <c r="AO1192" s="711" t="str">
        <f>IF(OR(Table1[[#This Row],[Início Setup Envase]]="",Table1[[#This Row],[Final Setup Envase]]=""),"",Table1[[#This Row],[Final Setup Envase]]-Table1[[#This Row],[Início Setup Envase]])</f>
        <v/>
      </c>
      <c r="AP1192" s="670"/>
      <c r="AQ1192" s="670"/>
      <c r="AR1192" s="483"/>
      <c r="AS1192" s="483"/>
      <c r="AT1192" s="483"/>
      <c r="AU1192" s="483"/>
      <c r="AV1192" s="483"/>
      <c r="AW1192" s="483"/>
      <c r="AX1192" s="483"/>
      <c r="AY1192" s="270"/>
      <c r="AZ1192" s="270"/>
      <c r="BA1192" s="270" t="str">
        <f>IF(Table1[[#This Row],[Data de Início]]="","",YEAR(Table1[[#This Row],[Data de Início]]))</f>
        <v/>
      </c>
      <c r="BB1192" s="270" t="str">
        <f>IF(Table1[[#This Row],[Data de Início]]="","",MONTH(Table1[[#This Row],[Data de Início]]))</f>
        <v/>
      </c>
      <c r="BC1192" s="270"/>
    </row>
    <row r="1193" spans="2:55" x14ac:dyDescent="0.25">
      <c r="B1193" s="470"/>
      <c r="C1193" s="263"/>
      <c r="D1193" s="477" cm="1">
        <f t="array" ref="D1193">IFERROR(HorasUteisFabrica2Turnos(B1193,C1193), "")</f>
        <v>0</v>
      </c>
      <c r="E1193" s="697" t="str">
        <f t="shared" si="19"/>
        <v/>
      </c>
      <c r="F1193" s="266"/>
      <c r="G1193" s="698"/>
      <c r="H1193" s="266"/>
      <c r="I1193" s="268"/>
      <c r="J1193" s="268"/>
      <c r="K1193" s="268"/>
      <c r="L1193" s="269"/>
      <c r="M1193" s="510" t="str">
        <f>IFERROR(INDEX([1]Produtos!$C:$C,MATCH(L1193,[1]Produtos!$B:$B,0)), "-")</f>
        <v>-</v>
      </c>
      <c r="N1193" s="510" t="str">
        <f>IFERROR(INDEX([1]Produtos!$E:$E,MATCH(L1193,[1]Produtos!$B:$B,0)), "-")</f>
        <v>-</v>
      </c>
      <c r="O1193" s="270" t="str">
        <f>IFERROR(INDEX([1]Produtos!$F:$F,MATCH(L1193,[1]Produtos!$B:$B,0)), "-")</f>
        <v>-</v>
      </c>
      <c r="P1193" s="264" t="str">
        <f>IFERROR(INDEX([1]Produtos!$G:$G,MATCH(L1193,[1]Produtos!$B:$B,0)), "-")</f>
        <v>-</v>
      </c>
      <c r="Q1193" s="270" t="str">
        <f>IFERROR(INDEX([1]Produtos!$H:$H,MATCH(L1193,[1]Produtos!$B:$B,0)), "-")</f>
        <v>-</v>
      </c>
      <c r="R1193" s="270" t="str">
        <f>IFERROR(INDEX([1]Produtos!$I:$I,MATCH(L1193,[1]Produtos!$B:$B,0)), "-")</f>
        <v>-</v>
      </c>
      <c r="S1193" s="270" t="str">
        <f>IFERROR(INDEX([1]Produtos!$J:$J,MATCH(L1193,[1]Produtos!$B:$B,0)), "-")</f>
        <v>-</v>
      </c>
      <c r="T1193" s="475"/>
      <c r="U1193" s="270"/>
      <c r="V1193" s="270"/>
      <c r="W1193" s="270"/>
      <c r="X1193" s="270"/>
      <c r="Y1193" s="270"/>
      <c r="Z1193" s="270"/>
      <c r="AA1193" s="270"/>
      <c r="AB1193" s="270"/>
      <c r="AC1193" s="270"/>
      <c r="AD1193" s="270"/>
      <c r="AE1193" s="270"/>
      <c r="AF1193" s="270"/>
      <c r="AG1193" s="270"/>
      <c r="AH1193" s="270"/>
      <c r="AI1193" s="270"/>
      <c r="AJ1193" s="270"/>
      <c r="AK1193" s="270"/>
      <c r="AL1193" s="270"/>
      <c r="AM1193" s="663"/>
      <c r="AN1193" s="663"/>
      <c r="AO1193" s="708" t="str">
        <f>IF(OR(Table1[[#This Row],[Início Setup Envase]]="",Table1[[#This Row],[Final Setup Envase]]=""),"",Table1[[#This Row],[Final Setup Envase]]-Table1[[#This Row],[Início Setup Envase]])</f>
        <v/>
      </c>
      <c r="AP1193" s="663"/>
      <c r="AQ1193" s="663"/>
      <c r="AR1193" s="270"/>
      <c r="AS1193" s="674"/>
      <c r="AT1193" s="674"/>
      <c r="AU1193" s="270"/>
      <c r="AV1193" s="270"/>
      <c r="AW1193" s="270"/>
      <c r="AX1193" s="270"/>
      <c r="AY1193" s="270"/>
      <c r="AZ1193" s="270"/>
      <c r="BA1193" s="270" t="str">
        <f>IF(Table1[[#This Row],[Data de Início]]="","",YEAR(Table1[[#This Row],[Data de Início]]))</f>
        <v/>
      </c>
      <c r="BB1193" s="270" t="str">
        <f>IF(Table1[[#This Row],[Data de Início]]="","",MONTH(Table1[[#This Row],[Data de Início]]))</f>
        <v/>
      </c>
      <c r="BC1193" s="483"/>
    </row>
    <row r="1194" spans="2:55" x14ac:dyDescent="0.25">
      <c r="B1194" s="470"/>
      <c r="C1194" s="263"/>
      <c r="D1194" s="477" cm="1">
        <f t="array" ref="D1194">IFERROR(HorasUteisFabrica2Turnos(B1194,C1194), "")</f>
        <v>0</v>
      </c>
      <c r="E1194" s="478" t="str">
        <f t="shared" si="19"/>
        <v/>
      </c>
      <c r="F1194" s="266"/>
      <c r="G1194" s="656"/>
      <c r="H1194" s="479"/>
      <c r="I1194" s="268"/>
      <c r="J1194" s="268"/>
      <c r="K1194" s="268"/>
      <c r="L1194" s="269"/>
      <c r="M1194" s="511" t="str">
        <f>IFERROR(INDEX([1]Produtos!$C:$C,MATCH(L1194,[1]Produtos!$B:$B,0)), "-")</f>
        <v>-</v>
      </c>
      <c r="N1194" s="511" t="str">
        <f>IFERROR(INDEX([1]Produtos!$E:$E,MATCH(L1194,[1]Produtos!$B:$B,0)), "-")</f>
        <v>-</v>
      </c>
      <c r="O1194" s="483" t="str">
        <f>IFERROR(INDEX([1]Produtos!$F:$F,MATCH(L1194,[1]Produtos!$B:$B,0)), "-")</f>
        <v>-</v>
      </c>
      <c r="P1194" s="477" t="str">
        <f>IFERROR(INDEX([1]Produtos!$G:$G,MATCH(L1194,[1]Produtos!$B:$B,0)), "-")</f>
        <v>-</v>
      </c>
      <c r="Q1194" s="483" t="str">
        <f>IFERROR(INDEX([1]Produtos!$H:$H,MATCH(L1194,[1]Produtos!$B:$B,0)), "-")</f>
        <v>-</v>
      </c>
      <c r="R1194" s="483" t="str">
        <f>IFERROR(INDEX([1]Produtos!$I:$I,MATCH(L1194,[1]Produtos!$B:$B,0)), "-")</f>
        <v>-</v>
      </c>
      <c r="S1194" s="483" t="str">
        <f>IFERROR(INDEX([1]Produtos!$J:$J,MATCH(L1194,[1]Produtos!$B:$B,0)), "-")</f>
        <v>-</v>
      </c>
      <c r="T1194" s="484"/>
      <c r="U1194" s="483"/>
      <c r="V1194" s="483"/>
      <c r="W1194" s="483"/>
      <c r="X1194" s="483"/>
      <c r="Y1194" s="483"/>
      <c r="Z1194" s="483"/>
      <c r="AA1194" s="483"/>
      <c r="AB1194" s="483"/>
      <c r="AC1194" s="483"/>
      <c r="AD1194" s="483"/>
      <c r="AE1194" s="483"/>
      <c r="AF1194" s="483"/>
      <c r="AG1194" s="483"/>
      <c r="AH1194" s="483"/>
      <c r="AI1194" s="483"/>
      <c r="AJ1194" s="483"/>
      <c r="AK1194" s="483"/>
      <c r="AL1194" s="483"/>
      <c r="AM1194" s="670"/>
      <c r="AN1194" s="670"/>
      <c r="AO1194" s="711" t="str">
        <f>IF(OR(Table1[[#This Row],[Início Setup Envase]]="",Table1[[#This Row],[Final Setup Envase]]=""),"",Table1[[#This Row],[Final Setup Envase]]-Table1[[#This Row],[Início Setup Envase]])</f>
        <v/>
      </c>
      <c r="AP1194" s="670"/>
      <c r="AQ1194" s="670"/>
      <c r="AR1194" s="483"/>
      <c r="AS1194" s="483"/>
      <c r="AT1194" s="483"/>
      <c r="AU1194" s="483"/>
      <c r="AV1194" s="483"/>
      <c r="AW1194" s="483"/>
      <c r="AX1194" s="483"/>
      <c r="AY1194" s="270"/>
      <c r="AZ1194" s="270"/>
      <c r="BA1194" s="270" t="str">
        <f>IF(Table1[[#This Row],[Data de Início]]="","",YEAR(Table1[[#This Row],[Data de Início]]))</f>
        <v/>
      </c>
      <c r="BB1194" s="270" t="str">
        <f>IF(Table1[[#This Row],[Data de Início]]="","",MONTH(Table1[[#This Row],[Data de Início]]))</f>
        <v/>
      </c>
      <c r="BC1194" s="270"/>
    </row>
    <row r="1195" spans="2:55" x14ac:dyDescent="0.25">
      <c r="B1195" s="470"/>
      <c r="C1195" s="263"/>
      <c r="D1195" s="477" cm="1">
        <f t="array" ref="D1195">IFERROR(HorasUteisFabrica2Turnos(B1195,C1195), "")</f>
        <v>0</v>
      </c>
      <c r="E1195" s="697" t="str">
        <f t="shared" si="19"/>
        <v/>
      </c>
      <c r="F1195" s="266"/>
      <c r="G1195" s="698"/>
      <c r="H1195" s="266"/>
      <c r="I1195" s="268"/>
      <c r="J1195" s="268"/>
      <c r="K1195" s="268"/>
      <c r="L1195" s="269"/>
      <c r="M1195" s="510" t="str">
        <f>IFERROR(INDEX([1]Produtos!$C:$C,MATCH(L1195,[1]Produtos!$B:$B,0)), "-")</f>
        <v>-</v>
      </c>
      <c r="N1195" s="510" t="str">
        <f>IFERROR(INDEX([1]Produtos!$E:$E,MATCH(L1195,[1]Produtos!$B:$B,0)), "-")</f>
        <v>-</v>
      </c>
      <c r="O1195" s="270" t="str">
        <f>IFERROR(INDEX([1]Produtos!$F:$F,MATCH(L1195,[1]Produtos!$B:$B,0)), "-")</f>
        <v>-</v>
      </c>
      <c r="P1195" s="264" t="str">
        <f>IFERROR(INDEX([1]Produtos!$G:$G,MATCH(L1195,[1]Produtos!$B:$B,0)), "-")</f>
        <v>-</v>
      </c>
      <c r="Q1195" s="270" t="str">
        <f>IFERROR(INDEX([1]Produtos!$H:$H,MATCH(L1195,[1]Produtos!$B:$B,0)), "-")</f>
        <v>-</v>
      </c>
      <c r="R1195" s="270" t="str">
        <f>IFERROR(INDEX([1]Produtos!$I:$I,MATCH(L1195,[1]Produtos!$B:$B,0)), "-")</f>
        <v>-</v>
      </c>
      <c r="S1195" s="270" t="str">
        <f>IFERROR(INDEX([1]Produtos!$J:$J,MATCH(L1195,[1]Produtos!$B:$B,0)), "-")</f>
        <v>-</v>
      </c>
      <c r="T1195" s="475"/>
      <c r="U1195" s="270"/>
      <c r="V1195" s="270"/>
      <c r="W1195" s="270"/>
      <c r="X1195" s="270"/>
      <c r="Y1195" s="270"/>
      <c r="Z1195" s="270"/>
      <c r="AA1195" s="270"/>
      <c r="AB1195" s="270"/>
      <c r="AC1195" s="270"/>
      <c r="AD1195" s="270"/>
      <c r="AE1195" s="270"/>
      <c r="AF1195" s="270"/>
      <c r="AG1195" s="270"/>
      <c r="AH1195" s="270"/>
      <c r="AI1195" s="270"/>
      <c r="AJ1195" s="270"/>
      <c r="AK1195" s="270"/>
      <c r="AL1195" s="270"/>
      <c r="AM1195" s="663"/>
      <c r="AN1195" s="663"/>
      <c r="AO1195" s="708" t="str">
        <f>IF(OR(Table1[[#This Row],[Início Setup Envase]]="",Table1[[#This Row],[Final Setup Envase]]=""),"",Table1[[#This Row],[Final Setup Envase]]-Table1[[#This Row],[Início Setup Envase]])</f>
        <v/>
      </c>
      <c r="AP1195" s="663"/>
      <c r="AQ1195" s="663"/>
      <c r="AR1195" s="270"/>
      <c r="AS1195" s="674"/>
      <c r="AT1195" s="674"/>
      <c r="AU1195" s="270"/>
      <c r="AV1195" s="270"/>
      <c r="AW1195" s="270"/>
      <c r="AX1195" s="270"/>
      <c r="AY1195" s="270"/>
      <c r="AZ1195" s="270"/>
      <c r="BA1195" s="270" t="str">
        <f>IF(Table1[[#This Row],[Data de Início]]="","",YEAR(Table1[[#This Row],[Data de Início]]))</f>
        <v/>
      </c>
      <c r="BB1195" s="270" t="str">
        <f>IF(Table1[[#This Row],[Data de Início]]="","",MONTH(Table1[[#This Row],[Data de Início]]))</f>
        <v/>
      </c>
      <c r="BC1195" s="483"/>
    </row>
    <row r="1196" spans="2:55" x14ac:dyDescent="0.25">
      <c r="B1196" s="470"/>
      <c r="C1196" s="263"/>
      <c r="D1196" s="477" cm="1">
        <f t="array" ref="D1196">IFERROR(HorasUteisFabrica2Turnos(B1196,C1196), "")</f>
        <v>0</v>
      </c>
      <c r="E1196" s="478" t="str">
        <f t="shared" si="19"/>
        <v/>
      </c>
      <c r="F1196" s="266"/>
      <c r="G1196" s="656"/>
      <c r="H1196" s="479"/>
      <c r="I1196" s="268"/>
      <c r="J1196" s="268"/>
      <c r="K1196" s="268"/>
      <c r="L1196" s="269"/>
      <c r="M1196" s="511" t="str">
        <f>IFERROR(INDEX([1]Produtos!$C:$C,MATCH(L1196,[1]Produtos!$B:$B,0)), "-")</f>
        <v>-</v>
      </c>
      <c r="N1196" s="511" t="str">
        <f>IFERROR(INDEX([1]Produtos!$E:$E,MATCH(L1196,[1]Produtos!$B:$B,0)), "-")</f>
        <v>-</v>
      </c>
      <c r="O1196" s="483" t="str">
        <f>IFERROR(INDEX([1]Produtos!$F:$F,MATCH(L1196,[1]Produtos!$B:$B,0)), "-")</f>
        <v>-</v>
      </c>
      <c r="P1196" s="477" t="str">
        <f>IFERROR(INDEX([1]Produtos!$G:$G,MATCH(L1196,[1]Produtos!$B:$B,0)), "-")</f>
        <v>-</v>
      </c>
      <c r="Q1196" s="483" t="str">
        <f>IFERROR(INDEX([1]Produtos!$H:$H,MATCH(L1196,[1]Produtos!$B:$B,0)), "-")</f>
        <v>-</v>
      </c>
      <c r="R1196" s="483" t="str">
        <f>IFERROR(INDEX([1]Produtos!$I:$I,MATCH(L1196,[1]Produtos!$B:$B,0)), "-")</f>
        <v>-</v>
      </c>
      <c r="S1196" s="483" t="str">
        <f>IFERROR(INDEX([1]Produtos!$J:$J,MATCH(L1196,[1]Produtos!$B:$B,0)), "-")</f>
        <v>-</v>
      </c>
      <c r="T1196" s="484"/>
      <c r="U1196" s="483"/>
      <c r="V1196" s="483"/>
      <c r="W1196" s="483"/>
      <c r="X1196" s="483"/>
      <c r="Y1196" s="483"/>
      <c r="Z1196" s="483"/>
      <c r="AA1196" s="483"/>
      <c r="AB1196" s="483"/>
      <c r="AC1196" s="483"/>
      <c r="AD1196" s="483"/>
      <c r="AE1196" s="483"/>
      <c r="AF1196" s="483"/>
      <c r="AG1196" s="483"/>
      <c r="AH1196" s="483"/>
      <c r="AI1196" s="483"/>
      <c r="AJ1196" s="483"/>
      <c r="AK1196" s="483"/>
      <c r="AL1196" s="483"/>
      <c r="AM1196" s="670"/>
      <c r="AN1196" s="670"/>
      <c r="AO1196" s="711" t="str">
        <f>IF(OR(Table1[[#This Row],[Início Setup Envase]]="",Table1[[#This Row],[Final Setup Envase]]=""),"",Table1[[#This Row],[Final Setup Envase]]-Table1[[#This Row],[Início Setup Envase]])</f>
        <v/>
      </c>
      <c r="AP1196" s="670"/>
      <c r="AQ1196" s="670"/>
      <c r="AR1196" s="483"/>
      <c r="AS1196" s="483"/>
      <c r="AT1196" s="483"/>
      <c r="AU1196" s="483"/>
      <c r="AV1196" s="483"/>
      <c r="AW1196" s="483"/>
      <c r="AX1196" s="483"/>
      <c r="AY1196" s="270"/>
      <c r="AZ1196" s="270"/>
      <c r="BA1196" s="270" t="str">
        <f>IF(Table1[[#This Row],[Data de Início]]="","",YEAR(Table1[[#This Row],[Data de Início]]))</f>
        <v/>
      </c>
      <c r="BB1196" s="270" t="str">
        <f>IF(Table1[[#This Row],[Data de Início]]="","",MONTH(Table1[[#This Row],[Data de Início]]))</f>
        <v/>
      </c>
      <c r="BC1196" s="270"/>
    </row>
    <row r="1197" spans="2:55" x14ac:dyDescent="0.25">
      <c r="B1197" s="470"/>
      <c r="C1197" s="263"/>
      <c r="D1197" s="477" cm="1">
        <f t="array" ref="D1197">IFERROR(HorasUteisFabrica2Turnos(B1197,C1197), "")</f>
        <v>0</v>
      </c>
      <c r="E1197" s="697" t="str">
        <f t="shared" si="19"/>
        <v/>
      </c>
      <c r="F1197" s="266"/>
      <c r="G1197" s="698"/>
      <c r="H1197" s="266"/>
      <c r="I1197" s="268"/>
      <c r="J1197" s="268"/>
      <c r="K1197" s="268"/>
      <c r="L1197" s="269"/>
      <c r="M1197" s="510" t="str">
        <f>IFERROR(INDEX([1]Produtos!$C:$C,MATCH(L1197,[1]Produtos!$B:$B,0)), "-")</f>
        <v>-</v>
      </c>
      <c r="N1197" s="510" t="str">
        <f>IFERROR(INDEX([1]Produtos!$E:$E,MATCH(L1197,[1]Produtos!$B:$B,0)), "-")</f>
        <v>-</v>
      </c>
      <c r="O1197" s="270" t="str">
        <f>IFERROR(INDEX([1]Produtos!$F:$F,MATCH(L1197,[1]Produtos!$B:$B,0)), "-")</f>
        <v>-</v>
      </c>
      <c r="P1197" s="264" t="str">
        <f>IFERROR(INDEX([1]Produtos!$G:$G,MATCH(L1197,[1]Produtos!$B:$B,0)), "-")</f>
        <v>-</v>
      </c>
      <c r="Q1197" s="270" t="str">
        <f>IFERROR(INDEX([1]Produtos!$H:$H,MATCH(L1197,[1]Produtos!$B:$B,0)), "-")</f>
        <v>-</v>
      </c>
      <c r="R1197" s="270" t="str">
        <f>IFERROR(INDEX([1]Produtos!$I:$I,MATCH(L1197,[1]Produtos!$B:$B,0)), "-")</f>
        <v>-</v>
      </c>
      <c r="S1197" s="270" t="str">
        <f>IFERROR(INDEX([1]Produtos!$J:$J,MATCH(L1197,[1]Produtos!$B:$B,0)), "-")</f>
        <v>-</v>
      </c>
      <c r="T1197" s="475"/>
      <c r="U1197" s="270"/>
      <c r="V1197" s="270"/>
      <c r="W1197" s="270"/>
      <c r="X1197" s="270"/>
      <c r="Y1197" s="270"/>
      <c r="Z1197" s="270"/>
      <c r="AA1197" s="270"/>
      <c r="AB1197" s="270"/>
      <c r="AC1197" s="270"/>
      <c r="AD1197" s="270"/>
      <c r="AE1197" s="270"/>
      <c r="AF1197" s="270"/>
      <c r="AG1197" s="270"/>
      <c r="AH1197" s="270"/>
      <c r="AI1197" s="270"/>
      <c r="AJ1197" s="270"/>
      <c r="AK1197" s="270"/>
      <c r="AL1197" s="270"/>
      <c r="AM1197" s="663"/>
      <c r="AN1197" s="663"/>
      <c r="AO1197" s="708" t="str">
        <f>IF(OR(Table1[[#This Row],[Início Setup Envase]]="",Table1[[#This Row],[Final Setup Envase]]=""),"",Table1[[#This Row],[Final Setup Envase]]-Table1[[#This Row],[Início Setup Envase]])</f>
        <v/>
      </c>
      <c r="AP1197" s="663"/>
      <c r="AQ1197" s="663"/>
      <c r="AR1197" s="270"/>
      <c r="AS1197" s="674"/>
      <c r="AT1197" s="674"/>
      <c r="AU1197" s="270"/>
      <c r="AV1197" s="270"/>
      <c r="AW1197" s="270"/>
      <c r="AX1197" s="270"/>
      <c r="AY1197" s="270"/>
      <c r="AZ1197" s="270"/>
      <c r="BA1197" s="270" t="str">
        <f>IF(Table1[[#This Row],[Data de Início]]="","",YEAR(Table1[[#This Row],[Data de Início]]))</f>
        <v/>
      </c>
      <c r="BB1197" s="270" t="str">
        <f>IF(Table1[[#This Row],[Data de Início]]="","",MONTH(Table1[[#This Row],[Data de Início]]))</f>
        <v/>
      </c>
      <c r="BC1197" s="483"/>
    </row>
    <row r="1198" spans="2:55" x14ac:dyDescent="0.25">
      <c r="B1198" s="470"/>
      <c r="C1198" s="263"/>
      <c r="D1198" s="477" cm="1">
        <f t="array" ref="D1198">IFERROR(HorasUteisFabrica2Turnos(B1198,C1198), "")</f>
        <v>0</v>
      </c>
      <c r="E1198" s="478" t="str">
        <f t="shared" si="19"/>
        <v/>
      </c>
      <c r="F1198" s="266"/>
      <c r="G1198" s="656"/>
      <c r="H1198" s="479"/>
      <c r="I1198" s="268"/>
      <c r="J1198" s="268"/>
      <c r="K1198" s="268"/>
      <c r="L1198" s="269"/>
      <c r="M1198" s="511" t="str">
        <f>IFERROR(INDEX([1]Produtos!$C:$C,MATCH(L1198,[1]Produtos!$B:$B,0)), "-")</f>
        <v>-</v>
      </c>
      <c r="N1198" s="511" t="str">
        <f>IFERROR(INDEX([1]Produtos!$E:$E,MATCH(L1198,[1]Produtos!$B:$B,0)), "-")</f>
        <v>-</v>
      </c>
      <c r="O1198" s="483" t="str">
        <f>IFERROR(INDEX([1]Produtos!$F:$F,MATCH(L1198,[1]Produtos!$B:$B,0)), "-")</f>
        <v>-</v>
      </c>
      <c r="P1198" s="477" t="str">
        <f>IFERROR(INDEX([1]Produtos!$G:$G,MATCH(L1198,[1]Produtos!$B:$B,0)), "-")</f>
        <v>-</v>
      </c>
      <c r="Q1198" s="483" t="str">
        <f>IFERROR(INDEX([1]Produtos!$H:$H,MATCH(L1198,[1]Produtos!$B:$B,0)), "-")</f>
        <v>-</v>
      </c>
      <c r="R1198" s="483" t="str">
        <f>IFERROR(INDEX([1]Produtos!$I:$I,MATCH(L1198,[1]Produtos!$B:$B,0)), "-")</f>
        <v>-</v>
      </c>
      <c r="S1198" s="483" t="str">
        <f>IFERROR(INDEX([1]Produtos!$J:$J,MATCH(L1198,[1]Produtos!$B:$B,0)), "-")</f>
        <v>-</v>
      </c>
      <c r="T1198" s="484"/>
      <c r="U1198" s="483"/>
      <c r="V1198" s="483"/>
      <c r="W1198" s="483"/>
      <c r="X1198" s="483"/>
      <c r="Y1198" s="483"/>
      <c r="Z1198" s="483"/>
      <c r="AA1198" s="483"/>
      <c r="AB1198" s="483"/>
      <c r="AC1198" s="483"/>
      <c r="AD1198" s="483"/>
      <c r="AE1198" s="483"/>
      <c r="AF1198" s="483"/>
      <c r="AG1198" s="483"/>
      <c r="AH1198" s="483"/>
      <c r="AI1198" s="483"/>
      <c r="AJ1198" s="483"/>
      <c r="AK1198" s="483"/>
      <c r="AL1198" s="483"/>
      <c r="AM1198" s="670"/>
      <c r="AN1198" s="670"/>
      <c r="AO1198" s="711" t="str">
        <f>IF(OR(Table1[[#This Row],[Início Setup Envase]]="",Table1[[#This Row],[Final Setup Envase]]=""),"",Table1[[#This Row],[Final Setup Envase]]-Table1[[#This Row],[Início Setup Envase]])</f>
        <v/>
      </c>
      <c r="AP1198" s="670"/>
      <c r="AQ1198" s="670"/>
      <c r="AR1198" s="483"/>
      <c r="AS1198" s="483"/>
      <c r="AT1198" s="483"/>
      <c r="AU1198" s="483"/>
      <c r="AV1198" s="483"/>
      <c r="AW1198" s="483"/>
      <c r="AX1198" s="483"/>
      <c r="AY1198" s="270"/>
      <c r="AZ1198" s="270"/>
      <c r="BA1198" s="270" t="str">
        <f>IF(Table1[[#This Row],[Data de Início]]="","",YEAR(Table1[[#This Row],[Data de Início]]))</f>
        <v/>
      </c>
      <c r="BB1198" s="270" t="str">
        <f>IF(Table1[[#This Row],[Data de Início]]="","",MONTH(Table1[[#This Row],[Data de Início]]))</f>
        <v/>
      </c>
      <c r="BC1198" s="270"/>
    </row>
    <row r="1199" spans="2:55" x14ac:dyDescent="0.25">
      <c r="B1199" s="470"/>
      <c r="C1199" s="263"/>
      <c r="D1199" s="477" cm="1">
        <f t="array" ref="D1199">IFERROR(HorasUteisFabrica2Turnos(B1199,C1199), "")</f>
        <v>0</v>
      </c>
      <c r="E1199" s="697" t="str">
        <f t="shared" si="19"/>
        <v/>
      </c>
      <c r="F1199" s="266"/>
      <c r="G1199" s="698"/>
      <c r="H1199" s="266"/>
      <c r="I1199" s="268"/>
      <c r="J1199" s="268"/>
      <c r="K1199" s="268"/>
      <c r="L1199" s="269"/>
      <c r="M1199" s="510" t="str">
        <f>IFERROR(INDEX([1]Produtos!$C:$C,MATCH(L1199,[1]Produtos!$B:$B,0)), "-")</f>
        <v>-</v>
      </c>
      <c r="N1199" s="510" t="str">
        <f>IFERROR(INDEX([1]Produtos!$E:$E,MATCH(L1199,[1]Produtos!$B:$B,0)), "-")</f>
        <v>-</v>
      </c>
      <c r="O1199" s="270" t="str">
        <f>IFERROR(INDEX([1]Produtos!$F:$F,MATCH(L1199,[1]Produtos!$B:$B,0)), "-")</f>
        <v>-</v>
      </c>
      <c r="P1199" s="264" t="str">
        <f>IFERROR(INDEX([1]Produtos!$G:$G,MATCH(L1199,[1]Produtos!$B:$B,0)), "-")</f>
        <v>-</v>
      </c>
      <c r="Q1199" s="270" t="str">
        <f>IFERROR(INDEX([1]Produtos!$H:$H,MATCH(L1199,[1]Produtos!$B:$B,0)), "-")</f>
        <v>-</v>
      </c>
      <c r="R1199" s="270" t="str">
        <f>IFERROR(INDEX([1]Produtos!$I:$I,MATCH(L1199,[1]Produtos!$B:$B,0)), "-")</f>
        <v>-</v>
      </c>
      <c r="S1199" s="270" t="str">
        <f>IFERROR(INDEX([1]Produtos!$J:$J,MATCH(L1199,[1]Produtos!$B:$B,0)), "-")</f>
        <v>-</v>
      </c>
      <c r="T1199" s="475"/>
      <c r="U1199" s="270"/>
      <c r="V1199" s="270"/>
      <c r="W1199" s="270"/>
      <c r="X1199" s="270"/>
      <c r="Y1199" s="270"/>
      <c r="Z1199" s="270"/>
      <c r="AA1199" s="270"/>
      <c r="AB1199" s="270"/>
      <c r="AC1199" s="270"/>
      <c r="AD1199" s="270"/>
      <c r="AE1199" s="270"/>
      <c r="AF1199" s="270"/>
      <c r="AG1199" s="270"/>
      <c r="AH1199" s="270"/>
      <c r="AI1199" s="270"/>
      <c r="AJ1199" s="270"/>
      <c r="AK1199" s="270"/>
      <c r="AL1199" s="270"/>
      <c r="AM1199" s="663"/>
      <c r="AN1199" s="663"/>
      <c r="AO1199" s="708" t="str">
        <f>IF(OR(Table1[[#This Row],[Início Setup Envase]]="",Table1[[#This Row],[Final Setup Envase]]=""),"",Table1[[#This Row],[Final Setup Envase]]-Table1[[#This Row],[Início Setup Envase]])</f>
        <v/>
      </c>
      <c r="AP1199" s="663"/>
      <c r="AQ1199" s="663"/>
      <c r="AR1199" s="270"/>
      <c r="AS1199" s="674"/>
      <c r="AT1199" s="674"/>
      <c r="AU1199" s="270"/>
      <c r="AV1199" s="270"/>
      <c r="AW1199" s="270"/>
      <c r="AX1199" s="270"/>
      <c r="AY1199" s="270"/>
      <c r="AZ1199" s="270"/>
      <c r="BA1199" s="270" t="str">
        <f>IF(Table1[[#This Row],[Data de Início]]="","",YEAR(Table1[[#This Row],[Data de Início]]))</f>
        <v/>
      </c>
      <c r="BB1199" s="270" t="str">
        <f>IF(Table1[[#This Row],[Data de Início]]="","",MONTH(Table1[[#This Row],[Data de Início]]))</f>
        <v/>
      </c>
      <c r="BC1199" s="483"/>
    </row>
    <row r="1200" spans="2:55" x14ac:dyDescent="0.25">
      <c r="B1200" s="470"/>
      <c r="C1200" s="263"/>
      <c r="D1200" s="477" cm="1">
        <f t="array" ref="D1200">IFERROR(HorasUteisFabrica2Turnos(B1200,C1200), "")</f>
        <v>0</v>
      </c>
      <c r="E1200" s="478" t="str">
        <f t="shared" si="19"/>
        <v/>
      </c>
      <c r="F1200" s="266"/>
      <c r="G1200" s="656"/>
      <c r="H1200" s="479"/>
      <c r="I1200" s="268"/>
      <c r="J1200" s="268"/>
      <c r="K1200" s="268"/>
      <c r="L1200" s="269"/>
      <c r="M1200" s="511" t="str">
        <f>IFERROR(INDEX([1]Produtos!$C:$C,MATCH(L1200,[1]Produtos!$B:$B,0)), "-")</f>
        <v>-</v>
      </c>
      <c r="N1200" s="511" t="str">
        <f>IFERROR(INDEX([1]Produtos!$E:$E,MATCH(L1200,[1]Produtos!$B:$B,0)), "-")</f>
        <v>-</v>
      </c>
      <c r="O1200" s="483" t="str">
        <f>IFERROR(INDEX([1]Produtos!$F:$F,MATCH(L1200,[1]Produtos!$B:$B,0)), "-")</f>
        <v>-</v>
      </c>
      <c r="P1200" s="477" t="str">
        <f>IFERROR(INDEX([1]Produtos!$G:$G,MATCH(L1200,[1]Produtos!$B:$B,0)), "-")</f>
        <v>-</v>
      </c>
      <c r="Q1200" s="483" t="str">
        <f>IFERROR(INDEX([1]Produtos!$H:$H,MATCH(L1200,[1]Produtos!$B:$B,0)), "-")</f>
        <v>-</v>
      </c>
      <c r="R1200" s="483" t="str">
        <f>IFERROR(INDEX([1]Produtos!$I:$I,MATCH(L1200,[1]Produtos!$B:$B,0)), "-")</f>
        <v>-</v>
      </c>
      <c r="S1200" s="483" t="str">
        <f>IFERROR(INDEX([1]Produtos!$J:$J,MATCH(L1200,[1]Produtos!$B:$B,0)), "-")</f>
        <v>-</v>
      </c>
      <c r="T1200" s="484"/>
      <c r="U1200" s="483"/>
      <c r="V1200" s="483"/>
      <c r="W1200" s="483"/>
      <c r="X1200" s="483"/>
      <c r="Y1200" s="483"/>
      <c r="Z1200" s="483"/>
      <c r="AA1200" s="483"/>
      <c r="AB1200" s="483"/>
      <c r="AC1200" s="483"/>
      <c r="AD1200" s="483"/>
      <c r="AE1200" s="483"/>
      <c r="AF1200" s="483"/>
      <c r="AG1200" s="483"/>
      <c r="AH1200" s="483"/>
      <c r="AI1200" s="483"/>
      <c r="AJ1200" s="483"/>
      <c r="AK1200" s="483"/>
      <c r="AL1200" s="483"/>
      <c r="AM1200" s="670"/>
      <c r="AN1200" s="670"/>
      <c r="AO1200" s="711" t="str">
        <f>IF(OR(Table1[[#This Row],[Início Setup Envase]]="",Table1[[#This Row],[Final Setup Envase]]=""),"",Table1[[#This Row],[Final Setup Envase]]-Table1[[#This Row],[Início Setup Envase]])</f>
        <v/>
      </c>
      <c r="AP1200" s="670"/>
      <c r="AQ1200" s="670"/>
      <c r="AR1200" s="483"/>
      <c r="AS1200" s="483"/>
      <c r="AT1200" s="483"/>
      <c r="AU1200" s="483"/>
      <c r="AV1200" s="483"/>
      <c r="AW1200" s="483"/>
      <c r="AX1200" s="483"/>
      <c r="AY1200" s="270"/>
      <c r="AZ1200" s="270"/>
      <c r="BA1200" s="270" t="str">
        <f>IF(Table1[[#This Row],[Data de Início]]="","",YEAR(Table1[[#This Row],[Data de Início]]))</f>
        <v/>
      </c>
      <c r="BB1200" s="270" t="str">
        <f>IF(Table1[[#This Row],[Data de Início]]="","",MONTH(Table1[[#This Row],[Data de Início]]))</f>
        <v/>
      </c>
      <c r="BC1200" s="270"/>
    </row>
    <row r="1201" spans="2:55" x14ac:dyDescent="0.25">
      <c r="B1201" s="470"/>
      <c r="C1201" s="263"/>
      <c r="D1201" s="477" cm="1">
        <f t="array" ref="D1201">IFERROR(HorasUteisFabrica2Turnos(B1201,C1201), "")</f>
        <v>0</v>
      </c>
      <c r="E1201" s="697" t="str">
        <f t="shared" si="19"/>
        <v/>
      </c>
      <c r="F1201" s="266"/>
      <c r="G1201" s="698"/>
      <c r="H1201" s="266"/>
      <c r="I1201" s="268"/>
      <c r="J1201" s="268"/>
      <c r="K1201" s="268"/>
      <c r="L1201" s="269"/>
      <c r="M1201" s="510" t="str">
        <f>IFERROR(INDEX([1]Produtos!$C:$C,MATCH(L1201,[1]Produtos!$B:$B,0)), "-")</f>
        <v>-</v>
      </c>
      <c r="N1201" s="510" t="str">
        <f>IFERROR(INDEX([1]Produtos!$E:$E,MATCH(L1201,[1]Produtos!$B:$B,0)), "-")</f>
        <v>-</v>
      </c>
      <c r="O1201" s="270" t="str">
        <f>IFERROR(INDEX([1]Produtos!$F:$F,MATCH(L1201,[1]Produtos!$B:$B,0)), "-")</f>
        <v>-</v>
      </c>
      <c r="P1201" s="264" t="str">
        <f>IFERROR(INDEX([1]Produtos!$G:$G,MATCH(L1201,[1]Produtos!$B:$B,0)), "-")</f>
        <v>-</v>
      </c>
      <c r="Q1201" s="270" t="str">
        <f>IFERROR(INDEX([1]Produtos!$H:$H,MATCH(L1201,[1]Produtos!$B:$B,0)), "-")</f>
        <v>-</v>
      </c>
      <c r="R1201" s="270" t="str">
        <f>IFERROR(INDEX([1]Produtos!$I:$I,MATCH(L1201,[1]Produtos!$B:$B,0)), "-")</f>
        <v>-</v>
      </c>
      <c r="S1201" s="270" t="str">
        <f>IFERROR(INDEX([1]Produtos!$J:$J,MATCH(L1201,[1]Produtos!$B:$B,0)), "-")</f>
        <v>-</v>
      </c>
      <c r="T1201" s="475"/>
      <c r="U1201" s="270"/>
      <c r="V1201" s="270"/>
      <c r="W1201" s="270"/>
      <c r="X1201" s="270"/>
      <c r="Y1201" s="270"/>
      <c r="Z1201" s="270"/>
      <c r="AA1201" s="270"/>
      <c r="AB1201" s="270"/>
      <c r="AC1201" s="270"/>
      <c r="AD1201" s="270"/>
      <c r="AE1201" s="270"/>
      <c r="AF1201" s="270"/>
      <c r="AG1201" s="270"/>
      <c r="AH1201" s="270"/>
      <c r="AI1201" s="270"/>
      <c r="AJ1201" s="270"/>
      <c r="AK1201" s="270"/>
      <c r="AL1201" s="270"/>
      <c r="AM1201" s="663"/>
      <c r="AN1201" s="663"/>
      <c r="AO1201" s="708" t="str">
        <f>IF(OR(Table1[[#This Row],[Início Setup Envase]]="",Table1[[#This Row],[Final Setup Envase]]=""),"",Table1[[#This Row],[Final Setup Envase]]-Table1[[#This Row],[Início Setup Envase]])</f>
        <v/>
      </c>
      <c r="AP1201" s="663"/>
      <c r="AQ1201" s="663"/>
      <c r="AR1201" s="270"/>
      <c r="AS1201" s="674"/>
      <c r="AT1201" s="674"/>
      <c r="AU1201" s="270"/>
      <c r="AV1201" s="270"/>
      <c r="AW1201" s="270"/>
      <c r="AX1201" s="270"/>
      <c r="AY1201" s="270"/>
      <c r="AZ1201" s="270"/>
      <c r="BA1201" s="270" t="str">
        <f>IF(Table1[[#This Row],[Data de Início]]="","",YEAR(Table1[[#This Row],[Data de Início]]))</f>
        <v/>
      </c>
      <c r="BB1201" s="270" t="str">
        <f>IF(Table1[[#This Row],[Data de Início]]="","",MONTH(Table1[[#This Row],[Data de Início]]))</f>
        <v/>
      </c>
      <c r="BC1201" s="483"/>
    </row>
    <row r="1202" spans="2:55" x14ac:dyDescent="0.25">
      <c r="B1202" s="470"/>
      <c r="C1202" s="263"/>
      <c r="D1202" s="477" cm="1">
        <f t="array" ref="D1202">IFERROR(HorasUteisFabrica2Turnos(B1202,C1202), "")</f>
        <v>0</v>
      </c>
      <c r="E1202" s="478" t="str">
        <f t="shared" si="19"/>
        <v/>
      </c>
      <c r="F1202" s="266"/>
      <c r="G1202" s="656"/>
      <c r="H1202" s="479"/>
      <c r="I1202" s="268"/>
      <c r="J1202" s="268"/>
      <c r="K1202" s="268"/>
      <c r="L1202" s="269"/>
      <c r="M1202" s="511" t="str">
        <f>IFERROR(INDEX([1]Produtos!$C:$C,MATCH(L1202,[1]Produtos!$B:$B,0)), "-")</f>
        <v>-</v>
      </c>
      <c r="N1202" s="511" t="str">
        <f>IFERROR(INDEX([1]Produtos!$E:$E,MATCH(L1202,[1]Produtos!$B:$B,0)), "-")</f>
        <v>-</v>
      </c>
      <c r="O1202" s="483" t="str">
        <f>IFERROR(INDEX([1]Produtos!$F:$F,MATCH(L1202,[1]Produtos!$B:$B,0)), "-")</f>
        <v>-</v>
      </c>
      <c r="P1202" s="477" t="str">
        <f>IFERROR(INDEX([1]Produtos!$G:$G,MATCH(L1202,[1]Produtos!$B:$B,0)), "-")</f>
        <v>-</v>
      </c>
      <c r="Q1202" s="483" t="str">
        <f>IFERROR(INDEX([1]Produtos!$H:$H,MATCH(L1202,[1]Produtos!$B:$B,0)), "-")</f>
        <v>-</v>
      </c>
      <c r="R1202" s="483" t="str">
        <f>IFERROR(INDEX([1]Produtos!$I:$I,MATCH(L1202,[1]Produtos!$B:$B,0)), "-")</f>
        <v>-</v>
      </c>
      <c r="S1202" s="483" t="str">
        <f>IFERROR(INDEX([1]Produtos!$J:$J,MATCH(L1202,[1]Produtos!$B:$B,0)), "-")</f>
        <v>-</v>
      </c>
      <c r="T1202" s="484"/>
      <c r="U1202" s="483"/>
      <c r="V1202" s="483"/>
      <c r="W1202" s="483"/>
      <c r="X1202" s="483"/>
      <c r="Y1202" s="483"/>
      <c r="Z1202" s="483"/>
      <c r="AA1202" s="483"/>
      <c r="AB1202" s="483"/>
      <c r="AC1202" s="483"/>
      <c r="AD1202" s="483"/>
      <c r="AE1202" s="483"/>
      <c r="AF1202" s="483"/>
      <c r="AG1202" s="483"/>
      <c r="AH1202" s="483"/>
      <c r="AI1202" s="483"/>
      <c r="AJ1202" s="483"/>
      <c r="AK1202" s="483"/>
      <c r="AL1202" s="483"/>
      <c r="AM1202" s="670"/>
      <c r="AN1202" s="670"/>
      <c r="AO1202" s="711" t="str">
        <f>IF(OR(Table1[[#This Row],[Início Setup Envase]]="",Table1[[#This Row],[Final Setup Envase]]=""),"",Table1[[#This Row],[Final Setup Envase]]-Table1[[#This Row],[Início Setup Envase]])</f>
        <v/>
      </c>
      <c r="AP1202" s="670"/>
      <c r="AQ1202" s="670"/>
      <c r="AR1202" s="483"/>
      <c r="AS1202" s="483"/>
      <c r="AT1202" s="483"/>
      <c r="AU1202" s="483"/>
      <c r="AV1202" s="483"/>
      <c r="AW1202" s="483"/>
      <c r="AX1202" s="483"/>
      <c r="AY1202" s="270"/>
      <c r="AZ1202" s="270"/>
      <c r="BA1202" s="270" t="str">
        <f>IF(Table1[[#This Row],[Data de Início]]="","",YEAR(Table1[[#This Row],[Data de Início]]))</f>
        <v/>
      </c>
      <c r="BB1202" s="270" t="str">
        <f>IF(Table1[[#This Row],[Data de Início]]="","",MONTH(Table1[[#This Row],[Data de Início]]))</f>
        <v/>
      </c>
      <c r="BC1202" s="270"/>
    </row>
    <row r="1203" spans="2:55" x14ac:dyDescent="0.25">
      <c r="B1203" s="470"/>
      <c r="C1203" s="263"/>
      <c r="D1203" s="477" cm="1">
        <f t="array" ref="D1203">IFERROR(HorasUteisFabrica2Turnos(B1203,C1203), "")</f>
        <v>0</v>
      </c>
      <c r="E1203" s="697" t="str">
        <f t="shared" si="19"/>
        <v/>
      </c>
      <c r="F1203" s="266"/>
      <c r="G1203" s="698"/>
      <c r="H1203" s="266"/>
      <c r="I1203" s="268"/>
      <c r="J1203" s="268"/>
      <c r="K1203" s="268"/>
      <c r="L1203" s="269"/>
      <c r="M1203" s="510" t="str">
        <f>IFERROR(INDEX([1]Produtos!$C:$C,MATCH(L1203,[1]Produtos!$B:$B,0)), "-")</f>
        <v>-</v>
      </c>
      <c r="N1203" s="510" t="str">
        <f>IFERROR(INDEX([1]Produtos!$E:$E,MATCH(L1203,[1]Produtos!$B:$B,0)), "-")</f>
        <v>-</v>
      </c>
      <c r="O1203" s="270" t="str">
        <f>IFERROR(INDEX([1]Produtos!$F:$F,MATCH(L1203,[1]Produtos!$B:$B,0)), "-")</f>
        <v>-</v>
      </c>
      <c r="P1203" s="264" t="str">
        <f>IFERROR(INDEX([1]Produtos!$G:$G,MATCH(L1203,[1]Produtos!$B:$B,0)), "-")</f>
        <v>-</v>
      </c>
      <c r="Q1203" s="270" t="str">
        <f>IFERROR(INDEX([1]Produtos!$H:$H,MATCH(L1203,[1]Produtos!$B:$B,0)), "-")</f>
        <v>-</v>
      </c>
      <c r="R1203" s="270" t="str">
        <f>IFERROR(INDEX([1]Produtos!$I:$I,MATCH(L1203,[1]Produtos!$B:$B,0)), "-")</f>
        <v>-</v>
      </c>
      <c r="S1203" s="270" t="str">
        <f>IFERROR(INDEX([1]Produtos!$J:$J,MATCH(L1203,[1]Produtos!$B:$B,0)), "-")</f>
        <v>-</v>
      </c>
      <c r="T1203" s="475"/>
      <c r="U1203" s="270"/>
      <c r="V1203" s="270"/>
      <c r="W1203" s="270"/>
      <c r="X1203" s="270"/>
      <c r="Y1203" s="270"/>
      <c r="Z1203" s="270"/>
      <c r="AA1203" s="270"/>
      <c r="AB1203" s="270"/>
      <c r="AC1203" s="270"/>
      <c r="AD1203" s="270"/>
      <c r="AE1203" s="270"/>
      <c r="AF1203" s="270"/>
      <c r="AG1203" s="270"/>
      <c r="AH1203" s="270"/>
      <c r="AI1203" s="270"/>
      <c r="AJ1203" s="270"/>
      <c r="AK1203" s="270"/>
      <c r="AL1203" s="270"/>
      <c r="AM1203" s="663"/>
      <c r="AN1203" s="663"/>
      <c r="AO1203" s="708" t="str">
        <f>IF(OR(Table1[[#This Row],[Início Setup Envase]]="",Table1[[#This Row],[Final Setup Envase]]=""),"",Table1[[#This Row],[Final Setup Envase]]-Table1[[#This Row],[Início Setup Envase]])</f>
        <v/>
      </c>
      <c r="AP1203" s="663"/>
      <c r="AQ1203" s="663"/>
      <c r="AR1203" s="270"/>
      <c r="AS1203" s="674"/>
      <c r="AT1203" s="674"/>
      <c r="AU1203" s="270"/>
      <c r="AV1203" s="270"/>
      <c r="AW1203" s="270"/>
      <c r="AX1203" s="270"/>
      <c r="AY1203" s="270"/>
      <c r="AZ1203" s="270"/>
      <c r="BA1203" s="270" t="str">
        <f>IF(Table1[[#This Row],[Data de Início]]="","",YEAR(Table1[[#This Row],[Data de Início]]))</f>
        <v/>
      </c>
      <c r="BB1203" s="270" t="str">
        <f>IF(Table1[[#This Row],[Data de Início]]="","",MONTH(Table1[[#This Row],[Data de Início]]))</f>
        <v/>
      </c>
      <c r="BC1203" s="483"/>
    </row>
    <row r="1204" spans="2:55" x14ac:dyDescent="0.25">
      <c r="B1204" s="470"/>
      <c r="C1204" s="263"/>
      <c r="D1204" s="477" cm="1">
        <f t="array" ref="D1204">IFERROR(HorasUteisFabrica2Turnos(B1204,C1204), "")</f>
        <v>0</v>
      </c>
      <c r="E1204" s="478" t="str">
        <f t="shared" si="19"/>
        <v/>
      </c>
      <c r="F1204" s="266"/>
      <c r="G1204" s="656"/>
      <c r="H1204" s="479"/>
      <c r="I1204" s="268"/>
      <c r="J1204" s="268"/>
      <c r="K1204" s="268"/>
      <c r="L1204" s="269"/>
      <c r="M1204" s="511" t="str">
        <f>IFERROR(INDEX([1]Produtos!$C:$C,MATCH(L1204,[1]Produtos!$B:$B,0)), "-")</f>
        <v>-</v>
      </c>
      <c r="N1204" s="511" t="str">
        <f>IFERROR(INDEX([1]Produtos!$E:$E,MATCH(L1204,[1]Produtos!$B:$B,0)), "-")</f>
        <v>-</v>
      </c>
      <c r="O1204" s="483" t="str">
        <f>IFERROR(INDEX([1]Produtos!$F:$F,MATCH(L1204,[1]Produtos!$B:$B,0)), "-")</f>
        <v>-</v>
      </c>
      <c r="P1204" s="477" t="str">
        <f>IFERROR(INDEX([1]Produtos!$G:$G,MATCH(L1204,[1]Produtos!$B:$B,0)), "-")</f>
        <v>-</v>
      </c>
      <c r="Q1204" s="483" t="str">
        <f>IFERROR(INDEX([1]Produtos!$H:$H,MATCH(L1204,[1]Produtos!$B:$B,0)), "-")</f>
        <v>-</v>
      </c>
      <c r="R1204" s="483" t="str">
        <f>IFERROR(INDEX([1]Produtos!$I:$I,MATCH(L1204,[1]Produtos!$B:$B,0)), "-")</f>
        <v>-</v>
      </c>
      <c r="S1204" s="483" t="str">
        <f>IFERROR(INDEX([1]Produtos!$J:$J,MATCH(L1204,[1]Produtos!$B:$B,0)), "-")</f>
        <v>-</v>
      </c>
      <c r="T1204" s="484"/>
      <c r="U1204" s="483"/>
      <c r="V1204" s="483"/>
      <c r="W1204" s="483"/>
      <c r="X1204" s="483"/>
      <c r="Y1204" s="483"/>
      <c r="Z1204" s="483"/>
      <c r="AA1204" s="483"/>
      <c r="AB1204" s="483"/>
      <c r="AC1204" s="483"/>
      <c r="AD1204" s="483"/>
      <c r="AE1204" s="483"/>
      <c r="AF1204" s="483"/>
      <c r="AG1204" s="483"/>
      <c r="AH1204" s="483"/>
      <c r="AI1204" s="483"/>
      <c r="AJ1204" s="483"/>
      <c r="AK1204" s="483"/>
      <c r="AL1204" s="483"/>
      <c r="AM1204" s="670"/>
      <c r="AN1204" s="670"/>
      <c r="AO1204" s="711" t="str">
        <f>IF(OR(Table1[[#This Row],[Início Setup Envase]]="",Table1[[#This Row],[Final Setup Envase]]=""),"",Table1[[#This Row],[Final Setup Envase]]-Table1[[#This Row],[Início Setup Envase]])</f>
        <v/>
      </c>
      <c r="AP1204" s="670"/>
      <c r="AQ1204" s="670"/>
      <c r="AR1204" s="483"/>
      <c r="AS1204" s="483"/>
      <c r="AT1204" s="483"/>
      <c r="AU1204" s="483"/>
      <c r="AV1204" s="483"/>
      <c r="AW1204" s="483"/>
      <c r="AX1204" s="483"/>
      <c r="AY1204" s="270"/>
      <c r="AZ1204" s="270"/>
      <c r="BA1204" s="270" t="str">
        <f>IF(Table1[[#This Row],[Data de Início]]="","",YEAR(Table1[[#This Row],[Data de Início]]))</f>
        <v/>
      </c>
      <c r="BB1204" s="270" t="str">
        <f>IF(Table1[[#This Row],[Data de Início]]="","",MONTH(Table1[[#This Row],[Data de Início]]))</f>
        <v/>
      </c>
      <c r="BC1204" s="270"/>
    </row>
    <row r="1205" spans="2:55" x14ac:dyDescent="0.25">
      <c r="B1205" s="470"/>
      <c r="C1205" s="263"/>
      <c r="D1205" s="477" cm="1">
        <f t="array" ref="D1205">IFERROR(HorasUteisFabrica2Turnos(B1205,C1205), "")</f>
        <v>0</v>
      </c>
      <c r="E1205" s="697" t="str">
        <f t="shared" si="19"/>
        <v/>
      </c>
      <c r="F1205" s="266"/>
      <c r="G1205" s="698"/>
      <c r="H1205" s="266"/>
      <c r="I1205" s="268"/>
      <c r="J1205" s="268"/>
      <c r="K1205" s="268"/>
      <c r="L1205" s="269"/>
      <c r="M1205" s="510" t="str">
        <f>IFERROR(INDEX([1]Produtos!$C:$C,MATCH(L1205,[1]Produtos!$B:$B,0)), "-")</f>
        <v>-</v>
      </c>
      <c r="N1205" s="510" t="str">
        <f>IFERROR(INDEX([1]Produtos!$E:$E,MATCH(L1205,[1]Produtos!$B:$B,0)), "-")</f>
        <v>-</v>
      </c>
      <c r="O1205" s="270" t="str">
        <f>IFERROR(INDEX([1]Produtos!$F:$F,MATCH(L1205,[1]Produtos!$B:$B,0)), "-")</f>
        <v>-</v>
      </c>
      <c r="P1205" s="264" t="str">
        <f>IFERROR(INDEX([1]Produtos!$G:$G,MATCH(L1205,[1]Produtos!$B:$B,0)), "-")</f>
        <v>-</v>
      </c>
      <c r="Q1205" s="270" t="str">
        <f>IFERROR(INDEX([1]Produtos!$H:$H,MATCH(L1205,[1]Produtos!$B:$B,0)), "-")</f>
        <v>-</v>
      </c>
      <c r="R1205" s="270" t="str">
        <f>IFERROR(INDEX([1]Produtos!$I:$I,MATCH(L1205,[1]Produtos!$B:$B,0)), "-")</f>
        <v>-</v>
      </c>
      <c r="S1205" s="270" t="str">
        <f>IFERROR(INDEX([1]Produtos!$J:$J,MATCH(L1205,[1]Produtos!$B:$B,0)), "-")</f>
        <v>-</v>
      </c>
      <c r="T1205" s="475"/>
      <c r="U1205" s="270"/>
      <c r="V1205" s="270"/>
      <c r="W1205" s="270"/>
      <c r="X1205" s="270"/>
      <c r="Y1205" s="270"/>
      <c r="Z1205" s="270"/>
      <c r="AA1205" s="270"/>
      <c r="AB1205" s="270"/>
      <c r="AC1205" s="270"/>
      <c r="AD1205" s="270"/>
      <c r="AE1205" s="270"/>
      <c r="AF1205" s="270"/>
      <c r="AG1205" s="270"/>
      <c r="AH1205" s="270"/>
      <c r="AI1205" s="270"/>
      <c r="AJ1205" s="270"/>
      <c r="AK1205" s="270"/>
      <c r="AL1205" s="270"/>
      <c r="AM1205" s="663"/>
      <c r="AN1205" s="663"/>
      <c r="AO1205" s="708" t="str">
        <f>IF(OR(Table1[[#This Row],[Início Setup Envase]]="",Table1[[#This Row],[Final Setup Envase]]=""),"",Table1[[#This Row],[Final Setup Envase]]-Table1[[#This Row],[Início Setup Envase]])</f>
        <v/>
      </c>
      <c r="AP1205" s="663"/>
      <c r="AQ1205" s="663"/>
      <c r="AR1205" s="270"/>
      <c r="AS1205" s="674"/>
      <c r="AT1205" s="674"/>
      <c r="AU1205" s="270"/>
      <c r="AV1205" s="270"/>
      <c r="AW1205" s="270"/>
      <c r="AX1205" s="270"/>
      <c r="AY1205" s="270"/>
      <c r="AZ1205" s="270"/>
      <c r="BA1205" s="270" t="str">
        <f>IF(Table1[[#This Row],[Data de Início]]="","",YEAR(Table1[[#This Row],[Data de Início]]))</f>
        <v/>
      </c>
      <c r="BB1205" s="270" t="str">
        <f>IF(Table1[[#This Row],[Data de Início]]="","",MONTH(Table1[[#This Row],[Data de Início]]))</f>
        <v/>
      </c>
      <c r="BC1205" s="483"/>
    </row>
    <row r="1206" spans="2:55" x14ac:dyDescent="0.25">
      <c r="B1206" s="470"/>
      <c r="C1206" s="263"/>
      <c r="D1206" s="477" cm="1">
        <f t="array" ref="D1206">IFERROR(HorasUteisFabrica2Turnos(B1206,C1206), "")</f>
        <v>0</v>
      </c>
      <c r="E1206" s="478" t="str">
        <f t="shared" si="19"/>
        <v/>
      </c>
      <c r="F1206" s="266"/>
      <c r="G1206" s="656"/>
      <c r="H1206" s="479"/>
      <c r="I1206" s="268"/>
      <c r="J1206" s="268"/>
      <c r="K1206" s="268"/>
      <c r="L1206" s="269"/>
      <c r="M1206" s="511" t="str">
        <f>IFERROR(INDEX([1]Produtos!$C:$C,MATCH(L1206,[1]Produtos!$B:$B,0)), "-")</f>
        <v>-</v>
      </c>
      <c r="N1206" s="511" t="str">
        <f>IFERROR(INDEX([1]Produtos!$E:$E,MATCH(L1206,[1]Produtos!$B:$B,0)), "-")</f>
        <v>-</v>
      </c>
      <c r="O1206" s="483" t="str">
        <f>IFERROR(INDEX([1]Produtos!$F:$F,MATCH(L1206,[1]Produtos!$B:$B,0)), "-")</f>
        <v>-</v>
      </c>
      <c r="P1206" s="477" t="str">
        <f>IFERROR(INDEX([1]Produtos!$G:$G,MATCH(L1206,[1]Produtos!$B:$B,0)), "-")</f>
        <v>-</v>
      </c>
      <c r="Q1206" s="483" t="str">
        <f>IFERROR(INDEX([1]Produtos!$H:$H,MATCH(L1206,[1]Produtos!$B:$B,0)), "-")</f>
        <v>-</v>
      </c>
      <c r="R1206" s="483" t="str">
        <f>IFERROR(INDEX([1]Produtos!$I:$I,MATCH(L1206,[1]Produtos!$B:$B,0)), "-")</f>
        <v>-</v>
      </c>
      <c r="S1206" s="483" t="str">
        <f>IFERROR(INDEX([1]Produtos!$J:$J,MATCH(L1206,[1]Produtos!$B:$B,0)), "-")</f>
        <v>-</v>
      </c>
      <c r="T1206" s="484"/>
      <c r="U1206" s="483"/>
      <c r="V1206" s="483"/>
      <c r="W1206" s="483"/>
      <c r="X1206" s="483"/>
      <c r="Y1206" s="483"/>
      <c r="Z1206" s="483"/>
      <c r="AA1206" s="483"/>
      <c r="AB1206" s="483"/>
      <c r="AC1206" s="483"/>
      <c r="AD1206" s="483"/>
      <c r="AE1206" s="483"/>
      <c r="AF1206" s="483"/>
      <c r="AG1206" s="483"/>
      <c r="AH1206" s="483"/>
      <c r="AI1206" s="483"/>
      <c r="AJ1206" s="483"/>
      <c r="AK1206" s="483"/>
      <c r="AL1206" s="483"/>
      <c r="AM1206" s="670"/>
      <c r="AN1206" s="670"/>
      <c r="AO1206" s="711" t="str">
        <f>IF(OR(Table1[[#This Row],[Início Setup Envase]]="",Table1[[#This Row],[Final Setup Envase]]=""),"",Table1[[#This Row],[Final Setup Envase]]-Table1[[#This Row],[Início Setup Envase]])</f>
        <v/>
      </c>
      <c r="AP1206" s="670"/>
      <c r="AQ1206" s="670"/>
      <c r="AR1206" s="483"/>
      <c r="AS1206" s="483"/>
      <c r="AT1206" s="483"/>
      <c r="AU1206" s="483"/>
      <c r="AV1206" s="483"/>
      <c r="AW1206" s="483"/>
      <c r="AX1206" s="483"/>
      <c r="AY1206" s="270"/>
      <c r="AZ1206" s="270"/>
      <c r="BA1206" s="270" t="str">
        <f>IF(Table1[[#This Row],[Data de Início]]="","",YEAR(Table1[[#This Row],[Data de Início]]))</f>
        <v/>
      </c>
      <c r="BB1206" s="270" t="str">
        <f>IF(Table1[[#This Row],[Data de Início]]="","",MONTH(Table1[[#This Row],[Data de Início]]))</f>
        <v/>
      </c>
      <c r="BC1206" s="270"/>
    </row>
    <row r="1207" spans="2:55" x14ac:dyDescent="0.25">
      <c r="B1207" s="470"/>
      <c r="C1207" s="263"/>
      <c r="D1207" s="477" cm="1">
        <f t="array" ref="D1207">IFERROR(HorasUteisFabrica2Turnos(B1207,C1207), "")</f>
        <v>0</v>
      </c>
      <c r="E1207" s="697" t="str">
        <f t="shared" si="19"/>
        <v/>
      </c>
      <c r="F1207" s="266"/>
      <c r="G1207" s="698"/>
      <c r="H1207" s="266"/>
      <c r="I1207" s="268"/>
      <c r="J1207" s="268"/>
      <c r="K1207" s="268"/>
      <c r="L1207" s="269"/>
      <c r="M1207" s="510" t="str">
        <f>IFERROR(INDEX([1]Produtos!$C:$C,MATCH(L1207,[1]Produtos!$B:$B,0)), "-")</f>
        <v>-</v>
      </c>
      <c r="N1207" s="510" t="str">
        <f>IFERROR(INDEX([1]Produtos!$E:$E,MATCH(L1207,[1]Produtos!$B:$B,0)), "-")</f>
        <v>-</v>
      </c>
      <c r="O1207" s="270" t="str">
        <f>IFERROR(INDEX([1]Produtos!$F:$F,MATCH(L1207,[1]Produtos!$B:$B,0)), "-")</f>
        <v>-</v>
      </c>
      <c r="P1207" s="264" t="str">
        <f>IFERROR(INDEX([1]Produtos!$G:$G,MATCH(L1207,[1]Produtos!$B:$B,0)), "-")</f>
        <v>-</v>
      </c>
      <c r="Q1207" s="270" t="str">
        <f>IFERROR(INDEX([1]Produtos!$H:$H,MATCH(L1207,[1]Produtos!$B:$B,0)), "-")</f>
        <v>-</v>
      </c>
      <c r="R1207" s="270" t="str">
        <f>IFERROR(INDEX([1]Produtos!$I:$I,MATCH(L1207,[1]Produtos!$B:$B,0)), "-")</f>
        <v>-</v>
      </c>
      <c r="S1207" s="270" t="str">
        <f>IFERROR(INDEX([1]Produtos!$J:$J,MATCH(L1207,[1]Produtos!$B:$B,0)), "-")</f>
        <v>-</v>
      </c>
      <c r="T1207" s="475"/>
      <c r="U1207" s="270"/>
      <c r="V1207" s="270"/>
      <c r="W1207" s="270"/>
      <c r="X1207" s="270"/>
      <c r="Y1207" s="270"/>
      <c r="Z1207" s="270"/>
      <c r="AA1207" s="270"/>
      <c r="AB1207" s="270"/>
      <c r="AC1207" s="270"/>
      <c r="AD1207" s="270"/>
      <c r="AE1207" s="270"/>
      <c r="AF1207" s="270"/>
      <c r="AG1207" s="270"/>
      <c r="AH1207" s="270"/>
      <c r="AI1207" s="270"/>
      <c r="AJ1207" s="270"/>
      <c r="AK1207" s="270"/>
      <c r="AL1207" s="270"/>
      <c r="AM1207" s="663"/>
      <c r="AN1207" s="663"/>
      <c r="AO1207" s="708" t="str">
        <f>IF(OR(Table1[[#This Row],[Início Setup Envase]]="",Table1[[#This Row],[Final Setup Envase]]=""),"",Table1[[#This Row],[Final Setup Envase]]-Table1[[#This Row],[Início Setup Envase]])</f>
        <v/>
      </c>
      <c r="AP1207" s="663"/>
      <c r="AQ1207" s="663"/>
      <c r="AR1207" s="270"/>
      <c r="AS1207" s="674"/>
      <c r="AT1207" s="674"/>
      <c r="AU1207" s="270"/>
      <c r="AV1207" s="270"/>
      <c r="AW1207" s="270"/>
      <c r="AX1207" s="270"/>
      <c r="AY1207" s="270"/>
      <c r="AZ1207" s="270"/>
      <c r="BA1207" s="270" t="str">
        <f>IF(Table1[[#This Row],[Data de Início]]="","",YEAR(Table1[[#This Row],[Data de Início]]))</f>
        <v/>
      </c>
      <c r="BB1207" s="270" t="str">
        <f>IF(Table1[[#This Row],[Data de Início]]="","",MONTH(Table1[[#This Row],[Data de Início]]))</f>
        <v/>
      </c>
      <c r="BC1207" s="483"/>
    </row>
    <row r="1208" spans="2:55" x14ac:dyDescent="0.25">
      <c r="B1208" s="470"/>
      <c r="C1208" s="263"/>
      <c r="D1208" s="477" cm="1">
        <f t="array" ref="D1208">IFERROR(HorasUteisFabrica2Turnos(B1208,C1208), "")</f>
        <v>0</v>
      </c>
      <c r="E1208" s="478" t="str">
        <f t="shared" si="19"/>
        <v/>
      </c>
      <c r="F1208" s="266"/>
      <c r="G1208" s="656"/>
      <c r="H1208" s="479"/>
      <c r="I1208" s="268"/>
      <c r="J1208" s="268"/>
      <c r="K1208" s="268"/>
      <c r="L1208" s="269"/>
      <c r="M1208" s="511" t="str">
        <f>IFERROR(INDEX([1]Produtos!$C:$C,MATCH(L1208,[1]Produtos!$B:$B,0)), "-")</f>
        <v>-</v>
      </c>
      <c r="N1208" s="511" t="str">
        <f>IFERROR(INDEX([1]Produtos!$E:$E,MATCH(L1208,[1]Produtos!$B:$B,0)), "-")</f>
        <v>-</v>
      </c>
      <c r="O1208" s="483" t="str">
        <f>IFERROR(INDEX([1]Produtos!$F:$F,MATCH(L1208,[1]Produtos!$B:$B,0)), "-")</f>
        <v>-</v>
      </c>
      <c r="P1208" s="477" t="str">
        <f>IFERROR(INDEX([1]Produtos!$G:$G,MATCH(L1208,[1]Produtos!$B:$B,0)), "-")</f>
        <v>-</v>
      </c>
      <c r="Q1208" s="483" t="str">
        <f>IFERROR(INDEX([1]Produtos!$H:$H,MATCH(L1208,[1]Produtos!$B:$B,0)), "-")</f>
        <v>-</v>
      </c>
      <c r="R1208" s="483" t="str">
        <f>IFERROR(INDEX([1]Produtos!$I:$I,MATCH(L1208,[1]Produtos!$B:$B,0)), "-")</f>
        <v>-</v>
      </c>
      <c r="S1208" s="483" t="str">
        <f>IFERROR(INDEX([1]Produtos!$J:$J,MATCH(L1208,[1]Produtos!$B:$B,0)), "-")</f>
        <v>-</v>
      </c>
      <c r="T1208" s="484"/>
      <c r="U1208" s="483"/>
      <c r="V1208" s="483"/>
      <c r="W1208" s="483"/>
      <c r="X1208" s="483"/>
      <c r="Y1208" s="483"/>
      <c r="Z1208" s="483"/>
      <c r="AA1208" s="483"/>
      <c r="AB1208" s="483"/>
      <c r="AC1208" s="483"/>
      <c r="AD1208" s="483"/>
      <c r="AE1208" s="483"/>
      <c r="AF1208" s="483"/>
      <c r="AG1208" s="483"/>
      <c r="AH1208" s="483"/>
      <c r="AI1208" s="483"/>
      <c r="AJ1208" s="483"/>
      <c r="AK1208" s="483"/>
      <c r="AL1208" s="483"/>
      <c r="AM1208" s="670"/>
      <c r="AN1208" s="670"/>
      <c r="AO1208" s="711" t="str">
        <f>IF(OR(Table1[[#This Row],[Início Setup Envase]]="",Table1[[#This Row],[Final Setup Envase]]=""),"",Table1[[#This Row],[Final Setup Envase]]-Table1[[#This Row],[Início Setup Envase]])</f>
        <v/>
      </c>
      <c r="AP1208" s="670"/>
      <c r="AQ1208" s="670"/>
      <c r="AR1208" s="483"/>
      <c r="AS1208" s="483"/>
      <c r="AT1208" s="483"/>
      <c r="AU1208" s="483"/>
      <c r="AV1208" s="483"/>
      <c r="AW1208" s="483"/>
      <c r="AX1208" s="483"/>
      <c r="AY1208" s="270"/>
      <c r="AZ1208" s="270"/>
      <c r="BA1208" s="270" t="str">
        <f>IF(Table1[[#This Row],[Data de Início]]="","",YEAR(Table1[[#This Row],[Data de Início]]))</f>
        <v/>
      </c>
      <c r="BB1208" s="270" t="str">
        <f>IF(Table1[[#This Row],[Data de Início]]="","",MONTH(Table1[[#This Row],[Data de Início]]))</f>
        <v/>
      </c>
      <c r="BC1208" s="270"/>
    </row>
    <row r="1209" spans="2:55" x14ac:dyDescent="0.25">
      <c r="B1209" s="470"/>
      <c r="C1209" s="263"/>
      <c r="D1209" s="477" cm="1">
        <f t="array" ref="D1209">IFERROR(HorasUteisFabrica2Turnos(B1209,C1209), "")</f>
        <v>0</v>
      </c>
      <c r="E1209" s="697" t="str">
        <f t="shared" si="19"/>
        <v/>
      </c>
      <c r="F1209" s="266"/>
      <c r="G1209" s="698"/>
      <c r="H1209" s="266"/>
      <c r="I1209" s="268"/>
      <c r="J1209" s="268"/>
      <c r="K1209" s="268"/>
      <c r="L1209" s="269"/>
      <c r="M1209" s="510" t="str">
        <f>IFERROR(INDEX([1]Produtos!$C:$C,MATCH(L1209,[1]Produtos!$B:$B,0)), "-")</f>
        <v>-</v>
      </c>
      <c r="N1209" s="510" t="str">
        <f>IFERROR(INDEX([1]Produtos!$E:$E,MATCH(L1209,[1]Produtos!$B:$B,0)), "-")</f>
        <v>-</v>
      </c>
      <c r="O1209" s="270" t="str">
        <f>IFERROR(INDEX([1]Produtos!$F:$F,MATCH(L1209,[1]Produtos!$B:$B,0)), "-")</f>
        <v>-</v>
      </c>
      <c r="P1209" s="264" t="str">
        <f>IFERROR(INDEX([1]Produtos!$G:$G,MATCH(L1209,[1]Produtos!$B:$B,0)), "-")</f>
        <v>-</v>
      </c>
      <c r="Q1209" s="270" t="str">
        <f>IFERROR(INDEX([1]Produtos!$H:$H,MATCH(L1209,[1]Produtos!$B:$B,0)), "-")</f>
        <v>-</v>
      </c>
      <c r="R1209" s="270" t="str">
        <f>IFERROR(INDEX([1]Produtos!$I:$I,MATCH(L1209,[1]Produtos!$B:$B,0)), "-")</f>
        <v>-</v>
      </c>
      <c r="S1209" s="270" t="str">
        <f>IFERROR(INDEX([1]Produtos!$J:$J,MATCH(L1209,[1]Produtos!$B:$B,0)), "-")</f>
        <v>-</v>
      </c>
      <c r="T1209" s="475"/>
      <c r="U1209" s="270"/>
      <c r="V1209" s="270"/>
      <c r="W1209" s="270"/>
      <c r="X1209" s="270"/>
      <c r="Y1209" s="270"/>
      <c r="Z1209" s="270"/>
      <c r="AA1209" s="270"/>
      <c r="AB1209" s="270"/>
      <c r="AC1209" s="270"/>
      <c r="AD1209" s="270"/>
      <c r="AE1209" s="270"/>
      <c r="AF1209" s="270"/>
      <c r="AG1209" s="270"/>
      <c r="AH1209" s="270"/>
      <c r="AI1209" s="270"/>
      <c r="AJ1209" s="270"/>
      <c r="AK1209" s="270"/>
      <c r="AL1209" s="270"/>
      <c r="AM1209" s="663"/>
      <c r="AN1209" s="663"/>
      <c r="AO1209" s="708" t="str">
        <f>IF(OR(Table1[[#This Row],[Início Setup Envase]]="",Table1[[#This Row],[Final Setup Envase]]=""),"",Table1[[#This Row],[Final Setup Envase]]-Table1[[#This Row],[Início Setup Envase]])</f>
        <v/>
      </c>
      <c r="AP1209" s="663"/>
      <c r="AQ1209" s="663"/>
      <c r="AR1209" s="270"/>
      <c r="AS1209" s="674"/>
      <c r="AT1209" s="674"/>
      <c r="AU1209" s="270"/>
      <c r="AV1209" s="270"/>
      <c r="AW1209" s="270"/>
      <c r="AX1209" s="270"/>
      <c r="AY1209" s="270"/>
      <c r="AZ1209" s="270"/>
      <c r="BA1209" s="270" t="str">
        <f>IF(Table1[[#This Row],[Data de Início]]="","",YEAR(Table1[[#This Row],[Data de Início]]))</f>
        <v/>
      </c>
      <c r="BB1209" s="270" t="str">
        <f>IF(Table1[[#This Row],[Data de Início]]="","",MONTH(Table1[[#This Row],[Data de Início]]))</f>
        <v/>
      </c>
      <c r="BC1209" s="483"/>
    </row>
    <row r="1210" spans="2:55" x14ac:dyDescent="0.25">
      <c r="B1210" s="470"/>
      <c r="C1210" s="263"/>
      <c r="D1210" s="477" cm="1">
        <f t="array" ref="D1210">IFERROR(HorasUteisFabrica2Turnos(B1210,C1210), "")</f>
        <v>0</v>
      </c>
      <c r="E1210" s="478" t="str">
        <f t="shared" si="19"/>
        <v/>
      </c>
      <c r="F1210" s="266"/>
      <c r="G1210" s="656"/>
      <c r="H1210" s="479"/>
      <c r="I1210" s="268"/>
      <c r="J1210" s="268"/>
      <c r="K1210" s="268"/>
      <c r="L1210" s="269"/>
      <c r="M1210" s="511" t="str">
        <f>IFERROR(INDEX([1]Produtos!$C:$C,MATCH(L1210,[1]Produtos!$B:$B,0)), "-")</f>
        <v>-</v>
      </c>
      <c r="N1210" s="511" t="str">
        <f>IFERROR(INDEX([1]Produtos!$E:$E,MATCH(L1210,[1]Produtos!$B:$B,0)), "-")</f>
        <v>-</v>
      </c>
      <c r="O1210" s="483" t="str">
        <f>IFERROR(INDEX([1]Produtos!$F:$F,MATCH(L1210,[1]Produtos!$B:$B,0)), "-")</f>
        <v>-</v>
      </c>
      <c r="P1210" s="477" t="str">
        <f>IFERROR(INDEX([1]Produtos!$G:$G,MATCH(L1210,[1]Produtos!$B:$B,0)), "-")</f>
        <v>-</v>
      </c>
      <c r="Q1210" s="483" t="str">
        <f>IFERROR(INDEX([1]Produtos!$H:$H,MATCH(L1210,[1]Produtos!$B:$B,0)), "-")</f>
        <v>-</v>
      </c>
      <c r="R1210" s="483" t="str">
        <f>IFERROR(INDEX([1]Produtos!$I:$I,MATCH(L1210,[1]Produtos!$B:$B,0)), "-")</f>
        <v>-</v>
      </c>
      <c r="S1210" s="483" t="str">
        <f>IFERROR(INDEX([1]Produtos!$J:$J,MATCH(L1210,[1]Produtos!$B:$B,0)), "-")</f>
        <v>-</v>
      </c>
      <c r="T1210" s="484"/>
      <c r="U1210" s="483"/>
      <c r="V1210" s="483"/>
      <c r="W1210" s="483"/>
      <c r="X1210" s="483"/>
      <c r="Y1210" s="483"/>
      <c r="Z1210" s="483"/>
      <c r="AA1210" s="483"/>
      <c r="AB1210" s="483"/>
      <c r="AC1210" s="483"/>
      <c r="AD1210" s="483"/>
      <c r="AE1210" s="483"/>
      <c r="AF1210" s="483"/>
      <c r="AG1210" s="483"/>
      <c r="AH1210" s="483"/>
      <c r="AI1210" s="483"/>
      <c r="AJ1210" s="483"/>
      <c r="AK1210" s="483"/>
      <c r="AL1210" s="483"/>
      <c r="AM1210" s="670"/>
      <c r="AN1210" s="670"/>
      <c r="AO1210" s="711" t="str">
        <f>IF(OR(Table1[[#This Row],[Início Setup Envase]]="",Table1[[#This Row],[Final Setup Envase]]=""),"",Table1[[#This Row],[Final Setup Envase]]-Table1[[#This Row],[Início Setup Envase]])</f>
        <v/>
      </c>
      <c r="AP1210" s="670"/>
      <c r="AQ1210" s="670"/>
      <c r="AR1210" s="483"/>
      <c r="AS1210" s="483"/>
      <c r="AT1210" s="483"/>
      <c r="AU1210" s="483"/>
      <c r="AV1210" s="483"/>
      <c r="AW1210" s="483"/>
      <c r="AX1210" s="483"/>
      <c r="AY1210" s="270"/>
      <c r="AZ1210" s="270"/>
      <c r="BA1210" s="270" t="str">
        <f>IF(Table1[[#This Row],[Data de Início]]="","",YEAR(Table1[[#This Row],[Data de Início]]))</f>
        <v/>
      </c>
      <c r="BB1210" s="270" t="str">
        <f>IF(Table1[[#This Row],[Data de Início]]="","",MONTH(Table1[[#This Row],[Data de Início]]))</f>
        <v/>
      </c>
      <c r="BC1210" s="270"/>
    </row>
    <row r="1211" spans="2:55" x14ac:dyDescent="0.25">
      <c r="B1211" s="470"/>
      <c r="C1211" s="263"/>
      <c r="D1211" s="477" cm="1">
        <f t="array" ref="D1211">IFERROR(HorasUteisFabrica2Turnos(B1211,C1211), "")</f>
        <v>0</v>
      </c>
      <c r="E1211" s="697" t="str">
        <f t="shared" si="19"/>
        <v/>
      </c>
      <c r="F1211" s="266"/>
      <c r="G1211" s="698"/>
      <c r="H1211" s="266"/>
      <c r="I1211" s="268"/>
      <c r="J1211" s="268"/>
      <c r="K1211" s="268"/>
      <c r="L1211" s="269"/>
      <c r="M1211" s="510" t="str">
        <f>IFERROR(INDEX([1]Produtos!$C:$C,MATCH(L1211,[1]Produtos!$B:$B,0)), "-")</f>
        <v>-</v>
      </c>
      <c r="N1211" s="510" t="str">
        <f>IFERROR(INDEX([1]Produtos!$E:$E,MATCH(L1211,[1]Produtos!$B:$B,0)), "-")</f>
        <v>-</v>
      </c>
      <c r="O1211" s="270" t="str">
        <f>IFERROR(INDEX([1]Produtos!$F:$F,MATCH(L1211,[1]Produtos!$B:$B,0)), "-")</f>
        <v>-</v>
      </c>
      <c r="P1211" s="264" t="str">
        <f>IFERROR(INDEX([1]Produtos!$G:$G,MATCH(L1211,[1]Produtos!$B:$B,0)), "-")</f>
        <v>-</v>
      </c>
      <c r="Q1211" s="270" t="str">
        <f>IFERROR(INDEX([1]Produtos!$H:$H,MATCH(L1211,[1]Produtos!$B:$B,0)), "-")</f>
        <v>-</v>
      </c>
      <c r="R1211" s="270" t="str">
        <f>IFERROR(INDEX([1]Produtos!$I:$I,MATCH(L1211,[1]Produtos!$B:$B,0)), "-")</f>
        <v>-</v>
      </c>
      <c r="S1211" s="270" t="str">
        <f>IFERROR(INDEX([1]Produtos!$J:$J,MATCH(L1211,[1]Produtos!$B:$B,0)), "-")</f>
        <v>-</v>
      </c>
      <c r="T1211" s="475"/>
      <c r="U1211" s="270"/>
      <c r="V1211" s="270"/>
      <c r="W1211" s="270"/>
      <c r="X1211" s="270"/>
      <c r="Y1211" s="270"/>
      <c r="Z1211" s="270"/>
      <c r="AA1211" s="270"/>
      <c r="AB1211" s="270"/>
      <c r="AC1211" s="270"/>
      <c r="AD1211" s="270"/>
      <c r="AE1211" s="270"/>
      <c r="AF1211" s="270"/>
      <c r="AG1211" s="270"/>
      <c r="AH1211" s="270"/>
      <c r="AI1211" s="270"/>
      <c r="AJ1211" s="270"/>
      <c r="AK1211" s="270"/>
      <c r="AL1211" s="270"/>
      <c r="AM1211" s="663"/>
      <c r="AN1211" s="663"/>
      <c r="AO1211" s="708" t="str">
        <f>IF(OR(Table1[[#This Row],[Início Setup Envase]]="",Table1[[#This Row],[Final Setup Envase]]=""),"",Table1[[#This Row],[Final Setup Envase]]-Table1[[#This Row],[Início Setup Envase]])</f>
        <v/>
      </c>
      <c r="AP1211" s="663"/>
      <c r="AQ1211" s="663"/>
      <c r="AR1211" s="270"/>
      <c r="AS1211" s="674"/>
      <c r="AT1211" s="674"/>
      <c r="AU1211" s="270"/>
      <c r="AV1211" s="270"/>
      <c r="AW1211" s="270"/>
      <c r="AX1211" s="270"/>
      <c r="AY1211" s="270"/>
      <c r="AZ1211" s="270"/>
      <c r="BA1211" s="270" t="str">
        <f>IF(Table1[[#This Row],[Data de Início]]="","",YEAR(Table1[[#This Row],[Data de Início]]))</f>
        <v/>
      </c>
      <c r="BB1211" s="270" t="str">
        <f>IF(Table1[[#This Row],[Data de Início]]="","",MONTH(Table1[[#This Row],[Data de Início]]))</f>
        <v/>
      </c>
      <c r="BC1211" s="483"/>
    </row>
    <row r="1212" spans="2:55" x14ac:dyDescent="0.25">
      <c r="B1212" s="470"/>
      <c r="C1212" s="263"/>
      <c r="D1212" s="477" cm="1">
        <f t="array" ref="D1212">IFERROR(HorasUteisFabrica2Turnos(B1212,C1212), "")</f>
        <v>0</v>
      </c>
      <c r="E1212" s="478" t="str">
        <f t="shared" si="19"/>
        <v/>
      </c>
      <c r="F1212" s="266"/>
      <c r="G1212" s="656"/>
      <c r="H1212" s="479"/>
      <c r="I1212" s="268"/>
      <c r="J1212" s="268"/>
      <c r="K1212" s="268"/>
      <c r="L1212" s="269"/>
      <c r="M1212" s="511" t="str">
        <f>IFERROR(INDEX([1]Produtos!$C:$C,MATCH(L1212,[1]Produtos!$B:$B,0)), "-")</f>
        <v>-</v>
      </c>
      <c r="N1212" s="511" t="str">
        <f>IFERROR(INDEX([1]Produtos!$E:$E,MATCH(L1212,[1]Produtos!$B:$B,0)), "-")</f>
        <v>-</v>
      </c>
      <c r="O1212" s="483" t="str">
        <f>IFERROR(INDEX([1]Produtos!$F:$F,MATCH(L1212,[1]Produtos!$B:$B,0)), "-")</f>
        <v>-</v>
      </c>
      <c r="P1212" s="477" t="str">
        <f>IFERROR(INDEX([1]Produtos!$G:$G,MATCH(L1212,[1]Produtos!$B:$B,0)), "-")</f>
        <v>-</v>
      </c>
      <c r="Q1212" s="483" t="str">
        <f>IFERROR(INDEX([1]Produtos!$H:$H,MATCH(L1212,[1]Produtos!$B:$B,0)), "-")</f>
        <v>-</v>
      </c>
      <c r="R1212" s="483" t="str">
        <f>IFERROR(INDEX([1]Produtos!$I:$I,MATCH(L1212,[1]Produtos!$B:$B,0)), "-")</f>
        <v>-</v>
      </c>
      <c r="S1212" s="483" t="str">
        <f>IFERROR(INDEX([1]Produtos!$J:$J,MATCH(L1212,[1]Produtos!$B:$B,0)), "-")</f>
        <v>-</v>
      </c>
      <c r="T1212" s="484"/>
      <c r="U1212" s="483"/>
      <c r="V1212" s="483"/>
      <c r="W1212" s="483"/>
      <c r="X1212" s="483"/>
      <c r="Y1212" s="483"/>
      <c r="Z1212" s="483"/>
      <c r="AA1212" s="483"/>
      <c r="AB1212" s="483"/>
      <c r="AC1212" s="483"/>
      <c r="AD1212" s="483"/>
      <c r="AE1212" s="483"/>
      <c r="AF1212" s="483"/>
      <c r="AG1212" s="483"/>
      <c r="AH1212" s="483"/>
      <c r="AI1212" s="483"/>
      <c r="AJ1212" s="483"/>
      <c r="AK1212" s="483"/>
      <c r="AL1212" s="483"/>
      <c r="AM1212" s="670"/>
      <c r="AN1212" s="670"/>
      <c r="AO1212" s="711" t="str">
        <f>IF(OR(Table1[[#This Row],[Início Setup Envase]]="",Table1[[#This Row],[Final Setup Envase]]=""),"",Table1[[#This Row],[Final Setup Envase]]-Table1[[#This Row],[Início Setup Envase]])</f>
        <v/>
      </c>
      <c r="AP1212" s="670"/>
      <c r="AQ1212" s="670"/>
      <c r="AR1212" s="483"/>
      <c r="AS1212" s="483"/>
      <c r="AT1212" s="483"/>
      <c r="AU1212" s="483"/>
      <c r="AV1212" s="483"/>
      <c r="AW1212" s="483"/>
      <c r="AX1212" s="483"/>
      <c r="AY1212" s="270"/>
      <c r="AZ1212" s="270"/>
      <c r="BA1212" s="270" t="str">
        <f>IF(Table1[[#This Row],[Data de Início]]="","",YEAR(Table1[[#This Row],[Data de Início]]))</f>
        <v/>
      </c>
      <c r="BB1212" s="270" t="str">
        <f>IF(Table1[[#This Row],[Data de Início]]="","",MONTH(Table1[[#This Row],[Data de Início]]))</f>
        <v/>
      </c>
      <c r="BC1212" s="270"/>
    </row>
    <row r="1213" spans="2:55" x14ac:dyDescent="0.25">
      <c r="B1213" s="470"/>
      <c r="C1213" s="263"/>
      <c r="D1213" s="477" cm="1">
        <f t="array" ref="D1213">IFERROR(HorasUteisFabrica2Turnos(B1213,C1213), "")</f>
        <v>0</v>
      </c>
      <c r="E1213" s="697" t="str">
        <f t="shared" si="19"/>
        <v/>
      </c>
      <c r="F1213" s="266"/>
      <c r="G1213" s="698"/>
      <c r="H1213" s="266"/>
      <c r="I1213" s="268"/>
      <c r="J1213" s="268"/>
      <c r="K1213" s="268"/>
      <c r="L1213" s="269"/>
      <c r="M1213" s="510" t="str">
        <f>IFERROR(INDEX([1]Produtos!$C:$C,MATCH(L1213,[1]Produtos!$B:$B,0)), "-")</f>
        <v>-</v>
      </c>
      <c r="N1213" s="510" t="str">
        <f>IFERROR(INDEX([1]Produtos!$E:$E,MATCH(L1213,[1]Produtos!$B:$B,0)), "-")</f>
        <v>-</v>
      </c>
      <c r="O1213" s="270" t="str">
        <f>IFERROR(INDEX([1]Produtos!$F:$F,MATCH(L1213,[1]Produtos!$B:$B,0)), "-")</f>
        <v>-</v>
      </c>
      <c r="P1213" s="264" t="str">
        <f>IFERROR(INDEX([1]Produtos!$G:$G,MATCH(L1213,[1]Produtos!$B:$B,0)), "-")</f>
        <v>-</v>
      </c>
      <c r="Q1213" s="270" t="str">
        <f>IFERROR(INDEX([1]Produtos!$H:$H,MATCH(L1213,[1]Produtos!$B:$B,0)), "-")</f>
        <v>-</v>
      </c>
      <c r="R1213" s="270" t="str">
        <f>IFERROR(INDEX([1]Produtos!$I:$I,MATCH(L1213,[1]Produtos!$B:$B,0)), "-")</f>
        <v>-</v>
      </c>
      <c r="S1213" s="270" t="str">
        <f>IFERROR(INDEX([1]Produtos!$J:$J,MATCH(L1213,[1]Produtos!$B:$B,0)), "-")</f>
        <v>-</v>
      </c>
      <c r="T1213" s="475"/>
      <c r="U1213" s="270"/>
      <c r="V1213" s="270"/>
      <c r="W1213" s="270"/>
      <c r="X1213" s="270"/>
      <c r="Y1213" s="270"/>
      <c r="Z1213" s="270"/>
      <c r="AA1213" s="270"/>
      <c r="AB1213" s="270"/>
      <c r="AC1213" s="270"/>
      <c r="AD1213" s="270"/>
      <c r="AE1213" s="270"/>
      <c r="AF1213" s="270"/>
      <c r="AG1213" s="270"/>
      <c r="AH1213" s="270"/>
      <c r="AI1213" s="270"/>
      <c r="AJ1213" s="270"/>
      <c r="AK1213" s="270"/>
      <c r="AL1213" s="270"/>
      <c r="AM1213" s="663"/>
      <c r="AN1213" s="663"/>
      <c r="AO1213" s="708" t="str">
        <f>IF(OR(Table1[[#This Row],[Início Setup Envase]]="",Table1[[#This Row],[Final Setup Envase]]=""),"",Table1[[#This Row],[Final Setup Envase]]-Table1[[#This Row],[Início Setup Envase]])</f>
        <v/>
      </c>
      <c r="AP1213" s="663"/>
      <c r="AQ1213" s="663"/>
      <c r="AR1213" s="270"/>
      <c r="AS1213" s="674"/>
      <c r="AT1213" s="674"/>
      <c r="AU1213" s="270"/>
      <c r="AV1213" s="270"/>
      <c r="AW1213" s="270"/>
      <c r="AX1213" s="270"/>
      <c r="AY1213" s="270"/>
      <c r="AZ1213" s="270"/>
      <c r="BA1213" s="270" t="str">
        <f>IF(Table1[[#This Row],[Data de Início]]="","",YEAR(Table1[[#This Row],[Data de Início]]))</f>
        <v/>
      </c>
      <c r="BB1213" s="270" t="str">
        <f>IF(Table1[[#This Row],[Data de Início]]="","",MONTH(Table1[[#This Row],[Data de Início]]))</f>
        <v/>
      </c>
      <c r="BC1213" s="483"/>
    </row>
    <row r="1214" spans="2:55" x14ac:dyDescent="0.25">
      <c r="B1214" s="470"/>
      <c r="C1214" s="263"/>
      <c r="D1214" s="477" cm="1">
        <f t="array" ref="D1214">IFERROR(HorasUteisFabrica2Turnos(B1214,C1214), "")</f>
        <v>0</v>
      </c>
      <c r="E1214" s="478" t="str">
        <f t="shared" si="19"/>
        <v/>
      </c>
      <c r="F1214" s="266"/>
      <c r="G1214" s="656"/>
      <c r="H1214" s="479"/>
      <c r="I1214" s="268"/>
      <c r="J1214" s="268"/>
      <c r="K1214" s="268"/>
      <c r="L1214" s="269"/>
      <c r="M1214" s="511" t="str">
        <f>IFERROR(INDEX([1]Produtos!$C:$C,MATCH(L1214,[1]Produtos!$B:$B,0)), "-")</f>
        <v>-</v>
      </c>
      <c r="N1214" s="511" t="str">
        <f>IFERROR(INDEX([1]Produtos!$E:$E,MATCH(L1214,[1]Produtos!$B:$B,0)), "-")</f>
        <v>-</v>
      </c>
      <c r="O1214" s="483" t="str">
        <f>IFERROR(INDEX([1]Produtos!$F:$F,MATCH(L1214,[1]Produtos!$B:$B,0)), "-")</f>
        <v>-</v>
      </c>
      <c r="P1214" s="477" t="str">
        <f>IFERROR(INDEX([1]Produtos!$G:$G,MATCH(L1214,[1]Produtos!$B:$B,0)), "-")</f>
        <v>-</v>
      </c>
      <c r="Q1214" s="483" t="str">
        <f>IFERROR(INDEX([1]Produtos!$H:$H,MATCH(L1214,[1]Produtos!$B:$B,0)), "-")</f>
        <v>-</v>
      </c>
      <c r="R1214" s="483" t="str">
        <f>IFERROR(INDEX([1]Produtos!$I:$I,MATCH(L1214,[1]Produtos!$B:$B,0)), "-")</f>
        <v>-</v>
      </c>
      <c r="S1214" s="483" t="str">
        <f>IFERROR(INDEX([1]Produtos!$J:$J,MATCH(L1214,[1]Produtos!$B:$B,0)), "-")</f>
        <v>-</v>
      </c>
      <c r="T1214" s="484"/>
      <c r="U1214" s="483"/>
      <c r="V1214" s="483"/>
      <c r="W1214" s="483"/>
      <c r="X1214" s="483"/>
      <c r="Y1214" s="483"/>
      <c r="Z1214" s="483"/>
      <c r="AA1214" s="483"/>
      <c r="AB1214" s="483"/>
      <c r="AC1214" s="483"/>
      <c r="AD1214" s="483"/>
      <c r="AE1214" s="483"/>
      <c r="AF1214" s="483"/>
      <c r="AG1214" s="483"/>
      <c r="AH1214" s="483"/>
      <c r="AI1214" s="483"/>
      <c r="AJ1214" s="483"/>
      <c r="AK1214" s="483"/>
      <c r="AL1214" s="483"/>
      <c r="AM1214" s="670"/>
      <c r="AN1214" s="670"/>
      <c r="AO1214" s="711" t="str">
        <f>IF(OR(Table1[[#This Row],[Início Setup Envase]]="",Table1[[#This Row],[Final Setup Envase]]=""),"",Table1[[#This Row],[Final Setup Envase]]-Table1[[#This Row],[Início Setup Envase]])</f>
        <v/>
      </c>
      <c r="AP1214" s="670"/>
      <c r="AQ1214" s="670"/>
      <c r="AR1214" s="483"/>
      <c r="AS1214" s="483"/>
      <c r="AT1214" s="483"/>
      <c r="AU1214" s="483"/>
      <c r="AV1214" s="483"/>
      <c r="AW1214" s="483"/>
      <c r="AX1214" s="483"/>
      <c r="AY1214" s="270"/>
      <c r="AZ1214" s="270"/>
      <c r="BA1214" s="270" t="str">
        <f>IF(Table1[[#This Row],[Data de Início]]="","",YEAR(Table1[[#This Row],[Data de Início]]))</f>
        <v/>
      </c>
      <c r="BB1214" s="270" t="str">
        <f>IF(Table1[[#This Row],[Data de Início]]="","",MONTH(Table1[[#This Row],[Data de Início]]))</f>
        <v/>
      </c>
      <c r="BC1214" s="270"/>
    </row>
    <row r="1215" spans="2:55" x14ac:dyDescent="0.25">
      <c r="B1215" s="470"/>
      <c r="C1215" s="263"/>
      <c r="D1215" s="477" cm="1">
        <f t="array" ref="D1215">IFERROR(HorasUteisFabrica2Turnos(B1215,C1215), "")</f>
        <v>0</v>
      </c>
      <c r="E1215" s="697" t="str">
        <f t="shared" si="19"/>
        <v/>
      </c>
      <c r="F1215" s="266"/>
      <c r="G1215" s="698"/>
      <c r="H1215" s="266"/>
      <c r="I1215" s="268"/>
      <c r="J1215" s="268"/>
      <c r="K1215" s="268"/>
      <c r="L1215" s="269"/>
      <c r="M1215" s="510" t="str">
        <f>IFERROR(INDEX([1]Produtos!$C:$C,MATCH(L1215,[1]Produtos!$B:$B,0)), "-")</f>
        <v>-</v>
      </c>
      <c r="N1215" s="510" t="str">
        <f>IFERROR(INDEX([1]Produtos!$E:$E,MATCH(L1215,[1]Produtos!$B:$B,0)), "-")</f>
        <v>-</v>
      </c>
      <c r="O1215" s="270" t="str">
        <f>IFERROR(INDEX([1]Produtos!$F:$F,MATCH(L1215,[1]Produtos!$B:$B,0)), "-")</f>
        <v>-</v>
      </c>
      <c r="P1215" s="264" t="str">
        <f>IFERROR(INDEX([1]Produtos!$G:$G,MATCH(L1215,[1]Produtos!$B:$B,0)), "-")</f>
        <v>-</v>
      </c>
      <c r="Q1215" s="270" t="str">
        <f>IFERROR(INDEX([1]Produtos!$H:$H,MATCH(L1215,[1]Produtos!$B:$B,0)), "-")</f>
        <v>-</v>
      </c>
      <c r="R1215" s="270" t="str">
        <f>IFERROR(INDEX([1]Produtos!$I:$I,MATCH(L1215,[1]Produtos!$B:$B,0)), "-")</f>
        <v>-</v>
      </c>
      <c r="S1215" s="270" t="str">
        <f>IFERROR(INDEX([1]Produtos!$J:$J,MATCH(L1215,[1]Produtos!$B:$B,0)), "-")</f>
        <v>-</v>
      </c>
      <c r="T1215" s="475"/>
      <c r="U1215" s="270"/>
      <c r="V1215" s="270"/>
      <c r="W1215" s="270"/>
      <c r="X1215" s="270"/>
      <c r="Y1215" s="270"/>
      <c r="Z1215" s="270"/>
      <c r="AA1215" s="270"/>
      <c r="AB1215" s="270"/>
      <c r="AC1215" s="270"/>
      <c r="AD1215" s="270"/>
      <c r="AE1215" s="270"/>
      <c r="AF1215" s="270"/>
      <c r="AG1215" s="270"/>
      <c r="AH1215" s="270"/>
      <c r="AI1215" s="270"/>
      <c r="AJ1215" s="270"/>
      <c r="AK1215" s="270"/>
      <c r="AL1215" s="270"/>
      <c r="AM1215" s="663"/>
      <c r="AN1215" s="663"/>
      <c r="AO1215" s="708" t="str">
        <f>IF(OR(Table1[[#This Row],[Início Setup Envase]]="",Table1[[#This Row],[Final Setup Envase]]=""),"",Table1[[#This Row],[Final Setup Envase]]-Table1[[#This Row],[Início Setup Envase]])</f>
        <v/>
      </c>
      <c r="AP1215" s="663"/>
      <c r="AQ1215" s="663"/>
      <c r="AR1215" s="270"/>
      <c r="AS1215" s="674"/>
      <c r="AT1215" s="674"/>
      <c r="AU1215" s="270"/>
      <c r="AV1215" s="270"/>
      <c r="AW1215" s="270"/>
      <c r="AX1215" s="270"/>
      <c r="AY1215" s="270"/>
      <c r="AZ1215" s="270"/>
      <c r="BA1215" s="270" t="str">
        <f>IF(Table1[[#This Row],[Data de Início]]="","",YEAR(Table1[[#This Row],[Data de Início]]))</f>
        <v/>
      </c>
      <c r="BB1215" s="270" t="str">
        <f>IF(Table1[[#This Row],[Data de Início]]="","",MONTH(Table1[[#This Row],[Data de Início]]))</f>
        <v/>
      </c>
      <c r="BC1215" s="483"/>
    </row>
    <row r="1216" spans="2:55" x14ac:dyDescent="0.25">
      <c r="B1216" s="470"/>
      <c r="C1216" s="263"/>
      <c r="D1216" s="477" cm="1">
        <f t="array" ref="D1216">IFERROR(HorasUteisFabrica2Turnos(B1216,C1216), "")</f>
        <v>0</v>
      </c>
      <c r="E1216" s="478" t="str">
        <f t="shared" si="19"/>
        <v/>
      </c>
      <c r="F1216" s="266"/>
      <c r="G1216" s="656"/>
      <c r="H1216" s="479"/>
      <c r="I1216" s="268"/>
      <c r="J1216" s="268"/>
      <c r="K1216" s="268"/>
      <c r="L1216" s="269"/>
      <c r="M1216" s="511" t="str">
        <f>IFERROR(INDEX([1]Produtos!$C:$C,MATCH(L1216,[1]Produtos!$B:$B,0)), "-")</f>
        <v>-</v>
      </c>
      <c r="N1216" s="511" t="str">
        <f>IFERROR(INDEX([1]Produtos!$E:$E,MATCH(L1216,[1]Produtos!$B:$B,0)), "-")</f>
        <v>-</v>
      </c>
      <c r="O1216" s="483" t="str">
        <f>IFERROR(INDEX([1]Produtos!$F:$F,MATCH(L1216,[1]Produtos!$B:$B,0)), "-")</f>
        <v>-</v>
      </c>
      <c r="P1216" s="477" t="str">
        <f>IFERROR(INDEX([1]Produtos!$G:$G,MATCH(L1216,[1]Produtos!$B:$B,0)), "-")</f>
        <v>-</v>
      </c>
      <c r="Q1216" s="483" t="str">
        <f>IFERROR(INDEX([1]Produtos!$H:$H,MATCH(L1216,[1]Produtos!$B:$B,0)), "-")</f>
        <v>-</v>
      </c>
      <c r="R1216" s="483" t="str">
        <f>IFERROR(INDEX([1]Produtos!$I:$I,MATCH(L1216,[1]Produtos!$B:$B,0)), "-")</f>
        <v>-</v>
      </c>
      <c r="S1216" s="483" t="str">
        <f>IFERROR(INDEX([1]Produtos!$J:$J,MATCH(L1216,[1]Produtos!$B:$B,0)), "-")</f>
        <v>-</v>
      </c>
      <c r="T1216" s="484"/>
      <c r="U1216" s="483"/>
      <c r="V1216" s="483"/>
      <c r="W1216" s="483"/>
      <c r="X1216" s="483"/>
      <c r="Y1216" s="483"/>
      <c r="Z1216" s="483"/>
      <c r="AA1216" s="483"/>
      <c r="AB1216" s="483"/>
      <c r="AC1216" s="483"/>
      <c r="AD1216" s="483"/>
      <c r="AE1216" s="483"/>
      <c r="AF1216" s="483"/>
      <c r="AG1216" s="483"/>
      <c r="AH1216" s="483"/>
      <c r="AI1216" s="483"/>
      <c r="AJ1216" s="483"/>
      <c r="AK1216" s="483"/>
      <c r="AL1216" s="483"/>
      <c r="AM1216" s="670"/>
      <c r="AN1216" s="670"/>
      <c r="AO1216" s="711" t="str">
        <f>IF(OR(Table1[[#This Row],[Início Setup Envase]]="",Table1[[#This Row],[Final Setup Envase]]=""),"",Table1[[#This Row],[Final Setup Envase]]-Table1[[#This Row],[Início Setup Envase]])</f>
        <v/>
      </c>
      <c r="AP1216" s="670"/>
      <c r="AQ1216" s="670"/>
      <c r="AR1216" s="483"/>
      <c r="AS1216" s="483"/>
      <c r="AT1216" s="483"/>
      <c r="AU1216" s="483"/>
      <c r="AV1216" s="483"/>
      <c r="AW1216" s="483"/>
      <c r="AX1216" s="483"/>
      <c r="AY1216" s="270"/>
      <c r="AZ1216" s="270"/>
      <c r="BA1216" s="270" t="str">
        <f>IF(Table1[[#This Row],[Data de Início]]="","",YEAR(Table1[[#This Row],[Data de Início]]))</f>
        <v/>
      </c>
      <c r="BB1216" s="270" t="str">
        <f>IF(Table1[[#This Row],[Data de Início]]="","",MONTH(Table1[[#This Row],[Data de Início]]))</f>
        <v/>
      </c>
      <c r="BC1216" s="270"/>
    </row>
    <row r="1217" spans="2:55" x14ac:dyDescent="0.25">
      <c r="B1217" s="470"/>
      <c r="C1217" s="263"/>
      <c r="D1217" s="477" cm="1">
        <f t="array" ref="D1217">IFERROR(HorasUteisFabrica2Turnos(B1217,C1217), "")</f>
        <v>0</v>
      </c>
      <c r="E1217" s="697" t="str">
        <f t="shared" si="19"/>
        <v/>
      </c>
      <c r="F1217" s="266"/>
      <c r="G1217" s="698"/>
      <c r="H1217" s="266"/>
      <c r="I1217" s="268"/>
      <c r="J1217" s="268"/>
      <c r="K1217" s="268"/>
      <c r="L1217" s="269"/>
      <c r="M1217" s="510" t="str">
        <f>IFERROR(INDEX([1]Produtos!$C:$C,MATCH(L1217,[1]Produtos!$B:$B,0)), "-")</f>
        <v>-</v>
      </c>
      <c r="N1217" s="510" t="str">
        <f>IFERROR(INDEX([1]Produtos!$E:$E,MATCH(L1217,[1]Produtos!$B:$B,0)), "-")</f>
        <v>-</v>
      </c>
      <c r="O1217" s="270" t="str">
        <f>IFERROR(INDEX([1]Produtos!$F:$F,MATCH(L1217,[1]Produtos!$B:$B,0)), "-")</f>
        <v>-</v>
      </c>
      <c r="P1217" s="264" t="str">
        <f>IFERROR(INDEX([1]Produtos!$G:$G,MATCH(L1217,[1]Produtos!$B:$B,0)), "-")</f>
        <v>-</v>
      </c>
      <c r="Q1217" s="270" t="str">
        <f>IFERROR(INDEX([1]Produtos!$H:$H,MATCH(L1217,[1]Produtos!$B:$B,0)), "-")</f>
        <v>-</v>
      </c>
      <c r="R1217" s="270" t="str">
        <f>IFERROR(INDEX([1]Produtos!$I:$I,MATCH(L1217,[1]Produtos!$B:$B,0)), "-")</f>
        <v>-</v>
      </c>
      <c r="S1217" s="270" t="str">
        <f>IFERROR(INDEX([1]Produtos!$J:$J,MATCH(L1217,[1]Produtos!$B:$B,0)), "-")</f>
        <v>-</v>
      </c>
      <c r="T1217" s="475"/>
      <c r="U1217" s="270"/>
      <c r="V1217" s="270"/>
      <c r="W1217" s="270"/>
      <c r="X1217" s="270"/>
      <c r="Y1217" s="270"/>
      <c r="Z1217" s="270"/>
      <c r="AA1217" s="270"/>
      <c r="AB1217" s="270"/>
      <c r="AC1217" s="270"/>
      <c r="AD1217" s="270"/>
      <c r="AE1217" s="270"/>
      <c r="AF1217" s="270"/>
      <c r="AG1217" s="270"/>
      <c r="AH1217" s="270"/>
      <c r="AI1217" s="270"/>
      <c r="AJ1217" s="270"/>
      <c r="AK1217" s="270"/>
      <c r="AL1217" s="270"/>
      <c r="AM1217" s="663"/>
      <c r="AN1217" s="663"/>
      <c r="AO1217" s="708" t="str">
        <f>IF(OR(Table1[[#This Row],[Início Setup Envase]]="",Table1[[#This Row],[Final Setup Envase]]=""),"",Table1[[#This Row],[Final Setup Envase]]-Table1[[#This Row],[Início Setup Envase]])</f>
        <v/>
      </c>
      <c r="AP1217" s="663"/>
      <c r="AQ1217" s="663"/>
      <c r="AR1217" s="270"/>
      <c r="AS1217" s="674"/>
      <c r="AT1217" s="674"/>
      <c r="AU1217" s="270"/>
      <c r="AV1217" s="270"/>
      <c r="AW1217" s="270"/>
      <c r="AX1217" s="270"/>
      <c r="AY1217" s="270"/>
      <c r="AZ1217" s="270"/>
      <c r="BA1217" s="270" t="str">
        <f>IF(Table1[[#This Row],[Data de Início]]="","",YEAR(Table1[[#This Row],[Data de Início]]))</f>
        <v/>
      </c>
      <c r="BB1217" s="270" t="str">
        <f>IF(Table1[[#This Row],[Data de Início]]="","",MONTH(Table1[[#This Row],[Data de Início]]))</f>
        <v/>
      </c>
      <c r="BC1217" s="483"/>
    </row>
    <row r="1218" spans="2:55" x14ac:dyDescent="0.25">
      <c r="B1218" s="470"/>
      <c r="C1218" s="263"/>
      <c r="D1218" s="477" cm="1">
        <f t="array" ref="D1218">IFERROR(HorasUteisFabrica2Turnos(B1218,C1218), "")</f>
        <v>0</v>
      </c>
      <c r="E1218" s="478" t="str">
        <f t="shared" si="19"/>
        <v/>
      </c>
      <c r="F1218" s="266"/>
      <c r="G1218" s="656"/>
      <c r="H1218" s="479"/>
      <c r="I1218" s="268"/>
      <c r="J1218" s="268"/>
      <c r="K1218" s="268"/>
      <c r="L1218" s="269"/>
      <c r="M1218" s="511" t="str">
        <f>IFERROR(INDEX([1]Produtos!$C:$C,MATCH(L1218,[1]Produtos!$B:$B,0)), "-")</f>
        <v>-</v>
      </c>
      <c r="N1218" s="511" t="str">
        <f>IFERROR(INDEX([1]Produtos!$E:$E,MATCH(L1218,[1]Produtos!$B:$B,0)), "-")</f>
        <v>-</v>
      </c>
      <c r="O1218" s="483" t="str">
        <f>IFERROR(INDEX([1]Produtos!$F:$F,MATCH(L1218,[1]Produtos!$B:$B,0)), "-")</f>
        <v>-</v>
      </c>
      <c r="P1218" s="477" t="str">
        <f>IFERROR(INDEX([1]Produtos!$G:$G,MATCH(L1218,[1]Produtos!$B:$B,0)), "-")</f>
        <v>-</v>
      </c>
      <c r="Q1218" s="483" t="str">
        <f>IFERROR(INDEX([1]Produtos!$H:$H,MATCH(L1218,[1]Produtos!$B:$B,0)), "-")</f>
        <v>-</v>
      </c>
      <c r="R1218" s="483" t="str">
        <f>IFERROR(INDEX([1]Produtos!$I:$I,MATCH(L1218,[1]Produtos!$B:$B,0)), "-")</f>
        <v>-</v>
      </c>
      <c r="S1218" s="483" t="str">
        <f>IFERROR(INDEX([1]Produtos!$J:$J,MATCH(L1218,[1]Produtos!$B:$B,0)), "-")</f>
        <v>-</v>
      </c>
      <c r="T1218" s="484"/>
      <c r="U1218" s="483"/>
      <c r="V1218" s="483"/>
      <c r="W1218" s="483"/>
      <c r="X1218" s="483"/>
      <c r="Y1218" s="483"/>
      <c r="Z1218" s="483"/>
      <c r="AA1218" s="483"/>
      <c r="AB1218" s="483"/>
      <c r="AC1218" s="483"/>
      <c r="AD1218" s="483"/>
      <c r="AE1218" s="483"/>
      <c r="AF1218" s="483"/>
      <c r="AG1218" s="483"/>
      <c r="AH1218" s="483"/>
      <c r="AI1218" s="483"/>
      <c r="AJ1218" s="483"/>
      <c r="AK1218" s="483"/>
      <c r="AL1218" s="483"/>
      <c r="AM1218" s="670"/>
      <c r="AN1218" s="670"/>
      <c r="AO1218" s="711" t="str">
        <f>IF(OR(Table1[[#This Row],[Início Setup Envase]]="",Table1[[#This Row],[Final Setup Envase]]=""),"",Table1[[#This Row],[Final Setup Envase]]-Table1[[#This Row],[Início Setup Envase]])</f>
        <v/>
      </c>
      <c r="AP1218" s="670"/>
      <c r="AQ1218" s="670"/>
      <c r="AR1218" s="483"/>
      <c r="AS1218" s="483"/>
      <c r="AT1218" s="483"/>
      <c r="AU1218" s="483"/>
      <c r="AV1218" s="483"/>
      <c r="AW1218" s="483"/>
      <c r="AX1218" s="483"/>
      <c r="AY1218" s="270"/>
      <c r="AZ1218" s="270"/>
      <c r="BA1218" s="270" t="str">
        <f>IF(Table1[[#This Row],[Data de Início]]="","",YEAR(Table1[[#This Row],[Data de Início]]))</f>
        <v/>
      </c>
      <c r="BB1218" s="270" t="str">
        <f>IF(Table1[[#This Row],[Data de Início]]="","",MONTH(Table1[[#This Row],[Data de Início]]))</f>
        <v/>
      </c>
      <c r="BC1218" s="270"/>
    </row>
    <row r="1219" spans="2:55" x14ac:dyDescent="0.25">
      <c r="B1219" s="470"/>
      <c r="C1219" s="263"/>
      <c r="D1219" s="477" cm="1">
        <f t="array" ref="D1219">IFERROR(HorasUteisFabrica2Turnos(B1219,C1219), "")</f>
        <v>0</v>
      </c>
      <c r="E1219" s="697" t="str">
        <f t="shared" si="19"/>
        <v/>
      </c>
      <c r="F1219" s="266"/>
      <c r="G1219" s="698"/>
      <c r="H1219" s="266"/>
      <c r="I1219" s="268"/>
      <c r="J1219" s="268"/>
      <c r="K1219" s="268"/>
      <c r="L1219" s="269"/>
      <c r="M1219" s="510" t="str">
        <f>IFERROR(INDEX([1]Produtos!$C:$C,MATCH(L1219,[1]Produtos!$B:$B,0)), "-")</f>
        <v>-</v>
      </c>
      <c r="N1219" s="510" t="str">
        <f>IFERROR(INDEX([1]Produtos!$E:$E,MATCH(L1219,[1]Produtos!$B:$B,0)), "-")</f>
        <v>-</v>
      </c>
      <c r="O1219" s="270" t="str">
        <f>IFERROR(INDEX([1]Produtos!$F:$F,MATCH(L1219,[1]Produtos!$B:$B,0)), "-")</f>
        <v>-</v>
      </c>
      <c r="P1219" s="264" t="str">
        <f>IFERROR(INDEX([1]Produtos!$G:$G,MATCH(L1219,[1]Produtos!$B:$B,0)), "-")</f>
        <v>-</v>
      </c>
      <c r="Q1219" s="270" t="str">
        <f>IFERROR(INDEX([1]Produtos!$H:$H,MATCH(L1219,[1]Produtos!$B:$B,0)), "-")</f>
        <v>-</v>
      </c>
      <c r="R1219" s="270" t="str">
        <f>IFERROR(INDEX([1]Produtos!$I:$I,MATCH(L1219,[1]Produtos!$B:$B,0)), "-")</f>
        <v>-</v>
      </c>
      <c r="S1219" s="270" t="str">
        <f>IFERROR(INDEX([1]Produtos!$J:$J,MATCH(L1219,[1]Produtos!$B:$B,0)), "-")</f>
        <v>-</v>
      </c>
      <c r="T1219" s="475"/>
      <c r="U1219" s="270"/>
      <c r="V1219" s="270"/>
      <c r="W1219" s="270"/>
      <c r="X1219" s="270"/>
      <c r="Y1219" s="270"/>
      <c r="Z1219" s="270"/>
      <c r="AA1219" s="270"/>
      <c r="AB1219" s="270"/>
      <c r="AC1219" s="270"/>
      <c r="AD1219" s="270"/>
      <c r="AE1219" s="270"/>
      <c r="AF1219" s="270"/>
      <c r="AG1219" s="270"/>
      <c r="AH1219" s="270"/>
      <c r="AI1219" s="270"/>
      <c r="AJ1219" s="270"/>
      <c r="AK1219" s="270"/>
      <c r="AL1219" s="270"/>
      <c r="AM1219" s="663"/>
      <c r="AN1219" s="663"/>
      <c r="AO1219" s="708" t="str">
        <f>IF(OR(Table1[[#This Row],[Início Setup Envase]]="",Table1[[#This Row],[Final Setup Envase]]=""),"",Table1[[#This Row],[Final Setup Envase]]-Table1[[#This Row],[Início Setup Envase]])</f>
        <v/>
      </c>
      <c r="AP1219" s="663"/>
      <c r="AQ1219" s="663"/>
      <c r="AR1219" s="270"/>
      <c r="AS1219" s="674"/>
      <c r="AT1219" s="674"/>
      <c r="AU1219" s="270"/>
      <c r="AV1219" s="270"/>
      <c r="AW1219" s="270"/>
      <c r="AX1219" s="270"/>
      <c r="AY1219" s="270"/>
      <c r="AZ1219" s="270"/>
      <c r="BA1219" s="270" t="str">
        <f>IF(Table1[[#This Row],[Data de Início]]="","",YEAR(Table1[[#This Row],[Data de Início]]))</f>
        <v/>
      </c>
      <c r="BB1219" s="270" t="str">
        <f>IF(Table1[[#This Row],[Data de Início]]="","",MONTH(Table1[[#This Row],[Data de Início]]))</f>
        <v/>
      </c>
      <c r="BC1219" s="483"/>
    </row>
    <row r="1220" spans="2:55" x14ac:dyDescent="0.25">
      <c r="B1220" s="470"/>
      <c r="C1220" s="263"/>
      <c r="D1220" s="477" cm="1">
        <f t="array" ref="D1220">IFERROR(HorasUteisFabrica2Turnos(B1220,C1220), "")</f>
        <v>0</v>
      </c>
      <c r="E1220" s="478" t="str">
        <f t="shared" si="19"/>
        <v/>
      </c>
      <c r="F1220" s="266"/>
      <c r="G1220" s="656"/>
      <c r="H1220" s="479"/>
      <c r="I1220" s="268"/>
      <c r="J1220" s="268"/>
      <c r="K1220" s="268"/>
      <c r="L1220" s="269"/>
      <c r="M1220" s="511" t="str">
        <f>IFERROR(INDEX([1]Produtos!$C:$C,MATCH(L1220,[1]Produtos!$B:$B,0)), "-")</f>
        <v>-</v>
      </c>
      <c r="N1220" s="511" t="str">
        <f>IFERROR(INDEX([1]Produtos!$E:$E,MATCH(L1220,[1]Produtos!$B:$B,0)), "-")</f>
        <v>-</v>
      </c>
      <c r="O1220" s="483" t="str">
        <f>IFERROR(INDEX([1]Produtos!$F:$F,MATCH(L1220,[1]Produtos!$B:$B,0)), "-")</f>
        <v>-</v>
      </c>
      <c r="P1220" s="477" t="str">
        <f>IFERROR(INDEX([1]Produtos!$G:$G,MATCH(L1220,[1]Produtos!$B:$B,0)), "-")</f>
        <v>-</v>
      </c>
      <c r="Q1220" s="483" t="str">
        <f>IFERROR(INDEX([1]Produtos!$H:$H,MATCH(L1220,[1]Produtos!$B:$B,0)), "-")</f>
        <v>-</v>
      </c>
      <c r="R1220" s="483" t="str">
        <f>IFERROR(INDEX([1]Produtos!$I:$I,MATCH(L1220,[1]Produtos!$B:$B,0)), "-")</f>
        <v>-</v>
      </c>
      <c r="S1220" s="483" t="str">
        <f>IFERROR(INDEX([1]Produtos!$J:$J,MATCH(L1220,[1]Produtos!$B:$B,0)), "-")</f>
        <v>-</v>
      </c>
      <c r="T1220" s="484"/>
      <c r="U1220" s="483"/>
      <c r="V1220" s="483"/>
      <c r="W1220" s="483"/>
      <c r="X1220" s="483"/>
      <c r="Y1220" s="483"/>
      <c r="Z1220" s="483"/>
      <c r="AA1220" s="483"/>
      <c r="AB1220" s="483"/>
      <c r="AC1220" s="483"/>
      <c r="AD1220" s="483"/>
      <c r="AE1220" s="483"/>
      <c r="AF1220" s="483"/>
      <c r="AG1220" s="483"/>
      <c r="AH1220" s="483"/>
      <c r="AI1220" s="483"/>
      <c r="AJ1220" s="483"/>
      <c r="AK1220" s="483"/>
      <c r="AL1220" s="483"/>
      <c r="AM1220" s="670"/>
      <c r="AN1220" s="670"/>
      <c r="AO1220" s="711" t="str">
        <f>IF(OR(Table1[[#This Row],[Início Setup Envase]]="",Table1[[#This Row],[Final Setup Envase]]=""),"",Table1[[#This Row],[Final Setup Envase]]-Table1[[#This Row],[Início Setup Envase]])</f>
        <v/>
      </c>
      <c r="AP1220" s="670"/>
      <c r="AQ1220" s="670"/>
      <c r="AR1220" s="483"/>
      <c r="AS1220" s="483"/>
      <c r="AT1220" s="483"/>
      <c r="AU1220" s="483"/>
      <c r="AV1220" s="483"/>
      <c r="AW1220" s="483"/>
      <c r="AX1220" s="483"/>
      <c r="AY1220" s="270"/>
      <c r="AZ1220" s="270"/>
      <c r="BA1220" s="270" t="str">
        <f>IF(Table1[[#This Row],[Data de Início]]="","",YEAR(Table1[[#This Row],[Data de Início]]))</f>
        <v/>
      </c>
      <c r="BB1220" s="270" t="str">
        <f>IF(Table1[[#This Row],[Data de Início]]="","",MONTH(Table1[[#This Row],[Data de Início]]))</f>
        <v/>
      </c>
      <c r="BC1220" s="270"/>
    </row>
    <row r="1221" spans="2:55" x14ac:dyDescent="0.25">
      <c r="B1221" s="470"/>
      <c r="C1221" s="263"/>
      <c r="D1221" s="477" cm="1">
        <f t="array" ref="D1221">IFERROR(HorasUteisFabrica2Turnos(B1221,C1221), "")</f>
        <v>0</v>
      </c>
      <c r="E1221" s="697" t="str">
        <f t="shared" si="19"/>
        <v/>
      </c>
      <c r="F1221" s="266"/>
      <c r="G1221" s="698"/>
      <c r="H1221" s="266"/>
      <c r="I1221" s="268"/>
      <c r="J1221" s="268"/>
      <c r="K1221" s="268"/>
      <c r="L1221" s="269"/>
      <c r="M1221" s="510" t="str">
        <f>IFERROR(INDEX([1]Produtos!$C:$C,MATCH(L1221,[1]Produtos!$B:$B,0)), "-")</f>
        <v>-</v>
      </c>
      <c r="N1221" s="510" t="str">
        <f>IFERROR(INDEX([1]Produtos!$E:$E,MATCH(L1221,[1]Produtos!$B:$B,0)), "-")</f>
        <v>-</v>
      </c>
      <c r="O1221" s="270" t="str">
        <f>IFERROR(INDEX([1]Produtos!$F:$F,MATCH(L1221,[1]Produtos!$B:$B,0)), "-")</f>
        <v>-</v>
      </c>
      <c r="P1221" s="264" t="str">
        <f>IFERROR(INDEX([1]Produtos!$G:$G,MATCH(L1221,[1]Produtos!$B:$B,0)), "-")</f>
        <v>-</v>
      </c>
      <c r="Q1221" s="270" t="str">
        <f>IFERROR(INDEX([1]Produtos!$H:$H,MATCH(L1221,[1]Produtos!$B:$B,0)), "-")</f>
        <v>-</v>
      </c>
      <c r="R1221" s="270" t="str">
        <f>IFERROR(INDEX([1]Produtos!$I:$I,MATCH(L1221,[1]Produtos!$B:$B,0)), "-")</f>
        <v>-</v>
      </c>
      <c r="S1221" s="270" t="str">
        <f>IFERROR(INDEX([1]Produtos!$J:$J,MATCH(L1221,[1]Produtos!$B:$B,0)), "-")</f>
        <v>-</v>
      </c>
      <c r="T1221" s="475"/>
      <c r="U1221" s="270"/>
      <c r="V1221" s="270"/>
      <c r="W1221" s="270"/>
      <c r="X1221" s="270"/>
      <c r="Y1221" s="270"/>
      <c r="Z1221" s="270"/>
      <c r="AA1221" s="270"/>
      <c r="AB1221" s="270"/>
      <c r="AC1221" s="270"/>
      <c r="AD1221" s="270"/>
      <c r="AE1221" s="270"/>
      <c r="AF1221" s="270"/>
      <c r="AG1221" s="270"/>
      <c r="AH1221" s="270"/>
      <c r="AI1221" s="270"/>
      <c r="AJ1221" s="270"/>
      <c r="AK1221" s="270"/>
      <c r="AL1221" s="270"/>
      <c r="AM1221" s="663"/>
      <c r="AN1221" s="663"/>
      <c r="AO1221" s="708" t="str">
        <f>IF(OR(Table1[[#This Row],[Início Setup Envase]]="",Table1[[#This Row],[Final Setup Envase]]=""),"",Table1[[#This Row],[Final Setup Envase]]-Table1[[#This Row],[Início Setup Envase]])</f>
        <v/>
      </c>
      <c r="AP1221" s="663"/>
      <c r="AQ1221" s="663"/>
      <c r="AR1221" s="270"/>
      <c r="AS1221" s="674"/>
      <c r="AT1221" s="674"/>
      <c r="AU1221" s="270"/>
      <c r="AV1221" s="270"/>
      <c r="AW1221" s="270"/>
      <c r="AX1221" s="270"/>
      <c r="AY1221" s="270"/>
      <c r="AZ1221" s="270"/>
      <c r="BA1221" s="270" t="str">
        <f>IF(Table1[[#This Row],[Data de Início]]="","",YEAR(Table1[[#This Row],[Data de Início]]))</f>
        <v/>
      </c>
      <c r="BB1221" s="270" t="str">
        <f>IF(Table1[[#This Row],[Data de Início]]="","",MONTH(Table1[[#This Row],[Data de Início]]))</f>
        <v/>
      </c>
      <c r="BC1221" s="483"/>
    </row>
    <row r="1222" spans="2:55" x14ac:dyDescent="0.25">
      <c r="B1222" s="470"/>
      <c r="C1222" s="263"/>
      <c r="D1222" s="477" cm="1">
        <f t="array" ref="D1222">IFERROR(HorasUteisFabrica2Turnos(B1222,C1222), "")</f>
        <v>0</v>
      </c>
      <c r="E1222" s="478" t="str">
        <f t="shared" si="19"/>
        <v/>
      </c>
      <c r="F1222" s="266"/>
      <c r="G1222" s="656"/>
      <c r="H1222" s="479"/>
      <c r="I1222" s="268"/>
      <c r="J1222" s="268"/>
      <c r="K1222" s="268"/>
      <c r="L1222" s="269"/>
      <c r="M1222" s="511" t="str">
        <f>IFERROR(INDEX([1]Produtos!$C:$C,MATCH(L1222,[1]Produtos!$B:$B,0)), "-")</f>
        <v>-</v>
      </c>
      <c r="N1222" s="511" t="str">
        <f>IFERROR(INDEX([1]Produtos!$E:$E,MATCH(L1222,[1]Produtos!$B:$B,0)), "-")</f>
        <v>-</v>
      </c>
      <c r="O1222" s="483" t="str">
        <f>IFERROR(INDEX([1]Produtos!$F:$F,MATCH(L1222,[1]Produtos!$B:$B,0)), "-")</f>
        <v>-</v>
      </c>
      <c r="P1222" s="477" t="str">
        <f>IFERROR(INDEX([1]Produtos!$G:$G,MATCH(L1222,[1]Produtos!$B:$B,0)), "-")</f>
        <v>-</v>
      </c>
      <c r="Q1222" s="483" t="str">
        <f>IFERROR(INDEX([1]Produtos!$H:$H,MATCH(L1222,[1]Produtos!$B:$B,0)), "-")</f>
        <v>-</v>
      </c>
      <c r="R1222" s="483" t="str">
        <f>IFERROR(INDEX([1]Produtos!$I:$I,MATCH(L1222,[1]Produtos!$B:$B,0)), "-")</f>
        <v>-</v>
      </c>
      <c r="S1222" s="483" t="str">
        <f>IFERROR(INDEX([1]Produtos!$J:$J,MATCH(L1222,[1]Produtos!$B:$B,0)), "-")</f>
        <v>-</v>
      </c>
      <c r="T1222" s="484"/>
      <c r="U1222" s="483"/>
      <c r="V1222" s="483"/>
      <c r="W1222" s="483"/>
      <c r="X1222" s="483"/>
      <c r="Y1222" s="483"/>
      <c r="Z1222" s="483"/>
      <c r="AA1222" s="483"/>
      <c r="AB1222" s="483"/>
      <c r="AC1222" s="483"/>
      <c r="AD1222" s="483"/>
      <c r="AE1222" s="483"/>
      <c r="AF1222" s="483"/>
      <c r="AG1222" s="483"/>
      <c r="AH1222" s="483"/>
      <c r="AI1222" s="483"/>
      <c r="AJ1222" s="483"/>
      <c r="AK1222" s="483"/>
      <c r="AL1222" s="483"/>
      <c r="AM1222" s="670"/>
      <c r="AN1222" s="670"/>
      <c r="AO1222" s="711" t="str">
        <f>IF(OR(Table1[[#This Row],[Início Setup Envase]]="",Table1[[#This Row],[Final Setup Envase]]=""),"",Table1[[#This Row],[Final Setup Envase]]-Table1[[#This Row],[Início Setup Envase]])</f>
        <v/>
      </c>
      <c r="AP1222" s="670"/>
      <c r="AQ1222" s="670"/>
      <c r="AR1222" s="483"/>
      <c r="AS1222" s="483"/>
      <c r="AT1222" s="483"/>
      <c r="AU1222" s="483"/>
      <c r="AV1222" s="483"/>
      <c r="AW1222" s="483"/>
      <c r="AX1222" s="483"/>
      <c r="AY1222" s="270"/>
      <c r="AZ1222" s="270"/>
      <c r="BA1222" s="270" t="str">
        <f>IF(Table1[[#This Row],[Data de Início]]="","",YEAR(Table1[[#This Row],[Data de Início]]))</f>
        <v/>
      </c>
      <c r="BB1222" s="270" t="str">
        <f>IF(Table1[[#This Row],[Data de Início]]="","",MONTH(Table1[[#This Row],[Data de Início]]))</f>
        <v/>
      </c>
      <c r="BC1222" s="270"/>
    </row>
    <row r="1223" spans="2:55" x14ac:dyDescent="0.25">
      <c r="B1223" s="470"/>
      <c r="C1223" s="263"/>
      <c r="D1223" s="477" cm="1">
        <f t="array" ref="D1223">IFERROR(HorasUteisFabrica2Turnos(B1223,C1223), "")</f>
        <v>0</v>
      </c>
      <c r="E1223" s="697" t="str">
        <f t="shared" si="19"/>
        <v/>
      </c>
      <c r="F1223" s="266"/>
      <c r="G1223" s="698"/>
      <c r="H1223" s="266"/>
      <c r="I1223" s="268"/>
      <c r="J1223" s="268"/>
      <c r="K1223" s="268"/>
      <c r="L1223" s="269"/>
      <c r="M1223" s="510" t="str">
        <f>IFERROR(INDEX([1]Produtos!$C:$C,MATCH(L1223,[1]Produtos!$B:$B,0)), "-")</f>
        <v>-</v>
      </c>
      <c r="N1223" s="510" t="str">
        <f>IFERROR(INDEX([1]Produtos!$E:$E,MATCH(L1223,[1]Produtos!$B:$B,0)), "-")</f>
        <v>-</v>
      </c>
      <c r="O1223" s="270" t="str">
        <f>IFERROR(INDEX([1]Produtos!$F:$F,MATCH(L1223,[1]Produtos!$B:$B,0)), "-")</f>
        <v>-</v>
      </c>
      <c r="P1223" s="264" t="str">
        <f>IFERROR(INDEX([1]Produtos!$G:$G,MATCH(L1223,[1]Produtos!$B:$B,0)), "-")</f>
        <v>-</v>
      </c>
      <c r="Q1223" s="270" t="str">
        <f>IFERROR(INDEX([1]Produtos!$H:$H,MATCH(L1223,[1]Produtos!$B:$B,0)), "-")</f>
        <v>-</v>
      </c>
      <c r="R1223" s="270" t="str">
        <f>IFERROR(INDEX([1]Produtos!$I:$I,MATCH(L1223,[1]Produtos!$B:$B,0)), "-")</f>
        <v>-</v>
      </c>
      <c r="S1223" s="270" t="str">
        <f>IFERROR(INDEX([1]Produtos!$J:$J,MATCH(L1223,[1]Produtos!$B:$B,0)), "-")</f>
        <v>-</v>
      </c>
      <c r="T1223" s="475"/>
      <c r="U1223" s="270"/>
      <c r="V1223" s="270"/>
      <c r="W1223" s="270"/>
      <c r="X1223" s="270"/>
      <c r="Y1223" s="270"/>
      <c r="Z1223" s="270"/>
      <c r="AA1223" s="270"/>
      <c r="AB1223" s="270"/>
      <c r="AC1223" s="270"/>
      <c r="AD1223" s="270"/>
      <c r="AE1223" s="270"/>
      <c r="AF1223" s="270"/>
      <c r="AG1223" s="270"/>
      <c r="AH1223" s="270"/>
      <c r="AI1223" s="270"/>
      <c r="AJ1223" s="270"/>
      <c r="AK1223" s="270"/>
      <c r="AL1223" s="270"/>
      <c r="AM1223" s="663"/>
      <c r="AN1223" s="663"/>
      <c r="AO1223" s="708" t="str">
        <f>IF(OR(Table1[[#This Row],[Início Setup Envase]]="",Table1[[#This Row],[Final Setup Envase]]=""),"",Table1[[#This Row],[Final Setup Envase]]-Table1[[#This Row],[Início Setup Envase]])</f>
        <v/>
      </c>
      <c r="AP1223" s="663"/>
      <c r="AQ1223" s="663"/>
      <c r="AR1223" s="270"/>
      <c r="AS1223" s="674"/>
      <c r="AT1223" s="674"/>
      <c r="AU1223" s="270"/>
      <c r="AV1223" s="270"/>
      <c r="AW1223" s="270"/>
      <c r="AX1223" s="270"/>
      <c r="AY1223" s="270"/>
      <c r="AZ1223" s="270"/>
      <c r="BA1223" s="270" t="str">
        <f>IF(Table1[[#This Row],[Data de Início]]="","",YEAR(Table1[[#This Row],[Data de Início]]))</f>
        <v/>
      </c>
      <c r="BB1223" s="270" t="str">
        <f>IF(Table1[[#This Row],[Data de Início]]="","",MONTH(Table1[[#This Row],[Data de Início]]))</f>
        <v/>
      </c>
      <c r="BC1223" s="483"/>
    </row>
    <row r="1224" spans="2:55" x14ac:dyDescent="0.25">
      <c r="B1224" s="470"/>
      <c r="C1224" s="263"/>
      <c r="D1224" s="477" cm="1">
        <f t="array" ref="D1224">IFERROR(HorasUteisFabrica2Turnos(B1224,C1224), "")</f>
        <v>0</v>
      </c>
      <c r="E1224" s="478" t="str">
        <f t="shared" si="19"/>
        <v/>
      </c>
      <c r="F1224" s="266"/>
      <c r="G1224" s="656"/>
      <c r="H1224" s="479"/>
      <c r="I1224" s="268"/>
      <c r="J1224" s="268"/>
      <c r="K1224" s="268"/>
      <c r="L1224" s="269"/>
      <c r="M1224" s="511" t="str">
        <f>IFERROR(INDEX([1]Produtos!$C:$C,MATCH(L1224,[1]Produtos!$B:$B,0)), "-")</f>
        <v>-</v>
      </c>
      <c r="N1224" s="511" t="str">
        <f>IFERROR(INDEX([1]Produtos!$E:$E,MATCH(L1224,[1]Produtos!$B:$B,0)), "-")</f>
        <v>-</v>
      </c>
      <c r="O1224" s="483" t="str">
        <f>IFERROR(INDEX([1]Produtos!$F:$F,MATCH(L1224,[1]Produtos!$B:$B,0)), "-")</f>
        <v>-</v>
      </c>
      <c r="P1224" s="477" t="str">
        <f>IFERROR(INDEX([1]Produtos!$G:$G,MATCH(L1224,[1]Produtos!$B:$B,0)), "-")</f>
        <v>-</v>
      </c>
      <c r="Q1224" s="483" t="str">
        <f>IFERROR(INDEX([1]Produtos!$H:$H,MATCH(L1224,[1]Produtos!$B:$B,0)), "-")</f>
        <v>-</v>
      </c>
      <c r="R1224" s="483" t="str">
        <f>IFERROR(INDEX([1]Produtos!$I:$I,MATCH(L1224,[1]Produtos!$B:$B,0)), "-")</f>
        <v>-</v>
      </c>
      <c r="S1224" s="483" t="str">
        <f>IFERROR(INDEX([1]Produtos!$J:$J,MATCH(L1224,[1]Produtos!$B:$B,0)), "-")</f>
        <v>-</v>
      </c>
      <c r="T1224" s="484"/>
      <c r="U1224" s="483"/>
      <c r="V1224" s="483"/>
      <c r="W1224" s="483"/>
      <c r="X1224" s="483"/>
      <c r="Y1224" s="483"/>
      <c r="Z1224" s="483"/>
      <c r="AA1224" s="483"/>
      <c r="AB1224" s="483"/>
      <c r="AC1224" s="483"/>
      <c r="AD1224" s="483"/>
      <c r="AE1224" s="483"/>
      <c r="AF1224" s="483"/>
      <c r="AG1224" s="483"/>
      <c r="AH1224" s="483"/>
      <c r="AI1224" s="483"/>
      <c r="AJ1224" s="483"/>
      <c r="AK1224" s="483"/>
      <c r="AL1224" s="483"/>
      <c r="AM1224" s="670"/>
      <c r="AN1224" s="670"/>
      <c r="AO1224" s="711" t="str">
        <f>IF(OR(Table1[[#This Row],[Início Setup Envase]]="",Table1[[#This Row],[Final Setup Envase]]=""),"",Table1[[#This Row],[Final Setup Envase]]-Table1[[#This Row],[Início Setup Envase]])</f>
        <v/>
      </c>
      <c r="AP1224" s="670"/>
      <c r="AQ1224" s="670"/>
      <c r="AR1224" s="483"/>
      <c r="AS1224" s="483"/>
      <c r="AT1224" s="483"/>
      <c r="AU1224" s="483"/>
      <c r="AV1224" s="483"/>
      <c r="AW1224" s="483"/>
      <c r="AX1224" s="483"/>
      <c r="AY1224" s="270"/>
      <c r="AZ1224" s="270"/>
      <c r="BA1224" s="270" t="str">
        <f>IF(Table1[[#This Row],[Data de Início]]="","",YEAR(Table1[[#This Row],[Data de Início]]))</f>
        <v/>
      </c>
      <c r="BB1224" s="270" t="str">
        <f>IF(Table1[[#This Row],[Data de Início]]="","",MONTH(Table1[[#This Row],[Data de Início]]))</f>
        <v/>
      </c>
      <c r="BC1224" s="270"/>
    </row>
    <row r="1225" spans="2:55" x14ac:dyDescent="0.25">
      <c r="B1225" s="470"/>
      <c r="C1225" s="263"/>
      <c r="D1225" s="477" cm="1">
        <f t="array" ref="D1225">IFERROR(HorasUteisFabrica2Turnos(B1225,C1225), "")</f>
        <v>0</v>
      </c>
      <c r="E1225" s="697" t="str">
        <f t="shared" si="19"/>
        <v/>
      </c>
      <c r="F1225" s="266"/>
      <c r="G1225" s="698"/>
      <c r="H1225" s="266"/>
      <c r="I1225" s="268"/>
      <c r="J1225" s="268"/>
      <c r="K1225" s="268"/>
      <c r="L1225" s="269"/>
      <c r="M1225" s="510" t="str">
        <f>IFERROR(INDEX([1]Produtos!$C:$C,MATCH(L1225,[1]Produtos!$B:$B,0)), "-")</f>
        <v>-</v>
      </c>
      <c r="N1225" s="510" t="str">
        <f>IFERROR(INDEX([1]Produtos!$E:$E,MATCH(L1225,[1]Produtos!$B:$B,0)), "-")</f>
        <v>-</v>
      </c>
      <c r="O1225" s="270" t="str">
        <f>IFERROR(INDEX([1]Produtos!$F:$F,MATCH(L1225,[1]Produtos!$B:$B,0)), "-")</f>
        <v>-</v>
      </c>
      <c r="P1225" s="264" t="str">
        <f>IFERROR(INDEX([1]Produtos!$G:$G,MATCH(L1225,[1]Produtos!$B:$B,0)), "-")</f>
        <v>-</v>
      </c>
      <c r="Q1225" s="270" t="str">
        <f>IFERROR(INDEX([1]Produtos!$H:$H,MATCH(L1225,[1]Produtos!$B:$B,0)), "-")</f>
        <v>-</v>
      </c>
      <c r="R1225" s="270" t="str">
        <f>IFERROR(INDEX([1]Produtos!$I:$I,MATCH(L1225,[1]Produtos!$B:$B,0)), "-")</f>
        <v>-</v>
      </c>
      <c r="S1225" s="270" t="str">
        <f>IFERROR(INDEX([1]Produtos!$J:$J,MATCH(L1225,[1]Produtos!$B:$B,0)), "-")</f>
        <v>-</v>
      </c>
      <c r="T1225" s="475"/>
      <c r="U1225" s="270"/>
      <c r="V1225" s="270"/>
      <c r="W1225" s="270"/>
      <c r="X1225" s="270"/>
      <c r="Y1225" s="270"/>
      <c r="Z1225" s="270"/>
      <c r="AA1225" s="270"/>
      <c r="AB1225" s="270"/>
      <c r="AC1225" s="270"/>
      <c r="AD1225" s="270"/>
      <c r="AE1225" s="270"/>
      <c r="AF1225" s="270"/>
      <c r="AG1225" s="270"/>
      <c r="AH1225" s="270"/>
      <c r="AI1225" s="270"/>
      <c r="AJ1225" s="270"/>
      <c r="AK1225" s="270"/>
      <c r="AL1225" s="270"/>
      <c r="AM1225" s="663"/>
      <c r="AN1225" s="663"/>
      <c r="AO1225" s="708" t="str">
        <f>IF(OR(Table1[[#This Row],[Início Setup Envase]]="",Table1[[#This Row],[Final Setup Envase]]=""),"",Table1[[#This Row],[Final Setup Envase]]-Table1[[#This Row],[Início Setup Envase]])</f>
        <v/>
      </c>
      <c r="AP1225" s="663"/>
      <c r="AQ1225" s="663"/>
      <c r="AR1225" s="270"/>
      <c r="AS1225" s="674"/>
      <c r="AT1225" s="674"/>
      <c r="AU1225" s="270"/>
      <c r="AV1225" s="270"/>
      <c r="AW1225" s="270"/>
      <c r="AX1225" s="270"/>
      <c r="AY1225" s="270"/>
      <c r="AZ1225" s="270"/>
      <c r="BA1225" s="270" t="str">
        <f>IF(Table1[[#This Row],[Data de Início]]="","",YEAR(Table1[[#This Row],[Data de Início]]))</f>
        <v/>
      </c>
      <c r="BB1225" s="270" t="str">
        <f>IF(Table1[[#This Row],[Data de Início]]="","",MONTH(Table1[[#This Row],[Data de Início]]))</f>
        <v/>
      </c>
      <c r="BC1225" s="483"/>
    </row>
    <row r="1226" spans="2:55" x14ac:dyDescent="0.25">
      <c r="B1226" s="470"/>
      <c r="C1226" s="263"/>
      <c r="D1226" s="477" cm="1">
        <f t="array" ref="D1226">IFERROR(HorasUteisFabrica2Turnos(B1226,C1226), "")</f>
        <v>0</v>
      </c>
      <c r="E1226" s="478" t="str">
        <f t="shared" si="19"/>
        <v/>
      </c>
      <c r="F1226" s="266"/>
      <c r="G1226" s="656"/>
      <c r="H1226" s="479"/>
      <c r="I1226" s="268"/>
      <c r="J1226" s="268"/>
      <c r="K1226" s="268"/>
      <c r="L1226" s="269"/>
      <c r="M1226" s="511" t="str">
        <f>IFERROR(INDEX([1]Produtos!$C:$C,MATCH(L1226,[1]Produtos!$B:$B,0)), "-")</f>
        <v>-</v>
      </c>
      <c r="N1226" s="511" t="str">
        <f>IFERROR(INDEX([1]Produtos!$E:$E,MATCH(L1226,[1]Produtos!$B:$B,0)), "-")</f>
        <v>-</v>
      </c>
      <c r="O1226" s="483" t="str">
        <f>IFERROR(INDEX([1]Produtos!$F:$F,MATCH(L1226,[1]Produtos!$B:$B,0)), "-")</f>
        <v>-</v>
      </c>
      <c r="P1226" s="477" t="str">
        <f>IFERROR(INDEX([1]Produtos!$G:$G,MATCH(L1226,[1]Produtos!$B:$B,0)), "-")</f>
        <v>-</v>
      </c>
      <c r="Q1226" s="483" t="str">
        <f>IFERROR(INDEX([1]Produtos!$H:$H,MATCH(L1226,[1]Produtos!$B:$B,0)), "-")</f>
        <v>-</v>
      </c>
      <c r="R1226" s="483" t="str">
        <f>IFERROR(INDEX([1]Produtos!$I:$I,MATCH(L1226,[1]Produtos!$B:$B,0)), "-")</f>
        <v>-</v>
      </c>
      <c r="S1226" s="483" t="str">
        <f>IFERROR(INDEX([1]Produtos!$J:$J,MATCH(L1226,[1]Produtos!$B:$B,0)), "-")</f>
        <v>-</v>
      </c>
      <c r="T1226" s="484"/>
      <c r="U1226" s="483"/>
      <c r="V1226" s="483"/>
      <c r="W1226" s="483"/>
      <c r="X1226" s="483"/>
      <c r="Y1226" s="483"/>
      <c r="Z1226" s="483"/>
      <c r="AA1226" s="483"/>
      <c r="AB1226" s="483"/>
      <c r="AC1226" s="483"/>
      <c r="AD1226" s="483"/>
      <c r="AE1226" s="483"/>
      <c r="AF1226" s="483"/>
      <c r="AG1226" s="483"/>
      <c r="AH1226" s="483"/>
      <c r="AI1226" s="483"/>
      <c r="AJ1226" s="483"/>
      <c r="AK1226" s="483"/>
      <c r="AL1226" s="483"/>
      <c r="AM1226" s="670"/>
      <c r="AN1226" s="670"/>
      <c r="AO1226" s="711" t="str">
        <f>IF(OR(Table1[[#This Row],[Início Setup Envase]]="",Table1[[#This Row],[Final Setup Envase]]=""),"",Table1[[#This Row],[Final Setup Envase]]-Table1[[#This Row],[Início Setup Envase]])</f>
        <v/>
      </c>
      <c r="AP1226" s="670"/>
      <c r="AQ1226" s="670"/>
      <c r="AR1226" s="483"/>
      <c r="AS1226" s="483"/>
      <c r="AT1226" s="483"/>
      <c r="AU1226" s="483"/>
      <c r="AV1226" s="483"/>
      <c r="AW1226" s="483"/>
      <c r="AX1226" s="483"/>
      <c r="AY1226" s="270"/>
      <c r="AZ1226" s="270"/>
      <c r="BA1226" s="270" t="str">
        <f>IF(Table1[[#This Row],[Data de Início]]="","",YEAR(Table1[[#This Row],[Data de Início]]))</f>
        <v/>
      </c>
      <c r="BB1226" s="270" t="str">
        <f>IF(Table1[[#This Row],[Data de Início]]="","",MONTH(Table1[[#This Row],[Data de Início]]))</f>
        <v/>
      </c>
      <c r="BC1226" s="270"/>
    </row>
    <row r="1227" spans="2:55" x14ac:dyDescent="0.25">
      <c r="B1227" s="470"/>
      <c r="C1227" s="263"/>
      <c r="D1227" s="477" cm="1">
        <f t="array" ref="D1227">IFERROR(HorasUteisFabrica2Turnos(B1227,C1227), "")</f>
        <v>0</v>
      </c>
      <c r="E1227" s="697" t="str">
        <f t="shared" si="19"/>
        <v/>
      </c>
      <c r="F1227" s="266"/>
      <c r="G1227" s="698"/>
      <c r="H1227" s="266"/>
      <c r="I1227" s="268"/>
      <c r="J1227" s="268"/>
      <c r="K1227" s="268"/>
      <c r="L1227" s="269"/>
      <c r="M1227" s="510" t="str">
        <f>IFERROR(INDEX([1]Produtos!$C:$C,MATCH(L1227,[1]Produtos!$B:$B,0)), "-")</f>
        <v>-</v>
      </c>
      <c r="N1227" s="510" t="str">
        <f>IFERROR(INDEX([1]Produtos!$E:$E,MATCH(L1227,[1]Produtos!$B:$B,0)), "-")</f>
        <v>-</v>
      </c>
      <c r="O1227" s="270" t="str">
        <f>IFERROR(INDEX([1]Produtos!$F:$F,MATCH(L1227,[1]Produtos!$B:$B,0)), "-")</f>
        <v>-</v>
      </c>
      <c r="P1227" s="264" t="str">
        <f>IFERROR(INDEX([1]Produtos!$G:$G,MATCH(L1227,[1]Produtos!$B:$B,0)), "-")</f>
        <v>-</v>
      </c>
      <c r="Q1227" s="270" t="str">
        <f>IFERROR(INDEX([1]Produtos!$H:$H,MATCH(L1227,[1]Produtos!$B:$B,0)), "-")</f>
        <v>-</v>
      </c>
      <c r="R1227" s="270" t="str">
        <f>IFERROR(INDEX([1]Produtos!$I:$I,MATCH(L1227,[1]Produtos!$B:$B,0)), "-")</f>
        <v>-</v>
      </c>
      <c r="S1227" s="270" t="str">
        <f>IFERROR(INDEX([1]Produtos!$J:$J,MATCH(L1227,[1]Produtos!$B:$B,0)), "-")</f>
        <v>-</v>
      </c>
      <c r="T1227" s="475"/>
      <c r="U1227" s="270"/>
      <c r="V1227" s="270"/>
      <c r="W1227" s="270"/>
      <c r="X1227" s="270"/>
      <c r="Y1227" s="270"/>
      <c r="Z1227" s="270"/>
      <c r="AA1227" s="270"/>
      <c r="AB1227" s="270"/>
      <c r="AC1227" s="270"/>
      <c r="AD1227" s="270"/>
      <c r="AE1227" s="270"/>
      <c r="AF1227" s="270"/>
      <c r="AG1227" s="270"/>
      <c r="AH1227" s="270"/>
      <c r="AI1227" s="270"/>
      <c r="AJ1227" s="270"/>
      <c r="AK1227" s="270"/>
      <c r="AL1227" s="270"/>
      <c r="AM1227" s="663"/>
      <c r="AN1227" s="663"/>
      <c r="AO1227" s="708" t="str">
        <f>IF(OR(Table1[[#This Row],[Início Setup Envase]]="",Table1[[#This Row],[Final Setup Envase]]=""),"",Table1[[#This Row],[Final Setup Envase]]-Table1[[#This Row],[Início Setup Envase]])</f>
        <v/>
      </c>
      <c r="AP1227" s="663"/>
      <c r="AQ1227" s="663"/>
      <c r="AR1227" s="270"/>
      <c r="AS1227" s="674"/>
      <c r="AT1227" s="674"/>
      <c r="AU1227" s="270"/>
      <c r="AV1227" s="270"/>
      <c r="AW1227" s="270"/>
      <c r="AX1227" s="270"/>
      <c r="AY1227" s="270"/>
      <c r="AZ1227" s="270"/>
      <c r="BA1227" s="270" t="str">
        <f>IF(Table1[[#This Row],[Data de Início]]="","",YEAR(Table1[[#This Row],[Data de Início]]))</f>
        <v/>
      </c>
      <c r="BB1227" s="270" t="str">
        <f>IF(Table1[[#This Row],[Data de Início]]="","",MONTH(Table1[[#This Row],[Data de Início]]))</f>
        <v/>
      </c>
      <c r="BC1227" s="483"/>
    </row>
    <row r="1228" spans="2:55" x14ac:dyDescent="0.25">
      <c r="B1228" s="470"/>
      <c r="C1228" s="263"/>
      <c r="D1228" s="477" cm="1">
        <f t="array" ref="D1228">IFERROR(HorasUteisFabrica2Turnos(B1228,C1228), "")</f>
        <v>0</v>
      </c>
      <c r="E1228" s="478" t="str">
        <f t="shared" si="19"/>
        <v/>
      </c>
      <c r="F1228" s="266"/>
      <c r="G1228" s="656"/>
      <c r="H1228" s="479"/>
      <c r="I1228" s="268"/>
      <c r="J1228" s="268"/>
      <c r="K1228" s="268"/>
      <c r="L1228" s="269"/>
      <c r="M1228" s="511" t="str">
        <f>IFERROR(INDEX([1]Produtos!$C:$C,MATCH(L1228,[1]Produtos!$B:$B,0)), "-")</f>
        <v>-</v>
      </c>
      <c r="N1228" s="511" t="str">
        <f>IFERROR(INDEX([1]Produtos!$E:$E,MATCH(L1228,[1]Produtos!$B:$B,0)), "-")</f>
        <v>-</v>
      </c>
      <c r="O1228" s="483" t="str">
        <f>IFERROR(INDEX([1]Produtos!$F:$F,MATCH(L1228,[1]Produtos!$B:$B,0)), "-")</f>
        <v>-</v>
      </c>
      <c r="P1228" s="477" t="str">
        <f>IFERROR(INDEX([1]Produtos!$G:$G,MATCH(L1228,[1]Produtos!$B:$B,0)), "-")</f>
        <v>-</v>
      </c>
      <c r="Q1228" s="483" t="str">
        <f>IFERROR(INDEX([1]Produtos!$H:$H,MATCH(L1228,[1]Produtos!$B:$B,0)), "-")</f>
        <v>-</v>
      </c>
      <c r="R1228" s="483" t="str">
        <f>IFERROR(INDEX([1]Produtos!$I:$I,MATCH(L1228,[1]Produtos!$B:$B,0)), "-")</f>
        <v>-</v>
      </c>
      <c r="S1228" s="483" t="str">
        <f>IFERROR(INDEX([1]Produtos!$J:$J,MATCH(L1228,[1]Produtos!$B:$B,0)), "-")</f>
        <v>-</v>
      </c>
      <c r="T1228" s="484"/>
      <c r="U1228" s="483"/>
      <c r="V1228" s="483"/>
      <c r="W1228" s="483"/>
      <c r="X1228" s="483"/>
      <c r="Y1228" s="483"/>
      <c r="Z1228" s="483"/>
      <c r="AA1228" s="483"/>
      <c r="AB1228" s="483"/>
      <c r="AC1228" s="483"/>
      <c r="AD1228" s="483"/>
      <c r="AE1228" s="483"/>
      <c r="AF1228" s="483"/>
      <c r="AG1228" s="483"/>
      <c r="AH1228" s="483"/>
      <c r="AI1228" s="483"/>
      <c r="AJ1228" s="483"/>
      <c r="AK1228" s="483"/>
      <c r="AL1228" s="483"/>
      <c r="AM1228" s="670"/>
      <c r="AN1228" s="670"/>
      <c r="AO1228" s="711" t="str">
        <f>IF(OR(Table1[[#This Row],[Início Setup Envase]]="",Table1[[#This Row],[Final Setup Envase]]=""),"",Table1[[#This Row],[Final Setup Envase]]-Table1[[#This Row],[Início Setup Envase]])</f>
        <v/>
      </c>
      <c r="AP1228" s="670"/>
      <c r="AQ1228" s="670"/>
      <c r="AR1228" s="483"/>
      <c r="AS1228" s="483"/>
      <c r="AT1228" s="483"/>
      <c r="AU1228" s="483"/>
      <c r="AV1228" s="483"/>
      <c r="AW1228" s="483"/>
      <c r="AX1228" s="483"/>
      <c r="AY1228" s="270"/>
      <c r="AZ1228" s="270"/>
      <c r="BA1228" s="270" t="str">
        <f>IF(Table1[[#This Row],[Data de Início]]="","",YEAR(Table1[[#This Row],[Data de Início]]))</f>
        <v/>
      </c>
      <c r="BB1228" s="270" t="str">
        <f>IF(Table1[[#This Row],[Data de Início]]="","",MONTH(Table1[[#This Row],[Data de Início]]))</f>
        <v/>
      </c>
      <c r="BC1228" s="270"/>
    </row>
    <row r="1229" spans="2:55" x14ac:dyDescent="0.25">
      <c r="B1229" s="470"/>
      <c r="C1229" s="263"/>
      <c r="D1229" s="477" cm="1">
        <f t="array" ref="D1229">IFERROR(HorasUteisFabrica2Turnos(B1229,C1229), "")</f>
        <v>0</v>
      </c>
      <c r="E1229" s="697" t="str">
        <f t="shared" si="19"/>
        <v/>
      </c>
      <c r="F1229" s="266"/>
      <c r="G1229" s="698"/>
      <c r="H1229" s="266"/>
      <c r="I1229" s="268"/>
      <c r="J1229" s="268"/>
      <c r="K1229" s="268"/>
      <c r="L1229" s="269"/>
      <c r="M1229" s="510" t="str">
        <f>IFERROR(INDEX([1]Produtos!$C:$C,MATCH(L1229,[1]Produtos!$B:$B,0)), "-")</f>
        <v>-</v>
      </c>
      <c r="N1229" s="510" t="str">
        <f>IFERROR(INDEX([1]Produtos!$E:$E,MATCH(L1229,[1]Produtos!$B:$B,0)), "-")</f>
        <v>-</v>
      </c>
      <c r="O1229" s="270" t="str">
        <f>IFERROR(INDEX([1]Produtos!$F:$F,MATCH(L1229,[1]Produtos!$B:$B,0)), "-")</f>
        <v>-</v>
      </c>
      <c r="P1229" s="264" t="str">
        <f>IFERROR(INDEX([1]Produtos!$G:$G,MATCH(L1229,[1]Produtos!$B:$B,0)), "-")</f>
        <v>-</v>
      </c>
      <c r="Q1229" s="270" t="str">
        <f>IFERROR(INDEX([1]Produtos!$H:$H,MATCH(L1229,[1]Produtos!$B:$B,0)), "-")</f>
        <v>-</v>
      </c>
      <c r="R1229" s="270" t="str">
        <f>IFERROR(INDEX([1]Produtos!$I:$I,MATCH(L1229,[1]Produtos!$B:$B,0)), "-")</f>
        <v>-</v>
      </c>
      <c r="S1229" s="270" t="str">
        <f>IFERROR(INDEX([1]Produtos!$J:$J,MATCH(L1229,[1]Produtos!$B:$B,0)), "-")</f>
        <v>-</v>
      </c>
      <c r="T1229" s="475"/>
      <c r="U1229" s="270"/>
      <c r="V1229" s="270"/>
      <c r="W1229" s="270"/>
      <c r="X1229" s="270"/>
      <c r="Y1229" s="270"/>
      <c r="Z1229" s="270"/>
      <c r="AA1229" s="270"/>
      <c r="AB1229" s="270"/>
      <c r="AC1229" s="270"/>
      <c r="AD1229" s="270"/>
      <c r="AE1229" s="270"/>
      <c r="AF1229" s="270"/>
      <c r="AG1229" s="270"/>
      <c r="AH1229" s="270"/>
      <c r="AI1229" s="270"/>
      <c r="AJ1229" s="270"/>
      <c r="AK1229" s="270"/>
      <c r="AL1229" s="270"/>
      <c r="AM1229" s="663"/>
      <c r="AN1229" s="663"/>
      <c r="AO1229" s="708" t="str">
        <f>IF(OR(Table1[[#This Row],[Início Setup Envase]]="",Table1[[#This Row],[Final Setup Envase]]=""),"",Table1[[#This Row],[Final Setup Envase]]-Table1[[#This Row],[Início Setup Envase]])</f>
        <v/>
      </c>
      <c r="AP1229" s="663"/>
      <c r="AQ1229" s="663"/>
      <c r="AR1229" s="270"/>
      <c r="AS1229" s="674"/>
      <c r="AT1229" s="674"/>
      <c r="AU1229" s="270"/>
      <c r="AV1229" s="270"/>
      <c r="AW1229" s="270"/>
      <c r="AX1229" s="270"/>
      <c r="AY1229" s="270"/>
      <c r="AZ1229" s="270"/>
      <c r="BA1229" s="270" t="str">
        <f>IF(Table1[[#This Row],[Data de Início]]="","",YEAR(Table1[[#This Row],[Data de Início]]))</f>
        <v/>
      </c>
      <c r="BB1229" s="270" t="str">
        <f>IF(Table1[[#This Row],[Data de Início]]="","",MONTH(Table1[[#This Row],[Data de Início]]))</f>
        <v/>
      </c>
      <c r="BC1229" s="483"/>
    </row>
    <row r="1230" spans="2:55" x14ac:dyDescent="0.25">
      <c r="B1230" s="470"/>
      <c r="C1230" s="263"/>
      <c r="D1230" s="477" cm="1">
        <f t="array" ref="D1230">IFERROR(HorasUteisFabrica2Turnos(B1230,C1230), "")</f>
        <v>0</v>
      </c>
      <c r="E1230" s="478" t="str">
        <f t="shared" si="19"/>
        <v/>
      </c>
      <c r="F1230" s="266"/>
      <c r="G1230" s="656"/>
      <c r="H1230" s="479"/>
      <c r="I1230" s="268"/>
      <c r="J1230" s="268"/>
      <c r="K1230" s="268"/>
      <c r="L1230" s="269"/>
      <c r="M1230" s="511" t="str">
        <f>IFERROR(INDEX([1]Produtos!$C:$C,MATCH(L1230,[1]Produtos!$B:$B,0)), "-")</f>
        <v>-</v>
      </c>
      <c r="N1230" s="511" t="str">
        <f>IFERROR(INDEX([1]Produtos!$E:$E,MATCH(L1230,[1]Produtos!$B:$B,0)), "-")</f>
        <v>-</v>
      </c>
      <c r="O1230" s="483" t="str">
        <f>IFERROR(INDEX([1]Produtos!$F:$F,MATCH(L1230,[1]Produtos!$B:$B,0)), "-")</f>
        <v>-</v>
      </c>
      <c r="P1230" s="477" t="str">
        <f>IFERROR(INDEX([1]Produtos!$G:$G,MATCH(L1230,[1]Produtos!$B:$B,0)), "-")</f>
        <v>-</v>
      </c>
      <c r="Q1230" s="483" t="str">
        <f>IFERROR(INDEX([1]Produtos!$H:$H,MATCH(L1230,[1]Produtos!$B:$B,0)), "-")</f>
        <v>-</v>
      </c>
      <c r="R1230" s="483" t="str">
        <f>IFERROR(INDEX([1]Produtos!$I:$I,MATCH(L1230,[1]Produtos!$B:$B,0)), "-")</f>
        <v>-</v>
      </c>
      <c r="S1230" s="483" t="str">
        <f>IFERROR(INDEX([1]Produtos!$J:$J,MATCH(L1230,[1]Produtos!$B:$B,0)), "-")</f>
        <v>-</v>
      </c>
      <c r="T1230" s="484"/>
      <c r="U1230" s="483"/>
      <c r="V1230" s="483"/>
      <c r="W1230" s="483"/>
      <c r="X1230" s="483"/>
      <c r="Y1230" s="483"/>
      <c r="Z1230" s="483"/>
      <c r="AA1230" s="483"/>
      <c r="AB1230" s="483"/>
      <c r="AC1230" s="483"/>
      <c r="AD1230" s="483"/>
      <c r="AE1230" s="483"/>
      <c r="AF1230" s="483"/>
      <c r="AG1230" s="483"/>
      <c r="AH1230" s="483"/>
      <c r="AI1230" s="483"/>
      <c r="AJ1230" s="483"/>
      <c r="AK1230" s="483"/>
      <c r="AL1230" s="483"/>
      <c r="AM1230" s="670"/>
      <c r="AN1230" s="670"/>
      <c r="AO1230" s="711" t="str">
        <f>IF(OR(Table1[[#This Row],[Início Setup Envase]]="",Table1[[#This Row],[Final Setup Envase]]=""),"",Table1[[#This Row],[Final Setup Envase]]-Table1[[#This Row],[Início Setup Envase]])</f>
        <v/>
      </c>
      <c r="AP1230" s="670"/>
      <c r="AQ1230" s="670"/>
      <c r="AR1230" s="483"/>
      <c r="AS1230" s="483"/>
      <c r="AT1230" s="483"/>
      <c r="AU1230" s="483"/>
      <c r="AV1230" s="483"/>
      <c r="AW1230" s="483"/>
      <c r="AX1230" s="483"/>
      <c r="AY1230" s="270"/>
      <c r="AZ1230" s="270"/>
      <c r="BA1230" s="270" t="str">
        <f>IF(Table1[[#This Row],[Data de Início]]="","",YEAR(Table1[[#This Row],[Data de Início]]))</f>
        <v/>
      </c>
      <c r="BB1230" s="270" t="str">
        <f>IF(Table1[[#This Row],[Data de Início]]="","",MONTH(Table1[[#This Row],[Data de Início]]))</f>
        <v/>
      </c>
      <c r="BC1230" s="270"/>
    </row>
    <row r="1231" spans="2:55" x14ac:dyDescent="0.25">
      <c r="B1231" s="470"/>
      <c r="C1231" s="263"/>
      <c r="D1231" s="477" cm="1">
        <f t="array" ref="D1231">IFERROR(HorasUteisFabrica2Turnos(B1231,C1231), "")</f>
        <v>0</v>
      </c>
      <c r="E1231" s="697" t="str">
        <f t="shared" si="19"/>
        <v/>
      </c>
      <c r="F1231" s="266"/>
      <c r="G1231" s="698"/>
      <c r="H1231" s="266"/>
      <c r="I1231" s="268"/>
      <c r="J1231" s="268"/>
      <c r="K1231" s="268"/>
      <c r="L1231" s="269"/>
      <c r="M1231" s="510" t="str">
        <f>IFERROR(INDEX([1]Produtos!$C:$C,MATCH(L1231,[1]Produtos!$B:$B,0)), "-")</f>
        <v>-</v>
      </c>
      <c r="N1231" s="510" t="str">
        <f>IFERROR(INDEX([1]Produtos!$E:$E,MATCH(L1231,[1]Produtos!$B:$B,0)), "-")</f>
        <v>-</v>
      </c>
      <c r="O1231" s="270" t="str">
        <f>IFERROR(INDEX([1]Produtos!$F:$F,MATCH(L1231,[1]Produtos!$B:$B,0)), "-")</f>
        <v>-</v>
      </c>
      <c r="P1231" s="264" t="str">
        <f>IFERROR(INDEX([1]Produtos!$G:$G,MATCH(L1231,[1]Produtos!$B:$B,0)), "-")</f>
        <v>-</v>
      </c>
      <c r="Q1231" s="270" t="str">
        <f>IFERROR(INDEX([1]Produtos!$H:$H,MATCH(L1231,[1]Produtos!$B:$B,0)), "-")</f>
        <v>-</v>
      </c>
      <c r="R1231" s="270" t="str">
        <f>IFERROR(INDEX([1]Produtos!$I:$I,MATCH(L1231,[1]Produtos!$B:$B,0)), "-")</f>
        <v>-</v>
      </c>
      <c r="S1231" s="270" t="str">
        <f>IFERROR(INDEX([1]Produtos!$J:$J,MATCH(L1231,[1]Produtos!$B:$B,0)), "-")</f>
        <v>-</v>
      </c>
      <c r="T1231" s="475"/>
      <c r="U1231" s="270"/>
      <c r="V1231" s="270"/>
      <c r="W1231" s="270"/>
      <c r="X1231" s="270"/>
      <c r="Y1231" s="270"/>
      <c r="Z1231" s="270"/>
      <c r="AA1231" s="270"/>
      <c r="AB1231" s="270"/>
      <c r="AC1231" s="270"/>
      <c r="AD1231" s="270"/>
      <c r="AE1231" s="270"/>
      <c r="AF1231" s="270"/>
      <c r="AG1231" s="270"/>
      <c r="AH1231" s="270"/>
      <c r="AI1231" s="270"/>
      <c r="AJ1231" s="270"/>
      <c r="AK1231" s="270"/>
      <c r="AL1231" s="270"/>
      <c r="AM1231" s="663"/>
      <c r="AN1231" s="663"/>
      <c r="AO1231" s="708" t="str">
        <f>IF(OR(Table1[[#This Row],[Início Setup Envase]]="",Table1[[#This Row],[Final Setup Envase]]=""),"",Table1[[#This Row],[Final Setup Envase]]-Table1[[#This Row],[Início Setup Envase]])</f>
        <v/>
      </c>
      <c r="AP1231" s="663"/>
      <c r="AQ1231" s="663"/>
      <c r="AR1231" s="270"/>
      <c r="AS1231" s="674"/>
      <c r="AT1231" s="674"/>
      <c r="AU1231" s="270"/>
      <c r="AV1231" s="270"/>
      <c r="AW1231" s="270"/>
      <c r="AX1231" s="270"/>
      <c r="AY1231" s="270"/>
      <c r="AZ1231" s="270"/>
      <c r="BA1231" s="270" t="str">
        <f>IF(Table1[[#This Row],[Data de Início]]="","",YEAR(Table1[[#This Row],[Data de Início]]))</f>
        <v/>
      </c>
      <c r="BB1231" s="270" t="str">
        <f>IF(Table1[[#This Row],[Data de Início]]="","",MONTH(Table1[[#This Row],[Data de Início]]))</f>
        <v/>
      </c>
      <c r="BC1231" s="483"/>
    </row>
    <row r="1232" spans="2:55" x14ac:dyDescent="0.25">
      <c r="B1232" s="470"/>
      <c r="C1232" s="263"/>
      <c r="D1232" s="477" cm="1">
        <f t="array" ref="D1232">IFERROR(HorasUteisFabrica2Turnos(B1232,C1232), "")</f>
        <v>0</v>
      </c>
      <c r="E1232" s="478" t="str">
        <f t="shared" si="19"/>
        <v/>
      </c>
      <c r="F1232" s="266"/>
      <c r="G1232" s="656"/>
      <c r="H1232" s="479"/>
      <c r="I1232" s="268"/>
      <c r="J1232" s="268"/>
      <c r="K1232" s="268"/>
      <c r="L1232" s="269"/>
      <c r="M1232" s="511" t="str">
        <f>IFERROR(INDEX([1]Produtos!$C:$C,MATCH(L1232,[1]Produtos!$B:$B,0)), "-")</f>
        <v>-</v>
      </c>
      <c r="N1232" s="511" t="str">
        <f>IFERROR(INDEX([1]Produtos!$E:$E,MATCH(L1232,[1]Produtos!$B:$B,0)), "-")</f>
        <v>-</v>
      </c>
      <c r="O1232" s="483" t="str">
        <f>IFERROR(INDEX([1]Produtos!$F:$F,MATCH(L1232,[1]Produtos!$B:$B,0)), "-")</f>
        <v>-</v>
      </c>
      <c r="P1232" s="477" t="str">
        <f>IFERROR(INDEX([1]Produtos!$G:$G,MATCH(L1232,[1]Produtos!$B:$B,0)), "-")</f>
        <v>-</v>
      </c>
      <c r="Q1232" s="483" t="str">
        <f>IFERROR(INDEX([1]Produtos!$H:$H,MATCH(L1232,[1]Produtos!$B:$B,0)), "-")</f>
        <v>-</v>
      </c>
      <c r="R1232" s="483" t="str">
        <f>IFERROR(INDEX([1]Produtos!$I:$I,MATCH(L1232,[1]Produtos!$B:$B,0)), "-")</f>
        <v>-</v>
      </c>
      <c r="S1232" s="483" t="str">
        <f>IFERROR(INDEX([1]Produtos!$J:$J,MATCH(L1232,[1]Produtos!$B:$B,0)), "-")</f>
        <v>-</v>
      </c>
      <c r="T1232" s="484"/>
      <c r="U1232" s="483"/>
      <c r="V1232" s="483"/>
      <c r="W1232" s="483"/>
      <c r="X1232" s="483"/>
      <c r="Y1232" s="483"/>
      <c r="Z1232" s="483"/>
      <c r="AA1232" s="483"/>
      <c r="AB1232" s="483"/>
      <c r="AC1232" s="483"/>
      <c r="AD1232" s="483"/>
      <c r="AE1232" s="483"/>
      <c r="AF1232" s="483"/>
      <c r="AG1232" s="483"/>
      <c r="AH1232" s="483"/>
      <c r="AI1232" s="483"/>
      <c r="AJ1232" s="483"/>
      <c r="AK1232" s="483"/>
      <c r="AL1232" s="483"/>
      <c r="AM1232" s="670"/>
      <c r="AN1232" s="670"/>
      <c r="AO1232" s="711" t="str">
        <f>IF(OR(Table1[[#This Row],[Início Setup Envase]]="",Table1[[#This Row],[Final Setup Envase]]=""),"",Table1[[#This Row],[Final Setup Envase]]-Table1[[#This Row],[Início Setup Envase]])</f>
        <v/>
      </c>
      <c r="AP1232" s="670"/>
      <c r="AQ1232" s="670"/>
      <c r="AR1232" s="483"/>
      <c r="AS1232" s="483"/>
      <c r="AT1232" s="483"/>
      <c r="AU1232" s="483"/>
      <c r="AV1232" s="483"/>
      <c r="AW1232" s="483"/>
      <c r="AX1232" s="483"/>
      <c r="AY1232" s="270"/>
      <c r="AZ1232" s="270"/>
      <c r="BA1232" s="270" t="str">
        <f>IF(Table1[[#This Row],[Data de Início]]="","",YEAR(Table1[[#This Row],[Data de Início]]))</f>
        <v/>
      </c>
      <c r="BB1232" s="270" t="str">
        <f>IF(Table1[[#This Row],[Data de Início]]="","",MONTH(Table1[[#This Row],[Data de Início]]))</f>
        <v/>
      </c>
      <c r="BC1232" s="270"/>
    </row>
    <row r="1233" spans="2:55" x14ac:dyDescent="0.25">
      <c r="B1233" s="470"/>
      <c r="C1233" s="263"/>
      <c r="D1233" s="477" cm="1">
        <f t="array" ref="D1233">IFERROR(HorasUteisFabrica2Turnos(B1233,C1233), "")</f>
        <v>0</v>
      </c>
      <c r="E1233" s="697" t="str">
        <f t="shared" si="19"/>
        <v/>
      </c>
      <c r="F1233" s="266"/>
      <c r="G1233" s="698"/>
      <c r="H1233" s="266"/>
      <c r="I1233" s="268"/>
      <c r="J1233" s="268"/>
      <c r="K1233" s="268"/>
      <c r="L1233" s="269"/>
      <c r="M1233" s="510" t="str">
        <f>IFERROR(INDEX([1]Produtos!$C:$C,MATCH(L1233,[1]Produtos!$B:$B,0)), "-")</f>
        <v>-</v>
      </c>
      <c r="N1233" s="510" t="str">
        <f>IFERROR(INDEX([1]Produtos!$E:$E,MATCH(L1233,[1]Produtos!$B:$B,0)), "-")</f>
        <v>-</v>
      </c>
      <c r="O1233" s="270" t="str">
        <f>IFERROR(INDEX([1]Produtos!$F:$F,MATCH(L1233,[1]Produtos!$B:$B,0)), "-")</f>
        <v>-</v>
      </c>
      <c r="P1233" s="264" t="str">
        <f>IFERROR(INDEX([1]Produtos!$G:$G,MATCH(L1233,[1]Produtos!$B:$B,0)), "-")</f>
        <v>-</v>
      </c>
      <c r="Q1233" s="270" t="str">
        <f>IFERROR(INDEX([1]Produtos!$H:$H,MATCH(L1233,[1]Produtos!$B:$B,0)), "-")</f>
        <v>-</v>
      </c>
      <c r="R1233" s="270" t="str">
        <f>IFERROR(INDEX([1]Produtos!$I:$I,MATCH(L1233,[1]Produtos!$B:$B,0)), "-")</f>
        <v>-</v>
      </c>
      <c r="S1233" s="270" t="str">
        <f>IFERROR(INDEX([1]Produtos!$J:$J,MATCH(L1233,[1]Produtos!$B:$B,0)), "-")</f>
        <v>-</v>
      </c>
      <c r="T1233" s="475"/>
      <c r="U1233" s="270"/>
      <c r="V1233" s="270"/>
      <c r="W1233" s="270"/>
      <c r="X1233" s="270"/>
      <c r="Y1233" s="270"/>
      <c r="Z1233" s="270"/>
      <c r="AA1233" s="270"/>
      <c r="AB1233" s="270"/>
      <c r="AC1233" s="270"/>
      <c r="AD1233" s="270"/>
      <c r="AE1233" s="270"/>
      <c r="AF1233" s="270"/>
      <c r="AG1233" s="270"/>
      <c r="AH1233" s="270"/>
      <c r="AI1233" s="270"/>
      <c r="AJ1233" s="270"/>
      <c r="AK1233" s="270"/>
      <c r="AL1233" s="270"/>
      <c r="AM1233" s="663"/>
      <c r="AN1233" s="663"/>
      <c r="AO1233" s="708" t="str">
        <f>IF(OR(Table1[[#This Row],[Início Setup Envase]]="",Table1[[#This Row],[Final Setup Envase]]=""),"",Table1[[#This Row],[Final Setup Envase]]-Table1[[#This Row],[Início Setup Envase]])</f>
        <v/>
      </c>
      <c r="AP1233" s="663"/>
      <c r="AQ1233" s="663"/>
      <c r="AR1233" s="270"/>
      <c r="AS1233" s="674"/>
      <c r="AT1233" s="674"/>
      <c r="AU1233" s="270"/>
      <c r="AV1233" s="270"/>
      <c r="AW1233" s="270"/>
      <c r="AX1233" s="270"/>
      <c r="AY1233" s="270"/>
      <c r="AZ1233" s="270"/>
      <c r="BA1233" s="270" t="str">
        <f>IF(Table1[[#This Row],[Data de Início]]="","",YEAR(Table1[[#This Row],[Data de Início]]))</f>
        <v/>
      </c>
      <c r="BB1233" s="270" t="str">
        <f>IF(Table1[[#This Row],[Data de Início]]="","",MONTH(Table1[[#This Row],[Data de Início]]))</f>
        <v/>
      </c>
      <c r="BC1233" s="483"/>
    </row>
    <row r="1234" spans="2:55" x14ac:dyDescent="0.25">
      <c r="B1234" s="470"/>
      <c r="C1234" s="263"/>
      <c r="D1234" s="477" cm="1">
        <f t="array" ref="D1234">IFERROR(HorasUteisFabrica2Turnos(B1234,C1234), "")</f>
        <v>0</v>
      </c>
      <c r="E1234" s="478" t="str">
        <f t="shared" si="19"/>
        <v/>
      </c>
      <c r="F1234" s="266"/>
      <c r="G1234" s="656"/>
      <c r="H1234" s="479"/>
      <c r="I1234" s="268"/>
      <c r="J1234" s="268"/>
      <c r="K1234" s="268"/>
      <c r="L1234" s="269"/>
      <c r="M1234" s="511" t="str">
        <f>IFERROR(INDEX([1]Produtos!$C:$C,MATCH(L1234,[1]Produtos!$B:$B,0)), "-")</f>
        <v>-</v>
      </c>
      <c r="N1234" s="511" t="str">
        <f>IFERROR(INDEX([1]Produtos!$E:$E,MATCH(L1234,[1]Produtos!$B:$B,0)), "-")</f>
        <v>-</v>
      </c>
      <c r="O1234" s="483" t="str">
        <f>IFERROR(INDEX([1]Produtos!$F:$F,MATCH(L1234,[1]Produtos!$B:$B,0)), "-")</f>
        <v>-</v>
      </c>
      <c r="P1234" s="477" t="str">
        <f>IFERROR(INDEX([1]Produtos!$G:$G,MATCH(L1234,[1]Produtos!$B:$B,0)), "-")</f>
        <v>-</v>
      </c>
      <c r="Q1234" s="483" t="str">
        <f>IFERROR(INDEX([1]Produtos!$H:$H,MATCH(L1234,[1]Produtos!$B:$B,0)), "-")</f>
        <v>-</v>
      </c>
      <c r="R1234" s="483" t="str">
        <f>IFERROR(INDEX([1]Produtos!$I:$I,MATCH(L1234,[1]Produtos!$B:$B,0)), "-")</f>
        <v>-</v>
      </c>
      <c r="S1234" s="483" t="str">
        <f>IFERROR(INDEX([1]Produtos!$J:$J,MATCH(L1234,[1]Produtos!$B:$B,0)), "-")</f>
        <v>-</v>
      </c>
      <c r="T1234" s="484"/>
      <c r="U1234" s="483"/>
      <c r="V1234" s="483"/>
      <c r="W1234" s="483"/>
      <c r="X1234" s="483"/>
      <c r="Y1234" s="483"/>
      <c r="Z1234" s="483"/>
      <c r="AA1234" s="483"/>
      <c r="AB1234" s="483"/>
      <c r="AC1234" s="483"/>
      <c r="AD1234" s="483"/>
      <c r="AE1234" s="483"/>
      <c r="AF1234" s="483"/>
      <c r="AG1234" s="483"/>
      <c r="AH1234" s="483"/>
      <c r="AI1234" s="483"/>
      <c r="AJ1234" s="483"/>
      <c r="AK1234" s="483"/>
      <c r="AL1234" s="483"/>
      <c r="AM1234" s="670"/>
      <c r="AN1234" s="670"/>
      <c r="AO1234" s="711" t="str">
        <f>IF(OR(Table1[[#This Row],[Início Setup Envase]]="",Table1[[#This Row],[Final Setup Envase]]=""),"",Table1[[#This Row],[Final Setup Envase]]-Table1[[#This Row],[Início Setup Envase]])</f>
        <v/>
      </c>
      <c r="AP1234" s="670"/>
      <c r="AQ1234" s="670"/>
      <c r="AR1234" s="483"/>
      <c r="AS1234" s="483"/>
      <c r="AT1234" s="483"/>
      <c r="AU1234" s="483"/>
      <c r="AV1234" s="483"/>
      <c r="AW1234" s="483"/>
      <c r="AX1234" s="483"/>
      <c r="AY1234" s="270"/>
      <c r="AZ1234" s="270"/>
      <c r="BA1234" s="270" t="str">
        <f>IF(Table1[[#This Row],[Data de Início]]="","",YEAR(Table1[[#This Row],[Data de Início]]))</f>
        <v/>
      </c>
      <c r="BB1234" s="270" t="str">
        <f>IF(Table1[[#This Row],[Data de Início]]="","",MONTH(Table1[[#This Row],[Data de Início]]))</f>
        <v/>
      </c>
      <c r="BC1234" s="270"/>
    </row>
    <row r="1235" spans="2:55" x14ac:dyDescent="0.25">
      <c r="B1235" s="470"/>
      <c r="C1235" s="263"/>
      <c r="D1235" s="477" cm="1">
        <f t="array" ref="D1235">IFERROR(HorasUteisFabrica2Turnos(B1235,C1235), "")</f>
        <v>0</v>
      </c>
      <c r="E1235" s="697" t="str">
        <f t="shared" si="19"/>
        <v/>
      </c>
      <c r="F1235" s="266"/>
      <c r="G1235" s="698"/>
      <c r="H1235" s="266"/>
      <c r="I1235" s="268"/>
      <c r="J1235" s="268"/>
      <c r="K1235" s="268"/>
      <c r="L1235" s="269"/>
      <c r="M1235" s="510" t="str">
        <f>IFERROR(INDEX([1]Produtos!$C:$C,MATCH(L1235,[1]Produtos!$B:$B,0)), "-")</f>
        <v>-</v>
      </c>
      <c r="N1235" s="510" t="str">
        <f>IFERROR(INDEX([1]Produtos!$E:$E,MATCH(L1235,[1]Produtos!$B:$B,0)), "-")</f>
        <v>-</v>
      </c>
      <c r="O1235" s="270" t="str">
        <f>IFERROR(INDEX([1]Produtos!$F:$F,MATCH(L1235,[1]Produtos!$B:$B,0)), "-")</f>
        <v>-</v>
      </c>
      <c r="P1235" s="264" t="str">
        <f>IFERROR(INDEX([1]Produtos!$G:$G,MATCH(L1235,[1]Produtos!$B:$B,0)), "-")</f>
        <v>-</v>
      </c>
      <c r="Q1235" s="270" t="str">
        <f>IFERROR(INDEX([1]Produtos!$H:$H,MATCH(L1235,[1]Produtos!$B:$B,0)), "-")</f>
        <v>-</v>
      </c>
      <c r="R1235" s="270" t="str">
        <f>IFERROR(INDEX([1]Produtos!$I:$I,MATCH(L1235,[1]Produtos!$B:$B,0)), "-")</f>
        <v>-</v>
      </c>
      <c r="S1235" s="270" t="str">
        <f>IFERROR(INDEX([1]Produtos!$J:$J,MATCH(L1235,[1]Produtos!$B:$B,0)), "-")</f>
        <v>-</v>
      </c>
      <c r="T1235" s="475"/>
      <c r="U1235" s="270"/>
      <c r="V1235" s="270"/>
      <c r="W1235" s="270"/>
      <c r="X1235" s="270"/>
      <c r="Y1235" s="270"/>
      <c r="Z1235" s="270"/>
      <c r="AA1235" s="270"/>
      <c r="AB1235" s="270"/>
      <c r="AC1235" s="270"/>
      <c r="AD1235" s="270"/>
      <c r="AE1235" s="270"/>
      <c r="AF1235" s="270"/>
      <c r="AG1235" s="270"/>
      <c r="AH1235" s="270"/>
      <c r="AI1235" s="270"/>
      <c r="AJ1235" s="270"/>
      <c r="AK1235" s="270"/>
      <c r="AL1235" s="270"/>
      <c r="AM1235" s="663"/>
      <c r="AN1235" s="663"/>
      <c r="AO1235" s="708" t="str">
        <f>IF(OR(Table1[[#This Row],[Início Setup Envase]]="",Table1[[#This Row],[Final Setup Envase]]=""),"",Table1[[#This Row],[Final Setup Envase]]-Table1[[#This Row],[Início Setup Envase]])</f>
        <v/>
      </c>
      <c r="AP1235" s="663"/>
      <c r="AQ1235" s="663"/>
      <c r="AR1235" s="270"/>
      <c r="AS1235" s="674"/>
      <c r="AT1235" s="674"/>
      <c r="AU1235" s="270"/>
      <c r="AV1235" s="270"/>
      <c r="AW1235" s="270"/>
      <c r="AX1235" s="270"/>
      <c r="AY1235" s="270"/>
      <c r="AZ1235" s="270"/>
      <c r="BA1235" s="270" t="str">
        <f>IF(Table1[[#This Row],[Data de Início]]="","",YEAR(Table1[[#This Row],[Data de Início]]))</f>
        <v/>
      </c>
      <c r="BB1235" s="270" t="str">
        <f>IF(Table1[[#This Row],[Data de Início]]="","",MONTH(Table1[[#This Row],[Data de Início]]))</f>
        <v/>
      </c>
      <c r="BC1235" s="483"/>
    </row>
    <row r="1236" spans="2:55" x14ac:dyDescent="0.25">
      <c r="B1236" s="470"/>
      <c r="C1236" s="263"/>
      <c r="D1236" s="477" cm="1">
        <f t="array" ref="D1236">IFERROR(HorasUteisFabrica2Turnos(B1236,C1236), "")</f>
        <v>0</v>
      </c>
      <c r="E1236" s="478" t="str">
        <f t="shared" si="19"/>
        <v/>
      </c>
      <c r="F1236" s="266"/>
      <c r="G1236" s="656"/>
      <c r="H1236" s="479"/>
      <c r="I1236" s="268"/>
      <c r="J1236" s="268"/>
      <c r="K1236" s="268"/>
      <c r="L1236" s="269"/>
      <c r="M1236" s="511" t="str">
        <f>IFERROR(INDEX([1]Produtos!$C:$C,MATCH(L1236,[1]Produtos!$B:$B,0)), "-")</f>
        <v>-</v>
      </c>
      <c r="N1236" s="511" t="str">
        <f>IFERROR(INDEX([1]Produtos!$E:$E,MATCH(L1236,[1]Produtos!$B:$B,0)), "-")</f>
        <v>-</v>
      </c>
      <c r="O1236" s="483" t="str">
        <f>IFERROR(INDEX([1]Produtos!$F:$F,MATCH(L1236,[1]Produtos!$B:$B,0)), "-")</f>
        <v>-</v>
      </c>
      <c r="P1236" s="477" t="str">
        <f>IFERROR(INDEX([1]Produtos!$G:$G,MATCH(L1236,[1]Produtos!$B:$B,0)), "-")</f>
        <v>-</v>
      </c>
      <c r="Q1236" s="483" t="str">
        <f>IFERROR(INDEX([1]Produtos!$H:$H,MATCH(L1236,[1]Produtos!$B:$B,0)), "-")</f>
        <v>-</v>
      </c>
      <c r="R1236" s="483" t="str">
        <f>IFERROR(INDEX([1]Produtos!$I:$I,MATCH(L1236,[1]Produtos!$B:$B,0)), "-")</f>
        <v>-</v>
      </c>
      <c r="S1236" s="483" t="str">
        <f>IFERROR(INDEX([1]Produtos!$J:$J,MATCH(L1236,[1]Produtos!$B:$B,0)), "-")</f>
        <v>-</v>
      </c>
      <c r="T1236" s="484"/>
      <c r="U1236" s="483"/>
      <c r="V1236" s="483"/>
      <c r="W1236" s="483"/>
      <c r="X1236" s="483"/>
      <c r="Y1236" s="483"/>
      <c r="Z1236" s="483"/>
      <c r="AA1236" s="483"/>
      <c r="AB1236" s="483"/>
      <c r="AC1236" s="483"/>
      <c r="AD1236" s="483"/>
      <c r="AE1236" s="483"/>
      <c r="AF1236" s="483"/>
      <c r="AG1236" s="483"/>
      <c r="AH1236" s="483"/>
      <c r="AI1236" s="483"/>
      <c r="AJ1236" s="483"/>
      <c r="AK1236" s="483"/>
      <c r="AL1236" s="483"/>
      <c r="AM1236" s="670"/>
      <c r="AN1236" s="670"/>
      <c r="AO1236" s="711" t="str">
        <f>IF(OR(Table1[[#This Row],[Início Setup Envase]]="",Table1[[#This Row],[Final Setup Envase]]=""),"",Table1[[#This Row],[Final Setup Envase]]-Table1[[#This Row],[Início Setup Envase]])</f>
        <v/>
      </c>
      <c r="AP1236" s="670"/>
      <c r="AQ1236" s="670"/>
      <c r="AR1236" s="483"/>
      <c r="AS1236" s="483"/>
      <c r="AT1236" s="483"/>
      <c r="AU1236" s="483"/>
      <c r="AV1236" s="483"/>
      <c r="AW1236" s="483"/>
      <c r="AX1236" s="483"/>
      <c r="AY1236" s="270"/>
      <c r="AZ1236" s="270"/>
      <c r="BA1236" s="270" t="str">
        <f>IF(Table1[[#This Row],[Data de Início]]="","",YEAR(Table1[[#This Row],[Data de Início]]))</f>
        <v/>
      </c>
      <c r="BB1236" s="270" t="str">
        <f>IF(Table1[[#This Row],[Data de Início]]="","",MONTH(Table1[[#This Row],[Data de Início]]))</f>
        <v/>
      </c>
      <c r="BC1236" s="270"/>
    </row>
    <row r="1237" spans="2:55" x14ac:dyDescent="0.25">
      <c r="B1237" s="470"/>
      <c r="C1237" s="263"/>
      <c r="D1237" s="477" cm="1">
        <f t="array" ref="D1237">IFERROR(HorasUteisFabrica2Turnos(B1237,C1237), "")</f>
        <v>0</v>
      </c>
      <c r="E1237" s="697" t="str">
        <f t="shared" si="19"/>
        <v/>
      </c>
      <c r="F1237" s="266"/>
      <c r="G1237" s="698"/>
      <c r="H1237" s="266"/>
      <c r="I1237" s="268"/>
      <c r="J1237" s="268"/>
      <c r="K1237" s="268"/>
      <c r="L1237" s="269"/>
      <c r="M1237" s="510" t="str">
        <f>IFERROR(INDEX([1]Produtos!$C:$C,MATCH(L1237,[1]Produtos!$B:$B,0)), "-")</f>
        <v>-</v>
      </c>
      <c r="N1237" s="510" t="str">
        <f>IFERROR(INDEX([1]Produtos!$E:$E,MATCH(L1237,[1]Produtos!$B:$B,0)), "-")</f>
        <v>-</v>
      </c>
      <c r="O1237" s="270" t="str">
        <f>IFERROR(INDEX([1]Produtos!$F:$F,MATCH(L1237,[1]Produtos!$B:$B,0)), "-")</f>
        <v>-</v>
      </c>
      <c r="P1237" s="264" t="str">
        <f>IFERROR(INDEX([1]Produtos!$G:$G,MATCH(L1237,[1]Produtos!$B:$B,0)), "-")</f>
        <v>-</v>
      </c>
      <c r="Q1237" s="270" t="str">
        <f>IFERROR(INDEX([1]Produtos!$H:$H,MATCH(L1237,[1]Produtos!$B:$B,0)), "-")</f>
        <v>-</v>
      </c>
      <c r="R1237" s="270" t="str">
        <f>IFERROR(INDEX([1]Produtos!$I:$I,MATCH(L1237,[1]Produtos!$B:$B,0)), "-")</f>
        <v>-</v>
      </c>
      <c r="S1237" s="270" t="str">
        <f>IFERROR(INDEX([1]Produtos!$J:$J,MATCH(L1237,[1]Produtos!$B:$B,0)), "-")</f>
        <v>-</v>
      </c>
      <c r="T1237" s="475"/>
      <c r="U1237" s="270"/>
      <c r="V1237" s="270"/>
      <c r="W1237" s="270"/>
      <c r="X1237" s="270"/>
      <c r="Y1237" s="270"/>
      <c r="Z1237" s="270"/>
      <c r="AA1237" s="270"/>
      <c r="AB1237" s="270"/>
      <c r="AC1237" s="270"/>
      <c r="AD1237" s="270"/>
      <c r="AE1237" s="270"/>
      <c r="AF1237" s="270"/>
      <c r="AG1237" s="270"/>
      <c r="AH1237" s="270"/>
      <c r="AI1237" s="270"/>
      <c r="AJ1237" s="270"/>
      <c r="AK1237" s="270"/>
      <c r="AL1237" s="270"/>
      <c r="AM1237" s="663"/>
      <c r="AN1237" s="663"/>
      <c r="AO1237" s="708" t="str">
        <f>IF(OR(Table1[[#This Row],[Início Setup Envase]]="",Table1[[#This Row],[Final Setup Envase]]=""),"",Table1[[#This Row],[Final Setup Envase]]-Table1[[#This Row],[Início Setup Envase]])</f>
        <v/>
      </c>
      <c r="AP1237" s="663"/>
      <c r="AQ1237" s="663"/>
      <c r="AR1237" s="270"/>
      <c r="AS1237" s="674"/>
      <c r="AT1237" s="674"/>
      <c r="AU1237" s="270"/>
      <c r="AV1237" s="270"/>
      <c r="AW1237" s="270"/>
      <c r="AX1237" s="270"/>
      <c r="AY1237" s="270"/>
      <c r="AZ1237" s="270"/>
      <c r="BA1237" s="270" t="str">
        <f>IF(Table1[[#This Row],[Data de Início]]="","",YEAR(Table1[[#This Row],[Data de Início]]))</f>
        <v/>
      </c>
      <c r="BB1237" s="270" t="str">
        <f>IF(Table1[[#This Row],[Data de Início]]="","",MONTH(Table1[[#This Row],[Data de Início]]))</f>
        <v/>
      </c>
      <c r="BC1237" s="483"/>
    </row>
    <row r="1238" spans="2:55" x14ac:dyDescent="0.25">
      <c r="B1238" s="470"/>
      <c r="C1238" s="263"/>
      <c r="D1238" s="477" cm="1">
        <f t="array" ref="D1238">IFERROR(HorasUteisFabrica2Turnos(B1238,C1238), "")</f>
        <v>0</v>
      </c>
      <c r="E1238" s="478" t="str">
        <f t="shared" si="19"/>
        <v/>
      </c>
      <c r="F1238" s="266"/>
      <c r="G1238" s="656"/>
      <c r="H1238" s="479"/>
      <c r="I1238" s="268"/>
      <c r="J1238" s="268"/>
      <c r="K1238" s="268"/>
      <c r="L1238" s="269"/>
      <c r="M1238" s="511" t="str">
        <f>IFERROR(INDEX([1]Produtos!$C:$C,MATCH(L1238,[1]Produtos!$B:$B,0)), "-")</f>
        <v>-</v>
      </c>
      <c r="N1238" s="511" t="str">
        <f>IFERROR(INDEX([1]Produtos!$E:$E,MATCH(L1238,[1]Produtos!$B:$B,0)), "-")</f>
        <v>-</v>
      </c>
      <c r="O1238" s="483" t="str">
        <f>IFERROR(INDEX([1]Produtos!$F:$F,MATCH(L1238,[1]Produtos!$B:$B,0)), "-")</f>
        <v>-</v>
      </c>
      <c r="P1238" s="477" t="str">
        <f>IFERROR(INDEX([1]Produtos!$G:$G,MATCH(L1238,[1]Produtos!$B:$B,0)), "-")</f>
        <v>-</v>
      </c>
      <c r="Q1238" s="483" t="str">
        <f>IFERROR(INDEX([1]Produtos!$H:$H,MATCH(L1238,[1]Produtos!$B:$B,0)), "-")</f>
        <v>-</v>
      </c>
      <c r="R1238" s="483" t="str">
        <f>IFERROR(INDEX([1]Produtos!$I:$I,MATCH(L1238,[1]Produtos!$B:$B,0)), "-")</f>
        <v>-</v>
      </c>
      <c r="S1238" s="483" t="str">
        <f>IFERROR(INDEX([1]Produtos!$J:$J,MATCH(L1238,[1]Produtos!$B:$B,0)), "-")</f>
        <v>-</v>
      </c>
      <c r="T1238" s="484"/>
      <c r="U1238" s="483"/>
      <c r="V1238" s="483"/>
      <c r="W1238" s="483"/>
      <c r="X1238" s="483"/>
      <c r="Y1238" s="483"/>
      <c r="Z1238" s="483"/>
      <c r="AA1238" s="483"/>
      <c r="AB1238" s="483"/>
      <c r="AC1238" s="483"/>
      <c r="AD1238" s="483"/>
      <c r="AE1238" s="483"/>
      <c r="AF1238" s="483"/>
      <c r="AG1238" s="483"/>
      <c r="AH1238" s="483"/>
      <c r="AI1238" s="483"/>
      <c r="AJ1238" s="483"/>
      <c r="AK1238" s="483"/>
      <c r="AL1238" s="483"/>
      <c r="AM1238" s="670"/>
      <c r="AN1238" s="670"/>
      <c r="AO1238" s="711" t="str">
        <f>IF(OR(Table1[[#This Row],[Início Setup Envase]]="",Table1[[#This Row],[Final Setup Envase]]=""),"",Table1[[#This Row],[Final Setup Envase]]-Table1[[#This Row],[Início Setup Envase]])</f>
        <v/>
      </c>
      <c r="AP1238" s="670"/>
      <c r="AQ1238" s="670"/>
      <c r="AR1238" s="483"/>
      <c r="AS1238" s="483"/>
      <c r="AT1238" s="483"/>
      <c r="AU1238" s="483"/>
      <c r="AV1238" s="483"/>
      <c r="AW1238" s="483"/>
      <c r="AX1238" s="483"/>
      <c r="AY1238" s="270"/>
      <c r="AZ1238" s="270"/>
      <c r="BA1238" s="270" t="str">
        <f>IF(Table1[[#This Row],[Data de Início]]="","",YEAR(Table1[[#This Row],[Data de Início]]))</f>
        <v/>
      </c>
      <c r="BB1238" s="270" t="str">
        <f>IF(Table1[[#This Row],[Data de Início]]="","",MONTH(Table1[[#This Row],[Data de Início]]))</f>
        <v/>
      </c>
      <c r="BC1238" s="270"/>
    </row>
    <row r="1239" spans="2:55" x14ac:dyDescent="0.25">
      <c r="B1239" s="470"/>
      <c r="C1239" s="263"/>
      <c r="D1239" s="477" cm="1">
        <f t="array" ref="D1239">IFERROR(HorasUteisFabrica2Turnos(B1239,C1239), "")</f>
        <v>0</v>
      </c>
      <c r="E1239" s="697" t="str">
        <f t="shared" si="19"/>
        <v/>
      </c>
      <c r="F1239" s="266"/>
      <c r="G1239" s="698"/>
      <c r="H1239" s="266"/>
      <c r="I1239" s="268"/>
      <c r="J1239" s="268"/>
      <c r="K1239" s="268"/>
      <c r="L1239" s="269"/>
      <c r="M1239" s="510" t="str">
        <f>IFERROR(INDEX([1]Produtos!$C:$C,MATCH(L1239,[1]Produtos!$B:$B,0)), "-")</f>
        <v>-</v>
      </c>
      <c r="N1239" s="510" t="str">
        <f>IFERROR(INDEX([1]Produtos!$E:$E,MATCH(L1239,[1]Produtos!$B:$B,0)), "-")</f>
        <v>-</v>
      </c>
      <c r="O1239" s="270" t="str">
        <f>IFERROR(INDEX([1]Produtos!$F:$F,MATCH(L1239,[1]Produtos!$B:$B,0)), "-")</f>
        <v>-</v>
      </c>
      <c r="P1239" s="264" t="str">
        <f>IFERROR(INDEX([1]Produtos!$G:$G,MATCH(L1239,[1]Produtos!$B:$B,0)), "-")</f>
        <v>-</v>
      </c>
      <c r="Q1239" s="270" t="str">
        <f>IFERROR(INDEX([1]Produtos!$H:$H,MATCH(L1239,[1]Produtos!$B:$B,0)), "-")</f>
        <v>-</v>
      </c>
      <c r="R1239" s="270" t="str">
        <f>IFERROR(INDEX([1]Produtos!$I:$I,MATCH(L1239,[1]Produtos!$B:$B,0)), "-")</f>
        <v>-</v>
      </c>
      <c r="S1239" s="270" t="str">
        <f>IFERROR(INDEX([1]Produtos!$J:$J,MATCH(L1239,[1]Produtos!$B:$B,0)), "-")</f>
        <v>-</v>
      </c>
      <c r="T1239" s="475"/>
      <c r="U1239" s="270"/>
      <c r="V1239" s="270"/>
      <c r="W1239" s="270"/>
      <c r="X1239" s="270"/>
      <c r="Y1239" s="270"/>
      <c r="Z1239" s="270"/>
      <c r="AA1239" s="270"/>
      <c r="AB1239" s="270"/>
      <c r="AC1239" s="270"/>
      <c r="AD1239" s="270"/>
      <c r="AE1239" s="270"/>
      <c r="AF1239" s="270"/>
      <c r="AG1239" s="270"/>
      <c r="AH1239" s="270"/>
      <c r="AI1239" s="270"/>
      <c r="AJ1239" s="270"/>
      <c r="AK1239" s="270"/>
      <c r="AL1239" s="270"/>
      <c r="AM1239" s="663"/>
      <c r="AN1239" s="663"/>
      <c r="AO1239" s="708" t="str">
        <f>IF(OR(Table1[[#This Row],[Início Setup Envase]]="",Table1[[#This Row],[Final Setup Envase]]=""),"",Table1[[#This Row],[Final Setup Envase]]-Table1[[#This Row],[Início Setup Envase]])</f>
        <v/>
      </c>
      <c r="AP1239" s="663"/>
      <c r="AQ1239" s="663"/>
      <c r="AR1239" s="270"/>
      <c r="AS1239" s="674"/>
      <c r="AT1239" s="674"/>
      <c r="AU1239" s="270"/>
      <c r="AV1239" s="270"/>
      <c r="AW1239" s="270"/>
      <c r="AX1239" s="270"/>
      <c r="AY1239" s="270"/>
      <c r="AZ1239" s="270"/>
      <c r="BA1239" s="270" t="str">
        <f>IF(Table1[[#This Row],[Data de Início]]="","",YEAR(Table1[[#This Row],[Data de Início]]))</f>
        <v/>
      </c>
      <c r="BB1239" s="270" t="str">
        <f>IF(Table1[[#This Row],[Data de Início]]="","",MONTH(Table1[[#This Row],[Data de Início]]))</f>
        <v/>
      </c>
      <c r="BC1239" s="483"/>
    </row>
    <row r="1240" spans="2:55" x14ac:dyDescent="0.25">
      <c r="B1240" s="470"/>
      <c r="C1240" s="263"/>
      <c r="D1240" s="477" cm="1">
        <f t="array" ref="D1240">IFERROR(HorasUteisFabrica2Turnos(B1240,C1240), "")</f>
        <v>0</v>
      </c>
      <c r="E1240" s="478" t="str">
        <f t="shared" si="19"/>
        <v/>
      </c>
      <c r="F1240" s="266"/>
      <c r="G1240" s="656"/>
      <c r="H1240" s="479"/>
      <c r="I1240" s="268"/>
      <c r="J1240" s="268"/>
      <c r="K1240" s="268"/>
      <c r="L1240" s="269"/>
      <c r="M1240" s="511" t="str">
        <f>IFERROR(INDEX([1]Produtos!$C:$C,MATCH(L1240,[1]Produtos!$B:$B,0)), "-")</f>
        <v>-</v>
      </c>
      <c r="N1240" s="511" t="str">
        <f>IFERROR(INDEX([1]Produtos!$E:$E,MATCH(L1240,[1]Produtos!$B:$B,0)), "-")</f>
        <v>-</v>
      </c>
      <c r="O1240" s="483" t="str">
        <f>IFERROR(INDEX([1]Produtos!$F:$F,MATCH(L1240,[1]Produtos!$B:$B,0)), "-")</f>
        <v>-</v>
      </c>
      <c r="P1240" s="477" t="str">
        <f>IFERROR(INDEX([1]Produtos!$G:$G,MATCH(L1240,[1]Produtos!$B:$B,0)), "-")</f>
        <v>-</v>
      </c>
      <c r="Q1240" s="483" t="str">
        <f>IFERROR(INDEX([1]Produtos!$H:$H,MATCH(L1240,[1]Produtos!$B:$B,0)), "-")</f>
        <v>-</v>
      </c>
      <c r="R1240" s="483" t="str">
        <f>IFERROR(INDEX([1]Produtos!$I:$I,MATCH(L1240,[1]Produtos!$B:$B,0)), "-")</f>
        <v>-</v>
      </c>
      <c r="S1240" s="483" t="str">
        <f>IFERROR(INDEX([1]Produtos!$J:$J,MATCH(L1240,[1]Produtos!$B:$B,0)), "-")</f>
        <v>-</v>
      </c>
      <c r="T1240" s="484"/>
      <c r="U1240" s="483"/>
      <c r="V1240" s="483"/>
      <c r="W1240" s="483"/>
      <c r="X1240" s="483"/>
      <c r="Y1240" s="483"/>
      <c r="Z1240" s="483"/>
      <c r="AA1240" s="483"/>
      <c r="AB1240" s="483"/>
      <c r="AC1240" s="483"/>
      <c r="AD1240" s="483"/>
      <c r="AE1240" s="483"/>
      <c r="AF1240" s="483"/>
      <c r="AG1240" s="483"/>
      <c r="AH1240" s="483"/>
      <c r="AI1240" s="483"/>
      <c r="AJ1240" s="483"/>
      <c r="AK1240" s="483"/>
      <c r="AL1240" s="483"/>
      <c r="AM1240" s="670"/>
      <c r="AN1240" s="670"/>
      <c r="AO1240" s="711" t="str">
        <f>IF(OR(Table1[[#This Row],[Início Setup Envase]]="",Table1[[#This Row],[Final Setup Envase]]=""),"",Table1[[#This Row],[Final Setup Envase]]-Table1[[#This Row],[Início Setup Envase]])</f>
        <v/>
      </c>
      <c r="AP1240" s="670"/>
      <c r="AQ1240" s="670"/>
      <c r="AR1240" s="483"/>
      <c r="AS1240" s="483"/>
      <c r="AT1240" s="483"/>
      <c r="AU1240" s="483"/>
      <c r="AV1240" s="483"/>
      <c r="AW1240" s="483"/>
      <c r="AX1240" s="483"/>
      <c r="AY1240" s="270"/>
      <c r="AZ1240" s="270"/>
      <c r="BA1240" s="270" t="str">
        <f>IF(Table1[[#This Row],[Data de Início]]="","",YEAR(Table1[[#This Row],[Data de Início]]))</f>
        <v/>
      </c>
      <c r="BB1240" s="270" t="str">
        <f>IF(Table1[[#This Row],[Data de Início]]="","",MONTH(Table1[[#This Row],[Data de Início]]))</f>
        <v/>
      </c>
      <c r="BC1240" s="270"/>
    </row>
    <row r="1241" spans="2:55" x14ac:dyDescent="0.25">
      <c r="B1241" s="470"/>
      <c r="C1241" s="263"/>
      <c r="D1241" s="477" cm="1">
        <f t="array" ref="D1241">IFERROR(HorasUteisFabrica2Turnos(B1241,C1241), "")</f>
        <v>0</v>
      </c>
      <c r="E1241" s="697" t="str">
        <f t="shared" si="19"/>
        <v/>
      </c>
      <c r="F1241" s="266"/>
      <c r="G1241" s="698"/>
      <c r="H1241" s="266"/>
      <c r="I1241" s="268"/>
      <c r="J1241" s="268"/>
      <c r="K1241" s="268"/>
      <c r="L1241" s="269"/>
      <c r="M1241" s="510" t="str">
        <f>IFERROR(INDEX([1]Produtos!$C:$C,MATCH(L1241,[1]Produtos!$B:$B,0)), "-")</f>
        <v>-</v>
      </c>
      <c r="N1241" s="510" t="str">
        <f>IFERROR(INDEX([1]Produtos!$E:$E,MATCH(L1241,[1]Produtos!$B:$B,0)), "-")</f>
        <v>-</v>
      </c>
      <c r="O1241" s="270" t="str">
        <f>IFERROR(INDEX([1]Produtos!$F:$F,MATCH(L1241,[1]Produtos!$B:$B,0)), "-")</f>
        <v>-</v>
      </c>
      <c r="P1241" s="264" t="str">
        <f>IFERROR(INDEX([1]Produtos!$G:$G,MATCH(L1241,[1]Produtos!$B:$B,0)), "-")</f>
        <v>-</v>
      </c>
      <c r="Q1241" s="270" t="str">
        <f>IFERROR(INDEX([1]Produtos!$H:$H,MATCH(L1241,[1]Produtos!$B:$B,0)), "-")</f>
        <v>-</v>
      </c>
      <c r="R1241" s="270" t="str">
        <f>IFERROR(INDEX([1]Produtos!$I:$I,MATCH(L1241,[1]Produtos!$B:$B,0)), "-")</f>
        <v>-</v>
      </c>
      <c r="S1241" s="270" t="str">
        <f>IFERROR(INDEX([1]Produtos!$J:$J,MATCH(L1241,[1]Produtos!$B:$B,0)), "-")</f>
        <v>-</v>
      </c>
      <c r="T1241" s="475"/>
      <c r="U1241" s="270"/>
      <c r="V1241" s="270"/>
      <c r="W1241" s="270"/>
      <c r="X1241" s="270"/>
      <c r="Y1241" s="270"/>
      <c r="Z1241" s="270"/>
      <c r="AA1241" s="270"/>
      <c r="AB1241" s="270"/>
      <c r="AC1241" s="270"/>
      <c r="AD1241" s="270"/>
      <c r="AE1241" s="270"/>
      <c r="AF1241" s="270"/>
      <c r="AG1241" s="270"/>
      <c r="AH1241" s="270"/>
      <c r="AI1241" s="270"/>
      <c r="AJ1241" s="270"/>
      <c r="AK1241" s="270"/>
      <c r="AL1241" s="270"/>
      <c r="AM1241" s="663"/>
      <c r="AN1241" s="663"/>
      <c r="AO1241" s="708" t="str">
        <f>IF(OR(Table1[[#This Row],[Início Setup Envase]]="",Table1[[#This Row],[Final Setup Envase]]=""),"",Table1[[#This Row],[Final Setup Envase]]-Table1[[#This Row],[Início Setup Envase]])</f>
        <v/>
      </c>
      <c r="AP1241" s="663"/>
      <c r="AQ1241" s="663"/>
      <c r="AR1241" s="270"/>
      <c r="AS1241" s="674"/>
      <c r="AT1241" s="674"/>
      <c r="AU1241" s="270"/>
      <c r="AV1241" s="270"/>
      <c r="AW1241" s="270"/>
      <c r="AX1241" s="270"/>
      <c r="AY1241" s="270"/>
      <c r="AZ1241" s="270"/>
      <c r="BA1241" s="270" t="str">
        <f>IF(Table1[[#This Row],[Data de Início]]="","",YEAR(Table1[[#This Row],[Data de Início]]))</f>
        <v/>
      </c>
      <c r="BB1241" s="270" t="str">
        <f>IF(Table1[[#This Row],[Data de Início]]="","",MONTH(Table1[[#This Row],[Data de Início]]))</f>
        <v/>
      </c>
      <c r="BC1241" s="483"/>
    </row>
    <row r="1242" spans="2:55" x14ac:dyDescent="0.25">
      <c r="B1242" s="470"/>
      <c r="C1242" s="263"/>
      <c r="D1242" s="477" cm="1">
        <f t="array" ref="D1242">IFERROR(HorasUteisFabrica2Turnos(B1242,C1242), "")</f>
        <v>0</v>
      </c>
      <c r="E1242" s="478" t="str">
        <f t="shared" si="19"/>
        <v/>
      </c>
      <c r="F1242" s="266"/>
      <c r="G1242" s="656"/>
      <c r="H1242" s="479"/>
      <c r="I1242" s="268"/>
      <c r="J1242" s="268"/>
      <c r="K1242" s="268"/>
      <c r="L1242" s="269"/>
      <c r="M1242" s="511" t="str">
        <f>IFERROR(INDEX([1]Produtos!$C:$C,MATCH(L1242,[1]Produtos!$B:$B,0)), "-")</f>
        <v>-</v>
      </c>
      <c r="N1242" s="511" t="str">
        <f>IFERROR(INDEX([1]Produtos!$E:$E,MATCH(L1242,[1]Produtos!$B:$B,0)), "-")</f>
        <v>-</v>
      </c>
      <c r="O1242" s="483" t="str">
        <f>IFERROR(INDEX([1]Produtos!$F:$F,MATCH(L1242,[1]Produtos!$B:$B,0)), "-")</f>
        <v>-</v>
      </c>
      <c r="P1242" s="477" t="str">
        <f>IFERROR(INDEX([1]Produtos!$G:$G,MATCH(L1242,[1]Produtos!$B:$B,0)), "-")</f>
        <v>-</v>
      </c>
      <c r="Q1242" s="483" t="str">
        <f>IFERROR(INDEX([1]Produtos!$H:$H,MATCH(L1242,[1]Produtos!$B:$B,0)), "-")</f>
        <v>-</v>
      </c>
      <c r="R1242" s="483" t="str">
        <f>IFERROR(INDEX([1]Produtos!$I:$I,MATCH(L1242,[1]Produtos!$B:$B,0)), "-")</f>
        <v>-</v>
      </c>
      <c r="S1242" s="483" t="str">
        <f>IFERROR(INDEX([1]Produtos!$J:$J,MATCH(L1242,[1]Produtos!$B:$B,0)), "-")</f>
        <v>-</v>
      </c>
      <c r="T1242" s="484"/>
      <c r="U1242" s="483"/>
      <c r="V1242" s="483"/>
      <c r="W1242" s="483"/>
      <c r="X1242" s="483"/>
      <c r="Y1242" s="483"/>
      <c r="Z1242" s="483"/>
      <c r="AA1242" s="483"/>
      <c r="AB1242" s="483"/>
      <c r="AC1242" s="483"/>
      <c r="AD1242" s="483"/>
      <c r="AE1242" s="483"/>
      <c r="AF1242" s="483"/>
      <c r="AG1242" s="483"/>
      <c r="AH1242" s="483"/>
      <c r="AI1242" s="483"/>
      <c r="AJ1242" s="483"/>
      <c r="AK1242" s="483"/>
      <c r="AL1242" s="483"/>
      <c r="AM1242" s="670"/>
      <c r="AN1242" s="670"/>
      <c r="AO1242" s="711" t="str">
        <f>IF(OR(Table1[[#This Row],[Início Setup Envase]]="",Table1[[#This Row],[Final Setup Envase]]=""),"",Table1[[#This Row],[Final Setup Envase]]-Table1[[#This Row],[Início Setup Envase]])</f>
        <v/>
      </c>
      <c r="AP1242" s="670"/>
      <c r="AQ1242" s="670"/>
      <c r="AR1242" s="483"/>
      <c r="AS1242" s="483"/>
      <c r="AT1242" s="483"/>
      <c r="AU1242" s="483"/>
      <c r="AV1242" s="483"/>
      <c r="AW1242" s="483"/>
      <c r="AX1242" s="483"/>
      <c r="AY1242" s="270"/>
      <c r="AZ1242" s="270"/>
      <c r="BA1242" s="270" t="str">
        <f>IF(Table1[[#This Row],[Data de Início]]="","",YEAR(Table1[[#This Row],[Data de Início]]))</f>
        <v/>
      </c>
      <c r="BB1242" s="270" t="str">
        <f>IF(Table1[[#This Row],[Data de Início]]="","",MONTH(Table1[[#This Row],[Data de Início]]))</f>
        <v/>
      </c>
      <c r="BC1242" s="270"/>
    </row>
    <row r="1243" spans="2:55" x14ac:dyDescent="0.25">
      <c r="B1243" s="470"/>
      <c r="C1243" s="263"/>
      <c r="D1243" s="477" cm="1">
        <f t="array" ref="D1243">IFERROR(HorasUteisFabrica2Turnos(B1243,C1243), "")</f>
        <v>0</v>
      </c>
      <c r="E1243" s="697" t="str">
        <f t="shared" si="19"/>
        <v/>
      </c>
      <c r="F1243" s="266"/>
      <c r="G1243" s="698"/>
      <c r="H1243" s="266"/>
      <c r="I1243" s="268"/>
      <c r="J1243" s="268"/>
      <c r="K1243" s="268"/>
      <c r="L1243" s="269"/>
      <c r="M1243" s="510" t="str">
        <f>IFERROR(INDEX([1]Produtos!$C:$C,MATCH(L1243,[1]Produtos!$B:$B,0)), "-")</f>
        <v>-</v>
      </c>
      <c r="N1243" s="510" t="str">
        <f>IFERROR(INDEX([1]Produtos!$E:$E,MATCH(L1243,[1]Produtos!$B:$B,0)), "-")</f>
        <v>-</v>
      </c>
      <c r="O1243" s="270" t="str">
        <f>IFERROR(INDEX([1]Produtos!$F:$F,MATCH(L1243,[1]Produtos!$B:$B,0)), "-")</f>
        <v>-</v>
      </c>
      <c r="P1243" s="264" t="str">
        <f>IFERROR(INDEX([1]Produtos!$G:$G,MATCH(L1243,[1]Produtos!$B:$B,0)), "-")</f>
        <v>-</v>
      </c>
      <c r="Q1243" s="270" t="str">
        <f>IFERROR(INDEX([1]Produtos!$H:$H,MATCH(L1243,[1]Produtos!$B:$B,0)), "-")</f>
        <v>-</v>
      </c>
      <c r="R1243" s="270" t="str">
        <f>IFERROR(INDEX([1]Produtos!$I:$I,MATCH(L1243,[1]Produtos!$B:$B,0)), "-")</f>
        <v>-</v>
      </c>
      <c r="S1243" s="270" t="str">
        <f>IFERROR(INDEX([1]Produtos!$J:$J,MATCH(L1243,[1]Produtos!$B:$B,0)), "-")</f>
        <v>-</v>
      </c>
      <c r="T1243" s="475"/>
      <c r="U1243" s="270"/>
      <c r="V1243" s="270"/>
      <c r="W1243" s="270"/>
      <c r="X1243" s="270"/>
      <c r="Y1243" s="270"/>
      <c r="Z1243" s="270"/>
      <c r="AA1243" s="270"/>
      <c r="AB1243" s="270"/>
      <c r="AC1243" s="270"/>
      <c r="AD1243" s="270"/>
      <c r="AE1243" s="270"/>
      <c r="AF1243" s="270"/>
      <c r="AG1243" s="270"/>
      <c r="AH1243" s="270"/>
      <c r="AI1243" s="270"/>
      <c r="AJ1243" s="270"/>
      <c r="AK1243" s="270"/>
      <c r="AL1243" s="270"/>
      <c r="AM1243" s="663"/>
      <c r="AN1243" s="663"/>
      <c r="AO1243" s="708" t="str">
        <f>IF(OR(Table1[[#This Row],[Início Setup Envase]]="",Table1[[#This Row],[Final Setup Envase]]=""),"",Table1[[#This Row],[Final Setup Envase]]-Table1[[#This Row],[Início Setup Envase]])</f>
        <v/>
      </c>
      <c r="AP1243" s="663"/>
      <c r="AQ1243" s="663"/>
      <c r="AR1243" s="270"/>
      <c r="AS1243" s="674"/>
      <c r="AT1243" s="674"/>
      <c r="AU1243" s="270"/>
      <c r="AV1243" s="270"/>
      <c r="AW1243" s="270"/>
      <c r="AX1243" s="270"/>
      <c r="AY1243" s="270"/>
      <c r="AZ1243" s="270"/>
      <c r="BA1243" s="270" t="str">
        <f>IF(Table1[[#This Row],[Data de Início]]="","",YEAR(Table1[[#This Row],[Data de Início]]))</f>
        <v/>
      </c>
      <c r="BB1243" s="270" t="str">
        <f>IF(Table1[[#This Row],[Data de Início]]="","",MONTH(Table1[[#This Row],[Data de Início]]))</f>
        <v/>
      </c>
      <c r="BC1243" s="483"/>
    </row>
    <row r="1244" spans="2:55" x14ac:dyDescent="0.25">
      <c r="B1244" s="470"/>
      <c r="C1244" s="263"/>
      <c r="D1244" s="477" cm="1">
        <f t="array" ref="D1244">IFERROR(HorasUteisFabrica2Turnos(B1244,C1244), "")</f>
        <v>0</v>
      </c>
      <c r="E1244" s="478" t="str">
        <f t="shared" si="19"/>
        <v/>
      </c>
      <c r="F1244" s="266"/>
      <c r="G1244" s="656"/>
      <c r="H1244" s="479"/>
      <c r="I1244" s="268"/>
      <c r="J1244" s="268"/>
      <c r="K1244" s="268"/>
      <c r="L1244" s="269"/>
      <c r="M1244" s="511" t="str">
        <f>IFERROR(INDEX([1]Produtos!$C:$C,MATCH(L1244,[1]Produtos!$B:$B,0)), "-")</f>
        <v>-</v>
      </c>
      <c r="N1244" s="511" t="str">
        <f>IFERROR(INDEX([1]Produtos!$E:$E,MATCH(L1244,[1]Produtos!$B:$B,0)), "-")</f>
        <v>-</v>
      </c>
      <c r="O1244" s="483" t="str">
        <f>IFERROR(INDEX([1]Produtos!$F:$F,MATCH(L1244,[1]Produtos!$B:$B,0)), "-")</f>
        <v>-</v>
      </c>
      <c r="P1244" s="477" t="str">
        <f>IFERROR(INDEX([1]Produtos!$G:$G,MATCH(L1244,[1]Produtos!$B:$B,0)), "-")</f>
        <v>-</v>
      </c>
      <c r="Q1244" s="483" t="str">
        <f>IFERROR(INDEX([1]Produtos!$H:$H,MATCH(L1244,[1]Produtos!$B:$B,0)), "-")</f>
        <v>-</v>
      </c>
      <c r="R1244" s="483" t="str">
        <f>IFERROR(INDEX([1]Produtos!$I:$I,MATCH(L1244,[1]Produtos!$B:$B,0)), "-")</f>
        <v>-</v>
      </c>
      <c r="S1244" s="483" t="str">
        <f>IFERROR(INDEX([1]Produtos!$J:$J,MATCH(L1244,[1]Produtos!$B:$B,0)), "-")</f>
        <v>-</v>
      </c>
      <c r="T1244" s="484"/>
      <c r="U1244" s="483"/>
      <c r="V1244" s="483"/>
      <c r="W1244" s="483"/>
      <c r="X1244" s="483"/>
      <c r="Y1244" s="483"/>
      <c r="Z1244" s="483"/>
      <c r="AA1244" s="483"/>
      <c r="AB1244" s="483"/>
      <c r="AC1244" s="483"/>
      <c r="AD1244" s="483"/>
      <c r="AE1244" s="483"/>
      <c r="AF1244" s="483"/>
      <c r="AG1244" s="483"/>
      <c r="AH1244" s="483"/>
      <c r="AI1244" s="483"/>
      <c r="AJ1244" s="483"/>
      <c r="AK1244" s="483"/>
      <c r="AL1244" s="483"/>
      <c r="AM1244" s="670"/>
      <c r="AN1244" s="670"/>
      <c r="AO1244" s="711" t="str">
        <f>IF(OR(Table1[[#This Row],[Início Setup Envase]]="",Table1[[#This Row],[Final Setup Envase]]=""),"",Table1[[#This Row],[Final Setup Envase]]-Table1[[#This Row],[Início Setup Envase]])</f>
        <v/>
      </c>
      <c r="AP1244" s="670"/>
      <c r="AQ1244" s="670"/>
      <c r="AR1244" s="483"/>
      <c r="AS1244" s="483"/>
      <c r="AT1244" s="483"/>
      <c r="AU1244" s="483"/>
      <c r="AV1244" s="483"/>
      <c r="AW1244" s="483"/>
      <c r="AX1244" s="483"/>
      <c r="AY1244" s="270"/>
      <c r="AZ1244" s="270"/>
      <c r="BA1244" s="270" t="str">
        <f>IF(Table1[[#This Row],[Data de Início]]="","",YEAR(Table1[[#This Row],[Data de Início]]))</f>
        <v/>
      </c>
      <c r="BB1244" s="270" t="str">
        <f>IF(Table1[[#This Row],[Data de Início]]="","",MONTH(Table1[[#This Row],[Data de Início]]))</f>
        <v/>
      </c>
      <c r="BC1244" s="270"/>
    </row>
    <row r="1245" spans="2:55" x14ac:dyDescent="0.25">
      <c r="B1245" s="470"/>
      <c r="C1245" s="263"/>
      <c r="D1245" s="477" cm="1">
        <f t="array" ref="D1245">IFERROR(HorasUteisFabrica2Turnos(B1245,C1245), "")</f>
        <v>0</v>
      </c>
      <c r="E1245" s="697" t="str">
        <f t="shared" si="19"/>
        <v/>
      </c>
      <c r="F1245" s="266"/>
      <c r="G1245" s="698"/>
      <c r="H1245" s="266"/>
      <c r="I1245" s="268"/>
      <c r="J1245" s="268"/>
      <c r="K1245" s="268"/>
      <c r="L1245" s="269"/>
      <c r="M1245" s="510" t="str">
        <f>IFERROR(INDEX([1]Produtos!$C:$C,MATCH(L1245,[1]Produtos!$B:$B,0)), "-")</f>
        <v>-</v>
      </c>
      <c r="N1245" s="510" t="str">
        <f>IFERROR(INDEX([1]Produtos!$E:$E,MATCH(L1245,[1]Produtos!$B:$B,0)), "-")</f>
        <v>-</v>
      </c>
      <c r="O1245" s="270" t="str">
        <f>IFERROR(INDEX([1]Produtos!$F:$F,MATCH(L1245,[1]Produtos!$B:$B,0)), "-")</f>
        <v>-</v>
      </c>
      <c r="P1245" s="264" t="str">
        <f>IFERROR(INDEX([1]Produtos!$G:$G,MATCH(L1245,[1]Produtos!$B:$B,0)), "-")</f>
        <v>-</v>
      </c>
      <c r="Q1245" s="270" t="str">
        <f>IFERROR(INDEX([1]Produtos!$H:$H,MATCH(L1245,[1]Produtos!$B:$B,0)), "-")</f>
        <v>-</v>
      </c>
      <c r="R1245" s="270" t="str">
        <f>IFERROR(INDEX([1]Produtos!$I:$I,MATCH(L1245,[1]Produtos!$B:$B,0)), "-")</f>
        <v>-</v>
      </c>
      <c r="S1245" s="270" t="str">
        <f>IFERROR(INDEX([1]Produtos!$J:$J,MATCH(L1245,[1]Produtos!$B:$B,0)), "-")</f>
        <v>-</v>
      </c>
      <c r="T1245" s="475"/>
      <c r="U1245" s="270"/>
      <c r="V1245" s="270"/>
      <c r="W1245" s="270"/>
      <c r="X1245" s="270"/>
      <c r="Y1245" s="270"/>
      <c r="Z1245" s="270"/>
      <c r="AA1245" s="270"/>
      <c r="AB1245" s="270"/>
      <c r="AC1245" s="270"/>
      <c r="AD1245" s="270"/>
      <c r="AE1245" s="270"/>
      <c r="AF1245" s="270"/>
      <c r="AG1245" s="270"/>
      <c r="AH1245" s="270"/>
      <c r="AI1245" s="270"/>
      <c r="AJ1245" s="270"/>
      <c r="AK1245" s="270"/>
      <c r="AL1245" s="270"/>
      <c r="AM1245" s="663"/>
      <c r="AN1245" s="663"/>
      <c r="AO1245" s="708" t="str">
        <f>IF(OR(Table1[[#This Row],[Início Setup Envase]]="",Table1[[#This Row],[Final Setup Envase]]=""),"",Table1[[#This Row],[Final Setup Envase]]-Table1[[#This Row],[Início Setup Envase]])</f>
        <v/>
      </c>
      <c r="AP1245" s="663"/>
      <c r="AQ1245" s="663"/>
      <c r="AR1245" s="270"/>
      <c r="AS1245" s="674"/>
      <c r="AT1245" s="674"/>
      <c r="AU1245" s="270"/>
      <c r="AV1245" s="270"/>
      <c r="AW1245" s="270"/>
      <c r="AX1245" s="270"/>
      <c r="AY1245" s="270"/>
      <c r="AZ1245" s="270"/>
      <c r="BA1245" s="270" t="str">
        <f>IF(Table1[[#This Row],[Data de Início]]="","",YEAR(Table1[[#This Row],[Data de Início]]))</f>
        <v/>
      </c>
      <c r="BB1245" s="270" t="str">
        <f>IF(Table1[[#This Row],[Data de Início]]="","",MONTH(Table1[[#This Row],[Data de Início]]))</f>
        <v/>
      </c>
      <c r="BC1245" s="483"/>
    </row>
    <row r="1246" spans="2:55" x14ac:dyDescent="0.25">
      <c r="B1246" s="470"/>
      <c r="C1246" s="263"/>
      <c r="D1246" s="477" cm="1">
        <f t="array" ref="D1246">IFERROR(HorasUteisFabrica2Turnos(B1246,C1246), "")</f>
        <v>0</v>
      </c>
      <c r="E1246" s="478" t="str">
        <f t="shared" si="19"/>
        <v/>
      </c>
      <c r="F1246" s="266"/>
      <c r="G1246" s="656"/>
      <c r="H1246" s="479"/>
      <c r="I1246" s="268"/>
      <c r="J1246" s="268"/>
      <c r="K1246" s="268"/>
      <c r="L1246" s="269"/>
      <c r="M1246" s="511" t="str">
        <f>IFERROR(INDEX([1]Produtos!$C:$C,MATCH(L1246,[1]Produtos!$B:$B,0)), "-")</f>
        <v>-</v>
      </c>
      <c r="N1246" s="511" t="str">
        <f>IFERROR(INDEX([1]Produtos!$E:$E,MATCH(L1246,[1]Produtos!$B:$B,0)), "-")</f>
        <v>-</v>
      </c>
      <c r="O1246" s="483" t="str">
        <f>IFERROR(INDEX([1]Produtos!$F:$F,MATCH(L1246,[1]Produtos!$B:$B,0)), "-")</f>
        <v>-</v>
      </c>
      <c r="P1246" s="477" t="str">
        <f>IFERROR(INDEX([1]Produtos!$G:$G,MATCH(L1246,[1]Produtos!$B:$B,0)), "-")</f>
        <v>-</v>
      </c>
      <c r="Q1246" s="483" t="str">
        <f>IFERROR(INDEX([1]Produtos!$H:$H,MATCH(L1246,[1]Produtos!$B:$B,0)), "-")</f>
        <v>-</v>
      </c>
      <c r="R1246" s="483" t="str">
        <f>IFERROR(INDEX([1]Produtos!$I:$I,MATCH(L1246,[1]Produtos!$B:$B,0)), "-")</f>
        <v>-</v>
      </c>
      <c r="S1246" s="483" t="str">
        <f>IFERROR(INDEX([1]Produtos!$J:$J,MATCH(L1246,[1]Produtos!$B:$B,0)), "-")</f>
        <v>-</v>
      </c>
      <c r="T1246" s="484"/>
      <c r="U1246" s="483"/>
      <c r="V1246" s="483"/>
      <c r="W1246" s="483"/>
      <c r="X1246" s="483"/>
      <c r="Y1246" s="483"/>
      <c r="Z1246" s="483"/>
      <c r="AA1246" s="483"/>
      <c r="AB1246" s="483"/>
      <c r="AC1246" s="483"/>
      <c r="AD1246" s="483"/>
      <c r="AE1246" s="483"/>
      <c r="AF1246" s="483"/>
      <c r="AG1246" s="483"/>
      <c r="AH1246" s="483"/>
      <c r="AI1246" s="483"/>
      <c r="AJ1246" s="483"/>
      <c r="AK1246" s="483"/>
      <c r="AL1246" s="483"/>
      <c r="AM1246" s="670"/>
      <c r="AN1246" s="670"/>
      <c r="AO1246" s="711" t="str">
        <f>IF(OR(Table1[[#This Row],[Início Setup Envase]]="",Table1[[#This Row],[Final Setup Envase]]=""),"",Table1[[#This Row],[Final Setup Envase]]-Table1[[#This Row],[Início Setup Envase]])</f>
        <v/>
      </c>
      <c r="AP1246" s="670"/>
      <c r="AQ1246" s="670"/>
      <c r="AR1246" s="483"/>
      <c r="AS1246" s="483"/>
      <c r="AT1246" s="483"/>
      <c r="AU1246" s="483"/>
      <c r="AV1246" s="483"/>
      <c r="AW1246" s="483"/>
      <c r="AX1246" s="483"/>
      <c r="AY1246" s="270"/>
      <c r="AZ1246" s="270"/>
      <c r="BA1246" s="270" t="str">
        <f>IF(Table1[[#This Row],[Data de Início]]="","",YEAR(Table1[[#This Row],[Data de Início]]))</f>
        <v/>
      </c>
      <c r="BB1246" s="270" t="str">
        <f>IF(Table1[[#This Row],[Data de Início]]="","",MONTH(Table1[[#This Row],[Data de Início]]))</f>
        <v/>
      </c>
      <c r="BC1246" s="270"/>
    </row>
    <row r="1247" spans="2:55" x14ac:dyDescent="0.25">
      <c r="B1247" s="470"/>
      <c r="C1247" s="263"/>
      <c r="D1247" s="477" cm="1">
        <f t="array" ref="D1247">IFERROR(HorasUteisFabrica2Turnos(B1247,C1247), "")</f>
        <v>0</v>
      </c>
      <c r="E1247" s="697" t="str">
        <f t="shared" si="19"/>
        <v/>
      </c>
      <c r="F1247" s="266"/>
      <c r="G1247" s="698"/>
      <c r="H1247" s="266"/>
      <c r="I1247" s="268"/>
      <c r="J1247" s="268"/>
      <c r="K1247" s="268"/>
      <c r="L1247" s="269"/>
      <c r="M1247" s="510" t="str">
        <f>IFERROR(INDEX([1]Produtos!$C:$C,MATCH(L1247,[1]Produtos!$B:$B,0)), "-")</f>
        <v>-</v>
      </c>
      <c r="N1247" s="510" t="str">
        <f>IFERROR(INDEX([1]Produtos!$E:$E,MATCH(L1247,[1]Produtos!$B:$B,0)), "-")</f>
        <v>-</v>
      </c>
      <c r="O1247" s="270" t="str">
        <f>IFERROR(INDEX([1]Produtos!$F:$F,MATCH(L1247,[1]Produtos!$B:$B,0)), "-")</f>
        <v>-</v>
      </c>
      <c r="P1247" s="264" t="str">
        <f>IFERROR(INDEX([1]Produtos!$G:$G,MATCH(L1247,[1]Produtos!$B:$B,0)), "-")</f>
        <v>-</v>
      </c>
      <c r="Q1247" s="270" t="str">
        <f>IFERROR(INDEX([1]Produtos!$H:$H,MATCH(L1247,[1]Produtos!$B:$B,0)), "-")</f>
        <v>-</v>
      </c>
      <c r="R1247" s="270" t="str">
        <f>IFERROR(INDEX([1]Produtos!$I:$I,MATCH(L1247,[1]Produtos!$B:$B,0)), "-")</f>
        <v>-</v>
      </c>
      <c r="S1247" s="270" t="str">
        <f>IFERROR(INDEX([1]Produtos!$J:$J,MATCH(L1247,[1]Produtos!$B:$B,0)), "-")</f>
        <v>-</v>
      </c>
      <c r="T1247" s="475"/>
      <c r="U1247" s="270"/>
      <c r="V1247" s="270"/>
      <c r="W1247" s="270"/>
      <c r="X1247" s="270"/>
      <c r="Y1247" s="270"/>
      <c r="Z1247" s="270"/>
      <c r="AA1247" s="270"/>
      <c r="AB1247" s="270"/>
      <c r="AC1247" s="270"/>
      <c r="AD1247" s="270"/>
      <c r="AE1247" s="270"/>
      <c r="AF1247" s="270"/>
      <c r="AG1247" s="270"/>
      <c r="AH1247" s="270"/>
      <c r="AI1247" s="270"/>
      <c r="AJ1247" s="270"/>
      <c r="AK1247" s="270"/>
      <c r="AL1247" s="270"/>
      <c r="AM1247" s="663"/>
      <c r="AN1247" s="663"/>
      <c r="AO1247" s="708" t="str">
        <f>IF(OR(Table1[[#This Row],[Início Setup Envase]]="",Table1[[#This Row],[Final Setup Envase]]=""),"",Table1[[#This Row],[Final Setup Envase]]-Table1[[#This Row],[Início Setup Envase]])</f>
        <v/>
      </c>
      <c r="AP1247" s="663"/>
      <c r="AQ1247" s="663"/>
      <c r="AR1247" s="270"/>
      <c r="AS1247" s="674"/>
      <c r="AT1247" s="674"/>
      <c r="AU1247" s="270"/>
      <c r="AV1247" s="270"/>
      <c r="AW1247" s="270"/>
      <c r="AX1247" s="270"/>
      <c r="AY1247" s="270"/>
      <c r="AZ1247" s="270"/>
      <c r="BA1247" s="270" t="str">
        <f>IF(Table1[[#This Row],[Data de Início]]="","",YEAR(Table1[[#This Row],[Data de Início]]))</f>
        <v/>
      </c>
      <c r="BB1247" s="270" t="str">
        <f>IF(Table1[[#This Row],[Data de Início]]="","",MONTH(Table1[[#This Row],[Data de Início]]))</f>
        <v/>
      </c>
      <c r="BC1247" s="483"/>
    </row>
    <row r="1248" spans="2:55" x14ac:dyDescent="0.25">
      <c r="B1248" s="470"/>
      <c r="C1248" s="263"/>
      <c r="D1248" s="477" cm="1">
        <f t="array" ref="D1248">IFERROR(HorasUteisFabrica2Turnos(B1248,C1248), "")</f>
        <v>0</v>
      </c>
      <c r="E1248" s="478" t="str">
        <f t="shared" si="19"/>
        <v/>
      </c>
      <c r="F1248" s="266"/>
      <c r="G1248" s="656"/>
      <c r="H1248" s="479"/>
      <c r="I1248" s="268"/>
      <c r="J1248" s="268"/>
      <c r="K1248" s="268"/>
      <c r="L1248" s="269"/>
      <c r="M1248" s="511" t="str">
        <f>IFERROR(INDEX([1]Produtos!$C:$C,MATCH(L1248,[1]Produtos!$B:$B,0)), "-")</f>
        <v>-</v>
      </c>
      <c r="N1248" s="511" t="str">
        <f>IFERROR(INDEX([1]Produtos!$E:$E,MATCH(L1248,[1]Produtos!$B:$B,0)), "-")</f>
        <v>-</v>
      </c>
      <c r="O1248" s="483" t="str">
        <f>IFERROR(INDEX([1]Produtos!$F:$F,MATCH(L1248,[1]Produtos!$B:$B,0)), "-")</f>
        <v>-</v>
      </c>
      <c r="P1248" s="477" t="str">
        <f>IFERROR(INDEX([1]Produtos!$G:$G,MATCH(L1248,[1]Produtos!$B:$B,0)), "-")</f>
        <v>-</v>
      </c>
      <c r="Q1248" s="483" t="str">
        <f>IFERROR(INDEX([1]Produtos!$H:$H,MATCH(L1248,[1]Produtos!$B:$B,0)), "-")</f>
        <v>-</v>
      </c>
      <c r="R1248" s="483" t="str">
        <f>IFERROR(INDEX([1]Produtos!$I:$I,MATCH(L1248,[1]Produtos!$B:$B,0)), "-")</f>
        <v>-</v>
      </c>
      <c r="S1248" s="483" t="str">
        <f>IFERROR(INDEX([1]Produtos!$J:$J,MATCH(L1248,[1]Produtos!$B:$B,0)), "-")</f>
        <v>-</v>
      </c>
      <c r="T1248" s="484"/>
      <c r="U1248" s="483"/>
      <c r="V1248" s="483"/>
      <c r="W1248" s="483"/>
      <c r="X1248" s="483"/>
      <c r="Y1248" s="483"/>
      <c r="Z1248" s="483"/>
      <c r="AA1248" s="483"/>
      <c r="AB1248" s="483"/>
      <c r="AC1248" s="483"/>
      <c r="AD1248" s="483"/>
      <c r="AE1248" s="483"/>
      <c r="AF1248" s="483"/>
      <c r="AG1248" s="483"/>
      <c r="AH1248" s="483"/>
      <c r="AI1248" s="483"/>
      <c r="AJ1248" s="483"/>
      <c r="AK1248" s="483"/>
      <c r="AL1248" s="483"/>
      <c r="AM1248" s="670"/>
      <c r="AN1248" s="670"/>
      <c r="AO1248" s="711" t="str">
        <f>IF(OR(Table1[[#This Row],[Início Setup Envase]]="",Table1[[#This Row],[Final Setup Envase]]=""),"",Table1[[#This Row],[Final Setup Envase]]-Table1[[#This Row],[Início Setup Envase]])</f>
        <v/>
      </c>
      <c r="AP1248" s="670"/>
      <c r="AQ1248" s="670"/>
      <c r="AR1248" s="483"/>
      <c r="AS1248" s="483"/>
      <c r="AT1248" s="483"/>
      <c r="AU1248" s="483"/>
      <c r="AV1248" s="483"/>
      <c r="AW1248" s="483"/>
      <c r="AX1248" s="483"/>
      <c r="AY1248" s="270"/>
      <c r="AZ1248" s="270"/>
      <c r="BA1248" s="270" t="str">
        <f>IF(Table1[[#This Row],[Data de Início]]="","",YEAR(Table1[[#This Row],[Data de Início]]))</f>
        <v/>
      </c>
      <c r="BB1248" s="270" t="str">
        <f>IF(Table1[[#This Row],[Data de Início]]="","",MONTH(Table1[[#This Row],[Data de Início]]))</f>
        <v/>
      </c>
      <c r="BC1248" s="270"/>
    </row>
    <row r="1249" spans="2:55" x14ac:dyDescent="0.25">
      <c r="B1249" s="470"/>
      <c r="C1249" s="263"/>
      <c r="D1249" s="477" cm="1">
        <f t="array" ref="D1249">IFERROR(HorasUteisFabrica2Turnos(B1249,C1249), "")</f>
        <v>0</v>
      </c>
      <c r="E1249" s="697" t="str">
        <f t="shared" si="19"/>
        <v/>
      </c>
      <c r="F1249" s="266"/>
      <c r="G1249" s="698"/>
      <c r="H1249" s="266"/>
      <c r="I1249" s="268"/>
      <c r="J1249" s="268"/>
      <c r="K1249" s="268"/>
      <c r="L1249" s="269"/>
      <c r="M1249" s="510" t="str">
        <f>IFERROR(INDEX([1]Produtos!$C:$C,MATCH(L1249,[1]Produtos!$B:$B,0)), "-")</f>
        <v>-</v>
      </c>
      <c r="N1249" s="510" t="str">
        <f>IFERROR(INDEX([1]Produtos!$E:$E,MATCH(L1249,[1]Produtos!$B:$B,0)), "-")</f>
        <v>-</v>
      </c>
      <c r="O1249" s="270" t="str">
        <f>IFERROR(INDEX([1]Produtos!$F:$F,MATCH(L1249,[1]Produtos!$B:$B,0)), "-")</f>
        <v>-</v>
      </c>
      <c r="P1249" s="264" t="str">
        <f>IFERROR(INDEX([1]Produtos!$G:$G,MATCH(L1249,[1]Produtos!$B:$B,0)), "-")</f>
        <v>-</v>
      </c>
      <c r="Q1249" s="270" t="str">
        <f>IFERROR(INDEX([1]Produtos!$H:$H,MATCH(L1249,[1]Produtos!$B:$B,0)), "-")</f>
        <v>-</v>
      </c>
      <c r="R1249" s="270" t="str">
        <f>IFERROR(INDEX([1]Produtos!$I:$I,MATCH(L1249,[1]Produtos!$B:$B,0)), "-")</f>
        <v>-</v>
      </c>
      <c r="S1249" s="270" t="str">
        <f>IFERROR(INDEX([1]Produtos!$J:$J,MATCH(L1249,[1]Produtos!$B:$B,0)), "-")</f>
        <v>-</v>
      </c>
      <c r="T1249" s="475"/>
      <c r="U1249" s="270"/>
      <c r="V1249" s="270"/>
      <c r="W1249" s="270"/>
      <c r="X1249" s="270"/>
      <c r="Y1249" s="270"/>
      <c r="Z1249" s="270"/>
      <c r="AA1249" s="270"/>
      <c r="AB1249" s="270"/>
      <c r="AC1249" s="270"/>
      <c r="AD1249" s="270"/>
      <c r="AE1249" s="270"/>
      <c r="AF1249" s="270"/>
      <c r="AG1249" s="270"/>
      <c r="AH1249" s="270"/>
      <c r="AI1249" s="270"/>
      <c r="AJ1249" s="270"/>
      <c r="AK1249" s="270"/>
      <c r="AL1249" s="270"/>
      <c r="AM1249" s="663"/>
      <c r="AN1249" s="663"/>
      <c r="AO1249" s="708" t="str">
        <f>IF(OR(Table1[[#This Row],[Início Setup Envase]]="",Table1[[#This Row],[Final Setup Envase]]=""),"",Table1[[#This Row],[Final Setup Envase]]-Table1[[#This Row],[Início Setup Envase]])</f>
        <v/>
      </c>
      <c r="AP1249" s="663"/>
      <c r="AQ1249" s="663"/>
      <c r="AR1249" s="270"/>
      <c r="AS1249" s="674"/>
      <c r="AT1249" s="674"/>
      <c r="AU1249" s="270"/>
      <c r="AV1249" s="270"/>
      <c r="AW1249" s="270"/>
      <c r="AX1249" s="270"/>
      <c r="AY1249" s="270"/>
      <c r="AZ1249" s="270"/>
      <c r="BA1249" s="270" t="str">
        <f>IF(Table1[[#This Row],[Data de Início]]="","",YEAR(Table1[[#This Row],[Data de Início]]))</f>
        <v/>
      </c>
      <c r="BB1249" s="270" t="str">
        <f>IF(Table1[[#This Row],[Data de Início]]="","",MONTH(Table1[[#This Row],[Data de Início]]))</f>
        <v/>
      </c>
      <c r="BC1249" s="483"/>
    </row>
    <row r="1250" spans="2:55" x14ac:dyDescent="0.25">
      <c r="B1250" s="470"/>
      <c r="C1250" s="263"/>
      <c r="D1250" s="477" cm="1">
        <f t="array" ref="D1250">IFERROR(HorasUteisFabrica2Turnos(B1250,C1250), "")</f>
        <v>0</v>
      </c>
      <c r="E1250" s="478" t="str">
        <f t="shared" si="19"/>
        <v/>
      </c>
      <c r="F1250" s="266"/>
      <c r="G1250" s="656"/>
      <c r="H1250" s="479"/>
      <c r="I1250" s="268"/>
      <c r="J1250" s="268"/>
      <c r="K1250" s="268"/>
      <c r="L1250" s="269"/>
      <c r="M1250" s="511" t="str">
        <f>IFERROR(INDEX([1]Produtos!$C:$C,MATCH(L1250,[1]Produtos!$B:$B,0)), "-")</f>
        <v>-</v>
      </c>
      <c r="N1250" s="511" t="str">
        <f>IFERROR(INDEX([1]Produtos!$E:$E,MATCH(L1250,[1]Produtos!$B:$B,0)), "-")</f>
        <v>-</v>
      </c>
      <c r="O1250" s="483" t="str">
        <f>IFERROR(INDEX([1]Produtos!$F:$F,MATCH(L1250,[1]Produtos!$B:$B,0)), "-")</f>
        <v>-</v>
      </c>
      <c r="P1250" s="477" t="str">
        <f>IFERROR(INDEX([1]Produtos!$G:$G,MATCH(L1250,[1]Produtos!$B:$B,0)), "-")</f>
        <v>-</v>
      </c>
      <c r="Q1250" s="483" t="str">
        <f>IFERROR(INDEX([1]Produtos!$H:$H,MATCH(L1250,[1]Produtos!$B:$B,0)), "-")</f>
        <v>-</v>
      </c>
      <c r="R1250" s="483" t="str">
        <f>IFERROR(INDEX([1]Produtos!$I:$I,MATCH(L1250,[1]Produtos!$B:$B,0)), "-")</f>
        <v>-</v>
      </c>
      <c r="S1250" s="483" t="str">
        <f>IFERROR(INDEX([1]Produtos!$J:$J,MATCH(L1250,[1]Produtos!$B:$B,0)), "-")</f>
        <v>-</v>
      </c>
      <c r="T1250" s="484"/>
      <c r="U1250" s="483"/>
      <c r="V1250" s="483"/>
      <c r="W1250" s="483"/>
      <c r="X1250" s="483"/>
      <c r="Y1250" s="483"/>
      <c r="Z1250" s="483"/>
      <c r="AA1250" s="483"/>
      <c r="AB1250" s="483"/>
      <c r="AC1250" s="483"/>
      <c r="AD1250" s="483"/>
      <c r="AE1250" s="483"/>
      <c r="AF1250" s="483"/>
      <c r="AG1250" s="483"/>
      <c r="AH1250" s="483"/>
      <c r="AI1250" s="483"/>
      <c r="AJ1250" s="483"/>
      <c r="AK1250" s="483"/>
      <c r="AL1250" s="483"/>
      <c r="AM1250" s="670"/>
      <c r="AN1250" s="670"/>
      <c r="AO1250" s="711" t="str">
        <f>IF(OR(Table1[[#This Row],[Início Setup Envase]]="",Table1[[#This Row],[Final Setup Envase]]=""),"",Table1[[#This Row],[Final Setup Envase]]-Table1[[#This Row],[Início Setup Envase]])</f>
        <v/>
      </c>
      <c r="AP1250" s="670"/>
      <c r="AQ1250" s="670"/>
      <c r="AR1250" s="483"/>
      <c r="AS1250" s="483"/>
      <c r="AT1250" s="483"/>
      <c r="AU1250" s="483"/>
      <c r="AV1250" s="483"/>
      <c r="AW1250" s="483"/>
      <c r="AX1250" s="483"/>
      <c r="AY1250" s="270"/>
      <c r="AZ1250" s="270"/>
      <c r="BA1250" s="270" t="str">
        <f>IF(Table1[[#This Row],[Data de Início]]="","",YEAR(Table1[[#This Row],[Data de Início]]))</f>
        <v/>
      </c>
      <c r="BB1250" s="270" t="str">
        <f>IF(Table1[[#This Row],[Data de Início]]="","",MONTH(Table1[[#This Row],[Data de Início]]))</f>
        <v/>
      </c>
      <c r="BC1250" s="270"/>
    </row>
    <row r="1251" spans="2:55" x14ac:dyDescent="0.25">
      <c r="B1251" s="470"/>
      <c r="C1251" s="263"/>
      <c r="D1251" s="477" cm="1">
        <f t="array" ref="D1251">IFERROR(HorasUteisFabrica2Turnos(B1251,C1251), "")</f>
        <v>0</v>
      </c>
      <c r="E1251" s="697" t="str">
        <f t="shared" si="19"/>
        <v/>
      </c>
      <c r="F1251" s="266"/>
      <c r="G1251" s="698"/>
      <c r="H1251" s="266"/>
      <c r="I1251" s="268"/>
      <c r="J1251" s="268"/>
      <c r="K1251" s="268"/>
      <c r="L1251" s="269"/>
      <c r="M1251" s="510" t="str">
        <f>IFERROR(INDEX([1]Produtos!$C:$C,MATCH(L1251,[1]Produtos!$B:$B,0)), "-")</f>
        <v>-</v>
      </c>
      <c r="N1251" s="510" t="str">
        <f>IFERROR(INDEX([1]Produtos!$E:$E,MATCH(L1251,[1]Produtos!$B:$B,0)), "-")</f>
        <v>-</v>
      </c>
      <c r="O1251" s="270" t="str">
        <f>IFERROR(INDEX([1]Produtos!$F:$F,MATCH(L1251,[1]Produtos!$B:$B,0)), "-")</f>
        <v>-</v>
      </c>
      <c r="P1251" s="264" t="str">
        <f>IFERROR(INDEX([1]Produtos!$G:$G,MATCH(L1251,[1]Produtos!$B:$B,0)), "-")</f>
        <v>-</v>
      </c>
      <c r="Q1251" s="270" t="str">
        <f>IFERROR(INDEX([1]Produtos!$H:$H,MATCH(L1251,[1]Produtos!$B:$B,0)), "-")</f>
        <v>-</v>
      </c>
      <c r="R1251" s="270" t="str">
        <f>IFERROR(INDEX([1]Produtos!$I:$I,MATCH(L1251,[1]Produtos!$B:$B,0)), "-")</f>
        <v>-</v>
      </c>
      <c r="S1251" s="270" t="str">
        <f>IFERROR(INDEX([1]Produtos!$J:$J,MATCH(L1251,[1]Produtos!$B:$B,0)), "-")</f>
        <v>-</v>
      </c>
      <c r="T1251" s="475"/>
      <c r="U1251" s="270"/>
      <c r="V1251" s="270"/>
      <c r="W1251" s="270"/>
      <c r="X1251" s="270"/>
      <c r="Y1251" s="270"/>
      <c r="Z1251" s="270"/>
      <c r="AA1251" s="270"/>
      <c r="AB1251" s="270"/>
      <c r="AC1251" s="270"/>
      <c r="AD1251" s="270"/>
      <c r="AE1251" s="270"/>
      <c r="AF1251" s="270"/>
      <c r="AG1251" s="270"/>
      <c r="AH1251" s="270"/>
      <c r="AI1251" s="270"/>
      <c r="AJ1251" s="270"/>
      <c r="AK1251" s="270"/>
      <c r="AL1251" s="270"/>
      <c r="AM1251" s="663"/>
      <c r="AN1251" s="663"/>
      <c r="AO1251" s="708" t="str">
        <f>IF(OR(Table1[[#This Row],[Início Setup Envase]]="",Table1[[#This Row],[Final Setup Envase]]=""),"",Table1[[#This Row],[Final Setup Envase]]-Table1[[#This Row],[Início Setup Envase]])</f>
        <v/>
      </c>
      <c r="AP1251" s="663"/>
      <c r="AQ1251" s="663"/>
      <c r="AR1251" s="270"/>
      <c r="AS1251" s="674"/>
      <c r="AT1251" s="674"/>
      <c r="AU1251" s="270"/>
      <c r="AV1251" s="270"/>
      <c r="AW1251" s="270"/>
      <c r="AX1251" s="270"/>
      <c r="AY1251" s="270"/>
      <c r="AZ1251" s="270"/>
      <c r="BA1251" s="270" t="str">
        <f>IF(Table1[[#This Row],[Data de Início]]="","",YEAR(Table1[[#This Row],[Data de Início]]))</f>
        <v/>
      </c>
      <c r="BB1251" s="270" t="str">
        <f>IF(Table1[[#This Row],[Data de Início]]="","",MONTH(Table1[[#This Row],[Data de Início]]))</f>
        <v/>
      </c>
      <c r="BC1251" s="483"/>
    </row>
    <row r="1252" spans="2:55" x14ac:dyDescent="0.25">
      <c r="B1252" s="470"/>
      <c r="C1252" s="263"/>
      <c r="D1252" s="477" cm="1">
        <f t="array" ref="D1252">IFERROR(HorasUteisFabrica2Turnos(B1252,C1252), "")</f>
        <v>0</v>
      </c>
      <c r="E1252" s="478" t="str">
        <f t="shared" si="19"/>
        <v/>
      </c>
      <c r="F1252" s="266"/>
      <c r="G1252" s="656"/>
      <c r="H1252" s="479"/>
      <c r="I1252" s="268"/>
      <c r="J1252" s="268"/>
      <c r="K1252" s="268"/>
      <c r="L1252" s="269"/>
      <c r="M1252" s="511" t="str">
        <f>IFERROR(INDEX([1]Produtos!$C:$C,MATCH(L1252,[1]Produtos!$B:$B,0)), "-")</f>
        <v>-</v>
      </c>
      <c r="N1252" s="511" t="str">
        <f>IFERROR(INDEX([1]Produtos!$E:$E,MATCH(L1252,[1]Produtos!$B:$B,0)), "-")</f>
        <v>-</v>
      </c>
      <c r="O1252" s="483" t="str">
        <f>IFERROR(INDEX([1]Produtos!$F:$F,MATCH(L1252,[1]Produtos!$B:$B,0)), "-")</f>
        <v>-</v>
      </c>
      <c r="P1252" s="477" t="str">
        <f>IFERROR(INDEX([1]Produtos!$G:$G,MATCH(L1252,[1]Produtos!$B:$B,0)), "-")</f>
        <v>-</v>
      </c>
      <c r="Q1252" s="483" t="str">
        <f>IFERROR(INDEX([1]Produtos!$H:$H,MATCH(L1252,[1]Produtos!$B:$B,0)), "-")</f>
        <v>-</v>
      </c>
      <c r="R1252" s="483" t="str">
        <f>IFERROR(INDEX([1]Produtos!$I:$I,MATCH(L1252,[1]Produtos!$B:$B,0)), "-")</f>
        <v>-</v>
      </c>
      <c r="S1252" s="483" t="str">
        <f>IFERROR(INDEX([1]Produtos!$J:$J,MATCH(L1252,[1]Produtos!$B:$B,0)), "-")</f>
        <v>-</v>
      </c>
      <c r="T1252" s="484"/>
      <c r="U1252" s="483"/>
      <c r="V1252" s="483"/>
      <c r="W1252" s="483"/>
      <c r="X1252" s="483"/>
      <c r="Y1252" s="483"/>
      <c r="Z1252" s="483"/>
      <c r="AA1252" s="483"/>
      <c r="AB1252" s="483"/>
      <c r="AC1252" s="483"/>
      <c r="AD1252" s="483"/>
      <c r="AE1252" s="483"/>
      <c r="AF1252" s="483"/>
      <c r="AG1252" s="483"/>
      <c r="AH1252" s="483"/>
      <c r="AI1252" s="483"/>
      <c r="AJ1252" s="483"/>
      <c r="AK1252" s="483"/>
      <c r="AL1252" s="483"/>
      <c r="AM1252" s="670"/>
      <c r="AN1252" s="670"/>
      <c r="AO1252" s="711" t="str">
        <f>IF(OR(Table1[[#This Row],[Início Setup Envase]]="",Table1[[#This Row],[Final Setup Envase]]=""),"",Table1[[#This Row],[Final Setup Envase]]-Table1[[#This Row],[Início Setup Envase]])</f>
        <v/>
      </c>
      <c r="AP1252" s="670"/>
      <c r="AQ1252" s="670"/>
      <c r="AR1252" s="483"/>
      <c r="AS1252" s="483"/>
      <c r="AT1252" s="483"/>
      <c r="AU1252" s="483"/>
      <c r="AV1252" s="483"/>
      <c r="AW1252" s="483"/>
      <c r="AX1252" s="483"/>
      <c r="AY1252" s="270"/>
      <c r="AZ1252" s="270"/>
      <c r="BA1252" s="270" t="str">
        <f>IF(Table1[[#This Row],[Data de Início]]="","",YEAR(Table1[[#This Row],[Data de Início]]))</f>
        <v/>
      </c>
      <c r="BB1252" s="270" t="str">
        <f>IF(Table1[[#This Row],[Data de Início]]="","",MONTH(Table1[[#This Row],[Data de Início]]))</f>
        <v/>
      </c>
      <c r="BC1252" s="270"/>
    </row>
    <row r="1253" spans="2:55" x14ac:dyDescent="0.25">
      <c r="B1253" s="470"/>
      <c r="C1253" s="263"/>
      <c r="D1253" s="477" cm="1">
        <f t="array" ref="D1253">IFERROR(HorasUteisFabrica2Turnos(B1253,C1253), "")</f>
        <v>0</v>
      </c>
      <c r="E1253" s="697" t="str">
        <f t="shared" ref="E1253:E1316" si="20">IFERROR(K1253/D1253, "")</f>
        <v/>
      </c>
      <c r="F1253" s="266"/>
      <c r="G1253" s="698"/>
      <c r="H1253" s="266"/>
      <c r="I1253" s="268"/>
      <c r="J1253" s="268"/>
      <c r="K1253" s="268"/>
      <c r="L1253" s="269"/>
      <c r="M1253" s="510" t="str">
        <f>IFERROR(INDEX([1]Produtos!$C:$C,MATCH(L1253,[1]Produtos!$B:$B,0)), "-")</f>
        <v>-</v>
      </c>
      <c r="N1253" s="510" t="str">
        <f>IFERROR(INDEX([1]Produtos!$E:$E,MATCH(L1253,[1]Produtos!$B:$B,0)), "-")</f>
        <v>-</v>
      </c>
      <c r="O1253" s="270" t="str">
        <f>IFERROR(INDEX([1]Produtos!$F:$F,MATCH(L1253,[1]Produtos!$B:$B,0)), "-")</f>
        <v>-</v>
      </c>
      <c r="P1253" s="264" t="str">
        <f>IFERROR(INDEX([1]Produtos!$G:$G,MATCH(L1253,[1]Produtos!$B:$B,0)), "-")</f>
        <v>-</v>
      </c>
      <c r="Q1253" s="270" t="str">
        <f>IFERROR(INDEX([1]Produtos!$H:$H,MATCH(L1253,[1]Produtos!$B:$B,0)), "-")</f>
        <v>-</v>
      </c>
      <c r="R1253" s="270" t="str">
        <f>IFERROR(INDEX([1]Produtos!$I:$I,MATCH(L1253,[1]Produtos!$B:$B,0)), "-")</f>
        <v>-</v>
      </c>
      <c r="S1253" s="270" t="str">
        <f>IFERROR(INDEX([1]Produtos!$J:$J,MATCH(L1253,[1]Produtos!$B:$B,0)), "-")</f>
        <v>-</v>
      </c>
      <c r="T1253" s="475"/>
      <c r="U1253" s="270"/>
      <c r="V1253" s="270"/>
      <c r="W1253" s="270"/>
      <c r="X1253" s="270"/>
      <c r="Y1253" s="270"/>
      <c r="Z1253" s="270"/>
      <c r="AA1253" s="270"/>
      <c r="AB1253" s="270"/>
      <c r="AC1253" s="270"/>
      <c r="AD1253" s="270"/>
      <c r="AE1253" s="270"/>
      <c r="AF1253" s="270"/>
      <c r="AG1253" s="270"/>
      <c r="AH1253" s="270"/>
      <c r="AI1253" s="270"/>
      <c r="AJ1253" s="270"/>
      <c r="AK1253" s="270"/>
      <c r="AL1253" s="270"/>
      <c r="AM1253" s="663"/>
      <c r="AN1253" s="663"/>
      <c r="AO1253" s="708" t="str">
        <f>IF(OR(Table1[[#This Row],[Início Setup Envase]]="",Table1[[#This Row],[Final Setup Envase]]=""),"",Table1[[#This Row],[Final Setup Envase]]-Table1[[#This Row],[Início Setup Envase]])</f>
        <v/>
      </c>
      <c r="AP1253" s="663"/>
      <c r="AQ1253" s="663"/>
      <c r="AR1253" s="270"/>
      <c r="AS1253" s="674"/>
      <c r="AT1253" s="674"/>
      <c r="AU1253" s="270"/>
      <c r="AV1253" s="270"/>
      <c r="AW1253" s="270"/>
      <c r="AX1253" s="270"/>
      <c r="AY1253" s="270"/>
      <c r="AZ1253" s="270"/>
      <c r="BA1253" s="270" t="str">
        <f>IF(Table1[[#This Row],[Data de Início]]="","",YEAR(Table1[[#This Row],[Data de Início]]))</f>
        <v/>
      </c>
      <c r="BB1253" s="270" t="str">
        <f>IF(Table1[[#This Row],[Data de Início]]="","",MONTH(Table1[[#This Row],[Data de Início]]))</f>
        <v/>
      </c>
      <c r="BC1253" s="483"/>
    </row>
    <row r="1254" spans="2:55" x14ac:dyDescent="0.25">
      <c r="B1254" s="470"/>
      <c r="C1254" s="263"/>
      <c r="D1254" s="477" cm="1">
        <f t="array" ref="D1254">IFERROR(HorasUteisFabrica2Turnos(B1254,C1254), "")</f>
        <v>0</v>
      </c>
      <c r="E1254" s="478" t="str">
        <f t="shared" si="20"/>
        <v/>
      </c>
      <c r="F1254" s="266"/>
      <c r="G1254" s="656"/>
      <c r="H1254" s="479"/>
      <c r="I1254" s="268"/>
      <c r="J1254" s="268"/>
      <c r="K1254" s="268"/>
      <c r="L1254" s="269"/>
      <c r="M1254" s="511" t="str">
        <f>IFERROR(INDEX([1]Produtos!$C:$C,MATCH(L1254,[1]Produtos!$B:$B,0)), "-")</f>
        <v>-</v>
      </c>
      <c r="N1254" s="511" t="str">
        <f>IFERROR(INDEX([1]Produtos!$E:$E,MATCH(L1254,[1]Produtos!$B:$B,0)), "-")</f>
        <v>-</v>
      </c>
      <c r="O1254" s="483" t="str">
        <f>IFERROR(INDEX([1]Produtos!$F:$F,MATCH(L1254,[1]Produtos!$B:$B,0)), "-")</f>
        <v>-</v>
      </c>
      <c r="P1254" s="477" t="str">
        <f>IFERROR(INDEX([1]Produtos!$G:$G,MATCH(L1254,[1]Produtos!$B:$B,0)), "-")</f>
        <v>-</v>
      </c>
      <c r="Q1254" s="483" t="str">
        <f>IFERROR(INDEX([1]Produtos!$H:$H,MATCH(L1254,[1]Produtos!$B:$B,0)), "-")</f>
        <v>-</v>
      </c>
      <c r="R1254" s="483" t="str">
        <f>IFERROR(INDEX([1]Produtos!$I:$I,MATCH(L1254,[1]Produtos!$B:$B,0)), "-")</f>
        <v>-</v>
      </c>
      <c r="S1254" s="483" t="str">
        <f>IFERROR(INDEX([1]Produtos!$J:$J,MATCH(L1254,[1]Produtos!$B:$B,0)), "-")</f>
        <v>-</v>
      </c>
      <c r="T1254" s="484"/>
      <c r="U1254" s="483"/>
      <c r="V1254" s="483"/>
      <c r="W1254" s="483"/>
      <c r="X1254" s="483"/>
      <c r="Y1254" s="483"/>
      <c r="Z1254" s="483"/>
      <c r="AA1254" s="483"/>
      <c r="AB1254" s="483"/>
      <c r="AC1254" s="483"/>
      <c r="AD1254" s="483"/>
      <c r="AE1254" s="483"/>
      <c r="AF1254" s="483"/>
      <c r="AG1254" s="483"/>
      <c r="AH1254" s="483"/>
      <c r="AI1254" s="483"/>
      <c r="AJ1254" s="483"/>
      <c r="AK1254" s="483"/>
      <c r="AL1254" s="483"/>
      <c r="AM1254" s="670"/>
      <c r="AN1254" s="670"/>
      <c r="AO1254" s="711" t="str">
        <f>IF(OR(Table1[[#This Row],[Início Setup Envase]]="",Table1[[#This Row],[Final Setup Envase]]=""),"",Table1[[#This Row],[Final Setup Envase]]-Table1[[#This Row],[Início Setup Envase]])</f>
        <v/>
      </c>
      <c r="AP1254" s="670"/>
      <c r="AQ1254" s="670"/>
      <c r="AR1254" s="483"/>
      <c r="AS1254" s="483"/>
      <c r="AT1254" s="483"/>
      <c r="AU1254" s="483"/>
      <c r="AV1254" s="483"/>
      <c r="AW1254" s="483"/>
      <c r="AX1254" s="483"/>
      <c r="AY1254" s="270"/>
      <c r="AZ1254" s="270"/>
      <c r="BA1254" s="270" t="str">
        <f>IF(Table1[[#This Row],[Data de Início]]="","",YEAR(Table1[[#This Row],[Data de Início]]))</f>
        <v/>
      </c>
      <c r="BB1254" s="270" t="str">
        <f>IF(Table1[[#This Row],[Data de Início]]="","",MONTH(Table1[[#This Row],[Data de Início]]))</f>
        <v/>
      </c>
      <c r="BC1254" s="270"/>
    </row>
    <row r="1255" spans="2:55" x14ac:dyDescent="0.25">
      <c r="B1255" s="470"/>
      <c r="C1255" s="263"/>
      <c r="D1255" s="477" cm="1">
        <f t="array" ref="D1255">IFERROR(HorasUteisFabrica2Turnos(B1255,C1255), "")</f>
        <v>0</v>
      </c>
      <c r="E1255" s="697" t="str">
        <f t="shared" si="20"/>
        <v/>
      </c>
      <c r="F1255" s="266"/>
      <c r="G1255" s="698"/>
      <c r="H1255" s="266"/>
      <c r="I1255" s="268"/>
      <c r="J1255" s="268"/>
      <c r="K1255" s="268"/>
      <c r="L1255" s="269"/>
      <c r="M1255" s="510" t="str">
        <f>IFERROR(INDEX([1]Produtos!$C:$C,MATCH(L1255,[1]Produtos!$B:$B,0)), "-")</f>
        <v>-</v>
      </c>
      <c r="N1255" s="510" t="str">
        <f>IFERROR(INDEX([1]Produtos!$E:$E,MATCH(L1255,[1]Produtos!$B:$B,0)), "-")</f>
        <v>-</v>
      </c>
      <c r="O1255" s="270" t="str">
        <f>IFERROR(INDEX([1]Produtos!$F:$F,MATCH(L1255,[1]Produtos!$B:$B,0)), "-")</f>
        <v>-</v>
      </c>
      <c r="P1255" s="264" t="str">
        <f>IFERROR(INDEX([1]Produtos!$G:$G,MATCH(L1255,[1]Produtos!$B:$B,0)), "-")</f>
        <v>-</v>
      </c>
      <c r="Q1255" s="270" t="str">
        <f>IFERROR(INDEX([1]Produtos!$H:$H,MATCH(L1255,[1]Produtos!$B:$B,0)), "-")</f>
        <v>-</v>
      </c>
      <c r="R1255" s="270" t="str">
        <f>IFERROR(INDEX([1]Produtos!$I:$I,MATCH(L1255,[1]Produtos!$B:$B,0)), "-")</f>
        <v>-</v>
      </c>
      <c r="S1255" s="270" t="str">
        <f>IFERROR(INDEX([1]Produtos!$J:$J,MATCH(L1255,[1]Produtos!$B:$B,0)), "-")</f>
        <v>-</v>
      </c>
      <c r="T1255" s="475"/>
      <c r="U1255" s="270"/>
      <c r="V1255" s="270"/>
      <c r="W1255" s="270"/>
      <c r="X1255" s="270"/>
      <c r="Y1255" s="270"/>
      <c r="Z1255" s="270"/>
      <c r="AA1255" s="270"/>
      <c r="AB1255" s="270"/>
      <c r="AC1255" s="270"/>
      <c r="AD1255" s="270"/>
      <c r="AE1255" s="270"/>
      <c r="AF1255" s="270"/>
      <c r="AG1255" s="270"/>
      <c r="AH1255" s="270"/>
      <c r="AI1255" s="270"/>
      <c r="AJ1255" s="270"/>
      <c r="AK1255" s="270"/>
      <c r="AL1255" s="270"/>
      <c r="AM1255" s="663"/>
      <c r="AN1255" s="663"/>
      <c r="AO1255" s="708" t="str">
        <f>IF(OR(Table1[[#This Row],[Início Setup Envase]]="",Table1[[#This Row],[Final Setup Envase]]=""),"",Table1[[#This Row],[Final Setup Envase]]-Table1[[#This Row],[Início Setup Envase]])</f>
        <v/>
      </c>
      <c r="AP1255" s="663"/>
      <c r="AQ1255" s="663"/>
      <c r="AR1255" s="270"/>
      <c r="AS1255" s="674"/>
      <c r="AT1255" s="674"/>
      <c r="AU1255" s="270"/>
      <c r="AV1255" s="270"/>
      <c r="AW1255" s="270"/>
      <c r="AX1255" s="270"/>
      <c r="AY1255" s="270"/>
      <c r="AZ1255" s="270"/>
      <c r="BA1255" s="270" t="str">
        <f>IF(Table1[[#This Row],[Data de Início]]="","",YEAR(Table1[[#This Row],[Data de Início]]))</f>
        <v/>
      </c>
      <c r="BB1255" s="270" t="str">
        <f>IF(Table1[[#This Row],[Data de Início]]="","",MONTH(Table1[[#This Row],[Data de Início]]))</f>
        <v/>
      </c>
      <c r="BC1255" s="483"/>
    </row>
    <row r="1256" spans="2:55" x14ac:dyDescent="0.25">
      <c r="B1256" s="470"/>
      <c r="C1256" s="263"/>
      <c r="D1256" s="477" cm="1">
        <f t="array" ref="D1256">IFERROR(HorasUteisFabrica2Turnos(B1256,C1256), "")</f>
        <v>0</v>
      </c>
      <c r="E1256" s="478" t="str">
        <f t="shared" si="20"/>
        <v/>
      </c>
      <c r="F1256" s="266"/>
      <c r="G1256" s="656"/>
      <c r="H1256" s="479"/>
      <c r="I1256" s="268"/>
      <c r="J1256" s="268"/>
      <c r="K1256" s="268"/>
      <c r="L1256" s="269"/>
      <c r="M1256" s="511" t="str">
        <f>IFERROR(INDEX([1]Produtos!$C:$C,MATCH(L1256,[1]Produtos!$B:$B,0)), "-")</f>
        <v>-</v>
      </c>
      <c r="N1256" s="511" t="str">
        <f>IFERROR(INDEX([1]Produtos!$E:$E,MATCH(L1256,[1]Produtos!$B:$B,0)), "-")</f>
        <v>-</v>
      </c>
      <c r="O1256" s="483" t="str">
        <f>IFERROR(INDEX([1]Produtos!$F:$F,MATCH(L1256,[1]Produtos!$B:$B,0)), "-")</f>
        <v>-</v>
      </c>
      <c r="P1256" s="477" t="str">
        <f>IFERROR(INDEX([1]Produtos!$G:$G,MATCH(L1256,[1]Produtos!$B:$B,0)), "-")</f>
        <v>-</v>
      </c>
      <c r="Q1256" s="483" t="str">
        <f>IFERROR(INDEX([1]Produtos!$H:$H,MATCH(L1256,[1]Produtos!$B:$B,0)), "-")</f>
        <v>-</v>
      </c>
      <c r="R1256" s="483" t="str">
        <f>IFERROR(INDEX([1]Produtos!$I:$I,MATCH(L1256,[1]Produtos!$B:$B,0)), "-")</f>
        <v>-</v>
      </c>
      <c r="S1256" s="483" t="str">
        <f>IFERROR(INDEX([1]Produtos!$J:$J,MATCH(L1256,[1]Produtos!$B:$B,0)), "-")</f>
        <v>-</v>
      </c>
      <c r="T1256" s="484"/>
      <c r="U1256" s="483"/>
      <c r="V1256" s="483"/>
      <c r="W1256" s="483"/>
      <c r="X1256" s="483"/>
      <c r="Y1256" s="483"/>
      <c r="Z1256" s="483"/>
      <c r="AA1256" s="483"/>
      <c r="AB1256" s="483"/>
      <c r="AC1256" s="483"/>
      <c r="AD1256" s="483"/>
      <c r="AE1256" s="483"/>
      <c r="AF1256" s="483"/>
      <c r="AG1256" s="483"/>
      <c r="AH1256" s="483"/>
      <c r="AI1256" s="483"/>
      <c r="AJ1256" s="483"/>
      <c r="AK1256" s="483"/>
      <c r="AL1256" s="483"/>
      <c r="AM1256" s="670"/>
      <c r="AN1256" s="670"/>
      <c r="AO1256" s="711" t="str">
        <f>IF(OR(Table1[[#This Row],[Início Setup Envase]]="",Table1[[#This Row],[Final Setup Envase]]=""),"",Table1[[#This Row],[Final Setup Envase]]-Table1[[#This Row],[Início Setup Envase]])</f>
        <v/>
      </c>
      <c r="AP1256" s="670"/>
      <c r="AQ1256" s="670"/>
      <c r="AR1256" s="483"/>
      <c r="AS1256" s="483"/>
      <c r="AT1256" s="483"/>
      <c r="AU1256" s="483"/>
      <c r="AV1256" s="483"/>
      <c r="AW1256" s="483"/>
      <c r="AX1256" s="483"/>
      <c r="AY1256" s="270"/>
      <c r="AZ1256" s="270"/>
      <c r="BA1256" s="270" t="str">
        <f>IF(Table1[[#This Row],[Data de Início]]="","",YEAR(Table1[[#This Row],[Data de Início]]))</f>
        <v/>
      </c>
      <c r="BB1256" s="270" t="str">
        <f>IF(Table1[[#This Row],[Data de Início]]="","",MONTH(Table1[[#This Row],[Data de Início]]))</f>
        <v/>
      </c>
      <c r="BC1256" s="270"/>
    </row>
    <row r="1257" spans="2:55" x14ac:dyDescent="0.25">
      <c r="B1257" s="470"/>
      <c r="C1257" s="263"/>
      <c r="D1257" s="477" cm="1">
        <f t="array" ref="D1257">IFERROR(HorasUteisFabrica2Turnos(B1257,C1257), "")</f>
        <v>0</v>
      </c>
      <c r="E1257" s="697" t="str">
        <f t="shared" si="20"/>
        <v/>
      </c>
      <c r="F1257" s="266"/>
      <c r="G1257" s="698"/>
      <c r="H1257" s="266"/>
      <c r="I1257" s="268"/>
      <c r="J1257" s="268"/>
      <c r="K1257" s="268"/>
      <c r="L1257" s="269"/>
      <c r="M1257" s="510" t="str">
        <f>IFERROR(INDEX([1]Produtos!$C:$C,MATCH(L1257,[1]Produtos!$B:$B,0)), "-")</f>
        <v>-</v>
      </c>
      <c r="N1257" s="510" t="str">
        <f>IFERROR(INDEX([1]Produtos!$E:$E,MATCH(L1257,[1]Produtos!$B:$B,0)), "-")</f>
        <v>-</v>
      </c>
      <c r="O1257" s="270" t="str">
        <f>IFERROR(INDEX([1]Produtos!$F:$F,MATCH(L1257,[1]Produtos!$B:$B,0)), "-")</f>
        <v>-</v>
      </c>
      <c r="P1257" s="264" t="str">
        <f>IFERROR(INDEX([1]Produtos!$G:$G,MATCH(L1257,[1]Produtos!$B:$B,0)), "-")</f>
        <v>-</v>
      </c>
      <c r="Q1257" s="270" t="str">
        <f>IFERROR(INDEX([1]Produtos!$H:$H,MATCH(L1257,[1]Produtos!$B:$B,0)), "-")</f>
        <v>-</v>
      </c>
      <c r="R1257" s="270" t="str">
        <f>IFERROR(INDEX([1]Produtos!$I:$I,MATCH(L1257,[1]Produtos!$B:$B,0)), "-")</f>
        <v>-</v>
      </c>
      <c r="S1257" s="270" t="str">
        <f>IFERROR(INDEX([1]Produtos!$J:$J,MATCH(L1257,[1]Produtos!$B:$B,0)), "-")</f>
        <v>-</v>
      </c>
      <c r="T1257" s="475"/>
      <c r="U1257" s="270"/>
      <c r="V1257" s="270"/>
      <c r="W1257" s="270"/>
      <c r="X1257" s="270"/>
      <c r="Y1257" s="270"/>
      <c r="Z1257" s="270"/>
      <c r="AA1257" s="270"/>
      <c r="AB1257" s="270"/>
      <c r="AC1257" s="270"/>
      <c r="AD1257" s="270"/>
      <c r="AE1257" s="270"/>
      <c r="AF1257" s="270"/>
      <c r="AG1257" s="270"/>
      <c r="AH1257" s="270"/>
      <c r="AI1257" s="270"/>
      <c r="AJ1257" s="270"/>
      <c r="AK1257" s="270"/>
      <c r="AL1257" s="270"/>
      <c r="AM1257" s="663"/>
      <c r="AN1257" s="663"/>
      <c r="AO1257" s="708" t="str">
        <f>IF(OR(Table1[[#This Row],[Início Setup Envase]]="",Table1[[#This Row],[Final Setup Envase]]=""),"",Table1[[#This Row],[Final Setup Envase]]-Table1[[#This Row],[Início Setup Envase]])</f>
        <v/>
      </c>
      <c r="AP1257" s="663"/>
      <c r="AQ1257" s="663"/>
      <c r="AR1257" s="270"/>
      <c r="AS1257" s="674"/>
      <c r="AT1257" s="674"/>
      <c r="AU1257" s="270"/>
      <c r="AV1257" s="270"/>
      <c r="AW1257" s="270"/>
      <c r="AX1257" s="270"/>
      <c r="AY1257" s="270"/>
      <c r="AZ1257" s="270"/>
      <c r="BA1257" s="270" t="str">
        <f>IF(Table1[[#This Row],[Data de Início]]="","",YEAR(Table1[[#This Row],[Data de Início]]))</f>
        <v/>
      </c>
      <c r="BB1257" s="270" t="str">
        <f>IF(Table1[[#This Row],[Data de Início]]="","",MONTH(Table1[[#This Row],[Data de Início]]))</f>
        <v/>
      </c>
      <c r="BC1257" s="483"/>
    </row>
    <row r="1258" spans="2:55" x14ac:dyDescent="0.25">
      <c r="B1258" s="470"/>
      <c r="C1258" s="263"/>
      <c r="D1258" s="477" cm="1">
        <f t="array" ref="D1258">IFERROR(HorasUteisFabrica2Turnos(B1258,C1258), "")</f>
        <v>0</v>
      </c>
      <c r="E1258" s="478" t="str">
        <f t="shared" si="20"/>
        <v/>
      </c>
      <c r="F1258" s="266"/>
      <c r="G1258" s="656"/>
      <c r="H1258" s="479"/>
      <c r="I1258" s="268"/>
      <c r="J1258" s="268"/>
      <c r="K1258" s="268"/>
      <c r="L1258" s="269"/>
      <c r="M1258" s="511" t="str">
        <f>IFERROR(INDEX([1]Produtos!$C:$C,MATCH(L1258,[1]Produtos!$B:$B,0)), "-")</f>
        <v>-</v>
      </c>
      <c r="N1258" s="511" t="str">
        <f>IFERROR(INDEX([1]Produtos!$E:$E,MATCH(L1258,[1]Produtos!$B:$B,0)), "-")</f>
        <v>-</v>
      </c>
      <c r="O1258" s="483" t="str">
        <f>IFERROR(INDEX([1]Produtos!$F:$F,MATCH(L1258,[1]Produtos!$B:$B,0)), "-")</f>
        <v>-</v>
      </c>
      <c r="P1258" s="477" t="str">
        <f>IFERROR(INDEX([1]Produtos!$G:$G,MATCH(L1258,[1]Produtos!$B:$B,0)), "-")</f>
        <v>-</v>
      </c>
      <c r="Q1258" s="483" t="str">
        <f>IFERROR(INDEX([1]Produtos!$H:$H,MATCH(L1258,[1]Produtos!$B:$B,0)), "-")</f>
        <v>-</v>
      </c>
      <c r="R1258" s="483" t="str">
        <f>IFERROR(INDEX([1]Produtos!$I:$I,MATCH(L1258,[1]Produtos!$B:$B,0)), "-")</f>
        <v>-</v>
      </c>
      <c r="S1258" s="483" t="str">
        <f>IFERROR(INDEX([1]Produtos!$J:$J,MATCH(L1258,[1]Produtos!$B:$B,0)), "-")</f>
        <v>-</v>
      </c>
      <c r="T1258" s="484"/>
      <c r="U1258" s="483"/>
      <c r="V1258" s="483"/>
      <c r="W1258" s="483"/>
      <c r="X1258" s="483"/>
      <c r="Y1258" s="483"/>
      <c r="Z1258" s="483"/>
      <c r="AA1258" s="483"/>
      <c r="AB1258" s="483"/>
      <c r="AC1258" s="483"/>
      <c r="AD1258" s="483"/>
      <c r="AE1258" s="483"/>
      <c r="AF1258" s="483"/>
      <c r="AG1258" s="483"/>
      <c r="AH1258" s="483"/>
      <c r="AI1258" s="483"/>
      <c r="AJ1258" s="483"/>
      <c r="AK1258" s="483"/>
      <c r="AL1258" s="483"/>
      <c r="AM1258" s="670"/>
      <c r="AN1258" s="670"/>
      <c r="AO1258" s="711" t="str">
        <f>IF(OR(Table1[[#This Row],[Início Setup Envase]]="",Table1[[#This Row],[Final Setup Envase]]=""),"",Table1[[#This Row],[Final Setup Envase]]-Table1[[#This Row],[Início Setup Envase]])</f>
        <v/>
      </c>
      <c r="AP1258" s="670"/>
      <c r="AQ1258" s="670"/>
      <c r="AR1258" s="483"/>
      <c r="AS1258" s="483"/>
      <c r="AT1258" s="483"/>
      <c r="AU1258" s="483"/>
      <c r="AV1258" s="483"/>
      <c r="AW1258" s="483"/>
      <c r="AX1258" s="483"/>
      <c r="AY1258" s="270"/>
      <c r="AZ1258" s="270"/>
      <c r="BA1258" s="270" t="str">
        <f>IF(Table1[[#This Row],[Data de Início]]="","",YEAR(Table1[[#This Row],[Data de Início]]))</f>
        <v/>
      </c>
      <c r="BB1258" s="270" t="str">
        <f>IF(Table1[[#This Row],[Data de Início]]="","",MONTH(Table1[[#This Row],[Data de Início]]))</f>
        <v/>
      </c>
      <c r="BC1258" s="270"/>
    </row>
    <row r="1259" spans="2:55" x14ac:dyDescent="0.25">
      <c r="B1259" s="470"/>
      <c r="C1259" s="263"/>
      <c r="D1259" s="477" cm="1">
        <f t="array" ref="D1259">IFERROR(HorasUteisFabrica2Turnos(B1259,C1259), "")</f>
        <v>0</v>
      </c>
      <c r="E1259" s="697" t="str">
        <f t="shared" si="20"/>
        <v/>
      </c>
      <c r="F1259" s="266"/>
      <c r="G1259" s="698"/>
      <c r="H1259" s="266"/>
      <c r="I1259" s="268"/>
      <c r="J1259" s="268"/>
      <c r="K1259" s="268"/>
      <c r="L1259" s="269"/>
      <c r="M1259" s="510" t="str">
        <f>IFERROR(INDEX([1]Produtos!$C:$C,MATCH(L1259,[1]Produtos!$B:$B,0)), "-")</f>
        <v>-</v>
      </c>
      <c r="N1259" s="510" t="str">
        <f>IFERROR(INDEX([1]Produtos!$E:$E,MATCH(L1259,[1]Produtos!$B:$B,0)), "-")</f>
        <v>-</v>
      </c>
      <c r="O1259" s="270" t="str">
        <f>IFERROR(INDEX([1]Produtos!$F:$F,MATCH(L1259,[1]Produtos!$B:$B,0)), "-")</f>
        <v>-</v>
      </c>
      <c r="P1259" s="264" t="str">
        <f>IFERROR(INDEX([1]Produtos!$G:$G,MATCH(L1259,[1]Produtos!$B:$B,0)), "-")</f>
        <v>-</v>
      </c>
      <c r="Q1259" s="270" t="str">
        <f>IFERROR(INDEX([1]Produtos!$H:$H,MATCH(L1259,[1]Produtos!$B:$B,0)), "-")</f>
        <v>-</v>
      </c>
      <c r="R1259" s="270" t="str">
        <f>IFERROR(INDEX([1]Produtos!$I:$I,MATCH(L1259,[1]Produtos!$B:$B,0)), "-")</f>
        <v>-</v>
      </c>
      <c r="S1259" s="270" t="str">
        <f>IFERROR(INDEX([1]Produtos!$J:$J,MATCH(L1259,[1]Produtos!$B:$B,0)), "-")</f>
        <v>-</v>
      </c>
      <c r="T1259" s="475"/>
      <c r="U1259" s="270"/>
      <c r="V1259" s="270"/>
      <c r="W1259" s="270"/>
      <c r="X1259" s="270"/>
      <c r="Y1259" s="270"/>
      <c r="Z1259" s="270"/>
      <c r="AA1259" s="270"/>
      <c r="AB1259" s="270"/>
      <c r="AC1259" s="270"/>
      <c r="AD1259" s="270"/>
      <c r="AE1259" s="270"/>
      <c r="AF1259" s="270"/>
      <c r="AG1259" s="270"/>
      <c r="AH1259" s="270"/>
      <c r="AI1259" s="270"/>
      <c r="AJ1259" s="270"/>
      <c r="AK1259" s="270"/>
      <c r="AL1259" s="270"/>
      <c r="AM1259" s="663"/>
      <c r="AN1259" s="663"/>
      <c r="AO1259" s="708" t="str">
        <f>IF(OR(Table1[[#This Row],[Início Setup Envase]]="",Table1[[#This Row],[Final Setup Envase]]=""),"",Table1[[#This Row],[Final Setup Envase]]-Table1[[#This Row],[Início Setup Envase]])</f>
        <v/>
      </c>
      <c r="AP1259" s="663"/>
      <c r="AQ1259" s="663"/>
      <c r="AR1259" s="270"/>
      <c r="AS1259" s="674"/>
      <c r="AT1259" s="674"/>
      <c r="AU1259" s="270"/>
      <c r="AV1259" s="270"/>
      <c r="AW1259" s="270"/>
      <c r="AX1259" s="270"/>
      <c r="AY1259" s="270"/>
      <c r="AZ1259" s="270"/>
      <c r="BA1259" s="270" t="str">
        <f>IF(Table1[[#This Row],[Data de Início]]="","",YEAR(Table1[[#This Row],[Data de Início]]))</f>
        <v/>
      </c>
      <c r="BB1259" s="270" t="str">
        <f>IF(Table1[[#This Row],[Data de Início]]="","",MONTH(Table1[[#This Row],[Data de Início]]))</f>
        <v/>
      </c>
      <c r="BC1259" s="483"/>
    </row>
    <row r="1260" spans="2:55" x14ac:dyDescent="0.25">
      <c r="B1260" s="470"/>
      <c r="C1260" s="263"/>
      <c r="D1260" s="477" cm="1">
        <f t="array" ref="D1260">IFERROR(HorasUteisFabrica2Turnos(B1260,C1260), "")</f>
        <v>0</v>
      </c>
      <c r="E1260" s="478" t="str">
        <f t="shared" si="20"/>
        <v/>
      </c>
      <c r="F1260" s="266"/>
      <c r="G1260" s="656"/>
      <c r="H1260" s="479"/>
      <c r="I1260" s="268"/>
      <c r="J1260" s="268"/>
      <c r="K1260" s="268"/>
      <c r="L1260" s="269"/>
      <c r="M1260" s="511" t="str">
        <f>IFERROR(INDEX([1]Produtos!$C:$C,MATCH(L1260,[1]Produtos!$B:$B,0)), "-")</f>
        <v>-</v>
      </c>
      <c r="N1260" s="511" t="str">
        <f>IFERROR(INDEX([1]Produtos!$E:$E,MATCH(L1260,[1]Produtos!$B:$B,0)), "-")</f>
        <v>-</v>
      </c>
      <c r="O1260" s="483" t="str">
        <f>IFERROR(INDEX([1]Produtos!$F:$F,MATCH(L1260,[1]Produtos!$B:$B,0)), "-")</f>
        <v>-</v>
      </c>
      <c r="P1260" s="477" t="str">
        <f>IFERROR(INDEX([1]Produtos!$G:$G,MATCH(L1260,[1]Produtos!$B:$B,0)), "-")</f>
        <v>-</v>
      </c>
      <c r="Q1260" s="483" t="str">
        <f>IFERROR(INDEX([1]Produtos!$H:$H,MATCH(L1260,[1]Produtos!$B:$B,0)), "-")</f>
        <v>-</v>
      </c>
      <c r="R1260" s="483" t="str">
        <f>IFERROR(INDEX([1]Produtos!$I:$I,MATCH(L1260,[1]Produtos!$B:$B,0)), "-")</f>
        <v>-</v>
      </c>
      <c r="S1260" s="483" t="str">
        <f>IFERROR(INDEX([1]Produtos!$J:$J,MATCH(L1260,[1]Produtos!$B:$B,0)), "-")</f>
        <v>-</v>
      </c>
      <c r="T1260" s="484"/>
      <c r="U1260" s="483"/>
      <c r="V1260" s="483"/>
      <c r="W1260" s="483"/>
      <c r="X1260" s="483"/>
      <c r="Y1260" s="483"/>
      <c r="Z1260" s="483"/>
      <c r="AA1260" s="483"/>
      <c r="AB1260" s="483"/>
      <c r="AC1260" s="483"/>
      <c r="AD1260" s="483"/>
      <c r="AE1260" s="483"/>
      <c r="AF1260" s="483"/>
      <c r="AG1260" s="483"/>
      <c r="AH1260" s="483"/>
      <c r="AI1260" s="483"/>
      <c r="AJ1260" s="483"/>
      <c r="AK1260" s="483"/>
      <c r="AL1260" s="483"/>
      <c r="AM1260" s="670"/>
      <c r="AN1260" s="670"/>
      <c r="AO1260" s="711" t="str">
        <f>IF(OR(Table1[[#This Row],[Início Setup Envase]]="",Table1[[#This Row],[Final Setup Envase]]=""),"",Table1[[#This Row],[Final Setup Envase]]-Table1[[#This Row],[Início Setup Envase]])</f>
        <v/>
      </c>
      <c r="AP1260" s="670"/>
      <c r="AQ1260" s="670"/>
      <c r="AR1260" s="483"/>
      <c r="AS1260" s="483"/>
      <c r="AT1260" s="483"/>
      <c r="AU1260" s="483"/>
      <c r="AV1260" s="483"/>
      <c r="AW1260" s="483"/>
      <c r="AX1260" s="483"/>
      <c r="AY1260" s="270"/>
      <c r="AZ1260" s="270"/>
      <c r="BA1260" s="270" t="str">
        <f>IF(Table1[[#This Row],[Data de Início]]="","",YEAR(Table1[[#This Row],[Data de Início]]))</f>
        <v/>
      </c>
      <c r="BB1260" s="270" t="str">
        <f>IF(Table1[[#This Row],[Data de Início]]="","",MONTH(Table1[[#This Row],[Data de Início]]))</f>
        <v/>
      </c>
      <c r="BC1260" s="270"/>
    </row>
    <row r="1261" spans="2:55" x14ac:dyDescent="0.25">
      <c r="B1261" s="470"/>
      <c r="C1261" s="263"/>
      <c r="D1261" s="477" cm="1">
        <f t="array" ref="D1261">IFERROR(HorasUteisFabrica2Turnos(B1261,C1261), "")</f>
        <v>0</v>
      </c>
      <c r="E1261" s="697" t="str">
        <f t="shared" si="20"/>
        <v/>
      </c>
      <c r="F1261" s="266"/>
      <c r="G1261" s="698"/>
      <c r="H1261" s="266"/>
      <c r="I1261" s="268"/>
      <c r="J1261" s="268"/>
      <c r="K1261" s="268"/>
      <c r="L1261" s="269"/>
      <c r="M1261" s="510" t="str">
        <f>IFERROR(INDEX([1]Produtos!$C:$C,MATCH(L1261,[1]Produtos!$B:$B,0)), "-")</f>
        <v>-</v>
      </c>
      <c r="N1261" s="510" t="str">
        <f>IFERROR(INDEX([1]Produtos!$E:$E,MATCH(L1261,[1]Produtos!$B:$B,0)), "-")</f>
        <v>-</v>
      </c>
      <c r="O1261" s="270" t="str">
        <f>IFERROR(INDEX([1]Produtos!$F:$F,MATCH(L1261,[1]Produtos!$B:$B,0)), "-")</f>
        <v>-</v>
      </c>
      <c r="P1261" s="264" t="str">
        <f>IFERROR(INDEX([1]Produtos!$G:$G,MATCH(L1261,[1]Produtos!$B:$B,0)), "-")</f>
        <v>-</v>
      </c>
      <c r="Q1261" s="270" t="str">
        <f>IFERROR(INDEX([1]Produtos!$H:$H,MATCH(L1261,[1]Produtos!$B:$B,0)), "-")</f>
        <v>-</v>
      </c>
      <c r="R1261" s="270" t="str">
        <f>IFERROR(INDEX([1]Produtos!$I:$I,MATCH(L1261,[1]Produtos!$B:$B,0)), "-")</f>
        <v>-</v>
      </c>
      <c r="S1261" s="270" t="str">
        <f>IFERROR(INDEX([1]Produtos!$J:$J,MATCH(L1261,[1]Produtos!$B:$B,0)), "-")</f>
        <v>-</v>
      </c>
      <c r="T1261" s="475"/>
      <c r="U1261" s="270"/>
      <c r="V1261" s="270"/>
      <c r="W1261" s="270"/>
      <c r="X1261" s="270"/>
      <c r="Y1261" s="270"/>
      <c r="Z1261" s="270"/>
      <c r="AA1261" s="270"/>
      <c r="AB1261" s="270"/>
      <c r="AC1261" s="270"/>
      <c r="AD1261" s="270"/>
      <c r="AE1261" s="270"/>
      <c r="AF1261" s="270"/>
      <c r="AG1261" s="270"/>
      <c r="AH1261" s="270"/>
      <c r="AI1261" s="270"/>
      <c r="AJ1261" s="270"/>
      <c r="AK1261" s="270"/>
      <c r="AL1261" s="270"/>
      <c r="AM1261" s="663"/>
      <c r="AN1261" s="663"/>
      <c r="AO1261" s="708" t="str">
        <f>IF(OR(Table1[[#This Row],[Início Setup Envase]]="",Table1[[#This Row],[Final Setup Envase]]=""),"",Table1[[#This Row],[Final Setup Envase]]-Table1[[#This Row],[Início Setup Envase]])</f>
        <v/>
      </c>
      <c r="AP1261" s="663"/>
      <c r="AQ1261" s="663"/>
      <c r="AR1261" s="270"/>
      <c r="AS1261" s="674"/>
      <c r="AT1261" s="674"/>
      <c r="AU1261" s="270"/>
      <c r="AV1261" s="270"/>
      <c r="AW1261" s="270"/>
      <c r="AX1261" s="270"/>
      <c r="AY1261" s="270"/>
      <c r="AZ1261" s="270"/>
      <c r="BA1261" s="270" t="str">
        <f>IF(Table1[[#This Row],[Data de Início]]="","",YEAR(Table1[[#This Row],[Data de Início]]))</f>
        <v/>
      </c>
      <c r="BB1261" s="270" t="str">
        <f>IF(Table1[[#This Row],[Data de Início]]="","",MONTH(Table1[[#This Row],[Data de Início]]))</f>
        <v/>
      </c>
      <c r="BC1261" s="483"/>
    </row>
    <row r="1262" spans="2:55" x14ac:dyDescent="0.25">
      <c r="B1262" s="470"/>
      <c r="C1262" s="263"/>
      <c r="D1262" s="477" cm="1">
        <f t="array" ref="D1262">IFERROR(HorasUteisFabrica2Turnos(B1262,C1262), "")</f>
        <v>0</v>
      </c>
      <c r="E1262" s="478" t="str">
        <f t="shared" si="20"/>
        <v/>
      </c>
      <c r="F1262" s="266"/>
      <c r="G1262" s="656"/>
      <c r="H1262" s="479"/>
      <c r="I1262" s="268"/>
      <c r="J1262" s="268"/>
      <c r="K1262" s="268"/>
      <c r="L1262" s="269"/>
      <c r="M1262" s="511" t="str">
        <f>IFERROR(INDEX([1]Produtos!$C:$C,MATCH(L1262,[1]Produtos!$B:$B,0)), "-")</f>
        <v>-</v>
      </c>
      <c r="N1262" s="511" t="str">
        <f>IFERROR(INDEX([1]Produtos!$E:$E,MATCH(L1262,[1]Produtos!$B:$B,0)), "-")</f>
        <v>-</v>
      </c>
      <c r="O1262" s="483" t="str">
        <f>IFERROR(INDEX([1]Produtos!$F:$F,MATCH(L1262,[1]Produtos!$B:$B,0)), "-")</f>
        <v>-</v>
      </c>
      <c r="P1262" s="477" t="str">
        <f>IFERROR(INDEX([1]Produtos!$G:$G,MATCH(L1262,[1]Produtos!$B:$B,0)), "-")</f>
        <v>-</v>
      </c>
      <c r="Q1262" s="483" t="str">
        <f>IFERROR(INDEX([1]Produtos!$H:$H,MATCH(L1262,[1]Produtos!$B:$B,0)), "-")</f>
        <v>-</v>
      </c>
      <c r="R1262" s="483" t="str">
        <f>IFERROR(INDEX([1]Produtos!$I:$I,MATCH(L1262,[1]Produtos!$B:$B,0)), "-")</f>
        <v>-</v>
      </c>
      <c r="S1262" s="483" t="str">
        <f>IFERROR(INDEX([1]Produtos!$J:$J,MATCH(L1262,[1]Produtos!$B:$B,0)), "-")</f>
        <v>-</v>
      </c>
      <c r="T1262" s="484"/>
      <c r="U1262" s="483"/>
      <c r="V1262" s="483"/>
      <c r="W1262" s="483"/>
      <c r="X1262" s="483"/>
      <c r="Y1262" s="483"/>
      <c r="Z1262" s="483"/>
      <c r="AA1262" s="483"/>
      <c r="AB1262" s="483"/>
      <c r="AC1262" s="483"/>
      <c r="AD1262" s="483"/>
      <c r="AE1262" s="483"/>
      <c r="AF1262" s="483"/>
      <c r="AG1262" s="483"/>
      <c r="AH1262" s="483"/>
      <c r="AI1262" s="483"/>
      <c r="AJ1262" s="483"/>
      <c r="AK1262" s="483"/>
      <c r="AL1262" s="483"/>
      <c r="AM1262" s="670"/>
      <c r="AN1262" s="670"/>
      <c r="AO1262" s="711" t="str">
        <f>IF(OR(Table1[[#This Row],[Início Setup Envase]]="",Table1[[#This Row],[Final Setup Envase]]=""),"",Table1[[#This Row],[Final Setup Envase]]-Table1[[#This Row],[Início Setup Envase]])</f>
        <v/>
      </c>
      <c r="AP1262" s="670"/>
      <c r="AQ1262" s="670"/>
      <c r="AR1262" s="483"/>
      <c r="AS1262" s="483"/>
      <c r="AT1262" s="483"/>
      <c r="AU1262" s="483"/>
      <c r="AV1262" s="483"/>
      <c r="AW1262" s="483"/>
      <c r="AX1262" s="483"/>
      <c r="AY1262" s="270"/>
      <c r="AZ1262" s="270"/>
      <c r="BA1262" s="270" t="str">
        <f>IF(Table1[[#This Row],[Data de Início]]="","",YEAR(Table1[[#This Row],[Data de Início]]))</f>
        <v/>
      </c>
      <c r="BB1262" s="270" t="str">
        <f>IF(Table1[[#This Row],[Data de Início]]="","",MONTH(Table1[[#This Row],[Data de Início]]))</f>
        <v/>
      </c>
      <c r="BC1262" s="270"/>
    </row>
    <row r="1263" spans="2:55" x14ac:dyDescent="0.25">
      <c r="B1263" s="470"/>
      <c r="C1263" s="263"/>
      <c r="D1263" s="477" cm="1">
        <f t="array" ref="D1263">IFERROR(HorasUteisFabrica2Turnos(B1263,C1263), "")</f>
        <v>0</v>
      </c>
      <c r="E1263" s="697" t="str">
        <f t="shared" si="20"/>
        <v/>
      </c>
      <c r="F1263" s="266"/>
      <c r="G1263" s="698"/>
      <c r="H1263" s="266"/>
      <c r="I1263" s="268"/>
      <c r="J1263" s="268"/>
      <c r="K1263" s="268"/>
      <c r="L1263" s="269"/>
      <c r="M1263" s="510" t="str">
        <f>IFERROR(INDEX([1]Produtos!$C:$C,MATCH(L1263,[1]Produtos!$B:$B,0)), "-")</f>
        <v>-</v>
      </c>
      <c r="N1263" s="510" t="str">
        <f>IFERROR(INDEX([1]Produtos!$E:$E,MATCH(L1263,[1]Produtos!$B:$B,0)), "-")</f>
        <v>-</v>
      </c>
      <c r="O1263" s="270" t="str">
        <f>IFERROR(INDEX([1]Produtos!$F:$F,MATCH(L1263,[1]Produtos!$B:$B,0)), "-")</f>
        <v>-</v>
      </c>
      <c r="P1263" s="264" t="str">
        <f>IFERROR(INDEX([1]Produtos!$G:$G,MATCH(L1263,[1]Produtos!$B:$B,0)), "-")</f>
        <v>-</v>
      </c>
      <c r="Q1263" s="270" t="str">
        <f>IFERROR(INDEX([1]Produtos!$H:$H,MATCH(L1263,[1]Produtos!$B:$B,0)), "-")</f>
        <v>-</v>
      </c>
      <c r="R1263" s="270" t="str">
        <f>IFERROR(INDEX([1]Produtos!$I:$I,MATCH(L1263,[1]Produtos!$B:$B,0)), "-")</f>
        <v>-</v>
      </c>
      <c r="S1263" s="270" t="str">
        <f>IFERROR(INDEX([1]Produtos!$J:$J,MATCH(L1263,[1]Produtos!$B:$B,0)), "-")</f>
        <v>-</v>
      </c>
      <c r="T1263" s="475"/>
      <c r="U1263" s="270"/>
      <c r="V1263" s="270"/>
      <c r="W1263" s="270"/>
      <c r="X1263" s="270"/>
      <c r="Y1263" s="270"/>
      <c r="Z1263" s="270"/>
      <c r="AA1263" s="270"/>
      <c r="AB1263" s="270"/>
      <c r="AC1263" s="270"/>
      <c r="AD1263" s="270"/>
      <c r="AE1263" s="270"/>
      <c r="AF1263" s="270"/>
      <c r="AG1263" s="270"/>
      <c r="AH1263" s="270"/>
      <c r="AI1263" s="270"/>
      <c r="AJ1263" s="270"/>
      <c r="AK1263" s="270"/>
      <c r="AL1263" s="270"/>
      <c r="AM1263" s="663"/>
      <c r="AN1263" s="663"/>
      <c r="AO1263" s="708" t="str">
        <f>IF(OR(Table1[[#This Row],[Início Setup Envase]]="",Table1[[#This Row],[Final Setup Envase]]=""),"",Table1[[#This Row],[Final Setup Envase]]-Table1[[#This Row],[Início Setup Envase]])</f>
        <v/>
      </c>
      <c r="AP1263" s="663"/>
      <c r="AQ1263" s="663"/>
      <c r="AR1263" s="270"/>
      <c r="AS1263" s="674"/>
      <c r="AT1263" s="674"/>
      <c r="AU1263" s="270"/>
      <c r="AV1263" s="270"/>
      <c r="AW1263" s="270"/>
      <c r="AX1263" s="270"/>
      <c r="AY1263" s="270"/>
      <c r="AZ1263" s="270"/>
      <c r="BA1263" s="270" t="str">
        <f>IF(Table1[[#This Row],[Data de Início]]="","",YEAR(Table1[[#This Row],[Data de Início]]))</f>
        <v/>
      </c>
      <c r="BB1263" s="270" t="str">
        <f>IF(Table1[[#This Row],[Data de Início]]="","",MONTH(Table1[[#This Row],[Data de Início]]))</f>
        <v/>
      </c>
      <c r="BC1263" s="483"/>
    </row>
    <row r="1264" spans="2:55" x14ac:dyDescent="0.25">
      <c r="B1264" s="470"/>
      <c r="C1264" s="263"/>
      <c r="D1264" s="477" cm="1">
        <f t="array" ref="D1264">IFERROR(HorasUteisFabrica2Turnos(B1264,C1264), "")</f>
        <v>0</v>
      </c>
      <c r="E1264" s="478" t="str">
        <f t="shared" si="20"/>
        <v/>
      </c>
      <c r="F1264" s="266"/>
      <c r="G1264" s="656"/>
      <c r="H1264" s="479"/>
      <c r="I1264" s="268"/>
      <c r="J1264" s="268"/>
      <c r="K1264" s="268"/>
      <c r="L1264" s="269"/>
      <c r="M1264" s="511" t="str">
        <f>IFERROR(INDEX([1]Produtos!$C:$C,MATCH(L1264,[1]Produtos!$B:$B,0)), "-")</f>
        <v>-</v>
      </c>
      <c r="N1264" s="511" t="str">
        <f>IFERROR(INDEX([1]Produtos!$E:$E,MATCH(L1264,[1]Produtos!$B:$B,0)), "-")</f>
        <v>-</v>
      </c>
      <c r="O1264" s="483" t="str">
        <f>IFERROR(INDEX([1]Produtos!$F:$F,MATCH(L1264,[1]Produtos!$B:$B,0)), "-")</f>
        <v>-</v>
      </c>
      <c r="P1264" s="477" t="str">
        <f>IFERROR(INDEX([1]Produtos!$G:$G,MATCH(L1264,[1]Produtos!$B:$B,0)), "-")</f>
        <v>-</v>
      </c>
      <c r="Q1264" s="483" t="str">
        <f>IFERROR(INDEX([1]Produtos!$H:$H,MATCH(L1264,[1]Produtos!$B:$B,0)), "-")</f>
        <v>-</v>
      </c>
      <c r="R1264" s="483" t="str">
        <f>IFERROR(INDEX([1]Produtos!$I:$I,MATCH(L1264,[1]Produtos!$B:$B,0)), "-")</f>
        <v>-</v>
      </c>
      <c r="S1264" s="483" t="str">
        <f>IFERROR(INDEX([1]Produtos!$J:$J,MATCH(L1264,[1]Produtos!$B:$B,0)), "-")</f>
        <v>-</v>
      </c>
      <c r="T1264" s="484"/>
      <c r="U1264" s="483"/>
      <c r="V1264" s="483"/>
      <c r="W1264" s="483"/>
      <c r="X1264" s="483"/>
      <c r="Y1264" s="483"/>
      <c r="Z1264" s="483"/>
      <c r="AA1264" s="483"/>
      <c r="AB1264" s="483"/>
      <c r="AC1264" s="483"/>
      <c r="AD1264" s="483"/>
      <c r="AE1264" s="483"/>
      <c r="AF1264" s="483"/>
      <c r="AG1264" s="483"/>
      <c r="AH1264" s="483"/>
      <c r="AI1264" s="483"/>
      <c r="AJ1264" s="483"/>
      <c r="AK1264" s="483"/>
      <c r="AL1264" s="483"/>
      <c r="AM1264" s="670"/>
      <c r="AN1264" s="670"/>
      <c r="AO1264" s="711" t="str">
        <f>IF(OR(Table1[[#This Row],[Início Setup Envase]]="",Table1[[#This Row],[Final Setup Envase]]=""),"",Table1[[#This Row],[Final Setup Envase]]-Table1[[#This Row],[Início Setup Envase]])</f>
        <v/>
      </c>
      <c r="AP1264" s="670"/>
      <c r="AQ1264" s="670"/>
      <c r="AR1264" s="483"/>
      <c r="AS1264" s="483"/>
      <c r="AT1264" s="483"/>
      <c r="AU1264" s="483"/>
      <c r="AV1264" s="483"/>
      <c r="AW1264" s="483"/>
      <c r="AX1264" s="483"/>
      <c r="AY1264" s="270"/>
      <c r="AZ1264" s="270"/>
      <c r="BA1264" s="270" t="str">
        <f>IF(Table1[[#This Row],[Data de Início]]="","",YEAR(Table1[[#This Row],[Data de Início]]))</f>
        <v/>
      </c>
      <c r="BB1264" s="270" t="str">
        <f>IF(Table1[[#This Row],[Data de Início]]="","",MONTH(Table1[[#This Row],[Data de Início]]))</f>
        <v/>
      </c>
      <c r="BC1264" s="270"/>
    </row>
    <row r="1265" spans="2:55" x14ac:dyDescent="0.25">
      <c r="B1265" s="470"/>
      <c r="C1265" s="263"/>
      <c r="D1265" s="477" cm="1">
        <f t="array" ref="D1265">IFERROR(HorasUteisFabrica2Turnos(B1265,C1265), "")</f>
        <v>0</v>
      </c>
      <c r="E1265" s="697" t="str">
        <f t="shared" si="20"/>
        <v/>
      </c>
      <c r="F1265" s="266"/>
      <c r="G1265" s="698"/>
      <c r="H1265" s="266"/>
      <c r="I1265" s="268"/>
      <c r="J1265" s="268"/>
      <c r="K1265" s="268"/>
      <c r="L1265" s="269"/>
      <c r="M1265" s="510" t="str">
        <f>IFERROR(INDEX([1]Produtos!$C:$C,MATCH(L1265,[1]Produtos!$B:$B,0)), "-")</f>
        <v>-</v>
      </c>
      <c r="N1265" s="510" t="str">
        <f>IFERROR(INDEX([1]Produtos!$E:$E,MATCH(L1265,[1]Produtos!$B:$B,0)), "-")</f>
        <v>-</v>
      </c>
      <c r="O1265" s="270" t="str">
        <f>IFERROR(INDEX([1]Produtos!$F:$F,MATCH(L1265,[1]Produtos!$B:$B,0)), "-")</f>
        <v>-</v>
      </c>
      <c r="P1265" s="264" t="str">
        <f>IFERROR(INDEX([1]Produtos!$G:$G,MATCH(L1265,[1]Produtos!$B:$B,0)), "-")</f>
        <v>-</v>
      </c>
      <c r="Q1265" s="270" t="str">
        <f>IFERROR(INDEX([1]Produtos!$H:$H,MATCH(L1265,[1]Produtos!$B:$B,0)), "-")</f>
        <v>-</v>
      </c>
      <c r="R1265" s="270" t="str">
        <f>IFERROR(INDEX([1]Produtos!$I:$I,MATCH(L1265,[1]Produtos!$B:$B,0)), "-")</f>
        <v>-</v>
      </c>
      <c r="S1265" s="270" t="str">
        <f>IFERROR(INDEX([1]Produtos!$J:$J,MATCH(L1265,[1]Produtos!$B:$B,0)), "-")</f>
        <v>-</v>
      </c>
      <c r="T1265" s="475"/>
      <c r="U1265" s="270"/>
      <c r="V1265" s="270"/>
      <c r="W1265" s="270"/>
      <c r="X1265" s="270"/>
      <c r="Y1265" s="270"/>
      <c r="Z1265" s="270"/>
      <c r="AA1265" s="270"/>
      <c r="AB1265" s="270"/>
      <c r="AC1265" s="270"/>
      <c r="AD1265" s="270"/>
      <c r="AE1265" s="270"/>
      <c r="AF1265" s="270"/>
      <c r="AG1265" s="270"/>
      <c r="AH1265" s="270"/>
      <c r="AI1265" s="270"/>
      <c r="AJ1265" s="270"/>
      <c r="AK1265" s="270"/>
      <c r="AL1265" s="270"/>
      <c r="AM1265" s="663"/>
      <c r="AN1265" s="663"/>
      <c r="AO1265" s="708" t="str">
        <f>IF(OR(Table1[[#This Row],[Início Setup Envase]]="",Table1[[#This Row],[Final Setup Envase]]=""),"",Table1[[#This Row],[Final Setup Envase]]-Table1[[#This Row],[Início Setup Envase]])</f>
        <v/>
      </c>
      <c r="AP1265" s="663"/>
      <c r="AQ1265" s="663"/>
      <c r="AR1265" s="270"/>
      <c r="AS1265" s="674"/>
      <c r="AT1265" s="674"/>
      <c r="AU1265" s="270"/>
      <c r="AV1265" s="270"/>
      <c r="AW1265" s="270"/>
      <c r="AX1265" s="270"/>
      <c r="AY1265" s="270"/>
      <c r="AZ1265" s="270"/>
      <c r="BA1265" s="270" t="str">
        <f>IF(Table1[[#This Row],[Data de Início]]="","",YEAR(Table1[[#This Row],[Data de Início]]))</f>
        <v/>
      </c>
      <c r="BB1265" s="270" t="str">
        <f>IF(Table1[[#This Row],[Data de Início]]="","",MONTH(Table1[[#This Row],[Data de Início]]))</f>
        <v/>
      </c>
      <c r="BC1265" s="483"/>
    </row>
    <row r="1266" spans="2:55" x14ac:dyDescent="0.25">
      <c r="B1266" s="470"/>
      <c r="C1266" s="263"/>
      <c r="D1266" s="477" cm="1">
        <f t="array" ref="D1266">IFERROR(HorasUteisFabrica2Turnos(B1266,C1266), "")</f>
        <v>0</v>
      </c>
      <c r="E1266" s="478" t="str">
        <f t="shared" si="20"/>
        <v/>
      </c>
      <c r="F1266" s="266"/>
      <c r="G1266" s="656"/>
      <c r="H1266" s="479"/>
      <c r="I1266" s="268"/>
      <c r="J1266" s="268"/>
      <c r="K1266" s="268"/>
      <c r="L1266" s="269"/>
      <c r="M1266" s="511" t="str">
        <f>IFERROR(INDEX([1]Produtos!$C:$C,MATCH(L1266,[1]Produtos!$B:$B,0)), "-")</f>
        <v>-</v>
      </c>
      <c r="N1266" s="511" t="str">
        <f>IFERROR(INDEX([1]Produtos!$E:$E,MATCH(L1266,[1]Produtos!$B:$B,0)), "-")</f>
        <v>-</v>
      </c>
      <c r="O1266" s="483" t="str">
        <f>IFERROR(INDEX([1]Produtos!$F:$F,MATCH(L1266,[1]Produtos!$B:$B,0)), "-")</f>
        <v>-</v>
      </c>
      <c r="P1266" s="477" t="str">
        <f>IFERROR(INDEX([1]Produtos!$G:$G,MATCH(L1266,[1]Produtos!$B:$B,0)), "-")</f>
        <v>-</v>
      </c>
      <c r="Q1266" s="483" t="str">
        <f>IFERROR(INDEX([1]Produtos!$H:$H,MATCH(L1266,[1]Produtos!$B:$B,0)), "-")</f>
        <v>-</v>
      </c>
      <c r="R1266" s="483" t="str">
        <f>IFERROR(INDEX([1]Produtos!$I:$I,MATCH(L1266,[1]Produtos!$B:$B,0)), "-")</f>
        <v>-</v>
      </c>
      <c r="S1266" s="483" t="str">
        <f>IFERROR(INDEX([1]Produtos!$J:$J,MATCH(L1266,[1]Produtos!$B:$B,0)), "-")</f>
        <v>-</v>
      </c>
      <c r="T1266" s="484"/>
      <c r="U1266" s="483"/>
      <c r="V1266" s="483"/>
      <c r="W1266" s="483"/>
      <c r="X1266" s="483"/>
      <c r="Y1266" s="483"/>
      <c r="Z1266" s="483"/>
      <c r="AA1266" s="483"/>
      <c r="AB1266" s="483"/>
      <c r="AC1266" s="483"/>
      <c r="AD1266" s="483"/>
      <c r="AE1266" s="483"/>
      <c r="AF1266" s="483"/>
      <c r="AG1266" s="483"/>
      <c r="AH1266" s="483"/>
      <c r="AI1266" s="483"/>
      <c r="AJ1266" s="483"/>
      <c r="AK1266" s="483"/>
      <c r="AL1266" s="483"/>
      <c r="AM1266" s="670"/>
      <c r="AN1266" s="670"/>
      <c r="AO1266" s="711" t="str">
        <f>IF(OR(Table1[[#This Row],[Início Setup Envase]]="",Table1[[#This Row],[Final Setup Envase]]=""),"",Table1[[#This Row],[Final Setup Envase]]-Table1[[#This Row],[Início Setup Envase]])</f>
        <v/>
      </c>
      <c r="AP1266" s="670"/>
      <c r="AQ1266" s="670"/>
      <c r="AR1266" s="483"/>
      <c r="AS1266" s="483"/>
      <c r="AT1266" s="483"/>
      <c r="AU1266" s="483"/>
      <c r="AV1266" s="483"/>
      <c r="AW1266" s="483"/>
      <c r="AX1266" s="483"/>
      <c r="AY1266" s="270"/>
      <c r="AZ1266" s="270"/>
      <c r="BA1266" s="270" t="str">
        <f>IF(Table1[[#This Row],[Data de Início]]="","",YEAR(Table1[[#This Row],[Data de Início]]))</f>
        <v/>
      </c>
      <c r="BB1266" s="270" t="str">
        <f>IF(Table1[[#This Row],[Data de Início]]="","",MONTH(Table1[[#This Row],[Data de Início]]))</f>
        <v/>
      </c>
      <c r="BC1266" s="270"/>
    </row>
    <row r="1267" spans="2:55" x14ac:dyDescent="0.25">
      <c r="B1267" s="470"/>
      <c r="C1267" s="263"/>
      <c r="D1267" s="477" cm="1">
        <f t="array" ref="D1267">IFERROR(HorasUteisFabrica2Turnos(B1267,C1267), "")</f>
        <v>0</v>
      </c>
      <c r="E1267" s="697" t="str">
        <f t="shared" si="20"/>
        <v/>
      </c>
      <c r="F1267" s="266"/>
      <c r="G1267" s="698"/>
      <c r="H1267" s="266"/>
      <c r="I1267" s="268"/>
      <c r="J1267" s="268"/>
      <c r="K1267" s="268"/>
      <c r="L1267" s="269"/>
      <c r="M1267" s="510" t="str">
        <f>IFERROR(INDEX([1]Produtos!$C:$C,MATCH(L1267,[1]Produtos!$B:$B,0)), "-")</f>
        <v>-</v>
      </c>
      <c r="N1267" s="510" t="str">
        <f>IFERROR(INDEX([1]Produtos!$E:$E,MATCH(L1267,[1]Produtos!$B:$B,0)), "-")</f>
        <v>-</v>
      </c>
      <c r="O1267" s="270" t="str">
        <f>IFERROR(INDEX([1]Produtos!$F:$F,MATCH(L1267,[1]Produtos!$B:$B,0)), "-")</f>
        <v>-</v>
      </c>
      <c r="P1267" s="264" t="str">
        <f>IFERROR(INDEX([1]Produtos!$G:$G,MATCH(L1267,[1]Produtos!$B:$B,0)), "-")</f>
        <v>-</v>
      </c>
      <c r="Q1267" s="270" t="str">
        <f>IFERROR(INDEX([1]Produtos!$H:$H,MATCH(L1267,[1]Produtos!$B:$B,0)), "-")</f>
        <v>-</v>
      </c>
      <c r="R1267" s="270" t="str">
        <f>IFERROR(INDEX([1]Produtos!$I:$I,MATCH(L1267,[1]Produtos!$B:$B,0)), "-")</f>
        <v>-</v>
      </c>
      <c r="S1267" s="270" t="str">
        <f>IFERROR(INDEX([1]Produtos!$J:$J,MATCH(L1267,[1]Produtos!$B:$B,0)), "-")</f>
        <v>-</v>
      </c>
      <c r="T1267" s="475"/>
      <c r="U1267" s="270"/>
      <c r="V1267" s="270"/>
      <c r="W1267" s="270"/>
      <c r="X1267" s="270"/>
      <c r="Y1267" s="270"/>
      <c r="Z1267" s="270"/>
      <c r="AA1267" s="270"/>
      <c r="AB1267" s="270"/>
      <c r="AC1267" s="270"/>
      <c r="AD1267" s="270"/>
      <c r="AE1267" s="270"/>
      <c r="AF1267" s="270"/>
      <c r="AG1267" s="270"/>
      <c r="AH1267" s="270"/>
      <c r="AI1267" s="270"/>
      <c r="AJ1267" s="270"/>
      <c r="AK1267" s="270"/>
      <c r="AL1267" s="270"/>
      <c r="AM1267" s="663"/>
      <c r="AN1267" s="663"/>
      <c r="AO1267" s="708" t="str">
        <f>IF(OR(Table1[[#This Row],[Início Setup Envase]]="",Table1[[#This Row],[Final Setup Envase]]=""),"",Table1[[#This Row],[Final Setup Envase]]-Table1[[#This Row],[Início Setup Envase]])</f>
        <v/>
      </c>
      <c r="AP1267" s="663"/>
      <c r="AQ1267" s="663"/>
      <c r="AR1267" s="270"/>
      <c r="AS1267" s="674"/>
      <c r="AT1267" s="674"/>
      <c r="AU1267" s="270"/>
      <c r="AV1267" s="270"/>
      <c r="AW1267" s="270"/>
      <c r="AX1267" s="270"/>
      <c r="AY1267" s="270"/>
      <c r="AZ1267" s="270"/>
      <c r="BA1267" s="270" t="str">
        <f>IF(Table1[[#This Row],[Data de Início]]="","",YEAR(Table1[[#This Row],[Data de Início]]))</f>
        <v/>
      </c>
      <c r="BB1267" s="270" t="str">
        <f>IF(Table1[[#This Row],[Data de Início]]="","",MONTH(Table1[[#This Row],[Data de Início]]))</f>
        <v/>
      </c>
      <c r="BC1267" s="483"/>
    </row>
    <row r="1268" spans="2:55" x14ac:dyDescent="0.25">
      <c r="B1268" s="470"/>
      <c r="C1268" s="263"/>
      <c r="D1268" s="477" cm="1">
        <f t="array" ref="D1268">IFERROR(HorasUteisFabrica2Turnos(B1268,C1268), "")</f>
        <v>0</v>
      </c>
      <c r="E1268" s="478" t="str">
        <f t="shared" si="20"/>
        <v/>
      </c>
      <c r="F1268" s="266"/>
      <c r="G1268" s="656"/>
      <c r="H1268" s="479"/>
      <c r="I1268" s="268"/>
      <c r="J1268" s="268"/>
      <c r="K1268" s="268"/>
      <c r="L1268" s="269"/>
      <c r="M1268" s="511" t="str">
        <f>IFERROR(INDEX([1]Produtos!$C:$C,MATCH(L1268,[1]Produtos!$B:$B,0)), "-")</f>
        <v>-</v>
      </c>
      <c r="N1268" s="511" t="str">
        <f>IFERROR(INDEX([1]Produtos!$E:$E,MATCH(L1268,[1]Produtos!$B:$B,0)), "-")</f>
        <v>-</v>
      </c>
      <c r="O1268" s="483" t="str">
        <f>IFERROR(INDEX([1]Produtos!$F:$F,MATCH(L1268,[1]Produtos!$B:$B,0)), "-")</f>
        <v>-</v>
      </c>
      <c r="P1268" s="477" t="str">
        <f>IFERROR(INDEX([1]Produtos!$G:$G,MATCH(L1268,[1]Produtos!$B:$B,0)), "-")</f>
        <v>-</v>
      </c>
      <c r="Q1268" s="483" t="str">
        <f>IFERROR(INDEX([1]Produtos!$H:$H,MATCH(L1268,[1]Produtos!$B:$B,0)), "-")</f>
        <v>-</v>
      </c>
      <c r="R1268" s="483" t="str">
        <f>IFERROR(INDEX([1]Produtos!$I:$I,MATCH(L1268,[1]Produtos!$B:$B,0)), "-")</f>
        <v>-</v>
      </c>
      <c r="S1268" s="483" t="str">
        <f>IFERROR(INDEX([1]Produtos!$J:$J,MATCH(L1268,[1]Produtos!$B:$B,0)), "-")</f>
        <v>-</v>
      </c>
      <c r="T1268" s="484"/>
      <c r="U1268" s="483"/>
      <c r="V1268" s="483"/>
      <c r="W1268" s="483"/>
      <c r="X1268" s="483"/>
      <c r="Y1268" s="483"/>
      <c r="Z1268" s="483"/>
      <c r="AA1268" s="483"/>
      <c r="AB1268" s="483"/>
      <c r="AC1268" s="483"/>
      <c r="AD1268" s="483"/>
      <c r="AE1268" s="483"/>
      <c r="AF1268" s="483"/>
      <c r="AG1268" s="483"/>
      <c r="AH1268" s="483"/>
      <c r="AI1268" s="483"/>
      <c r="AJ1268" s="483"/>
      <c r="AK1268" s="483"/>
      <c r="AL1268" s="483"/>
      <c r="AM1268" s="670"/>
      <c r="AN1268" s="670"/>
      <c r="AO1268" s="711" t="str">
        <f>IF(OR(Table1[[#This Row],[Início Setup Envase]]="",Table1[[#This Row],[Final Setup Envase]]=""),"",Table1[[#This Row],[Final Setup Envase]]-Table1[[#This Row],[Início Setup Envase]])</f>
        <v/>
      </c>
      <c r="AP1268" s="670"/>
      <c r="AQ1268" s="670"/>
      <c r="AR1268" s="483"/>
      <c r="AS1268" s="483"/>
      <c r="AT1268" s="483"/>
      <c r="AU1268" s="483"/>
      <c r="AV1268" s="483"/>
      <c r="AW1268" s="483"/>
      <c r="AX1268" s="483"/>
      <c r="AY1268" s="270"/>
      <c r="AZ1268" s="270"/>
      <c r="BA1268" s="270" t="str">
        <f>IF(Table1[[#This Row],[Data de Início]]="","",YEAR(Table1[[#This Row],[Data de Início]]))</f>
        <v/>
      </c>
      <c r="BB1268" s="270" t="str">
        <f>IF(Table1[[#This Row],[Data de Início]]="","",MONTH(Table1[[#This Row],[Data de Início]]))</f>
        <v/>
      </c>
      <c r="BC1268" s="270"/>
    </row>
    <row r="1269" spans="2:55" x14ac:dyDescent="0.25">
      <c r="B1269" s="470"/>
      <c r="C1269" s="263"/>
      <c r="D1269" s="477" cm="1">
        <f t="array" ref="D1269">IFERROR(HorasUteisFabrica2Turnos(B1269,C1269), "")</f>
        <v>0</v>
      </c>
      <c r="E1269" s="697" t="str">
        <f t="shared" si="20"/>
        <v/>
      </c>
      <c r="F1269" s="266"/>
      <c r="G1269" s="698"/>
      <c r="H1269" s="266"/>
      <c r="I1269" s="268"/>
      <c r="J1269" s="268"/>
      <c r="K1269" s="268"/>
      <c r="L1269" s="269"/>
      <c r="M1269" s="510" t="str">
        <f>IFERROR(INDEX([1]Produtos!$C:$C,MATCH(L1269,[1]Produtos!$B:$B,0)), "-")</f>
        <v>-</v>
      </c>
      <c r="N1269" s="510" t="str">
        <f>IFERROR(INDEX([1]Produtos!$E:$E,MATCH(L1269,[1]Produtos!$B:$B,0)), "-")</f>
        <v>-</v>
      </c>
      <c r="O1269" s="270" t="str">
        <f>IFERROR(INDEX([1]Produtos!$F:$F,MATCH(L1269,[1]Produtos!$B:$B,0)), "-")</f>
        <v>-</v>
      </c>
      <c r="P1269" s="264" t="str">
        <f>IFERROR(INDEX([1]Produtos!$G:$G,MATCH(L1269,[1]Produtos!$B:$B,0)), "-")</f>
        <v>-</v>
      </c>
      <c r="Q1269" s="270" t="str">
        <f>IFERROR(INDEX([1]Produtos!$H:$H,MATCH(L1269,[1]Produtos!$B:$B,0)), "-")</f>
        <v>-</v>
      </c>
      <c r="R1269" s="270" t="str">
        <f>IFERROR(INDEX([1]Produtos!$I:$I,MATCH(L1269,[1]Produtos!$B:$B,0)), "-")</f>
        <v>-</v>
      </c>
      <c r="S1269" s="270" t="str">
        <f>IFERROR(INDEX([1]Produtos!$J:$J,MATCH(L1269,[1]Produtos!$B:$B,0)), "-")</f>
        <v>-</v>
      </c>
      <c r="T1269" s="475"/>
      <c r="U1269" s="270"/>
      <c r="V1269" s="270"/>
      <c r="W1269" s="270"/>
      <c r="X1269" s="270"/>
      <c r="Y1269" s="270"/>
      <c r="Z1269" s="270"/>
      <c r="AA1269" s="270"/>
      <c r="AB1269" s="270"/>
      <c r="AC1269" s="270"/>
      <c r="AD1269" s="270"/>
      <c r="AE1269" s="270"/>
      <c r="AF1269" s="270"/>
      <c r="AG1269" s="270"/>
      <c r="AH1269" s="270"/>
      <c r="AI1269" s="270"/>
      <c r="AJ1269" s="270"/>
      <c r="AK1269" s="270"/>
      <c r="AL1269" s="270"/>
      <c r="AM1269" s="663"/>
      <c r="AN1269" s="663"/>
      <c r="AO1269" s="708" t="str">
        <f>IF(OR(Table1[[#This Row],[Início Setup Envase]]="",Table1[[#This Row],[Final Setup Envase]]=""),"",Table1[[#This Row],[Final Setup Envase]]-Table1[[#This Row],[Início Setup Envase]])</f>
        <v/>
      </c>
      <c r="AP1269" s="663"/>
      <c r="AQ1269" s="663"/>
      <c r="AR1269" s="270"/>
      <c r="AS1269" s="674"/>
      <c r="AT1269" s="674"/>
      <c r="AU1269" s="270"/>
      <c r="AV1269" s="270"/>
      <c r="AW1269" s="270"/>
      <c r="AX1269" s="270"/>
      <c r="AY1269" s="270"/>
      <c r="AZ1269" s="270"/>
      <c r="BA1269" s="270" t="str">
        <f>IF(Table1[[#This Row],[Data de Início]]="","",YEAR(Table1[[#This Row],[Data de Início]]))</f>
        <v/>
      </c>
      <c r="BB1269" s="270" t="str">
        <f>IF(Table1[[#This Row],[Data de Início]]="","",MONTH(Table1[[#This Row],[Data de Início]]))</f>
        <v/>
      </c>
      <c r="BC1269" s="483"/>
    </row>
    <row r="1270" spans="2:55" x14ac:dyDescent="0.25">
      <c r="B1270" s="470"/>
      <c r="C1270" s="263"/>
      <c r="D1270" s="477" cm="1">
        <f t="array" ref="D1270">IFERROR(HorasUteisFabrica2Turnos(B1270,C1270), "")</f>
        <v>0</v>
      </c>
      <c r="E1270" s="478" t="str">
        <f t="shared" si="20"/>
        <v/>
      </c>
      <c r="F1270" s="266"/>
      <c r="G1270" s="656"/>
      <c r="H1270" s="479"/>
      <c r="I1270" s="268"/>
      <c r="J1270" s="268"/>
      <c r="K1270" s="268"/>
      <c r="L1270" s="269"/>
      <c r="M1270" s="511" t="str">
        <f>IFERROR(INDEX([1]Produtos!$C:$C,MATCH(L1270,[1]Produtos!$B:$B,0)), "-")</f>
        <v>-</v>
      </c>
      <c r="N1270" s="511" t="str">
        <f>IFERROR(INDEX([1]Produtos!$E:$E,MATCH(L1270,[1]Produtos!$B:$B,0)), "-")</f>
        <v>-</v>
      </c>
      <c r="O1270" s="483" t="str">
        <f>IFERROR(INDEX([1]Produtos!$F:$F,MATCH(L1270,[1]Produtos!$B:$B,0)), "-")</f>
        <v>-</v>
      </c>
      <c r="P1270" s="477" t="str">
        <f>IFERROR(INDEX([1]Produtos!$G:$G,MATCH(L1270,[1]Produtos!$B:$B,0)), "-")</f>
        <v>-</v>
      </c>
      <c r="Q1270" s="483" t="str">
        <f>IFERROR(INDEX([1]Produtos!$H:$H,MATCH(L1270,[1]Produtos!$B:$B,0)), "-")</f>
        <v>-</v>
      </c>
      <c r="R1270" s="483" t="str">
        <f>IFERROR(INDEX([1]Produtos!$I:$I,MATCH(L1270,[1]Produtos!$B:$B,0)), "-")</f>
        <v>-</v>
      </c>
      <c r="S1270" s="483" t="str">
        <f>IFERROR(INDEX([1]Produtos!$J:$J,MATCH(L1270,[1]Produtos!$B:$B,0)), "-")</f>
        <v>-</v>
      </c>
      <c r="T1270" s="484"/>
      <c r="U1270" s="483"/>
      <c r="V1270" s="483"/>
      <c r="W1270" s="483"/>
      <c r="X1270" s="483"/>
      <c r="Y1270" s="483"/>
      <c r="Z1270" s="483"/>
      <c r="AA1270" s="483"/>
      <c r="AB1270" s="483"/>
      <c r="AC1270" s="483"/>
      <c r="AD1270" s="483"/>
      <c r="AE1270" s="483"/>
      <c r="AF1270" s="483"/>
      <c r="AG1270" s="483"/>
      <c r="AH1270" s="483"/>
      <c r="AI1270" s="483"/>
      <c r="AJ1270" s="483"/>
      <c r="AK1270" s="483"/>
      <c r="AL1270" s="483"/>
      <c r="AM1270" s="670"/>
      <c r="AN1270" s="670"/>
      <c r="AO1270" s="711" t="str">
        <f>IF(OR(Table1[[#This Row],[Início Setup Envase]]="",Table1[[#This Row],[Final Setup Envase]]=""),"",Table1[[#This Row],[Final Setup Envase]]-Table1[[#This Row],[Início Setup Envase]])</f>
        <v/>
      </c>
      <c r="AP1270" s="670"/>
      <c r="AQ1270" s="670"/>
      <c r="AR1270" s="483"/>
      <c r="AS1270" s="483"/>
      <c r="AT1270" s="483"/>
      <c r="AU1270" s="483"/>
      <c r="AV1270" s="483"/>
      <c r="AW1270" s="483"/>
      <c r="AX1270" s="483"/>
      <c r="AY1270" s="270"/>
      <c r="AZ1270" s="270"/>
      <c r="BA1270" s="270" t="str">
        <f>IF(Table1[[#This Row],[Data de Início]]="","",YEAR(Table1[[#This Row],[Data de Início]]))</f>
        <v/>
      </c>
      <c r="BB1270" s="270" t="str">
        <f>IF(Table1[[#This Row],[Data de Início]]="","",MONTH(Table1[[#This Row],[Data de Início]]))</f>
        <v/>
      </c>
      <c r="BC1270" s="270"/>
    </row>
    <row r="1271" spans="2:55" x14ac:dyDescent="0.25">
      <c r="B1271" s="470"/>
      <c r="C1271" s="263"/>
      <c r="D1271" s="477" cm="1">
        <f t="array" ref="D1271">IFERROR(HorasUteisFabrica2Turnos(B1271,C1271), "")</f>
        <v>0</v>
      </c>
      <c r="E1271" s="697" t="str">
        <f t="shared" si="20"/>
        <v/>
      </c>
      <c r="F1271" s="266"/>
      <c r="G1271" s="698"/>
      <c r="H1271" s="266"/>
      <c r="I1271" s="268"/>
      <c r="J1271" s="268"/>
      <c r="K1271" s="268"/>
      <c r="L1271" s="269"/>
      <c r="M1271" s="510" t="str">
        <f>IFERROR(INDEX([1]Produtos!$C:$C,MATCH(L1271,[1]Produtos!$B:$B,0)), "-")</f>
        <v>-</v>
      </c>
      <c r="N1271" s="510" t="str">
        <f>IFERROR(INDEX([1]Produtos!$E:$E,MATCH(L1271,[1]Produtos!$B:$B,0)), "-")</f>
        <v>-</v>
      </c>
      <c r="O1271" s="270" t="str">
        <f>IFERROR(INDEX([1]Produtos!$F:$F,MATCH(L1271,[1]Produtos!$B:$B,0)), "-")</f>
        <v>-</v>
      </c>
      <c r="P1271" s="264" t="str">
        <f>IFERROR(INDEX([1]Produtos!$G:$G,MATCH(L1271,[1]Produtos!$B:$B,0)), "-")</f>
        <v>-</v>
      </c>
      <c r="Q1271" s="270" t="str">
        <f>IFERROR(INDEX([1]Produtos!$H:$H,MATCH(L1271,[1]Produtos!$B:$B,0)), "-")</f>
        <v>-</v>
      </c>
      <c r="R1271" s="270" t="str">
        <f>IFERROR(INDEX([1]Produtos!$I:$I,MATCH(L1271,[1]Produtos!$B:$B,0)), "-")</f>
        <v>-</v>
      </c>
      <c r="S1271" s="270" t="str">
        <f>IFERROR(INDEX([1]Produtos!$J:$J,MATCH(L1271,[1]Produtos!$B:$B,0)), "-")</f>
        <v>-</v>
      </c>
      <c r="T1271" s="475"/>
      <c r="U1271" s="270"/>
      <c r="V1271" s="270"/>
      <c r="W1271" s="270"/>
      <c r="X1271" s="270"/>
      <c r="Y1271" s="270"/>
      <c r="Z1271" s="270"/>
      <c r="AA1271" s="270"/>
      <c r="AB1271" s="270"/>
      <c r="AC1271" s="270"/>
      <c r="AD1271" s="270"/>
      <c r="AE1271" s="270"/>
      <c r="AF1271" s="270"/>
      <c r="AG1271" s="270"/>
      <c r="AH1271" s="270"/>
      <c r="AI1271" s="270"/>
      <c r="AJ1271" s="270"/>
      <c r="AK1271" s="270"/>
      <c r="AL1271" s="270"/>
      <c r="AM1271" s="663"/>
      <c r="AN1271" s="663"/>
      <c r="AO1271" s="708" t="str">
        <f>IF(OR(Table1[[#This Row],[Início Setup Envase]]="",Table1[[#This Row],[Final Setup Envase]]=""),"",Table1[[#This Row],[Final Setup Envase]]-Table1[[#This Row],[Início Setup Envase]])</f>
        <v/>
      </c>
      <c r="AP1271" s="663"/>
      <c r="AQ1271" s="663"/>
      <c r="AR1271" s="270"/>
      <c r="AS1271" s="674"/>
      <c r="AT1271" s="674"/>
      <c r="AU1271" s="270"/>
      <c r="AV1271" s="270"/>
      <c r="AW1271" s="270"/>
      <c r="AX1271" s="270"/>
      <c r="AY1271" s="270"/>
      <c r="AZ1271" s="270"/>
      <c r="BA1271" s="270" t="str">
        <f>IF(Table1[[#This Row],[Data de Início]]="","",YEAR(Table1[[#This Row],[Data de Início]]))</f>
        <v/>
      </c>
      <c r="BB1271" s="270" t="str">
        <f>IF(Table1[[#This Row],[Data de Início]]="","",MONTH(Table1[[#This Row],[Data de Início]]))</f>
        <v/>
      </c>
      <c r="BC1271" s="483"/>
    </row>
    <row r="1272" spans="2:55" x14ac:dyDescent="0.25">
      <c r="B1272" s="470"/>
      <c r="C1272" s="263"/>
      <c r="D1272" s="477" cm="1">
        <f t="array" ref="D1272">IFERROR(HorasUteisFabrica2Turnos(B1272,C1272), "")</f>
        <v>0</v>
      </c>
      <c r="E1272" s="478" t="str">
        <f t="shared" si="20"/>
        <v/>
      </c>
      <c r="F1272" s="266"/>
      <c r="G1272" s="656"/>
      <c r="H1272" s="479"/>
      <c r="I1272" s="268"/>
      <c r="J1272" s="268"/>
      <c r="K1272" s="268"/>
      <c r="L1272" s="269"/>
      <c r="M1272" s="511" t="str">
        <f>IFERROR(INDEX([1]Produtos!$C:$C,MATCH(L1272,[1]Produtos!$B:$B,0)), "-")</f>
        <v>-</v>
      </c>
      <c r="N1272" s="511" t="str">
        <f>IFERROR(INDEX([1]Produtos!$E:$E,MATCH(L1272,[1]Produtos!$B:$B,0)), "-")</f>
        <v>-</v>
      </c>
      <c r="O1272" s="483" t="str">
        <f>IFERROR(INDEX([1]Produtos!$F:$F,MATCH(L1272,[1]Produtos!$B:$B,0)), "-")</f>
        <v>-</v>
      </c>
      <c r="P1272" s="477" t="str">
        <f>IFERROR(INDEX([1]Produtos!$G:$G,MATCH(L1272,[1]Produtos!$B:$B,0)), "-")</f>
        <v>-</v>
      </c>
      <c r="Q1272" s="483" t="str">
        <f>IFERROR(INDEX([1]Produtos!$H:$H,MATCH(L1272,[1]Produtos!$B:$B,0)), "-")</f>
        <v>-</v>
      </c>
      <c r="R1272" s="483" t="str">
        <f>IFERROR(INDEX([1]Produtos!$I:$I,MATCH(L1272,[1]Produtos!$B:$B,0)), "-")</f>
        <v>-</v>
      </c>
      <c r="S1272" s="483" t="str">
        <f>IFERROR(INDEX([1]Produtos!$J:$J,MATCH(L1272,[1]Produtos!$B:$B,0)), "-")</f>
        <v>-</v>
      </c>
      <c r="T1272" s="484"/>
      <c r="U1272" s="483"/>
      <c r="V1272" s="483"/>
      <c r="W1272" s="483"/>
      <c r="X1272" s="483"/>
      <c r="Y1272" s="483"/>
      <c r="Z1272" s="483"/>
      <c r="AA1272" s="483"/>
      <c r="AB1272" s="483"/>
      <c r="AC1272" s="483"/>
      <c r="AD1272" s="483"/>
      <c r="AE1272" s="483"/>
      <c r="AF1272" s="483"/>
      <c r="AG1272" s="483"/>
      <c r="AH1272" s="483"/>
      <c r="AI1272" s="483"/>
      <c r="AJ1272" s="483"/>
      <c r="AK1272" s="483"/>
      <c r="AL1272" s="483"/>
      <c r="AM1272" s="670"/>
      <c r="AN1272" s="670"/>
      <c r="AO1272" s="711" t="str">
        <f>IF(OR(Table1[[#This Row],[Início Setup Envase]]="",Table1[[#This Row],[Final Setup Envase]]=""),"",Table1[[#This Row],[Final Setup Envase]]-Table1[[#This Row],[Início Setup Envase]])</f>
        <v/>
      </c>
      <c r="AP1272" s="670"/>
      <c r="AQ1272" s="670"/>
      <c r="AR1272" s="483"/>
      <c r="AS1272" s="483"/>
      <c r="AT1272" s="483"/>
      <c r="AU1272" s="483"/>
      <c r="AV1272" s="483"/>
      <c r="AW1272" s="483"/>
      <c r="AX1272" s="483"/>
      <c r="AY1272" s="270"/>
      <c r="AZ1272" s="270"/>
      <c r="BA1272" s="270" t="str">
        <f>IF(Table1[[#This Row],[Data de Início]]="","",YEAR(Table1[[#This Row],[Data de Início]]))</f>
        <v/>
      </c>
      <c r="BB1272" s="270" t="str">
        <f>IF(Table1[[#This Row],[Data de Início]]="","",MONTH(Table1[[#This Row],[Data de Início]]))</f>
        <v/>
      </c>
      <c r="BC1272" s="270"/>
    </row>
    <row r="1273" spans="2:55" x14ac:dyDescent="0.25">
      <c r="B1273" s="470"/>
      <c r="C1273" s="263"/>
      <c r="D1273" s="477" cm="1">
        <f t="array" ref="D1273">IFERROR(HorasUteisFabrica2Turnos(B1273,C1273), "")</f>
        <v>0</v>
      </c>
      <c r="E1273" s="697" t="str">
        <f t="shared" si="20"/>
        <v/>
      </c>
      <c r="F1273" s="266"/>
      <c r="G1273" s="698"/>
      <c r="H1273" s="266"/>
      <c r="I1273" s="268"/>
      <c r="J1273" s="268"/>
      <c r="K1273" s="268"/>
      <c r="L1273" s="269"/>
      <c r="M1273" s="510" t="str">
        <f>IFERROR(INDEX([1]Produtos!$C:$C,MATCH(L1273,[1]Produtos!$B:$B,0)), "-")</f>
        <v>-</v>
      </c>
      <c r="N1273" s="510" t="str">
        <f>IFERROR(INDEX([1]Produtos!$E:$E,MATCH(L1273,[1]Produtos!$B:$B,0)), "-")</f>
        <v>-</v>
      </c>
      <c r="O1273" s="270" t="str">
        <f>IFERROR(INDEX([1]Produtos!$F:$F,MATCH(L1273,[1]Produtos!$B:$B,0)), "-")</f>
        <v>-</v>
      </c>
      <c r="P1273" s="264" t="str">
        <f>IFERROR(INDEX([1]Produtos!$G:$G,MATCH(L1273,[1]Produtos!$B:$B,0)), "-")</f>
        <v>-</v>
      </c>
      <c r="Q1273" s="270" t="str">
        <f>IFERROR(INDEX([1]Produtos!$H:$H,MATCH(L1273,[1]Produtos!$B:$B,0)), "-")</f>
        <v>-</v>
      </c>
      <c r="R1273" s="270" t="str">
        <f>IFERROR(INDEX([1]Produtos!$I:$I,MATCH(L1273,[1]Produtos!$B:$B,0)), "-")</f>
        <v>-</v>
      </c>
      <c r="S1273" s="270" t="str">
        <f>IFERROR(INDEX([1]Produtos!$J:$J,MATCH(L1273,[1]Produtos!$B:$B,0)), "-")</f>
        <v>-</v>
      </c>
      <c r="T1273" s="475"/>
      <c r="U1273" s="270"/>
      <c r="V1273" s="270"/>
      <c r="W1273" s="270"/>
      <c r="X1273" s="270"/>
      <c r="Y1273" s="270"/>
      <c r="Z1273" s="270"/>
      <c r="AA1273" s="270"/>
      <c r="AB1273" s="270"/>
      <c r="AC1273" s="270"/>
      <c r="AD1273" s="270"/>
      <c r="AE1273" s="270"/>
      <c r="AF1273" s="270"/>
      <c r="AG1273" s="270"/>
      <c r="AH1273" s="270"/>
      <c r="AI1273" s="270"/>
      <c r="AJ1273" s="270"/>
      <c r="AK1273" s="270"/>
      <c r="AL1273" s="270"/>
      <c r="AM1273" s="663"/>
      <c r="AN1273" s="663"/>
      <c r="AO1273" s="708" t="str">
        <f>IF(OR(Table1[[#This Row],[Início Setup Envase]]="",Table1[[#This Row],[Final Setup Envase]]=""),"",Table1[[#This Row],[Final Setup Envase]]-Table1[[#This Row],[Início Setup Envase]])</f>
        <v/>
      </c>
      <c r="AP1273" s="663"/>
      <c r="AQ1273" s="663"/>
      <c r="AR1273" s="270"/>
      <c r="AS1273" s="674"/>
      <c r="AT1273" s="674"/>
      <c r="AU1273" s="270"/>
      <c r="AV1273" s="270"/>
      <c r="AW1273" s="270"/>
      <c r="AX1273" s="270"/>
      <c r="AY1273" s="270"/>
      <c r="AZ1273" s="270"/>
      <c r="BA1273" s="270" t="str">
        <f>IF(Table1[[#This Row],[Data de Início]]="","",YEAR(Table1[[#This Row],[Data de Início]]))</f>
        <v/>
      </c>
      <c r="BB1273" s="270" t="str">
        <f>IF(Table1[[#This Row],[Data de Início]]="","",MONTH(Table1[[#This Row],[Data de Início]]))</f>
        <v/>
      </c>
      <c r="BC1273" s="483"/>
    </row>
    <row r="1274" spans="2:55" x14ac:dyDescent="0.25">
      <c r="B1274" s="470"/>
      <c r="C1274" s="263"/>
      <c r="D1274" s="477" cm="1">
        <f t="array" ref="D1274">IFERROR(HorasUteisFabrica2Turnos(B1274,C1274), "")</f>
        <v>0</v>
      </c>
      <c r="E1274" s="478" t="str">
        <f t="shared" si="20"/>
        <v/>
      </c>
      <c r="F1274" s="266"/>
      <c r="G1274" s="656"/>
      <c r="H1274" s="479"/>
      <c r="I1274" s="268"/>
      <c r="J1274" s="268"/>
      <c r="K1274" s="268"/>
      <c r="L1274" s="269"/>
      <c r="M1274" s="511" t="str">
        <f>IFERROR(INDEX([1]Produtos!$C:$C,MATCH(L1274,[1]Produtos!$B:$B,0)), "-")</f>
        <v>-</v>
      </c>
      <c r="N1274" s="511" t="str">
        <f>IFERROR(INDEX([1]Produtos!$E:$E,MATCH(L1274,[1]Produtos!$B:$B,0)), "-")</f>
        <v>-</v>
      </c>
      <c r="O1274" s="483" t="str">
        <f>IFERROR(INDEX([1]Produtos!$F:$F,MATCH(L1274,[1]Produtos!$B:$B,0)), "-")</f>
        <v>-</v>
      </c>
      <c r="P1274" s="477" t="str">
        <f>IFERROR(INDEX([1]Produtos!$G:$G,MATCH(L1274,[1]Produtos!$B:$B,0)), "-")</f>
        <v>-</v>
      </c>
      <c r="Q1274" s="483" t="str">
        <f>IFERROR(INDEX([1]Produtos!$H:$H,MATCH(L1274,[1]Produtos!$B:$B,0)), "-")</f>
        <v>-</v>
      </c>
      <c r="R1274" s="483" t="str">
        <f>IFERROR(INDEX([1]Produtos!$I:$I,MATCH(L1274,[1]Produtos!$B:$B,0)), "-")</f>
        <v>-</v>
      </c>
      <c r="S1274" s="483" t="str">
        <f>IFERROR(INDEX([1]Produtos!$J:$J,MATCH(L1274,[1]Produtos!$B:$B,0)), "-")</f>
        <v>-</v>
      </c>
      <c r="T1274" s="484"/>
      <c r="U1274" s="483"/>
      <c r="V1274" s="483"/>
      <c r="W1274" s="483"/>
      <c r="X1274" s="483"/>
      <c r="Y1274" s="483"/>
      <c r="Z1274" s="483"/>
      <c r="AA1274" s="483"/>
      <c r="AB1274" s="483"/>
      <c r="AC1274" s="483"/>
      <c r="AD1274" s="483"/>
      <c r="AE1274" s="483"/>
      <c r="AF1274" s="483"/>
      <c r="AG1274" s="483"/>
      <c r="AH1274" s="483"/>
      <c r="AI1274" s="483"/>
      <c r="AJ1274" s="483"/>
      <c r="AK1274" s="483"/>
      <c r="AL1274" s="483"/>
      <c r="AM1274" s="670"/>
      <c r="AN1274" s="670"/>
      <c r="AO1274" s="711" t="str">
        <f>IF(OR(Table1[[#This Row],[Início Setup Envase]]="",Table1[[#This Row],[Final Setup Envase]]=""),"",Table1[[#This Row],[Final Setup Envase]]-Table1[[#This Row],[Início Setup Envase]])</f>
        <v/>
      </c>
      <c r="AP1274" s="670"/>
      <c r="AQ1274" s="670"/>
      <c r="AR1274" s="483"/>
      <c r="AS1274" s="483"/>
      <c r="AT1274" s="483"/>
      <c r="AU1274" s="483"/>
      <c r="AV1274" s="483"/>
      <c r="AW1274" s="483"/>
      <c r="AX1274" s="483"/>
      <c r="AY1274" s="270"/>
      <c r="AZ1274" s="270"/>
      <c r="BA1274" s="270" t="str">
        <f>IF(Table1[[#This Row],[Data de Início]]="","",YEAR(Table1[[#This Row],[Data de Início]]))</f>
        <v/>
      </c>
      <c r="BB1274" s="270" t="str">
        <f>IF(Table1[[#This Row],[Data de Início]]="","",MONTH(Table1[[#This Row],[Data de Início]]))</f>
        <v/>
      </c>
      <c r="BC1274" s="270"/>
    </row>
    <row r="1275" spans="2:55" x14ac:dyDescent="0.25">
      <c r="B1275" s="470"/>
      <c r="C1275" s="263"/>
      <c r="D1275" s="477" cm="1">
        <f t="array" ref="D1275">IFERROR(HorasUteisFabrica2Turnos(B1275,C1275), "")</f>
        <v>0</v>
      </c>
      <c r="E1275" s="697" t="str">
        <f t="shared" si="20"/>
        <v/>
      </c>
      <c r="F1275" s="266"/>
      <c r="G1275" s="698"/>
      <c r="H1275" s="266"/>
      <c r="I1275" s="268"/>
      <c r="J1275" s="268"/>
      <c r="K1275" s="268"/>
      <c r="L1275" s="269"/>
      <c r="M1275" s="510" t="str">
        <f>IFERROR(INDEX([1]Produtos!$C:$C,MATCH(L1275,[1]Produtos!$B:$B,0)), "-")</f>
        <v>-</v>
      </c>
      <c r="N1275" s="510" t="str">
        <f>IFERROR(INDEX([1]Produtos!$E:$E,MATCH(L1275,[1]Produtos!$B:$B,0)), "-")</f>
        <v>-</v>
      </c>
      <c r="O1275" s="270" t="str">
        <f>IFERROR(INDEX([1]Produtos!$F:$F,MATCH(L1275,[1]Produtos!$B:$B,0)), "-")</f>
        <v>-</v>
      </c>
      <c r="P1275" s="264" t="str">
        <f>IFERROR(INDEX([1]Produtos!$G:$G,MATCH(L1275,[1]Produtos!$B:$B,0)), "-")</f>
        <v>-</v>
      </c>
      <c r="Q1275" s="270" t="str">
        <f>IFERROR(INDEX([1]Produtos!$H:$H,MATCH(L1275,[1]Produtos!$B:$B,0)), "-")</f>
        <v>-</v>
      </c>
      <c r="R1275" s="270" t="str">
        <f>IFERROR(INDEX([1]Produtos!$I:$I,MATCH(L1275,[1]Produtos!$B:$B,0)), "-")</f>
        <v>-</v>
      </c>
      <c r="S1275" s="270" t="str">
        <f>IFERROR(INDEX([1]Produtos!$J:$J,MATCH(L1275,[1]Produtos!$B:$B,0)), "-")</f>
        <v>-</v>
      </c>
      <c r="T1275" s="475"/>
      <c r="U1275" s="270"/>
      <c r="V1275" s="270"/>
      <c r="W1275" s="270"/>
      <c r="X1275" s="270"/>
      <c r="Y1275" s="270"/>
      <c r="Z1275" s="270"/>
      <c r="AA1275" s="270"/>
      <c r="AB1275" s="270"/>
      <c r="AC1275" s="270"/>
      <c r="AD1275" s="270"/>
      <c r="AE1275" s="270"/>
      <c r="AF1275" s="270"/>
      <c r="AG1275" s="270"/>
      <c r="AH1275" s="270"/>
      <c r="AI1275" s="270"/>
      <c r="AJ1275" s="270"/>
      <c r="AK1275" s="270"/>
      <c r="AL1275" s="270"/>
      <c r="AM1275" s="663"/>
      <c r="AN1275" s="663"/>
      <c r="AO1275" s="708" t="str">
        <f>IF(OR(Table1[[#This Row],[Início Setup Envase]]="",Table1[[#This Row],[Final Setup Envase]]=""),"",Table1[[#This Row],[Final Setup Envase]]-Table1[[#This Row],[Início Setup Envase]])</f>
        <v/>
      </c>
      <c r="AP1275" s="663"/>
      <c r="AQ1275" s="663"/>
      <c r="AR1275" s="270"/>
      <c r="AS1275" s="674"/>
      <c r="AT1275" s="674"/>
      <c r="AU1275" s="270"/>
      <c r="AV1275" s="270"/>
      <c r="AW1275" s="270"/>
      <c r="AX1275" s="270"/>
      <c r="AY1275" s="270"/>
      <c r="AZ1275" s="270"/>
      <c r="BA1275" s="270" t="str">
        <f>IF(Table1[[#This Row],[Data de Início]]="","",YEAR(Table1[[#This Row],[Data de Início]]))</f>
        <v/>
      </c>
      <c r="BB1275" s="270" t="str">
        <f>IF(Table1[[#This Row],[Data de Início]]="","",MONTH(Table1[[#This Row],[Data de Início]]))</f>
        <v/>
      </c>
      <c r="BC1275" s="483"/>
    </row>
    <row r="1276" spans="2:55" x14ac:dyDescent="0.25">
      <c r="B1276" s="470"/>
      <c r="C1276" s="263"/>
      <c r="D1276" s="477" cm="1">
        <f t="array" ref="D1276">IFERROR(HorasUteisFabrica2Turnos(B1276,C1276), "")</f>
        <v>0</v>
      </c>
      <c r="E1276" s="478" t="str">
        <f t="shared" si="20"/>
        <v/>
      </c>
      <c r="F1276" s="266"/>
      <c r="G1276" s="656"/>
      <c r="H1276" s="479"/>
      <c r="I1276" s="268"/>
      <c r="J1276" s="268"/>
      <c r="K1276" s="268"/>
      <c r="L1276" s="269"/>
      <c r="M1276" s="511" t="str">
        <f>IFERROR(INDEX([1]Produtos!$C:$C,MATCH(L1276,[1]Produtos!$B:$B,0)), "-")</f>
        <v>-</v>
      </c>
      <c r="N1276" s="511" t="str">
        <f>IFERROR(INDEX([1]Produtos!$E:$E,MATCH(L1276,[1]Produtos!$B:$B,0)), "-")</f>
        <v>-</v>
      </c>
      <c r="O1276" s="483" t="str">
        <f>IFERROR(INDEX([1]Produtos!$F:$F,MATCH(L1276,[1]Produtos!$B:$B,0)), "-")</f>
        <v>-</v>
      </c>
      <c r="P1276" s="477" t="str">
        <f>IFERROR(INDEX([1]Produtos!$G:$G,MATCH(L1276,[1]Produtos!$B:$B,0)), "-")</f>
        <v>-</v>
      </c>
      <c r="Q1276" s="483" t="str">
        <f>IFERROR(INDEX([1]Produtos!$H:$H,MATCH(L1276,[1]Produtos!$B:$B,0)), "-")</f>
        <v>-</v>
      </c>
      <c r="R1276" s="483" t="str">
        <f>IFERROR(INDEX([1]Produtos!$I:$I,MATCH(L1276,[1]Produtos!$B:$B,0)), "-")</f>
        <v>-</v>
      </c>
      <c r="S1276" s="483" t="str">
        <f>IFERROR(INDEX([1]Produtos!$J:$J,MATCH(L1276,[1]Produtos!$B:$B,0)), "-")</f>
        <v>-</v>
      </c>
      <c r="T1276" s="484"/>
      <c r="U1276" s="483"/>
      <c r="V1276" s="483"/>
      <c r="W1276" s="483"/>
      <c r="X1276" s="483"/>
      <c r="Y1276" s="483"/>
      <c r="Z1276" s="483"/>
      <c r="AA1276" s="483"/>
      <c r="AB1276" s="483"/>
      <c r="AC1276" s="483"/>
      <c r="AD1276" s="483"/>
      <c r="AE1276" s="483"/>
      <c r="AF1276" s="483"/>
      <c r="AG1276" s="483"/>
      <c r="AH1276" s="483"/>
      <c r="AI1276" s="483"/>
      <c r="AJ1276" s="483"/>
      <c r="AK1276" s="483"/>
      <c r="AL1276" s="483"/>
      <c r="AM1276" s="670"/>
      <c r="AN1276" s="670"/>
      <c r="AO1276" s="711" t="str">
        <f>IF(OR(Table1[[#This Row],[Início Setup Envase]]="",Table1[[#This Row],[Final Setup Envase]]=""),"",Table1[[#This Row],[Final Setup Envase]]-Table1[[#This Row],[Início Setup Envase]])</f>
        <v/>
      </c>
      <c r="AP1276" s="670"/>
      <c r="AQ1276" s="670"/>
      <c r="AR1276" s="483"/>
      <c r="AS1276" s="483"/>
      <c r="AT1276" s="483"/>
      <c r="AU1276" s="483"/>
      <c r="AV1276" s="483"/>
      <c r="AW1276" s="483"/>
      <c r="AX1276" s="483"/>
      <c r="AY1276" s="270"/>
      <c r="AZ1276" s="270"/>
      <c r="BA1276" s="270" t="str">
        <f>IF(Table1[[#This Row],[Data de Início]]="","",YEAR(Table1[[#This Row],[Data de Início]]))</f>
        <v/>
      </c>
      <c r="BB1276" s="270" t="str">
        <f>IF(Table1[[#This Row],[Data de Início]]="","",MONTH(Table1[[#This Row],[Data de Início]]))</f>
        <v/>
      </c>
      <c r="BC1276" s="270"/>
    </row>
    <row r="1277" spans="2:55" x14ac:dyDescent="0.25">
      <c r="B1277" s="470"/>
      <c r="C1277" s="263"/>
      <c r="D1277" s="477" cm="1">
        <f t="array" ref="D1277">IFERROR(HorasUteisFabrica2Turnos(B1277,C1277), "")</f>
        <v>0</v>
      </c>
      <c r="E1277" s="697" t="str">
        <f t="shared" si="20"/>
        <v/>
      </c>
      <c r="F1277" s="266"/>
      <c r="G1277" s="698"/>
      <c r="H1277" s="266"/>
      <c r="I1277" s="268"/>
      <c r="J1277" s="268"/>
      <c r="K1277" s="268"/>
      <c r="L1277" s="269"/>
      <c r="M1277" s="510" t="str">
        <f>IFERROR(INDEX([1]Produtos!$C:$C,MATCH(L1277,[1]Produtos!$B:$B,0)), "-")</f>
        <v>-</v>
      </c>
      <c r="N1277" s="510" t="str">
        <f>IFERROR(INDEX([1]Produtos!$E:$E,MATCH(L1277,[1]Produtos!$B:$B,0)), "-")</f>
        <v>-</v>
      </c>
      <c r="O1277" s="270" t="str">
        <f>IFERROR(INDEX([1]Produtos!$F:$F,MATCH(L1277,[1]Produtos!$B:$B,0)), "-")</f>
        <v>-</v>
      </c>
      <c r="P1277" s="264" t="str">
        <f>IFERROR(INDEX([1]Produtos!$G:$G,MATCH(L1277,[1]Produtos!$B:$B,0)), "-")</f>
        <v>-</v>
      </c>
      <c r="Q1277" s="270" t="str">
        <f>IFERROR(INDEX([1]Produtos!$H:$H,MATCH(L1277,[1]Produtos!$B:$B,0)), "-")</f>
        <v>-</v>
      </c>
      <c r="R1277" s="270" t="str">
        <f>IFERROR(INDEX([1]Produtos!$I:$I,MATCH(L1277,[1]Produtos!$B:$B,0)), "-")</f>
        <v>-</v>
      </c>
      <c r="S1277" s="270" t="str">
        <f>IFERROR(INDEX([1]Produtos!$J:$J,MATCH(L1277,[1]Produtos!$B:$B,0)), "-")</f>
        <v>-</v>
      </c>
      <c r="T1277" s="475"/>
      <c r="U1277" s="270"/>
      <c r="V1277" s="270"/>
      <c r="W1277" s="270"/>
      <c r="X1277" s="270"/>
      <c r="Y1277" s="270"/>
      <c r="Z1277" s="270"/>
      <c r="AA1277" s="270"/>
      <c r="AB1277" s="270"/>
      <c r="AC1277" s="270"/>
      <c r="AD1277" s="270"/>
      <c r="AE1277" s="270"/>
      <c r="AF1277" s="270"/>
      <c r="AG1277" s="270"/>
      <c r="AH1277" s="270"/>
      <c r="AI1277" s="270"/>
      <c r="AJ1277" s="270"/>
      <c r="AK1277" s="270"/>
      <c r="AL1277" s="270"/>
      <c r="AM1277" s="663"/>
      <c r="AN1277" s="663"/>
      <c r="AO1277" s="708" t="str">
        <f>IF(OR(Table1[[#This Row],[Início Setup Envase]]="",Table1[[#This Row],[Final Setup Envase]]=""),"",Table1[[#This Row],[Final Setup Envase]]-Table1[[#This Row],[Início Setup Envase]])</f>
        <v/>
      </c>
      <c r="AP1277" s="663"/>
      <c r="AQ1277" s="663"/>
      <c r="AR1277" s="270"/>
      <c r="AS1277" s="674"/>
      <c r="AT1277" s="674"/>
      <c r="AU1277" s="270"/>
      <c r="AV1277" s="270"/>
      <c r="AW1277" s="270"/>
      <c r="AX1277" s="270"/>
      <c r="AY1277" s="270"/>
      <c r="AZ1277" s="270"/>
      <c r="BA1277" s="270" t="str">
        <f>IF(Table1[[#This Row],[Data de Início]]="","",YEAR(Table1[[#This Row],[Data de Início]]))</f>
        <v/>
      </c>
      <c r="BB1277" s="270" t="str">
        <f>IF(Table1[[#This Row],[Data de Início]]="","",MONTH(Table1[[#This Row],[Data de Início]]))</f>
        <v/>
      </c>
      <c r="BC1277" s="483"/>
    </row>
    <row r="1278" spans="2:55" x14ac:dyDescent="0.25">
      <c r="B1278" s="470"/>
      <c r="C1278" s="263"/>
      <c r="D1278" s="477" cm="1">
        <f t="array" ref="D1278">IFERROR(HorasUteisFabrica2Turnos(B1278,C1278), "")</f>
        <v>0</v>
      </c>
      <c r="E1278" s="478" t="str">
        <f t="shared" si="20"/>
        <v/>
      </c>
      <c r="F1278" s="266"/>
      <c r="G1278" s="656"/>
      <c r="H1278" s="479"/>
      <c r="I1278" s="268"/>
      <c r="J1278" s="268"/>
      <c r="K1278" s="268"/>
      <c r="L1278" s="269"/>
      <c r="M1278" s="511" t="str">
        <f>IFERROR(INDEX([1]Produtos!$C:$C,MATCH(L1278,[1]Produtos!$B:$B,0)), "-")</f>
        <v>-</v>
      </c>
      <c r="N1278" s="511" t="str">
        <f>IFERROR(INDEX([1]Produtos!$E:$E,MATCH(L1278,[1]Produtos!$B:$B,0)), "-")</f>
        <v>-</v>
      </c>
      <c r="O1278" s="483" t="str">
        <f>IFERROR(INDEX([1]Produtos!$F:$F,MATCH(L1278,[1]Produtos!$B:$B,0)), "-")</f>
        <v>-</v>
      </c>
      <c r="P1278" s="477" t="str">
        <f>IFERROR(INDEX([1]Produtos!$G:$G,MATCH(L1278,[1]Produtos!$B:$B,0)), "-")</f>
        <v>-</v>
      </c>
      <c r="Q1278" s="483" t="str">
        <f>IFERROR(INDEX([1]Produtos!$H:$H,MATCH(L1278,[1]Produtos!$B:$B,0)), "-")</f>
        <v>-</v>
      </c>
      <c r="R1278" s="483" t="str">
        <f>IFERROR(INDEX([1]Produtos!$I:$I,MATCH(L1278,[1]Produtos!$B:$B,0)), "-")</f>
        <v>-</v>
      </c>
      <c r="S1278" s="483" t="str">
        <f>IFERROR(INDEX([1]Produtos!$J:$J,MATCH(L1278,[1]Produtos!$B:$B,0)), "-")</f>
        <v>-</v>
      </c>
      <c r="T1278" s="484"/>
      <c r="U1278" s="483"/>
      <c r="V1278" s="483"/>
      <c r="W1278" s="483"/>
      <c r="X1278" s="483"/>
      <c r="Y1278" s="483"/>
      <c r="Z1278" s="483"/>
      <c r="AA1278" s="483"/>
      <c r="AB1278" s="483"/>
      <c r="AC1278" s="483"/>
      <c r="AD1278" s="483"/>
      <c r="AE1278" s="483"/>
      <c r="AF1278" s="483"/>
      <c r="AG1278" s="483"/>
      <c r="AH1278" s="483"/>
      <c r="AI1278" s="483"/>
      <c r="AJ1278" s="483"/>
      <c r="AK1278" s="483"/>
      <c r="AL1278" s="483"/>
      <c r="AM1278" s="670"/>
      <c r="AN1278" s="670"/>
      <c r="AO1278" s="711" t="str">
        <f>IF(OR(Table1[[#This Row],[Início Setup Envase]]="",Table1[[#This Row],[Final Setup Envase]]=""),"",Table1[[#This Row],[Final Setup Envase]]-Table1[[#This Row],[Início Setup Envase]])</f>
        <v/>
      </c>
      <c r="AP1278" s="670"/>
      <c r="AQ1278" s="670"/>
      <c r="AR1278" s="483"/>
      <c r="AS1278" s="483"/>
      <c r="AT1278" s="483"/>
      <c r="AU1278" s="483"/>
      <c r="AV1278" s="483"/>
      <c r="AW1278" s="483"/>
      <c r="AX1278" s="483"/>
      <c r="AY1278" s="270"/>
      <c r="AZ1278" s="270"/>
      <c r="BA1278" s="270" t="str">
        <f>IF(Table1[[#This Row],[Data de Início]]="","",YEAR(Table1[[#This Row],[Data de Início]]))</f>
        <v/>
      </c>
      <c r="BB1278" s="270" t="str">
        <f>IF(Table1[[#This Row],[Data de Início]]="","",MONTH(Table1[[#This Row],[Data de Início]]))</f>
        <v/>
      </c>
      <c r="BC1278" s="270"/>
    </row>
    <row r="1279" spans="2:55" x14ac:dyDescent="0.25">
      <c r="B1279" s="470"/>
      <c r="C1279" s="263"/>
      <c r="D1279" s="477" cm="1">
        <f t="array" ref="D1279">IFERROR(HorasUteisFabrica2Turnos(B1279,C1279), "")</f>
        <v>0</v>
      </c>
      <c r="E1279" s="697" t="str">
        <f t="shared" si="20"/>
        <v/>
      </c>
      <c r="F1279" s="266"/>
      <c r="G1279" s="698"/>
      <c r="H1279" s="266"/>
      <c r="I1279" s="268"/>
      <c r="J1279" s="268"/>
      <c r="K1279" s="268"/>
      <c r="L1279" s="269"/>
      <c r="M1279" s="510" t="str">
        <f>IFERROR(INDEX([1]Produtos!$C:$C,MATCH(L1279,[1]Produtos!$B:$B,0)), "-")</f>
        <v>-</v>
      </c>
      <c r="N1279" s="510" t="str">
        <f>IFERROR(INDEX([1]Produtos!$E:$E,MATCH(L1279,[1]Produtos!$B:$B,0)), "-")</f>
        <v>-</v>
      </c>
      <c r="O1279" s="270" t="str">
        <f>IFERROR(INDEX([1]Produtos!$F:$F,MATCH(L1279,[1]Produtos!$B:$B,0)), "-")</f>
        <v>-</v>
      </c>
      <c r="P1279" s="264" t="str">
        <f>IFERROR(INDEX([1]Produtos!$G:$G,MATCH(L1279,[1]Produtos!$B:$B,0)), "-")</f>
        <v>-</v>
      </c>
      <c r="Q1279" s="270" t="str">
        <f>IFERROR(INDEX([1]Produtos!$H:$H,MATCH(L1279,[1]Produtos!$B:$B,0)), "-")</f>
        <v>-</v>
      </c>
      <c r="R1279" s="270" t="str">
        <f>IFERROR(INDEX([1]Produtos!$I:$I,MATCH(L1279,[1]Produtos!$B:$B,0)), "-")</f>
        <v>-</v>
      </c>
      <c r="S1279" s="270" t="str">
        <f>IFERROR(INDEX([1]Produtos!$J:$J,MATCH(L1279,[1]Produtos!$B:$B,0)), "-")</f>
        <v>-</v>
      </c>
      <c r="T1279" s="475"/>
      <c r="U1279" s="270"/>
      <c r="V1279" s="270"/>
      <c r="W1279" s="270"/>
      <c r="X1279" s="270"/>
      <c r="Y1279" s="270"/>
      <c r="Z1279" s="270"/>
      <c r="AA1279" s="270"/>
      <c r="AB1279" s="270"/>
      <c r="AC1279" s="270"/>
      <c r="AD1279" s="270"/>
      <c r="AE1279" s="270"/>
      <c r="AF1279" s="270"/>
      <c r="AG1279" s="270"/>
      <c r="AH1279" s="270"/>
      <c r="AI1279" s="270"/>
      <c r="AJ1279" s="270"/>
      <c r="AK1279" s="270"/>
      <c r="AL1279" s="270"/>
      <c r="AM1279" s="663"/>
      <c r="AN1279" s="663"/>
      <c r="AO1279" s="708" t="str">
        <f>IF(OR(Table1[[#This Row],[Início Setup Envase]]="",Table1[[#This Row],[Final Setup Envase]]=""),"",Table1[[#This Row],[Final Setup Envase]]-Table1[[#This Row],[Início Setup Envase]])</f>
        <v/>
      </c>
      <c r="AP1279" s="663"/>
      <c r="AQ1279" s="663"/>
      <c r="AR1279" s="270"/>
      <c r="AS1279" s="674"/>
      <c r="AT1279" s="674"/>
      <c r="AU1279" s="270"/>
      <c r="AV1279" s="270"/>
      <c r="AW1279" s="270"/>
      <c r="AX1279" s="270"/>
      <c r="AY1279" s="270"/>
      <c r="AZ1279" s="270"/>
      <c r="BA1279" s="270" t="str">
        <f>IF(Table1[[#This Row],[Data de Início]]="","",YEAR(Table1[[#This Row],[Data de Início]]))</f>
        <v/>
      </c>
      <c r="BB1279" s="270" t="str">
        <f>IF(Table1[[#This Row],[Data de Início]]="","",MONTH(Table1[[#This Row],[Data de Início]]))</f>
        <v/>
      </c>
      <c r="BC1279" s="483"/>
    </row>
    <row r="1280" spans="2:55" x14ac:dyDescent="0.25">
      <c r="B1280" s="470"/>
      <c r="C1280" s="263"/>
      <c r="D1280" s="477" cm="1">
        <f t="array" ref="D1280">IFERROR(HorasUteisFabrica2Turnos(B1280,C1280), "")</f>
        <v>0</v>
      </c>
      <c r="E1280" s="478" t="str">
        <f t="shared" si="20"/>
        <v/>
      </c>
      <c r="F1280" s="266"/>
      <c r="G1280" s="656"/>
      <c r="H1280" s="479"/>
      <c r="I1280" s="268"/>
      <c r="J1280" s="268"/>
      <c r="K1280" s="268"/>
      <c r="L1280" s="269"/>
      <c r="M1280" s="511" t="str">
        <f>IFERROR(INDEX([1]Produtos!$C:$C,MATCH(L1280,[1]Produtos!$B:$B,0)), "-")</f>
        <v>-</v>
      </c>
      <c r="N1280" s="511" t="str">
        <f>IFERROR(INDEX([1]Produtos!$E:$E,MATCH(L1280,[1]Produtos!$B:$B,0)), "-")</f>
        <v>-</v>
      </c>
      <c r="O1280" s="483" t="str">
        <f>IFERROR(INDEX([1]Produtos!$F:$F,MATCH(L1280,[1]Produtos!$B:$B,0)), "-")</f>
        <v>-</v>
      </c>
      <c r="P1280" s="477" t="str">
        <f>IFERROR(INDEX([1]Produtos!$G:$G,MATCH(L1280,[1]Produtos!$B:$B,0)), "-")</f>
        <v>-</v>
      </c>
      <c r="Q1280" s="483" t="str">
        <f>IFERROR(INDEX([1]Produtos!$H:$H,MATCH(L1280,[1]Produtos!$B:$B,0)), "-")</f>
        <v>-</v>
      </c>
      <c r="R1280" s="483" t="str">
        <f>IFERROR(INDEX([1]Produtos!$I:$I,MATCH(L1280,[1]Produtos!$B:$B,0)), "-")</f>
        <v>-</v>
      </c>
      <c r="S1280" s="483" t="str">
        <f>IFERROR(INDEX([1]Produtos!$J:$J,MATCH(L1280,[1]Produtos!$B:$B,0)), "-")</f>
        <v>-</v>
      </c>
      <c r="T1280" s="484"/>
      <c r="U1280" s="483"/>
      <c r="V1280" s="483"/>
      <c r="W1280" s="483"/>
      <c r="X1280" s="483"/>
      <c r="Y1280" s="483"/>
      <c r="Z1280" s="483"/>
      <c r="AA1280" s="483"/>
      <c r="AB1280" s="483"/>
      <c r="AC1280" s="483"/>
      <c r="AD1280" s="483"/>
      <c r="AE1280" s="483"/>
      <c r="AF1280" s="483"/>
      <c r="AG1280" s="483"/>
      <c r="AH1280" s="483"/>
      <c r="AI1280" s="483"/>
      <c r="AJ1280" s="483"/>
      <c r="AK1280" s="483"/>
      <c r="AL1280" s="483"/>
      <c r="AM1280" s="670"/>
      <c r="AN1280" s="670"/>
      <c r="AO1280" s="711" t="str">
        <f>IF(OR(Table1[[#This Row],[Início Setup Envase]]="",Table1[[#This Row],[Final Setup Envase]]=""),"",Table1[[#This Row],[Final Setup Envase]]-Table1[[#This Row],[Início Setup Envase]])</f>
        <v/>
      </c>
      <c r="AP1280" s="670"/>
      <c r="AQ1280" s="670"/>
      <c r="AR1280" s="483"/>
      <c r="AS1280" s="483"/>
      <c r="AT1280" s="483"/>
      <c r="AU1280" s="483"/>
      <c r="AV1280" s="483"/>
      <c r="AW1280" s="483"/>
      <c r="AX1280" s="483"/>
      <c r="AY1280" s="270"/>
      <c r="AZ1280" s="270"/>
      <c r="BA1280" s="270" t="str">
        <f>IF(Table1[[#This Row],[Data de Início]]="","",YEAR(Table1[[#This Row],[Data de Início]]))</f>
        <v/>
      </c>
      <c r="BB1280" s="270" t="str">
        <f>IF(Table1[[#This Row],[Data de Início]]="","",MONTH(Table1[[#This Row],[Data de Início]]))</f>
        <v/>
      </c>
      <c r="BC1280" s="270"/>
    </row>
    <row r="1281" spans="2:55" x14ac:dyDescent="0.25">
      <c r="B1281" s="470"/>
      <c r="C1281" s="263"/>
      <c r="D1281" s="477" cm="1">
        <f t="array" ref="D1281">IFERROR(HorasUteisFabrica2Turnos(B1281,C1281), "")</f>
        <v>0</v>
      </c>
      <c r="E1281" s="697" t="str">
        <f t="shared" si="20"/>
        <v/>
      </c>
      <c r="F1281" s="266"/>
      <c r="G1281" s="698"/>
      <c r="H1281" s="266"/>
      <c r="I1281" s="268"/>
      <c r="J1281" s="268"/>
      <c r="K1281" s="268"/>
      <c r="L1281" s="269"/>
      <c r="M1281" s="510" t="str">
        <f>IFERROR(INDEX([1]Produtos!$C:$C,MATCH(L1281,[1]Produtos!$B:$B,0)), "-")</f>
        <v>-</v>
      </c>
      <c r="N1281" s="510" t="str">
        <f>IFERROR(INDEX([1]Produtos!$E:$E,MATCH(L1281,[1]Produtos!$B:$B,0)), "-")</f>
        <v>-</v>
      </c>
      <c r="O1281" s="270" t="str">
        <f>IFERROR(INDEX([1]Produtos!$F:$F,MATCH(L1281,[1]Produtos!$B:$B,0)), "-")</f>
        <v>-</v>
      </c>
      <c r="P1281" s="264" t="str">
        <f>IFERROR(INDEX([1]Produtos!$G:$G,MATCH(L1281,[1]Produtos!$B:$B,0)), "-")</f>
        <v>-</v>
      </c>
      <c r="Q1281" s="270" t="str">
        <f>IFERROR(INDEX([1]Produtos!$H:$H,MATCH(L1281,[1]Produtos!$B:$B,0)), "-")</f>
        <v>-</v>
      </c>
      <c r="R1281" s="270" t="str">
        <f>IFERROR(INDEX([1]Produtos!$I:$I,MATCH(L1281,[1]Produtos!$B:$B,0)), "-")</f>
        <v>-</v>
      </c>
      <c r="S1281" s="270" t="str">
        <f>IFERROR(INDEX([1]Produtos!$J:$J,MATCH(L1281,[1]Produtos!$B:$B,0)), "-")</f>
        <v>-</v>
      </c>
      <c r="T1281" s="475"/>
      <c r="U1281" s="270"/>
      <c r="V1281" s="270"/>
      <c r="W1281" s="270"/>
      <c r="X1281" s="270"/>
      <c r="Y1281" s="270"/>
      <c r="Z1281" s="270"/>
      <c r="AA1281" s="270"/>
      <c r="AB1281" s="270"/>
      <c r="AC1281" s="270"/>
      <c r="AD1281" s="270"/>
      <c r="AE1281" s="270"/>
      <c r="AF1281" s="270"/>
      <c r="AG1281" s="270"/>
      <c r="AH1281" s="270"/>
      <c r="AI1281" s="270"/>
      <c r="AJ1281" s="270"/>
      <c r="AK1281" s="270"/>
      <c r="AL1281" s="270"/>
      <c r="AM1281" s="663"/>
      <c r="AN1281" s="663"/>
      <c r="AO1281" s="708" t="str">
        <f>IF(OR(Table1[[#This Row],[Início Setup Envase]]="",Table1[[#This Row],[Final Setup Envase]]=""),"",Table1[[#This Row],[Final Setup Envase]]-Table1[[#This Row],[Início Setup Envase]])</f>
        <v/>
      </c>
      <c r="AP1281" s="663"/>
      <c r="AQ1281" s="663"/>
      <c r="AR1281" s="270"/>
      <c r="AS1281" s="674"/>
      <c r="AT1281" s="674"/>
      <c r="AU1281" s="270"/>
      <c r="AV1281" s="270"/>
      <c r="AW1281" s="270"/>
      <c r="AX1281" s="270"/>
      <c r="AY1281" s="270"/>
      <c r="AZ1281" s="270"/>
      <c r="BA1281" s="270" t="str">
        <f>IF(Table1[[#This Row],[Data de Início]]="","",YEAR(Table1[[#This Row],[Data de Início]]))</f>
        <v/>
      </c>
      <c r="BB1281" s="270" t="str">
        <f>IF(Table1[[#This Row],[Data de Início]]="","",MONTH(Table1[[#This Row],[Data de Início]]))</f>
        <v/>
      </c>
      <c r="BC1281" s="483"/>
    </row>
    <row r="1282" spans="2:55" x14ac:dyDescent="0.25">
      <c r="B1282" s="470"/>
      <c r="C1282" s="263"/>
      <c r="D1282" s="477" cm="1">
        <f t="array" ref="D1282">IFERROR(HorasUteisFabrica2Turnos(B1282,C1282), "")</f>
        <v>0</v>
      </c>
      <c r="E1282" s="478" t="str">
        <f t="shared" si="20"/>
        <v/>
      </c>
      <c r="F1282" s="266"/>
      <c r="G1282" s="656"/>
      <c r="H1282" s="479"/>
      <c r="I1282" s="268"/>
      <c r="J1282" s="268"/>
      <c r="K1282" s="268"/>
      <c r="L1282" s="269"/>
      <c r="M1282" s="511" t="str">
        <f>IFERROR(INDEX([1]Produtos!$C:$C,MATCH(L1282,[1]Produtos!$B:$B,0)), "-")</f>
        <v>-</v>
      </c>
      <c r="N1282" s="511" t="str">
        <f>IFERROR(INDEX([1]Produtos!$E:$E,MATCH(L1282,[1]Produtos!$B:$B,0)), "-")</f>
        <v>-</v>
      </c>
      <c r="O1282" s="483" t="str">
        <f>IFERROR(INDEX([1]Produtos!$F:$F,MATCH(L1282,[1]Produtos!$B:$B,0)), "-")</f>
        <v>-</v>
      </c>
      <c r="P1282" s="477" t="str">
        <f>IFERROR(INDEX([1]Produtos!$G:$G,MATCH(L1282,[1]Produtos!$B:$B,0)), "-")</f>
        <v>-</v>
      </c>
      <c r="Q1282" s="483" t="str">
        <f>IFERROR(INDEX([1]Produtos!$H:$H,MATCH(L1282,[1]Produtos!$B:$B,0)), "-")</f>
        <v>-</v>
      </c>
      <c r="R1282" s="483" t="str">
        <f>IFERROR(INDEX([1]Produtos!$I:$I,MATCH(L1282,[1]Produtos!$B:$B,0)), "-")</f>
        <v>-</v>
      </c>
      <c r="S1282" s="483" t="str">
        <f>IFERROR(INDEX([1]Produtos!$J:$J,MATCH(L1282,[1]Produtos!$B:$B,0)), "-")</f>
        <v>-</v>
      </c>
      <c r="T1282" s="484"/>
      <c r="U1282" s="483"/>
      <c r="V1282" s="483"/>
      <c r="W1282" s="483"/>
      <c r="X1282" s="483"/>
      <c r="Y1282" s="483"/>
      <c r="Z1282" s="483"/>
      <c r="AA1282" s="483"/>
      <c r="AB1282" s="483"/>
      <c r="AC1282" s="483"/>
      <c r="AD1282" s="483"/>
      <c r="AE1282" s="483"/>
      <c r="AF1282" s="483"/>
      <c r="AG1282" s="483"/>
      <c r="AH1282" s="483"/>
      <c r="AI1282" s="483"/>
      <c r="AJ1282" s="483"/>
      <c r="AK1282" s="483"/>
      <c r="AL1282" s="483"/>
      <c r="AM1282" s="670"/>
      <c r="AN1282" s="670"/>
      <c r="AO1282" s="711" t="str">
        <f>IF(OR(Table1[[#This Row],[Início Setup Envase]]="",Table1[[#This Row],[Final Setup Envase]]=""),"",Table1[[#This Row],[Final Setup Envase]]-Table1[[#This Row],[Início Setup Envase]])</f>
        <v/>
      </c>
      <c r="AP1282" s="670"/>
      <c r="AQ1282" s="670"/>
      <c r="AR1282" s="483"/>
      <c r="AS1282" s="483"/>
      <c r="AT1282" s="483"/>
      <c r="AU1282" s="483"/>
      <c r="AV1282" s="483"/>
      <c r="AW1282" s="483"/>
      <c r="AX1282" s="483"/>
      <c r="AY1282" s="270"/>
      <c r="AZ1282" s="270"/>
      <c r="BA1282" s="270" t="str">
        <f>IF(Table1[[#This Row],[Data de Início]]="","",YEAR(Table1[[#This Row],[Data de Início]]))</f>
        <v/>
      </c>
      <c r="BB1282" s="270" t="str">
        <f>IF(Table1[[#This Row],[Data de Início]]="","",MONTH(Table1[[#This Row],[Data de Início]]))</f>
        <v/>
      </c>
      <c r="BC1282" s="270"/>
    </row>
    <row r="1283" spans="2:55" x14ac:dyDescent="0.25">
      <c r="B1283" s="470"/>
      <c r="C1283" s="263"/>
      <c r="D1283" s="477" cm="1">
        <f t="array" ref="D1283">IFERROR(HorasUteisFabrica2Turnos(B1283,C1283), "")</f>
        <v>0</v>
      </c>
      <c r="E1283" s="697" t="str">
        <f t="shared" si="20"/>
        <v/>
      </c>
      <c r="F1283" s="266"/>
      <c r="G1283" s="698"/>
      <c r="H1283" s="266"/>
      <c r="I1283" s="268"/>
      <c r="J1283" s="268"/>
      <c r="K1283" s="268"/>
      <c r="L1283" s="269"/>
      <c r="M1283" s="510" t="str">
        <f>IFERROR(INDEX([1]Produtos!$C:$C,MATCH(L1283,[1]Produtos!$B:$B,0)), "-")</f>
        <v>-</v>
      </c>
      <c r="N1283" s="510" t="str">
        <f>IFERROR(INDEX([1]Produtos!$E:$E,MATCH(L1283,[1]Produtos!$B:$B,0)), "-")</f>
        <v>-</v>
      </c>
      <c r="O1283" s="270" t="str">
        <f>IFERROR(INDEX([1]Produtos!$F:$F,MATCH(L1283,[1]Produtos!$B:$B,0)), "-")</f>
        <v>-</v>
      </c>
      <c r="P1283" s="264" t="str">
        <f>IFERROR(INDEX([1]Produtos!$G:$G,MATCH(L1283,[1]Produtos!$B:$B,0)), "-")</f>
        <v>-</v>
      </c>
      <c r="Q1283" s="270" t="str">
        <f>IFERROR(INDEX([1]Produtos!$H:$H,MATCH(L1283,[1]Produtos!$B:$B,0)), "-")</f>
        <v>-</v>
      </c>
      <c r="R1283" s="270" t="str">
        <f>IFERROR(INDEX([1]Produtos!$I:$I,MATCH(L1283,[1]Produtos!$B:$B,0)), "-")</f>
        <v>-</v>
      </c>
      <c r="S1283" s="270" t="str">
        <f>IFERROR(INDEX([1]Produtos!$J:$J,MATCH(L1283,[1]Produtos!$B:$B,0)), "-")</f>
        <v>-</v>
      </c>
      <c r="T1283" s="475"/>
      <c r="U1283" s="270"/>
      <c r="V1283" s="270"/>
      <c r="W1283" s="270"/>
      <c r="X1283" s="270"/>
      <c r="Y1283" s="270"/>
      <c r="Z1283" s="270"/>
      <c r="AA1283" s="270"/>
      <c r="AB1283" s="270"/>
      <c r="AC1283" s="270"/>
      <c r="AD1283" s="270"/>
      <c r="AE1283" s="270"/>
      <c r="AF1283" s="270"/>
      <c r="AG1283" s="270"/>
      <c r="AH1283" s="270"/>
      <c r="AI1283" s="270"/>
      <c r="AJ1283" s="270"/>
      <c r="AK1283" s="270"/>
      <c r="AL1283" s="270"/>
      <c r="AM1283" s="663"/>
      <c r="AN1283" s="663"/>
      <c r="AO1283" s="708" t="str">
        <f>IF(OR(Table1[[#This Row],[Início Setup Envase]]="",Table1[[#This Row],[Final Setup Envase]]=""),"",Table1[[#This Row],[Final Setup Envase]]-Table1[[#This Row],[Início Setup Envase]])</f>
        <v/>
      </c>
      <c r="AP1283" s="663"/>
      <c r="AQ1283" s="663"/>
      <c r="AR1283" s="270"/>
      <c r="AS1283" s="674"/>
      <c r="AT1283" s="674"/>
      <c r="AU1283" s="270"/>
      <c r="AV1283" s="270"/>
      <c r="AW1283" s="270"/>
      <c r="AX1283" s="270"/>
      <c r="AY1283" s="270"/>
      <c r="AZ1283" s="270"/>
      <c r="BA1283" s="270" t="str">
        <f>IF(Table1[[#This Row],[Data de Início]]="","",YEAR(Table1[[#This Row],[Data de Início]]))</f>
        <v/>
      </c>
      <c r="BB1283" s="270" t="str">
        <f>IF(Table1[[#This Row],[Data de Início]]="","",MONTH(Table1[[#This Row],[Data de Início]]))</f>
        <v/>
      </c>
      <c r="BC1283" s="483"/>
    </row>
    <row r="1284" spans="2:55" x14ac:dyDescent="0.25">
      <c r="B1284" s="470"/>
      <c r="C1284" s="263"/>
      <c r="D1284" s="477" cm="1">
        <f t="array" ref="D1284">IFERROR(HorasUteisFabrica2Turnos(B1284,C1284), "")</f>
        <v>0</v>
      </c>
      <c r="E1284" s="478" t="str">
        <f t="shared" si="20"/>
        <v/>
      </c>
      <c r="F1284" s="266"/>
      <c r="G1284" s="656"/>
      <c r="H1284" s="479"/>
      <c r="I1284" s="268"/>
      <c r="J1284" s="268"/>
      <c r="K1284" s="268"/>
      <c r="L1284" s="269"/>
      <c r="M1284" s="511" t="str">
        <f>IFERROR(INDEX([1]Produtos!$C:$C,MATCH(L1284,[1]Produtos!$B:$B,0)), "-")</f>
        <v>-</v>
      </c>
      <c r="N1284" s="511" t="str">
        <f>IFERROR(INDEX([1]Produtos!$E:$E,MATCH(L1284,[1]Produtos!$B:$B,0)), "-")</f>
        <v>-</v>
      </c>
      <c r="O1284" s="483" t="str">
        <f>IFERROR(INDEX([1]Produtos!$F:$F,MATCH(L1284,[1]Produtos!$B:$B,0)), "-")</f>
        <v>-</v>
      </c>
      <c r="P1284" s="477" t="str">
        <f>IFERROR(INDEX([1]Produtos!$G:$G,MATCH(L1284,[1]Produtos!$B:$B,0)), "-")</f>
        <v>-</v>
      </c>
      <c r="Q1284" s="483" t="str">
        <f>IFERROR(INDEX([1]Produtos!$H:$H,MATCH(L1284,[1]Produtos!$B:$B,0)), "-")</f>
        <v>-</v>
      </c>
      <c r="R1284" s="483" t="str">
        <f>IFERROR(INDEX([1]Produtos!$I:$I,MATCH(L1284,[1]Produtos!$B:$B,0)), "-")</f>
        <v>-</v>
      </c>
      <c r="S1284" s="483" t="str">
        <f>IFERROR(INDEX([1]Produtos!$J:$J,MATCH(L1284,[1]Produtos!$B:$B,0)), "-")</f>
        <v>-</v>
      </c>
      <c r="T1284" s="484"/>
      <c r="U1284" s="483"/>
      <c r="V1284" s="483"/>
      <c r="W1284" s="483"/>
      <c r="X1284" s="483"/>
      <c r="Y1284" s="483"/>
      <c r="Z1284" s="483"/>
      <c r="AA1284" s="483"/>
      <c r="AB1284" s="483"/>
      <c r="AC1284" s="483"/>
      <c r="AD1284" s="483"/>
      <c r="AE1284" s="483"/>
      <c r="AF1284" s="483"/>
      <c r="AG1284" s="483"/>
      <c r="AH1284" s="483"/>
      <c r="AI1284" s="483"/>
      <c r="AJ1284" s="483"/>
      <c r="AK1284" s="483"/>
      <c r="AL1284" s="483"/>
      <c r="AM1284" s="670"/>
      <c r="AN1284" s="670"/>
      <c r="AO1284" s="711" t="str">
        <f>IF(OR(Table1[[#This Row],[Início Setup Envase]]="",Table1[[#This Row],[Final Setup Envase]]=""),"",Table1[[#This Row],[Final Setup Envase]]-Table1[[#This Row],[Início Setup Envase]])</f>
        <v/>
      </c>
      <c r="AP1284" s="670"/>
      <c r="AQ1284" s="670"/>
      <c r="AR1284" s="483"/>
      <c r="AS1284" s="483"/>
      <c r="AT1284" s="483"/>
      <c r="AU1284" s="483"/>
      <c r="AV1284" s="483"/>
      <c r="AW1284" s="483"/>
      <c r="AX1284" s="483"/>
      <c r="AY1284" s="270"/>
      <c r="AZ1284" s="270"/>
      <c r="BA1284" s="270" t="str">
        <f>IF(Table1[[#This Row],[Data de Início]]="","",YEAR(Table1[[#This Row],[Data de Início]]))</f>
        <v/>
      </c>
      <c r="BB1284" s="270" t="str">
        <f>IF(Table1[[#This Row],[Data de Início]]="","",MONTH(Table1[[#This Row],[Data de Início]]))</f>
        <v/>
      </c>
      <c r="BC1284" s="270"/>
    </row>
    <row r="1285" spans="2:55" x14ac:dyDescent="0.25">
      <c r="B1285" s="470"/>
      <c r="C1285" s="263"/>
      <c r="D1285" s="477" cm="1">
        <f t="array" ref="D1285">IFERROR(HorasUteisFabrica2Turnos(B1285,C1285), "")</f>
        <v>0</v>
      </c>
      <c r="E1285" s="697" t="str">
        <f t="shared" si="20"/>
        <v/>
      </c>
      <c r="F1285" s="266"/>
      <c r="G1285" s="698"/>
      <c r="H1285" s="266"/>
      <c r="I1285" s="268"/>
      <c r="J1285" s="268"/>
      <c r="K1285" s="268"/>
      <c r="L1285" s="269"/>
      <c r="M1285" s="510" t="str">
        <f>IFERROR(INDEX([1]Produtos!$C:$C,MATCH(L1285,[1]Produtos!$B:$B,0)), "-")</f>
        <v>-</v>
      </c>
      <c r="N1285" s="510" t="str">
        <f>IFERROR(INDEX([1]Produtos!$E:$E,MATCH(L1285,[1]Produtos!$B:$B,0)), "-")</f>
        <v>-</v>
      </c>
      <c r="O1285" s="270" t="str">
        <f>IFERROR(INDEX([1]Produtos!$F:$F,MATCH(L1285,[1]Produtos!$B:$B,0)), "-")</f>
        <v>-</v>
      </c>
      <c r="P1285" s="264" t="str">
        <f>IFERROR(INDEX([1]Produtos!$G:$G,MATCH(L1285,[1]Produtos!$B:$B,0)), "-")</f>
        <v>-</v>
      </c>
      <c r="Q1285" s="270" t="str">
        <f>IFERROR(INDEX([1]Produtos!$H:$H,MATCH(L1285,[1]Produtos!$B:$B,0)), "-")</f>
        <v>-</v>
      </c>
      <c r="R1285" s="270" t="str">
        <f>IFERROR(INDEX([1]Produtos!$I:$I,MATCH(L1285,[1]Produtos!$B:$B,0)), "-")</f>
        <v>-</v>
      </c>
      <c r="S1285" s="270" t="str">
        <f>IFERROR(INDEX([1]Produtos!$J:$J,MATCH(L1285,[1]Produtos!$B:$B,0)), "-")</f>
        <v>-</v>
      </c>
      <c r="T1285" s="475"/>
      <c r="U1285" s="270"/>
      <c r="V1285" s="270"/>
      <c r="W1285" s="270"/>
      <c r="X1285" s="270"/>
      <c r="Y1285" s="270"/>
      <c r="Z1285" s="270"/>
      <c r="AA1285" s="270"/>
      <c r="AB1285" s="270"/>
      <c r="AC1285" s="270"/>
      <c r="AD1285" s="270"/>
      <c r="AE1285" s="270"/>
      <c r="AF1285" s="270"/>
      <c r="AG1285" s="270"/>
      <c r="AH1285" s="270"/>
      <c r="AI1285" s="270"/>
      <c r="AJ1285" s="270"/>
      <c r="AK1285" s="270"/>
      <c r="AL1285" s="270"/>
      <c r="AM1285" s="663"/>
      <c r="AN1285" s="663"/>
      <c r="AO1285" s="708" t="str">
        <f>IF(OR(Table1[[#This Row],[Início Setup Envase]]="",Table1[[#This Row],[Final Setup Envase]]=""),"",Table1[[#This Row],[Final Setup Envase]]-Table1[[#This Row],[Início Setup Envase]])</f>
        <v/>
      </c>
      <c r="AP1285" s="663"/>
      <c r="AQ1285" s="663"/>
      <c r="AR1285" s="270"/>
      <c r="AS1285" s="674"/>
      <c r="AT1285" s="674"/>
      <c r="AU1285" s="270"/>
      <c r="AV1285" s="270"/>
      <c r="AW1285" s="270"/>
      <c r="AX1285" s="270"/>
      <c r="AY1285" s="270"/>
      <c r="AZ1285" s="270"/>
      <c r="BA1285" s="270" t="str">
        <f>IF(Table1[[#This Row],[Data de Início]]="","",YEAR(Table1[[#This Row],[Data de Início]]))</f>
        <v/>
      </c>
      <c r="BB1285" s="270" t="str">
        <f>IF(Table1[[#This Row],[Data de Início]]="","",MONTH(Table1[[#This Row],[Data de Início]]))</f>
        <v/>
      </c>
      <c r="BC1285" s="483"/>
    </row>
    <row r="1286" spans="2:55" x14ac:dyDescent="0.25">
      <c r="B1286" s="470"/>
      <c r="C1286" s="263"/>
      <c r="D1286" s="477" cm="1">
        <f t="array" ref="D1286">IFERROR(HorasUteisFabrica2Turnos(B1286,C1286), "")</f>
        <v>0</v>
      </c>
      <c r="E1286" s="478" t="str">
        <f t="shared" si="20"/>
        <v/>
      </c>
      <c r="F1286" s="266"/>
      <c r="G1286" s="656"/>
      <c r="H1286" s="479"/>
      <c r="I1286" s="268"/>
      <c r="J1286" s="268"/>
      <c r="K1286" s="268"/>
      <c r="L1286" s="269"/>
      <c r="M1286" s="511" t="str">
        <f>IFERROR(INDEX([1]Produtos!$C:$C,MATCH(L1286,[1]Produtos!$B:$B,0)), "-")</f>
        <v>-</v>
      </c>
      <c r="N1286" s="511" t="str">
        <f>IFERROR(INDEX([1]Produtos!$E:$E,MATCH(L1286,[1]Produtos!$B:$B,0)), "-")</f>
        <v>-</v>
      </c>
      <c r="O1286" s="483" t="str">
        <f>IFERROR(INDEX([1]Produtos!$F:$F,MATCH(L1286,[1]Produtos!$B:$B,0)), "-")</f>
        <v>-</v>
      </c>
      <c r="P1286" s="477" t="str">
        <f>IFERROR(INDEX([1]Produtos!$G:$G,MATCH(L1286,[1]Produtos!$B:$B,0)), "-")</f>
        <v>-</v>
      </c>
      <c r="Q1286" s="483" t="str">
        <f>IFERROR(INDEX([1]Produtos!$H:$H,MATCH(L1286,[1]Produtos!$B:$B,0)), "-")</f>
        <v>-</v>
      </c>
      <c r="R1286" s="483" t="str">
        <f>IFERROR(INDEX([1]Produtos!$I:$I,MATCH(L1286,[1]Produtos!$B:$B,0)), "-")</f>
        <v>-</v>
      </c>
      <c r="S1286" s="483" t="str">
        <f>IFERROR(INDEX([1]Produtos!$J:$J,MATCH(L1286,[1]Produtos!$B:$B,0)), "-")</f>
        <v>-</v>
      </c>
      <c r="T1286" s="484"/>
      <c r="U1286" s="483"/>
      <c r="V1286" s="483"/>
      <c r="W1286" s="483"/>
      <c r="X1286" s="483"/>
      <c r="Y1286" s="483"/>
      <c r="Z1286" s="483"/>
      <c r="AA1286" s="483"/>
      <c r="AB1286" s="483"/>
      <c r="AC1286" s="483"/>
      <c r="AD1286" s="483"/>
      <c r="AE1286" s="483"/>
      <c r="AF1286" s="483"/>
      <c r="AG1286" s="483"/>
      <c r="AH1286" s="483"/>
      <c r="AI1286" s="483"/>
      <c r="AJ1286" s="483"/>
      <c r="AK1286" s="483"/>
      <c r="AL1286" s="483"/>
      <c r="AM1286" s="670"/>
      <c r="AN1286" s="670"/>
      <c r="AO1286" s="711" t="str">
        <f>IF(OR(Table1[[#This Row],[Início Setup Envase]]="",Table1[[#This Row],[Final Setup Envase]]=""),"",Table1[[#This Row],[Final Setup Envase]]-Table1[[#This Row],[Início Setup Envase]])</f>
        <v/>
      </c>
      <c r="AP1286" s="670"/>
      <c r="AQ1286" s="670"/>
      <c r="AR1286" s="483"/>
      <c r="AS1286" s="483"/>
      <c r="AT1286" s="483"/>
      <c r="AU1286" s="483"/>
      <c r="AV1286" s="483"/>
      <c r="AW1286" s="483"/>
      <c r="AX1286" s="483"/>
      <c r="AY1286" s="270"/>
      <c r="AZ1286" s="270"/>
      <c r="BA1286" s="270" t="str">
        <f>IF(Table1[[#This Row],[Data de Início]]="","",YEAR(Table1[[#This Row],[Data de Início]]))</f>
        <v/>
      </c>
      <c r="BB1286" s="270" t="str">
        <f>IF(Table1[[#This Row],[Data de Início]]="","",MONTH(Table1[[#This Row],[Data de Início]]))</f>
        <v/>
      </c>
      <c r="BC1286" s="270"/>
    </row>
    <row r="1287" spans="2:55" x14ac:dyDescent="0.25">
      <c r="B1287" s="470"/>
      <c r="C1287" s="263"/>
      <c r="D1287" s="477" cm="1">
        <f t="array" ref="D1287">IFERROR(HorasUteisFabrica2Turnos(B1287,C1287), "")</f>
        <v>0</v>
      </c>
      <c r="E1287" s="697" t="str">
        <f t="shared" si="20"/>
        <v/>
      </c>
      <c r="F1287" s="266"/>
      <c r="G1287" s="698"/>
      <c r="H1287" s="266"/>
      <c r="I1287" s="268"/>
      <c r="J1287" s="268"/>
      <c r="K1287" s="268"/>
      <c r="L1287" s="269"/>
      <c r="M1287" s="510" t="str">
        <f>IFERROR(INDEX([1]Produtos!$C:$C,MATCH(L1287,[1]Produtos!$B:$B,0)), "-")</f>
        <v>-</v>
      </c>
      <c r="N1287" s="510" t="str">
        <f>IFERROR(INDEX([1]Produtos!$E:$E,MATCH(L1287,[1]Produtos!$B:$B,0)), "-")</f>
        <v>-</v>
      </c>
      <c r="O1287" s="270" t="str">
        <f>IFERROR(INDEX([1]Produtos!$F:$F,MATCH(L1287,[1]Produtos!$B:$B,0)), "-")</f>
        <v>-</v>
      </c>
      <c r="P1287" s="264" t="str">
        <f>IFERROR(INDEX([1]Produtos!$G:$G,MATCH(L1287,[1]Produtos!$B:$B,0)), "-")</f>
        <v>-</v>
      </c>
      <c r="Q1287" s="270" t="str">
        <f>IFERROR(INDEX([1]Produtos!$H:$H,MATCH(L1287,[1]Produtos!$B:$B,0)), "-")</f>
        <v>-</v>
      </c>
      <c r="R1287" s="270" t="str">
        <f>IFERROR(INDEX([1]Produtos!$I:$I,MATCH(L1287,[1]Produtos!$B:$B,0)), "-")</f>
        <v>-</v>
      </c>
      <c r="S1287" s="270" t="str">
        <f>IFERROR(INDEX([1]Produtos!$J:$J,MATCH(L1287,[1]Produtos!$B:$B,0)), "-")</f>
        <v>-</v>
      </c>
      <c r="T1287" s="475"/>
      <c r="U1287" s="270"/>
      <c r="V1287" s="270"/>
      <c r="W1287" s="270"/>
      <c r="X1287" s="270"/>
      <c r="Y1287" s="270"/>
      <c r="Z1287" s="270"/>
      <c r="AA1287" s="270"/>
      <c r="AB1287" s="270"/>
      <c r="AC1287" s="270"/>
      <c r="AD1287" s="270"/>
      <c r="AE1287" s="270"/>
      <c r="AF1287" s="270"/>
      <c r="AG1287" s="270"/>
      <c r="AH1287" s="270"/>
      <c r="AI1287" s="270"/>
      <c r="AJ1287" s="270"/>
      <c r="AK1287" s="270"/>
      <c r="AL1287" s="270"/>
      <c r="AM1287" s="663"/>
      <c r="AN1287" s="663"/>
      <c r="AO1287" s="708" t="str">
        <f>IF(OR(Table1[[#This Row],[Início Setup Envase]]="",Table1[[#This Row],[Final Setup Envase]]=""),"",Table1[[#This Row],[Final Setup Envase]]-Table1[[#This Row],[Início Setup Envase]])</f>
        <v/>
      </c>
      <c r="AP1287" s="663"/>
      <c r="AQ1287" s="663"/>
      <c r="AR1287" s="270"/>
      <c r="AS1287" s="674"/>
      <c r="AT1287" s="674"/>
      <c r="AU1287" s="270"/>
      <c r="AV1287" s="270"/>
      <c r="AW1287" s="270"/>
      <c r="AX1287" s="270"/>
      <c r="AY1287" s="270"/>
      <c r="AZ1287" s="270"/>
      <c r="BA1287" s="270" t="str">
        <f>IF(Table1[[#This Row],[Data de Início]]="","",YEAR(Table1[[#This Row],[Data de Início]]))</f>
        <v/>
      </c>
      <c r="BB1287" s="270" t="str">
        <f>IF(Table1[[#This Row],[Data de Início]]="","",MONTH(Table1[[#This Row],[Data de Início]]))</f>
        <v/>
      </c>
      <c r="BC1287" s="483"/>
    </row>
    <row r="1288" spans="2:55" x14ac:dyDescent="0.25">
      <c r="B1288" s="470"/>
      <c r="C1288" s="263"/>
      <c r="D1288" s="477" cm="1">
        <f t="array" ref="D1288">IFERROR(HorasUteisFabrica2Turnos(B1288,C1288), "")</f>
        <v>0</v>
      </c>
      <c r="E1288" s="478" t="str">
        <f t="shared" si="20"/>
        <v/>
      </c>
      <c r="F1288" s="266"/>
      <c r="G1288" s="656"/>
      <c r="H1288" s="479"/>
      <c r="I1288" s="268"/>
      <c r="J1288" s="268"/>
      <c r="K1288" s="268"/>
      <c r="L1288" s="269"/>
      <c r="M1288" s="511" t="str">
        <f>IFERROR(INDEX([1]Produtos!$C:$C,MATCH(L1288,[1]Produtos!$B:$B,0)), "-")</f>
        <v>-</v>
      </c>
      <c r="N1288" s="511" t="str">
        <f>IFERROR(INDEX([1]Produtos!$E:$E,MATCH(L1288,[1]Produtos!$B:$B,0)), "-")</f>
        <v>-</v>
      </c>
      <c r="O1288" s="483" t="str">
        <f>IFERROR(INDEX([1]Produtos!$F:$F,MATCH(L1288,[1]Produtos!$B:$B,0)), "-")</f>
        <v>-</v>
      </c>
      <c r="P1288" s="477" t="str">
        <f>IFERROR(INDEX([1]Produtos!$G:$G,MATCH(L1288,[1]Produtos!$B:$B,0)), "-")</f>
        <v>-</v>
      </c>
      <c r="Q1288" s="483" t="str">
        <f>IFERROR(INDEX([1]Produtos!$H:$H,MATCH(L1288,[1]Produtos!$B:$B,0)), "-")</f>
        <v>-</v>
      </c>
      <c r="R1288" s="483" t="str">
        <f>IFERROR(INDEX([1]Produtos!$I:$I,MATCH(L1288,[1]Produtos!$B:$B,0)), "-")</f>
        <v>-</v>
      </c>
      <c r="S1288" s="483" t="str">
        <f>IFERROR(INDEX([1]Produtos!$J:$J,MATCH(L1288,[1]Produtos!$B:$B,0)), "-")</f>
        <v>-</v>
      </c>
      <c r="T1288" s="484"/>
      <c r="U1288" s="483"/>
      <c r="V1288" s="483"/>
      <c r="W1288" s="483"/>
      <c r="X1288" s="483"/>
      <c r="Y1288" s="483"/>
      <c r="Z1288" s="483"/>
      <c r="AA1288" s="483"/>
      <c r="AB1288" s="483"/>
      <c r="AC1288" s="483"/>
      <c r="AD1288" s="483"/>
      <c r="AE1288" s="483"/>
      <c r="AF1288" s="483"/>
      <c r="AG1288" s="483"/>
      <c r="AH1288" s="483"/>
      <c r="AI1288" s="483"/>
      <c r="AJ1288" s="483"/>
      <c r="AK1288" s="483"/>
      <c r="AL1288" s="483"/>
      <c r="AM1288" s="670"/>
      <c r="AN1288" s="670"/>
      <c r="AO1288" s="711" t="str">
        <f>IF(OR(Table1[[#This Row],[Início Setup Envase]]="",Table1[[#This Row],[Final Setup Envase]]=""),"",Table1[[#This Row],[Final Setup Envase]]-Table1[[#This Row],[Início Setup Envase]])</f>
        <v/>
      </c>
      <c r="AP1288" s="670"/>
      <c r="AQ1288" s="670"/>
      <c r="AR1288" s="483"/>
      <c r="AS1288" s="483"/>
      <c r="AT1288" s="483"/>
      <c r="AU1288" s="483"/>
      <c r="AV1288" s="483"/>
      <c r="AW1288" s="483"/>
      <c r="AX1288" s="483"/>
      <c r="AY1288" s="270"/>
      <c r="AZ1288" s="270"/>
      <c r="BA1288" s="270" t="str">
        <f>IF(Table1[[#This Row],[Data de Início]]="","",YEAR(Table1[[#This Row],[Data de Início]]))</f>
        <v/>
      </c>
      <c r="BB1288" s="270" t="str">
        <f>IF(Table1[[#This Row],[Data de Início]]="","",MONTH(Table1[[#This Row],[Data de Início]]))</f>
        <v/>
      </c>
      <c r="BC1288" s="270"/>
    </row>
    <row r="1289" spans="2:55" x14ac:dyDescent="0.25">
      <c r="B1289" s="470"/>
      <c r="C1289" s="263"/>
      <c r="D1289" s="477" cm="1">
        <f t="array" ref="D1289">IFERROR(HorasUteisFabrica2Turnos(B1289,C1289), "")</f>
        <v>0</v>
      </c>
      <c r="E1289" s="697" t="str">
        <f t="shared" si="20"/>
        <v/>
      </c>
      <c r="F1289" s="266"/>
      <c r="G1289" s="698"/>
      <c r="H1289" s="266"/>
      <c r="I1289" s="268"/>
      <c r="J1289" s="268"/>
      <c r="K1289" s="268"/>
      <c r="L1289" s="269"/>
      <c r="M1289" s="510" t="str">
        <f>IFERROR(INDEX([1]Produtos!$C:$C,MATCH(L1289,[1]Produtos!$B:$B,0)), "-")</f>
        <v>-</v>
      </c>
      <c r="N1289" s="510" t="str">
        <f>IFERROR(INDEX([1]Produtos!$E:$E,MATCH(L1289,[1]Produtos!$B:$B,0)), "-")</f>
        <v>-</v>
      </c>
      <c r="O1289" s="270" t="str">
        <f>IFERROR(INDEX([1]Produtos!$F:$F,MATCH(L1289,[1]Produtos!$B:$B,0)), "-")</f>
        <v>-</v>
      </c>
      <c r="P1289" s="264" t="str">
        <f>IFERROR(INDEX([1]Produtos!$G:$G,MATCH(L1289,[1]Produtos!$B:$B,0)), "-")</f>
        <v>-</v>
      </c>
      <c r="Q1289" s="270" t="str">
        <f>IFERROR(INDEX([1]Produtos!$H:$H,MATCH(L1289,[1]Produtos!$B:$B,0)), "-")</f>
        <v>-</v>
      </c>
      <c r="R1289" s="270" t="str">
        <f>IFERROR(INDEX([1]Produtos!$I:$I,MATCH(L1289,[1]Produtos!$B:$B,0)), "-")</f>
        <v>-</v>
      </c>
      <c r="S1289" s="270" t="str">
        <f>IFERROR(INDEX([1]Produtos!$J:$J,MATCH(L1289,[1]Produtos!$B:$B,0)), "-")</f>
        <v>-</v>
      </c>
      <c r="T1289" s="475"/>
      <c r="U1289" s="270"/>
      <c r="V1289" s="270"/>
      <c r="W1289" s="270"/>
      <c r="X1289" s="270"/>
      <c r="Y1289" s="270"/>
      <c r="Z1289" s="270"/>
      <c r="AA1289" s="270"/>
      <c r="AB1289" s="270"/>
      <c r="AC1289" s="270"/>
      <c r="AD1289" s="270"/>
      <c r="AE1289" s="270"/>
      <c r="AF1289" s="270"/>
      <c r="AG1289" s="270"/>
      <c r="AH1289" s="270"/>
      <c r="AI1289" s="270"/>
      <c r="AJ1289" s="270"/>
      <c r="AK1289" s="270"/>
      <c r="AL1289" s="270"/>
      <c r="AM1289" s="663"/>
      <c r="AN1289" s="663"/>
      <c r="AO1289" s="708" t="str">
        <f>IF(OR(Table1[[#This Row],[Início Setup Envase]]="",Table1[[#This Row],[Final Setup Envase]]=""),"",Table1[[#This Row],[Final Setup Envase]]-Table1[[#This Row],[Início Setup Envase]])</f>
        <v/>
      </c>
      <c r="AP1289" s="663"/>
      <c r="AQ1289" s="663"/>
      <c r="AR1289" s="270"/>
      <c r="AS1289" s="674"/>
      <c r="AT1289" s="674"/>
      <c r="AU1289" s="270"/>
      <c r="AV1289" s="270"/>
      <c r="AW1289" s="270"/>
      <c r="AX1289" s="270"/>
      <c r="AY1289" s="270"/>
      <c r="AZ1289" s="270"/>
      <c r="BA1289" s="270" t="str">
        <f>IF(Table1[[#This Row],[Data de Início]]="","",YEAR(Table1[[#This Row],[Data de Início]]))</f>
        <v/>
      </c>
      <c r="BB1289" s="270" t="str">
        <f>IF(Table1[[#This Row],[Data de Início]]="","",MONTH(Table1[[#This Row],[Data de Início]]))</f>
        <v/>
      </c>
      <c r="BC1289" s="483"/>
    </row>
    <row r="1290" spans="2:55" x14ac:dyDescent="0.25">
      <c r="B1290" s="470"/>
      <c r="C1290" s="263"/>
      <c r="D1290" s="477" cm="1">
        <f t="array" ref="D1290">IFERROR(HorasUteisFabrica2Turnos(B1290,C1290), "")</f>
        <v>0</v>
      </c>
      <c r="E1290" s="478" t="str">
        <f t="shared" si="20"/>
        <v/>
      </c>
      <c r="F1290" s="266"/>
      <c r="G1290" s="656"/>
      <c r="H1290" s="479"/>
      <c r="I1290" s="268"/>
      <c r="J1290" s="268"/>
      <c r="K1290" s="268"/>
      <c r="L1290" s="269"/>
      <c r="M1290" s="511" t="str">
        <f>IFERROR(INDEX([1]Produtos!$C:$C,MATCH(L1290,[1]Produtos!$B:$B,0)), "-")</f>
        <v>-</v>
      </c>
      <c r="N1290" s="511" t="str">
        <f>IFERROR(INDEX([1]Produtos!$E:$E,MATCH(L1290,[1]Produtos!$B:$B,0)), "-")</f>
        <v>-</v>
      </c>
      <c r="O1290" s="483" t="str">
        <f>IFERROR(INDEX([1]Produtos!$F:$F,MATCH(L1290,[1]Produtos!$B:$B,0)), "-")</f>
        <v>-</v>
      </c>
      <c r="P1290" s="477" t="str">
        <f>IFERROR(INDEX([1]Produtos!$G:$G,MATCH(L1290,[1]Produtos!$B:$B,0)), "-")</f>
        <v>-</v>
      </c>
      <c r="Q1290" s="483" t="str">
        <f>IFERROR(INDEX([1]Produtos!$H:$H,MATCH(L1290,[1]Produtos!$B:$B,0)), "-")</f>
        <v>-</v>
      </c>
      <c r="R1290" s="483" t="str">
        <f>IFERROR(INDEX([1]Produtos!$I:$I,MATCH(L1290,[1]Produtos!$B:$B,0)), "-")</f>
        <v>-</v>
      </c>
      <c r="S1290" s="483" t="str">
        <f>IFERROR(INDEX([1]Produtos!$J:$J,MATCH(L1290,[1]Produtos!$B:$B,0)), "-")</f>
        <v>-</v>
      </c>
      <c r="T1290" s="484"/>
      <c r="U1290" s="483"/>
      <c r="V1290" s="483"/>
      <c r="W1290" s="483"/>
      <c r="X1290" s="483"/>
      <c r="Y1290" s="483"/>
      <c r="Z1290" s="483"/>
      <c r="AA1290" s="483"/>
      <c r="AB1290" s="483"/>
      <c r="AC1290" s="483"/>
      <c r="AD1290" s="483"/>
      <c r="AE1290" s="483"/>
      <c r="AF1290" s="483"/>
      <c r="AG1290" s="483"/>
      <c r="AH1290" s="483"/>
      <c r="AI1290" s="483"/>
      <c r="AJ1290" s="483"/>
      <c r="AK1290" s="483"/>
      <c r="AL1290" s="483"/>
      <c r="AM1290" s="670"/>
      <c r="AN1290" s="670"/>
      <c r="AO1290" s="711" t="str">
        <f>IF(OR(Table1[[#This Row],[Início Setup Envase]]="",Table1[[#This Row],[Final Setup Envase]]=""),"",Table1[[#This Row],[Final Setup Envase]]-Table1[[#This Row],[Início Setup Envase]])</f>
        <v/>
      </c>
      <c r="AP1290" s="670"/>
      <c r="AQ1290" s="670"/>
      <c r="AR1290" s="483"/>
      <c r="AS1290" s="483"/>
      <c r="AT1290" s="483"/>
      <c r="AU1290" s="483"/>
      <c r="AV1290" s="483"/>
      <c r="AW1290" s="483"/>
      <c r="AX1290" s="483"/>
      <c r="AY1290" s="270"/>
      <c r="AZ1290" s="270"/>
      <c r="BA1290" s="270" t="str">
        <f>IF(Table1[[#This Row],[Data de Início]]="","",YEAR(Table1[[#This Row],[Data de Início]]))</f>
        <v/>
      </c>
      <c r="BB1290" s="270" t="str">
        <f>IF(Table1[[#This Row],[Data de Início]]="","",MONTH(Table1[[#This Row],[Data de Início]]))</f>
        <v/>
      </c>
      <c r="BC1290" s="270"/>
    </row>
    <row r="1291" spans="2:55" x14ac:dyDescent="0.25">
      <c r="B1291" s="470"/>
      <c r="C1291" s="263"/>
      <c r="D1291" s="477" cm="1">
        <f t="array" ref="D1291">IFERROR(HorasUteisFabrica2Turnos(B1291,C1291), "")</f>
        <v>0</v>
      </c>
      <c r="E1291" s="697" t="str">
        <f t="shared" si="20"/>
        <v/>
      </c>
      <c r="F1291" s="266"/>
      <c r="G1291" s="698"/>
      <c r="H1291" s="266"/>
      <c r="I1291" s="268"/>
      <c r="J1291" s="268"/>
      <c r="K1291" s="268"/>
      <c r="L1291" s="269"/>
      <c r="M1291" s="510" t="str">
        <f>IFERROR(INDEX([1]Produtos!$C:$C,MATCH(L1291,[1]Produtos!$B:$B,0)), "-")</f>
        <v>-</v>
      </c>
      <c r="N1291" s="510" t="str">
        <f>IFERROR(INDEX([1]Produtos!$E:$E,MATCH(L1291,[1]Produtos!$B:$B,0)), "-")</f>
        <v>-</v>
      </c>
      <c r="O1291" s="270" t="str">
        <f>IFERROR(INDEX([1]Produtos!$F:$F,MATCH(L1291,[1]Produtos!$B:$B,0)), "-")</f>
        <v>-</v>
      </c>
      <c r="P1291" s="264" t="str">
        <f>IFERROR(INDEX([1]Produtos!$G:$G,MATCH(L1291,[1]Produtos!$B:$B,0)), "-")</f>
        <v>-</v>
      </c>
      <c r="Q1291" s="270" t="str">
        <f>IFERROR(INDEX([1]Produtos!$H:$H,MATCH(L1291,[1]Produtos!$B:$B,0)), "-")</f>
        <v>-</v>
      </c>
      <c r="R1291" s="270" t="str">
        <f>IFERROR(INDEX([1]Produtos!$I:$I,MATCH(L1291,[1]Produtos!$B:$B,0)), "-")</f>
        <v>-</v>
      </c>
      <c r="S1291" s="270" t="str">
        <f>IFERROR(INDEX([1]Produtos!$J:$J,MATCH(L1291,[1]Produtos!$B:$B,0)), "-")</f>
        <v>-</v>
      </c>
      <c r="T1291" s="475"/>
      <c r="U1291" s="270"/>
      <c r="V1291" s="270"/>
      <c r="W1291" s="270"/>
      <c r="X1291" s="270"/>
      <c r="Y1291" s="270"/>
      <c r="Z1291" s="270"/>
      <c r="AA1291" s="270"/>
      <c r="AB1291" s="270"/>
      <c r="AC1291" s="270"/>
      <c r="AD1291" s="270"/>
      <c r="AE1291" s="270"/>
      <c r="AF1291" s="270"/>
      <c r="AG1291" s="270"/>
      <c r="AH1291" s="270"/>
      <c r="AI1291" s="270"/>
      <c r="AJ1291" s="270"/>
      <c r="AK1291" s="270"/>
      <c r="AL1291" s="270"/>
      <c r="AM1291" s="663"/>
      <c r="AN1291" s="663"/>
      <c r="AO1291" s="708" t="str">
        <f>IF(OR(Table1[[#This Row],[Início Setup Envase]]="",Table1[[#This Row],[Final Setup Envase]]=""),"",Table1[[#This Row],[Final Setup Envase]]-Table1[[#This Row],[Início Setup Envase]])</f>
        <v/>
      </c>
      <c r="AP1291" s="663"/>
      <c r="AQ1291" s="663"/>
      <c r="AR1291" s="270"/>
      <c r="AS1291" s="674"/>
      <c r="AT1291" s="674"/>
      <c r="AU1291" s="270"/>
      <c r="AV1291" s="270"/>
      <c r="AW1291" s="270"/>
      <c r="AX1291" s="270"/>
      <c r="AY1291" s="270"/>
      <c r="AZ1291" s="270"/>
      <c r="BA1291" s="270" t="str">
        <f>IF(Table1[[#This Row],[Data de Início]]="","",YEAR(Table1[[#This Row],[Data de Início]]))</f>
        <v/>
      </c>
      <c r="BB1291" s="270" t="str">
        <f>IF(Table1[[#This Row],[Data de Início]]="","",MONTH(Table1[[#This Row],[Data de Início]]))</f>
        <v/>
      </c>
      <c r="BC1291" s="483"/>
    </row>
    <row r="1292" spans="2:55" x14ac:dyDescent="0.25">
      <c r="B1292" s="470"/>
      <c r="C1292" s="263"/>
      <c r="D1292" s="477" cm="1">
        <f t="array" ref="D1292">IFERROR(HorasUteisFabrica2Turnos(B1292,C1292), "")</f>
        <v>0</v>
      </c>
      <c r="E1292" s="478" t="str">
        <f t="shared" si="20"/>
        <v/>
      </c>
      <c r="F1292" s="266"/>
      <c r="G1292" s="656"/>
      <c r="H1292" s="479"/>
      <c r="I1292" s="268"/>
      <c r="J1292" s="268"/>
      <c r="K1292" s="268"/>
      <c r="L1292" s="269"/>
      <c r="M1292" s="511" t="str">
        <f>IFERROR(INDEX([1]Produtos!$C:$C,MATCH(L1292,[1]Produtos!$B:$B,0)), "-")</f>
        <v>-</v>
      </c>
      <c r="N1292" s="511" t="str">
        <f>IFERROR(INDEX([1]Produtos!$E:$E,MATCH(L1292,[1]Produtos!$B:$B,0)), "-")</f>
        <v>-</v>
      </c>
      <c r="O1292" s="483" t="str">
        <f>IFERROR(INDEX([1]Produtos!$F:$F,MATCH(L1292,[1]Produtos!$B:$B,0)), "-")</f>
        <v>-</v>
      </c>
      <c r="P1292" s="477" t="str">
        <f>IFERROR(INDEX([1]Produtos!$G:$G,MATCH(L1292,[1]Produtos!$B:$B,0)), "-")</f>
        <v>-</v>
      </c>
      <c r="Q1292" s="483" t="str">
        <f>IFERROR(INDEX([1]Produtos!$H:$H,MATCH(L1292,[1]Produtos!$B:$B,0)), "-")</f>
        <v>-</v>
      </c>
      <c r="R1292" s="483" t="str">
        <f>IFERROR(INDEX([1]Produtos!$I:$I,MATCH(L1292,[1]Produtos!$B:$B,0)), "-")</f>
        <v>-</v>
      </c>
      <c r="S1292" s="483" t="str">
        <f>IFERROR(INDEX([1]Produtos!$J:$J,MATCH(L1292,[1]Produtos!$B:$B,0)), "-")</f>
        <v>-</v>
      </c>
      <c r="T1292" s="484"/>
      <c r="U1292" s="483"/>
      <c r="V1292" s="483"/>
      <c r="W1292" s="483"/>
      <c r="X1292" s="483"/>
      <c r="Y1292" s="483"/>
      <c r="Z1292" s="483"/>
      <c r="AA1292" s="483"/>
      <c r="AB1292" s="483"/>
      <c r="AC1292" s="483"/>
      <c r="AD1292" s="483"/>
      <c r="AE1292" s="483"/>
      <c r="AF1292" s="483"/>
      <c r="AG1292" s="483"/>
      <c r="AH1292" s="483"/>
      <c r="AI1292" s="483"/>
      <c r="AJ1292" s="483"/>
      <c r="AK1292" s="483"/>
      <c r="AL1292" s="483"/>
      <c r="AM1292" s="670"/>
      <c r="AN1292" s="670"/>
      <c r="AO1292" s="711" t="str">
        <f>IF(OR(Table1[[#This Row],[Início Setup Envase]]="",Table1[[#This Row],[Final Setup Envase]]=""),"",Table1[[#This Row],[Final Setup Envase]]-Table1[[#This Row],[Início Setup Envase]])</f>
        <v/>
      </c>
      <c r="AP1292" s="670"/>
      <c r="AQ1292" s="670"/>
      <c r="AR1292" s="483"/>
      <c r="AS1292" s="483"/>
      <c r="AT1292" s="483"/>
      <c r="AU1292" s="483"/>
      <c r="AV1292" s="483"/>
      <c r="AW1292" s="483"/>
      <c r="AX1292" s="483"/>
      <c r="AY1292" s="270"/>
      <c r="AZ1292" s="270"/>
      <c r="BA1292" s="270" t="str">
        <f>IF(Table1[[#This Row],[Data de Início]]="","",YEAR(Table1[[#This Row],[Data de Início]]))</f>
        <v/>
      </c>
      <c r="BB1292" s="270" t="str">
        <f>IF(Table1[[#This Row],[Data de Início]]="","",MONTH(Table1[[#This Row],[Data de Início]]))</f>
        <v/>
      </c>
      <c r="BC1292" s="270"/>
    </row>
    <row r="1293" spans="2:55" x14ac:dyDescent="0.25">
      <c r="B1293" s="470"/>
      <c r="C1293" s="263"/>
      <c r="D1293" s="477" cm="1">
        <f t="array" ref="D1293">IFERROR(HorasUteisFabrica2Turnos(B1293,C1293), "")</f>
        <v>0</v>
      </c>
      <c r="E1293" s="697" t="str">
        <f t="shared" si="20"/>
        <v/>
      </c>
      <c r="F1293" s="266"/>
      <c r="G1293" s="698"/>
      <c r="H1293" s="266"/>
      <c r="I1293" s="268"/>
      <c r="J1293" s="268"/>
      <c r="K1293" s="268"/>
      <c r="L1293" s="269"/>
      <c r="M1293" s="510" t="str">
        <f>IFERROR(INDEX([1]Produtos!$C:$C,MATCH(L1293,[1]Produtos!$B:$B,0)), "-")</f>
        <v>-</v>
      </c>
      <c r="N1293" s="510" t="str">
        <f>IFERROR(INDEX([1]Produtos!$E:$E,MATCH(L1293,[1]Produtos!$B:$B,0)), "-")</f>
        <v>-</v>
      </c>
      <c r="O1293" s="270" t="str">
        <f>IFERROR(INDEX([1]Produtos!$F:$F,MATCH(L1293,[1]Produtos!$B:$B,0)), "-")</f>
        <v>-</v>
      </c>
      <c r="P1293" s="264" t="str">
        <f>IFERROR(INDEX([1]Produtos!$G:$G,MATCH(L1293,[1]Produtos!$B:$B,0)), "-")</f>
        <v>-</v>
      </c>
      <c r="Q1293" s="270" t="str">
        <f>IFERROR(INDEX([1]Produtos!$H:$H,MATCH(L1293,[1]Produtos!$B:$B,0)), "-")</f>
        <v>-</v>
      </c>
      <c r="R1293" s="270" t="str">
        <f>IFERROR(INDEX([1]Produtos!$I:$I,MATCH(L1293,[1]Produtos!$B:$B,0)), "-")</f>
        <v>-</v>
      </c>
      <c r="S1293" s="270" t="str">
        <f>IFERROR(INDEX([1]Produtos!$J:$J,MATCH(L1293,[1]Produtos!$B:$B,0)), "-")</f>
        <v>-</v>
      </c>
      <c r="T1293" s="475"/>
      <c r="U1293" s="270"/>
      <c r="V1293" s="270"/>
      <c r="W1293" s="270"/>
      <c r="X1293" s="270"/>
      <c r="Y1293" s="270"/>
      <c r="Z1293" s="270"/>
      <c r="AA1293" s="270"/>
      <c r="AB1293" s="270"/>
      <c r="AC1293" s="270"/>
      <c r="AD1293" s="270"/>
      <c r="AE1293" s="270"/>
      <c r="AF1293" s="270"/>
      <c r="AG1293" s="270"/>
      <c r="AH1293" s="270"/>
      <c r="AI1293" s="270"/>
      <c r="AJ1293" s="270"/>
      <c r="AK1293" s="270"/>
      <c r="AL1293" s="270"/>
      <c r="AM1293" s="663"/>
      <c r="AN1293" s="663"/>
      <c r="AO1293" s="708" t="str">
        <f>IF(OR(Table1[[#This Row],[Início Setup Envase]]="",Table1[[#This Row],[Final Setup Envase]]=""),"",Table1[[#This Row],[Final Setup Envase]]-Table1[[#This Row],[Início Setup Envase]])</f>
        <v/>
      </c>
      <c r="AP1293" s="663"/>
      <c r="AQ1293" s="663"/>
      <c r="AR1293" s="270"/>
      <c r="AS1293" s="674"/>
      <c r="AT1293" s="674"/>
      <c r="AU1293" s="270"/>
      <c r="AV1293" s="270"/>
      <c r="AW1293" s="270"/>
      <c r="AX1293" s="270"/>
      <c r="AY1293" s="270"/>
      <c r="AZ1293" s="270"/>
      <c r="BA1293" s="270" t="str">
        <f>IF(Table1[[#This Row],[Data de Início]]="","",YEAR(Table1[[#This Row],[Data de Início]]))</f>
        <v/>
      </c>
      <c r="BB1293" s="270" t="str">
        <f>IF(Table1[[#This Row],[Data de Início]]="","",MONTH(Table1[[#This Row],[Data de Início]]))</f>
        <v/>
      </c>
      <c r="BC1293" s="483"/>
    </row>
    <row r="1294" spans="2:55" x14ac:dyDescent="0.25">
      <c r="B1294" s="470"/>
      <c r="C1294" s="263"/>
      <c r="D1294" s="477" cm="1">
        <f t="array" ref="D1294">IFERROR(HorasUteisFabrica2Turnos(B1294,C1294), "")</f>
        <v>0</v>
      </c>
      <c r="E1294" s="478" t="str">
        <f t="shared" si="20"/>
        <v/>
      </c>
      <c r="F1294" s="266"/>
      <c r="G1294" s="656"/>
      <c r="H1294" s="479"/>
      <c r="I1294" s="268"/>
      <c r="J1294" s="268"/>
      <c r="K1294" s="268"/>
      <c r="L1294" s="269"/>
      <c r="M1294" s="511" t="str">
        <f>IFERROR(INDEX([1]Produtos!$C:$C,MATCH(L1294,[1]Produtos!$B:$B,0)), "-")</f>
        <v>-</v>
      </c>
      <c r="N1294" s="511" t="str">
        <f>IFERROR(INDEX([1]Produtos!$E:$E,MATCH(L1294,[1]Produtos!$B:$B,0)), "-")</f>
        <v>-</v>
      </c>
      <c r="O1294" s="483" t="str">
        <f>IFERROR(INDEX([1]Produtos!$F:$F,MATCH(L1294,[1]Produtos!$B:$B,0)), "-")</f>
        <v>-</v>
      </c>
      <c r="P1294" s="477" t="str">
        <f>IFERROR(INDEX([1]Produtos!$G:$G,MATCH(L1294,[1]Produtos!$B:$B,0)), "-")</f>
        <v>-</v>
      </c>
      <c r="Q1294" s="483" t="str">
        <f>IFERROR(INDEX([1]Produtos!$H:$H,MATCH(L1294,[1]Produtos!$B:$B,0)), "-")</f>
        <v>-</v>
      </c>
      <c r="R1294" s="483" t="str">
        <f>IFERROR(INDEX([1]Produtos!$I:$I,MATCH(L1294,[1]Produtos!$B:$B,0)), "-")</f>
        <v>-</v>
      </c>
      <c r="S1294" s="483" t="str">
        <f>IFERROR(INDEX([1]Produtos!$J:$J,MATCH(L1294,[1]Produtos!$B:$B,0)), "-")</f>
        <v>-</v>
      </c>
      <c r="T1294" s="484"/>
      <c r="U1294" s="483"/>
      <c r="V1294" s="483"/>
      <c r="W1294" s="483"/>
      <c r="X1294" s="483"/>
      <c r="Y1294" s="483"/>
      <c r="Z1294" s="483"/>
      <c r="AA1294" s="483"/>
      <c r="AB1294" s="483"/>
      <c r="AC1294" s="483"/>
      <c r="AD1294" s="483"/>
      <c r="AE1294" s="483"/>
      <c r="AF1294" s="483"/>
      <c r="AG1294" s="483"/>
      <c r="AH1294" s="483"/>
      <c r="AI1294" s="483"/>
      <c r="AJ1294" s="483"/>
      <c r="AK1294" s="483"/>
      <c r="AL1294" s="483"/>
      <c r="AM1294" s="670"/>
      <c r="AN1294" s="670"/>
      <c r="AO1294" s="711" t="str">
        <f>IF(OR(Table1[[#This Row],[Início Setup Envase]]="",Table1[[#This Row],[Final Setup Envase]]=""),"",Table1[[#This Row],[Final Setup Envase]]-Table1[[#This Row],[Início Setup Envase]])</f>
        <v/>
      </c>
      <c r="AP1294" s="670"/>
      <c r="AQ1294" s="670"/>
      <c r="AR1294" s="483"/>
      <c r="AS1294" s="483"/>
      <c r="AT1294" s="483"/>
      <c r="AU1294" s="483"/>
      <c r="AV1294" s="483"/>
      <c r="AW1294" s="483"/>
      <c r="AX1294" s="483"/>
      <c r="AY1294" s="270"/>
      <c r="AZ1294" s="270"/>
      <c r="BA1294" s="270" t="str">
        <f>IF(Table1[[#This Row],[Data de Início]]="","",YEAR(Table1[[#This Row],[Data de Início]]))</f>
        <v/>
      </c>
      <c r="BB1294" s="270" t="str">
        <f>IF(Table1[[#This Row],[Data de Início]]="","",MONTH(Table1[[#This Row],[Data de Início]]))</f>
        <v/>
      </c>
      <c r="BC1294" s="270"/>
    </row>
    <row r="1295" spans="2:55" x14ac:dyDescent="0.25">
      <c r="B1295" s="470"/>
      <c r="C1295" s="263"/>
      <c r="D1295" s="477" cm="1">
        <f t="array" ref="D1295">IFERROR(HorasUteisFabrica2Turnos(B1295,C1295), "")</f>
        <v>0</v>
      </c>
      <c r="E1295" s="697" t="str">
        <f t="shared" si="20"/>
        <v/>
      </c>
      <c r="F1295" s="266"/>
      <c r="G1295" s="698"/>
      <c r="H1295" s="266"/>
      <c r="I1295" s="268"/>
      <c r="J1295" s="268"/>
      <c r="K1295" s="268"/>
      <c r="L1295" s="269"/>
      <c r="M1295" s="510" t="str">
        <f>IFERROR(INDEX([1]Produtos!$C:$C,MATCH(L1295,[1]Produtos!$B:$B,0)), "-")</f>
        <v>-</v>
      </c>
      <c r="N1295" s="510" t="str">
        <f>IFERROR(INDEX([1]Produtos!$E:$E,MATCH(L1295,[1]Produtos!$B:$B,0)), "-")</f>
        <v>-</v>
      </c>
      <c r="O1295" s="270" t="str">
        <f>IFERROR(INDEX([1]Produtos!$F:$F,MATCH(L1295,[1]Produtos!$B:$B,0)), "-")</f>
        <v>-</v>
      </c>
      <c r="P1295" s="264" t="str">
        <f>IFERROR(INDEX([1]Produtos!$G:$G,MATCH(L1295,[1]Produtos!$B:$B,0)), "-")</f>
        <v>-</v>
      </c>
      <c r="Q1295" s="270" t="str">
        <f>IFERROR(INDEX([1]Produtos!$H:$H,MATCH(L1295,[1]Produtos!$B:$B,0)), "-")</f>
        <v>-</v>
      </c>
      <c r="R1295" s="270" t="str">
        <f>IFERROR(INDEX([1]Produtos!$I:$I,MATCH(L1295,[1]Produtos!$B:$B,0)), "-")</f>
        <v>-</v>
      </c>
      <c r="S1295" s="270" t="str">
        <f>IFERROR(INDEX([1]Produtos!$J:$J,MATCH(L1295,[1]Produtos!$B:$B,0)), "-")</f>
        <v>-</v>
      </c>
      <c r="T1295" s="475"/>
      <c r="U1295" s="270"/>
      <c r="V1295" s="270"/>
      <c r="W1295" s="270"/>
      <c r="X1295" s="270"/>
      <c r="Y1295" s="270"/>
      <c r="Z1295" s="270"/>
      <c r="AA1295" s="270"/>
      <c r="AB1295" s="270"/>
      <c r="AC1295" s="270"/>
      <c r="AD1295" s="270"/>
      <c r="AE1295" s="270"/>
      <c r="AF1295" s="270"/>
      <c r="AG1295" s="270"/>
      <c r="AH1295" s="270"/>
      <c r="AI1295" s="270"/>
      <c r="AJ1295" s="270"/>
      <c r="AK1295" s="270"/>
      <c r="AL1295" s="270"/>
      <c r="AM1295" s="663"/>
      <c r="AN1295" s="663"/>
      <c r="AO1295" s="708" t="str">
        <f>IF(OR(Table1[[#This Row],[Início Setup Envase]]="",Table1[[#This Row],[Final Setup Envase]]=""),"",Table1[[#This Row],[Final Setup Envase]]-Table1[[#This Row],[Início Setup Envase]])</f>
        <v/>
      </c>
      <c r="AP1295" s="663"/>
      <c r="AQ1295" s="663"/>
      <c r="AR1295" s="270"/>
      <c r="AS1295" s="674"/>
      <c r="AT1295" s="674"/>
      <c r="AU1295" s="270"/>
      <c r="AV1295" s="270"/>
      <c r="AW1295" s="270"/>
      <c r="AX1295" s="270"/>
      <c r="AY1295" s="270"/>
      <c r="AZ1295" s="270"/>
      <c r="BA1295" s="270" t="str">
        <f>IF(Table1[[#This Row],[Data de Início]]="","",YEAR(Table1[[#This Row],[Data de Início]]))</f>
        <v/>
      </c>
      <c r="BB1295" s="270" t="str">
        <f>IF(Table1[[#This Row],[Data de Início]]="","",MONTH(Table1[[#This Row],[Data de Início]]))</f>
        <v/>
      </c>
      <c r="BC1295" s="483"/>
    </row>
    <row r="1296" spans="2:55" x14ac:dyDescent="0.25">
      <c r="B1296" s="470"/>
      <c r="C1296" s="263"/>
      <c r="D1296" s="477" cm="1">
        <f t="array" ref="D1296">IFERROR(HorasUteisFabrica2Turnos(B1296,C1296), "")</f>
        <v>0</v>
      </c>
      <c r="E1296" s="478" t="str">
        <f t="shared" si="20"/>
        <v/>
      </c>
      <c r="F1296" s="266"/>
      <c r="G1296" s="656"/>
      <c r="H1296" s="479"/>
      <c r="I1296" s="268"/>
      <c r="J1296" s="268"/>
      <c r="K1296" s="268"/>
      <c r="L1296" s="269"/>
      <c r="M1296" s="511" t="str">
        <f>IFERROR(INDEX([1]Produtos!$C:$C,MATCH(L1296,[1]Produtos!$B:$B,0)), "-")</f>
        <v>-</v>
      </c>
      <c r="N1296" s="511" t="str">
        <f>IFERROR(INDEX([1]Produtos!$E:$E,MATCH(L1296,[1]Produtos!$B:$B,0)), "-")</f>
        <v>-</v>
      </c>
      <c r="O1296" s="483" t="str">
        <f>IFERROR(INDEX([1]Produtos!$F:$F,MATCH(L1296,[1]Produtos!$B:$B,0)), "-")</f>
        <v>-</v>
      </c>
      <c r="P1296" s="477" t="str">
        <f>IFERROR(INDEX([1]Produtos!$G:$G,MATCH(L1296,[1]Produtos!$B:$B,0)), "-")</f>
        <v>-</v>
      </c>
      <c r="Q1296" s="483" t="str">
        <f>IFERROR(INDEX([1]Produtos!$H:$H,MATCH(L1296,[1]Produtos!$B:$B,0)), "-")</f>
        <v>-</v>
      </c>
      <c r="R1296" s="483" t="str">
        <f>IFERROR(INDEX([1]Produtos!$I:$I,MATCH(L1296,[1]Produtos!$B:$B,0)), "-")</f>
        <v>-</v>
      </c>
      <c r="S1296" s="483" t="str">
        <f>IFERROR(INDEX([1]Produtos!$J:$J,MATCH(L1296,[1]Produtos!$B:$B,0)), "-")</f>
        <v>-</v>
      </c>
      <c r="T1296" s="484"/>
      <c r="U1296" s="483"/>
      <c r="V1296" s="483"/>
      <c r="W1296" s="483"/>
      <c r="X1296" s="483"/>
      <c r="Y1296" s="483"/>
      <c r="Z1296" s="483"/>
      <c r="AA1296" s="483"/>
      <c r="AB1296" s="483"/>
      <c r="AC1296" s="483"/>
      <c r="AD1296" s="483"/>
      <c r="AE1296" s="483"/>
      <c r="AF1296" s="483"/>
      <c r="AG1296" s="483"/>
      <c r="AH1296" s="483"/>
      <c r="AI1296" s="483"/>
      <c r="AJ1296" s="483"/>
      <c r="AK1296" s="483"/>
      <c r="AL1296" s="483"/>
      <c r="AM1296" s="670"/>
      <c r="AN1296" s="670"/>
      <c r="AO1296" s="711" t="str">
        <f>IF(OR(Table1[[#This Row],[Início Setup Envase]]="",Table1[[#This Row],[Final Setup Envase]]=""),"",Table1[[#This Row],[Final Setup Envase]]-Table1[[#This Row],[Início Setup Envase]])</f>
        <v/>
      </c>
      <c r="AP1296" s="670"/>
      <c r="AQ1296" s="670"/>
      <c r="AR1296" s="483"/>
      <c r="AS1296" s="483"/>
      <c r="AT1296" s="483"/>
      <c r="AU1296" s="483"/>
      <c r="AV1296" s="483"/>
      <c r="AW1296" s="483"/>
      <c r="AX1296" s="483"/>
      <c r="AY1296" s="270"/>
      <c r="AZ1296" s="270"/>
      <c r="BA1296" s="270" t="str">
        <f>IF(Table1[[#This Row],[Data de Início]]="","",YEAR(Table1[[#This Row],[Data de Início]]))</f>
        <v/>
      </c>
      <c r="BB1296" s="270" t="str">
        <f>IF(Table1[[#This Row],[Data de Início]]="","",MONTH(Table1[[#This Row],[Data de Início]]))</f>
        <v/>
      </c>
      <c r="BC1296" s="270"/>
    </row>
    <row r="1297" spans="2:55" x14ac:dyDescent="0.25">
      <c r="B1297" s="470"/>
      <c r="C1297" s="263"/>
      <c r="D1297" s="477" cm="1">
        <f t="array" ref="D1297">IFERROR(HorasUteisFabrica2Turnos(B1297,C1297), "")</f>
        <v>0</v>
      </c>
      <c r="E1297" s="697" t="str">
        <f t="shared" si="20"/>
        <v/>
      </c>
      <c r="F1297" s="266"/>
      <c r="G1297" s="698"/>
      <c r="H1297" s="266"/>
      <c r="I1297" s="268"/>
      <c r="J1297" s="268"/>
      <c r="K1297" s="268"/>
      <c r="L1297" s="269"/>
      <c r="M1297" s="510" t="str">
        <f>IFERROR(INDEX([1]Produtos!$C:$C,MATCH(L1297,[1]Produtos!$B:$B,0)), "-")</f>
        <v>-</v>
      </c>
      <c r="N1297" s="510" t="str">
        <f>IFERROR(INDEX([1]Produtos!$E:$E,MATCH(L1297,[1]Produtos!$B:$B,0)), "-")</f>
        <v>-</v>
      </c>
      <c r="O1297" s="270" t="str">
        <f>IFERROR(INDEX([1]Produtos!$F:$F,MATCH(L1297,[1]Produtos!$B:$B,0)), "-")</f>
        <v>-</v>
      </c>
      <c r="P1297" s="264" t="str">
        <f>IFERROR(INDEX([1]Produtos!$G:$G,MATCH(L1297,[1]Produtos!$B:$B,0)), "-")</f>
        <v>-</v>
      </c>
      <c r="Q1297" s="270" t="str">
        <f>IFERROR(INDEX([1]Produtos!$H:$H,MATCH(L1297,[1]Produtos!$B:$B,0)), "-")</f>
        <v>-</v>
      </c>
      <c r="R1297" s="270" t="str">
        <f>IFERROR(INDEX([1]Produtos!$I:$I,MATCH(L1297,[1]Produtos!$B:$B,0)), "-")</f>
        <v>-</v>
      </c>
      <c r="S1297" s="270" t="str">
        <f>IFERROR(INDEX([1]Produtos!$J:$J,MATCH(L1297,[1]Produtos!$B:$B,0)), "-")</f>
        <v>-</v>
      </c>
      <c r="T1297" s="475"/>
      <c r="U1297" s="270"/>
      <c r="V1297" s="270"/>
      <c r="W1297" s="270"/>
      <c r="X1297" s="270"/>
      <c r="Y1297" s="270"/>
      <c r="Z1297" s="270"/>
      <c r="AA1297" s="270"/>
      <c r="AB1297" s="270"/>
      <c r="AC1297" s="270"/>
      <c r="AD1297" s="270"/>
      <c r="AE1297" s="270"/>
      <c r="AF1297" s="270"/>
      <c r="AG1297" s="270"/>
      <c r="AH1297" s="270"/>
      <c r="AI1297" s="270"/>
      <c r="AJ1297" s="270"/>
      <c r="AK1297" s="270"/>
      <c r="AL1297" s="270"/>
      <c r="AM1297" s="663"/>
      <c r="AN1297" s="663"/>
      <c r="AO1297" s="708" t="str">
        <f>IF(OR(Table1[[#This Row],[Início Setup Envase]]="",Table1[[#This Row],[Final Setup Envase]]=""),"",Table1[[#This Row],[Final Setup Envase]]-Table1[[#This Row],[Início Setup Envase]])</f>
        <v/>
      </c>
      <c r="AP1297" s="663"/>
      <c r="AQ1297" s="663"/>
      <c r="AR1297" s="270"/>
      <c r="AS1297" s="674"/>
      <c r="AT1297" s="674"/>
      <c r="AU1297" s="270"/>
      <c r="AV1297" s="270"/>
      <c r="AW1297" s="270"/>
      <c r="AX1297" s="270"/>
      <c r="AY1297" s="270"/>
      <c r="AZ1297" s="270"/>
      <c r="BA1297" s="270" t="str">
        <f>IF(Table1[[#This Row],[Data de Início]]="","",YEAR(Table1[[#This Row],[Data de Início]]))</f>
        <v/>
      </c>
      <c r="BB1297" s="270" t="str">
        <f>IF(Table1[[#This Row],[Data de Início]]="","",MONTH(Table1[[#This Row],[Data de Início]]))</f>
        <v/>
      </c>
      <c r="BC1297" s="483"/>
    </row>
    <row r="1298" spans="2:55" x14ac:dyDescent="0.25">
      <c r="B1298" s="470"/>
      <c r="C1298" s="263"/>
      <c r="D1298" s="477" cm="1">
        <f t="array" ref="D1298">IFERROR(HorasUteisFabrica2Turnos(B1298,C1298), "")</f>
        <v>0</v>
      </c>
      <c r="E1298" s="478" t="str">
        <f t="shared" si="20"/>
        <v/>
      </c>
      <c r="F1298" s="266"/>
      <c r="G1298" s="656"/>
      <c r="H1298" s="479"/>
      <c r="I1298" s="268"/>
      <c r="J1298" s="268"/>
      <c r="K1298" s="268"/>
      <c r="L1298" s="269"/>
      <c r="M1298" s="511" t="str">
        <f>IFERROR(INDEX([1]Produtos!$C:$C,MATCH(L1298,[1]Produtos!$B:$B,0)), "-")</f>
        <v>-</v>
      </c>
      <c r="N1298" s="511" t="str">
        <f>IFERROR(INDEX([1]Produtos!$E:$E,MATCH(L1298,[1]Produtos!$B:$B,0)), "-")</f>
        <v>-</v>
      </c>
      <c r="O1298" s="483" t="str">
        <f>IFERROR(INDEX([1]Produtos!$F:$F,MATCH(L1298,[1]Produtos!$B:$B,0)), "-")</f>
        <v>-</v>
      </c>
      <c r="P1298" s="477" t="str">
        <f>IFERROR(INDEX([1]Produtos!$G:$G,MATCH(L1298,[1]Produtos!$B:$B,0)), "-")</f>
        <v>-</v>
      </c>
      <c r="Q1298" s="483" t="str">
        <f>IFERROR(INDEX([1]Produtos!$H:$H,MATCH(L1298,[1]Produtos!$B:$B,0)), "-")</f>
        <v>-</v>
      </c>
      <c r="R1298" s="483" t="str">
        <f>IFERROR(INDEX([1]Produtos!$I:$I,MATCH(L1298,[1]Produtos!$B:$B,0)), "-")</f>
        <v>-</v>
      </c>
      <c r="S1298" s="483" t="str">
        <f>IFERROR(INDEX([1]Produtos!$J:$J,MATCH(L1298,[1]Produtos!$B:$B,0)), "-")</f>
        <v>-</v>
      </c>
      <c r="T1298" s="484"/>
      <c r="U1298" s="483"/>
      <c r="V1298" s="483"/>
      <c r="W1298" s="483"/>
      <c r="X1298" s="483"/>
      <c r="Y1298" s="483"/>
      <c r="Z1298" s="483"/>
      <c r="AA1298" s="483"/>
      <c r="AB1298" s="483"/>
      <c r="AC1298" s="483"/>
      <c r="AD1298" s="483"/>
      <c r="AE1298" s="483"/>
      <c r="AF1298" s="483"/>
      <c r="AG1298" s="483"/>
      <c r="AH1298" s="483"/>
      <c r="AI1298" s="483"/>
      <c r="AJ1298" s="483"/>
      <c r="AK1298" s="483"/>
      <c r="AL1298" s="483"/>
      <c r="AM1298" s="670"/>
      <c r="AN1298" s="670"/>
      <c r="AO1298" s="711" t="str">
        <f>IF(OR(Table1[[#This Row],[Início Setup Envase]]="",Table1[[#This Row],[Final Setup Envase]]=""),"",Table1[[#This Row],[Final Setup Envase]]-Table1[[#This Row],[Início Setup Envase]])</f>
        <v/>
      </c>
      <c r="AP1298" s="670"/>
      <c r="AQ1298" s="670"/>
      <c r="AR1298" s="483"/>
      <c r="AS1298" s="483"/>
      <c r="AT1298" s="483"/>
      <c r="AU1298" s="483"/>
      <c r="AV1298" s="483"/>
      <c r="AW1298" s="483"/>
      <c r="AX1298" s="483"/>
      <c r="AY1298" s="270"/>
      <c r="AZ1298" s="270"/>
      <c r="BA1298" s="270" t="str">
        <f>IF(Table1[[#This Row],[Data de Início]]="","",YEAR(Table1[[#This Row],[Data de Início]]))</f>
        <v/>
      </c>
      <c r="BB1298" s="270" t="str">
        <f>IF(Table1[[#This Row],[Data de Início]]="","",MONTH(Table1[[#This Row],[Data de Início]]))</f>
        <v/>
      </c>
      <c r="BC1298" s="270"/>
    </row>
    <row r="1299" spans="2:55" x14ac:dyDescent="0.25">
      <c r="B1299" s="470"/>
      <c r="C1299" s="263"/>
      <c r="D1299" s="477" cm="1">
        <f t="array" ref="D1299">IFERROR(HorasUteisFabrica2Turnos(B1299,C1299), "")</f>
        <v>0</v>
      </c>
      <c r="E1299" s="697" t="str">
        <f t="shared" si="20"/>
        <v/>
      </c>
      <c r="F1299" s="266"/>
      <c r="G1299" s="698"/>
      <c r="H1299" s="266"/>
      <c r="I1299" s="268"/>
      <c r="J1299" s="268"/>
      <c r="K1299" s="268"/>
      <c r="L1299" s="269"/>
      <c r="M1299" s="510" t="str">
        <f>IFERROR(INDEX([1]Produtos!$C:$C,MATCH(L1299,[1]Produtos!$B:$B,0)), "-")</f>
        <v>-</v>
      </c>
      <c r="N1299" s="510" t="str">
        <f>IFERROR(INDEX([1]Produtos!$E:$E,MATCH(L1299,[1]Produtos!$B:$B,0)), "-")</f>
        <v>-</v>
      </c>
      <c r="O1299" s="270" t="str">
        <f>IFERROR(INDEX([1]Produtos!$F:$F,MATCH(L1299,[1]Produtos!$B:$B,0)), "-")</f>
        <v>-</v>
      </c>
      <c r="P1299" s="264" t="str">
        <f>IFERROR(INDEX([1]Produtos!$G:$G,MATCH(L1299,[1]Produtos!$B:$B,0)), "-")</f>
        <v>-</v>
      </c>
      <c r="Q1299" s="270" t="str">
        <f>IFERROR(INDEX([1]Produtos!$H:$H,MATCH(L1299,[1]Produtos!$B:$B,0)), "-")</f>
        <v>-</v>
      </c>
      <c r="R1299" s="270" t="str">
        <f>IFERROR(INDEX([1]Produtos!$I:$I,MATCH(L1299,[1]Produtos!$B:$B,0)), "-")</f>
        <v>-</v>
      </c>
      <c r="S1299" s="270" t="str">
        <f>IFERROR(INDEX([1]Produtos!$J:$J,MATCH(L1299,[1]Produtos!$B:$B,0)), "-")</f>
        <v>-</v>
      </c>
      <c r="T1299" s="475"/>
      <c r="U1299" s="270"/>
      <c r="V1299" s="270"/>
      <c r="W1299" s="270"/>
      <c r="X1299" s="270"/>
      <c r="Y1299" s="270"/>
      <c r="Z1299" s="270"/>
      <c r="AA1299" s="270"/>
      <c r="AB1299" s="270"/>
      <c r="AC1299" s="270"/>
      <c r="AD1299" s="270"/>
      <c r="AE1299" s="270"/>
      <c r="AF1299" s="270"/>
      <c r="AG1299" s="270"/>
      <c r="AH1299" s="270"/>
      <c r="AI1299" s="270"/>
      <c r="AJ1299" s="270"/>
      <c r="AK1299" s="270"/>
      <c r="AL1299" s="270"/>
      <c r="AM1299" s="663"/>
      <c r="AN1299" s="663"/>
      <c r="AO1299" s="708" t="str">
        <f>IF(OR(Table1[[#This Row],[Início Setup Envase]]="",Table1[[#This Row],[Final Setup Envase]]=""),"",Table1[[#This Row],[Final Setup Envase]]-Table1[[#This Row],[Início Setup Envase]])</f>
        <v/>
      </c>
      <c r="AP1299" s="663"/>
      <c r="AQ1299" s="663"/>
      <c r="AR1299" s="270"/>
      <c r="AS1299" s="674"/>
      <c r="AT1299" s="674"/>
      <c r="AU1299" s="270"/>
      <c r="AV1299" s="270"/>
      <c r="AW1299" s="270"/>
      <c r="AX1299" s="270"/>
      <c r="AY1299" s="270"/>
      <c r="AZ1299" s="270"/>
      <c r="BA1299" s="270" t="str">
        <f>IF(Table1[[#This Row],[Data de Início]]="","",YEAR(Table1[[#This Row],[Data de Início]]))</f>
        <v/>
      </c>
      <c r="BB1299" s="270" t="str">
        <f>IF(Table1[[#This Row],[Data de Início]]="","",MONTH(Table1[[#This Row],[Data de Início]]))</f>
        <v/>
      </c>
      <c r="BC1299" s="483"/>
    </row>
    <row r="1300" spans="2:55" x14ac:dyDescent="0.25">
      <c r="B1300" s="470"/>
      <c r="C1300" s="263"/>
      <c r="D1300" s="477" cm="1">
        <f t="array" ref="D1300">IFERROR(HorasUteisFabrica2Turnos(B1300,C1300), "")</f>
        <v>0</v>
      </c>
      <c r="E1300" s="478" t="str">
        <f t="shared" si="20"/>
        <v/>
      </c>
      <c r="F1300" s="266"/>
      <c r="G1300" s="656"/>
      <c r="H1300" s="479"/>
      <c r="I1300" s="268"/>
      <c r="J1300" s="268"/>
      <c r="K1300" s="268"/>
      <c r="L1300" s="269"/>
      <c r="M1300" s="511" t="str">
        <f>IFERROR(INDEX([1]Produtos!$C:$C,MATCH(L1300,[1]Produtos!$B:$B,0)), "-")</f>
        <v>-</v>
      </c>
      <c r="N1300" s="511" t="str">
        <f>IFERROR(INDEX([1]Produtos!$E:$E,MATCH(L1300,[1]Produtos!$B:$B,0)), "-")</f>
        <v>-</v>
      </c>
      <c r="O1300" s="483" t="str">
        <f>IFERROR(INDEX([1]Produtos!$F:$F,MATCH(L1300,[1]Produtos!$B:$B,0)), "-")</f>
        <v>-</v>
      </c>
      <c r="P1300" s="477" t="str">
        <f>IFERROR(INDEX([1]Produtos!$G:$G,MATCH(L1300,[1]Produtos!$B:$B,0)), "-")</f>
        <v>-</v>
      </c>
      <c r="Q1300" s="483" t="str">
        <f>IFERROR(INDEX([1]Produtos!$H:$H,MATCH(L1300,[1]Produtos!$B:$B,0)), "-")</f>
        <v>-</v>
      </c>
      <c r="R1300" s="483" t="str">
        <f>IFERROR(INDEX([1]Produtos!$I:$I,MATCH(L1300,[1]Produtos!$B:$B,0)), "-")</f>
        <v>-</v>
      </c>
      <c r="S1300" s="483" t="str">
        <f>IFERROR(INDEX([1]Produtos!$J:$J,MATCH(L1300,[1]Produtos!$B:$B,0)), "-")</f>
        <v>-</v>
      </c>
      <c r="T1300" s="484"/>
      <c r="U1300" s="483"/>
      <c r="V1300" s="483"/>
      <c r="W1300" s="483"/>
      <c r="X1300" s="483"/>
      <c r="Y1300" s="483"/>
      <c r="Z1300" s="483"/>
      <c r="AA1300" s="483"/>
      <c r="AB1300" s="483"/>
      <c r="AC1300" s="483"/>
      <c r="AD1300" s="483"/>
      <c r="AE1300" s="483"/>
      <c r="AF1300" s="483"/>
      <c r="AG1300" s="483"/>
      <c r="AH1300" s="483"/>
      <c r="AI1300" s="483"/>
      <c r="AJ1300" s="483"/>
      <c r="AK1300" s="483"/>
      <c r="AL1300" s="483"/>
      <c r="AM1300" s="670"/>
      <c r="AN1300" s="670"/>
      <c r="AO1300" s="711" t="str">
        <f>IF(OR(Table1[[#This Row],[Início Setup Envase]]="",Table1[[#This Row],[Final Setup Envase]]=""),"",Table1[[#This Row],[Final Setup Envase]]-Table1[[#This Row],[Início Setup Envase]])</f>
        <v/>
      </c>
      <c r="AP1300" s="670"/>
      <c r="AQ1300" s="670"/>
      <c r="AR1300" s="483"/>
      <c r="AS1300" s="483"/>
      <c r="AT1300" s="483"/>
      <c r="AU1300" s="483"/>
      <c r="AV1300" s="483"/>
      <c r="AW1300" s="483"/>
      <c r="AX1300" s="483"/>
      <c r="AY1300" s="270"/>
      <c r="AZ1300" s="270"/>
      <c r="BA1300" s="270" t="str">
        <f>IF(Table1[[#This Row],[Data de Início]]="","",YEAR(Table1[[#This Row],[Data de Início]]))</f>
        <v/>
      </c>
      <c r="BB1300" s="270" t="str">
        <f>IF(Table1[[#This Row],[Data de Início]]="","",MONTH(Table1[[#This Row],[Data de Início]]))</f>
        <v/>
      </c>
      <c r="BC1300" s="270"/>
    </row>
    <row r="1301" spans="2:55" x14ac:dyDescent="0.25">
      <c r="B1301" s="470"/>
      <c r="C1301" s="263"/>
      <c r="D1301" s="477" cm="1">
        <f t="array" ref="D1301">IFERROR(HorasUteisFabrica2Turnos(B1301,C1301), "")</f>
        <v>0</v>
      </c>
      <c r="E1301" s="697" t="str">
        <f t="shared" si="20"/>
        <v/>
      </c>
      <c r="F1301" s="266"/>
      <c r="G1301" s="698"/>
      <c r="H1301" s="266"/>
      <c r="I1301" s="268"/>
      <c r="J1301" s="268"/>
      <c r="K1301" s="268"/>
      <c r="L1301" s="269"/>
      <c r="M1301" s="510" t="str">
        <f>IFERROR(INDEX([1]Produtos!$C:$C,MATCH(L1301,[1]Produtos!$B:$B,0)), "-")</f>
        <v>-</v>
      </c>
      <c r="N1301" s="510" t="str">
        <f>IFERROR(INDEX([1]Produtos!$E:$E,MATCH(L1301,[1]Produtos!$B:$B,0)), "-")</f>
        <v>-</v>
      </c>
      <c r="O1301" s="270" t="str">
        <f>IFERROR(INDEX([1]Produtos!$F:$F,MATCH(L1301,[1]Produtos!$B:$B,0)), "-")</f>
        <v>-</v>
      </c>
      <c r="P1301" s="264" t="str">
        <f>IFERROR(INDEX([1]Produtos!$G:$G,MATCH(L1301,[1]Produtos!$B:$B,0)), "-")</f>
        <v>-</v>
      </c>
      <c r="Q1301" s="270" t="str">
        <f>IFERROR(INDEX([1]Produtos!$H:$H,MATCH(L1301,[1]Produtos!$B:$B,0)), "-")</f>
        <v>-</v>
      </c>
      <c r="R1301" s="270" t="str">
        <f>IFERROR(INDEX([1]Produtos!$I:$I,MATCH(L1301,[1]Produtos!$B:$B,0)), "-")</f>
        <v>-</v>
      </c>
      <c r="S1301" s="270" t="str">
        <f>IFERROR(INDEX([1]Produtos!$J:$J,MATCH(L1301,[1]Produtos!$B:$B,0)), "-")</f>
        <v>-</v>
      </c>
      <c r="T1301" s="475"/>
      <c r="U1301" s="270"/>
      <c r="V1301" s="270"/>
      <c r="W1301" s="270"/>
      <c r="X1301" s="270"/>
      <c r="Y1301" s="270"/>
      <c r="Z1301" s="270"/>
      <c r="AA1301" s="270"/>
      <c r="AB1301" s="270"/>
      <c r="AC1301" s="270"/>
      <c r="AD1301" s="270"/>
      <c r="AE1301" s="270"/>
      <c r="AF1301" s="270"/>
      <c r="AG1301" s="270"/>
      <c r="AH1301" s="270"/>
      <c r="AI1301" s="270"/>
      <c r="AJ1301" s="270"/>
      <c r="AK1301" s="270"/>
      <c r="AL1301" s="270"/>
      <c r="AM1301" s="663"/>
      <c r="AN1301" s="663"/>
      <c r="AO1301" s="708" t="str">
        <f>IF(OR(Table1[[#This Row],[Início Setup Envase]]="",Table1[[#This Row],[Final Setup Envase]]=""),"",Table1[[#This Row],[Final Setup Envase]]-Table1[[#This Row],[Início Setup Envase]])</f>
        <v/>
      </c>
      <c r="AP1301" s="663"/>
      <c r="AQ1301" s="663"/>
      <c r="AR1301" s="270"/>
      <c r="AS1301" s="674"/>
      <c r="AT1301" s="674"/>
      <c r="AU1301" s="270"/>
      <c r="AV1301" s="270"/>
      <c r="AW1301" s="270"/>
      <c r="AX1301" s="270"/>
      <c r="AY1301" s="270"/>
      <c r="AZ1301" s="270"/>
      <c r="BA1301" s="270" t="str">
        <f>IF(Table1[[#This Row],[Data de Início]]="","",YEAR(Table1[[#This Row],[Data de Início]]))</f>
        <v/>
      </c>
      <c r="BB1301" s="270" t="str">
        <f>IF(Table1[[#This Row],[Data de Início]]="","",MONTH(Table1[[#This Row],[Data de Início]]))</f>
        <v/>
      </c>
      <c r="BC1301" s="483"/>
    </row>
    <row r="1302" spans="2:55" x14ac:dyDescent="0.25">
      <c r="B1302" s="470"/>
      <c r="C1302" s="263"/>
      <c r="D1302" s="477" cm="1">
        <f t="array" ref="D1302">IFERROR(HorasUteisFabrica2Turnos(B1302,C1302), "")</f>
        <v>0</v>
      </c>
      <c r="E1302" s="478" t="str">
        <f t="shared" si="20"/>
        <v/>
      </c>
      <c r="F1302" s="266"/>
      <c r="G1302" s="656"/>
      <c r="H1302" s="479"/>
      <c r="I1302" s="268"/>
      <c r="J1302" s="268"/>
      <c r="K1302" s="268"/>
      <c r="L1302" s="269"/>
      <c r="M1302" s="511" t="str">
        <f>IFERROR(INDEX([1]Produtos!$C:$C,MATCH(L1302,[1]Produtos!$B:$B,0)), "-")</f>
        <v>-</v>
      </c>
      <c r="N1302" s="511" t="str">
        <f>IFERROR(INDEX([1]Produtos!$E:$E,MATCH(L1302,[1]Produtos!$B:$B,0)), "-")</f>
        <v>-</v>
      </c>
      <c r="O1302" s="483" t="str">
        <f>IFERROR(INDEX([1]Produtos!$F:$F,MATCH(L1302,[1]Produtos!$B:$B,0)), "-")</f>
        <v>-</v>
      </c>
      <c r="P1302" s="477" t="str">
        <f>IFERROR(INDEX([1]Produtos!$G:$G,MATCH(L1302,[1]Produtos!$B:$B,0)), "-")</f>
        <v>-</v>
      </c>
      <c r="Q1302" s="483" t="str">
        <f>IFERROR(INDEX([1]Produtos!$H:$H,MATCH(L1302,[1]Produtos!$B:$B,0)), "-")</f>
        <v>-</v>
      </c>
      <c r="R1302" s="483" t="str">
        <f>IFERROR(INDEX([1]Produtos!$I:$I,MATCH(L1302,[1]Produtos!$B:$B,0)), "-")</f>
        <v>-</v>
      </c>
      <c r="S1302" s="483" t="str">
        <f>IFERROR(INDEX([1]Produtos!$J:$J,MATCH(L1302,[1]Produtos!$B:$B,0)), "-")</f>
        <v>-</v>
      </c>
      <c r="T1302" s="484"/>
      <c r="U1302" s="483"/>
      <c r="V1302" s="483"/>
      <c r="W1302" s="483"/>
      <c r="X1302" s="483"/>
      <c r="Y1302" s="483"/>
      <c r="Z1302" s="483"/>
      <c r="AA1302" s="483"/>
      <c r="AB1302" s="483"/>
      <c r="AC1302" s="483"/>
      <c r="AD1302" s="483"/>
      <c r="AE1302" s="483"/>
      <c r="AF1302" s="483"/>
      <c r="AG1302" s="483"/>
      <c r="AH1302" s="483"/>
      <c r="AI1302" s="483"/>
      <c r="AJ1302" s="483"/>
      <c r="AK1302" s="483"/>
      <c r="AL1302" s="483"/>
      <c r="AM1302" s="670"/>
      <c r="AN1302" s="670"/>
      <c r="AO1302" s="711" t="str">
        <f>IF(OR(Table1[[#This Row],[Início Setup Envase]]="",Table1[[#This Row],[Final Setup Envase]]=""),"",Table1[[#This Row],[Final Setup Envase]]-Table1[[#This Row],[Início Setup Envase]])</f>
        <v/>
      </c>
      <c r="AP1302" s="670"/>
      <c r="AQ1302" s="670"/>
      <c r="AR1302" s="483"/>
      <c r="AS1302" s="483"/>
      <c r="AT1302" s="483"/>
      <c r="AU1302" s="483"/>
      <c r="AV1302" s="483"/>
      <c r="AW1302" s="483"/>
      <c r="AX1302" s="483"/>
      <c r="AY1302" s="270"/>
      <c r="AZ1302" s="270"/>
      <c r="BA1302" s="270" t="str">
        <f>IF(Table1[[#This Row],[Data de Início]]="","",YEAR(Table1[[#This Row],[Data de Início]]))</f>
        <v/>
      </c>
      <c r="BB1302" s="270" t="str">
        <f>IF(Table1[[#This Row],[Data de Início]]="","",MONTH(Table1[[#This Row],[Data de Início]]))</f>
        <v/>
      </c>
      <c r="BC1302" s="270"/>
    </row>
    <row r="1303" spans="2:55" x14ac:dyDescent="0.25">
      <c r="B1303" s="470"/>
      <c r="C1303" s="263"/>
      <c r="D1303" s="477" cm="1">
        <f t="array" ref="D1303">IFERROR(HorasUteisFabrica2Turnos(B1303,C1303), "")</f>
        <v>0</v>
      </c>
      <c r="E1303" s="697" t="str">
        <f t="shared" si="20"/>
        <v/>
      </c>
      <c r="F1303" s="266"/>
      <c r="G1303" s="698"/>
      <c r="H1303" s="266"/>
      <c r="I1303" s="268"/>
      <c r="J1303" s="268"/>
      <c r="K1303" s="268"/>
      <c r="L1303" s="269"/>
      <c r="M1303" s="510" t="str">
        <f>IFERROR(INDEX([1]Produtos!$C:$C,MATCH(L1303,[1]Produtos!$B:$B,0)), "-")</f>
        <v>-</v>
      </c>
      <c r="N1303" s="510" t="str">
        <f>IFERROR(INDEX([1]Produtos!$E:$E,MATCH(L1303,[1]Produtos!$B:$B,0)), "-")</f>
        <v>-</v>
      </c>
      <c r="O1303" s="270" t="str">
        <f>IFERROR(INDEX([1]Produtos!$F:$F,MATCH(L1303,[1]Produtos!$B:$B,0)), "-")</f>
        <v>-</v>
      </c>
      <c r="P1303" s="264" t="str">
        <f>IFERROR(INDEX([1]Produtos!$G:$G,MATCH(L1303,[1]Produtos!$B:$B,0)), "-")</f>
        <v>-</v>
      </c>
      <c r="Q1303" s="270" t="str">
        <f>IFERROR(INDEX([1]Produtos!$H:$H,MATCH(L1303,[1]Produtos!$B:$B,0)), "-")</f>
        <v>-</v>
      </c>
      <c r="R1303" s="270" t="str">
        <f>IFERROR(INDEX([1]Produtos!$I:$I,MATCH(L1303,[1]Produtos!$B:$B,0)), "-")</f>
        <v>-</v>
      </c>
      <c r="S1303" s="270" t="str">
        <f>IFERROR(INDEX([1]Produtos!$J:$J,MATCH(L1303,[1]Produtos!$B:$B,0)), "-")</f>
        <v>-</v>
      </c>
      <c r="T1303" s="475"/>
      <c r="U1303" s="270"/>
      <c r="V1303" s="270"/>
      <c r="W1303" s="270"/>
      <c r="X1303" s="270"/>
      <c r="Y1303" s="270"/>
      <c r="Z1303" s="270"/>
      <c r="AA1303" s="270"/>
      <c r="AB1303" s="270"/>
      <c r="AC1303" s="270"/>
      <c r="AD1303" s="270"/>
      <c r="AE1303" s="270"/>
      <c r="AF1303" s="270"/>
      <c r="AG1303" s="270"/>
      <c r="AH1303" s="270"/>
      <c r="AI1303" s="270"/>
      <c r="AJ1303" s="270"/>
      <c r="AK1303" s="270"/>
      <c r="AL1303" s="270"/>
      <c r="AM1303" s="663"/>
      <c r="AN1303" s="663"/>
      <c r="AO1303" s="708" t="str">
        <f>IF(OR(Table1[[#This Row],[Início Setup Envase]]="",Table1[[#This Row],[Final Setup Envase]]=""),"",Table1[[#This Row],[Final Setup Envase]]-Table1[[#This Row],[Início Setup Envase]])</f>
        <v/>
      </c>
      <c r="AP1303" s="663"/>
      <c r="AQ1303" s="663"/>
      <c r="AR1303" s="270"/>
      <c r="AS1303" s="674"/>
      <c r="AT1303" s="674"/>
      <c r="AU1303" s="270"/>
      <c r="AV1303" s="270"/>
      <c r="AW1303" s="270"/>
      <c r="AX1303" s="270"/>
      <c r="AY1303" s="270"/>
      <c r="AZ1303" s="270"/>
      <c r="BA1303" s="270" t="str">
        <f>IF(Table1[[#This Row],[Data de Início]]="","",YEAR(Table1[[#This Row],[Data de Início]]))</f>
        <v/>
      </c>
      <c r="BB1303" s="270" t="str">
        <f>IF(Table1[[#This Row],[Data de Início]]="","",MONTH(Table1[[#This Row],[Data de Início]]))</f>
        <v/>
      </c>
      <c r="BC1303" s="483"/>
    </row>
    <row r="1304" spans="2:55" x14ac:dyDescent="0.25">
      <c r="B1304" s="470"/>
      <c r="C1304" s="263"/>
      <c r="D1304" s="477" cm="1">
        <f t="array" ref="D1304">IFERROR(HorasUteisFabrica2Turnos(B1304,C1304), "")</f>
        <v>0</v>
      </c>
      <c r="E1304" s="478" t="str">
        <f t="shared" si="20"/>
        <v/>
      </c>
      <c r="F1304" s="266"/>
      <c r="G1304" s="656"/>
      <c r="H1304" s="479"/>
      <c r="I1304" s="268"/>
      <c r="J1304" s="268"/>
      <c r="K1304" s="268"/>
      <c r="L1304" s="269"/>
      <c r="M1304" s="511" t="str">
        <f>IFERROR(INDEX([1]Produtos!$C:$C,MATCH(L1304,[1]Produtos!$B:$B,0)), "-")</f>
        <v>-</v>
      </c>
      <c r="N1304" s="511" t="str">
        <f>IFERROR(INDEX([1]Produtos!$E:$E,MATCH(L1304,[1]Produtos!$B:$B,0)), "-")</f>
        <v>-</v>
      </c>
      <c r="O1304" s="483" t="str">
        <f>IFERROR(INDEX([1]Produtos!$F:$F,MATCH(L1304,[1]Produtos!$B:$B,0)), "-")</f>
        <v>-</v>
      </c>
      <c r="P1304" s="477" t="str">
        <f>IFERROR(INDEX([1]Produtos!$G:$G,MATCH(L1304,[1]Produtos!$B:$B,0)), "-")</f>
        <v>-</v>
      </c>
      <c r="Q1304" s="483" t="str">
        <f>IFERROR(INDEX([1]Produtos!$H:$H,MATCH(L1304,[1]Produtos!$B:$B,0)), "-")</f>
        <v>-</v>
      </c>
      <c r="R1304" s="483" t="str">
        <f>IFERROR(INDEX([1]Produtos!$I:$I,MATCH(L1304,[1]Produtos!$B:$B,0)), "-")</f>
        <v>-</v>
      </c>
      <c r="S1304" s="483" t="str">
        <f>IFERROR(INDEX([1]Produtos!$J:$J,MATCH(L1304,[1]Produtos!$B:$B,0)), "-")</f>
        <v>-</v>
      </c>
      <c r="T1304" s="484"/>
      <c r="U1304" s="483"/>
      <c r="V1304" s="483"/>
      <c r="W1304" s="483"/>
      <c r="X1304" s="483"/>
      <c r="Y1304" s="483"/>
      <c r="Z1304" s="483"/>
      <c r="AA1304" s="483"/>
      <c r="AB1304" s="483"/>
      <c r="AC1304" s="483"/>
      <c r="AD1304" s="483"/>
      <c r="AE1304" s="483"/>
      <c r="AF1304" s="483"/>
      <c r="AG1304" s="483"/>
      <c r="AH1304" s="483"/>
      <c r="AI1304" s="483"/>
      <c r="AJ1304" s="483"/>
      <c r="AK1304" s="483"/>
      <c r="AL1304" s="483"/>
      <c r="AM1304" s="670"/>
      <c r="AN1304" s="670"/>
      <c r="AO1304" s="711" t="str">
        <f>IF(OR(Table1[[#This Row],[Início Setup Envase]]="",Table1[[#This Row],[Final Setup Envase]]=""),"",Table1[[#This Row],[Final Setup Envase]]-Table1[[#This Row],[Início Setup Envase]])</f>
        <v/>
      </c>
      <c r="AP1304" s="670"/>
      <c r="AQ1304" s="670"/>
      <c r="AR1304" s="483"/>
      <c r="AS1304" s="483"/>
      <c r="AT1304" s="483"/>
      <c r="AU1304" s="483"/>
      <c r="AV1304" s="483"/>
      <c r="AW1304" s="483"/>
      <c r="AX1304" s="483"/>
      <c r="AY1304" s="270"/>
      <c r="AZ1304" s="270"/>
      <c r="BA1304" s="270" t="str">
        <f>IF(Table1[[#This Row],[Data de Início]]="","",YEAR(Table1[[#This Row],[Data de Início]]))</f>
        <v/>
      </c>
      <c r="BB1304" s="270" t="str">
        <f>IF(Table1[[#This Row],[Data de Início]]="","",MONTH(Table1[[#This Row],[Data de Início]]))</f>
        <v/>
      </c>
      <c r="BC1304" s="270"/>
    </row>
    <row r="1305" spans="2:55" x14ac:dyDescent="0.25">
      <c r="B1305" s="470"/>
      <c r="C1305" s="263"/>
      <c r="D1305" s="477" cm="1">
        <f t="array" ref="D1305">IFERROR(HorasUteisFabrica2Turnos(B1305,C1305), "")</f>
        <v>0</v>
      </c>
      <c r="E1305" s="697" t="str">
        <f t="shared" si="20"/>
        <v/>
      </c>
      <c r="F1305" s="266"/>
      <c r="G1305" s="698"/>
      <c r="H1305" s="266"/>
      <c r="I1305" s="268"/>
      <c r="J1305" s="268"/>
      <c r="K1305" s="268"/>
      <c r="L1305" s="269"/>
      <c r="M1305" s="510" t="str">
        <f>IFERROR(INDEX([1]Produtos!$C:$C,MATCH(L1305,[1]Produtos!$B:$B,0)), "-")</f>
        <v>-</v>
      </c>
      <c r="N1305" s="510" t="str">
        <f>IFERROR(INDEX([1]Produtos!$E:$E,MATCH(L1305,[1]Produtos!$B:$B,0)), "-")</f>
        <v>-</v>
      </c>
      <c r="O1305" s="270" t="str">
        <f>IFERROR(INDEX([1]Produtos!$F:$F,MATCH(L1305,[1]Produtos!$B:$B,0)), "-")</f>
        <v>-</v>
      </c>
      <c r="P1305" s="264" t="str">
        <f>IFERROR(INDEX([1]Produtos!$G:$G,MATCH(L1305,[1]Produtos!$B:$B,0)), "-")</f>
        <v>-</v>
      </c>
      <c r="Q1305" s="270" t="str">
        <f>IFERROR(INDEX([1]Produtos!$H:$H,MATCH(L1305,[1]Produtos!$B:$B,0)), "-")</f>
        <v>-</v>
      </c>
      <c r="R1305" s="270" t="str">
        <f>IFERROR(INDEX([1]Produtos!$I:$I,MATCH(L1305,[1]Produtos!$B:$B,0)), "-")</f>
        <v>-</v>
      </c>
      <c r="S1305" s="270" t="str">
        <f>IFERROR(INDEX([1]Produtos!$J:$J,MATCH(L1305,[1]Produtos!$B:$B,0)), "-")</f>
        <v>-</v>
      </c>
      <c r="T1305" s="475"/>
      <c r="U1305" s="270"/>
      <c r="V1305" s="270"/>
      <c r="W1305" s="270"/>
      <c r="X1305" s="270"/>
      <c r="Y1305" s="270"/>
      <c r="Z1305" s="270"/>
      <c r="AA1305" s="270"/>
      <c r="AB1305" s="270"/>
      <c r="AC1305" s="270"/>
      <c r="AD1305" s="270"/>
      <c r="AE1305" s="270"/>
      <c r="AF1305" s="270"/>
      <c r="AG1305" s="270"/>
      <c r="AH1305" s="270"/>
      <c r="AI1305" s="270"/>
      <c r="AJ1305" s="270"/>
      <c r="AK1305" s="270"/>
      <c r="AL1305" s="270"/>
      <c r="AM1305" s="663"/>
      <c r="AN1305" s="663"/>
      <c r="AO1305" s="708" t="str">
        <f>IF(OR(Table1[[#This Row],[Início Setup Envase]]="",Table1[[#This Row],[Final Setup Envase]]=""),"",Table1[[#This Row],[Final Setup Envase]]-Table1[[#This Row],[Início Setup Envase]])</f>
        <v/>
      </c>
      <c r="AP1305" s="663"/>
      <c r="AQ1305" s="663"/>
      <c r="AR1305" s="270"/>
      <c r="AS1305" s="674"/>
      <c r="AT1305" s="674"/>
      <c r="AU1305" s="270"/>
      <c r="AV1305" s="270"/>
      <c r="AW1305" s="270"/>
      <c r="AX1305" s="270"/>
      <c r="AY1305" s="270"/>
      <c r="AZ1305" s="270"/>
      <c r="BA1305" s="270" t="str">
        <f>IF(Table1[[#This Row],[Data de Início]]="","",YEAR(Table1[[#This Row],[Data de Início]]))</f>
        <v/>
      </c>
      <c r="BB1305" s="270" t="str">
        <f>IF(Table1[[#This Row],[Data de Início]]="","",MONTH(Table1[[#This Row],[Data de Início]]))</f>
        <v/>
      </c>
      <c r="BC1305" s="483"/>
    </row>
    <row r="1306" spans="2:55" x14ac:dyDescent="0.25">
      <c r="B1306" s="470"/>
      <c r="C1306" s="263"/>
      <c r="D1306" s="477" cm="1">
        <f t="array" ref="D1306">IFERROR(HorasUteisFabrica2Turnos(B1306,C1306), "")</f>
        <v>0</v>
      </c>
      <c r="E1306" s="478" t="str">
        <f t="shared" si="20"/>
        <v/>
      </c>
      <c r="F1306" s="266"/>
      <c r="G1306" s="656"/>
      <c r="H1306" s="479"/>
      <c r="I1306" s="268"/>
      <c r="J1306" s="268"/>
      <c r="K1306" s="268"/>
      <c r="L1306" s="269"/>
      <c r="M1306" s="511" t="str">
        <f>IFERROR(INDEX([1]Produtos!$C:$C,MATCH(L1306,[1]Produtos!$B:$B,0)), "-")</f>
        <v>-</v>
      </c>
      <c r="N1306" s="511" t="str">
        <f>IFERROR(INDEX([1]Produtos!$E:$E,MATCH(L1306,[1]Produtos!$B:$B,0)), "-")</f>
        <v>-</v>
      </c>
      <c r="O1306" s="483" t="str">
        <f>IFERROR(INDEX([1]Produtos!$F:$F,MATCH(L1306,[1]Produtos!$B:$B,0)), "-")</f>
        <v>-</v>
      </c>
      <c r="P1306" s="477" t="str">
        <f>IFERROR(INDEX([1]Produtos!$G:$G,MATCH(L1306,[1]Produtos!$B:$B,0)), "-")</f>
        <v>-</v>
      </c>
      <c r="Q1306" s="483" t="str">
        <f>IFERROR(INDEX([1]Produtos!$H:$H,MATCH(L1306,[1]Produtos!$B:$B,0)), "-")</f>
        <v>-</v>
      </c>
      <c r="R1306" s="483" t="str">
        <f>IFERROR(INDEX([1]Produtos!$I:$I,MATCH(L1306,[1]Produtos!$B:$B,0)), "-")</f>
        <v>-</v>
      </c>
      <c r="S1306" s="483" t="str">
        <f>IFERROR(INDEX([1]Produtos!$J:$J,MATCH(L1306,[1]Produtos!$B:$B,0)), "-")</f>
        <v>-</v>
      </c>
      <c r="T1306" s="484"/>
      <c r="U1306" s="483"/>
      <c r="V1306" s="483"/>
      <c r="W1306" s="483"/>
      <c r="X1306" s="483"/>
      <c r="Y1306" s="483"/>
      <c r="Z1306" s="483"/>
      <c r="AA1306" s="483"/>
      <c r="AB1306" s="483"/>
      <c r="AC1306" s="483"/>
      <c r="AD1306" s="483"/>
      <c r="AE1306" s="483"/>
      <c r="AF1306" s="483"/>
      <c r="AG1306" s="483"/>
      <c r="AH1306" s="483"/>
      <c r="AI1306" s="483"/>
      <c r="AJ1306" s="483"/>
      <c r="AK1306" s="483"/>
      <c r="AL1306" s="483"/>
      <c r="AM1306" s="670"/>
      <c r="AN1306" s="670"/>
      <c r="AO1306" s="711" t="str">
        <f>IF(OR(Table1[[#This Row],[Início Setup Envase]]="",Table1[[#This Row],[Final Setup Envase]]=""),"",Table1[[#This Row],[Final Setup Envase]]-Table1[[#This Row],[Início Setup Envase]])</f>
        <v/>
      </c>
      <c r="AP1306" s="670"/>
      <c r="AQ1306" s="670"/>
      <c r="AR1306" s="483"/>
      <c r="AS1306" s="483"/>
      <c r="AT1306" s="483"/>
      <c r="AU1306" s="483"/>
      <c r="AV1306" s="483"/>
      <c r="AW1306" s="483"/>
      <c r="AX1306" s="483"/>
      <c r="AY1306" s="270"/>
      <c r="AZ1306" s="270"/>
      <c r="BA1306" s="270" t="str">
        <f>IF(Table1[[#This Row],[Data de Início]]="","",YEAR(Table1[[#This Row],[Data de Início]]))</f>
        <v/>
      </c>
      <c r="BB1306" s="270" t="str">
        <f>IF(Table1[[#This Row],[Data de Início]]="","",MONTH(Table1[[#This Row],[Data de Início]]))</f>
        <v/>
      </c>
      <c r="BC1306" s="270"/>
    </row>
    <row r="1307" spans="2:55" x14ac:dyDescent="0.25">
      <c r="B1307" s="470"/>
      <c r="C1307" s="263"/>
      <c r="D1307" s="477" cm="1">
        <f t="array" ref="D1307">IFERROR(HorasUteisFabrica2Turnos(B1307,C1307), "")</f>
        <v>0</v>
      </c>
      <c r="E1307" s="697" t="str">
        <f t="shared" si="20"/>
        <v/>
      </c>
      <c r="F1307" s="266"/>
      <c r="G1307" s="698"/>
      <c r="H1307" s="266"/>
      <c r="I1307" s="268"/>
      <c r="J1307" s="268"/>
      <c r="K1307" s="268"/>
      <c r="L1307" s="269"/>
      <c r="M1307" s="510" t="str">
        <f>IFERROR(INDEX([1]Produtos!$C:$C,MATCH(L1307,[1]Produtos!$B:$B,0)), "-")</f>
        <v>-</v>
      </c>
      <c r="N1307" s="510" t="str">
        <f>IFERROR(INDEX([1]Produtos!$E:$E,MATCH(L1307,[1]Produtos!$B:$B,0)), "-")</f>
        <v>-</v>
      </c>
      <c r="O1307" s="270" t="str">
        <f>IFERROR(INDEX([1]Produtos!$F:$F,MATCH(L1307,[1]Produtos!$B:$B,0)), "-")</f>
        <v>-</v>
      </c>
      <c r="P1307" s="264" t="str">
        <f>IFERROR(INDEX([1]Produtos!$G:$G,MATCH(L1307,[1]Produtos!$B:$B,0)), "-")</f>
        <v>-</v>
      </c>
      <c r="Q1307" s="270" t="str">
        <f>IFERROR(INDEX([1]Produtos!$H:$H,MATCH(L1307,[1]Produtos!$B:$B,0)), "-")</f>
        <v>-</v>
      </c>
      <c r="R1307" s="270" t="str">
        <f>IFERROR(INDEX([1]Produtos!$I:$I,MATCH(L1307,[1]Produtos!$B:$B,0)), "-")</f>
        <v>-</v>
      </c>
      <c r="S1307" s="270" t="str">
        <f>IFERROR(INDEX([1]Produtos!$J:$J,MATCH(L1307,[1]Produtos!$B:$B,0)), "-")</f>
        <v>-</v>
      </c>
      <c r="T1307" s="475"/>
      <c r="U1307" s="270"/>
      <c r="V1307" s="270"/>
      <c r="W1307" s="270"/>
      <c r="X1307" s="270"/>
      <c r="Y1307" s="270"/>
      <c r="Z1307" s="270"/>
      <c r="AA1307" s="270"/>
      <c r="AB1307" s="270"/>
      <c r="AC1307" s="270"/>
      <c r="AD1307" s="270"/>
      <c r="AE1307" s="270"/>
      <c r="AF1307" s="270"/>
      <c r="AG1307" s="270"/>
      <c r="AH1307" s="270"/>
      <c r="AI1307" s="270"/>
      <c r="AJ1307" s="270"/>
      <c r="AK1307" s="270"/>
      <c r="AL1307" s="270"/>
      <c r="AM1307" s="663"/>
      <c r="AN1307" s="663"/>
      <c r="AO1307" s="708" t="str">
        <f>IF(OR(Table1[[#This Row],[Início Setup Envase]]="",Table1[[#This Row],[Final Setup Envase]]=""),"",Table1[[#This Row],[Final Setup Envase]]-Table1[[#This Row],[Início Setup Envase]])</f>
        <v/>
      </c>
      <c r="AP1307" s="663"/>
      <c r="AQ1307" s="663"/>
      <c r="AR1307" s="270"/>
      <c r="AS1307" s="674"/>
      <c r="AT1307" s="674"/>
      <c r="AU1307" s="270"/>
      <c r="AV1307" s="270"/>
      <c r="AW1307" s="270"/>
      <c r="AX1307" s="270"/>
      <c r="AY1307" s="270"/>
      <c r="AZ1307" s="270"/>
      <c r="BA1307" s="270" t="str">
        <f>IF(Table1[[#This Row],[Data de Início]]="","",YEAR(Table1[[#This Row],[Data de Início]]))</f>
        <v/>
      </c>
      <c r="BB1307" s="270" t="str">
        <f>IF(Table1[[#This Row],[Data de Início]]="","",MONTH(Table1[[#This Row],[Data de Início]]))</f>
        <v/>
      </c>
      <c r="BC1307" s="483"/>
    </row>
    <row r="1308" spans="2:55" x14ac:dyDescent="0.25">
      <c r="B1308" s="470"/>
      <c r="C1308" s="263"/>
      <c r="D1308" s="477" cm="1">
        <f t="array" ref="D1308">IFERROR(HorasUteisFabrica2Turnos(B1308,C1308), "")</f>
        <v>0</v>
      </c>
      <c r="E1308" s="478" t="str">
        <f t="shared" si="20"/>
        <v/>
      </c>
      <c r="F1308" s="266"/>
      <c r="G1308" s="656"/>
      <c r="H1308" s="479"/>
      <c r="I1308" s="268"/>
      <c r="J1308" s="268"/>
      <c r="K1308" s="268"/>
      <c r="L1308" s="269"/>
      <c r="M1308" s="511" t="str">
        <f>IFERROR(INDEX([1]Produtos!$C:$C,MATCH(L1308,[1]Produtos!$B:$B,0)), "-")</f>
        <v>-</v>
      </c>
      <c r="N1308" s="511" t="str">
        <f>IFERROR(INDEX([1]Produtos!$E:$E,MATCH(L1308,[1]Produtos!$B:$B,0)), "-")</f>
        <v>-</v>
      </c>
      <c r="O1308" s="483" t="str">
        <f>IFERROR(INDEX([1]Produtos!$F:$F,MATCH(L1308,[1]Produtos!$B:$B,0)), "-")</f>
        <v>-</v>
      </c>
      <c r="P1308" s="477" t="str">
        <f>IFERROR(INDEX([1]Produtos!$G:$G,MATCH(L1308,[1]Produtos!$B:$B,0)), "-")</f>
        <v>-</v>
      </c>
      <c r="Q1308" s="483" t="str">
        <f>IFERROR(INDEX([1]Produtos!$H:$H,MATCH(L1308,[1]Produtos!$B:$B,0)), "-")</f>
        <v>-</v>
      </c>
      <c r="R1308" s="483" t="str">
        <f>IFERROR(INDEX([1]Produtos!$I:$I,MATCH(L1308,[1]Produtos!$B:$B,0)), "-")</f>
        <v>-</v>
      </c>
      <c r="S1308" s="483" t="str">
        <f>IFERROR(INDEX([1]Produtos!$J:$J,MATCH(L1308,[1]Produtos!$B:$B,0)), "-")</f>
        <v>-</v>
      </c>
      <c r="T1308" s="484"/>
      <c r="U1308" s="483"/>
      <c r="V1308" s="483"/>
      <c r="W1308" s="483"/>
      <c r="X1308" s="483"/>
      <c r="Y1308" s="483"/>
      <c r="Z1308" s="483"/>
      <c r="AA1308" s="483"/>
      <c r="AB1308" s="483"/>
      <c r="AC1308" s="483"/>
      <c r="AD1308" s="483"/>
      <c r="AE1308" s="483"/>
      <c r="AF1308" s="483"/>
      <c r="AG1308" s="483"/>
      <c r="AH1308" s="483"/>
      <c r="AI1308" s="483"/>
      <c r="AJ1308" s="483"/>
      <c r="AK1308" s="483"/>
      <c r="AL1308" s="483"/>
      <c r="AM1308" s="670"/>
      <c r="AN1308" s="670"/>
      <c r="AO1308" s="711" t="str">
        <f>IF(OR(Table1[[#This Row],[Início Setup Envase]]="",Table1[[#This Row],[Final Setup Envase]]=""),"",Table1[[#This Row],[Final Setup Envase]]-Table1[[#This Row],[Início Setup Envase]])</f>
        <v/>
      </c>
      <c r="AP1308" s="670"/>
      <c r="AQ1308" s="670"/>
      <c r="AR1308" s="483"/>
      <c r="AS1308" s="483"/>
      <c r="AT1308" s="483"/>
      <c r="AU1308" s="483"/>
      <c r="AV1308" s="483"/>
      <c r="AW1308" s="483"/>
      <c r="AX1308" s="483"/>
      <c r="AY1308" s="270"/>
      <c r="AZ1308" s="270"/>
      <c r="BA1308" s="270" t="str">
        <f>IF(Table1[[#This Row],[Data de Início]]="","",YEAR(Table1[[#This Row],[Data de Início]]))</f>
        <v/>
      </c>
      <c r="BB1308" s="270" t="str">
        <f>IF(Table1[[#This Row],[Data de Início]]="","",MONTH(Table1[[#This Row],[Data de Início]]))</f>
        <v/>
      </c>
      <c r="BC1308" s="270"/>
    </row>
    <row r="1309" spans="2:55" x14ac:dyDescent="0.25">
      <c r="B1309" s="470"/>
      <c r="C1309" s="263"/>
      <c r="D1309" s="477" cm="1">
        <f t="array" ref="D1309">IFERROR(HorasUteisFabrica2Turnos(B1309,C1309), "")</f>
        <v>0</v>
      </c>
      <c r="E1309" s="697" t="str">
        <f t="shared" si="20"/>
        <v/>
      </c>
      <c r="F1309" s="266"/>
      <c r="G1309" s="698"/>
      <c r="H1309" s="266"/>
      <c r="I1309" s="268"/>
      <c r="J1309" s="268"/>
      <c r="K1309" s="268"/>
      <c r="L1309" s="269"/>
      <c r="M1309" s="510" t="str">
        <f>IFERROR(INDEX([1]Produtos!$C:$C,MATCH(L1309,[1]Produtos!$B:$B,0)), "-")</f>
        <v>-</v>
      </c>
      <c r="N1309" s="510" t="str">
        <f>IFERROR(INDEX([1]Produtos!$E:$E,MATCH(L1309,[1]Produtos!$B:$B,0)), "-")</f>
        <v>-</v>
      </c>
      <c r="O1309" s="270" t="str">
        <f>IFERROR(INDEX([1]Produtos!$F:$F,MATCH(L1309,[1]Produtos!$B:$B,0)), "-")</f>
        <v>-</v>
      </c>
      <c r="P1309" s="264" t="str">
        <f>IFERROR(INDEX([1]Produtos!$G:$G,MATCH(L1309,[1]Produtos!$B:$B,0)), "-")</f>
        <v>-</v>
      </c>
      <c r="Q1309" s="270" t="str">
        <f>IFERROR(INDEX([1]Produtos!$H:$H,MATCH(L1309,[1]Produtos!$B:$B,0)), "-")</f>
        <v>-</v>
      </c>
      <c r="R1309" s="270" t="str">
        <f>IFERROR(INDEX([1]Produtos!$I:$I,MATCH(L1309,[1]Produtos!$B:$B,0)), "-")</f>
        <v>-</v>
      </c>
      <c r="S1309" s="270" t="str">
        <f>IFERROR(INDEX([1]Produtos!$J:$J,MATCH(L1309,[1]Produtos!$B:$B,0)), "-")</f>
        <v>-</v>
      </c>
      <c r="T1309" s="475"/>
      <c r="U1309" s="270"/>
      <c r="V1309" s="270"/>
      <c r="W1309" s="270"/>
      <c r="X1309" s="270"/>
      <c r="Y1309" s="270"/>
      <c r="Z1309" s="270"/>
      <c r="AA1309" s="270"/>
      <c r="AB1309" s="270"/>
      <c r="AC1309" s="270"/>
      <c r="AD1309" s="270"/>
      <c r="AE1309" s="270"/>
      <c r="AF1309" s="270"/>
      <c r="AG1309" s="270"/>
      <c r="AH1309" s="270"/>
      <c r="AI1309" s="270"/>
      <c r="AJ1309" s="270"/>
      <c r="AK1309" s="270"/>
      <c r="AL1309" s="270"/>
      <c r="AM1309" s="663"/>
      <c r="AN1309" s="663"/>
      <c r="AO1309" s="708" t="str">
        <f>IF(OR(Table1[[#This Row],[Início Setup Envase]]="",Table1[[#This Row],[Final Setup Envase]]=""),"",Table1[[#This Row],[Final Setup Envase]]-Table1[[#This Row],[Início Setup Envase]])</f>
        <v/>
      </c>
      <c r="AP1309" s="663"/>
      <c r="AQ1309" s="663"/>
      <c r="AR1309" s="270"/>
      <c r="AS1309" s="674"/>
      <c r="AT1309" s="674"/>
      <c r="AU1309" s="270"/>
      <c r="AV1309" s="270"/>
      <c r="AW1309" s="270"/>
      <c r="AX1309" s="270"/>
      <c r="AY1309" s="270"/>
      <c r="AZ1309" s="270"/>
      <c r="BA1309" s="270" t="str">
        <f>IF(Table1[[#This Row],[Data de Início]]="","",YEAR(Table1[[#This Row],[Data de Início]]))</f>
        <v/>
      </c>
      <c r="BB1309" s="270" t="str">
        <f>IF(Table1[[#This Row],[Data de Início]]="","",MONTH(Table1[[#This Row],[Data de Início]]))</f>
        <v/>
      </c>
      <c r="BC1309" s="483"/>
    </row>
    <row r="1310" spans="2:55" x14ac:dyDescent="0.25">
      <c r="B1310" s="470"/>
      <c r="C1310" s="263"/>
      <c r="D1310" s="477" cm="1">
        <f t="array" ref="D1310">IFERROR(HorasUteisFabrica2Turnos(B1310,C1310), "")</f>
        <v>0</v>
      </c>
      <c r="E1310" s="478" t="str">
        <f t="shared" si="20"/>
        <v/>
      </c>
      <c r="F1310" s="266"/>
      <c r="G1310" s="656"/>
      <c r="H1310" s="479"/>
      <c r="I1310" s="268"/>
      <c r="J1310" s="268"/>
      <c r="K1310" s="268"/>
      <c r="L1310" s="269"/>
      <c r="M1310" s="511" t="str">
        <f>IFERROR(INDEX([1]Produtos!$C:$C,MATCH(L1310,[1]Produtos!$B:$B,0)), "-")</f>
        <v>-</v>
      </c>
      <c r="N1310" s="511" t="str">
        <f>IFERROR(INDEX([1]Produtos!$E:$E,MATCH(L1310,[1]Produtos!$B:$B,0)), "-")</f>
        <v>-</v>
      </c>
      <c r="O1310" s="483" t="str">
        <f>IFERROR(INDEX([1]Produtos!$F:$F,MATCH(L1310,[1]Produtos!$B:$B,0)), "-")</f>
        <v>-</v>
      </c>
      <c r="P1310" s="477" t="str">
        <f>IFERROR(INDEX([1]Produtos!$G:$G,MATCH(L1310,[1]Produtos!$B:$B,0)), "-")</f>
        <v>-</v>
      </c>
      <c r="Q1310" s="483" t="str">
        <f>IFERROR(INDEX([1]Produtos!$H:$H,MATCH(L1310,[1]Produtos!$B:$B,0)), "-")</f>
        <v>-</v>
      </c>
      <c r="R1310" s="483" t="str">
        <f>IFERROR(INDEX([1]Produtos!$I:$I,MATCH(L1310,[1]Produtos!$B:$B,0)), "-")</f>
        <v>-</v>
      </c>
      <c r="S1310" s="483" t="str">
        <f>IFERROR(INDEX([1]Produtos!$J:$J,MATCH(L1310,[1]Produtos!$B:$B,0)), "-")</f>
        <v>-</v>
      </c>
      <c r="T1310" s="484"/>
      <c r="U1310" s="483"/>
      <c r="V1310" s="483"/>
      <c r="W1310" s="483"/>
      <c r="X1310" s="483"/>
      <c r="Y1310" s="483"/>
      <c r="Z1310" s="483"/>
      <c r="AA1310" s="483"/>
      <c r="AB1310" s="483"/>
      <c r="AC1310" s="483"/>
      <c r="AD1310" s="483"/>
      <c r="AE1310" s="483"/>
      <c r="AF1310" s="483"/>
      <c r="AG1310" s="483"/>
      <c r="AH1310" s="483"/>
      <c r="AI1310" s="483"/>
      <c r="AJ1310" s="483"/>
      <c r="AK1310" s="483"/>
      <c r="AL1310" s="483"/>
      <c r="AM1310" s="670"/>
      <c r="AN1310" s="670"/>
      <c r="AO1310" s="711" t="str">
        <f>IF(OR(Table1[[#This Row],[Início Setup Envase]]="",Table1[[#This Row],[Final Setup Envase]]=""),"",Table1[[#This Row],[Final Setup Envase]]-Table1[[#This Row],[Início Setup Envase]])</f>
        <v/>
      </c>
      <c r="AP1310" s="670"/>
      <c r="AQ1310" s="670"/>
      <c r="AR1310" s="483"/>
      <c r="AS1310" s="483"/>
      <c r="AT1310" s="483"/>
      <c r="AU1310" s="483"/>
      <c r="AV1310" s="483"/>
      <c r="AW1310" s="483"/>
      <c r="AX1310" s="483"/>
      <c r="AY1310" s="270"/>
      <c r="AZ1310" s="270"/>
      <c r="BA1310" s="270" t="str">
        <f>IF(Table1[[#This Row],[Data de Início]]="","",YEAR(Table1[[#This Row],[Data de Início]]))</f>
        <v/>
      </c>
      <c r="BB1310" s="270" t="str">
        <f>IF(Table1[[#This Row],[Data de Início]]="","",MONTH(Table1[[#This Row],[Data de Início]]))</f>
        <v/>
      </c>
      <c r="BC1310" s="270"/>
    </row>
    <row r="1311" spans="2:55" x14ac:dyDescent="0.25">
      <c r="B1311" s="470"/>
      <c r="C1311" s="263"/>
      <c r="D1311" s="477" cm="1">
        <f t="array" ref="D1311">IFERROR(HorasUteisFabrica2Turnos(B1311,C1311), "")</f>
        <v>0</v>
      </c>
      <c r="E1311" s="697" t="str">
        <f t="shared" si="20"/>
        <v/>
      </c>
      <c r="F1311" s="266"/>
      <c r="G1311" s="698"/>
      <c r="H1311" s="266"/>
      <c r="I1311" s="268"/>
      <c r="J1311" s="268"/>
      <c r="K1311" s="268"/>
      <c r="L1311" s="269"/>
      <c r="M1311" s="510" t="str">
        <f>IFERROR(INDEX([1]Produtos!$C:$C,MATCH(L1311,[1]Produtos!$B:$B,0)), "-")</f>
        <v>-</v>
      </c>
      <c r="N1311" s="510" t="str">
        <f>IFERROR(INDEX([1]Produtos!$E:$E,MATCH(L1311,[1]Produtos!$B:$B,0)), "-")</f>
        <v>-</v>
      </c>
      <c r="O1311" s="270" t="str">
        <f>IFERROR(INDEX([1]Produtos!$F:$F,MATCH(L1311,[1]Produtos!$B:$B,0)), "-")</f>
        <v>-</v>
      </c>
      <c r="P1311" s="264" t="str">
        <f>IFERROR(INDEX([1]Produtos!$G:$G,MATCH(L1311,[1]Produtos!$B:$B,0)), "-")</f>
        <v>-</v>
      </c>
      <c r="Q1311" s="270" t="str">
        <f>IFERROR(INDEX([1]Produtos!$H:$H,MATCH(L1311,[1]Produtos!$B:$B,0)), "-")</f>
        <v>-</v>
      </c>
      <c r="R1311" s="270" t="str">
        <f>IFERROR(INDEX([1]Produtos!$I:$I,MATCH(L1311,[1]Produtos!$B:$B,0)), "-")</f>
        <v>-</v>
      </c>
      <c r="S1311" s="270" t="str">
        <f>IFERROR(INDEX([1]Produtos!$J:$J,MATCH(L1311,[1]Produtos!$B:$B,0)), "-")</f>
        <v>-</v>
      </c>
      <c r="T1311" s="475"/>
      <c r="U1311" s="270"/>
      <c r="V1311" s="270"/>
      <c r="W1311" s="270"/>
      <c r="X1311" s="270"/>
      <c r="Y1311" s="270"/>
      <c r="Z1311" s="270"/>
      <c r="AA1311" s="270"/>
      <c r="AB1311" s="270"/>
      <c r="AC1311" s="270"/>
      <c r="AD1311" s="270"/>
      <c r="AE1311" s="270"/>
      <c r="AF1311" s="270"/>
      <c r="AG1311" s="270"/>
      <c r="AH1311" s="270"/>
      <c r="AI1311" s="270"/>
      <c r="AJ1311" s="270"/>
      <c r="AK1311" s="270"/>
      <c r="AL1311" s="270"/>
      <c r="AM1311" s="663"/>
      <c r="AN1311" s="663"/>
      <c r="AO1311" s="708" t="str">
        <f>IF(OR(Table1[[#This Row],[Início Setup Envase]]="",Table1[[#This Row],[Final Setup Envase]]=""),"",Table1[[#This Row],[Final Setup Envase]]-Table1[[#This Row],[Início Setup Envase]])</f>
        <v/>
      </c>
      <c r="AP1311" s="663"/>
      <c r="AQ1311" s="663"/>
      <c r="AR1311" s="270"/>
      <c r="AS1311" s="674"/>
      <c r="AT1311" s="674"/>
      <c r="AU1311" s="270"/>
      <c r="AV1311" s="270"/>
      <c r="AW1311" s="270"/>
      <c r="AX1311" s="270"/>
      <c r="AY1311" s="270"/>
      <c r="AZ1311" s="270"/>
      <c r="BA1311" s="270" t="str">
        <f>IF(Table1[[#This Row],[Data de Início]]="","",YEAR(Table1[[#This Row],[Data de Início]]))</f>
        <v/>
      </c>
      <c r="BB1311" s="270" t="str">
        <f>IF(Table1[[#This Row],[Data de Início]]="","",MONTH(Table1[[#This Row],[Data de Início]]))</f>
        <v/>
      </c>
      <c r="BC1311" s="483"/>
    </row>
    <row r="1312" spans="2:55" x14ac:dyDescent="0.25">
      <c r="B1312" s="470"/>
      <c r="C1312" s="263"/>
      <c r="D1312" s="477" cm="1">
        <f t="array" ref="D1312">IFERROR(HorasUteisFabrica2Turnos(B1312,C1312), "")</f>
        <v>0</v>
      </c>
      <c r="E1312" s="478" t="str">
        <f t="shared" si="20"/>
        <v/>
      </c>
      <c r="F1312" s="266"/>
      <c r="G1312" s="656"/>
      <c r="H1312" s="479"/>
      <c r="I1312" s="268"/>
      <c r="J1312" s="268"/>
      <c r="K1312" s="268"/>
      <c r="L1312" s="269"/>
      <c r="M1312" s="511" t="str">
        <f>IFERROR(INDEX([1]Produtos!$C:$C,MATCH(L1312,[1]Produtos!$B:$B,0)), "-")</f>
        <v>-</v>
      </c>
      <c r="N1312" s="511" t="str">
        <f>IFERROR(INDEX([1]Produtos!$E:$E,MATCH(L1312,[1]Produtos!$B:$B,0)), "-")</f>
        <v>-</v>
      </c>
      <c r="O1312" s="483" t="str">
        <f>IFERROR(INDEX([1]Produtos!$F:$F,MATCH(L1312,[1]Produtos!$B:$B,0)), "-")</f>
        <v>-</v>
      </c>
      <c r="P1312" s="477" t="str">
        <f>IFERROR(INDEX([1]Produtos!$G:$G,MATCH(L1312,[1]Produtos!$B:$B,0)), "-")</f>
        <v>-</v>
      </c>
      <c r="Q1312" s="483" t="str">
        <f>IFERROR(INDEX([1]Produtos!$H:$H,MATCH(L1312,[1]Produtos!$B:$B,0)), "-")</f>
        <v>-</v>
      </c>
      <c r="R1312" s="483" t="str">
        <f>IFERROR(INDEX([1]Produtos!$I:$I,MATCH(L1312,[1]Produtos!$B:$B,0)), "-")</f>
        <v>-</v>
      </c>
      <c r="S1312" s="483" t="str">
        <f>IFERROR(INDEX([1]Produtos!$J:$J,MATCH(L1312,[1]Produtos!$B:$B,0)), "-")</f>
        <v>-</v>
      </c>
      <c r="T1312" s="484"/>
      <c r="U1312" s="483"/>
      <c r="V1312" s="483"/>
      <c r="W1312" s="483"/>
      <c r="X1312" s="483"/>
      <c r="Y1312" s="483"/>
      <c r="Z1312" s="483"/>
      <c r="AA1312" s="483"/>
      <c r="AB1312" s="483"/>
      <c r="AC1312" s="483"/>
      <c r="AD1312" s="483"/>
      <c r="AE1312" s="483"/>
      <c r="AF1312" s="483"/>
      <c r="AG1312" s="483"/>
      <c r="AH1312" s="483"/>
      <c r="AI1312" s="483"/>
      <c r="AJ1312" s="483"/>
      <c r="AK1312" s="483"/>
      <c r="AL1312" s="483"/>
      <c r="AM1312" s="670"/>
      <c r="AN1312" s="670"/>
      <c r="AO1312" s="711" t="str">
        <f>IF(OR(Table1[[#This Row],[Início Setup Envase]]="",Table1[[#This Row],[Final Setup Envase]]=""),"",Table1[[#This Row],[Final Setup Envase]]-Table1[[#This Row],[Início Setup Envase]])</f>
        <v/>
      </c>
      <c r="AP1312" s="670"/>
      <c r="AQ1312" s="670"/>
      <c r="AR1312" s="483"/>
      <c r="AS1312" s="483"/>
      <c r="AT1312" s="483"/>
      <c r="AU1312" s="483"/>
      <c r="AV1312" s="483"/>
      <c r="AW1312" s="483"/>
      <c r="AX1312" s="483"/>
      <c r="AY1312" s="270"/>
      <c r="AZ1312" s="270"/>
      <c r="BA1312" s="270" t="str">
        <f>IF(Table1[[#This Row],[Data de Início]]="","",YEAR(Table1[[#This Row],[Data de Início]]))</f>
        <v/>
      </c>
      <c r="BB1312" s="270" t="str">
        <f>IF(Table1[[#This Row],[Data de Início]]="","",MONTH(Table1[[#This Row],[Data de Início]]))</f>
        <v/>
      </c>
      <c r="BC1312" s="270"/>
    </row>
    <row r="1313" spans="2:55" x14ac:dyDescent="0.25">
      <c r="B1313" s="470"/>
      <c r="C1313" s="263"/>
      <c r="D1313" s="477" cm="1">
        <f t="array" ref="D1313">IFERROR(HorasUteisFabrica2Turnos(B1313,C1313), "")</f>
        <v>0</v>
      </c>
      <c r="E1313" s="697" t="str">
        <f t="shared" si="20"/>
        <v/>
      </c>
      <c r="F1313" s="266"/>
      <c r="G1313" s="698"/>
      <c r="H1313" s="266"/>
      <c r="I1313" s="268"/>
      <c r="J1313" s="268"/>
      <c r="K1313" s="268"/>
      <c r="L1313" s="269"/>
      <c r="M1313" s="510" t="str">
        <f>IFERROR(INDEX([1]Produtos!$C:$C,MATCH(L1313,[1]Produtos!$B:$B,0)), "-")</f>
        <v>-</v>
      </c>
      <c r="N1313" s="510" t="str">
        <f>IFERROR(INDEX([1]Produtos!$E:$E,MATCH(L1313,[1]Produtos!$B:$B,0)), "-")</f>
        <v>-</v>
      </c>
      <c r="O1313" s="270" t="str">
        <f>IFERROR(INDEX([1]Produtos!$F:$F,MATCH(L1313,[1]Produtos!$B:$B,0)), "-")</f>
        <v>-</v>
      </c>
      <c r="P1313" s="264" t="str">
        <f>IFERROR(INDEX([1]Produtos!$G:$G,MATCH(L1313,[1]Produtos!$B:$B,0)), "-")</f>
        <v>-</v>
      </c>
      <c r="Q1313" s="270" t="str">
        <f>IFERROR(INDEX([1]Produtos!$H:$H,MATCH(L1313,[1]Produtos!$B:$B,0)), "-")</f>
        <v>-</v>
      </c>
      <c r="R1313" s="270" t="str">
        <f>IFERROR(INDEX([1]Produtos!$I:$I,MATCH(L1313,[1]Produtos!$B:$B,0)), "-")</f>
        <v>-</v>
      </c>
      <c r="S1313" s="270" t="str">
        <f>IFERROR(INDEX([1]Produtos!$J:$J,MATCH(L1313,[1]Produtos!$B:$B,0)), "-")</f>
        <v>-</v>
      </c>
      <c r="T1313" s="475"/>
      <c r="U1313" s="270"/>
      <c r="V1313" s="270"/>
      <c r="W1313" s="270"/>
      <c r="X1313" s="270"/>
      <c r="Y1313" s="270"/>
      <c r="Z1313" s="270"/>
      <c r="AA1313" s="270"/>
      <c r="AB1313" s="270"/>
      <c r="AC1313" s="270"/>
      <c r="AD1313" s="270"/>
      <c r="AE1313" s="270"/>
      <c r="AF1313" s="270"/>
      <c r="AG1313" s="270"/>
      <c r="AH1313" s="270"/>
      <c r="AI1313" s="270"/>
      <c r="AJ1313" s="270"/>
      <c r="AK1313" s="270"/>
      <c r="AL1313" s="270"/>
      <c r="AM1313" s="663"/>
      <c r="AN1313" s="663"/>
      <c r="AO1313" s="708" t="str">
        <f>IF(OR(Table1[[#This Row],[Início Setup Envase]]="",Table1[[#This Row],[Final Setup Envase]]=""),"",Table1[[#This Row],[Final Setup Envase]]-Table1[[#This Row],[Início Setup Envase]])</f>
        <v/>
      </c>
      <c r="AP1313" s="663"/>
      <c r="AQ1313" s="663"/>
      <c r="AR1313" s="270"/>
      <c r="AS1313" s="674"/>
      <c r="AT1313" s="674"/>
      <c r="AU1313" s="270"/>
      <c r="AV1313" s="270"/>
      <c r="AW1313" s="270"/>
      <c r="AX1313" s="270"/>
      <c r="AY1313" s="270"/>
      <c r="AZ1313" s="270"/>
      <c r="BA1313" s="270" t="str">
        <f>IF(Table1[[#This Row],[Data de Início]]="","",YEAR(Table1[[#This Row],[Data de Início]]))</f>
        <v/>
      </c>
      <c r="BB1313" s="270" t="str">
        <f>IF(Table1[[#This Row],[Data de Início]]="","",MONTH(Table1[[#This Row],[Data de Início]]))</f>
        <v/>
      </c>
      <c r="BC1313" s="483"/>
    </row>
    <row r="1314" spans="2:55" x14ac:dyDescent="0.25">
      <c r="B1314" s="470"/>
      <c r="C1314" s="263"/>
      <c r="D1314" s="477" cm="1">
        <f t="array" ref="D1314">IFERROR(HorasUteisFabrica2Turnos(B1314,C1314), "")</f>
        <v>0</v>
      </c>
      <c r="E1314" s="478" t="str">
        <f t="shared" si="20"/>
        <v/>
      </c>
      <c r="F1314" s="266"/>
      <c r="G1314" s="656"/>
      <c r="H1314" s="479"/>
      <c r="I1314" s="268"/>
      <c r="J1314" s="268"/>
      <c r="K1314" s="268"/>
      <c r="L1314" s="269"/>
      <c r="M1314" s="511" t="str">
        <f>IFERROR(INDEX([1]Produtos!$C:$C,MATCH(L1314,[1]Produtos!$B:$B,0)), "-")</f>
        <v>-</v>
      </c>
      <c r="N1314" s="511" t="str">
        <f>IFERROR(INDEX([1]Produtos!$E:$E,MATCH(L1314,[1]Produtos!$B:$B,0)), "-")</f>
        <v>-</v>
      </c>
      <c r="O1314" s="483" t="str">
        <f>IFERROR(INDEX([1]Produtos!$F:$F,MATCH(L1314,[1]Produtos!$B:$B,0)), "-")</f>
        <v>-</v>
      </c>
      <c r="P1314" s="477" t="str">
        <f>IFERROR(INDEX([1]Produtos!$G:$G,MATCH(L1314,[1]Produtos!$B:$B,0)), "-")</f>
        <v>-</v>
      </c>
      <c r="Q1314" s="483" t="str">
        <f>IFERROR(INDEX([1]Produtos!$H:$H,MATCH(L1314,[1]Produtos!$B:$B,0)), "-")</f>
        <v>-</v>
      </c>
      <c r="R1314" s="483" t="str">
        <f>IFERROR(INDEX([1]Produtos!$I:$I,MATCH(L1314,[1]Produtos!$B:$B,0)), "-")</f>
        <v>-</v>
      </c>
      <c r="S1314" s="483" t="str">
        <f>IFERROR(INDEX([1]Produtos!$J:$J,MATCH(L1314,[1]Produtos!$B:$B,0)), "-")</f>
        <v>-</v>
      </c>
      <c r="T1314" s="484"/>
      <c r="U1314" s="483"/>
      <c r="V1314" s="483"/>
      <c r="W1314" s="483"/>
      <c r="X1314" s="483"/>
      <c r="Y1314" s="483"/>
      <c r="Z1314" s="483"/>
      <c r="AA1314" s="483"/>
      <c r="AB1314" s="483"/>
      <c r="AC1314" s="483"/>
      <c r="AD1314" s="483"/>
      <c r="AE1314" s="483"/>
      <c r="AF1314" s="483"/>
      <c r="AG1314" s="483"/>
      <c r="AH1314" s="483"/>
      <c r="AI1314" s="483"/>
      <c r="AJ1314" s="483"/>
      <c r="AK1314" s="483"/>
      <c r="AL1314" s="483"/>
      <c r="AM1314" s="670"/>
      <c r="AN1314" s="670"/>
      <c r="AO1314" s="711" t="str">
        <f>IF(OR(Table1[[#This Row],[Início Setup Envase]]="",Table1[[#This Row],[Final Setup Envase]]=""),"",Table1[[#This Row],[Final Setup Envase]]-Table1[[#This Row],[Início Setup Envase]])</f>
        <v/>
      </c>
      <c r="AP1314" s="670"/>
      <c r="AQ1314" s="670"/>
      <c r="AR1314" s="483"/>
      <c r="AS1314" s="483"/>
      <c r="AT1314" s="483"/>
      <c r="AU1314" s="483"/>
      <c r="AV1314" s="483"/>
      <c r="AW1314" s="483"/>
      <c r="AX1314" s="483"/>
      <c r="AY1314" s="270"/>
      <c r="AZ1314" s="270"/>
      <c r="BA1314" s="270" t="str">
        <f>IF(Table1[[#This Row],[Data de Início]]="","",YEAR(Table1[[#This Row],[Data de Início]]))</f>
        <v/>
      </c>
      <c r="BB1314" s="270" t="str">
        <f>IF(Table1[[#This Row],[Data de Início]]="","",MONTH(Table1[[#This Row],[Data de Início]]))</f>
        <v/>
      </c>
      <c r="BC1314" s="270"/>
    </row>
    <row r="1315" spans="2:55" x14ac:dyDescent="0.25">
      <c r="B1315" s="470"/>
      <c r="C1315" s="263"/>
      <c r="D1315" s="477" cm="1">
        <f t="array" ref="D1315">IFERROR(HorasUteisFabrica2Turnos(B1315,C1315), "")</f>
        <v>0</v>
      </c>
      <c r="E1315" s="697" t="str">
        <f t="shared" si="20"/>
        <v/>
      </c>
      <c r="F1315" s="266"/>
      <c r="G1315" s="698"/>
      <c r="H1315" s="266"/>
      <c r="I1315" s="268"/>
      <c r="J1315" s="268"/>
      <c r="K1315" s="268"/>
      <c r="L1315" s="269"/>
      <c r="M1315" s="510" t="str">
        <f>IFERROR(INDEX([1]Produtos!$C:$C,MATCH(L1315,[1]Produtos!$B:$B,0)), "-")</f>
        <v>-</v>
      </c>
      <c r="N1315" s="510" t="str">
        <f>IFERROR(INDEX([1]Produtos!$E:$E,MATCH(L1315,[1]Produtos!$B:$B,0)), "-")</f>
        <v>-</v>
      </c>
      <c r="O1315" s="270" t="str">
        <f>IFERROR(INDEX([1]Produtos!$F:$F,MATCH(L1315,[1]Produtos!$B:$B,0)), "-")</f>
        <v>-</v>
      </c>
      <c r="P1315" s="264" t="str">
        <f>IFERROR(INDEX([1]Produtos!$G:$G,MATCH(L1315,[1]Produtos!$B:$B,0)), "-")</f>
        <v>-</v>
      </c>
      <c r="Q1315" s="270" t="str">
        <f>IFERROR(INDEX([1]Produtos!$H:$H,MATCH(L1315,[1]Produtos!$B:$B,0)), "-")</f>
        <v>-</v>
      </c>
      <c r="R1315" s="270" t="str">
        <f>IFERROR(INDEX([1]Produtos!$I:$I,MATCH(L1315,[1]Produtos!$B:$B,0)), "-")</f>
        <v>-</v>
      </c>
      <c r="S1315" s="270" t="str">
        <f>IFERROR(INDEX([1]Produtos!$J:$J,MATCH(L1315,[1]Produtos!$B:$B,0)), "-")</f>
        <v>-</v>
      </c>
      <c r="T1315" s="475"/>
      <c r="U1315" s="270"/>
      <c r="V1315" s="270"/>
      <c r="W1315" s="270"/>
      <c r="X1315" s="270"/>
      <c r="Y1315" s="270"/>
      <c r="Z1315" s="270"/>
      <c r="AA1315" s="270"/>
      <c r="AB1315" s="270"/>
      <c r="AC1315" s="270"/>
      <c r="AD1315" s="270"/>
      <c r="AE1315" s="270"/>
      <c r="AF1315" s="270"/>
      <c r="AG1315" s="270"/>
      <c r="AH1315" s="270"/>
      <c r="AI1315" s="270"/>
      <c r="AJ1315" s="270"/>
      <c r="AK1315" s="270"/>
      <c r="AL1315" s="270"/>
      <c r="AM1315" s="663"/>
      <c r="AN1315" s="663"/>
      <c r="AO1315" s="708" t="str">
        <f>IF(OR(Table1[[#This Row],[Início Setup Envase]]="",Table1[[#This Row],[Final Setup Envase]]=""),"",Table1[[#This Row],[Final Setup Envase]]-Table1[[#This Row],[Início Setup Envase]])</f>
        <v/>
      </c>
      <c r="AP1315" s="663"/>
      <c r="AQ1315" s="663"/>
      <c r="AR1315" s="270"/>
      <c r="AS1315" s="674"/>
      <c r="AT1315" s="674"/>
      <c r="AU1315" s="270"/>
      <c r="AV1315" s="270"/>
      <c r="AW1315" s="270"/>
      <c r="AX1315" s="270"/>
      <c r="AY1315" s="270"/>
      <c r="AZ1315" s="270"/>
      <c r="BA1315" s="270" t="str">
        <f>IF(Table1[[#This Row],[Data de Início]]="","",YEAR(Table1[[#This Row],[Data de Início]]))</f>
        <v/>
      </c>
      <c r="BB1315" s="270" t="str">
        <f>IF(Table1[[#This Row],[Data de Início]]="","",MONTH(Table1[[#This Row],[Data de Início]]))</f>
        <v/>
      </c>
      <c r="BC1315" s="483"/>
    </row>
    <row r="1316" spans="2:55" x14ac:dyDescent="0.25">
      <c r="B1316" s="470"/>
      <c r="C1316" s="263"/>
      <c r="D1316" s="477" cm="1">
        <f t="array" ref="D1316">IFERROR(HorasUteisFabrica2Turnos(B1316,C1316), "")</f>
        <v>0</v>
      </c>
      <c r="E1316" s="478" t="str">
        <f t="shared" si="20"/>
        <v/>
      </c>
      <c r="F1316" s="266"/>
      <c r="G1316" s="656"/>
      <c r="H1316" s="479"/>
      <c r="I1316" s="268"/>
      <c r="J1316" s="268"/>
      <c r="K1316" s="268"/>
      <c r="L1316" s="269"/>
      <c r="M1316" s="511" t="str">
        <f>IFERROR(INDEX([1]Produtos!$C:$C,MATCH(L1316,[1]Produtos!$B:$B,0)), "-")</f>
        <v>-</v>
      </c>
      <c r="N1316" s="511" t="str">
        <f>IFERROR(INDEX([1]Produtos!$E:$E,MATCH(L1316,[1]Produtos!$B:$B,0)), "-")</f>
        <v>-</v>
      </c>
      <c r="O1316" s="483" t="str">
        <f>IFERROR(INDEX([1]Produtos!$F:$F,MATCH(L1316,[1]Produtos!$B:$B,0)), "-")</f>
        <v>-</v>
      </c>
      <c r="P1316" s="477" t="str">
        <f>IFERROR(INDEX([1]Produtos!$G:$G,MATCH(L1316,[1]Produtos!$B:$B,0)), "-")</f>
        <v>-</v>
      </c>
      <c r="Q1316" s="483" t="str">
        <f>IFERROR(INDEX([1]Produtos!$H:$H,MATCH(L1316,[1]Produtos!$B:$B,0)), "-")</f>
        <v>-</v>
      </c>
      <c r="R1316" s="483" t="str">
        <f>IFERROR(INDEX([1]Produtos!$I:$I,MATCH(L1316,[1]Produtos!$B:$B,0)), "-")</f>
        <v>-</v>
      </c>
      <c r="S1316" s="483" t="str">
        <f>IFERROR(INDEX([1]Produtos!$J:$J,MATCH(L1316,[1]Produtos!$B:$B,0)), "-")</f>
        <v>-</v>
      </c>
      <c r="T1316" s="484"/>
      <c r="U1316" s="483"/>
      <c r="V1316" s="483"/>
      <c r="W1316" s="483"/>
      <c r="X1316" s="483"/>
      <c r="Y1316" s="483"/>
      <c r="Z1316" s="483"/>
      <c r="AA1316" s="483"/>
      <c r="AB1316" s="483"/>
      <c r="AC1316" s="483"/>
      <c r="AD1316" s="483"/>
      <c r="AE1316" s="483"/>
      <c r="AF1316" s="483"/>
      <c r="AG1316" s="483"/>
      <c r="AH1316" s="483"/>
      <c r="AI1316" s="483"/>
      <c r="AJ1316" s="483"/>
      <c r="AK1316" s="483"/>
      <c r="AL1316" s="483"/>
      <c r="AM1316" s="670"/>
      <c r="AN1316" s="670"/>
      <c r="AO1316" s="711" t="str">
        <f>IF(OR(Table1[[#This Row],[Início Setup Envase]]="",Table1[[#This Row],[Final Setup Envase]]=""),"",Table1[[#This Row],[Final Setup Envase]]-Table1[[#This Row],[Início Setup Envase]])</f>
        <v/>
      </c>
      <c r="AP1316" s="670"/>
      <c r="AQ1316" s="670"/>
      <c r="AR1316" s="483"/>
      <c r="AS1316" s="483"/>
      <c r="AT1316" s="483"/>
      <c r="AU1316" s="483"/>
      <c r="AV1316" s="483"/>
      <c r="AW1316" s="483"/>
      <c r="AX1316" s="483"/>
      <c r="AY1316" s="270"/>
      <c r="AZ1316" s="270"/>
      <c r="BA1316" s="270" t="str">
        <f>IF(Table1[[#This Row],[Data de Início]]="","",YEAR(Table1[[#This Row],[Data de Início]]))</f>
        <v/>
      </c>
      <c r="BB1316" s="270" t="str">
        <f>IF(Table1[[#This Row],[Data de Início]]="","",MONTH(Table1[[#This Row],[Data de Início]]))</f>
        <v/>
      </c>
      <c r="BC1316" s="270"/>
    </row>
    <row r="1317" spans="2:55" x14ac:dyDescent="0.25">
      <c r="B1317" s="470"/>
      <c r="C1317" s="263"/>
      <c r="D1317" s="477" cm="1">
        <f t="array" ref="D1317">IFERROR(HorasUteisFabrica2Turnos(B1317,C1317), "")</f>
        <v>0</v>
      </c>
      <c r="E1317" s="697" t="str">
        <f t="shared" ref="E1317:E1380" si="21">IFERROR(K1317/D1317, "")</f>
        <v/>
      </c>
      <c r="F1317" s="266"/>
      <c r="G1317" s="698"/>
      <c r="H1317" s="266"/>
      <c r="I1317" s="268"/>
      <c r="J1317" s="268"/>
      <c r="K1317" s="268"/>
      <c r="L1317" s="269"/>
      <c r="M1317" s="510" t="str">
        <f>IFERROR(INDEX([1]Produtos!$C:$C,MATCH(L1317,[1]Produtos!$B:$B,0)), "-")</f>
        <v>-</v>
      </c>
      <c r="N1317" s="510" t="str">
        <f>IFERROR(INDEX([1]Produtos!$E:$E,MATCH(L1317,[1]Produtos!$B:$B,0)), "-")</f>
        <v>-</v>
      </c>
      <c r="O1317" s="270" t="str">
        <f>IFERROR(INDEX([1]Produtos!$F:$F,MATCH(L1317,[1]Produtos!$B:$B,0)), "-")</f>
        <v>-</v>
      </c>
      <c r="P1317" s="264" t="str">
        <f>IFERROR(INDEX([1]Produtos!$G:$G,MATCH(L1317,[1]Produtos!$B:$B,0)), "-")</f>
        <v>-</v>
      </c>
      <c r="Q1317" s="270" t="str">
        <f>IFERROR(INDEX([1]Produtos!$H:$H,MATCH(L1317,[1]Produtos!$B:$B,0)), "-")</f>
        <v>-</v>
      </c>
      <c r="R1317" s="270" t="str">
        <f>IFERROR(INDEX([1]Produtos!$I:$I,MATCH(L1317,[1]Produtos!$B:$B,0)), "-")</f>
        <v>-</v>
      </c>
      <c r="S1317" s="270" t="str">
        <f>IFERROR(INDEX([1]Produtos!$J:$J,MATCH(L1317,[1]Produtos!$B:$B,0)), "-")</f>
        <v>-</v>
      </c>
      <c r="T1317" s="475"/>
      <c r="U1317" s="270"/>
      <c r="V1317" s="270"/>
      <c r="W1317" s="270"/>
      <c r="X1317" s="270"/>
      <c r="Y1317" s="270"/>
      <c r="Z1317" s="270"/>
      <c r="AA1317" s="270"/>
      <c r="AB1317" s="270"/>
      <c r="AC1317" s="270"/>
      <c r="AD1317" s="270"/>
      <c r="AE1317" s="270"/>
      <c r="AF1317" s="270"/>
      <c r="AG1317" s="270"/>
      <c r="AH1317" s="270"/>
      <c r="AI1317" s="270"/>
      <c r="AJ1317" s="270"/>
      <c r="AK1317" s="270"/>
      <c r="AL1317" s="270"/>
      <c r="AM1317" s="663"/>
      <c r="AN1317" s="663"/>
      <c r="AO1317" s="708" t="str">
        <f>IF(OR(Table1[[#This Row],[Início Setup Envase]]="",Table1[[#This Row],[Final Setup Envase]]=""),"",Table1[[#This Row],[Final Setup Envase]]-Table1[[#This Row],[Início Setup Envase]])</f>
        <v/>
      </c>
      <c r="AP1317" s="663"/>
      <c r="AQ1317" s="663"/>
      <c r="AR1317" s="270"/>
      <c r="AS1317" s="674"/>
      <c r="AT1317" s="674"/>
      <c r="AU1317" s="270"/>
      <c r="AV1317" s="270"/>
      <c r="AW1317" s="270"/>
      <c r="AX1317" s="270"/>
      <c r="AY1317" s="270"/>
      <c r="AZ1317" s="270"/>
      <c r="BA1317" s="270" t="str">
        <f>IF(Table1[[#This Row],[Data de Início]]="","",YEAR(Table1[[#This Row],[Data de Início]]))</f>
        <v/>
      </c>
      <c r="BB1317" s="270" t="str">
        <f>IF(Table1[[#This Row],[Data de Início]]="","",MONTH(Table1[[#This Row],[Data de Início]]))</f>
        <v/>
      </c>
      <c r="BC1317" s="483"/>
    </row>
    <row r="1318" spans="2:55" x14ac:dyDescent="0.25">
      <c r="B1318" s="470"/>
      <c r="C1318" s="263"/>
      <c r="D1318" s="477" cm="1">
        <f t="array" ref="D1318">IFERROR(HorasUteisFabrica2Turnos(B1318,C1318), "")</f>
        <v>0</v>
      </c>
      <c r="E1318" s="478" t="str">
        <f t="shared" si="21"/>
        <v/>
      </c>
      <c r="F1318" s="266"/>
      <c r="G1318" s="656"/>
      <c r="H1318" s="479"/>
      <c r="I1318" s="268"/>
      <c r="J1318" s="268"/>
      <c r="K1318" s="268"/>
      <c r="L1318" s="269"/>
      <c r="M1318" s="511" t="str">
        <f>IFERROR(INDEX([1]Produtos!$C:$C,MATCH(L1318,[1]Produtos!$B:$B,0)), "-")</f>
        <v>-</v>
      </c>
      <c r="N1318" s="511" t="str">
        <f>IFERROR(INDEX([1]Produtos!$E:$E,MATCH(L1318,[1]Produtos!$B:$B,0)), "-")</f>
        <v>-</v>
      </c>
      <c r="O1318" s="483" t="str">
        <f>IFERROR(INDEX([1]Produtos!$F:$F,MATCH(L1318,[1]Produtos!$B:$B,0)), "-")</f>
        <v>-</v>
      </c>
      <c r="P1318" s="477" t="str">
        <f>IFERROR(INDEX([1]Produtos!$G:$G,MATCH(L1318,[1]Produtos!$B:$B,0)), "-")</f>
        <v>-</v>
      </c>
      <c r="Q1318" s="483" t="str">
        <f>IFERROR(INDEX([1]Produtos!$H:$H,MATCH(L1318,[1]Produtos!$B:$B,0)), "-")</f>
        <v>-</v>
      </c>
      <c r="R1318" s="483" t="str">
        <f>IFERROR(INDEX([1]Produtos!$I:$I,MATCH(L1318,[1]Produtos!$B:$B,0)), "-")</f>
        <v>-</v>
      </c>
      <c r="S1318" s="483" t="str">
        <f>IFERROR(INDEX([1]Produtos!$J:$J,MATCH(L1318,[1]Produtos!$B:$B,0)), "-")</f>
        <v>-</v>
      </c>
      <c r="T1318" s="484"/>
      <c r="U1318" s="483"/>
      <c r="V1318" s="483"/>
      <c r="W1318" s="483"/>
      <c r="X1318" s="483"/>
      <c r="Y1318" s="483"/>
      <c r="Z1318" s="483"/>
      <c r="AA1318" s="483"/>
      <c r="AB1318" s="483"/>
      <c r="AC1318" s="483"/>
      <c r="AD1318" s="483"/>
      <c r="AE1318" s="483"/>
      <c r="AF1318" s="483"/>
      <c r="AG1318" s="483"/>
      <c r="AH1318" s="483"/>
      <c r="AI1318" s="483"/>
      <c r="AJ1318" s="483"/>
      <c r="AK1318" s="483"/>
      <c r="AL1318" s="483"/>
      <c r="AM1318" s="670"/>
      <c r="AN1318" s="670"/>
      <c r="AO1318" s="711" t="str">
        <f>IF(OR(Table1[[#This Row],[Início Setup Envase]]="",Table1[[#This Row],[Final Setup Envase]]=""),"",Table1[[#This Row],[Final Setup Envase]]-Table1[[#This Row],[Início Setup Envase]])</f>
        <v/>
      </c>
      <c r="AP1318" s="670"/>
      <c r="AQ1318" s="670"/>
      <c r="AR1318" s="483"/>
      <c r="AS1318" s="483"/>
      <c r="AT1318" s="483"/>
      <c r="AU1318" s="483"/>
      <c r="AV1318" s="483"/>
      <c r="AW1318" s="483"/>
      <c r="AX1318" s="483"/>
      <c r="AY1318" s="270"/>
      <c r="AZ1318" s="270"/>
      <c r="BA1318" s="270" t="str">
        <f>IF(Table1[[#This Row],[Data de Início]]="","",YEAR(Table1[[#This Row],[Data de Início]]))</f>
        <v/>
      </c>
      <c r="BB1318" s="270" t="str">
        <f>IF(Table1[[#This Row],[Data de Início]]="","",MONTH(Table1[[#This Row],[Data de Início]]))</f>
        <v/>
      </c>
      <c r="BC1318" s="270"/>
    </row>
    <row r="1319" spans="2:55" x14ac:dyDescent="0.25">
      <c r="B1319" s="470"/>
      <c r="C1319" s="263"/>
      <c r="D1319" s="477" cm="1">
        <f t="array" ref="D1319">IFERROR(HorasUteisFabrica2Turnos(B1319,C1319), "")</f>
        <v>0</v>
      </c>
      <c r="E1319" s="697" t="str">
        <f t="shared" si="21"/>
        <v/>
      </c>
      <c r="F1319" s="266"/>
      <c r="G1319" s="698"/>
      <c r="H1319" s="266"/>
      <c r="I1319" s="268"/>
      <c r="J1319" s="268"/>
      <c r="K1319" s="268"/>
      <c r="L1319" s="269"/>
      <c r="M1319" s="510" t="str">
        <f>IFERROR(INDEX([1]Produtos!$C:$C,MATCH(L1319,[1]Produtos!$B:$B,0)), "-")</f>
        <v>-</v>
      </c>
      <c r="N1319" s="510" t="str">
        <f>IFERROR(INDEX([1]Produtos!$E:$E,MATCH(L1319,[1]Produtos!$B:$B,0)), "-")</f>
        <v>-</v>
      </c>
      <c r="O1319" s="270" t="str">
        <f>IFERROR(INDEX([1]Produtos!$F:$F,MATCH(L1319,[1]Produtos!$B:$B,0)), "-")</f>
        <v>-</v>
      </c>
      <c r="P1319" s="264" t="str">
        <f>IFERROR(INDEX([1]Produtos!$G:$G,MATCH(L1319,[1]Produtos!$B:$B,0)), "-")</f>
        <v>-</v>
      </c>
      <c r="Q1319" s="270" t="str">
        <f>IFERROR(INDEX([1]Produtos!$H:$H,MATCH(L1319,[1]Produtos!$B:$B,0)), "-")</f>
        <v>-</v>
      </c>
      <c r="R1319" s="270" t="str">
        <f>IFERROR(INDEX([1]Produtos!$I:$I,MATCH(L1319,[1]Produtos!$B:$B,0)), "-")</f>
        <v>-</v>
      </c>
      <c r="S1319" s="270" t="str">
        <f>IFERROR(INDEX([1]Produtos!$J:$J,MATCH(L1319,[1]Produtos!$B:$B,0)), "-")</f>
        <v>-</v>
      </c>
      <c r="T1319" s="475"/>
      <c r="U1319" s="270"/>
      <c r="V1319" s="270"/>
      <c r="W1319" s="270"/>
      <c r="X1319" s="270"/>
      <c r="Y1319" s="270"/>
      <c r="Z1319" s="270"/>
      <c r="AA1319" s="270"/>
      <c r="AB1319" s="270"/>
      <c r="AC1319" s="270"/>
      <c r="AD1319" s="270"/>
      <c r="AE1319" s="270"/>
      <c r="AF1319" s="270"/>
      <c r="AG1319" s="270"/>
      <c r="AH1319" s="270"/>
      <c r="AI1319" s="270"/>
      <c r="AJ1319" s="270"/>
      <c r="AK1319" s="270"/>
      <c r="AL1319" s="270"/>
      <c r="AM1319" s="663"/>
      <c r="AN1319" s="663"/>
      <c r="AO1319" s="708" t="str">
        <f>IF(OR(Table1[[#This Row],[Início Setup Envase]]="",Table1[[#This Row],[Final Setup Envase]]=""),"",Table1[[#This Row],[Final Setup Envase]]-Table1[[#This Row],[Início Setup Envase]])</f>
        <v/>
      </c>
      <c r="AP1319" s="663"/>
      <c r="AQ1319" s="663"/>
      <c r="AR1319" s="270"/>
      <c r="AS1319" s="674"/>
      <c r="AT1319" s="674"/>
      <c r="AU1319" s="270"/>
      <c r="AV1319" s="270"/>
      <c r="AW1319" s="270"/>
      <c r="AX1319" s="270"/>
      <c r="AY1319" s="270"/>
      <c r="AZ1319" s="270"/>
      <c r="BA1319" s="270" t="str">
        <f>IF(Table1[[#This Row],[Data de Início]]="","",YEAR(Table1[[#This Row],[Data de Início]]))</f>
        <v/>
      </c>
      <c r="BB1319" s="270" t="str">
        <f>IF(Table1[[#This Row],[Data de Início]]="","",MONTH(Table1[[#This Row],[Data de Início]]))</f>
        <v/>
      </c>
      <c r="BC1319" s="483"/>
    </row>
    <row r="1320" spans="2:55" x14ac:dyDescent="0.25">
      <c r="B1320" s="470"/>
      <c r="C1320" s="263"/>
      <c r="D1320" s="477" cm="1">
        <f t="array" ref="D1320">IFERROR(HorasUteisFabrica2Turnos(B1320,C1320), "")</f>
        <v>0</v>
      </c>
      <c r="E1320" s="478" t="str">
        <f t="shared" si="21"/>
        <v/>
      </c>
      <c r="F1320" s="266"/>
      <c r="G1320" s="656"/>
      <c r="H1320" s="479"/>
      <c r="I1320" s="268"/>
      <c r="J1320" s="268"/>
      <c r="K1320" s="268"/>
      <c r="L1320" s="269"/>
      <c r="M1320" s="511" t="str">
        <f>IFERROR(INDEX([1]Produtos!$C:$C,MATCH(L1320,[1]Produtos!$B:$B,0)), "-")</f>
        <v>-</v>
      </c>
      <c r="N1320" s="511" t="str">
        <f>IFERROR(INDEX([1]Produtos!$E:$E,MATCH(L1320,[1]Produtos!$B:$B,0)), "-")</f>
        <v>-</v>
      </c>
      <c r="O1320" s="483" t="str">
        <f>IFERROR(INDEX([1]Produtos!$F:$F,MATCH(L1320,[1]Produtos!$B:$B,0)), "-")</f>
        <v>-</v>
      </c>
      <c r="P1320" s="477" t="str">
        <f>IFERROR(INDEX([1]Produtos!$G:$G,MATCH(L1320,[1]Produtos!$B:$B,0)), "-")</f>
        <v>-</v>
      </c>
      <c r="Q1320" s="483" t="str">
        <f>IFERROR(INDEX([1]Produtos!$H:$H,MATCH(L1320,[1]Produtos!$B:$B,0)), "-")</f>
        <v>-</v>
      </c>
      <c r="R1320" s="483" t="str">
        <f>IFERROR(INDEX([1]Produtos!$I:$I,MATCH(L1320,[1]Produtos!$B:$B,0)), "-")</f>
        <v>-</v>
      </c>
      <c r="S1320" s="483" t="str">
        <f>IFERROR(INDEX([1]Produtos!$J:$J,MATCH(L1320,[1]Produtos!$B:$B,0)), "-")</f>
        <v>-</v>
      </c>
      <c r="T1320" s="484"/>
      <c r="U1320" s="483"/>
      <c r="V1320" s="483"/>
      <c r="W1320" s="483"/>
      <c r="X1320" s="483"/>
      <c r="Y1320" s="483"/>
      <c r="Z1320" s="483"/>
      <c r="AA1320" s="483"/>
      <c r="AB1320" s="483"/>
      <c r="AC1320" s="483"/>
      <c r="AD1320" s="483"/>
      <c r="AE1320" s="483"/>
      <c r="AF1320" s="483"/>
      <c r="AG1320" s="483"/>
      <c r="AH1320" s="483"/>
      <c r="AI1320" s="483"/>
      <c r="AJ1320" s="483"/>
      <c r="AK1320" s="483"/>
      <c r="AL1320" s="483"/>
      <c r="AM1320" s="670"/>
      <c r="AN1320" s="670"/>
      <c r="AO1320" s="711" t="str">
        <f>IF(OR(Table1[[#This Row],[Início Setup Envase]]="",Table1[[#This Row],[Final Setup Envase]]=""),"",Table1[[#This Row],[Final Setup Envase]]-Table1[[#This Row],[Início Setup Envase]])</f>
        <v/>
      </c>
      <c r="AP1320" s="670"/>
      <c r="AQ1320" s="670"/>
      <c r="AR1320" s="483"/>
      <c r="AS1320" s="483"/>
      <c r="AT1320" s="483"/>
      <c r="AU1320" s="483"/>
      <c r="AV1320" s="483"/>
      <c r="AW1320" s="483"/>
      <c r="AX1320" s="483"/>
      <c r="AY1320" s="270"/>
      <c r="AZ1320" s="270"/>
      <c r="BA1320" s="270" t="str">
        <f>IF(Table1[[#This Row],[Data de Início]]="","",YEAR(Table1[[#This Row],[Data de Início]]))</f>
        <v/>
      </c>
      <c r="BB1320" s="270" t="str">
        <f>IF(Table1[[#This Row],[Data de Início]]="","",MONTH(Table1[[#This Row],[Data de Início]]))</f>
        <v/>
      </c>
      <c r="BC1320" s="270"/>
    </row>
    <row r="1321" spans="2:55" x14ac:dyDescent="0.25">
      <c r="B1321" s="470"/>
      <c r="C1321" s="263"/>
      <c r="D1321" s="477" cm="1">
        <f t="array" ref="D1321">IFERROR(HorasUteisFabrica2Turnos(B1321,C1321), "")</f>
        <v>0</v>
      </c>
      <c r="E1321" s="697" t="str">
        <f t="shared" si="21"/>
        <v/>
      </c>
      <c r="F1321" s="266"/>
      <c r="G1321" s="698"/>
      <c r="H1321" s="266"/>
      <c r="I1321" s="268"/>
      <c r="J1321" s="268"/>
      <c r="K1321" s="268"/>
      <c r="L1321" s="269"/>
      <c r="M1321" s="510" t="str">
        <f>IFERROR(INDEX([1]Produtos!$C:$C,MATCH(L1321,[1]Produtos!$B:$B,0)), "-")</f>
        <v>-</v>
      </c>
      <c r="N1321" s="510" t="str">
        <f>IFERROR(INDEX([1]Produtos!$E:$E,MATCH(L1321,[1]Produtos!$B:$B,0)), "-")</f>
        <v>-</v>
      </c>
      <c r="O1321" s="270" t="str">
        <f>IFERROR(INDEX([1]Produtos!$F:$F,MATCH(L1321,[1]Produtos!$B:$B,0)), "-")</f>
        <v>-</v>
      </c>
      <c r="P1321" s="264" t="str">
        <f>IFERROR(INDEX([1]Produtos!$G:$G,MATCH(L1321,[1]Produtos!$B:$B,0)), "-")</f>
        <v>-</v>
      </c>
      <c r="Q1321" s="270" t="str">
        <f>IFERROR(INDEX([1]Produtos!$H:$H,MATCH(L1321,[1]Produtos!$B:$B,0)), "-")</f>
        <v>-</v>
      </c>
      <c r="R1321" s="270" t="str">
        <f>IFERROR(INDEX([1]Produtos!$I:$I,MATCH(L1321,[1]Produtos!$B:$B,0)), "-")</f>
        <v>-</v>
      </c>
      <c r="S1321" s="270" t="str">
        <f>IFERROR(INDEX([1]Produtos!$J:$J,MATCH(L1321,[1]Produtos!$B:$B,0)), "-")</f>
        <v>-</v>
      </c>
      <c r="T1321" s="475"/>
      <c r="U1321" s="270"/>
      <c r="V1321" s="270"/>
      <c r="W1321" s="270"/>
      <c r="X1321" s="270"/>
      <c r="Y1321" s="270"/>
      <c r="Z1321" s="270"/>
      <c r="AA1321" s="270"/>
      <c r="AB1321" s="270"/>
      <c r="AC1321" s="270"/>
      <c r="AD1321" s="270"/>
      <c r="AE1321" s="270"/>
      <c r="AF1321" s="270"/>
      <c r="AG1321" s="270"/>
      <c r="AH1321" s="270"/>
      <c r="AI1321" s="270"/>
      <c r="AJ1321" s="270"/>
      <c r="AK1321" s="270"/>
      <c r="AL1321" s="270"/>
      <c r="AM1321" s="663"/>
      <c r="AN1321" s="663"/>
      <c r="AO1321" s="708" t="str">
        <f>IF(OR(Table1[[#This Row],[Início Setup Envase]]="",Table1[[#This Row],[Final Setup Envase]]=""),"",Table1[[#This Row],[Final Setup Envase]]-Table1[[#This Row],[Início Setup Envase]])</f>
        <v/>
      </c>
      <c r="AP1321" s="663"/>
      <c r="AQ1321" s="663"/>
      <c r="AR1321" s="270"/>
      <c r="AS1321" s="674"/>
      <c r="AT1321" s="674"/>
      <c r="AU1321" s="270"/>
      <c r="AV1321" s="270"/>
      <c r="AW1321" s="270"/>
      <c r="AX1321" s="270"/>
      <c r="AY1321" s="270"/>
      <c r="AZ1321" s="270"/>
      <c r="BA1321" s="270" t="str">
        <f>IF(Table1[[#This Row],[Data de Início]]="","",YEAR(Table1[[#This Row],[Data de Início]]))</f>
        <v/>
      </c>
      <c r="BB1321" s="270" t="str">
        <f>IF(Table1[[#This Row],[Data de Início]]="","",MONTH(Table1[[#This Row],[Data de Início]]))</f>
        <v/>
      </c>
      <c r="BC1321" s="483"/>
    </row>
    <row r="1322" spans="2:55" x14ac:dyDescent="0.25">
      <c r="B1322" s="470"/>
      <c r="C1322" s="263"/>
      <c r="D1322" s="477" cm="1">
        <f t="array" ref="D1322">IFERROR(HorasUteisFabrica2Turnos(B1322,C1322), "")</f>
        <v>0</v>
      </c>
      <c r="E1322" s="478" t="str">
        <f t="shared" si="21"/>
        <v/>
      </c>
      <c r="F1322" s="266"/>
      <c r="G1322" s="656"/>
      <c r="H1322" s="479"/>
      <c r="I1322" s="268"/>
      <c r="J1322" s="268"/>
      <c r="K1322" s="268"/>
      <c r="L1322" s="269"/>
      <c r="M1322" s="511" t="str">
        <f>IFERROR(INDEX([1]Produtos!$C:$C,MATCH(L1322,[1]Produtos!$B:$B,0)), "-")</f>
        <v>-</v>
      </c>
      <c r="N1322" s="511" t="str">
        <f>IFERROR(INDEX([1]Produtos!$E:$E,MATCH(L1322,[1]Produtos!$B:$B,0)), "-")</f>
        <v>-</v>
      </c>
      <c r="O1322" s="483" t="str">
        <f>IFERROR(INDEX([1]Produtos!$F:$F,MATCH(L1322,[1]Produtos!$B:$B,0)), "-")</f>
        <v>-</v>
      </c>
      <c r="P1322" s="477" t="str">
        <f>IFERROR(INDEX([1]Produtos!$G:$G,MATCH(L1322,[1]Produtos!$B:$B,0)), "-")</f>
        <v>-</v>
      </c>
      <c r="Q1322" s="483" t="str">
        <f>IFERROR(INDEX([1]Produtos!$H:$H,MATCH(L1322,[1]Produtos!$B:$B,0)), "-")</f>
        <v>-</v>
      </c>
      <c r="R1322" s="483" t="str">
        <f>IFERROR(INDEX([1]Produtos!$I:$I,MATCH(L1322,[1]Produtos!$B:$B,0)), "-")</f>
        <v>-</v>
      </c>
      <c r="S1322" s="483" t="str">
        <f>IFERROR(INDEX([1]Produtos!$J:$J,MATCH(L1322,[1]Produtos!$B:$B,0)), "-")</f>
        <v>-</v>
      </c>
      <c r="T1322" s="484"/>
      <c r="U1322" s="483"/>
      <c r="V1322" s="483"/>
      <c r="W1322" s="483"/>
      <c r="X1322" s="483"/>
      <c r="Y1322" s="483"/>
      <c r="Z1322" s="483"/>
      <c r="AA1322" s="483"/>
      <c r="AB1322" s="483"/>
      <c r="AC1322" s="483"/>
      <c r="AD1322" s="483"/>
      <c r="AE1322" s="483"/>
      <c r="AF1322" s="483"/>
      <c r="AG1322" s="483"/>
      <c r="AH1322" s="483"/>
      <c r="AI1322" s="483"/>
      <c r="AJ1322" s="483"/>
      <c r="AK1322" s="483"/>
      <c r="AL1322" s="483"/>
      <c r="AM1322" s="670"/>
      <c r="AN1322" s="670"/>
      <c r="AO1322" s="711" t="str">
        <f>IF(OR(Table1[[#This Row],[Início Setup Envase]]="",Table1[[#This Row],[Final Setup Envase]]=""),"",Table1[[#This Row],[Final Setup Envase]]-Table1[[#This Row],[Início Setup Envase]])</f>
        <v/>
      </c>
      <c r="AP1322" s="670"/>
      <c r="AQ1322" s="670"/>
      <c r="AR1322" s="483"/>
      <c r="AS1322" s="483"/>
      <c r="AT1322" s="483"/>
      <c r="AU1322" s="483"/>
      <c r="AV1322" s="483"/>
      <c r="AW1322" s="483"/>
      <c r="AX1322" s="483"/>
      <c r="AY1322" s="270"/>
      <c r="AZ1322" s="270"/>
      <c r="BA1322" s="270" t="str">
        <f>IF(Table1[[#This Row],[Data de Início]]="","",YEAR(Table1[[#This Row],[Data de Início]]))</f>
        <v/>
      </c>
      <c r="BB1322" s="270" t="str">
        <f>IF(Table1[[#This Row],[Data de Início]]="","",MONTH(Table1[[#This Row],[Data de Início]]))</f>
        <v/>
      </c>
      <c r="BC1322" s="270"/>
    </row>
    <row r="1323" spans="2:55" x14ac:dyDescent="0.25">
      <c r="B1323" s="470"/>
      <c r="C1323" s="263"/>
      <c r="D1323" s="477" cm="1">
        <f t="array" ref="D1323">IFERROR(HorasUteisFabrica2Turnos(B1323,C1323), "")</f>
        <v>0</v>
      </c>
      <c r="E1323" s="697" t="str">
        <f t="shared" si="21"/>
        <v/>
      </c>
      <c r="F1323" s="266"/>
      <c r="G1323" s="698"/>
      <c r="H1323" s="266"/>
      <c r="I1323" s="268"/>
      <c r="J1323" s="268"/>
      <c r="K1323" s="268"/>
      <c r="L1323" s="269"/>
      <c r="M1323" s="510" t="str">
        <f>IFERROR(INDEX([1]Produtos!$C:$C,MATCH(L1323,[1]Produtos!$B:$B,0)), "-")</f>
        <v>-</v>
      </c>
      <c r="N1323" s="510" t="str">
        <f>IFERROR(INDEX([1]Produtos!$E:$E,MATCH(L1323,[1]Produtos!$B:$B,0)), "-")</f>
        <v>-</v>
      </c>
      <c r="O1323" s="270" t="str">
        <f>IFERROR(INDEX([1]Produtos!$F:$F,MATCH(L1323,[1]Produtos!$B:$B,0)), "-")</f>
        <v>-</v>
      </c>
      <c r="P1323" s="264" t="str">
        <f>IFERROR(INDEX([1]Produtos!$G:$G,MATCH(L1323,[1]Produtos!$B:$B,0)), "-")</f>
        <v>-</v>
      </c>
      <c r="Q1323" s="270" t="str">
        <f>IFERROR(INDEX([1]Produtos!$H:$H,MATCH(L1323,[1]Produtos!$B:$B,0)), "-")</f>
        <v>-</v>
      </c>
      <c r="R1323" s="270" t="str">
        <f>IFERROR(INDEX([1]Produtos!$I:$I,MATCH(L1323,[1]Produtos!$B:$B,0)), "-")</f>
        <v>-</v>
      </c>
      <c r="S1323" s="270" t="str">
        <f>IFERROR(INDEX([1]Produtos!$J:$J,MATCH(L1323,[1]Produtos!$B:$B,0)), "-")</f>
        <v>-</v>
      </c>
      <c r="T1323" s="475"/>
      <c r="U1323" s="270"/>
      <c r="V1323" s="270"/>
      <c r="W1323" s="270"/>
      <c r="X1323" s="270"/>
      <c r="Y1323" s="270"/>
      <c r="Z1323" s="270"/>
      <c r="AA1323" s="270"/>
      <c r="AB1323" s="270"/>
      <c r="AC1323" s="270"/>
      <c r="AD1323" s="270"/>
      <c r="AE1323" s="270"/>
      <c r="AF1323" s="270"/>
      <c r="AG1323" s="270"/>
      <c r="AH1323" s="270"/>
      <c r="AI1323" s="270"/>
      <c r="AJ1323" s="270"/>
      <c r="AK1323" s="270"/>
      <c r="AL1323" s="270"/>
      <c r="AM1323" s="663"/>
      <c r="AN1323" s="663"/>
      <c r="AO1323" s="708" t="str">
        <f>IF(OR(Table1[[#This Row],[Início Setup Envase]]="",Table1[[#This Row],[Final Setup Envase]]=""),"",Table1[[#This Row],[Final Setup Envase]]-Table1[[#This Row],[Início Setup Envase]])</f>
        <v/>
      </c>
      <c r="AP1323" s="663"/>
      <c r="AQ1323" s="663"/>
      <c r="AR1323" s="270"/>
      <c r="AS1323" s="674"/>
      <c r="AT1323" s="674"/>
      <c r="AU1323" s="270"/>
      <c r="AV1323" s="270"/>
      <c r="AW1323" s="270"/>
      <c r="AX1323" s="270"/>
      <c r="AY1323" s="270"/>
      <c r="AZ1323" s="270"/>
      <c r="BA1323" s="270" t="str">
        <f>IF(Table1[[#This Row],[Data de Início]]="","",YEAR(Table1[[#This Row],[Data de Início]]))</f>
        <v/>
      </c>
      <c r="BB1323" s="270" t="str">
        <f>IF(Table1[[#This Row],[Data de Início]]="","",MONTH(Table1[[#This Row],[Data de Início]]))</f>
        <v/>
      </c>
      <c r="BC1323" s="483"/>
    </row>
    <row r="1324" spans="2:55" x14ac:dyDescent="0.25">
      <c r="B1324" s="470"/>
      <c r="C1324" s="263"/>
      <c r="D1324" s="477" cm="1">
        <f t="array" ref="D1324">IFERROR(HorasUteisFabrica2Turnos(B1324,C1324), "")</f>
        <v>0</v>
      </c>
      <c r="E1324" s="478" t="str">
        <f t="shared" si="21"/>
        <v/>
      </c>
      <c r="F1324" s="266"/>
      <c r="G1324" s="656"/>
      <c r="H1324" s="479"/>
      <c r="I1324" s="268"/>
      <c r="J1324" s="268"/>
      <c r="K1324" s="268"/>
      <c r="L1324" s="269"/>
      <c r="M1324" s="511" t="str">
        <f>IFERROR(INDEX([1]Produtos!$C:$C,MATCH(L1324,[1]Produtos!$B:$B,0)), "-")</f>
        <v>-</v>
      </c>
      <c r="N1324" s="511" t="str">
        <f>IFERROR(INDEX([1]Produtos!$E:$E,MATCH(L1324,[1]Produtos!$B:$B,0)), "-")</f>
        <v>-</v>
      </c>
      <c r="O1324" s="483" t="str">
        <f>IFERROR(INDEX([1]Produtos!$F:$F,MATCH(L1324,[1]Produtos!$B:$B,0)), "-")</f>
        <v>-</v>
      </c>
      <c r="P1324" s="477" t="str">
        <f>IFERROR(INDEX([1]Produtos!$G:$G,MATCH(L1324,[1]Produtos!$B:$B,0)), "-")</f>
        <v>-</v>
      </c>
      <c r="Q1324" s="483" t="str">
        <f>IFERROR(INDEX([1]Produtos!$H:$H,MATCH(L1324,[1]Produtos!$B:$B,0)), "-")</f>
        <v>-</v>
      </c>
      <c r="R1324" s="483" t="str">
        <f>IFERROR(INDEX([1]Produtos!$I:$I,MATCH(L1324,[1]Produtos!$B:$B,0)), "-")</f>
        <v>-</v>
      </c>
      <c r="S1324" s="483" t="str">
        <f>IFERROR(INDEX([1]Produtos!$J:$J,MATCH(L1324,[1]Produtos!$B:$B,0)), "-")</f>
        <v>-</v>
      </c>
      <c r="T1324" s="484"/>
      <c r="U1324" s="483"/>
      <c r="V1324" s="483"/>
      <c r="W1324" s="483"/>
      <c r="X1324" s="483"/>
      <c r="Y1324" s="483"/>
      <c r="Z1324" s="483"/>
      <c r="AA1324" s="483"/>
      <c r="AB1324" s="483"/>
      <c r="AC1324" s="483"/>
      <c r="AD1324" s="483"/>
      <c r="AE1324" s="483"/>
      <c r="AF1324" s="483"/>
      <c r="AG1324" s="483"/>
      <c r="AH1324" s="483"/>
      <c r="AI1324" s="483"/>
      <c r="AJ1324" s="483"/>
      <c r="AK1324" s="483"/>
      <c r="AL1324" s="483"/>
      <c r="AM1324" s="670"/>
      <c r="AN1324" s="670"/>
      <c r="AO1324" s="711" t="str">
        <f>IF(OR(Table1[[#This Row],[Início Setup Envase]]="",Table1[[#This Row],[Final Setup Envase]]=""),"",Table1[[#This Row],[Final Setup Envase]]-Table1[[#This Row],[Início Setup Envase]])</f>
        <v/>
      </c>
      <c r="AP1324" s="670"/>
      <c r="AQ1324" s="670"/>
      <c r="AR1324" s="483"/>
      <c r="AS1324" s="483"/>
      <c r="AT1324" s="483"/>
      <c r="AU1324" s="483"/>
      <c r="AV1324" s="483"/>
      <c r="AW1324" s="483"/>
      <c r="AX1324" s="483"/>
      <c r="AY1324" s="270"/>
      <c r="AZ1324" s="270"/>
      <c r="BA1324" s="270" t="str">
        <f>IF(Table1[[#This Row],[Data de Início]]="","",YEAR(Table1[[#This Row],[Data de Início]]))</f>
        <v/>
      </c>
      <c r="BB1324" s="270" t="str">
        <f>IF(Table1[[#This Row],[Data de Início]]="","",MONTH(Table1[[#This Row],[Data de Início]]))</f>
        <v/>
      </c>
      <c r="BC1324" s="270"/>
    </row>
    <row r="1325" spans="2:55" x14ac:dyDescent="0.25">
      <c r="B1325" s="470"/>
      <c r="C1325" s="263"/>
      <c r="D1325" s="477" cm="1">
        <f t="array" ref="D1325">IFERROR(HorasUteisFabrica2Turnos(B1325,C1325), "")</f>
        <v>0</v>
      </c>
      <c r="E1325" s="697" t="str">
        <f t="shared" si="21"/>
        <v/>
      </c>
      <c r="F1325" s="266"/>
      <c r="G1325" s="698"/>
      <c r="H1325" s="266"/>
      <c r="I1325" s="268"/>
      <c r="J1325" s="268"/>
      <c r="K1325" s="268"/>
      <c r="L1325" s="269"/>
      <c r="M1325" s="510" t="str">
        <f>IFERROR(INDEX([1]Produtos!$C:$C,MATCH(L1325,[1]Produtos!$B:$B,0)), "-")</f>
        <v>-</v>
      </c>
      <c r="N1325" s="510" t="str">
        <f>IFERROR(INDEX([1]Produtos!$E:$E,MATCH(L1325,[1]Produtos!$B:$B,0)), "-")</f>
        <v>-</v>
      </c>
      <c r="O1325" s="270" t="str">
        <f>IFERROR(INDEX([1]Produtos!$F:$F,MATCH(L1325,[1]Produtos!$B:$B,0)), "-")</f>
        <v>-</v>
      </c>
      <c r="P1325" s="264" t="str">
        <f>IFERROR(INDEX([1]Produtos!$G:$G,MATCH(L1325,[1]Produtos!$B:$B,0)), "-")</f>
        <v>-</v>
      </c>
      <c r="Q1325" s="270" t="str">
        <f>IFERROR(INDEX([1]Produtos!$H:$H,MATCH(L1325,[1]Produtos!$B:$B,0)), "-")</f>
        <v>-</v>
      </c>
      <c r="R1325" s="270" t="str">
        <f>IFERROR(INDEX([1]Produtos!$I:$I,MATCH(L1325,[1]Produtos!$B:$B,0)), "-")</f>
        <v>-</v>
      </c>
      <c r="S1325" s="270" t="str">
        <f>IFERROR(INDEX([1]Produtos!$J:$J,MATCH(L1325,[1]Produtos!$B:$B,0)), "-")</f>
        <v>-</v>
      </c>
      <c r="T1325" s="475"/>
      <c r="U1325" s="270"/>
      <c r="V1325" s="270"/>
      <c r="W1325" s="270"/>
      <c r="X1325" s="270"/>
      <c r="Y1325" s="270"/>
      <c r="Z1325" s="270"/>
      <c r="AA1325" s="270"/>
      <c r="AB1325" s="270"/>
      <c r="AC1325" s="270"/>
      <c r="AD1325" s="270"/>
      <c r="AE1325" s="270"/>
      <c r="AF1325" s="270"/>
      <c r="AG1325" s="270"/>
      <c r="AH1325" s="270"/>
      <c r="AI1325" s="270"/>
      <c r="AJ1325" s="270"/>
      <c r="AK1325" s="270"/>
      <c r="AL1325" s="270"/>
      <c r="AM1325" s="663"/>
      <c r="AN1325" s="663"/>
      <c r="AO1325" s="708" t="str">
        <f>IF(OR(Table1[[#This Row],[Início Setup Envase]]="",Table1[[#This Row],[Final Setup Envase]]=""),"",Table1[[#This Row],[Final Setup Envase]]-Table1[[#This Row],[Início Setup Envase]])</f>
        <v/>
      </c>
      <c r="AP1325" s="663"/>
      <c r="AQ1325" s="663"/>
      <c r="AR1325" s="270"/>
      <c r="AS1325" s="674"/>
      <c r="AT1325" s="674"/>
      <c r="AU1325" s="270"/>
      <c r="AV1325" s="270"/>
      <c r="AW1325" s="270"/>
      <c r="AX1325" s="270"/>
      <c r="AY1325" s="270"/>
      <c r="AZ1325" s="270"/>
      <c r="BA1325" s="270" t="str">
        <f>IF(Table1[[#This Row],[Data de Início]]="","",YEAR(Table1[[#This Row],[Data de Início]]))</f>
        <v/>
      </c>
      <c r="BB1325" s="270" t="str">
        <f>IF(Table1[[#This Row],[Data de Início]]="","",MONTH(Table1[[#This Row],[Data de Início]]))</f>
        <v/>
      </c>
      <c r="BC1325" s="483"/>
    </row>
    <row r="1326" spans="2:55" x14ac:dyDescent="0.25">
      <c r="B1326" s="470"/>
      <c r="C1326" s="263"/>
      <c r="D1326" s="477" cm="1">
        <f t="array" ref="D1326">IFERROR(HorasUteisFabrica2Turnos(B1326,C1326), "")</f>
        <v>0</v>
      </c>
      <c r="E1326" s="478" t="str">
        <f t="shared" si="21"/>
        <v/>
      </c>
      <c r="F1326" s="266"/>
      <c r="G1326" s="656"/>
      <c r="H1326" s="479"/>
      <c r="I1326" s="268"/>
      <c r="J1326" s="268"/>
      <c r="K1326" s="268"/>
      <c r="L1326" s="269"/>
      <c r="M1326" s="511" t="str">
        <f>IFERROR(INDEX([1]Produtos!$C:$C,MATCH(L1326,[1]Produtos!$B:$B,0)), "-")</f>
        <v>-</v>
      </c>
      <c r="N1326" s="511" t="str">
        <f>IFERROR(INDEX([1]Produtos!$E:$E,MATCH(L1326,[1]Produtos!$B:$B,0)), "-")</f>
        <v>-</v>
      </c>
      <c r="O1326" s="483" t="str">
        <f>IFERROR(INDEX([1]Produtos!$F:$F,MATCH(L1326,[1]Produtos!$B:$B,0)), "-")</f>
        <v>-</v>
      </c>
      <c r="P1326" s="477" t="str">
        <f>IFERROR(INDEX([1]Produtos!$G:$G,MATCH(L1326,[1]Produtos!$B:$B,0)), "-")</f>
        <v>-</v>
      </c>
      <c r="Q1326" s="483" t="str">
        <f>IFERROR(INDEX([1]Produtos!$H:$H,MATCH(L1326,[1]Produtos!$B:$B,0)), "-")</f>
        <v>-</v>
      </c>
      <c r="R1326" s="483" t="str">
        <f>IFERROR(INDEX([1]Produtos!$I:$I,MATCH(L1326,[1]Produtos!$B:$B,0)), "-")</f>
        <v>-</v>
      </c>
      <c r="S1326" s="483" t="str">
        <f>IFERROR(INDEX([1]Produtos!$J:$J,MATCH(L1326,[1]Produtos!$B:$B,0)), "-")</f>
        <v>-</v>
      </c>
      <c r="T1326" s="484"/>
      <c r="U1326" s="483"/>
      <c r="V1326" s="483"/>
      <c r="W1326" s="483"/>
      <c r="X1326" s="483"/>
      <c r="Y1326" s="483"/>
      <c r="Z1326" s="483"/>
      <c r="AA1326" s="483"/>
      <c r="AB1326" s="483"/>
      <c r="AC1326" s="483"/>
      <c r="AD1326" s="483"/>
      <c r="AE1326" s="483"/>
      <c r="AF1326" s="483"/>
      <c r="AG1326" s="483"/>
      <c r="AH1326" s="483"/>
      <c r="AI1326" s="483"/>
      <c r="AJ1326" s="483"/>
      <c r="AK1326" s="483"/>
      <c r="AL1326" s="483"/>
      <c r="AM1326" s="670"/>
      <c r="AN1326" s="670"/>
      <c r="AO1326" s="711" t="str">
        <f>IF(OR(Table1[[#This Row],[Início Setup Envase]]="",Table1[[#This Row],[Final Setup Envase]]=""),"",Table1[[#This Row],[Final Setup Envase]]-Table1[[#This Row],[Início Setup Envase]])</f>
        <v/>
      </c>
      <c r="AP1326" s="670"/>
      <c r="AQ1326" s="670"/>
      <c r="AR1326" s="483"/>
      <c r="AS1326" s="483"/>
      <c r="AT1326" s="483"/>
      <c r="AU1326" s="483"/>
      <c r="AV1326" s="483"/>
      <c r="AW1326" s="483"/>
      <c r="AX1326" s="483"/>
      <c r="AY1326" s="270"/>
      <c r="AZ1326" s="270"/>
      <c r="BA1326" s="270" t="str">
        <f>IF(Table1[[#This Row],[Data de Início]]="","",YEAR(Table1[[#This Row],[Data de Início]]))</f>
        <v/>
      </c>
      <c r="BB1326" s="270" t="str">
        <f>IF(Table1[[#This Row],[Data de Início]]="","",MONTH(Table1[[#This Row],[Data de Início]]))</f>
        <v/>
      </c>
      <c r="BC1326" s="270"/>
    </row>
    <row r="1327" spans="2:55" x14ac:dyDescent="0.25">
      <c r="B1327" s="470"/>
      <c r="C1327" s="263"/>
      <c r="D1327" s="477" cm="1">
        <f t="array" ref="D1327">IFERROR(HorasUteisFabrica2Turnos(B1327,C1327), "")</f>
        <v>0</v>
      </c>
      <c r="E1327" s="697" t="str">
        <f t="shared" si="21"/>
        <v/>
      </c>
      <c r="F1327" s="266"/>
      <c r="G1327" s="698"/>
      <c r="H1327" s="266"/>
      <c r="I1327" s="268"/>
      <c r="J1327" s="268"/>
      <c r="K1327" s="268"/>
      <c r="L1327" s="269"/>
      <c r="M1327" s="510" t="str">
        <f>IFERROR(INDEX([1]Produtos!$C:$C,MATCH(L1327,[1]Produtos!$B:$B,0)), "-")</f>
        <v>-</v>
      </c>
      <c r="N1327" s="510" t="str">
        <f>IFERROR(INDEX([1]Produtos!$E:$E,MATCH(L1327,[1]Produtos!$B:$B,0)), "-")</f>
        <v>-</v>
      </c>
      <c r="O1327" s="270" t="str">
        <f>IFERROR(INDEX([1]Produtos!$F:$F,MATCH(L1327,[1]Produtos!$B:$B,0)), "-")</f>
        <v>-</v>
      </c>
      <c r="P1327" s="264" t="str">
        <f>IFERROR(INDEX([1]Produtos!$G:$G,MATCH(L1327,[1]Produtos!$B:$B,0)), "-")</f>
        <v>-</v>
      </c>
      <c r="Q1327" s="270" t="str">
        <f>IFERROR(INDEX([1]Produtos!$H:$H,MATCH(L1327,[1]Produtos!$B:$B,0)), "-")</f>
        <v>-</v>
      </c>
      <c r="R1327" s="270" t="str">
        <f>IFERROR(INDEX([1]Produtos!$I:$I,MATCH(L1327,[1]Produtos!$B:$B,0)), "-")</f>
        <v>-</v>
      </c>
      <c r="S1327" s="270" t="str">
        <f>IFERROR(INDEX([1]Produtos!$J:$J,MATCH(L1327,[1]Produtos!$B:$B,0)), "-")</f>
        <v>-</v>
      </c>
      <c r="T1327" s="475"/>
      <c r="U1327" s="270"/>
      <c r="V1327" s="270"/>
      <c r="W1327" s="270"/>
      <c r="X1327" s="270"/>
      <c r="Y1327" s="270"/>
      <c r="Z1327" s="270"/>
      <c r="AA1327" s="270"/>
      <c r="AB1327" s="270"/>
      <c r="AC1327" s="270"/>
      <c r="AD1327" s="270"/>
      <c r="AE1327" s="270"/>
      <c r="AF1327" s="270"/>
      <c r="AG1327" s="270"/>
      <c r="AH1327" s="270"/>
      <c r="AI1327" s="270"/>
      <c r="AJ1327" s="270"/>
      <c r="AK1327" s="270"/>
      <c r="AL1327" s="270"/>
      <c r="AM1327" s="663"/>
      <c r="AN1327" s="663"/>
      <c r="AO1327" s="708" t="str">
        <f>IF(OR(Table1[[#This Row],[Início Setup Envase]]="",Table1[[#This Row],[Final Setup Envase]]=""),"",Table1[[#This Row],[Final Setup Envase]]-Table1[[#This Row],[Início Setup Envase]])</f>
        <v/>
      </c>
      <c r="AP1327" s="663"/>
      <c r="AQ1327" s="663"/>
      <c r="AR1327" s="270"/>
      <c r="AS1327" s="674"/>
      <c r="AT1327" s="674"/>
      <c r="AU1327" s="270"/>
      <c r="AV1327" s="270"/>
      <c r="AW1327" s="270"/>
      <c r="AX1327" s="270"/>
      <c r="AY1327" s="270"/>
      <c r="AZ1327" s="270"/>
      <c r="BA1327" s="270" t="str">
        <f>IF(Table1[[#This Row],[Data de Início]]="","",YEAR(Table1[[#This Row],[Data de Início]]))</f>
        <v/>
      </c>
      <c r="BB1327" s="270" t="str">
        <f>IF(Table1[[#This Row],[Data de Início]]="","",MONTH(Table1[[#This Row],[Data de Início]]))</f>
        <v/>
      </c>
      <c r="BC1327" s="483"/>
    </row>
    <row r="1328" spans="2:55" x14ac:dyDescent="0.25">
      <c r="B1328" s="470"/>
      <c r="C1328" s="263"/>
      <c r="D1328" s="477" cm="1">
        <f t="array" ref="D1328">IFERROR(HorasUteisFabrica2Turnos(B1328,C1328), "")</f>
        <v>0</v>
      </c>
      <c r="E1328" s="478" t="str">
        <f t="shared" si="21"/>
        <v/>
      </c>
      <c r="F1328" s="266"/>
      <c r="G1328" s="656"/>
      <c r="H1328" s="479"/>
      <c r="I1328" s="268"/>
      <c r="J1328" s="268"/>
      <c r="K1328" s="268"/>
      <c r="L1328" s="269"/>
      <c r="M1328" s="511" t="str">
        <f>IFERROR(INDEX([1]Produtos!$C:$C,MATCH(L1328,[1]Produtos!$B:$B,0)), "-")</f>
        <v>-</v>
      </c>
      <c r="N1328" s="511" t="str">
        <f>IFERROR(INDEX([1]Produtos!$E:$E,MATCH(L1328,[1]Produtos!$B:$B,0)), "-")</f>
        <v>-</v>
      </c>
      <c r="O1328" s="483" t="str">
        <f>IFERROR(INDEX([1]Produtos!$F:$F,MATCH(L1328,[1]Produtos!$B:$B,0)), "-")</f>
        <v>-</v>
      </c>
      <c r="P1328" s="477" t="str">
        <f>IFERROR(INDEX([1]Produtos!$G:$G,MATCH(L1328,[1]Produtos!$B:$B,0)), "-")</f>
        <v>-</v>
      </c>
      <c r="Q1328" s="483" t="str">
        <f>IFERROR(INDEX([1]Produtos!$H:$H,MATCH(L1328,[1]Produtos!$B:$B,0)), "-")</f>
        <v>-</v>
      </c>
      <c r="R1328" s="483" t="str">
        <f>IFERROR(INDEX([1]Produtos!$I:$I,MATCH(L1328,[1]Produtos!$B:$B,0)), "-")</f>
        <v>-</v>
      </c>
      <c r="S1328" s="483" t="str">
        <f>IFERROR(INDEX([1]Produtos!$J:$J,MATCH(L1328,[1]Produtos!$B:$B,0)), "-")</f>
        <v>-</v>
      </c>
      <c r="T1328" s="484"/>
      <c r="U1328" s="483"/>
      <c r="V1328" s="483"/>
      <c r="W1328" s="483"/>
      <c r="X1328" s="483"/>
      <c r="Y1328" s="483"/>
      <c r="Z1328" s="483"/>
      <c r="AA1328" s="483"/>
      <c r="AB1328" s="483"/>
      <c r="AC1328" s="483"/>
      <c r="AD1328" s="483"/>
      <c r="AE1328" s="483"/>
      <c r="AF1328" s="483"/>
      <c r="AG1328" s="483"/>
      <c r="AH1328" s="483"/>
      <c r="AI1328" s="483"/>
      <c r="AJ1328" s="483"/>
      <c r="AK1328" s="483"/>
      <c r="AL1328" s="483"/>
      <c r="AM1328" s="670"/>
      <c r="AN1328" s="670"/>
      <c r="AO1328" s="711" t="str">
        <f>IF(OR(Table1[[#This Row],[Início Setup Envase]]="",Table1[[#This Row],[Final Setup Envase]]=""),"",Table1[[#This Row],[Final Setup Envase]]-Table1[[#This Row],[Início Setup Envase]])</f>
        <v/>
      </c>
      <c r="AP1328" s="670"/>
      <c r="AQ1328" s="670"/>
      <c r="AR1328" s="483"/>
      <c r="AS1328" s="483"/>
      <c r="AT1328" s="483"/>
      <c r="AU1328" s="483"/>
      <c r="AV1328" s="483"/>
      <c r="AW1328" s="483"/>
      <c r="AX1328" s="483"/>
      <c r="AY1328" s="270"/>
      <c r="AZ1328" s="270"/>
      <c r="BA1328" s="270" t="str">
        <f>IF(Table1[[#This Row],[Data de Início]]="","",YEAR(Table1[[#This Row],[Data de Início]]))</f>
        <v/>
      </c>
      <c r="BB1328" s="270" t="str">
        <f>IF(Table1[[#This Row],[Data de Início]]="","",MONTH(Table1[[#This Row],[Data de Início]]))</f>
        <v/>
      </c>
      <c r="BC1328" s="270"/>
    </row>
    <row r="1329" spans="2:55" x14ac:dyDescent="0.25">
      <c r="B1329" s="470"/>
      <c r="C1329" s="263"/>
      <c r="D1329" s="477" cm="1">
        <f t="array" ref="D1329">IFERROR(HorasUteisFabrica2Turnos(B1329,C1329), "")</f>
        <v>0</v>
      </c>
      <c r="E1329" s="697" t="str">
        <f t="shared" si="21"/>
        <v/>
      </c>
      <c r="F1329" s="266"/>
      <c r="G1329" s="698"/>
      <c r="H1329" s="266"/>
      <c r="I1329" s="268"/>
      <c r="J1329" s="268"/>
      <c r="K1329" s="268"/>
      <c r="L1329" s="269"/>
      <c r="M1329" s="510" t="str">
        <f>IFERROR(INDEX([1]Produtos!$C:$C,MATCH(L1329,[1]Produtos!$B:$B,0)), "-")</f>
        <v>-</v>
      </c>
      <c r="N1329" s="510" t="str">
        <f>IFERROR(INDEX([1]Produtos!$E:$E,MATCH(L1329,[1]Produtos!$B:$B,0)), "-")</f>
        <v>-</v>
      </c>
      <c r="O1329" s="270" t="str">
        <f>IFERROR(INDEX([1]Produtos!$F:$F,MATCH(L1329,[1]Produtos!$B:$B,0)), "-")</f>
        <v>-</v>
      </c>
      <c r="P1329" s="264" t="str">
        <f>IFERROR(INDEX([1]Produtos!$G:$G,MATCH(L1329,[1]Produtos!$B:$B,0)), "-")</f>
        <v>-</v>
      </c>
      <c r="Q1329" s="270" t="str">
        <f>IFERROR(INDEX([1]Produtos!$H:$H,MATCH(L1329,[1]Produtos!$B:$B,0)), "-")</f>
        <v>-</v>
      </c>
      <c r="R1329" s="270" t="str">
        <f>IFERROR(INDEX([1]Produtos!$I:$I,MATCH(L1329,[1]Produtos!$B:$B,0)), "-")</f>
        <v>-</v>
      </c>
      <c r="S1329" s="270" t="str">
        <f>IFERROR(INDEX([1]Produtos!$J:$J,MATCH(L1329,[1]Produtos!$B:$B,0)), "-")</f>
        <v>-</v>
      </c>
      <c r="T1329" s="475"/>
      <c r="U1329" s="270"/>
      <c r="V1329" s="270"/>
      <c r="W1329" s="270"/>
      <c r="X1329" s="270"/>
      <c r="Y1329" s="270"/>
      <c r="Z1329" s="270"/>
      <c r="AA1329" s="270"/>
      <c r="AB1329" s="270"/>
      <c r="AC1329" s="270"/>
      <c r="AD1329" s="270"/>
      <c r="AE1329" s="270"/>
      <c r="AF1329" s="270"/>
      <c r="AG1329" s="270"/>
      <c r="AH1329" s="270"/>
      <c r="AI1329" s="270"/>
      <c r="AJ1329" s="270"/>
      <c r="AK1329" s="270"/>
      <c r="AL1329" s="270"/>
      <c r="AM1329" s="663"/>
      <c r="AN1329" s="663"/>
      <c r="AO1329" s="708" t="str">
        <f>IF(OR(Table1[[#This Row],[Início Setup Envase]]="",Table1[[#This Row],[Final Setup Envase]]=""),"",Table1[[#This Row],[Final Setup Envase]]-Table1[[#This Row],[Início Setup Envase]])</f>
        <v/>
      </c>
      <c r="AP1329" s="663"/>
      <c r="AQ1329" s="663"/>
      <c r="AR1329" s="270"/>
      <c r="AS1329" s="674"/>
      <c r="AT1329" s="674"/>
      <c r="AU1329" s="270"/>
      <c r="AV1329" s="270"/>
      <c r="AW1329" s="270"/>
      <c r="AX1329" s="270"/>
      <c r="AY1329" s="270"/>
      <c r="AZ1329" s="270"/>
      <c r="BA1329" s="270" t="str">
        <f>IF(Table1[[#This Row],[Data de Início]]="","",YEAR(Table1[[#This Row],[Data de Início]]))</f>
        <v/>
      </c>
      <c r="BB1329" s="270" t="str">
        <f>IF(Table1[[#This Row],[Data de Início]]="","",MONTH(Table1[[#This Row],[Data de Início]]))</f>
        <v/>
      </c>
      <c r="BC1329" s="483"/>
    </row>
    <row r="1330" spans="2:55" x14ac:dyDescent="0.25">
      <c r="B1330" s="470"/>
      <c r="C1330" s="263"/>
      <c r="D1330" s="477" cm="1">
        <f t="array" ref="D1330">IFERROR(HorasUteisFabrica2Turnos(B1330,C1330), "")</f>
        <v>0</v>
      </c>
      <c r="E1330" s="478" t="str">
        <f t="shared" si="21"/>
        <v/>
      </c>
      <c r="F1330" s="266"/>
      <c r="G1330" s="656"/>
      <c r="H1330" s="479"/>
      <c r="I1330" s="268"/>
      <c r="J1330" s="268"/>
      <c r="K1330" s="268"/>
      <c r="L1330" s="269"/>
      <c r="M1330" s="511" t="str">
        <f>IFERROR(INDEX([1]Produtos!$C:$C,MATCH(L1330,[1]Produtos!$B:$B,0)), "-")</f>
        <v>-</v>
      </c>
      <c r="N1330" s="511" t="str">
        <f>IFERROR(INDEX([1]Produtos!$E:$E,MATCH(L1330,[1]Produtos!$B:$B,0)), "-")</f>
        <v>-</v>
      </c>
      <c r="O1330" s="483" t="str">
        <f>IFERROR(INDEX([1]Produtos!$F:$F,MATCH(L1330,[1]Produtos!$B:$B,0)), "-")</f>
        <v>-</v>
      </c>
      <c r="P1330" s="477" t="str">
        <f>IFERROR(INDEX([1]Produtos!$G:$G,MATCH(L1330,[1]Produtos!$B:$B,0)), "-")</f>
        <v>-</v>
      </c>
      <c r="Q1330" s="483" t="str">
        <f>IFERROR(INDEX([1]Produtos!$H:$H,MATCH(L1330,[1]Produtos!$B:$B,0)), "-")</f>
        <v>-</v>
      </c>
      <c r="R1330" s="483" t="str">
        <f>IFERROR(INDEX([1]Produtos!$I:$I,MATCH(L1330,[1]Produtos!$B:$B,0)), "-")</f>
        <v>-</v>
      </c>
      <c r="S1330" s="483" t="str">
        <f>IFERROR(INDEX([1]Produtos!$J:$J,MATCH(L1330,[1]Produtos!$B:$B,0)), "-")</f>
        <v>-</v>
      </c>
      <c r="T1330" s="484"/>
      <c r="U1330" s="483"/>
      <c r="V1330" s="483"/>
      <c r="W1330" s="483"/>
      <c r="X1330" s="483"/>
      <c r="Y1330" s="483"/>
      <c r="Z1330" s="483"/>
      <c r="AA1330" s="483"/>
      <c r="AB1330" s="483"/>
      <c r="AC1330" s="483"/>
      <c r="AD1330" s="483"/>
      <c r="AE1330" s="483"/>
      <c r="AF1330" s="483"/>
      <c r="AG1330" s="483"/>
      <c r="AH1330" s="483"/>
      <c r="AI1330" s="483"/>
      <c r="AJ1330" s="483"/>
      <c r="AK1330" s="483"/>
      <c r="AL1330" s="483"/>
      <c r="AM1330" s="670"/>
      <c r="AN1330" s="670"/>
      <c r="AO1330" s="711" t="str">
        <f>IF(OR(Table1[[#This Row],[Início Setup Envase]]="",Table1[[#This Row],[Final Setup Envase]]=""),"",Table1[[#This Row],[Final Setup Envase]]-Table1[[#This Row],[Início Setup Envase]])</f>
        <v/>
      </c>
      <c r="AP1330" s="670"/>
      <c r="AQ1330" s="670"/>
      <c r="AR1330" s="483"/>
      <c r="AS1330" s="483"/>
      <c r="AT1330" s="483"/>
      <c r="AU1330" s="483"/>
      <c r="AV1330" s="483"/>
      <c r="AW1330" s="483"/>
      <c r="AX1330" s="483"/>
      <c r="AY1330" s="270"/>
      <c r="AZ1330" s="270"/>
      <c r="BA1330" s="270" t="str">
        <f>IF(Table1[[#This Row],[Data de Início]]="","",YEAR(Table1[[#This Row],[Data de Início]]))</f>
        <v/>
      </c>
      <c r="BB1330" s="270" t="str">
        <f>IF(Table1[[#This Row],[Data de Início]]="","",MONTH(Table1[[#This Row],[Data de Início]]))</f>
        <v/>
      </c>
      <c r="BC1330" s="270"/>
    </row>
    <row r="1331" spans="2:55" x14ac:dyDescent="0.25">
      <c r="B1331" s="470"/>
      <c r="C1331" s="263"/>
      <c r="D1331" s="477" cm="1">
        <f t="array" ref="D1331">IFERROR(HorasUteisFabrica2Turnos(B1331,C1331), "")</f>
        <v>0</v>
      </c>
      <c r="E1331" s="697" t="str">
        <f t="shared" si="21"/>
        <v/>
      </c>
      <c r="F1331" s="266"/>
      <c r="G1331" s="698"/>
      <c r="H1331" s="266"/>
      <c r="I1331" s="268"/>
      <c r="J1331" s="268"/>
      <c r="K1331" s="268"/>
      <c r="L1331" s="269"/>
      <c r="M1331" s="510" t="str">
        <f>IFERROR(INDEX([1]Produtos!$C:$C,MATCH(L1331,[1]Produtos!$B:$B,0)), "-")</f>
        <v>-</v>
      </c>
      <c r="N1331" s="510" t="str">
        <f>IFERROR(INDEX([1]Produtos!$E:$E,MATCH(L1331,[1]Produtos!$B:$B,0)), "-")</f>
        <v>-</v>
      </c>
      <c r="O1331" s="270" t="str">
        <f>IFERROR(INDEX([1]Produtos!$F:$F,MATCH(L1331,[1]Produtos!$B:$B,0)), "-")</f>
        <v>-</v>
      </c>
      <c r="P1331" s="264" t="str">
        <f>IFERROR(INDEX([1]Produtos!$G:$G,MATCH(L1331,[1]Produtos!$B:$B,0)), "-")</f>
        <v>-</v>
      </c>
      <c r="Q1331" s="270" t="str">
        <f>IFERROR(INDEX([1]Produtos!$H:$H,MATCH(L1331,[1]Produtos!$B:$B,0)), "-")</f>
        <v>-</v>
      </c>
      <c r="R1331" s="270" t="str">
        <f>IFERROR(INDEX([1]Produtos!$I:$I,MATCH(L1331,[1]Produtos!$B:$B,0)), "-")</f>
        <v>-</v>
      </c>
      <c r="S1331" s="270" t="str">
        <f>IFERROR(INDEX([1]Produtos!$J:$J,MATCH(L1331,[1]Produtos!$B:$B,0)), "-")</f>
        <v>-</v>
      </c>
      <c r="T1331" s="475"/>
      <c r="U1331" s="270"/>
      <c r="V1331" s="270"/>
      <c r="W1331" s="270"/>
      <c r="X1331" s="270"/>
      <c r="Y1331" s="270"/>
      <c r="Z1331" s="270"/>
      <c r="AA1331" s="270"/>
      <c r="AB1331" s="270"/>
      <c r="AC1331" s="270"/>
      <c r="AD1331" s="270"/>
      <c r="AE1331" s="270"/>
      <c r="AF1331" s="270"/>
      <c r="AG1331" s="270"/>
      <c r="AH1331" s="270"/>
      <c r="AI1331" s="270"/>
      <c r="AJ1331" s="270"/>
      <c r="AK1331" s="270"/>
      <c r="AL1331" s="270"/>
      <c r="AM1331" s="663"/>
      <c r="AN1331" s="663"/>
      <c r="AO1331" s="708" t="str">
        <f>IF(OR(Table1[[#This Row],[Início Setup Envase]]="",Table1[[#This Row],[Final Setup Envase]]=""),"",Table1[[#This Row],[Final Setup Envase]]-Table1[[#This Row],[Início Setup Envase]])</f>
        <v/>
      </c>
      <c r="AP1331" s="663"/>
      <c r="AQ1331" s="663"/>
      <c r="AR1331" s="270"/>
      <c r="AS1331" s="674"/>
      <c r="AT1331" s="674"/>
      <c r="AU1331" s="270"/>
      <c r="AV1331" s="270"/>
      <c r="AW1331" s="270"/>
      <c r="AX1331" s="270"/>
      <c r="AY1331" s="270"/>
      <c r="AZ1331" s="270"/>
      <c r="BA1331" s="270" t="str">
        <f>IF(Table1[[#This Row],[Data de Início]]="","",YEAR(Table1[[#This Row],[Data de Início]]))</f>
        <v/>
      </c>
      <c r="BB1331" s="270" t="str">
        <f>IF(Table1[[#This Row],[Data de Início]]="","",MONTH(Table1[[#This Row],[Data de Início]]))</f>
        <v/>
      </c>
      <c r="BC1331" s="483"/>
    </row>
    <row r="1332" spans="2:55" x14ac:dyDescent="0.25">
      <c r="B1332" s="470"/>
      <c r="C1332" s="263"/>
      <c r="D1332" s="477" cm="1">
        <f t="array" ref="D1332">IFERROR(HorasUteisFabrica2Turnos(B1332,C1332), "")</f>
        <v>0</v>
      </c>
      <c r="E1332" s="478" t="str">
        <f t="shared" si="21"/>
        <v/>
      </c>
      <c r="F1332" s="266"/>
      <c r="G1332" s="656"/>
      <c r="H1332" s="479"/>
      <c r="I1332" s="268"/>
      <c r="J1332" s="268"/>
      <c r="K1332" s="268"/>
      <c r="L1332" s="269"/>
      <c r="M1332" s="511" t="str">
        <f>IFERROR(INDEX([1]Produtos!$C:$C,MATCH(L1332,[1]Produtos!$B:$B,0)), "-")</f>
        <v>-</v>
      </c>
      <c r="N1332" s="511" t="str">
        <f>IFERROR(INDEX([1]Produtos!$E:$E,MATCH(L1332,[1]Produtos!$B:$B,0)), "-")</f>
        <v>-</v>
      </c>
      <c r="O1332" s="483" t="str">
        <f>IFERROR(INDEX([1]Produtos!$F:$F,MATCH(L1332,[1]Produtos!$B:$B,0)), "-")</f>
        <v>-</v>
      </c>
      <c r="P1332" s="477" t="str">
        <f>IFERROR(INDEX([1]Produtos!$G:$G,MATCH(L1332,[1]Produtos!$B:$B,0)), "-")</f>
        <v>-</v>
      </c>
      <c r="Q1332" s="483" t="str">
        <f>IFERROR(INDEX([1]Produtos!$H:$H,MATCH(L1332,[1]Produtos!$B:$B,0)), "-")</f>
        <v>-</v>
      </c>
      <c r="R1332" s="483" t="str">
        <f>IFERROR(INDEX([1]Produtos!$I:$I,MATCH(L1332,[1]Produtos!$B:$B,0)), "-")</f>
        <v>-</v>
      </c>
      <c r="S1332" s="483" t="str">
        <f>IFERROR(INDEX([1]Produtos!$J:$J,MATCH(L1332,[1]Produtos!$B:$B,0)), "-")</f>
        <v>-</v>
      </c>
      <c r="T1332" s="484"/>
      <c r="U1332" s="483"/>
      <c r="V1332" s="483"/>
      <c r="W1332" s="483"/>
      <c r="X1332" s="483"/>
      <c r="Y1332" s="483"/>
      <c r="Z1332" s="483"/>
      <c r="AA1332" s="483"/>
      <c r="AB1332" s="483"/>
      <c r="AC1332" s="483"/>
      <c r="AD1332" s="483"/>
      <c r="AE1332" s="483"/>
      <c r="AF1332" s="483"/>
      <c r="AG1332" s="483"/>
      <c r="AH1332" s="483"/>
      <c r="AI1332" s="483"/>
      <c r="AJ1332" s="483"/>
      <c r="AK1332" s="483"/>
      <c r="AL1332" s="483"/>
      <c r="AM1332" s="670"/>
      <c r="AN1332" s="670"/>
      <c r="AO1332" s="711" t="str">
        <f>IF(OR(Table1[[#This Row],[Início Setup Envase]]="",Table1[[#This Row],[Final Setup Envase]]=""),"",Table1[[#This Row],[Final Setup Envase]]-Table1[[#This Row],[Início Setup Envase]])</f>
        <v/>
      </c>
      <c r="AP1332" s="670"/>
      <c r="AQ1332" s="670"/>
      <c r="AR1332" s="483"/>
      <c r="AS1332" s="483"/>
      <c r="AT1332" s="483"/>
      <c r="AU1332" s="483"/>
      <c r="AV1332" s="483"/>
      <c r="AW1332" s="483"/>
      <c r="AX1332" s="483"/>
      <c r="AY1332" s="270"/>
      <c r="AZ1332" s="270"/>
      <c r="BA1332" s="270" t="str">
        <f>IF(Table1[[#This Row],[Data de Início]]="","",YEAR(Table1[[#This Row],[Data de Início]]))</f>
        <v/>
      </c>
      <c r="BB1332" s="270" t="str">
        <f>IF(Table1[[#This Row],[Data de Início]]="","",MONTH(Table1[[#This Row],[Data de Início]]))</f>
        <v/>
      </c>
      <c r="BC1332" s="270"/>
    </row>
    <row r="1333" spans="2:55" x14ac:dyDescent="0.25">
      <c r="B1333" s="470"/>
      <c r="C1333" s="263"/>
      <c r="D1333" s="477" cm="1">
        <f t="array" ref="D1333">IFERROR(HorasUteisFabrica2Turnos(B1333,C1333), "")</f>
        <v>0</v>
      </c>
      <c r="E1333" s="697" t="str">
        <f t="shared" si="21"/>
        <v/>
      </c>
      <c r="F1333" s="266"/>
      <c r="G1333" s="698"/>
      <c r="H1333" s="266"/>
      <c r="I1333" s="268"/>
      <c r="J1333" s="268"/>
      <c r="K1333" s="268"/>
      <c r="L1333" s="269"/>
      <c r="M1333" s="510" t="str">
        <f>IFERROR(INDEX([1]Produtos!$C:$C,MATCH(L1333,[1]Produtos!$B:$B,0)), "-")</f>
        <v>-</v>
      </c>
      <c r="N1333" s="510" t="str">
        <f>IFERROR(INDEX([1]Produtos!$E:$E,MATCH(L1333,[1]Produtos!$B:$B,0)), "-")</f>
        <v>-</v>
      </c>
      <c r="O1333" s="270" t="str">
        <f>IFERROR(INDEX([1]Produtos!$F:$F,MATCH(L1333,[1]Produtos!$B:$B,0)), "-")</f>
        <v>-</v>
      </c>
      <c r="P1333" s="264" t="str">
        <f>IFERROR(INDEX([1]Produtos!$G:$G,MATCH(L1333,[1]Produtos!$B:$B,0)), "-")</f>
        <v>-</v>
      </c>
      <c r="Q1333" s="270" t="str">
        <f>IFERROR(INDEX([1]Produtos!$H:$H,MATCH(L1333,[1]Produtos!$B:$B,0)), "-")</f>
        <v>-</v>
      </c>
      <c r="R1333" s="270" t="str">
        <f>IFERROR(INDEX([1]Produtos!$I:$I,MATCH(L1333,[1]Produtos!$B:$B,0)), "-")</f>
        <v>-</v>
      </c>
      <c r="S1333" s="270" t="str">
        <f>IFERROR(INDEX([1]Produtos!$J:$J,MATCH(L1333,[1]Produtos!$B:$B,0)), "-")</f>
        <v>-</v>
      </c>
      <c r="T1333" s="475"/>
      <c r="U1333" s="270"/>
      <c r="V1333" s="270"/>
      <c r="W1333" s="270"/>
      <c r="X1333" s="270"/>
      <c r="Y1333" s="270"/>
      <c r="Z1333" s="270"/>
      <c r="AA1333" s="270"/>
      <c r="AB1333" s="270"/>
      <c r="AC1333" s="270"/>
      <c r="AD1333" s="270"/>
      <c r="AE1333" s="270"/>
      <c r="AF1333" s="270"/>
      <c r="AG1333" s="270"/>
      <c r="AH1333" s="270"/>
      <c r="AI1333" s="270"/>
      <c r="AJ1333" s="270"/>
      <c r="AK1333" s="270"/>
      <c r="AL1333" s="270"/>
      <c r="AM1333" s="663"/>
      <c r="AN1333" s="663"/>
      <c r="AO1333" s="708" t="str">
        <f>IF(OR(Table1[[#This Row],[Início Setup Envase]]="",Table1[[#This Row],[Final Setup Envase]]=""),"",Table1[[#This Row],[Final Setup Envase]]-Table1[[#This Row],[Início Setup Envase]])</f>
        <v/>
      </c>
      <c r="AP1333" s="663"/>
      <c r="AQ1333" s="663"/>
      <c r="AR1333" s="270"/>
      <c r="AS1333" s="674"/>
      <c r="AT1333" s="674"/>
      <c r="AU1333" s="270"/>
      <c r="AV1333" s="270"/>
      <c r="AW1333" s="270"/>
      <c r="AX1333" s="270"/>
      <c r="AY1333" s="270"/>
      <c r="AZ1333" s="270"/>
      <c r="BA1333" s="270" t="str">
        <f>IF(Table1[[#This Row],[Data de Início]]="","",YEAR(Table1[[#This Row],[Data de Início]]))</f>
        <v/>
      </c>
      <c r="BB1333" s="270" t="str">
        <f>IF(Table1[[#This Row],[Data de Início]]="","",MONTH(Table1[[#This Row],[Data de Início]]))</f>
        <v/>
      </c>
      <c r="BC1333" s="483"/>
    </row>
    <row r="1334" spans="2:55" x14ac:dyDescent="0.25">
      <c r="B1334" s="470"/>
      <c r="C1334" s="263"/>
      <c r="D1334" s="477" cm="1">
        <f t="array" ref="D1334">IFERROR(HorasUteisFabrica2Turnos(B1334,C1334), "")</f>
        <v>0</v>
      </c>
      <c r="E1334" s="478" t="str">
        <f t="shared" si="21"/>
        <v/>
      </c>
      <c r="F1334" s="266"/>
      <c r="G1334" s="656"/>
      <c r="H1334" s="479"/>
      <c r="I1334" s="268"/>
      <c r="J1334" s="268"/>
      <c r="K1334" s="268"/>
      <c r="L1334" s="269"/>
      <c r="M1334" s="511" t="str">
        <f>IFERROR(INDEX([1]Produtos!$C:$C,MATCH(L1334,[1]Produtos!$B:$B,0)), "-")</f>
        <v>-</v>
      </c>
      <c r="N1334" s="511" t="str">
        <f>IFERROR(INDEX([1]Produtos!$E:$E,MATCH(L1334,[1]Produtos!$B:$B,0)), "-")</f>
        <v>-</v>
      </c>
      <c r="O1334" s="483" t="str">
        <f>IFERROR(INDEX([1]Produtos!$F:$F,MATCH(L1334,[1]Produtos!$B:$B,0)), "-")</f>
        <v>-</v>
      </c>
      <c r="P1334" s="477" t="str">
        <f>IFERROR(INDEX([1]Produtos!$G:$G,MATCH(L1334,[1]Produtos!$B:$B,0)), "-")</f>
        <v>-</v>
      </c>
      <c r="Q1334" s="483" t="str">
        <f>IFERROR(INDEX([1]Produtos!$H:$H,MATCH(L1334,[1]Produtos!$B:$B,0)), "-")</f>
        <v>-</v>
      </c>
      <c r="R1334" s="483" t="str">
        <f>IFERROR(INDEX([1]Produtos!$I:$I,MATCH(L1334,[1]Produtos!$B:$B,0)), "-")</f>
        <v>-</v>
      </c>
      <c r="S1334" s="483" t="str">
        <f>IFERROR(INDEX([1]Produtos!$J:$J,MATCH(L1334,[1]Produtos!$B:$B,0)), "-")</f>
        <v>-</v>
      </c>
      <c r="T1334" s="484"/>
      <c r="U1334" s="483"/>
      <c r="V1334" s="483"/>
      <c r="W1334" s="483"/>
      <c r="X1334" s="483"/>
      <c r="Y1334" s="483"/>
      <c r="Z1334" s="483"/>
      <c r="AA1334" s="483"/>
      <c r="AB1334" s="483"/>
      <c r="AC1334" s="483"/>
      <c r="AD1334" s="483"/>
      <c r="AE1334" s="483"/>
      <c r="AF1334" s="483"/>
      <c r="AG1334" s="483"/>
      <c r="AH1334" s="483"/>
      <c r="AI1334" s="483"/>
      <c r="AJ1334" s="483"/>
      <c r="AK1334" s="483"/>
      <c r="AL1334" s="483"/>
      <c r="AM1334" s="670"/>
      <c r="AN1334" s="670"/>
      <c r="AO1334" s="711" t="str">
        <f>IF(OR(Table1[[#This Row],[Início Setup Envase]]="",Table1[[#This Row],[Final Setup Envase]]=""),"",Table1[[#This Row],[Final Setup Envase]]-Table1[[#This Row],[Início Setup Envase]])</f>
        <v/>
      </c>
      <c r="AP1334" s="670"/>
      <c r="AQ1334" s="670"/>
      <c r="AR1334" s="483"/>
      <c r="AS1334" s="483"/>
      <c r="AT1334" s="483"/>
      <c r="AU1334" s="483"/>
      <c r="AV1334" s="483"/>
      <c r="AW1334" s="483"/>
      <c r="AX1334" s="483"/>
      <c r="AY1334" s="270"/>
      <c r="AZ1334" s="270"/>
      <c r="BA1334" s="270" t="str">
        <f>IF(Table1[[#This Row],[Data de Início]]="","",YEAR(Table1[[#This Row],[Data de Início]]))</f>
        <v/>
      </c>
      <c r="BB1334" s="270" t="str">
        <f>IF(Table1[[#This Row],[Data de Início]]="","",MONTH(Table1[[#This Row],[Data de Início]]))</f>
        <v/>
      </c>
      <c r="BC1334" s="270"/>
    </row>
    <row r="1335" spans="2:55" x14ac:dyDescent="0.25">
      <c r="B1335" s="470"/>
      <c r="C1335" s="263"/>
      <c r="D1335" s="477" cm="1">
        <f t="array" ref="D1335">IFERROR(HorasUteisFabrica2Turnos(B1335,C1335), "")</f>
        <v>0</v>
      </c>
      <c r="E1335" s="697" t="str">
        <f t="shared" si="21"/>
        <v/>
      </c>
      <c r="F1335" s="266"/>
      <c r="G1335" s="698"/>
      <c r="H1335" s="266"/>
      <c r="I1335" s="268"/>
      <c r="J1335" s="268"/>
      <c r="K1335" s="268"/>
      <c r="L1335" s="269"/>
      <c r="M1335" s="510" t="str">
        <f>IFERROR(INDEX([1]Produtos!$C:$C,MATCH(L1335,[1]Produtos!$B:$B,0)), "-")</f>
        <v>-</v>
      </c>
      <c r="N1335" s="510" t="str">
        <f>IFERROR(INDEX([1]Produtos!$E:$E,MATCH(L1335,[1]Produtos!$B:$B,0)), "-")</f>
        <v>-</v>
      </c>
      <c r="O1335" s="270" t="str">
        <f>IFERROR(INDEX([1]Produtos!$F:$F,MATCH(L1335,[1]Produtos!$B:$B,0)), "-")</f>
        <v>-</v>
      </c>
      <c r="P1335" s="264" t="str">
        <f>IFERROR(INDEX([1]Produtos!$G:$G,MATCH(L1335,[1]Produtos!$B:$B,0)), "-")</f>
        <v>-</v>
      </c>
      <c r="Q1335" s="270" t="str">
        <f>IFERROR(INDEX([1]Produtos!$H:$H,MATCH(L1335,[1]Produtos!$B:$B,0)), "-")</f>
        <v>-</v>
      </c>
      <c r="R1335" s="270" t="str">
        <f>IFERROR(INDEX([1]Produtos!$I:$I,MATCH(L1335,[1]Produtos!$B:$B,0)), "-")</f>
        <v>-</v>
      </c>
      <c r="S1335" s="270" t="str">
        <f>IFERROR(INDEX([1]Produtos!$J:$J,MATCH(L1335,[1]Produtos!$B:$B,0)), "-")</f>
        <v>-</v>
      </c>
      <c r="T1335" s="475"/>
      <c r="U1335" s="270"/>
      <c r="V1335" s="270"/>
      <c r="W1335" s="270"/>
      <c r="X1335" s="270"/>
      <c r="Y1335" s="270"/>
      <c r="Z1335" s="270"/>
      <c r="AA1335" s="270"/>
      <c r="AB1335" s="270"/>
      <c r="AC1335" s="270"/>
      <c r="AD1335" s="270"/>
      <c r="AE1335" s="270"/>
      <c r="AF1335" s="270"/>
      <c r="AG1335" s="270"/>
      <c r="AH1335" s="270"/>
      <c r="AI1335" s="270"/>
      <c r="AJ1335" s="270"/>
      <c r="AK1335" s="270"/>
      <c r="AL1335" s="270"/>
      <c r="AM1335" s="663"/>
      <c r="AN1335" s="663"/>
      <c r="AO1335" s="708" t="str">
        <f>IF(OR(Table1[[#This Row],[Início Setup Envase]]="",Table1[[#This Row],[Final Setup Envase]]=""),"",Table1[[#This Row],[Final Setup Envase]]-Table1[[#This Row],[Início Setup Envase]])</f>
        <v/>
      </c>
      <c r="AP1335" s="663"/>
      <c r="AQ1335" s="663"/>
      <c r="AR1335" s="270"/>
      <c r="AS1335" s="674"/>
      <c r="AT1335" s="674"/>
      <c r="AU1335" s="270"/>
      <c r="AV1335" s="270"/>
      <c r="AW1335" s="270"/>
      <c r="AX1335" s="270"/>
      <c r="AY1335" s="270"/>
      <c r="AZ1335" s="270"/>
      <c r="BA1335" s="270" t="str">
        <f>IF(Table1[[#This Row],[Data de Início]]="","",YEAR(Table1[[#This Row],[Data de Início]]))</f>
        <v/>
      </c>
      <c r="BB1335" s="270" t="str">
        <f>IF(Table1[[#This Row],[Data de Início]]="","",MONTH(Table1[[#This Row],[Data de Início]]))</f>
        <v/>
      </c>
      <c r="BC1335" s="483"/>
    </row>
    <row r="1336" spans="2:55" x14ac:dyDescent="0.25">
      <c r="B1336" s="470"/>
      <c r="C1336" s="263"/>
      <c r="D1336" s="477" cm="1">
        <f t="array" ref="D1336">IFERROR(HorasUteisFabrica2Turnos(B1336,C1336), "")</f>
        <v>0</v>
      </c>
      <c r="E1336" s="478" t="str">
        <f t="shared" si="21"/>
        <v/>
      </c>
      <c r="F1336" s="266"/>
      <c r="G1336" s="656"/>
      <c r="H1336" s="479"/>
      <c r="I1336" s="268"/>
      <c r="J1336" s="268"/>
      <c r="K1336" s="268"/>
      <c r="L1336" s="269"/>
      <c r="M1336" s="511" t="str">
        <f>IFERROR(INDEX([1]Produtos!$C:$C,MATCH(L1336,[1]Produtos!$B:$B,0)), "-")</f>
        <v>-</v>
      </c>
      <c r="N1336" s="511" t="str">
        <f>IFERROR(INDEX([1]Produtos!$E:$E,MATCH(L1336,[1]Produtos!$B:$B,0)), "-")</f>
        <v>-</v>
      </c>
      <c r="O1336" s="483" t="str">
        <f>IFERROR(INDEX([1]Produtos!$F:$F,MATCH(L1336,[1]Produtos!$B:$B,0)), "-")</f>
        <v>-</v>
      </c>
      <c r="P1336" s="477" t="str">
        <f>IFERROR(INDEX([1]Produtos!$G:$G,MATCH(L1336,[1]Produtos!$B:$B,0)), "-")</f>
        <v>-</v>
      </c>
      <c r="Q1336" s="483" t="str">
        <f>IFERROR(INDEX([1]Produtos!$H:$H,MATCH(L1336,[1]Produtos!$B:$B,0)), "-")</f>
        <v>-</v>
      </c>
      <c r="R1336" s="483" t="str">
        <f>IFERROR(INDEX([1]Produtos!$I:$I,MATCH(L1336,[1]Produtos!$B:$B,0)), "-")</f>
        <v>-</v>
      </c>
      <c r="S1336" s="483" t="str">
        <f>IFERROR(INDEX([1]Produtos!$J:$J,MATCH(L1336,[1]Produtos!$B:$B,0)), "-")</f>
        <v>-</v>
      </c>
      <c r="T1336" s="484"/>
      <c r="U1336" s="483"/>
      <c r="V1336" s="483"/>
      <c r="W1336" s="483"/>
      <c r="X1336" s="483"/>
      <c r="Y1336" s="483"/>
      <c r="Z1336" s="483"/>
      <c r="AA1336" s="483"/>
      <c r="AB1336" s="483"/>
      <c r="AC1336" s="483"/>
      <c r="AD1336" s="483"/>
      <c r="AE1336" s="483"/>
      <c r="AF1336" s="483"/>
      <c r="AG1336" s="483"/>
      <c r="AH1336" s="483"/>
      <c r="AI1336" s="483"/>
      <c r="AJ1336" s="483"/>
      <c r="AK1336" s="483"/>
      <c r="AL1336" s="483"/>
      <c r="AM1336" s="670"/>
      <c r="AN1336" s="670"/>
      <c r="AO1336" s="711" t="str">
        <f>IF(OR(Table1[[#This Row],[Início Setup Envase]]="",Table1[[#This Row],[Final Setup Envase]]=""),"",Table1[[#This Row],[Final Setup Envase]]-Table1[[#This Row],[Início Setup Envase]])</f>
        <v/>
      </c>
      <c r="AP1336" s="670"/>
      <c r="AQ1336" s="670"/>
      <c r="AR1336" s="483"/>
      <c r="AS1336" s="483"/>
      <c r="AT1336" s="483"/>
      <c r="AU1336" s="483"/>
      <c r="AV1336" s="483"/>
      <c r="AW1336" s="483"/>
      <c r="AX1336" s="483"/>
      <c r="AY1336" s="270"/>
      <c r="AZ1336" s="270"/>
      <c r="BA1336" s="270" t="str">
        <f>IF(Table1[[#This Row],[Data de Início]]="","",YEAR(Table1[[#This Row],[Data de Início]]))</f>
        <v/>
      </c>
      <c r="BB1336" s="270" t="str">
        <f>IF(Table1[[#This Row],[Data de Início]]="","",MONTH(Table1[[#This Row],[Data de Início]]))</f>
        <v/>
      </c>
      <c r="BC1336" s="270"/>
    </row>
    <row r="1337" spans="2:55" x14ac:dyDescent="0.25">
      <c r="B1337" s="470"/>
      <c r="C1337" s="263"/>
      <c r="D1337" s="477" cm="1">
        <f t="array" ref="D1337">IFERROR(HorasUteisFabrica2Turnos(B1337,C1337), "")</f>
        <v>0</v>
      </c>
      <c r="E1337" s="697" t="str">
        <f t="shared" si="21"/>
        <v/>
      </c>
      <c r="F1337" s="266"/>
      <c r="G1337" s="698"/>
      <c r="H1337" s="266"/>
      <c r="I1337" s="268"/>
      <c r="J1337" s="268"/>
      <c r="K1337" s="268"/>
      <c r="L1337" s="269"/>
      <c r="M1337" s="510" t="str">
        <f>IFERROR(INDEX([1]Produtos!$C:$C,MATCH(L1337,[1]Produtos!$B:$B,0)), "-")</f>
        <v>-</v>
      </c>
      <c r="N1337" s="510" t="str">
        <f>IFERROR(INDEX([1]Produtos!$E:$E,MATCH(L1337,[1]Produtos!$B:$B,0)), "-")</f>
        <v>-</v>
      </c>
      <c r="O1337" s="270" t="str">
        <f>IFERROR(INDEX([1]Produtos!$F:$F,MATCH(L1337,[1]Produtos!$B:$B,0)), "-")</f>
        <v>-</v>
      </c>
      <c r="P1337" s="264" t="str">
        <f>IFERROR(INDEX([1]Produtos!$G:$G,MATCH(L1337,[1]Produtos!$B:$B,0)), "-")</f>
        <v>-</v>
      </c>
      <c r="Q1337" s="270" t="str">
        <f>IFERROR(INDEX([1]Produtos!$H:$H,MATCH(L1337,[1]Produtos!$B:$B,0)), "-")</f>
        <v>-</v>
      </c>
      <c r="R1337" s="270" t="str">
        <f>IFERROR(INDEX([1]Produtos!$I:$I,MATCH(L1337,[1]Produtos!$B:$B,0)), "-")</f>
        <v>-</v>
      </c>
      <c r="S1337" s="270" t="str">
        <f>IFERROR(INDEX([1]Produtos!$J:$J,MATCH(L1337,[1]Produtos!$B:$B,0)), "-")</f>
        <v>-</v>
      </c>
      <c r="T1337" s="475"/>
      <c r="U1337" s="270"/>
      <c r="V1337" s="270"/>
      <c r="W1337" s="270"/>
      <c r="X1337" s="270"/>
      <c r="Y1337" s="270"/>
      <c r="Z1337" s="270"/>
      <c r="AA1337" s="270"/>
      <c r="AB1337" s="270"/>
      <c r="AC1337" s="270"/>
      <c r="AD1337" s="270"/>
      <c r="AE1337" s="270"/>
      <c r="AF1337" s="270"/>
      <c r="AG1337" s="270"/>
      <c r="AH1337" s="270"/>
      <c r="AI1337" s="270"/>
      <c r="AJ1337" s="270"/>
      <c r="AK1337" s="270"/>
      <c r="AL1337" s="270"/>
      <c r="AM1337" s="663"/>
      <c r="AN1337" s="663"/>
      <c r="AO1337" s="708" t="str">
        <f>IF(OR(Table1[[#This Row],[Início Setup Envase]]="",Table1[[#This Row],[Final Setup Envase]]=""),"",Table1[[#This Row],[Final Setup Envase]]-Table1[[#This Row],[Início Setup Envase]])</f>
        <v/>
      </c>
      <c r="AP1337" s="663"/>
      <c r="AQ1337" s="663"/>
      <c r="AR1337" s="270"/>
      <c r="AS1337" s="674"/>
      <c r="AT1337" s="674"/>
      <c r="AU1337" s="270"/>
      <c r="AV1337" s="270"/>
      <c r="AW1337" s="270"/>
      <c r="AX1337" s="270"/>
      <c r="AY1337" s="270"/>
      <c r="AZ1337" s="270"/>
      <c r="BA1337" s="270" t="str">
        <f>IF(Table1[[#This Row],[Data de Início]]="","",YEAR(Table1[[#This Row],[Data de Início]]))</f>
        <v/>
      </c>
      <c r="BB1337" s="270" t="str">
        <f>IF(Table1[[#This Row],[Data de Início]]="","",MONTH(Table1[[#This Row],[Data de Início]]))</f>
        <v/>
      </c>
      <c r="BC1337" s="483"/>
    </row>
    <row r="1338" spans="2:55" x14ac:dyDescent="0.25">
      <c r="B1338" s="470"/>
      <c r="C1338" s="263"/>
      <c r="D1338" s="477" cm="1">
        <f t="array" ref="D1338">IFERROR(HorasUteisFabrica2Turnos(B1338,C1338), "")</f>
        <v>0</v>
      </c>
      <c r="E1338" s="478" t="str">
        <f t="shared" si="21"/>
        <v/>
      </c>
      <c r="F1338" s="266"/>
      <c r="G1338" s="656"/>
      <c r="H1338" s="479"/>
      <c r="I1338" s="268"/>
      <c r="J1338" s="268"/>
      <c r="K1338" s="268"/>
      <c r="L1338" s="269"/>
      <c r="M1338" s="511" t="str">
        <f>IFERROR(INDEX([1]Produtos!$C:$C,MATCH(L1338,[1]Produtos!$B:$B,0)), "-")</f>
        <v>-</v>
      </c>
      <c r="N1338" s="511" t="str">
        <f>IFERROR(INDEX([1]Produtos!$E:$E,MATCH(L1338,[1]Produtos!$B:$B,0)), "-")</f>
        <v>-</v>
      </c>
      <c r="O1338" s="483" t="str">
        <f>IFERROR(INDEX([1]Produtos!$F:$F,MATCH(L1338,[1]Produtos!$B:$B,0)), "-")</f>
        <v>-</v>
      </c>
      <c r="P1338" s="477" t="str">
        <f>IFERROR(INDEX([1]Produtos!$G:$G,MATCH(L1338,[1]Produtos!$B:$B,0)), "-")</f>
        <v>-</v>
      </c>
      <c r="Q1338" s="483" t="str">
        <f>IFERROR(INDEX([1]Produtos!$H:$H,MATCH(L1338,[1]Produtos!$B:$B,0)), "-")</f>
        <v>-</v>
      </c>
      <c r="R1338" s="483" t="str">
        <f>IFERROR(INDEX([1]Produtos!$I:$I,MATCH(L1338,[1]Produtos!$B:$B,0)), "-")</f>
        <v>-</v>
      </c>
      <c r="S1338" s="483" t="str">
        <f>IFERROR(INDEX([1]Produtos!$J:$J,MATCH(L1338,[1]Produtos!$B:$B,0)), "-")</f>
        <v>-</v>
      </c>
      <c r="T1338" s="484"/>
      <c r="U1338" s="483"/>
      <c r="V1338" s="483"/>
      <c r="W1338" s="483"/>
      <c r="X1338" s="483"/>
      <c r="Y1338" s="483"/>
      <c r="Z1338" s="483"/>
      <c r="AA1338" s="483"/>
      <c r="AB1338" s="483"/>
      <c r="AC1338" s="483"/>
      <c r="AD1338" s="483"/>
      <c r="AE1338" s="483"/>
      <c r="AF1338" s="483"/>
      <c r="AG1338" s="483"/>
      <c r="AH1338" s="483"/>
      <c r="AI1338" s="483"/>
      <c r="AJ1338" s="483"/>
      <c r="AK1338" s="483"/>
      <c r="AL1338" s="483"/>
      <c r="AM1338" s="670"/>
      <c r="AN1338" s="670"/>
      <c r="AO1338" s="711" t="str">
        <f>IF(OR(Table1[[#This Row],[Início Setup Envase]]="",Table1[[#This Row],[Final Setup Envase]]=""),"",Table1[[#This Row],[Final Setup Envase]]-Table1[[#This Row],[Início Setup Envase]])</f>
        <v/>
      </c>
      <c r="AP1338" s="670"/>
      <c r="AQ1338" s="670"/>
      <c r="AR1338" s="483"/>
      <c r="AS1338" s="483"/>
      <c r="AT1338" s="483"/>
      <c r="AU1338" s="483"/>
      <c r="AV1338" s="483"/>
      <c r="AW1338" s="483"/>
      <c r="AX1338" s="483"/>
      <c r="AY1338" s="270"/>
      <c r="AZ1338" s="270"/>
      <c r="BA1338" s="270" t="str">
        <f>IF(Table1[[#This Row],[Data de Início]]="","",YEAR(Table1[[#This Row],[Data de Início]]))</f>
        <v/>
      </c>
      <c r="BB1338" s="270" t="str">
        <f>IF(Table1[[#This Row],[Data de Início]]="","",MONTH(Table1[[#This Row],[Data de Início]]))</f>
        <v/>
      </c>
      <c r="BC1338" s="270"/>
    </row>
    <row r="1339" spans="2:55" x14ac:dyDescent="0.25">
      <c r="B1339" s="470"/>
      <c r="C1339" s="263"/>
      <c r="D1339" s="477" cm="1">
        <f t="array" ref="D1339">IFERROR(HorasUteisFabrica2Turnos(B1339,C1339), "")</f>
        <v>0</v>
      </c>
      <c r="E1339" s="697" t="str">
        <f t="shared" si="21"/>
        <v/>
      </c>
      <c r="F1339" s="266"/>
      <c r="G1339" s="698"/>
      <c r="H1339" s="266"/>
      <c r="I1339" s="268"/>
      <c r="J1339" s="268"/>
      <c r="K1339" s="268"/>
      <c r="L1339" s="269"/>
      <c r="M1339" s="510" t="str">
        <f>IFERROR(INDEX([1]Produtos!$C:$C,MATCH(L1339,[1]Produtos!$B:$B,0)), "-")</f>
        <v>-</v>
      </c>
      <c r="N1339" s="510" t="str">
        <f>IFERROR(INDEX([1]Produtos!$E:$E,MATCH(L1339,[1]Produtos!$B:$B,0)), "-")</f>
        <v>-</v>
      </c>
      <c r="O1339" s="270" t="str">
        <f>IFERROR(INDEX([1]Produtos!$F:$F,MATCH(L1339,[1]Produtos!$B:$B,0)), "-")</f>
        <v>-</v>
      </c>
      <c r="P1339" s="264" t="str">
        <f>IFERROR(INDEX([1]Produtos!$G:$G,MATCH(L1339,[1]Produtos!$B:$B,0)), "-")</f>
        <v>-</v>
      </c>
      <c r="Q1339" s="270" t="str">
        <f>IFERROR(INDEX([1]Produtos!$H:$H,MATCH(L1339,[1]Produtos!$B:$B,0)), "-")</f>
        <v>-</v>
      </c>
      <c r="R1339" s="270" t="str">
        <f>IFERROR(INDEX([1]Produtos!$I:$I,MATCH(L1339,[1]Produtos!$B:$B,0)), "-")</f>
        <v>-</v>
      </c>
      <c r="S1339" s="270" t="str">
        <f>IFERROR(INDEX([1]Produtos!$J:$J,MATCH(L1339,[1]Produtos!$B:$B,0)), "-")</f>
        <v>-</v>
      </c>
      <c r="T1339" s="475"/>
      <c r="U1339" s="270"/>
      <c r="V1339" s="270"/>
      <c r="W1339" s="270"/>
      <c r="X1339" s="270"/>
      <c r="Y1339" s="270"/>
      <c r="Z1339" s="270"/>
      <c r="AA1339" s="270"/>
      <c r="AB1339" s="270"/>
      <c r="AC1339" s="270"/>
      <c r="AD1339" s="270"/>
      <c r="AE1339" s="270"/>
      <c r="AF1339" s="270"/>
      <c r="AG1339" s="270"/>
      <c r="AH1339" s="270"/>
      <c r="AI1339" s="270"/>
      <c r="AJ1339" s="270"/>
      <c r="AK1339" s="270"/>
      <c r="AL1339" s="270"/>
      <c r="AM1339" s="663"/>
      <c r="AN1339" s="663"/>
      <c r="AO1339" s="708" t="str">
        <f>IF(OR(Table1[[#This Row],[Início Setup Envase]]="",Table1[[#This Row],[Final Setup Envase]]=""),"",Table1[[#This Row],[Final Setup Envase]]-Table1[[#This Row],[Início Setup Envase]])</f>
        <v/>
      </c>
      <c r="AP1339" s="663"/>
      <c r="AQ1339" s="663"/>
      <c r="AR1339" s="270"/>
      <c r="AS1339" s="674"/>
      <c r="AT1339" s="674"/>
      <c r="AU1339" s="270"/>
      <c r="AV1339" s="270"/>
      <c r="AW1339" s="270"/>
      <c r="AX1339" s="270"/>
      <c r="AY1339" s="270"/>
      <c r="AZ1339" s="270"/>
      <c r="BA1339" s="270" t="str">
        <f>IF(Table1[[#This Row],[Data de Início]]="","",YEAR(Table1[[#This Row],[Data de Início]]))</f>
        <v/>
      </c>
      <c r="BB1339" s="270" t="str">
        <f>IF(Table1[[#This Row],[Data de Início]]="","",MONTH(Table1[[#This Row],[Data de Início]]))</f>
        <v/>
      </c>
      <c r="BC1339" s="483"/>
    </row>
    <row r="1340" spans="2:55" x14ac:dyDescent="0.25">
      <c r="B1340" s="470"/>
      <c r="C1340" s="263"/>
      <c r="D1340" s="477" cm="1">
        <f t="array" ref="D1340">IFERROR(HorasUteisFabrica2Turnos(B1340,C1340), "")</f>
        <v>0</v>
      </c>
      <c r="E1340" s="478" t="str">
        <f t="shared" si="21"/>
        <v/>
      </c>
      <c r="F1340" s="266"/>
      <c r="G1340" s="656"/>
      <c r="H1340" s="479"/>
      <c r="I1340" s="268"/>
      <c r="J1340" s="268"/>
      <c r="K1340" s="268"/>
      <c r="L1340" s="269"/>
      <c r="M1340" s="511" t="str">
        <f>IFERROR(INDEX([1]Produtos!$C:$C,MATCH(L1340,[1]Produtos!$B:$B,0)), "-")</f>
        <v>-</v>
      </c>
      <c r="N1340" s="511" t="str">
        <f>IFERROR(INDEX([1]Produtos!$E:$E,MATCH(L1340,[1]Produtos!$B:$B,0)), "-")</f>
        <v>-</v>
      </c>
      <c r="O1340" s="483" t="str">
        <f>IFERROR(INDEX([1]Produtos!$F:$F,MATCH(L1340,[1]Produtos!$B:$B,0)), "-")</f>
        <v>-</v>
      </c>
      <c r="P1340" s="477" t="str">
        <f>IFERROR(INDEX([1]Produtos!$G:$G,MATCH(L1340,[1]Produtos!$B:$B,0)), "-")</f>
        <v>-</v>
      </c>
      <c r="Q1340" s="483" t="str">
        <f>IFERROR(INDEX([1]Produtos!$H:$H,MATCH(L1340,[1]Produtos!$B:$B,0)), "-")</f>
        <v>-</v>
      </c>
      <c r="R1340" s="483" t="str">
        <f>IFERROR(INDEX([1]Produtos!$I:$I,MATCH(L1340,[1]Produtos!$B:$B,0)), "-")</f>
        <v>-</v>
      </c>
      <c r="S1340" s="483" t="str">
        <f>IFERROR(INDEX([1]Produtos!$J:$J,MATCH(L1340,[1]Produtos!$B:$B,0)), "-")</f>
        <v>-</v>
      </c>
      <c r="T1340" s="484"/>
      <c r="U1340" s="483"/>
      <c r="V1340" s="483"/>
      <c r="W1340" s="483"/>
      <c r="X1340" s="483"/>
      <c r="Y1340" s="483"/>
      <c r="Z1340" s="483"/>
      <c r="AA1340" s="483"/>
      <c r="AB1340" s="483"/>
      <c r="AC1340" s="483"/>
      <c r="AD1340" s="483"/>
      <c r="AE1340" s="483"/>
      <c r="AF1340" s="483"/>
      <c r="AG1340" s="483"/>
      <c r="AH1340" s="483"/>
      <c r="AI1340" s="483"/>
      <c r="AJ1340" s="483"/>
      <c r="AK1340" s="483"/>
      <c r="AL1340" s="483"/>
      <c r="AM1340" s="670"/>
      <c r="AN1340" s="670"/>
      <c r="AO1340" s="711" t="str">
        <f>IF(OR(Table1[[#This Row],[Início Setup Envase]]="",Table1[[#This Row],[Final Setup Envase]]=""),"",Table1[[#This Row],[Final Setup Envase]]-Table1[[#This Row],[Início Setup Envase]])</f>
        <v/>
      </c>
      <c r="AP1340" s="670"/>
      <c r="AQ1340" s="670"/>
      <c r="AR1340" s="483"/>
      <c r="AS1340" s="483"/>
      <c r="AT1340" s="483"/>
      <c r="AU1340" s="483"/>
      <c r="AV1340" s="483"/>
      <c r="AW1340" s="483"/>
      <c r="AX1340" s="483"/>
      <c r="AY1340" s="270"/>
      <c r="AZ1340" s="270"/>
      <c r="BA1340" s="270" t="str">
        <f>IF(Table1[[#This Row],[Data de Início]]="","",YEAR(Table1[[#This Row],[Data de Início]]))</f>
        <v/>
      </c>
      <c r="BB1340" s="270" t="str">
        <f>IF(Table1[[#This Row],[Data de Início]]="","",MONTH(Table1[[#This Row],[Data de Início]]))</f>
        <v/>
      </c>
      <c r="BC1340" s="270"/>
    </row>
    <row r="1341" spans="2:55" x14ac:dyDescent="0.25">
      <c r="B1341" s="470"/>
      <c r="C1341" s="263"/>
      <c r="D1341" s="477" cm="1">
        <f t="array" ref="D1341">IFERROR(HorasUteisFabrica2Turnos(B1341,C1341), "")</f>
        <v>0</v>
      </c>
      <c r="E1341" s="697" t="str">
        <f t="shared" si="21"/>
        <v/>
      </c>
      <c r="F1341" s="266"/>
      <c r="G1341" s="698"/>
      <c r="H1341" s="266"/>
      <c r="I1341" s="268"/>
      <c r="J1341" s="268"/>
      <c r="K1341" s="268"/>
      <c r="L1341" s="269"/>
      <c r="M1341" s="510" t="str">
        <f>IFERROR(INDEX([1]Produtos!$C:$C,MATCH(L1341,[1]Produtos!$B:$B,0)), "-")</f>
        <v>-</v>
      </c>
      <c r="N1341" s="510" t="str">
        <f>IFERROR(INDEX([1]Produtos!$E:$E,MATCH(L1341,[1]Produtos!$B:$B,0)), "-")</f>
        <v>-</v>
      </c>
      <c r="O1341" s="270" t="str">
        <f>IFERROR(INDEX([1]Produtos!$F:$F,MATCH(L1341,[1]Produtos!$B:$B,0)), "-")</f>
        <v>-</v>
      </c>
      <c r="P1341" s="264" t="str">
        <f>IFERROR(INDEX([1]Produtos!$G:$G,MATCH(L1341,[1]Produtos!$B:$B,0)), "-")</f>
        <v>-</v>
      </c>
      <c r="Q1341" s="270" t="str">
        <f>IFERROR(INDEX([1]Produtos!$H:$H,MATCH(L1341,[1]Produtos!$B:$B,0)), "-")</f>
        <v>-</v>
      </c>
      <c r="R1341" s="270" t="str">
        <f>IFERROR(INDEX([1]Produtos!$I:$I,MATCH(L1341,[1]Produtos!$B:$B,0)), "-")</f>
        <v>-</v>
      </c>
      <c r="S1341" s="270" t="str">
        <f>IFERROR(INDEX([1]Produtos!$J:$J,MATCH(L1341,[1]Produtos!$B:$B,0)), "-")</f>
        <v>-</v>
      </c>
      <c r="T1341" s="475"/>
      <c r="U1341" s="270"/>
      <c r="V1341" s="270"/>
      <c r="W1341" s="270"/>
      <c r="X1341" s="270"/>
      <c r="Y1341" s="270"/>
      <c r="Z1341" s="270"/>
      <c r="AA1341" s="270"/>
      <c r="AB1341" s="270"/>
      <c r="AC1341" s="270"/>
      <c r="AD1341" s="270"/>
      <c r="AE1341" s="270"/>
      <c r="AF1341" s="270"/>
      <c r="AG1341" s="270"/>
      <c r="AH1341" s="270"/>
      <c r="AI1341" s="270"/>
      <c r="AJ1341" s="270"/>
      <c r="AK1341" s="270"/>
      <c r="AL1341" s="270"/>
      <c r="AM1341" s="663"/>
      <c r="AN1341" s="663"/>
      <c r="AO1341" s="708" t="str">
        <f>IF(OR(Table1[[#This Row],[Início Setup Envase]]="",Table1[[#This Row],[Final Setup Envase]]=""),"",Table1[[#This Row],[Final Setup Envase]]-Table1[[#This Row],[Início Setup Envase]])</f>
        <v/>
      </c>
      <c r="AP1341" s="663"/>
      <c r="AQ1341" s="663"/>
      <c r="AR1341" s="270"/>
      <c r="AS1341" s="674"/>
      <c r="AT1341" s="674"/>
      <c r="AU1341" s="270"/>
      <c r="AV1341" s="270"/>
      <c r="AW1341" s="270"/>
      <c r="AX1341" s="270"/>
      <c r="AY1341" s="270"/>
      <c r="AZ1341" s="270"/>
      <c r="BA1341" s="270" t="str">
        <f>IF(Table1[[#This Row],[Data de Início]]="","",YEAR(Table1[[#This Row],[Data de Início]]))</f>
        <v/>
      </c>
      <c r="BB1341" s="270" t="str">
        <f>IF(Table1[[#This Row],[Data de Início]]="","",MONTH(Table1[[#This Row],[Data de Início]]))</f>
        <v/>
      </c>
      <c r="BC1341" s="483"/>
    </row>
    <row r="1342" spans="2:55" x14ac:dyDescent="0.25">
      <c r="B1342" s="470"/>
      <c r="C1342" s="263"/>
      <c r="D1342" s="477" cm="1">
        <f t="array" ref="D1342">IFERROR(HorasUteisFabrica2Turnos(B1342,C1342), "")</f>
        <v>0</v>
      </c>
      <c r="E1342" s="478" t="str">
        <f t="shared" si="21"/>
        <v/>
      </c>
      <c r="F1342" s="266"/>
      <c r="G1342" s="656"/>
      <c r="H1342" s="479"/>
      <c r="I1342" s="268"/>
      <c r="J1342" s="268"/>
      <c r="K1342" s="268"/>
      <c r="L1342" s="269"/>
      <c r="M1342" s="511" t="str">
        <f>IFERROR(INDEX([1]Produtos!$C:$C,MATCH(L1342,[1]Produtos!$B:$B,0)), "-")</f>
        <v>-</v>
      </c>
      <c r="N1342" s="511" t="str">
        <f>IFERROR(INDEX([1]Produtos!$E:$E,MATCH(L1342,[1]Produtos!$B:$B,0)), "-")</f>
        <v>-</v>
      </c>
      <c r="O1342" s="483" t="str">
        <f>IFERROR(INDEX([1]Produtos!$F:$F,MATCH(L1342,[1]Produtos!$B:$B,0)), "-")</f>
        <v>-</v>
      </c>
      <c r="P1342" s="477" t="str">
        <f>IFERROR(INDEX([1]Produtos!$G:$G,MATCH(L1342,[1]Produtos!$B:$B,0)), "-")</f>
        <v>-</v>
      </c>
      <c r="Q1342" s="483" t="str">
        <f>IFERROR(INDEX([1]Produtos!$H:$H,MATCH(L1342,[1]Produtos!$B:$B,0)), "-")</f>
        <v>-</v>
      </c>
      <c r="R1342" s="483" t="str">
        <f>IFERROR(INDEX([1]Produtos!$I:$I,MATCH(L1342,[1]Produtos!$B:$B,0)), "-")</f>
        <v>-</v>
      </c>
      <c r="S1342" s="483" t="str">
        <f>IFERROR(INDEX([1]Produtos!$J:$J,MATCH(L1342,[1]Produtos!$B:$B,0)), "-")</f>
        <v>-</v>
      </c>
      <c r="T1342" s="484"/>
      <c r="U1342" s="483"/>
      <c r="V1342" s="483"/>
      <c r="W1342" s="483"/>
      <c r="X1342" s="483"/>
      <c r="Y1342" s="483"/>
      <c r="Z1342" s="483"/>
      <c r="AA1342" s="483"/>
      <c r="AB1342" s="483"/>
      <c r="AC1342" s="483"/>
      <c r="AD1342" s="483"/>
      <c r="AE1342" s="483"/>
      <c r="AF1342" s="483"/>
      <c r="AG1342" s="483"/>
      <c r="AH1342" s="483"/>
      <c r="AI1342" s="483"/>
      <c r="AJ1342" s="483"/>
      <c r="AK1342" s="483"/>
      <c r="AL1342" s="483"/>
      <c r="AM1342" s="670"/>
      <c r="AN1342" s="670"/>
      <c r="AO1342" s="711" t="str">
        <f>IF(OR(Table1[[#This Row],[Início Setup Envase]]="",Table1[[#This Row],[Final Setup Envase]]=""),"",Table1[[#This Row],[Final Setup Envase]]-Table1[[#This Row],[Início Setup Envase]])</f>
        <v/>
      </c>
      <c r="AP1342" s="670"/>
      <c r="AQ1342" s="670"/>
      <c r="AR1342" s="483"/>
      <c r="AS1342" s="483"/>
      <c r="AT1342" s="483"/>
      <c r="AU1342" s="483"/>
      <c r="AV1342" s="483"/>
      <c r="AW1342" s="483"/>
      <c r="AX1342" s="483"/>
      <c r="AY1342" s="270"/>
      <c r="AZ1342" s="270"/>
      <c r="BA1342" s="270" t="str">
        <f>IF(Table1[[#This Row],[Data de Início]]="","",YEAR(Table1[[#This Row],[Data de Início]]))</f>
        <v/>
      </c>
      <c r="BB1342" s="270" t="str">
        <f>IF(Table1[[#This Row],[Data de Início]]="","",MONTH(Table1[[#This Row],[Data de Início]]))</f>
        <v/>
      </c>
      <c r="BC1342" s="270"/>
    </row>
    <row r="1343" spans="2:55" x14ac:dyDescent="0.25">
      <c r="B1343" s="470"/>
      <c r="C1343" s="263"/>
      <c r="D1343" s="477" cm="1">
        <f t="array" ref="D1343">IFERROR(HorasUteisFabrica2Turnos(B1343,C1343), "")</f>
        <v>0</v>
      </c>
      <c r="E1343" s="697" t="str">
        <f t="shared" si="21"/>
        <v/>
      </c>
      <c r="F1343" s="266"/>
      <c r="G1343" s="698"/>
      <c r="H1343" s="266"/>
      <c r="I1343" s="268"/>
      <c r="J1343" s="268"/>
      <c r="K1343" s="268"/>
      <c r="L1343" s="269"/>
      <c r="M1343" s="510" t="str">
        <f>IFERROR(INDEX([1]Produtos!$C:$C,MATCH(L1343,[1]Produtos!$B:$B,0)), "-")</f>
        <v>-</v>
      </c>
      <c r="N1343" s="510" t="str">
        <f>IFERROR(INDEX([1]Produtos!$E:$E,MATCH(L1343,[1]Produtos!$B:$B,0)), "-")</f>
        <v>-</v>
      </c>
      <c r="O1343" s="270" t="str">
        <f>IFERROR(INDEX([1]Produtos!$F:$F,MATCH(L1343,[1]Produtos!$B:$B,0)), "-")</f>
        <v>-</v>
      </c>
      <c r="P1343" s="264" t="str">
        <f>IFERROR(INDEX([1]Produtos!$G:$G,MATCH(L1343,[1]Produtos!$B:$B,0)), "-")</f>
        <v>-</v>
      </c>
      <c r="Q1343" s="270" t="str">
        <f>IFERROR(INDEX([1]Produtos!$H:$H,MATCH(L1343,[1]Produtos!$B:$B,0)), "-")</f>
        <v>-</v>
      </c>
      <c r="R1343" s="270" t="str">
        <f>IFERROR(INDEX([1]Produtos!$I:$I,MATCH(L1343,[1]Produtos!$B:$B,0)), "-")</f>
        <v>-</v>
      </c>
      <c r="S1343" s="270" t="str">
        <f>IFERROR(INDEX([1]Produtos!$J:$J,MATCH(L1343,[1]Produtos!$B:$B,0)), "-")</f>
        <v>-</v>
      </c>
      <c r="T1343" s="475"/>
      <c r="U1343" s="270"/>
      <c r="V1343" s="270"/>
      <c r="W1343" s="270"/>
      <c r="X1343" s="270"/>
      <c r="Y1343" s="270"/>
      <c r="Z1343" s="270"/>
      <c r="AA1343" s="270"/>
      <c r="AB1343" s="270"/>
      <c r="AC1343" s="270"/>
      <c r="AD1343" s="270"/>
      <c r="AE1343" s="270"/>
      <c r="AF1343" s="270"/>
      <c r="AG1343" s="270"/>
      <c r="AH1343" s="270"/>
      <c r="AI1343" s="270"/>
      <c r="AJ1343" s="270"/>
      <c r="AK1343" s="270"/>
      <c r="AL1343" s="270"/>
      <c r="AM1343" s="663"/>
      <c r="AN1343" s="663"/>
      <c r="AO1343" s="708" t="str">
        <f>IF(OR(Table1[[#This Row],[Início Setup Envase]]="",Table1[[#This Row],[Final Setup Envase]]=""),"",Table1[[#This Row],[Final Setup Envase]]-Table1[[#This Row],[Início Setup Envase]])</f>
        <v/>
      </c>
      <c r="AP1343" s="663"/>
      <c r="AQ1343" s="663"/>
      <c r="AR1343" s="270"/>
      <c r="AS1343" s="674"/>
      <c r="AT1343" s="674"/>
      <c r="AU1343" s="270"/>
      <c r="AV1343" s="270"/>
      <c r="AW1343" s="270"/>
      <c r="AX1343" s="270"/>
      <c r="AY1343" s="270"/>
      <c r="AZ1343" s="270"/>
      <c r="BA1343" s="270" t="str">
        <f>IF(Table1[[#This Row],[Data de Início]]="","",YEAR(Table1[[#This Row],[Data de Início]]))</f>
        <v/>
      </c>
      <c r="BB1343" s="270" t="str">
        <f>IF(Table1[[#This Row],[Data de Início]]="","",MONTH(Table1[[#This Row],[Data de Início]]))</f>
        <v/>
      </c>
      <c r="BC1343" s="483"/>
    </row>
    <row r="1344" spans="2:55" x14ac:dyDescent="0.25">
      <c r="B1344" s="470"/>
      <c r="C1344" s="263"/>
      <c r="D1344" s="477" cm="1">
        <f t="array" ref="D1344">IFERROR(HorasUteisFabrica2Turnos(B1344,C1344), "")</f>
        <v>0</v>
      </c>
      <c r="E1344" s="478" t="str">
        <f t="shared" si="21"/>
        <v/>
      </c>
      <c r="F1344" s="266"/>
      <c r="G1344" s="656"/>
      <c r="H1344" s="479"/>
      <c r="I1344" s="268"/>
      <c r="J1344" s="268"/>
      <c r="K1344" s="268"/>
      <c r="L1344" s="269"/>
      <c r="M1344" s="511" t="str">
        <f>IFERROR(INDEX([1]Produtos!$C:$C,MATCH(L1344,[1]Produtos!$B:$B,0)), "-")</f>
        <v>-</v>
      </c>
      <c r="N1344" s="511" t="str">
        <f>IFERROR(INDEX([1]Produtos!$E:$E,MATCH(L1344,[1]Produtos!$B:$B,0)), "-")</f>
        <v>-</v>
      </c>
      <c r="O1344" s="483" t="str">
        <f>IFERROR(INDEX([1]Produtos!$F:$F,MATCH(L1344,[1]Produtos!$B:$B,0)), "-")</f>
        <v>-</v>
      </c>
      <c r="P1344" s="477" t="str">
        <f>IFERROR(INDEX([1]Produtos!$G:$G,MATCH(L1344,[1]Produtos!$B:$B,0)), "-")</f>
        <v>-</v>
      </c>
      <c r="Q1344" s="483" t="str">
        <f>IFERROR(INDEX([1]Produtos!$H:$H,MATCH(L1344,[1]Produtos!$B:$B,0)), "-")</f>
        <v>-</v>
      </c>
      <c r="R1344" s="483" t="str">
        <f>IFERROR(INDEX([1]Produtos!$I:$I,MATCH(L1344,[1]Produtos!$B:$B,0)), "-")</f>
        <v>-</v>
      </c>
      <c r="S1344" s="483" t="str">
        <f>IFERROR(INDEX([1]Produtos!$J:$J,MATCH(L1344,[1]Produtos!$B:$B,0)), "-")</f>
        <v>-</v>
      </c>
      <c r="T1344" s="484"/>
      <c r="U1344" s="483"/>
      <c r="V1344" s="483"/>
      <c r="W1344" s="483"/>
      <c r="X1344" s="483"/>
      <c r="Y1344" s="483"/>
      <c r="Z1344" s="483"/>
      <c r="AA1344" s="483"/>
      <c r="AB1344" s="483"/>
      <c r="AC1344" s="483"/>
      <c r="AD1344" s="483"/>
      <c r="AE1344" s="483"/>
      <c r="AF1344" s="483"/>
      <c r="AG1344" s="483"/>
      <c r="AH1344" s="483"/>
      <c r="AI1344" s="483"/>
      <c r="AJ1344" s="483"/>
      <c r="AK1344" s="483"/>
      <c r="AL1344" s="483"/>
      <c r="AM1344" s="670"/>
      <c r="AN1344" s="670"/>
      <c r="AO1344" s="711" t="str">
        <f>IF(OR(Table1[[#This Row],[Início Setup Envase]]="",Table1[[#This Row],[Final Setup Envase]]=""),"",Table1[[#This Row],[Final Setup Envase]]-Table1[[#This Row],[Início Setup Envase]])</f>
        <v/>
      </c>
      <c r="AP1344" s="670"/>
      <c r="AQ1344" s="670"/>
      <c r="AR1344" s="483"/>
      <c r="AS1344" s="483"/>
      <c r="AT1344" s="483"/>
      <c r="AU1344" s="483"/>
      <c r="AV1344" s="483"/>
      <c r="AW1344" s="483"/>
      <c r="AX1344" s="483"/>
      <c r="AY1344" s="270"/>
      <c r="AZ1344" s="270"/>
      <c r="BA1344" s="270" t="str">
        <f>IF(Table1[[#This Row],[Data de Início]]="","",YEAR(Table1[[#This Row],[Data de Início]]))</f>
        <v/>
      </c>
      <c r="BB1344" s="270" t="str">
        <f>IF(Table1[[#This Row],[Data de Início]]="","",MONTH(Table1[[#This Row],[Data de Início]]))</f>
        <v/>
      </c>
      <c r="BC1344" s="270"/>
    </row>
    <row r="1345" spans="2:55" x14ac:dyDescent="0.25">
      <c r="B1345" s="470"/>
      <c r="C1345" s="263"/>
      <c r="D1345" s="477" cm="1">
        <f t="array" ref="D1345">IFERROR(HorasUteisFabrica2Turnos(B1345,C1345), "")</f>
        <v>0</v>
      </c>
      <c r="E1345" s="697" t="str">
        <f t="shared" si="21"/>
        <v/>
      </c>
      <c r="F1345" s="266"/>
      <c r="G1345" s="698"/>
      <c r="H1345" s="266"/>
      <c r="I1345" s="268"/>
      <c r="J1345" s="268"/>
      <c r="K1345" s="268"/>
      <c r="L1345" s="269"/>
      <c r="M1345" s="510" t="str">
        <f>IFERROR(INDEX([1]Produtos!$C:$C,MATCH(L1345,[1]Produtos!$B:$B,0)), "-")</f>
        <v>-</v>
      </c>
      <c r="N1345" s="510" t="str">
        <f>IFERROR(INDEX([1]Produtos!$E:$E,MATCH(L1345,[1]Produtos!$B:$B,0)), "-")</f>
        <v>-</v>
      </c>
      <c r="O1345" s="270" t="str">
        <f>IFERROR(INDEX([1]Produtos!$F:$F,MATCH(L1345,[1]Produtos!$B:$B,0)), "-")</f>
        <v>-</v>
      </c>
      <c r="P1345" s="264" t="str">
        <f>IFERROR(INDEX([1]Produtos!$G:$G,MATCH(L1345,[1]Produtos!$B:$B,0)), "-")</f>
        <v>-</v>
      </c>
      <c r="Q1345" s="270" t="str">
        <f>IFERROR(INDEX([1]Produtos!$H:$H,MATCH(L1345,[1]Produtos!$B:$B,0)), "-")</f>
        <v>-</v>
      </c>
      <c r="R1345" s="270" t="str">
        <f>IFERROR(INDEX([1]Produtos!$I:$I,MATCH(L1345,[1]Produtos!$B:$B,0)), "-")</f>
        <v>-</v>
      </c>
      <c r="S1345" s="270" t="str">
        <f>IFERROR(INDEX([1]Produtos!$J:$J,MATCH(L1345,[1]Produtos!$B:$B,0)), "-")</f>
        <v>-</v>
      </c>
      <c r="T1345" s="475"/>
      <c r="U1345" s="270"/>
      <c r="V1345" s="270"/>
      <c r="W1345" s="270"/>
      <c r="X1345" s="270"/>
      <c r="Y1345" s="270"/>
      <c r="Z1345" s="270"/>
      <c r="AA1345" s="270"/>
      <c r="AB1345" s="270"/>
      <c r="AC1345" s="270"/>
      <c r="AD1345" s="270"/>
      <c r="AE1345" s="270"/>
      <c r="AF1345" s="270"/>
      <c r="AG1345" s="270"/>
      <c r="AH1345" s="270"/>
      <c r="AI1345" s="270"/>
      <c r="AJ1345" s="270"/>
      <c r="AK1345" s="270"/>
      <c r="AL1345" s="270"/>
      <c r="AM1345" s="663"/>
      <c r="AN1345" s="663"/>
      <c r="AO1345" s="708" t="str">
        <f>IF(OR(Table1[[#This Row],[Início Setup Envase]]="",Table1[[#This Row],[Final Setup Envase]]=""),"",Table1[[#This Row],[Final Setup Envase]]-Table1[[#This Row],[Início Setup Envase]])</f>
        <v/>
      </c>
      <c r="AP1345" s="663"/>
      <c r="AQ1345" s="663"/>
      <c r="AR1345" s="270"/>
      <c r="AS1345" s="674"/>
      <c r="AT1345" s="674"/>
      <c r="AU1345" s="270"/>
      <c r="AV1345" s="270"/>
      <c r="AW1345" s="270"/>
      <c r="AX1345" s="270"/>
      <c r="AY1345" s="270"/>
      <c r="AZ1345" s="270"/>
      <c r="BA1345" s="270" t="str">
        <f>IF(Table1[[#This Row],[Data de Início]]="","",YEAR(Table1[[#This Row],[Data de Início]]))</f>
        <v/>
      </c>
      <c r="BB1345" s="270" t="str">
        <f>IF(Table1[[#This Row],[Data de Início]]="","",MONTH(Table1[[#This Row],[Data de Início]]))</f>
        <v/>
      </c>
      <c r="BC1345" s="483"/>
    </row>
    <row r="1346" spans="2:55" x14ac:dyDescent="0.25">
      <c r="B1346" s="470"/>
      <c r="C1346" s="263"/>
      <c r="D1346" s="477" cm="1">
        <f t="array" ref="D1346">IFERROR(HorasUteisFabrica2Turnos(B1346,C1346), "")</f>
        <v>0</v>
      </c>
      <c r="E1346" s="478" t="str">
        <f t="shared" si="21"/>
        <v/>
      </c>
      <c r="F1346" s="266"/>
      <c r="G1346" s="656"/>
      <c r="H1346" s="479"/>
      <c r="I1346" s="268"/>
      <c r="J1346" s="268"/>
      <c r="K1346" s="268"/>
      <c r="L1346" s="269"/>
      <c r="M1346" s="511" t="str">
        <f>IFERROR(INDEX([1]Produtos!$C:$C,MATCH(L1346,[1]Produtos!$B:$B,0)), "-")</f>
        <v>-</v>
      </c>
      <c r="N1346" s="511" t="str">
        <f>IFERROR(INDEX([1]Produtos!$E:$E,MATCH(L1346,[1]Produtos!$B:$B,0)), "-")</f>
        <v>-</v>
      </c>
      <c r="O1346" s="483" t="str">
        <f>IFERROR(INDEX([1]Produtos!$F:$F,MATCH(L1346,[1]Produtos!$B:$B,0)), "-")</f>
        <v>-</v>
      </c>
      <c r="P1346" s="477" t="str">
        <f>IFERROR(INDEX([1]Produtos!$G:$G,MATCH(L1346,[1]Produtos!$B:$B,0)), "-")</f>
        <v>-</v>
      </c>
      <c r="Q1346" s="483" t="str">
        <f>IFERROR(INDEX([1]Produtos!$H:$H,MATCH(L1346,[1]Produtos!$B:$B,0)), "-")</f>
        <v>-</v>
      </c>
      <c r="R1346" s="483" t="str">
        <f>IFERROR(INDEX([1]Produtos!$I:$I,MATCH(L1346,[1]Produtos!$B:$B,0)), "-")</f>
        <v>-</v>
      </c>
      <c r="S1346" s="483" t="str">
        <f>IFERROR(INDEX([1]Produtos!$J:$J,MATCH(L1346,[1]Produtos!$B:$B,0)), "-")</f>
        <v>-</v>
      </c>
      <c r="T1346" s="484"/>
      <c r="U1346" s="483"/>
      <c r="V1346" s="483"/>
      <c r="W1346" s="483"/>
      <c r="X1346" s="483"/>
      <c r="Y1346" s="483"/>
      <c r="Z1346" s="483"/>
      <c r="AA1346" s="483"/>
      <c r="AB1346" s="483"/>
      <c r="AC1346" s="483"/>
      <c r="AD1346" s="483"/>
      <c r="AE1346" s="483"/>
      <c r="AF1346" s="483"/>
      <c r="AG1346" s="483"/>
      <c r="AH1346" s="483"/>
      <c r="AI1346" s="483"/>
      <c r="AJ1346" s="483"/>
      <c r="AK1346" s="483"/>
      <c r="AL1346" s="483"/>
      <c r="AM1346" s="670"/>
      <c r="AN1346" s="670"/>
      <c r="AO1346" s="711" t="str">
        <f>IF(OR(Table1[[#This Row],[Início Setup Envase]]="",Table1[[#This Row],[Final Setup Envase]]=""),"",Table1[[#This Row],[Final Setup Envase]]-Table1[[#This Row],[Início Setup Envase]])</f>
        <v/>
      </c>
      <c r="AP1346" s="670"/>
      <c r="AQ1346" s="670"/>
      <c r="AR1346" s="483"/>
      <c r="AS1346" s="483"/>
      <c r="AT1346" s="483"/>
      <c r="AU1346" s="483"/>
      <c r="AV1346" s="483"/>
      <c r="AW1346" s="483"/>
      <c r="AX1346" s="483"/>
      <c r="AY1346" s="270"/>
      <c r="AZ1346" s="270"/>
      <c r="BA1346" s="270" t="str">
        <f>IF(Table1[[#This Row],[Data de Início]]="","",YEAR(Table1[[#This Row],[Data de Início]]))</f>
        <v/>
      </c>
      <c r="BB1346" s="270" t="str">
        <f>IF(Table1[[#This Row],[Data de Início]]="","",MONTH(Table1[[#This Row],[Data de Início]]))</f>
        <v/>
      </c>
      <c r="BC1346" s="270"/>
    </row>
    <row r="1347" spans="2:55" x14ac:dyDescent="0.25">
      <c r="B1347" s="470"/>
      <c r="C1347" s="263"/>
      <c r="D1347" s="477" cm="1">
        <f t="array" ref="D1347">IFERROR(HorasUteisFabrica2Turnos(B1347,C1347), "")</f>
        <v>0</v>
      </c>
      <c r="E1347" s="697" t="str">
        <f t="shared" si="21"/>
        <v/>
      </c>
      <c r="F1347" s="266"/>
      <c r="G1347" s="698"/>
      <c r="H1347" s="266"/>
      <c r="I1347" s="268"/>
      <c r="J1347" s="268"/>
      <c r="K1347" s="268"/>
      <c r="L1347" s="269"/>
      <c r="M1347" s="510" t="str">
        <f>IFERROR(INDEX([1]Produtos!$C:$C,MATCH(L1347,[1]Produtos!$B:$B,0)), "-")</f>
        <v>-</v>
      </c>
      <c r="N1347" s="510" t="str">
        <f>IFERROR(INDEX([1]Produtos!$E:$E,MATCH(L1347,[1]Produtos!$B:$B,0)), "-")</f>
        <v>-</v>
      </c>
      <c r="O1347" s="270" t="str">
        <f>IFERROR(INDEX([1]Produtos!$F:$F,MATCH(L1347,[1]Produtos!$B:$B,0)), "-")</f>
        <v>-</v>
      </c>
      <c r="P1347" s="264" t="str">
        <f>IFERROR(INDEX([1]Produtos!$G:$G,MATCH(L1347,[1]Produtos!$B:$B,0)), "-")</f>
        <v>-</v>
      </c>
      <c r="Q1347" s="270" t="str">
        <f>IFERROR(INDEX([1]Produtos!$H:$H,MATCH(L1347,[1]Produtos!$B:$B,0)), "-")</f>
        <v>-</v>
      </c>
      <c r="R1347" s="270" t="str">
        <f>IFERROR(INDEX([1]Produtos!$I:$I,MATCH(L1347,[1]Produtos!$B:$B,0)), "-")</f>
        <v>-</v>
      </c>
      <c r="S1347" s="270" t="str">
        <f>IFERROR(INDEX([1]Produtos!$J:$J,MATCH(L1347,[1]Produtos!$B:$B,0)), "-")</f>
        <v>-</v>
      </c>
      <c r="T1347" s="475"/>
      <c r="U1347" s="270"/>
      <c r="V1347" s="270"/>
      <c r="W1347" s="270"/>
      <c r="X1347" s="270"/>
      <c r="Y1347" s="270"/>
      <c r="Z1347" s="270"/>
      <c r="AA1347" s="270"/>
      <c r="AB1347" s="270"/>
      <c r="AC1347" s="270"/>
      <c r="AD1347" s="270"/>
      <c r="AE1347" s="270"/>
      <c r="AF1347" s="270"/>
      <c r="AG1347" s="270"/>
      <c r="AH1347" s="270"/>
      <c r="AI1347" s="270"/>
      <c r="AJ1347" s="270"/>
      <c r="AK1347" s="270"/>
      <c r="AL1347" s="270"/>
      <c r="AM1347" s="663"/>
      <c r="AN1347" s="663"/>
      <c r="AO1347" s="708" t="str">
        <f>IF(OR(Table1[[#This Row],[Início Setup Envase]]="",Table1[[#This Row],[Final Setup Envase]]=""),"",Table1[[#This Row],[Final Setup Envase]]-Table1[[#This Row],[Início Setup Envase]])</f>
        <v/>
      </c>
      <c r="AP1347" s="663"/>
      <c r="AQ1347" s="663"/>
      <c r="AR1347" s="270"/>
      <c r="AS1347" s="674"/>
      <c r="AT1347" s="674"/>
      <c r="AU1347" s="270"/>
      <c r="AV1347" s="270"/>
      <c r="AW1347" s="270"/>
      <c r="AX1347" s="270"/>
      <c r="AY1347" s="270"/>
      <c r="AZ1347" s="270"/>
      <c r="BA1347" s="270" t="str">
        <f>IF(Table1[[#This Row],[Data de Início]]="","",YEAR(Table1[[#This Row],[Data de Início]]))</f>
        <v/>
      </c>
      <c r="BB1347" s="270" t="str">
        <f>IF(Table1[[#This Row],[Data de Início]]="","",MONTH(Table1[[#This Row],[Data de Início]]))</f>
        <v/>
      </c>
      <c r="BC1347" s="483"/>
    </row>
    <row r="1348" spans="2:55" x14ac:dyDescent="0.25">
      <c r="B1348" s="470"/>
      <c r="C1348" s="263"/>
      <c r="D1348" s="477" cm="1">
        <f t="array" ref="D1348">IFERROR(HorasUteisFabrica2Turnos(B1348,C1348), "")</f>
        <v>0</v>
      </c>
      <c r="E1348" s="478" t="str">
        <f t="shared" si="21"/>
        <v/>
      </c>
      <c r="F1348" s="266"/>
      <c r="G1348" s="656"/>
      <c r="H1348" s="479"/>
      <c r="I1348" s="268"/>
      <c r="J1348" s="268"/>
      <c r="K1348" s="268"/>
      <c r="L1348" s="269"/>
      <c r="M1348" s="511" t="str">
        <f>IFERROR(INDEX([1]Produtos!$C:$C,MATCH(L1348,[1]Produtos!$B:$B,0)), "-")</f>
        <v>-</v>
      </c>
      <c r="N1348" s="511" t="str">
        <f>IFERROR(INDEX([1]Produtos!$E:$E,MATCH(L1348,[1]Produtos!$B:$B,0)), "-")</f>
        <v>-</v>
      </c>
      <c r="O1348" s="483" t="str">
        <f>IFERROR(INDEX([1]Produtos!$F:$F,MATCH(L1348,[1]Produtos!$B:$B,0)), "-")</f>
        <v>-</v>
      </c>
      <c r="P1348" s="477" t="str">
        <f>IFERROR(INDEX([1]Produtos!$G:$G,MATCH(L1348,[1]Produtos!$B:$B,0)), "-")</f>
        <v>-</v>
      </c>
      <c r="Q1348" s="483" t="str">
        <f>IFERROR(INDEX([1]Produtos!$H:$H,MATCH(L1348,[1]Produtos!$B:$B,0)), "-")</f>
        <v>-</v>
      </c>
      <c r="R1348" s="483" t="str">
        <f>IFERROR(INDEX([1]Produtos!$I:$I,MATCH(L1348,[1]Produtos!$B:$B,0)), "-")</f>
        <v>-</v>
      </c>
      <c r="S1348" s="483" t="str">
        <f>IFERROR(INDEX([1]Produtos!$J:$J,MATCH(L1348,[1]Produtos!$B:$B,0)), "-")</f>
        <v>-</v>
      </c>
      <c r="T1348" s="484"/>
      <c r="U1348" s="483"/>
      <c r="V1348" s="483"/>
      <c r="W1348" s="483"/>
      <c r="X1348" s="483"/>
      <c r="Y1348" s="483"/>
      <c r="Z1348" s="483"/>
      <c r="AA1348" s="483"/>
      <c r="AB1348" s="483"/>
      <c r="AC1348" s="483"/>
      <c r="AD1348" s="483"/>
      <c r="AE1348" s="483"/>
      <c r="AF1348" s="483"/>
      <c r="AG1348" s="483"/>
      <c r="AH1348" s="483"/>
      <c r="AI1348" s="483"/>
      <c r="AJ1348" s="483"/>
      <c r="AK1348" s="483"/>
      <c r="AL1348" s="483"/>
      <c r="AM1348" s="670"/>
      <c r="AN1348" s="670"/>
      <c r="AO1348" s="711" t="str">
        <f>IF(OR(Table1[[#This Row],[Início Setup Envase]]="",Table1[[#This Row],[Final Setup Envase]]=""),"",Table1[[#This Row],[Final Setup Envase]]-Table1[[#This Row],[Início Setup Envase]])</f>
        <v/>
      </c>
      <c r="AP1348" s="670"/>
      <c r="AQ1348" s="670"/>
      <c r="AR1348" s="483"/>
      <c r="AS1348" s="483"/>
      <c r="AT1348" s="483"/>
      <c r="AU1348" s="483"/>
      <c r="AV1348" s="483"/>
      <c r="AW1348" s="483"/>
      <c r="AX1348" s="483"/>
      <c r="AY1348" s="270"/>
      <c r="AZ1348" s="270"/>
      <c r="BA1348" s="270" t="str">
        <f>IF(Table1[[#This Row],[Data de Início]]="","",YEAR(Table1[[#This Row],[Data de Início]]))</f>
        <v/>
      </c>
      <c r="BB1348" s="270" t="str">
        <f>IF(Table1[[#This Row],[Data de Início]]="","",MONTH(Table1[[#This Row],[Data de Início]]))</f>
        <v/>
      </c>
      <c r="BC1348" s="270"/>
    </row>
    <row r="1349" spans="2:55" x14ac:dyDescent="0.25">
      <c r="B1349" s="470"/>
      <c r="C1349" s="263"/>
      <c r="D1349" s="477" cm="1">
        <f t="array" ref="D1349">IFERROR(HorasUteisFabrica2Turnos(B1349,C1349), "")</f>
        <v>0</v>
      </c>
      <c r="E1349" s="697" t="str">
        <f t="shared" si="21"/>
        <v/>
      </c>
      <c r="F1349" s="266"/>
      <c r="G1349" s="698"/>
      <c r="H1349" s="266"/>
      <c r="I1349" s="268"/>
      <c r="J1349" s="268"/>
      <c r="K1349" s="268"/>
      <c r="L1349" s="269"/>
      <c r="M1349" s="510" t="str">
        <f>IFERROR(INDEX([1]Produtos!$C:$C,MATCH(L1349,[1]Produtos!$B:$B,0)), "-")</f>
        <v>-</v>
      </c>
      <c r="N1349" s="510" t="str">
        <f>IFERROR(INDEX([1]Produtos!$E:$E,MATCH(L1349,[1]Produtos!$B:$B,0)), "-")</f>
        <v>-</v>
      </c>
      <c r="O1349" s="270" t="str">
        <f>IFERROR(INDEX([1]Produtos!$F:$F,MATCH(L1349,[1]Produtos!$B:$B,0)), "-")</f>
        <v>-</v>
      </c>
      <c r="P1349" s="264" t="str">
        <f>IFERROR(INDEX([1]Produtos!$G:$G,MATCH(L1349,[1]Produtos!$B:$B,0)), "-")</f>
        <v>-</v>
      </c>
      <c r="Q1349" s="270" t="str">
        <f>IFERROR(INDEX([1]Produtos!$H:$H,MATCH(L1349,[1]Produtos!$B:$B,0)), "-")</f>
        <v>-</v>
      </c>
      <c r="R1349" s="270" t="str">
        <f>IFERROR(INDEX([1]Produtos!$I:$I,MATCH(L1349,[1]Produtos!$B:$B,0)), "-")</f>
        <v>-</v>
      </c>
      <c r="S1349" s="270" t="str">
        <f>IFERROR(INDEX([1]Produtos!$J:$J,MATCH(L1349,[1]Produtos!$B:$B,0)), "-")</f>
        <v>-</v>
      </c>
      <c r="T1349" s="475"/>
      <c r="U1349" s="270"/>
      <c r="V1349" s="270"/>
      <c r="W1349" s="270"/>
      <c r="X1349" s="270"/>
      <c r="Y1349" s="270"/>
      <c r="Z1349" s="270"/>
      <c r="AA1349" s="270"/>
      <c r="AB1349" s="270"/>
      <c r="AC1349" s="270"/>
      <c r="AD1349" s="270"/>
      <c r="AE1349" s="270"/>
      <c r="AF1349" s="270"/>
      <c r="AG1349" s="270"/>
      <c r="AH1349" s="270"/>
      <c r="AI1349" s="270"/>
      <c r="AJ1349" s="270"/>
      <c r="AK1349" s="270"/>
      <c r="AL1349" s="270"/>
      <c r="AM1349" s="663"/>
      <c r="AN1349" s="663"/>
      <c r="AO1349" s="708" t="str">
        <f>IF(OR(Table1[[#This Row],[Início Setup Envase]]="",Table1[[#This Row],[Final Setup Envase]]=""),"",Table1[[#This Row],[Final Setup Envase]]-Table1[[#This Row],[Início Setup Envase]])</f>
        <v/>
      </c>
      <c r="AP1349" s="663"/>
      <c r="AQ1349" s="663"/>
      <c r="AR1349" s="270"/>
      <c r="AS1349" s="674"/>
      <c r="AT1349" s="674"/>
      <c r="AU1349" s="270"/>
      <c r="AV1349" s="270"/>
      <c r="AW1349" s="270"/>
      <c r="AX1349" s="270"/>
      <c r="AY1349" s="270"/>
      <c r="AZ1349" s="270"/>
      <c r="BA1349" s="270" t="str">
        <f>IF(Table1[[#This Row],[Data de Início]]="","",YEAR(Table1[[#This Row],[Data de Início]]))</f>
        <v/>
      </c>
      <c r="BB1349" s="270" t="str">
        <f>IF(Table1[[#This Row],[Data de Início]]="","",MONTH(Table1[[#This Row],[Data de Início]]))</f>
        <v/>
      </c>
      <c r="BC1349" s="483"/>
    </row>
    <row r="1350" spans="2:55" x14ac:dyDescent="0.25">
      <c r="B1350" s="470"/>
      <c r="C1350" s="263"/>
      <c r="D1350" s="477" cm="1">
        <f t="array" ref="D1350">IFERROR(HorasUteisFabrica2Turnos(B1350,C1350), "")</f>
        <v>0</v>
      </c>
      <c r="E1350" s="478" t="str">
        <f t="shared" si="21"/>
        <v/>
      </c>
      <c r="F1350" s="266"/>
      <c r="G1350" s="656"/>
      <c r="H1350" s="479"/>
      <c r="I1350" s="268"/>
      <c r="J1350" s="268"/>
      <c r="K1350" s="268"/>
      <c r="L1350" s="269"/>
      <c r="M1350" s="511" t="str">
        <f>IFERROR(INDEX([1]Produtos!$C:$C,MATCH(L1350,[1]Produtos!$B:$B,0)), "-")</f>
        <v>-</v>
      </c>
      <c r="N1350" s="511" t="str">
        <f>IFERROR(INDEX([1]Produtos!$E:$E,MATCH(L1350,[1]Produtos!$B:$B,0)), "-")</f>
        <v>-</v>
      </c>
      <c r="O1350" s="483" t="str">
        <f>IFERROR(INDEX([1]Produtos!$F:$F,MATCH(L1350,[1]Produtos!$B:$B,0)), "-")</f>
        <v>-</v>
      </c>
      <c r="P1350" s="477" t="str">
        <f>IFERROR(INDEX([1]Produtos!$G:$G,MATCH(L1350,[1]Produtos!$B:$B,0)), "-")</f>
        <v>-</v>
      </c>
      <c r="Q1350" s="483" t="str">
        <f>IFERROR(INDEX([1]Produtos!$H:$H,MATCH(L1350,[1]Produtos!$B:$B,0)), "-")</f>
        <v>-</v>
      </c>
      <c r="R1350" s="483" t="str">
        <f>IFERROR(INDEX([1]Produtos!$I:$I,MATCH(L1350,[1]Produtos!$B:$B,0)), "-")</f>
        <v>-</v>
      </c>
      <c r="S1350" s="483" t="str">
        <f>IFERROR(INDEX([1]Produtos!$J:$J,MATCH(L1350,[1]Produtos!$B:$B,0)), "-")</f>
        <v>-</v>
      </c>
      <c r="T1350" s="484"/>
      <c r="U1350" s="483"/>
      <c r="V1350" s="483"/>
      <c r="W1350" s="483"/>
      <c r="X1350" s="483"/>
      <c r="Y1350" s="483"/>
      <c r="Z1350" s="483"/>
      <c r="AA1350" s="483"/>
      <c r="AB1350" s="483"/>
      <c r="AC1350" s="483"/>
      <c r="AD1350" s="483"/>
      <c r="AE1350" s="483"/>
      <c r="AF1350" s="483"/>
      <c r="AG1350" s="483"/>
      <c r="AH1350" s="483"/>
      <c r="AI1350" s="483"/>
      <c r="AJ1350" s="483"/>
      <c r="AK1350" s="483"/>
      <c r="AL1350" s="483"/>
      <c r="AM1350" s="670"/>
      <c r="AN1350" s="670"/>
      <c r="AO1350" s="711" t="str">
        <f>IF(OR(Table1[[#This Row],[Início Setup Envase]]="",Table1[[#This Row],[Final Setup Envase]]=""),"",Table1[[#This Row],[Final Setup Envase]]-Table1[[#This Row],[Início Setup Envase]])</f>
        <v/>
      </c>
      <c r="AP1350" s="670"/>
      <c r="AQ1350" s="670"/>
      <c r="AR1350" s="483"/>
      <c r="AS1350" s="483"/>
      <c r="AT1350" s="483"/>
      <c r="AU1350" s="483"/>
      <c r="AV1350" s="483"/>
      <c r="AW1350" s="483"/>
      <c r="AX1350" s="483"/>
      <c r="AY1350" s="270"/>
      <c r="AZ1350" s="270"/>
      <c r="BA1350" s="270" t="str">
        <f>IF(Table1[[#This Row],[Data de Início]]="","",YEAR(Table1[[#This Row],[Data de Início]]))</f>
        <v/>
      </c>
      <c r="BB1350" s="270" t="str">
        <f>IF(Table1[[#This Row],[Data de Início]]="","",MONTH(Table1[[#This Row],[Data de Início]]))</f>
        <v/>
      </c>
      <c r="BC1350" s="270"/>
    </row>
    <row r="1351" spans="2:55" x14ac:dyDescent="0.25">
      <c r="B1351" s="470"/>
      <c r="C1351" s="263"/>
      <c r="D1351" s="477" cm="1">
        <f t="array" ref="D1351">IFERROR(HorasUteisFabrica2Turnos(B1351,C1351), "")</f>
        <v>0</v>
      </c>
      <c r="E1351" s="697" t="str">
        <f t="shared" si="21"/>
        <v/>
      </c>
      <c r="F1351" s="266"/>
      <c r="G1351" s="698"/>
      <c r="H1351" s="266"/>
      <c r="I1351" s="268"/>
      <c r="J1351" s="268"/>
      <c r="K1351" s="268"/>
      <c r="L1351" s="269"/>
      <c r="M1351" s="510" t="str">
        <f>IFERROR(INDEX([1]Produtos!$C:$C,MATCH(L1351,[1]Produtos!$B:$B,0)), "-")</f>
        <v>-</v>
      </c>
      <c r="N1351" s="510" t="str">
        <f>IFERROR(INDEX([1]Produtos!$E:$E,MATCH(L1351,[1]Produtos!$B:$B,0)), "-")</f>
        <v>-</v>
      </c>
      <c r="O1351" s="270" t="str">
        <f>IFERROR(INDEX([1]Produtos!$F:$F,MATCH(L1351,[1]Produtos!$B:$B,0)), "-")</f>
        <v>-</v>
      </c>
      <c r="P1351" s="264" t="str">
        <f>IFERROR(INDEX([1]Produtos!$G:$G,MATCH(L1351,[1]Produtos!$B:$B,0)), "-")</f>
        <v>-</v>
      </c>
      <c r="Q1351" s="270" t="str">
        <f>IFERROR(INDEX([1]Produtos!$H:$H,MATCH(L1351,[1]Produtos!$B:$B,0)), "-")</f>
        <v>-</v>
      </c>
      <c r="R1351" s="270" t="str">
        <f>IFERROR(INDEX([1]Produtos!$I:$I,MATCH(L1351,[1]Produtos!$B:$B,0)), "-")</f>
        <v>-</v>
      </c>
      <c r="S1351" s="270" t="str">
        <f>IFERROR(INDEX([1]Produtos!$J:$J,MATCH(L1351,[1]Produtos!$B:$B,0)), "-")</f>
        <v>-</v>
      </c>
      <c r="T1351" s="475"/>
      <c r="U1351" s="270"/>
      <c r="V1351" s="270"/>
      <c r="W1351" s="270"/>
      <c r="X1351" s="270"/>
      <c r="Y1351" s="270"/>
      <c r="Z1351" s="270"/>
      <c r="AA1351" s="270"/>
      <c r="AB1351" s="270"/>
      <c r="AC1351" s="270"/>
      <c r="AD1351" s="270"/>
      <c r="AE1351" s="270"/>
      <c r="AF1351" s="270"/>
      <c r="AG1351" s="270"/>
      <c r="AH1351" s="270"/>
      <c r="AI1351" s="270"/>
      <c r="AJ1351" s="270"/>
      <c r="AK1351" s="270"/>
      <c r="AL1351" s="270"/>
      <c r="AM1351" s="663"/>
      <c r="AN1351" s="663"/>
      <c r="AO1351" s="708" t="str">
        <f>IF(OR(Table1[[#This Row],[Início Setup Envase]]="",Table1[[#This Row],[Final Setup Envase]]=""),"",Table1[[#This Row],[Final Setup Envase]]-Table1[[#This Row],[Início Setup Envase]])</f>
        <v/>
      </c>
      <c r="AP1351" s="663"/>
      <c r="AQ1351" s="663"/>
      <c r="AR1351" s="270"/>
      <c r="AS1351" s="674"/>
      <c r="AT1351" s="674"/>
      <c r="AU1351" s="270"/>
      <c r="AV1351" s="270"/>
      <c r="AW1351" s="270"/>
      <c r="AX1351" s="270"/>
      <c r="AY1351" s="270"/>
      <c r="AZ1351" s="270"/>
      <c r="BA1351" s="270" t="str">
        <f>IF(Table1[[#This Row],[Data de Início]]="","",YEAR(Table1[[#This Row],[Data de Início]]))</f>
        <v/>
      </c>
      <c r="BB1351" s="270" t="str">
        <f>IF(Table1[[#This Row],[Data de Início]]="","",MONTH(Table1[[#This Row],[Data de Início]]))</f>
        <v/>
      </c>
      <c r="BC1351" s="483"/>
    </row>
    <row r="1352" spans="2:55" x14ac:dyDescent="0.25">
      <c r="B1352" s="470"/>
      <c r="C1352" s="263"/>
      <c r="D1352" s="477" cm="1">
        <f t="array" ref="D1352">IFERROR(HorasUteisFabrica2Turnos(B1352,C1352), "")</f>
        <v>0</v>
      </c>
      <c r="E1352" s="478" t="str">
        <f t="shared" si="21"/>
        <v/>
      </c>
      <c r="F1352" s="266"/>
      <c r="G1352" s="656"/>
      <c r="H1352" s="479"/>
      <c r="I1352" s="268"/>
      <c r="J1352" s="268"/>
      <c r="K1352" s="268"/>
      <c r="L1352" s="269"/>
      <c r="M1352" s="511" t="str">
        <f>IFERROR(INDEX([1]Produtos!$C:$C,MATCH(L1352,[1]Produtos!$B:$B,0)), "-")</f>
        <v>-</v>
      </c>
      <c r="N1352" s="511" t="str">
        <f>IFERROR(INDEX([1]Produtos!$E:$E,MATCH(L1352,[1]Produtos!$B:$B,0)), "-")</f>
        <v>-</v>
      </c>
      <c r="O1352" s="483" t="str">
        <f>IFERROR(INDEX([1]Produtos!$F:$F,MATCH(L1352,[1]Produtos!$B:$B,0)), "-")</f>
        <v>-</v>
      </c>
      <c r="P1352" s="477" t="str">
        <f>IFERROR(INDEX([1]Produtos!$G:$G,MATCH(L1352,[1]Produtos!$B:$B,0)), "-")</f>
        <v>-</v>
      </c>
      <c r="Q1352" s="483" t="str">
        <f>IFERROR(INDEX([1]Produtos!$H:$H,MATCH(L1352,[1]Produtos!$B:$B,0)), "-")</f>
        <v>-</v>
      </c>
      <c r="R1352" s="483" t="str">
        <f>IFERROR(INDEX([1]Produtos!$I:$I,MATCH(L1352,[1]Produtos!$B:$B,0)), "-")</f>
        <v>-</v>
      </c>
      <c r="S1352" s="483" t="str">
        <f>IFERROR(INDEX([1]Produtos!$J:$J,MATCH(L1352,[1]Produtos!$B:$B,0)), "-")</f>
        <v>-</v>
      </c>
      <c r="T1352" s="484"/>
      <c r="U1352" s="483"/>
      <c r="V1352" s="483"/>
      <c r="W1352" s="483"/>
      <c r="X1352" s="483"/>
      <c r="Y1352" s="483"/>
      <c r="Z1352" s="483"/>
      <c r="AA1352" s="483"/>
      <c r="AB1352" s="483"/>
      <c r="AC1352" s="483"/>
      <c r="AD1352" s="483"/>
      <c r="AE1352" s="483"/>
      <c r="AF1352" s="483"/>
      <c r="AG1352" s="483"/>
      <c r="AH1352" s="483"/>
      <c r="AI1352" s="483"/>
      <c r="AJ1352" s="483"/>
      <c r="AK1352" s="483"/>
      <c r="AL1352" s="483"/>
      <c r="AM1352" s="670"/>
      <c r="AN1352" s="670"/>
      <c r="AO1352" s="711" t="str">
        <f>IF(OR(Table1[[#This Row],[Início Setup Envase]]="",Table1[[#This Row],[Final Setup Envase]]=""),"",Table1[[#This Row],[Final Setup Envase]]-Table1[[#This Row],[Início Setup Envase]])</f>
        <v/>
      </c>
      <c r="AP1352" s="670"/>
      <c r="AQ1352" s="670"/>
      <c r="AR1352" s="483"/>
      <c r="AS1352" s="483"/>
      <c r="AT1352" s="483"/>
      <c r="AU1352" s="483"/>
      <c r="AV1352" s="483"/>
      <c r="AW1352" s="483"/>
      <c r="AX1352" s="483"/>
      <c r="AY1352" s="270"/>
      <c r="AZ1352" s="270"/>
      <c r="BA1352" s="270" t="str">
        <f>IF(Table1[[#This Row],[Data de Início]]="","",YEAR(Table1[[#This Row],[Data de Início]]))</f>
        <v/>
      </c>
      <c r="BB1352" s="270" t="str">
        <f>IF(Table1[[#This Row],[Data de Início]]="","",MONTH(Table1[[#This Row],[Data de Início]]))</f>
        <v/>
      </c>
      <c r="BC1352" s="270"/>
    </row>
    <row r="1353" spans="2:55" x14ac:dyDescent="0.25">
      <c r="B1353" s="470"/>
      <c r="C1353" s="263"/>
      <c r="D1353" s="477" cm="1">
        <f t="array" ref="D1353">IFERROR(HorasUteisFabrica2Turnos(B1353,C1353), "")</f>
        <v>0</v>
      </c>
      <c r="E1353" s="697" t="str">
        <f t="shared" si="21"/>
        <v/>
      </c>
      <c r="F1353" s="266"/>
      <c r="G1353" s="698"/>
      <c r="H1353" s="266"/>
      <c r="I1353" s="268"/>
      <c r="J1353" s="268"/>
      <c r="K1353" s="268"/>
      <c r="L1353" s="269"/>
      <c r="M1353" s="510" t="str">
        <f>IFERROR(INDEX([1]Produtos!$C:$C,MATCH(L1353,[1]Produtos!$B:$B,0)), "-")</f>
        <v>-</v>
      </c>
      <c r="N1353" s="510" t="str">
        <f>IFERROR(INDEX([1]Produtos!$E:$E,MATCH(L1353,[1]Produtos!$B:$B,0)), "-")</f>
        <v>-</v>
      </c>
      <c r="O1353" s="270" t="str">
        <f>IFERROR(INDEX([1]Produtos!$F:$F,MATCH(L1353,[1]Produtos!$B:$B,0)), "-")</f>
        <v>-</v>
      </c>
      <c r="P1353" s="264" t="str">
        <f>IFERROR(INDEX([1]Produtos!$G:$G,MATCH(L1353,[1]Produtos!$B:$B,0)), "-")</f>
        <v>-</v>
      </c>
      <c r="Q1353" s="270" t="str">
        <f>IFERROR(INDEX([1]Produtos!$H:$H,MATCH(L1353,[1]Produtos!$B:$B,0)), "-")</f>
        <v>-</v>
      </c>
      <c r="R1353" s="270" t="str">
        <f>IFERROR(INDEX([1]Produtos!$I:$I,MATCH(L1353,[1]Produtos!$B:$B,0)), "-")</f>
        <v>-</v>
      </c>
      <c r="S1353" s="270" t="str">
        <f>IFERROR(INDEX([1]Produtos!$J:$J,MATCH(L1353,[1]Produtos!$B:$B,0)), "-")</f>
        <v>-</v>
      </c>
      <c r="T1353" s="475"/>
      <c r="U1353" s="270"/>
      <c r="V1353" s="270"/>
      <c r="W1353" s="270"/>
      <c r="X1353" s="270"/>
      <c r="Y1353" s="270"/>
      <c r="Z1353" s="270"/>
      <c r="AA1353" s="270"/>
      <c r="AB1353" s="270"/>
      <c r="AC1353" s="270"/>
      <c r="AD1353" s="270"/>
      <c r="AE1353" s="270"/>
      <c r="AF1353" s="270"/>
      <c r="AG1353" s="270"/>
      <c r="AH1353" s="270"/>
      <c r="AI1353" s="270"/>
      <c r="AJ1353" s="270"/>
      <c r="AK1353" s="270"/>
      <c r="AL1353" s="270"/>
      <c r="AM1353" s="663"/>
      <c r="AN1353" s="663"/>
      <c r="AO1353" s="708" t="str">
        <f>IF(OR(Table1[[#This Row],[Início Setup Envase]]="",Table1[[#This Row],[Final Setup Envase]]=""),"",Table1[[#This Row],[Final Setup Envase]]-Table1[[#This Row],[Início Setup Envase]])</f>
        <v/>
      </c>
      <c r="AP1353" s="663"/>
      <c r="AQ1353" s="663"/>
      <c r="AR1353" s="270"/>
      <c r="AS1353" s="674"/>
      <c r="AT1353" s="674"/>
      <c r="AU1353" s="270"/>
      <c r="AV1353" s="270"/>
      <c r="AW1353" s="270"/>
      <c r="AX1353" s="270"/>
      <c r="AY1353" s="270"/>
      <c r="AZ1353" s="270"/>
      <c r="BA1353" s="270" t="str">
        <f>IF(Table1[[#This Row],[Data de Início]]="","",YEAR(Table1[[#This Row],[Data de Início]]))</f>
        <v/>
      </c>
      <c r="BB1353" s="270" t="str">
        <f>IF(Table1[[#This Row],[Data de Início]]="","",MONTH(Table1[[#This Row],[Data de Início]]))</f>
        <v/>
      </c>
      <c r="BC1353" s="483"/>
    </row>
    <row r="1354" spans="2:55" x14ac:dyDescent="0.25">
      <c r="B1354" s="470"/>
      <c r="C1354" s="263"/>
      <c r="D1354" s="477" cm="1">
        <f t="array" ref="D1354">IFERROR(HorasUteisFabrica2Turnos(B1354,C1354), "")</f>
        <v>0</v>
      </c>
      <c r="E1354" s="478" t="str">
        <f t="shared" si="21"/>
        <v/>
      </c>
      <c r="F1354" s="266"/>
      <c r="G1354" s="656"/>
      <c r="H1354" s="479"/>
      <c r="I1354" s="268"/>
      <c r="J1354" s="268"/>
      <c r="K1354" s="268"/>
      <c r="L1354" s="269"/>
      <c r="M1354" s="511" t="str">
        <f>IFERROR(INDEX([1]Produtos!$C:$C,MATCH(L1354,[1]Produtos!$B:$B,0)), "-")</f>
        <v>-</v>
      </c>
      <c r="N1354" s="511" t="str">
        <f>IFERROR(INDEX([1]Produtos!$E:$E,MATCH(L1354,[1]Produtos!$B:$B,0)), "-")</f>
        <v>-</v>
      </c>
      <c r="O1354" s="483" t="str">
        <f>IFERROR(INDEX([1]Produtos!$F:$F,MATCH(L1354,[1]Produtos!$B:$B,0)), "-")</f>
        <v>-</v>
      </c>
      <c r="P1354" s="477" t="str">
        <f>IFERROR(INDEX([1]Produtos!$G:$G,MATCH(L1354,[1]Produtos!$B:$B,0)), "-")</f>
        <v>-</v>
      </c>
      <c r="Q1354" s="483" t="str">
        <f>IFERROR(INDEX([1]Produtos!$H:$H,MATCH(L1354,[1]Produtos!$B:$B,0)), "-")</f>
        <v>-</v>
      </c>
      <c r="R1354" s="483" t="str">
        <f>IFERROR(INDEX([1]Produtos!$I:$I,MATCH(L1354,[1]Produtos!$B:$B,0)), "-")</f>
        <v>-</v>
      </c>
      <c r="S1354" s="483" t="str">
        <f>IFERROR(INDEX([1]Produtos!$J:$J,MATCH(L1354,[1]Produtos!$B:$B,0)), "-")</f>
        <v>-</v>
      </c>
      <c r="T1354" s="484"/>
      <c r="U1354" s="483"/>
      <c r="V1354" s="483"/>
      <c r="W1354" s="483"/>
      <c r="X1354" s="483"/>
      <c r="Y1354" s="483"/>
      <c r="Z1354" s="483"/>
      <c r="AA1354" s="483"/>
      <c r="AB1354" s="483"/>
      <c r="AC1354" s="483"/>
      <c r="AD1354" s="483"/>
      <c r="AE1354" s="483"/>
      <c r="AF1354" s="483"/>
      <c r="AG1354" s="483"/>
      <c r="AH1354" s="483"/>
      <c r="AI1354" s="483"/>
      <c r="AJ1354" s="483"/>
      <c r="AK1354" s="483"/>
      <c r="AL1354" s="483"/>
      <c r="AM1354" s="670"/>
      <c r="AN1354" s="670"/>
      <c r="AO1354" s="711" t="str">
        <f>IF(OR(Table1[[#This Row],[Início Setup Envase]]="",Table1[[#This Row],[Final Setup Envase]]=""),"",Table1[[#This Row],[Final Setup Envase]]-Table1[[#This Row],[Início Setup Envase]])</f>
        <v/>
      </c>
      <c r="AP1354" s="670"/>
      <c r="AQ1354" s="670"/>
      <c r="AR1354" s="483"/>
      <c r="AS1354" s="483"/>
      <c r="AT1354" s="483"/>
      <c r="AU1354" s="483"/>
      <c r="AV1354" s="483"/>
      <c r="AW1354" s="483"/>
      <c r="AX1354" s="483"/>
      <c r="AY1354" s="270"/>
      <c r="AZ1354" s="270"/>
      <c r="BA1354" s="270" t="str">
        <f>IF(Table1[[#This Row],[Data de Início]]="","",YEAR(Table1[[#This Row],[Data de Início]]))</f>
        <v/>
      </c>
      <c r="BB1354" s="270" t="str">
        <f>IF(Table1[[#This Row],[Data de Início]]="","",MONTH(Table1[[#This Row],[Data de Início]]))</f>
        <v/>
      </c>
      <c r="BC1354" s="270"/>
    </row>
    <row r="1355" spans="2:55" x14ac:dyDescent="0.25">
      <c r="B1355" s="470"/>
      <c r="C1355" s="263"/>
      <c r="D1355" s="477" cm="1">
        <f t="array" ref="D1355">IFERROR(HorasUteisFabrica2Turnos(B1355,C1355), "")</f>
        <v>0</v>
      </c>
      <c r="E1355" s="697" t="str">
        <f t="shared" si="21"/>
        <v/>
      </c>
      <c r="F1355" s="266"/>
      <c r="G1355" s="698"/>
      <c r="H1355" s="266"/>
      <c r="I1355" s="268"/>
      <c r="J1355" s="268"/>
      <c r="K1355" s="268"/>
      <c r="L1355" s="269"/>
      <c r="M1355" s="510" t="str">
        <f>IFERROR(INDEX([1]Produtos!$C:$C,MATCH(L1355,[1]Produtos!$B:$B,0)), "-")</f>
        <v>-</v>
      </c>
      <c r="N1355" s="510" t="str">
        <f>IFERROR(INDEX([1]Produtos!$E:$E,MATCH(L1355,[1]Produtos!$B:$B,0)), "-")</f>
        <v>-</v>
      </c>
      <c r="O1355" s="270" t="str">
        <f>IFERROR(INDEX([1]Produtos!$F:$F,MATCH(L1355,[1]Produtos!$B:$B,0)), "-")</f>
        <v>-</v>
      </c>
      <c r="P1355" s="264" t="str">
        <f>IFERROR(INDEX([1]Produtos!$G:$G,MATCH(L1355,[1]Produtos!$B:$B,0)), "-")</f>
        <v>-</v>
      </c>
      <c r="Q1355" s="270" t="str">
        <f>IFERROR(INDEX([1]Produtos!$H:$H,MATCH(L1355,[1]Produtos!$B:$B,0)), "-")</f>
        <v>-</v>
      </c>
      <c r="R1355" s="270" t="str">
        <f>IFERROR(INDEX([1]Produtos!$I:$I,MATCH(L1355,[1]Produtos!$B:$B,0)), "-")</f>
        <v>-</v>
      </c>
      <c r="S1355" s="270" t="str">
        <f>IFERROR(INDEX([1]Produtos!$J:$J,MATCH(L1355,[1]Produtos!$B:$B,0)), "-")</f>
        <v>-</v>
      </c>
      <c r="T1355" s="475"/>
      <c r="U1355" s="270"/>
      <c r="V1355" s="270"/>
      <c r="W1355" s="270"/>
      <c r="X1355" s="270"/>
      <c r="Y1355" s="270"/>
      <c r="Z1355" s="270"/>
      <c r="AA1355" s="270"/>
      <c r="AB1355" s="270"/>
      <c r="AC1355" s="270"/>
      <c r="AD1355" s="270"/>
      <c r="AE1355" s="270"/>
      <c r="AF1355" s="270"/>
      <c r="AG1355" s="270"/>
      <c r="AH1355" s="270"/>
      <c r="AI1355" s="270"/>
      <c r="AJ1355" s="270"/>
      <c r="AK1355" s="270"/>
      <c r="AL1355" s="270"/>
      <c r="AM1355" s="663"/>
      <c r="AN1355" s="663"/>
      <c r="AO1355" s="708" t="str">
        <f>IF(OR(Table1[[#This Row],[Início Setup Envase]]="",Table1[[#This Row],[Final Setup Envase]]=""),"",Table1[[#This Row],[Final Setup Envase]]-Table1[[#This Row],[Início Setup Envase]])</f>
        <v/>
      </c>
      <c r="AP1355" s="663"/>
      <c r="AQ1355" s="663"/>
      <c r="AR1355" s="270"/>
      <c r="AS1355" s="674"/>
      <c r="AT1355" s="674"/>
      <c r="AU1355" s="270"/>
      <c r="AV1355" s="270"/>
      <c r="AW1355" s="270"/>
      <c r="AX1355" s="270"/>
      <c r="AY1355" s="270"/>
      <c r="AZ1355" s="270"/>
      <c r="BA1355" s="270" t="str">
        <f>IF(Table1[[#This Row],[Data de Início]]="","",YEAR(Table1[[#This Row],[Data de Início]]))</f>
        <v/>
      </c>
      <c r="BB1355" s="270" t="str">
        <f>IF(Table1[[#This Row],[Data de Início]]="","",MONTH(Table1[[#This Row],[Data de Início]]))</f>
        <v/>
      </c>
      <c r="BC1355" s="483"/>
    </row>
    <row r="1356" spans="2:55" x14ac:dyDescent="0.25">
      <c r="B1356" s="470"/>
      <c r="C1356" s="263"/>
      <c r="D1356" s="477" cm="1">
        <f t="array" ref="D1356">IFERROR(HorasUteisFabrica2Turnos(B1356,C1356), "")</f>
        <v>0</v>
      </c>
      <c r="E1356" s="478" t="str">
        <f t="shared" si="21"/>
        <v/>
      </c>
      <c r="F1356" s="266"/>
      <c r="G1356" s="656"/>
      <c r="H1356" s="479"/>
      <c r="I1356" s="268"/>
      <c r="J1356" s="268"/>
      <c r="K1356" s="268"/>
      <c r="L1356" s="269"/>
      <c r="M1356" s="511" t="str">
        <f>IFERROR(INDEX([1]Produtos!$C:$C,MATCH(L1356,[1]Produtos!$B:$B,0)), "-")</f>
        <v>-</v>
      </c>
      <c r="N1356" s="511" t="str">
        <f>IFERROR(INDEX([1]Produtos!$E:$E,MATCH(L1356,[1]Produtos!$B:$B,0)), "-")</f>
        <v>-</v>
      </c>
      <c r="O1356" s="483" t="str">
        <f>IFERROR(INDEX([1]Produtos!$F:$F,MATCH(L1356,[1]Produtos!$B:$B,0)), "-")</f>
        <v>-</v>
      </c>
      <c r="P1356" s="477" t="str">
        <f>IFERROR(INDEX([1]Produtos!$G:$G,MATCH(L1356,[1]Produtos!$B:$B,0)), "-")</f>
        <v>-</v>
      </c>
      <c r="Q1356" s="483" t="str">
        <f>IFERROR(INDEX([1]Produtos!$H:$H,MATCH(L1356,[1]Produtos!$B:$B,0)), "-")</f>
        <v>-</v>
      </c>
      <c r="R1356" s="483" t="str">
        <f>IFERROR(INDEX([1]Produtos!$I:$I,MATCH(L1356,[1]Produtos!$B:$B,0)), "-")</f>
        <v>-</v>
      </c>
      <c r="S1356" s="483" t="str">
        <f>IFERROR(INDEX([1]Produtos!$J:$J,MATCH(L1356,[1]Produtos!$B:$B,0)), "-")</f>
        <v>-</v>
      </c>
      <c r="T1356" s="484"/>
      <c r="U1356" s="483"/>
      <c r="V1356" s="483"/>
      <c r="W1356" s="483"/>
      <c r="X1356" s="483"/>
      <c r="Y1356" s="483"/>
      <c r="Z1356" s="483"/>
      <c r="AA1356" s="483"/>
      <c r="AB1356" s="483"/>
      <c r="AC1356" s="483"/>
      <c r="AD1356" s="483"/>
      <c r="AE1356" s="483"/>
      <c r="AF1356" s="483"/>
      <c r="AG1356" s="483"/>
      <c r="AH1356" s="483"/>
      <c r="AI1356" s="483"/>
      <c r="AJ1356" s="483"/>
      <c r="AK1356" s="483"/>
      <c r="AL1356" s="483"/>
      <c r="AM1356" s="670"/>
      <c r="AN1356" s="670"/>
      <c r="AO1356" s="711" t="str">
        <f>IF(OR(Table1[[#This Row],[Início Setup Envase]]="",Table1[[#This Row],[Final Setup Envase]]=""),"",Table1[[#This Row],[Final Setup Envase]]-Table1[[#This Row],[Início Setup Envase]])</f>
        <v/>
      </c>
      <c r="AP1356" s="670"/>
      <c r="AQ1356" s="670"/>
      <c r="AR1356" s="483"/>
      <c r="AS1356" s="483"/>
      <c r="AT1356" s="483"/>
      <c r="AU1356" s="483"/>
      <c r="AV1356" s="483"/>
      <c r="AW1356" s="483"/>
      <c r="AX1356" s="483"/>
      <c r="AY1356" s="270"/>
      <c r="AZ1356" s="270"/>
      <c r="BA1356" s="270" t="str">
        <f>IF(Table1[[#This Row],[Data de Início]]="","",YEAR(Table1[[#This Row],[Data de Início]]))</f>
        <v/>
      </c>
      <c r="BB1356" s="270" t="str">
        <f>IF(Table1[[#This Row],[Data de Início]]="","",MONTH(Table1[[#This Row],[Data de Início]]))</f>
        <v/>
      </c>
      <c r="BC1356" s="270"/>
    </row>
    <row r="1357" spans="2:55" x14ac:dyDescent="0.25">
      <c r="B1357" s="470"/>
      <c r="C1357" s="263"/>
      <c r="D1357" s="477" cm="1">
        <f t="array" ref="D1357">IFERROR(HorasUteisFabrica2Turnos(B1357,C1357), "")</f>
        <v>0</v>
      </c>
      <c r="E1357" s="697" t="str">
        <f t="shared" si="21"/>
        <v/>
      </c>
      <c r="F1357" s="266"/>
      <c r="G1357" s="698"/>
      <c r="H1357" s="266"/>
      <c r="I1357" s="268"/>
      <c r="J1357" s="268"/>
      <c r="K1357" s="268"/>
      <c r="L1357" s="269"/>
      <c r="M1357" s="510" t="str">
        <f>IFERROR(INDEX([1]Produtos!$C:$C,MATCH(L1357,[1]Produtos!$B:$B,0)), "-")</f>
        <v>-</v>
      </c>
      <c r="N1357" s="510" t="str">
        <f>IFERROR(INDEX([1]Produtos!$E:$E,MATCH(L1357,[1]Produtos!$B:$B,0)), "-")</f>
        <v>-</v>
      </c>
      <c r="O1357" s="270" t="str">
        <f>IFERROR(INDEX([1]Produtos!$F:$F,MATCH(L1357,[1]Produtos!$B:$B,0)), "-")</f>
        <v>-</v>
      </c>
      <c r="P1357" s="264" t="str">
        <f>IFERROR(INDEX([1]Produtos!$G:$G,MATCH(L1357,[1]Produtos!$B:$B,0)), "-")</f>
        <v>-</v>
      </c>
      <c r="Q1357" s="270" t="str">
        <f>IFERROR(INDEX([1]Produtos!$H:$H,MATCH(L1357,[1]Produtos!$B:$B,0)), "-")</f>
        <v>-</v>
      </c>
      <c r="R1357" s="270" t="str">
        <f>IFERROR(INDEX([1]Produtos!$I:$I,MATCH(L1357,[1]Produtos!$B:$B,0)), "-")</f>
        <v>-</v>
      </c>
      <c r="S1357" s="270" t="str">
        <f>IFERROR(INDEX([1]Produtos!$J:$J,MATCH(L1357,[1]Produtos!$B:$B,0)), "-")</f>
        <v>-</v>
      </c>
      <c r="T1357" s="475"/>
      <c r="U1357" s="270"/>
      <c r="V1357" s="270"/>
      <c r="W1357" s="270"/>
      <c r="X1357" s="270"/>
      <c r="Y1357" s="270"/>
      <c r="Z1357" s="270"/>
      <c r="AA1357" s="270"/>
      <c r="AB1357" s="270"/>
      <c r="AC1357" s="270"/>
      <c r="AD1357" s="270"/>
      <c r="AE1357" s="270"/>
      <c r="AF1357" s="270"/>
      <c r="AG1357" s="270"/>
      <c r="AH1357" s="270"/>
      <c r="AI1357" s="270"/>
      <c r="AJ1357" s="270"/>
      <c r="AK1357" s="270"/>
      <c r="AL1357" s="270"/>
      <c r="AM1357" s="663"/>
      <c r="AN1357" s="663"/>
      <c r="AO1357" s="708" t="str">
        <f>IF(OR(Table1[[#This Row],[Início Setup Envase]]="",Table1[[#This Row],[Final Setup Envase]]=""),"",Table1[[#This Row],[Final Setup Envase]]-Table1[[#This Row],[Início Setup Envase]])</f>
        <v/>
      </c>
      <c r="AP1357" s="663"/>
      <c r="AQ1357" s="663"/>
      <c r="AR1357" s="270"/>
      <c r="AS1357" s="674"/>
      <c r="AT1357" s="674"/>
      <c r="AU1357" s="270"/>
      <c r="AV1357" s="270"/>
      <c r="AW1357" s="270"/>
      <c r="AX1357" s="270"/>
      <c r="AY1357" s="270"/>
      <c r="AZ1357" s="270"/>
      <c r="BA1357" s="270" t="str">
        <f>IF(Table1[[#This Row],[Data de Início]]="","",YEAR(Table1[[#This Row],[Data de Início]]))</f>
        <v/>
      </c>
      <c r="BB1357" s="270" t="str">
        <f>IF(Table1[[#This Row],[Data de Início]]="","",MONTH(Table1[[#This Row],[Data de Início]]))</f>
        <v/>
      </c>
      <c r="BC1357" s="483"/>
    </row>
    <row r="1358" spans="2:55" x14ac:dyDescent="0.25">
      <c r="B1358" s="470"/>
      <c r="C1358" s="263"/>
      <c r="D1358" s="477" cm="1">
        <f t="array" ref="D1358">IFERROR(HorasUteisFabrica2Turnos(B1358,C1358), "")</f>
        <v>0</v>
      </c>
      <c r="E1358" s="478" t="str">
        <f t="shared" si="21"/>
        <v/>
      </c>
      <c r="F1358" s="266"/>
      <c r="G1358" s="656"/>
      <c r="H1358" s="479"/>
      <c r="I1358" s="268"/>
      <c r="J1358" s="268"/>
      <c r="K1358" s="268"/>
      <c r="L1358" s="269"/>
      <c r="M1358" s="511" t="str">
        <f>IFERROR(INDEX([1]Produtos!$C:$C,MATCH(L1358,[1]Produtos!$B:$B,0)), "-")</f>
        <v>-</v>
      </c>
      <c r="N1358" s="511" t="str">
        <f>IFERROR(INDEX([1]Produtos!$E:$E,MATCH(L1358,[1]Produtos!$B:$B,0)), "-")</f>
        <v>-</v>
      </c>
      <c r="O1358" s="483" t="str">
        <f>IFERROR(INDEX([1]Produtos!$F:$F,MATCH(L1358,[1]Produtos!$B:$B,0)), "-")</f>
        <v>-</v>
      </c>
      <c r="P1358" s="477" t="str">
        <f>IFERROR(INDEX([1]Produtos!$G:$G,MATCH(L1358,[1]Produtos!$B:$B,0)), "-")</f>
        <v>-</v>
      </c>
      <c r="Q1358" s="483" t="str">
        <f>IFERROR(INDEX([1]Produtos!$H:$H,MATCH(L1358,[1]Produtos!$B:$B,0)), "-")</f>
        <v>-</v>
      </c>
      <c r="R1358" s="483" t="str">
        <f>IFERROR(INDEX([1]Produtos!$I:$I,MATCH(L1358,[1]Produtos!$B:$B,0)), "-")</f>
        <v>-</v>
      </c>
      <c r="S1358" s="483" t="str">
        <f>IFERROR(INDEX([1]Produtos!$J:$J,MATCH(L1358,[1]Produtos!$B:$B,0)), "-")</f>
        <v>-</v>
      </c>
      <c r="T1358" s="484"/>
      <c r="U1358" s="483"/>
      <c r="V1358" s="483"/>
      <c r="W1358" s="483"/>
      <c r="X1358" s="483"/>
      <c r="Y1358" s="483"/>
      <c r="Z1358" s="483"/>
      <c r="AA1358" s="483"/>
      <c r="AB1358" s="483"/>
      <c r="AC1358" s="483"/>
      <c r="AD1358" s="483"/>
      <c r="AE1358" s="483"/>
      <c r="AF1358" s="483"/>
      <c r="AG1358" s="483"/>
      <c r="AH1358" s="483"/>
      <c r="AI1358" s="483"/>
      <c r="AJ1358" s="483"/>
      <c r="AK1358" s="483"/>
      <c r="AL1358" s="483"/>
      <c r="AM1358" s="670"/>
      <c r="AN1358" s="670"/>
      <c r="AO1358" s="711" t="str">
        <f>IF(OR(Table1[[#This Row],[Início Setup Envase]]="",Table1[[#This Row],[Final Setup Envase]]=""),"",Table1[[#This Row],[Final Setup Envase]]-Table1[[#This Row],[Início Setup Envase]])</f>
        <v/>
      </c>
      <c r="AP1358" s="670"/>
      <c r="AQ1358" s="670"/>
      <c r="AR1358" s="483"/>
      <c r="AS1358" s="483"/>
      <c r="AT1358" s="483"/>
      <c r="AU1358" s="483"/>
      <c r="AV1358" s="483"/>
      <c r="AW1358" s="483"/>
      <c r="AX1358" s="483"/>
      <c r="AY1358" s="270"/>
      <c r="AZ1358" s="270"/>
      <c r="BA1358" s="270" t="str">
        <f>IF(Table1[[#This Row],[Data de Início]]="","",YEAR(Table1[[#This Row],[Data de Início]]))</f>
        <v/>
      </c>
      <c r="BB1358" s="270" t="str">
        <f>IF(Table1[[#This Row],[Data de Início]]="","",MONTH(Table1[[#This Row],[Data de Início]]))</f>
        <v/>
      </c>
      <c r="BC1358" s="270"/>
    </row>
    <row r="1359" spans="2:55" x14ac:dyDescent="0.25">
      <c r="B1359" s="470"/>
      <c r="C1359" s="263"/>
      <c r="D1359" s="477" cm="1">
        <f t="array" ref="D1359">IFERROR(HorasUteisFabrica2Turnos(B1359,C1359), "")</f>
        <v>0</v>
      </c>
      <c r="E1359" s="697" t="str">
        <f t="shared" si="21"/>
        <v/>
      </c>
      <c r="F1359" s="266"/>
      <c r="G1359" s="698"/>
      <c r="H1359" s="266"/>
      <c r="I1359" s="268"/>
      <c r="J1359" s="268"/>
      <c r="K1359" s="268"/>
      <c r="L1359" s="269"/>
      <c r="M1359" s="510" t="str">
        <f>IFERROR(INDEX([1]Produtos!$C:$C,MATCH(L1359,[1]Produtos!$B:$B,0)), "-")</f>
        <v>-</v>
      </c>
      <c r="N1359" s="510" t="str">
        <f>IFERROR(INDEX([1]Produtos!$E:$E,MATCH(L1359,[1]Produtos!$B:$B,0)), "-")</f>
        <v>-</v>
      </c>
      <c r="O1359" s="270" t="str">
        <f>IFERROR(INDEX([1]Produtos!$F:$F,MATCH(L1359,[1]Produtos!$B:$B,0)), "-")</f>
        <v>-</v>
      </c>
      <c r="P1359" s="264" t="str">
        <f>IFERROR(INDEX([1]Produtos!$G:$G,MATCH(L1359,[1]Produtos!$B:$B,0)), "-")</f>
        <v>-</v>
      </c>
      <c r="Q1359" s="270" t="str">
        <f>IFERROR(INDEX([1]Produtos!$H:$H,MATCH(L1359,[1]Produtos!$B:$B,0)), "-")</f>
        <v>-</v>
      </c>
      <c r="R1359" s="270" t="str">
        <f>IFERROR(INDEX([1]Produtos!$I:$I,MATCH(L1359,[1]Produtos!$B:$B,0)), "-")</f>
        <v>-</v>
      </c>
      <c r="S1359" s="270" t="str">
        <f>IFERROR(INDEX([1]Produtos!$J:$J,MATCH(L1359,[1]Produtos!$B:$B,0)), "-")</f>
        <v>-</v>
      </c>
      <c r="T1359" s="475"/>
      <c r="U1359" s="270"/>
      <c r="V1359" s="270"/>
      <c r="W1359" s="270"/>
      <c r="X1359" s="270"/>
      <c r="Y1359" s="270"/>
      <c r="Z1359" s="270"/>
      <c r="AA1359" s="270"/>
      <c r="AB1359" s="270"/>
      <c r="AC1359" s="270"/>
      <c r="AD1359" s="270"/>
      <c r="AE1359" s="270"/>
      <c r="AF1359" s="270"/>
      <c r="AG1359" s="270"/>
      <c r="AH1359" s="270"/>
      <c r="AI1359" s="270"/>
      <c r="AJ1359" s="270"/>
      <c r="AK1359" s="270"/>
      <c r="AL1359" s="270"/>
      <c r="AM1359" s="663"/>
      <c r="AN1359" s="663"/>
      <c r="AO1359" s="708" t="str">
        <f>IF(OR(Table1[[#This Row],[Início Setup Envase]]="",Table1[[#This Row],[Final Setup Envase]]=""),"",Table1[[#This Row],[Final Setup Envase]]-Table1[[#This Row],[Início Setup Envase]])</f>
        <v/>
      </c>
      <c r="AP1359" s="663"/>
      <c r="AQ1359" s="663"/>
      <c r="AR1359" s="270"/>
      <c r="AS1359" s="674"/>
      <c r="AT1359" s="674"/>
      <c r="AU1359" s="270"/>
      <c r="AV1359" s="270"/>
      <c r="AW1359" s="270"/>
      <c r="AX1359" s="270"/>
      <c r="AY1359" s="270"/>
      <c r="AZ1359" s="270"/>
      <c r="BA1359" s="270" t="str">
        <f>IF(Table1[[#This Row],[Data de Início]]="","",YEAR(Table1[[#This Row],[Data de Início]]))</f>
        <v/>
      </c>
      <c r="BB1359" s="270" t="str">
        <f>IF(Table1[[#This Row],[Data de Início]]="","",MONTH(Table1[[#This Row],[Data de Início]]))</f>
        <v/>
      </c>
      <c r="BC1359" s="483"/>
    </row>
    <row r="1360" spans="2:55" x14ac:dyDescent="0.25">
      <c r="B1360" s="470"/>
      <c r="C1360" s="263"/>
      <c r="D1360" s="477" cm="1">
        <f t="array" ref="D1360">IFERROR(HorasUteisFabrica2Turnos(B1360,C1360), "")</f>
        <v>0</v>
      </c>
      <c r="E1360" s="478" t="str">
        <f t="shared" si="21"/>
        <v/>
      </c>
      <c r="F1360" s="266"/>
      <c r="G1360" s="656"/>
      <c r="H1360" s="479"/>
      <c r="I1360" s="268"/>
      <c r="J1360" s="268"/>
      <c r="K1360" s="268"/>
      <c r="L1360" s="269"/>
      <c r="M1360" s="511" t="str">
        <f>IFERROR(INDEX([1]Produtos!$C:$C,MATCH(L1360,[1]Produtos!$B:$B,0)), "-")</f>
        <v>-</v>
      </c>
      <c r="N1360" s="511" t="str">
        <f>IFERROR(INDEX([1]Produtos!$E:$E,MATCH(L1360,[1]Produtos!$B:$B,0)), "-")</f>
        <v>-</v>
      </c>
      <c r="O1360" s="483" t="str">
        <f>IFERROR(INDEX([1]Produtos!$F:$F,MATCH(L1360,[1]Produtos!$B:$B,0)), "-")</f>
        <v>-</v>
      </c>
      <c r="P1360" s="477" t="str">
        <f>IFERROR(INDEX([1]Produtos!$G:$G,MATCH(L1360,[1]Produtos!$B:$B,0)), "-")</f>
        <v>-</v>
      </c>
      <c r="Q1360" s="483" t="str">
        <f>IFERROR(INDEX([1]Produtos!$H:$H,MATCH(L1360,[1]Produtos!$B:$B,0)), "-")</f>
        <v>-</v>
      </c>
      <c r="R1360" s="483" t="str">
        <f>IFERROR(INDEX([1]Produtos!$I:$I,MATCH(L1360,[1]Produtos!$B:$B,0)), "-")</f>
        <v>-</v>
      </c>
      <c r="S1360" s="483" t="str">
        <f>IFERROR(INDEX([1]Produtos!$J:$J,MATCH(L1360,[1]Produtos!$B:$B,0)), "-")</f>
        <v>-</v>
      </c>
      <c r="T1360" s="484"/>
      <c r="U1360" s="483"/>
      <c r="V1360" s="483"/>
      <c r="W1360" s="483"/>
      <c r="X1360" s="483"/>
      <c r="Y1360" s="483"/>
      <c r="Z1360" s="483"/>
      <c r="AA1360" s="483"/>
      <c r="AB1360" s="483"/>
      <c r="AC1360" s="483"/>
      <c r="AD1360" s="483"/>
      <c r="AE1360" s="483"/>
      <c r="AF1360" s="483"/>
      <c r="AG1360" s="483"/>
      <c r="AH1360" s="483"/>
      <c r="AI1360" s="483"/>
      <c r="AJ1360" s="483"/>
      <c r="AK1360" s="483"/>
      <c r="AL1360" s="483"/>
      <c r="AM1360" s="670"/>
      <c r="AN1360" s="670"/>
      <c r="AO1360" s="711" t="str">
        <f>IF(OR(Table1[[#This Row],[Início Setup Envase]]="",Table1[[#This Row],[Final Setup Envase]]=""),"",Table1[[#This Row],[Final Setup Envase]]-Table1[[#This Row],[Início Setup Envase]])</f>
        <v/>
      </c>
      <c r="AP1360" s="670"/>
      <c r="AQ1360" s="670"/>
      <c r="AR1360" s="483"/>
      <c r="AS1360" s="483"/>
      <c r="AT1360" s="483"/>
      <c r="AU1360" s="483"/>
      <c r="AV1360" s="483"/>
      <c r="AW1360" s="483"/>
      <c r="AX1360" s="483"/>
      <c r="AY1360" s="270"/>
      <c r="AZ1360" s="270"/>
      <c r="BA1360" s="270" t="str">
        <f>IF(Table1[[#This Row],[Data de Início]]="","",YEAR(Table1[[#This Row],[Data de Início]]))</f>
        <v/>
      </c>
      <c r="BB1360" s="270" t="str">
        <f>IF(Table1[[#This Row],[Data de Início]]="","",MONTH(Table1[[#This Row],[Data de Início]]))</f>
        <v/>
      </c>
      <c r="BC1360" s="270"/>
    </row>
    <row r="1361" spans="2:55" x14ac:dyDescent="0.25">
      <c r="B1361" s="470"/>
      <c r="C1361" s="263"/>
      <c r="D1361" s="477" cm="1">
        <f t="array" ref="D1361">IFERROR(HorasUteisFabrica2Turnos(B1361,C1361), "")</f>
        <v>0</v>
      </c>
      <c r="E1361" s="697" t="str">
        <f t="shared" si="21"/>
        <v/>
      </c>
      <c r="F1361" s="266"/>
      <c r="G1361" s="698"/>
      <c r="H1361" s="266"/>
      <c r="I1361" s="268"/>
      <c r="J1361" s="268"/>
      <c r="K1361" s="268"/>
      <c r="L1361" s="269"/>
      <c r="M1361" s="510" t="str">
        <f>IFERROR(INDEX([1]Produtos!$C:$C,MATCH(L1361,[1]Produtos!$B:$B,0)), "-")</f>
        <v>-</v>
      </c>
      <c r="N1361" s="510" t="str">
        <f>IFERROR(INDEX([1]Produtos!$E:$E,MATCH(L1361,[1]Produtos!$B:$B,0)), "-")</f>
        <v>-</v>
      </c>
      <c r="O1361" s="270" t="str">
        <f>IFERROR(INDEX([1]Produtos!$F:$F,MATCH(L1361,[1]Produtos!$B:$B,0)), "-")</f>
        <v>-</v>
      </c>
      <c r="P1361" s="264" t="str">
        <f>IFERROR(INDEX([1]Produtos!$G:$G,MATCH(L1361,[1]Produtos!$B:$B,0)), "-")</f>
        <v>-</v>
      </c>
      <c r="Q1361" s="270" t="str">
        <f>IFERROR(INDEX([1]Produtos!$H:$H,MATCH(L1361,[1]Produtos!$B:$B,0)), "-")</f>
        <v>-</v>
      </c>
      <c r="R1361" s="270" t="str">
        <f>IFERROR(INDEX([1]Produtos!$I:$I,MATCH(L1361,[1]Produtos!$B:$B,0)), "-")</f>
        <v>-</v>
      </c>
      <c r="S1361" s="270" t="str">
        <f>IFERROR(INDEX([1]Produtos!$J:$J,MATCH(L1361,[1]Produtos!$B:$B,0)), "-")</f>
        <v>-</v>
      </c>
      <c r="T1361" s="475"/>
      <c r="U1361" s="270"/>
      <c r="V1361" s="270"/>
      <c r="W1361" s="270"/>
      <c r="X1361" s="270"/>
      <c r="Y1361" s="270"/>
      <c r="Z1361" s="270"/>
      <c r="AA1361" s="270"/>
      <c r="AB1361" s="270"/>
      <c r="AC1361" s="270"/>
      <c r="AD1361" s="270"/>
      <c r="AE1361" s="270"/>
      <c r="AF1361" s="270"/>
      <c r="AG1361" s="270"/>
      <c r="AH1361" s="270"/>
      <c r="AI1361" s="270"/>
      <c r="AJ1361" s="270"/>
      <c r="AK1361" s="270"/>
      <c r="AL1361" s="270"/>
      <c r="AM1361" s="663"/>
      <c r="AN1361" s="663"/>
      <c r="AO1361" s="708" t="str">
        <f>IF(OR(Table1[[#This Row],[Início Setup Envase]]="",Table1[[#This Row],[Final Setup Envase]]=""),"",Table1[[#This Row],[Final Setup Envase]]-Table1[[#This Row],[Início Setup Envase]])</f>
        <v/>
      </c>
      <c r="AP1361" s="663"/>
      <c r="AQ1361" s="663"/>
      <c r="AR1361" s="270"/>
      <c r="AS1361" s="674"/>
      <c r="AT1361" s="674"/>
      <c r="AU1361" s="270"/>
      <c r="AV1361" s="270"/>
      <c r="AW1361" s="270"/>
      <c r="AX1361" s="270"/>
      <c r="AY1361" s="270"/>
      <c r="AZ1361" s="270"/>
      <c r="BA1361" s="270" t="str">
        <f>IF(Table1[[#This Row],[Data de Início]]="","",YEAR(Table1[[#This Row],[Data de Início]]))</f>
        <v/>
      </c>
      <c r="BB1361" s="270" t="str">
        <f>IF(Table1[[#This Row],[Data de Início]]="","",MONTH(Table1[[#This Row],[Data de Início]]))</f>
        <v/>
      </c>
      <c r="BC1361" s="483"/>
    </row>
    <row r="1362" spans="2:55" x14ac:dyDescent="0.25">
      <c r="B1362" s="470"/>
      <c r="C1362" s="263"/>
      <c r="D1362" s="477" cm="1">
        <f t="array" ref="D1362">IFERROR(HorasUteisFabrica2Turnos(B1362,C1362), "")</f>
        <v>0</v>
      </c>
      <c r="E1362" s="478" t="str">
        <f t="shared" si="21"/>
        <v/>
      </c>
      <c r="F1362" s="266"/>
      <c r="G1362" s="656"/>
      <c r="H1362" s="479"/>
      <c r="I1362" s="268"/>
      <c r="J1362" s="268"/>
      <c r="K1362" s="268"/>
      <c r="L1362" s="269"/>
      <c r="M1362" s="511" t="str">
        <f>IFERROR(INDEX([1]Produtos!$C:$C,MATCH(L1362,[1]Produtos!$B:$B,0)), "-")</f>
        <v>-</v>
      </c>
      <c r="N1362" s="511" t="str">
        <f>IFERROR(INDEX([1]Produtos!$E:$E,MATCH(L1362,[1]Produtos!$B:$B,0)), "-")</f>
        <v>-</v>
      </c>
      <c r="O1362" s="483" t="str">
        <f>IFERROR(INDEX([1]Produtos!$F:$F,MATCH(L1362,[1]Produtos!$B:$B,0)), "-")</f>
        <v>-</v>
      </c>
      <c r="P1362" s="477" t="str">
        <f>IFERROR(INDEX([1]Produtos!$G:$G,MATCH(L1362,[1]Produtos!$B:$B,0)), "-")</f>
        <v>-</v>
      </c>
      <c r="Q1362" s="483" t="str">
        <f>IFERROR(INDEX([1]Produtos!$H:$H,MATCH(L1362,[1]Produtos!$B:$B,0)), "-")</f>
        <v>-</v>
      </c>
      <c r="R1362" s="483" t="str">
        <f>IFERROR(INDEX([1]Produtos!$I:$I,MATCH(L1362,[1]Produtos!$B:$B,0)), "-")</f>
        <v>-</v>
      </c>
      <c r="S1362" s="483" t="str">
        <f>IFERROR(INDEX([1]Produtos!$J:$J,MATCH(L1362,[1]Produtos!$B:$B,0)), "-")</f>
        <v>-</v>
      </c>
      <c r="T1362" s="484"/>
      <c r="U1362" s="483"/>
      <c r="V1362" s="483"/>
      <c r="W1362" s="483"/>
      <c r="X1362" s="483"/>
      <c r="Y1362" s="483"/>
      <c r="Z1362" s="483"/>
      <c r="AA1362" s="483"/>
      <c r="AB1362" s="483"/>
      <c r="AC1362" s="483"/>
      <c r="AD1362" s="483"/>
      <c r="AE1362" s="483"/>
      <c r="AF1362" s="483"/>
      <c r="AG1362" s="483"/>
      <c r="AH1362" s="483"/>
      <c r="AI1362" s="483"/>
      <c r="AJ1362" s="483"/>
      <c r="AK1362" s="483"/>
      <c r="AL1362" s="483"/>
      <c r="AM1362" s="670"/>
      <c r="AN1362" s="670"/>
      <c r="AO1362" s="711" t="str">
        <f>IF(OR(Table1[[#This Row],[Início Setup Envase]]="",Table1[[#This Row],[Final Setup Envase]]=""),"",Table1[[#This Row],[Final Setup Envase]]-Table1[[#This Row],[Início Setup Envase]])</f>
        <v/>
      </c>
      <c r="AP1362" s="670"/>
      <c r="AQ1362" s="670"/>
      <c r="AR1362" s="483"/>
      <c r="AS1362" s="483"/>
      <c r="AT1362" s="483"/>
      <c r="AU1362" s="483"/>
      <c r="AV1362" s="483"/>
      <c r="AW1362" s="483"/>
      <c r="AX1362" s="483"/>
      <c r="AY1362" s="270"/>
      <c r="AZ1362" s="270"/>
      <c r="BA1362" s="270" t="str">
        <f>IF(Table1[[#This Row],[Data de Início]]="","",YEAR(Table1[[#This Row],[Data de Início]]))</f>
        <v/>
      </c>
      <c r="BB1362" s="270" t="str">
        <f>IF(Table1[[#This Row],[Data de Início]]="","",MONTH(Table1[[#This Row],[Data de Início]]))</f>
        <v/>
      </c>
      <c r="BC1362" s="270"/>
    </row>
    <row r="1363" spans="2:55" x14ac:dyDescent="0.25">
      <c r="B1363" s="470"/>
      <c r="C1363" s="263"/>
      <c r="D1363" s="477" cm="1">
        <f t="array" ref="D1363">IFERROR(HorasUteisFabrica2Turnos(B1363,C1363), "")</f>
        <v>0</v>
      </c>
      <c r="E1363" s="697" t="str">
        <f t="shared" si="21"/>
        <v/>
      </c>
      <c r="F1363" s="266"/>
      <c r="G1363" s="698"/>
      <c r="H1363" s="266"/>
      <c r="I1363" s="268"/>
      <c r="J1363" s="268"/>
      <c r="K1363" s="268"/>
      <c r="L1363" s="269"/>
      <c r="M1363" s="510" t="str">
        <f>IFERROR(INDEX([1]Produtos!$C:$C,MATCH(L1363,[1]Produtos!$B:$B,0)), "-")</f>
        <v>-</v>
      </c>
      <c r="N1363" s="510" t="str">
        <f>IFERROR(INDEX([1]Produtos!$E:$E,MATCH(L1363,[1]Produtos!$B:$B,0)), "-")</f>
        <v>-</v>
      </c>
      <c r="O1363" s="270" t="str">
        <f>IFERROR(INDEX([1]Produtos!$F:$F,MATCH(L1363,[1]Produtos!$B:$B,0)), "-")</f>
        <v>-</v>
      </c>
      <c r="P1363" s="264" t="str">
        <f>IFERROR(INDEX([1]Produtos!$G:$G,MATCH(L1363,[1]Produtos!$B:$B,0)), "-")</f>
        <v>-</v>
      </c>
      <c r="Q1363" s="270" t="str">
        <f>IFERROR(INDEX([1]Produtos!$H:$H,MATCH(L1363,[1]Produtos!$B:$B,0)), "-")</f>
        <v>-</v>
      </c>
      <c r="R1363" s="270" t="str">
        <f>IFERROR(INDEX([1]Produtos!$I:$I,MATCH(L1363,[1]Produtos!$B:$B,0)), "-")</f>
        <v>-</v>
      </c>
      <c r="S1363" s="270" t="str">
        <f>IFERROR(INDEX([1]Produtos!$J:$J,MATCH(L1363,[1]Produtos!$B:$B,0)), "-")</f>
        <v>-</v>
      </c>
      <c r="T1363" s="475"/>
      <c r="U1363" s="270"/>
      <c r="V1363" s="270"/>
      <c r="W1363" s="270"/>
      <c r="X1363" s="270"/>
      <c r="Y1363" s="270"/>
      <c r="Z1363" s="270"/>
      <c r="AA1363" s="270"/>
      <c r="AB1363" s="270"/>
      <c r="AC1363" s="270"/>
      <c r="AD1363" s="270"/>
      <c r="AE1363" s="270"/>
      <c r="AF1363" s="270"/>
      <c r="AG1363" s="270"/>
      <c r="AH1363" s="270"/>
      <c r="AI1363" s="270"/>
      <c r="AJ1363" s="270"/>
      <c r="AK1363" s="270"/>
      <c r="AL1363" s="270"/>
      <c r="AM1363" s="663"/>
      <c r="AN1363" s="663"/>
      <c r="AO1363" s="708" t="str">
        <f>IF(OR(Table1[[#This Row],[Início Setup Envase]]="",Table1[[#This Row],[Final Setup Envase]]=""),"",Table1[[#This Row],[Final Setup Envase]]-Table1[[#This Row],[Início Setup Envase]])</f>
        <v/>
      </c>
      <c r="AP1363" s="663"/>
      <c r="AQ1363" s="663"/>
      <c r="AR1363" s="270"/>
      <c r="AS1363" s="674"/>
      <c r="AT1363" s="674"/>
      <c r="AU1363" s="270"/>
      <c r="AV1363" s="270"/>
      <c r="AW1363" s="270"/>
      <c r="AX1363" s="270"/>
      <c r="AY1363" s="270"/>
      <c r="AZ1363" s="270"/>
      <c r="BA1363" s="270" t="str">
        <f>IF(Table1[[#This Row],[Data de Início]]="","",YEAR(Table1[[#This Row],[Data de Início]]))</f>
        <v/>
      </c>
      <c r="BB1363" s="270" t="str">
        <f>IF(Table1[[#This Row],[Data de Início]]="","",MONTH(Table1[[#This Row],[Data de Início]]))</f>
        <v/>
      </c>
      <c r="BC1363" s="483"/>
    </row>
    <row r="1364" spans="2:55" x14ac:dyDescent="0.25">
      <c r="B1364" s="470"/>
      <c r="C1364" s="263"/>
      <c r="D1364" s="477" cm="1">
        <f t="array" ref="D1364">IFERROR(HorasUteisFabrica2Turnos(B1364,C1364), "")</f>
        <v>0</v>
      </c>
      <c r="E1364" s="478" t="str">
        <f t="shared" si="21"/>
        <v/>
      </c>
      <c r="F1364" s="266"/>
      <c r="G1364" s="656"/>
      <c r="H1364" s="479"/>
      <c r="I1364" s="268"/>
      <c r="J1364" s="268"/>
      <c r="K1364" s="268"/>
      <c r="L1364" s="269"/>
      <c r="M1364" s="511" t="str">
        <f>IFERROR(INDEX([1]Produtos!$C:$C,MATCH(L1364,[1]Produtos!$B:$B,0)), "-")</f>
        <v>-</v>
      </c>
      <c r="N1364" s="511" t="str">
        <f>IFERROR(INDEX([1]Produtos!$E:$E,MATCH(L1364,[1]Produtos!$B:$B,0)), "-")</f>
        <v>-</v>
      </c>
      <c r="O1364" s="483" t="str">
        <f>IFERROR(INDEX([1]Produtos!$F:$F,MATCH(L1364,[1]Produtos!$B:$B,0)), "-")</f>
        <v>-</v>
      </c>
      <c r="P1364" s="477" t="str">
        <f>IFERROR(INDEX([1]Produtos!$G:$G,MATCH(L1364,[1]Produtos!$B:$B,0)), "-")</f>
        <v>-</v>
      </c>
      <c r="Q1364" s="483" t="str">
        <f>IFERROR(INDEX([1]Produtos!$H:$H,MATCH(L1364,[1]Produtos!$B:$B,0)), "-")</f>
        <v>-</v>
      </c>
      <c r="R1364" s="483" t="str">
        <f>IFERROR(INDEX([1]Produtos!$I:$I,MATCH(L1364,[1]Produtos!$B:$B,0)), "-")</f>
        <v>-</v>
      </c>
      <c r="S1364" s="483" t="str">
        <f>IFERROR(INDEX([1]Produtos!$J:$J,MATCH(L1364,[1]Produtos!$B:$B,0)), "-")</f>
        <v>-</v>
      </c>
      <c r="T1364" s="484"/>
      <c r="U1364" s="483"/>
      <c r="V1364" s="483"/>
      <c r="W1364" s="483"/>
      <c r="X1364" s="483"/>
      <c r="Y1364" s="483"/>
      <c r="Z1364" s="483"/>
      <c r="AA1364" s="483"/>
      <c r="AB1364" s="483"/>
      <c r="AC1364" s="483"/>
      <c r="AD1364" s="483"/>
      <c r="AE1364" s="483"/>
      <c r="AF1364" s="483"/>
      <c r="AG1364" s="483"/>
      <c r="AH1364" s="483"/>
      <c r="AI1364" s="483"/>
      <c r="AJ1364" s="483"/>
      <c r="AK1364" s="483"/>
      <c r="AL1364" s="483"/>
      <c r="AM1364" s="670"/>
      <c r="AN1364" s="670"/>
      <c r="AO1364" s="711" t="str">
        <f>IF(OR(Table1[[#This Row],[Início Setup Envase]]="",Table1[[#This Row],[Final Setup Envase]]=""),"",Table1[[#This Row],[Final Setup Envase]]-Table1[[#This Row],[Início Setup Envase]])</f>
        <v/>
      </c>
      <c r="AP1364" s="670"/>
      <c r="AQ1364" s="670"/>
      <c r="AR1364" s="483"/>
      <c r="AS1364" s="483"/>
      <c r="AT1364" s="483"/>
      <c r="AU1364" s="483"/>
      <c r="AV1364" s="483"/>
      <c r="AW1364" s="483"/>
      <c r="AX1364" s="483"/>
      <c r="AY1364" s="270"/>
      <c r="AZ1364" s="270"/>
      <c r="BA1364" s="270" t="str">
        <f>IF(Table1[[#This Row],[Data de Início]]="","",YEAR(Table1[[#This Row],[Data de Início]]))</f>
        <v/>
      </c>
      <c r="BB1364" s="270" t="str">
        <f>IF(Table1[[#This Row],[Data de Início]]="","",MONTH(Table1[[#This Row],[Data de Início]]))</f>
        <v/>
      </c>
      <c r="BC1364" s="270"/>
    </row>
    <row r="1365" spans="2:55" x14ac:dyDescent="0.25">
      <c r="B1365" s="470"/>
      <c r="C1365" s="263"/>
      <c r="D1365" s="477" cm="1">
        <f t="array" ref="D1365">IFERROR(HorasUteisFabrica2Turnos(B1365,C1365), "")</f>
        <v>0</v>
      </c>
      <c r="E1365" s="697" t="str">
        <f t="shared" si="21"/>
        <v/>
      </c>
      <c r="F1365" s="266"/>
      <c r="G1365" s="698"/>
      <c r="H1365" s="266"/>
      <c r="I1365" s="268"/>
      <c r="J1365" s="268"/>
      <c r="K1365" s="268"/>
      <c r="L1365" s="269"/>
      <c r="M1365" s="510" t="str">
        <f>IFERROR(INDEX([1]Produtos!$C:$C,MATCH(L1365,[1]Produtos!$B:$B,0)), "-")</f>
        <v>-</v>
      </c>
      <c r="N1365" s="510" t="str">
        <f>IFERROR(INDEX([1]Produtos!$E:$E,MATCH(L1365,[1]Produtos!$B:$B,0)), "-")</f>
        <v>-</v>
      </c>
      <c r="O1365" s="270" t="str">
        <f>IFERROR(INDEX([1]Produtos!$F:$F,MATCH(L1365,[1]Produtos!$B:$B,0)), "-")</f>
        <v>-</v>
      </c>
      <c r="P1365" s="264" t="str">
        <f>IFERROR(INDEX([1]Produtos!$G:$G,MATCH(L1365,[1]Produtos!$B:$B,0)), "-")</f>
        <v>-</v>
      </c>
      <c r="Q1365" s="270" t="str">
        <f>IFERROR(INDEX([1]Produtos!$H:$H,MATCH(L1365,[1]Produtos!$B:$B,0)), "-")</f>
        <v>-</v>
      </c>
      <c r="R1365" s="270" t="str">
        <f>IFERROR(INDEX([1]Produtos!$I:$I,MATCH(L1365,[1]Produtos!$B:$B,0)), "-")</f>
        <v>-</v>
      </c>
      <c r="S1365" s="270" t="str">
        <f>IFERROR(INDEX([1]Produtos!$J:$J,MATCH(L1365,[1]Produtos!$B:$B,0)), "-")</f>
        <v>-</v>
      </c>
      <c r="T1365" s="475"/>
      <c r="U1365" s="270"/>
      <c r="V1365" s="270"/>
      <c r="W1365" s="270"/>
      <c r="X1365" s="270"/>
      <c r="Y1365" s="270"/>
      <c r="Z1365" s="270"/>
      <c r="AA1365" s="270"/>
      <c r="AB1365" s="270"/>
      <c r="AC1365" s="270"/>
      <c r="AD1365" s="270"/>
      <c r="AE1365" s="270"/>
      <c r="AF1365" s="270"/>
      <c r="AG1365" s="270"/>
      <c r="AH1365" s="270"/>
      <c r="AI1365" s="270"/>
      <c r="AJ1365" s="270"/>
      <c r="AK1365" s="270"/>
      <c r="AL1365" s="270"/>
      <c r="AM1365" s="663"/>
      <c r="AN1365" s="663"/>
      <c r="AO1365" s="708" t="str">
        <f>IF(OR(Table1[[#This Row],[Início Setup Envase]]="",Table1[[#This Row],[Final Setup Envase]]=""),"",Table1[[#This Row],[Final Setup Envase]]-Table1[[#This Row],[Início Setup Envase]])</f>
        <v/>
      </c>
      <c r="AP1365" s="663"/>
      <c r="AQ1365" s="663"/>
      <c r="AR1365" s="270"/>
      <c r="AS1365" s="674"/>
      <c r="AT1365" s="674"/>
      <c r="AU1365" s="270"/>
      <c r="AV1365" s="270"/>
      <c r="AW1365" s="270"/>
      <c r="AX1365" s="270"/>
      <c r="AY1365" s="270"/>
      <c r="AZ1365" s="270"/>
      <c r="BA1365" s="270" t="str">
        <f>IF(Table1[[#This Row],[Data de Início]]="","",YEAR(Table1[[#This Row],[Data de Início]]))</f>
        <v/>
      </c>
      <c r="BB1365" s="270" t="str">
        <f>IF(Table1[[#This Row],[Data de Início]]="","",MONTH(Table1[[#This Row],[Data de Início]]))</f>
        <v/>
      </c>
      <c r="BC1365" s="483"/>
    </row>
    <row r="1366" spans="2:55" x14ac:dyDescent="0.25">
      <c r="B1366" s="470"/>
      <c r="C1366" s="263"/>
      <c r="D1366" s="477" cm="1">
        <f t="array" ref="D1366">IFERROR(HorasUteisFabrica2Turnos(B1366,C1366), "")</f>
        <v>0</v>
      </c>
      <c r="E1366" s="478" t="str">
        <f t="shared" si="21"/>
        <v/>
      </c>
      <c r="F1366" s="266"/>
      <c r="G1366" s="656"/>
      <c r="H1366" s="479"/>
      <c r="I1366" s="268"/>
      <c r="J1366" s="268"/>
      <c r="K1366" s="268"/>
      <c r="L1366" s="269"/>
      <c r="M1366" s="511" t="str">
        <f>IFERROR(INDEX([1]Produtos!$C:$C,MATCH(L1366,[1]Produtos!$B:$B,0)), "-")</f>
        <v>-</v>
      </c>
      <c r="N1366" s="511" t="str">
        <f>IFERROR(INDEX([1]Produtos!$E:$E,MATCH(L1366,[1]Produtos!$B:$B,0)), "-")</f>
        <v>-</v>
      </c>
      <c r="O1366" s="483" t="str">
        <f>IFERROR(INDEX([1]Produtos!$F:$F,MATCH(L1366,[1]Produtos!$B:$B,0)), "-")</f>
        <v>-</v>
      </c>
      <c r="P1366" s="477" t="str">
        <f>IFERROR(INDEX([1]Produtos!$G:$G,MATCH(L1366,[1]Produtos!$B:$B,0)), "-")</f>
        <v>-</v>
      </c>
      <c r="Q1366" s="483" t="str">
        <f>IFERROR(INDEX([1]Produtos!$H:$H,MATCH(L1366,[1]Produtos!$B:$B,0)), "-")</f>
        <v>-</v>
      </c>
      <c r="R1366" s="483" t="str">
        <f>IFERROR(INDEX([1]Produtos!$I:$I,MATCH(L1366,[1]Produtos!$B:$B,0)), "-")</f>
        <v>-</v>
      </c>
      <c r="S1366" s="483" t="str">
        <f>IFERROR(INDEX([1]Produtos!$J:$J,MATCH(L1366,[1]Produtos!$B:$B,0)), "-")</f>
        <v>-</v>
      </c>
      <c r="T1366" s="484"/>
      <c r="U1366" s="483"/>
      <c r="V1366" s="483"/>
      <c r="W1366" s="483"/>
      <c r="X1366" s="483"/>
      <c r="Y1366" s="483"/>
      <c r="Z1366" s="483"/>
      <c r="AA1366" s="483"/>
      <c r="AB1366" s="483"/>
      <c r="AC1366" s="483"/>
      <c r="AD1366" s="483"/>
      <c r="AE1366" s="483"/>
      <c r="AF1366" s="483"/>
      <c r="AG1366" s="483"/>
      <c r="AH1366" s="483"/>
      <c r="AI1366" s="483"/>
      <c r="AJ1366" s="483"/>
      <c r="AK1366" s="483"/>
      <c r="AL1366" s="483"/>
      <c r="AM1366" s="670"/>
      <c r="AN1366" s="670"/>
      <c r="AO1366" s="711" t="str">
        <f>IF(OR(Table1[[#This Row],[Início Setup Envase]]="",Table1[[#This Row],[Final Setup Envase]]=""),"",Table1[[#This Row],[Final Setup Envase]]-Table1[[#This Row],[Início Setup Envase]])</f>
        <v/>
      </c>
      <c r="AP1366" s="670"/>
      <c r="AQ1366" s="670"/>
      <c r="AR1366" s="483"/>
      <c r="AS1366" s="483"/>
      <c r="AT1366" s="483"/>
      <c r="AU1366" s="483"/>
      <c r="AV1366" s="483"/>
      <c r="AW1366" s="483"/>
      <c r="AX1366" s="483"/>
      <c r="AY1366" s="270"/>
      <c r="AZ1366" s="270"/>
      <c r="BA1366" s="270" t="str">
        <f>IF(Table1[[#This Row],[Data de Início]]="","",YEAR(Table1[[#This Row],[Data de Início]]))</f>
        <v/>
      </c>
      <c r="BB1366" s="270" t="str">
        <f>IF(Table1[[#This Row],[Data de Início]]="","",MONTH(Table1[[#This Row],[Data de Início]]))</f>
        <v/>
      </c>
      <c r="BC1366" s="270"/>
    </row>
    <row r="1367" spans="2:55" x14ac:dyDescent="0.25">
      <c r="B1367" s="470"/>
      <c r="C1367" s="263"/>
      <c r="D1367" s="477" cm="1">
        <f t="array" ref="D1367">IFERROR(HorasUteisFabrica2Turnos(B1367,C1367), "")</f>
        <v>0</v>
      </c>
      <c r="E1367" s="697" t="str">
        <f t="shared" si="21"/>
        <v/>
      </c>
      <c r="F1367" s="266"/>
      <c r="G1367" s="698"/>
      <c r="H1367" s="266"/>
      <c r="I1367" s="268"/>
      <c r="J1367" s="268"/>
      <c r="K1367" s="268"/>
      <c r="L1367" s="269"/>
      <c r="M1367" s="510" t="str">
        <f>IFERROR(INDEX([1]Produtos!$C:$C,MATCH(L1367,[1]Produtos!$B:$B,0)), "-")</f>
        <v>-</v>
      </c>
      <c r="N1367" s="510" t="str">
        <f>IFERROR(INDEX([1]Produtos!$E:$E,MATCH(L1367,[1]Produtos!$B:$B,0)), "-")</f>
        <v>-</v>
      </c>
      <c r="O1367" s="270" t="str">
        <f>IFERROR(INDEX([1]Produtos!$F:$F,MATCH(L1367,[1]Produtos!$B:$B,0)), "-")</f>
        <v>-</v>
      </c>
      <c r="P1367" s="264" t="str">
        <f>IFERROR(INDEX([1]Produtos!$G:$G,MATCH(L1367,[1]Produtos!$B:$B,0)), "-")</f>
        <v>-</v>
      </c>
      <c r="Q1367" s="270" t="str">
        <f>IFERROR(INDEX([1]Produtos!$H:$H,MATCH(L1367,[1]Produtos!$B:$B,0)), "-")</f>
        <v>-</v>
      </c>
      <c r="R1367" s="270" t="str">
        <f>IFERROR(INDEX([1]Produtos!$I:$I,MATCH(L1367,[1]Produtos!$B:$B,0)), "-")</f>
        <v>-</v>
      </c>
      <c r="S1367" s="270" t="str">
        <f>IFERROR(INDEX([1]Produtos!$J:$J,MATCH(L1367,[1]Produtos!$B:$B,0)), "-")</f>
        <v>-</v>
      </c>
      <c r="T1367" s="475"/>
      <c r="U1367" s="270"/>
      <c r="V1367" s="270"/>
      <c r="W1367" s="270"/>
      <c r="X1367" s="270"/>
      <c r="Y1367" s="270"/>
      <c r="Z1367" s="270"/>
      <c r="AA1367" s="270"/>
      <c r="AB1367" s="270"/>
      <c r="AC1367" s="270"/>
      <c r="AD1367" s="270"/>
      <c r="AE1367" s="270"/>
      <c r="AF1367" s="270"/>
      <c r="AG1367" s="270"/>
      <c r="AH1367" s="270"/>
      <c r="AI1367" s="270"/>
      <c r="AJ1367" s="270"/>
      <c r="AK1367" s="270"/>
      <c r="AL1367" s="270"/>
      <c r="AM1367" s="663"/>
      <c r="AN1367" s="663"/>
      <c r="AO1367" s="708" t="str">
        <f>IF(OR(Table1[[#This Row],[Início Setup Envase]]="",Table1[[#This Row],[Final Setup Envase]]=""),"",Table1[[#This Row],[Final Setup Envase]]-Table1[[#This Row],[Início Setup Envase]])</f>
        <v/>
      </c>
      <c r="AP1367" s="663"/>
      <c r="AQ1367" s="663"/>
      <c r="AR1367" s="270"/>
      <c r="AS1367" s="674"/>
      <c r="AT1367" s="674"/>
      <c r="AU1367" s="270"/>
      <c r="AV1367" s="270"/>
      <c r="AW1367" s="270"/>
      <c r="AX1367" s="270"/>
      <c r="AY1367" s="270"/>
      <c r="AZ1367" s="270"/>
      <c r="BA1367" s="270" t="str">
        <f>IF(Table1[[#This Row],[Data de Início]]="","",YEAR(Table1[[#This Row],[Data de Início]]))</f>
        <v/>
      </c>
      <c r="BB1367" s="270" t="str">
        <f>IF(Table1[[#This Row],[Data de Início]]="","",MONTH(Table1[[#This Row],[Data de Início]]))</f>
        <v/>
      </c>
      <c r="BC1367" s="483"/>
    </row>
    <row r="1368" spans="2:55" x14ac:dyDescent="0.25">
      <c r="B1368" s="470"/>
      <c r="C1368" s="263"/>
      <c r="D1368" s="477" cm="1">
        <f t="array" ref="D1368">IFERROR(HorasUteisFabrica2Turnos(B1368,C1368), "")</f>
        <v>0</v>
      </c>
      <c r="E1368" s="478" t="str">
        <f t="shared" si="21"/>
        <v/>
      </c>
      <c r="F1368" s="266"/>
      <c r="G1368" s="656"/>
      <c r="H1368" s="479"/>
      <c r="I1368" s="268"/>
      <c r="J1368" s="268"/>
      <c r="K1368" s="268"/>
      <c r="L1368" s="269"/>
      <c r="M1368" s="511" t="str">
        <f>IFERROR(INDEX([1]Produtos!$C:$C,MATCH(L1368,[1]Produtos!$B:$B,0)), "-")</f>
        <v>-</v>
      </c>
      <c r="N1368" s="511" t="str">
        <f>IFERROR(INDEX([1]Produtos!$E:$E,MATCH(L1368,[1]Produtos!$B:$B,0)), "-")</f>
        <v>-</v>
      </c>
      <c r="O1368" s="483" t="str">
        <f>IFERROR(INDEX([1]Produtos!$F:$F,MATCH(L1368,[1]Produtos!$B:$B,0)), "-")</f>
        <v>-</v>
      </c>
      <c r="P1368" s="477" t="str">
        <f>IFERROR(INDEX([1]Produtos!$G:$G,MATCH(L1368,[1]Produtos!$B:$B,0)), "-")</f>
        <v>-</v>
      </c>
      <c r="Q1368" s="483" t="str">
        <f>IFERROR(INDEX([1]Produtos!$H:$H,MATCH(L1368,[1]Produtos!$B:$B,0)), "-")</f>
        <v>-</v>
      </c>
      <c r="R1368" s="483" t="str">
        <f>IFERROR(INDEX([1]Produtos!$I:$I,MATCH(L1368,[1]Produtos!$B:$B,0)), "-")</f>
        <v>-</v>
      </c>
      <c r="S1368" s="483" t="str">
        <f>IFERROR(INDEX([1]Produtos!$J:$J,MATCH(L1368,[1]Produtos!$B:$B,0)), "-")</f>
        <v>-</v>
      </c>
      <c r="T1368" s="484"/>
      <c r="U1368" s="483"/>
      <c r="V1368" s="483"/>
      <c r="W1368" s="483"/>
      <c r="X1368" s="483"/>
      <c r="Y1368" s="483"/>
      <c r="Z1368" s="483"/>
      <c r="AA1368" s="483"/>
      <c r="AB1368" s="483"/>
      <c r="AC1368" s="483"/>
      <c r="AD1368" s="483"/>
      <c r="AE1368" s="483"/>
      <c r="AF1368" s="483"/>
      <c r="AG1368" s="483"/>
      <c r="AH1368" s="483"/>
      <c r="AI1368" s="483"/>
      <c r="AJ1368" s="483"/>
      <c r="AK1368" s="483"/>
      <c r="AL1368" s="483"/>
      <c r="AM1368" s="670"/>
      <c r="AN1368" s="670"/>
      <c r="AO1368" s="711" t="str">
        <f>IF(OR(Table1[[#This Row],[Início Setup Envase]]="",Table1[[#This Row],[Final Setup Envase]]=""),"",Table1[[#This Row],[Final Setup Envase]]-Table1[[#This Row],[Início Setup Envase]])</f>
        <v/>
      </c>
      <c r="AP1368" s="670"/>
      <c r="AQ1368" s="670"/>
      <c r="AR1368" s="483"/>
      <c r="AS1368" s="483"/>
      <c r="AT1368" s="483"/>
      <c r="AU1368" s="483"/>
      <c r="AV1368" s="483"/>
      <c r="AW1368" s="483"/>
      <c r="AX1368" s="483"/>
      <c r="AY1368" s="270"/>
      <c r="AZ1368" s="270"/>
      <c r="BA1368" s="270" t="str">
        <f>IF(Table1[[#This Row],[Data de Início]]="","",YEAR(Table1[[#This Row],[Data de Início]]))</f>
        <v/>
      </c>
      <c r="BB1368" s="270" t="str">
        <f>IF(Table1[[#This Row],[Data de Início]]="","",MONTH(Table1[[#This Row],[Data de Início]]))</f>
        <v/>
      </c>
      <c r="BC1368" s="270"/>
    </row>
    <row r="1369" spans="2:55" x14ac:dyDescent="0.25">
      <c r="B1369" s="470"/>
      <c r="C1369" s="263"/>
      <c r="D1369" s="477" cm="1">
        <f t="array" ref="D1369">IFERROR(HorasUteisFabrica2Turnos(B1369,C1369), "")</f>
        <v>0</v>
      </c>
      <c r="E1369" s="697" t="str">
        <f t="shared" si="21"/>
        <v/>
      </c>
      <c r="F1369" s="266"/>
      <c r="G1369" s="698"/>
      <c r="H1369" s="266"/>
      <c r="I1369" s="268"/>
      <c r="J1369" s="268"/>
      <c r="K1369" s="268"/>
      <c r="L1369" s="269"/>
      <c r="M1369" s="510" t="str">
        <f>IFERROR(INDEX([1]Produtos!$C:$C,MATCH(L1369,[1]Produtos!$B:$B,0)), "-")</f>
        <v>-</v>
      </c>
      <c r="N1369" s="510" t="str">
        <f>IFERROR(INDEX([1]Produtos!$E:$E,MATCH(L1369,[1]Produtos!$B:$B,0)), "-")</f>
        <v>-</v>
      </c>
      <c r="O1369" s="270" t="str">
        <f>IFERROR(INDEX([1]Produtos!$F:$F,MATCH(L1369,[1]Produtos!$B:$B,0)), "-")</f>
        <v>-</v>
      </c>
      <c r="P1369" s="264" t="str">
        <f>IFERROR(INDEX([1]Produtos!$G:$G,MATCH(L1369,[1]Produtos!$B:$B,0)), "-")</f>
        <v>-</v>
      </c>
      <c r="Q1369" s="270" t="str">
        <f>IFERROR(INDEX([1]Produtos!$H:$H,MATCH(L1369,[1]Produtos!$B:$B,0)), "-")</f>
        <v>-</v>
      </c>
      <c r="R1369" s="270" t="str">
        <f>IFERROR(INDEX([1]Produtos!$I:$I,MATCH(L1369,[1]Produtos!$B:$B,0)), "-")</f>
        <v>-</v>
      </c>
      <c r="S1369" s="270" t="str">
        <f>IFERROR(INDEX([1]Produtos!$J:$J,MATCH(L1369,[1]Produtos!$B:$B,0)), "-")</f>
        <v>-</v>
      </c>
      <c r="T1369" s="475"/>
      <c r="U1369" s="270"/>
      <c r="V1369" s="270"/>
      <c r="W1369" s="270"/>
      <c r="X1369" s="270"/>
      <c r="Y1369" s="270"/>
      <c r="Z1369" s="270"/>
      <c r="AA1369" s="270"/>
      <c r="AB1369" s="270"/>
      <c r="AC1369" s="270"/>
      <c r="AD1369" s="270"/>
      <c r="AE1369" s="270"/>
      <c r="AF1369" s="270"/>
      <c r="AG1369" s="270"/>
      <c r="AH1369" s="270"/>
      <c r="AI1369" s="270"/>
      <c r="AJ1369" s="270"/>
      <c r="AK1369" s="270"/>
      <c r="AL1369" s="270"/>
      <c r="AM1369" s="663"/>
      <c r="AN1369" s="663"/>
      <c r="AO1369" s="708" t="str">
        <f>IF(OR(Table1[[#This Row],[Início Setup Envase]]="",Table1[[#This Row],[Final Setup Envase]]=""),"",Table1[[#This Row],[Final Setup Envase]]-Table1[[#This Row],[Início Setup Envase]])</f>
        <v/>
      </c>
      <c r="AP1369" s="663"/>
      <c r="AQ1369" s="663"/>
      <c r="AR1369" s="270"/>
      <c r="AS1369" s="674"/>
      <c r="AT1369" s="674"/>
      <c r="AU1369" s="270"/>
      <c r="AV1369" s="270"/>
      <c r="AW1369" s="270"/>
      <c r="AX1369" s="270"/>
      <c r="AY1369" s="270"/>
      <c r="AZ1369" s="270"/>
      <c r="BA1369" s="270" t="str">
        <f>IF(Table1[[#This Row],[Data de Início]]="","",YEAR(Table1[[#This Row],[Data de Início]]))</f>
        <v/>
      </c>
      <c r="BB1369" s="270" t="str">
        <f>IF(Table1[[#This Row],[Data de Início]]="","",MONTH(Table1[[#This Row],[Data de Início]]))</f>
        <v/>
      </c>
      <c r="BC1369" s="483"/>
    </row>
    <row r="1370" spans="2:55" x14ac:dyDescent="0.25">
      <c r="B1370" s="470"/>
      <c r="C1370" s="263"/>
      <c r="D1370" s="477" cm="1">
        <f t="array" ref="D1370">IFERROR(HorasUteisFabrica2Turnos(B1370,C1370), "")</f>
        <v>0</v>
      </c>
      <c r="E1370" s="478" t="str">
        <f t="shared" si="21"/>
        <v/>
      </c>
      <c r="F1370" s="266"/>
      <c r="G1370" s="656"/>
      <c r="H1370" s="479"/>
      <c r="I1370" s="268"/>
      <c r="J1370" s="268"/>
      <c r="K1370" s="268"/>
      <c r="L1370" s="269"/>
      <c r="M1370" s="511" t="str">
        <f>IFERROR(INDEX([1]Produtos!$C:$C,MATCH(L1370,[1]Produtos!$B:$B,0)), "-")</f>
        <v>-</v>
      </c>
      <c r="N1370" s="511" t="str">
        <f>IFERROR(INDEX([1]Produtos!$E:$E,MATCH(L1370,[1]Produtos!$B:$B,0)), "-")</f>
        <v>-</v>
      </c>
      <c r="O1370" s="483" t="str">
        <f>IFERROR(INDEX([1]Produtos!$F:$F,MATCH(L1370,[1]Produtos!$B:$B,0)), "-")</f>
        <v>-</v>
      </c>
      <c r="P1370" s="477" t="str">
        <f>IFERROR(INDEX([1]Produtos!$G:$G,MATCH(L1370,[1]Produtos!$B:$B,0)), "-")</f>
        <v>-</v>
      </c>
      <c r="Q1370" s="483" t="str">
        <f>IFERROR(INDEX([1]Produtos!$H:$H,MATCH(L1370,[1]Produtos!$B:$B,0)), "-")</f>
        <v>-</v>
      </c>
      <c r="R1370" s="483" t="str">
        <f>IFERROR(INDEX([1]Produtos!$I:$I,MATCH(L1370,[1]Produtos!$B:$B,0)), "-")</f>
        <v>-</v>
      </c>
      <c r="S1370" s="483" t="str">
        <f>IFERROR(INDEX([1]Produtos!$J:$J,MATCH(L1370,[1]Produtos!$B:$B,0)), "-")</f>
        <v>-</v>
      </c>
      <c r="T1370" s="484"/>
      <c r="U1370" s="483"/>
      <c r="V1370" s="483"/>
      <c r="W1370" s="483"/>
      <c r="X1370" s="483"/>
      <c r="Y1370" s="483"/>
      <c r="Z1370" s="483"/>
      <c r="AA1370" s="483"/>
      <c r="AB1370" s="483"/>
      <c r="AC1370" s="483"/>
      <c r="AD1370" s="483"/>
      <c r="AE1370" s="483"/>
      <c r="AF1370" s="483"/>
      <c r="AG1370" s="483"/>
      <c r="AH1370" s="483"/>
      <c r="AI1370" s="483"/>
      <c r="AJ1370" s="483"/>
      <c r="AK1370" s="483"/>
      <c r="AL1370" s="483"/>
      <c r="AM1370" s="670"/>
      <c r="AN1370" s="670"/>
      <c r="AO1370" s="711" t="str">
        <f>IF(OR(Table1[[#This Row],[Início Setup Envase]]="",Table1[[#This Row],[Final Setup Envase]]=""),"",Table1[[#This Row],[Final Setup Envase]]-Table1[[#This Row],[Início Setup Envase]])</f>
        <v/>
      </c>
      <c r="AP1370" s="670"/>
      <c r="AQ1370" s="670"/>
      <c r="AR1370" s="483"/>
      <c r="AS1370" s="483"/>
      <c r="AT1370" s="483"/>
      <c r="AU1370" s="483"/>
      <c r="AV1370" s="483"/>
      <c r="AW1370" s="483"/>
      <c r="AX1370" s="483"/>
      <c r="AY1370" s="270"/>
      <c r="AZ1370" s="270"/>
      <c r="BA1370" s="270" t="str">
        <f>IF(Table1[[#This Row],[Data de Início]]="","",YEAR(Table1[[#This Row],[Data de Início]]))</f>
        <v/>
      </c>
      <c r="BB1370" s="270" t="str">
        <f>IF(Table1[[#This Row],[Data de Início]]="","",MONTH(Table1[[#This Row],[Data de Início]]))</f>
        <v/>
      </c>
      <c r="BC1370" s="270"/>
    </row>
    <row r="1371" spans="2:55" x14ac:dyDescent="0.25">
      <c r="B1371" s="470"/>
      <c r="C1371" s="263"/>
      <c r="D1371" s="477" cm="1">
        <f t="array" ref="D1371">IFERROR(HorasUteisFabrica2Turnos(B1371,C1371), "")</f>
        <v>0</v>
      </c>
      <c r="E1371" s="697" t="str">
        <f t="shared" si="21"/>
        <v/>
      </c>
      <c r="F1371" s="266"/>
      <c r="G1371" s="698"/>
      <c r="H1371" s="266"/>
      <c r="I1371" s="268"/>
      <c r="J1371" s="268"/>
      <c r="K1371" s="268"/>
      <c r="L1371" s="269"/>
      <c r="M1371" s="510" t="str">
        <f>IFERROR(INDEX([1]Produtos!$C:$C,MATCH(L1371,[1]Produtos!$B:$B,0)), "-")</f>
        <v>-</v>
      </c>
      <c r="N1371" s="510" t="str">
        <f>IFERROR(INDEX([1]Produtos!$E:$E,MATCH(L1371,[1]Produtos!$B:$B,0)), "-")</f>
        <v>-</v>
      </c>
      <c r="O1371" s="270" t="str">
        <f>IFERROR(INDEX([1]Produtos!$F:$F,MATCH(L1371,[1]Produtos!$B:$B,0)), "-")</f>
        <v>-</v>
      </c>
      <c r="P1371" s="264" t="str">
        <f>IFERROR(INDEX([1]Produtos!$G:$G,MATCH(L1371,[1]Produtos!$B:$B,0)), "-")</f>
        <v>-</v>
      </c>
      <c r="Q1371" s="270" t="str">
        <f>IFERROR(INDEX([1]Produtos!$H:$H,MATCH(L1371,[1]Produtos!$B:$B,0)), "-")</f>
        <v>-</v>
      </c>
      <c r="R1371" s="270" t="str">
        <f>IFERROR(INDEX([1]Produtos!$I:$I,MATCH(L1371,[1]Produtos!$B:$B,0)), "-")</f>
        <v>-</v>
      </c>
      <c r="S1371" s="270" t="str">
        <f>IFERROR(INDEX([1]Produtos!$J:$J,MATCH(L1371,[1]Produtos!$B:$B,0)), "-")</f>
        <v>-</v>
      </c>
      <c r="T1371" s="475"/>
      <c r="U1371" s="270"/>
      <c r="V1371" s="270"/>
      <c r="W1371" s="270"/>
      <c r="X1371" s="270"/>
      <c r="Y1371" s="270"/>
      <c r="Z1371" s="270"/>
      <c r="AA1371" s="270"/>
      <c r="AB1371" s="270"/>
      <c r="AC1371" s="270"/>
      <c r="AD1371" s="270"/>
      <c r="AE1371" s="270"/>
      <c r="AF1371" s="270"/>
      <c r="AG1371" s="270"/>
      <c r="AH1371" s="270"/>
      <c r="AI1371" s="270"/>
      <c r="AJ1371" s="270"/>
      <c r="AK1371" s="270"/>
      <c r="AL1371" s="270"/>
      <c r="AM1371" s="663"/>
      <c r="AN1371" s="663"/>
      <c r="AO1371" s="708" t="str">
        <f>IF(OR(Table1[[#This Row],[Início Setup Envase]]="",Table1[[#This Row],[Final Setup Envase]]=""),"",Table1[[#This Row],[Final Setup Envase]]-Table1[[#This Row],[Início Setup Envase]])</f>
        <v/>
      </c>
      <c r="AP1371" s="663"/>
      <c r="AQ1371" s="663"/>
      <c r="AR1371" s="270"/>
      <c r="AS1371" s="674"/>
      <c r="AT1371" s="674"/>
      <c r="AU1371" s="270"/>
      <c r="AV1371" s="270"/>
      <c r="AW1371" s="270"/>
      <c r="AX1371" s="270"/>
      <c r="AY1371" s="270"/>
      <c r="AZ1371" s="270"/>
      <c r="BA1371" s="270" t="str">
        <f>IF(Table1[[#This Row],[Data de Início]]="","",YEAR(Table1[[#This Row],[Data de Início]]))</f>
        <v/>
      </c>
      <c r="BB1371" s="270" t="str">
        <f>IF(Table1[[#This Row],[Data de Início]]="","",MONTH(Table1[[#This Row],[Data de Início]]))</f>
        <v/>
      </c>
      <c r="BC1371" s="483"/>
    </row>
    <row r="1372" spans="2:55" x14ac:dyDescent="0.25">
      <c r="B1372" s="470"/>
      <c r="C1372" s="263"/>
      <c r="D1372" s="477" cm="1">
        <f t="array" ref="D1372">IFERROR(HorasUteisFabrica2Turnos(B1372,C1372), "")</f>
        <v>0</v>
      </c>
      <c r="E1372" s="478" t="str">
        <f t="shared" si="21"/>
        <v/>
      </c>
      <c r="F1372" s="266"/>
      <c r="G1372" s="656"/>
      <c r="H1372" s="479"/>
      <c r="I1372" s="268"/>
      <c r="J1372" s="268"/>
      <c r="K1372" s="268"/>
      <c r="L1372" s="269"/>
      <c r="M1372" s="511" t="str">
        <f>IFERROR(INDEX([1]Produtos!$C:$C,MATCH(L1372,[1]Produtos!$B:$B,0)), "-")</f>
        <v>-</v>
      </c>
      <c r="N1372" s="511" t="str">
        <f>IFERROR(INDEX([1]Produtos!$E:$E,MATCH(L1372,[1]Produtos!$B:$B,0)), "-")</f>
        <v>-</v>
      </c>
      <c r="O1372" s="483" t="str">
        <f>IFERROR(INDEX([1]Produtos!$F:$F,MATCH(L1372,[1]Produtos!$B:$B,0)), "-")</f>
        <v>-</v>
      </c>
      <c r="P1372" s="477" t="str">
        <f>IFERROR(INDEX([1]Produtos!$G:$G,MATCH(L1372,[1]Produtos!$B:$B,0)), "-")</f>
        <v>-</v>
      </c>
      <c r="Q1372" s="483" t="str">
        <f>IFERROR(INDEX([1]Produtos!$H:$H,MATCH(L1372,[1]Produtos!$B:$B,0)), "-")</f>
        <v>-</v>
      </c>
      <c r="R1372" s="483" t="str">
        <f>IFERROR(INDEX([1]Produtos!$I:$I,MATCH(L1372,[1]Produtos!$B:$B,0)), "-")</f>
        <v>-</v>
      </c>
      <c r="S1372" s="483" t="str">
        <f>IFERROR(INDEX([1]Produtos!$J:$J,MATCH(L1372,[1]Produtos!$B:$B,0)), "-")</f>
        <v>-</v>
      </c>
      <c r="T1372" s="484"/>
      <c r="U1372" s="483"/>
      <c r="V1372" s="483"/>
      <c r="W1372" s="483"/>
      <c r="X1372" s="483"/>
      <c r="Y1372" s="483"/>
      <c r="Z1372" s="483"/>
      <c r="AA1372" s="483"/>
      <c r="AB1372" s="483"/>
      <c r="AC1372" s="483"/>
      <c r="AD1372" s="483"/>
      <c r="AE1372" s="483"/>
      <c r="AF1372" s="483"/>
      <c r="AG1372" s="483"/>
      <c r="AH1372" s="483"/>
      <c r="AI1372" s="483"/>
      <c r="AJ1372" s="483"/>
      <c r="AK1372" s="483"/>
      <c r="AL1372" s="483"/>
      <c r="AM1372" s="670"/>
      <c r="AN1372" s="670"/>
      <c r="AO1372" s="711" t="str">
        <f>IF(OR(Table1[[#This Row],[Início Setup Envase]]="",Table1[[#This Row],[Final Setup Envase]]=""),"",Table1[[#This Row],[Final Setup Envase]]-Table1[[#This Row],[Início Setup Envase]])</f>
        <v/>
      </c>
      <c r="AP1372" s="670"/>
      <c r="AQ1372" s="670"/>
      <c r="AR1372" s="483"/>
      <c r="AS1372" s="483"/>
      <c r="AT1372" s="483"/>
      <c r="AU1372" s="483"/>
      <c r="AV1372" s="483"/>
      <c r="AW1372" s="483"/>
      <c r="AX1372" s="483"/>
      <c r="AY1372" s="270"/>
      <c r="AZ1372" s="270"/>
      <c r="BA1372" s="270" t="str">
        <f>IF(Table1[[#This Row],[Data de Início]]="","",YEAR(Table1[[#This Row],[Data de Início]]))</f>
        <v/>
      </c>
      <c r="BB1372" s="270" t="str">
        <f>IF(Table1[[#This Row],[Data de Início]]="","",MONTH(Table1[[#This Row],[Data de Início]]))</f>
        <v/>
      </c>
      <c r="BC1372" s="270"/>
    </row>
    <row r="1373" spans="2:55" x14ac:dyDescent="0.25">
      <c r="B1373" s="470"/>
      <c r="C1373" s="263"/>
      <c r="D1373" s="477" cm="1">
        <f t="array" ref="D1373">IFERROR(HorasUteisFabrica2Turnos(B1373,C1373), "")</f>
        <v>0</v>
      </c>
      <c r="E1373" s="697" t="str">
        <f t="shared" si="21"/>
        <v/>
      </c>
      <c r="F1373" s="266"/>
      <c r="G1373" s="698"/>
      <c r="H1373" s="266"/>
      <c r="I1373" s="268"/>
      <c r="J1373" s="268"/>
      <c r="K1373" s="268"/>
      <c r="L1373" s="269"/>
      <c r="M1373" s="510" t="str">
        <f>IFERROR(INDEX([1]Produtos!$C:$C,MATCH(L1373,[1]Produtos!$B:$B,0)), "-")</f>
        <v>-</v>
      </c>
      <c r="N1373" s="510" t="str">
        <f>IFERROR(INDEX([1]Produtos!$E:$E,MATCH(L1373,[1]Produtos!$B:$B,0)), "-")</f>
        <v>-</v>
      </c>
      <c r="O1373" s="270" t="str">
        <f>IFERROR(INDEX([1]Produtos!$F:$F,MATCH(L1373,[1]Produtos!$B:$B,0)), "-")</f>
        <v>-</v>
      </c>
      <c r="P1373" s="264" t="str">
        <f>IFERROR(INDEX([1]Produtos!$G:$G,MATCH(L1373,[1]Produtos!$B:$B,0)), "-")</f>
        <v>-</v>
      </c>
      <c r="Q1373" s="270" t="str">
        <f>IFERROR(INDEX([1]Produtos!$H:$H,MATCH(L1373,[1]Produtos!$B:$B,0)), "-")</f>
        <v>-</v>
      </c>
      <c r="R1373" s="270" t="str">
        <f>IFERROR(INDEX([1]Produtos!$I:$I,MATCH(L1373,[1]Produtos!$B:$B,0)), "-")</f>
        <v>-</v>
      </c>
      <c r="S1373" s="270" t="str">
        <f>IFERROR(INDEX([1]Produtos!$J:$J,MATCH(L1373,[1]Produtos!$B:$B,0)), "-")</f>
        <v>-</v>
      </c>
      <c r="T1373" s="475"/>
      <c r="U1373" s="270"/>
      <c r="V1373" s="270"/>
      <c r="W1373" s="270"/>
      <c r="X1373" s="270"/>
      <c r="Y1373" s="270"/>
      <c r="Z1373" s="270"/>
      <c r="AA1373" s="270"/>
      <c r="AB1373" s="270"/>
      <c r="AC1373" s="270"/>
      <c r="AD1373" s="270"/>
      <c r="AE1373" s="270"/>
      <c r="AF1373" s="270"/>
      <c r="AG1373" s="270"/>
      <c r="AH1373" s="270"/>
      <c r="AI1373" s="270"/>
      <c r="AJ1373" s="270"/>
      <c r="AK1373" s="270"/>
      <c r="AL1373" s="270"/>
      <c r="AM1373" s="663"/>
      <c r="AN1373" s="663"/>
      <c r="AO1373" s="708" t="str">
        <f>IF(OR(Table1[[#This Row],[Início Setup Envase]]="",Table1[[#This Row],[Final Setup Envase]]=""),"",Table1[[#This Row],[Final Setup Envase]]-Table1[[#This Row],[Início Setup Envase]])</f>
        <v/>
      </c>
      <c r="AP1373" s="663"/>
      <c r="AQ1373" s="663"/>
      <c r="AR1373" s="270"/>
      <c r="AS1373" s="674"/>
      <c r="AT1373" s="674"/>
      <c r="AU1373" s="270"/>
      <c r="AV1373" s="270"/>
      <c r="AW1373" s="270"/>
      <c r="AX1373" s="270"/>
      <c r="AY1373" s="270"/>
      <c r="AZ1373" s="270"/>
      <c r="BA1373" s="270" t="str">
        <f>IF(Table1[[#This Row],[Data de Início]]="","",YEAR(Table1[[#This Row],[Data de Início]]))</f>
        <v/>
      </c>
      <c r="BB1373" s="270" t="str">
        <f>IF(Table1[[#This Row],[Data de Início]]="","",MONTH(Table1[[#This Row],[Data de Início]]))</f>
        <v/>
      </c>
      <c r="BC1373" s="483"/>
    </row>
    <row r="1374" spans="2:55" x14ac:dyDescent="0.25">
      <c r="B1374" s="470"/>
      <c r="C1374" s="263"/>
      <c r="D1374" s="477" cm="1">
        <f t="array" ref="D1374">IFERROR(HorasUteisFabrica2Turnos(B1374,C1374), "")</f>
        <v>0</v>
      </c>
      <c r="E1374" s="478" t="str">
        <f t="shared" si="21"/>
        <v/>
      </c>
      <c r="F1374" s="266"/>
      <c r="G1374" s="656"/>
      <c r="H1374" s="479"/>
      <c r="I1374" s="268"/>
      <c r="J1374" s="268"/>
      <c r="K1374" s="268"/>
      <c r="L1374" s="269"/>
      <c r="M1374" s="511" t="str">
        <f>IFERROR(INDEX([1]Produtos!$C:$C,MATCH(L1374,[1]Produtos!$B:$B,0)), "-")</f>
        <v>-</v>
      </c>
      <c r="N1374" s="511" t="str">
        <f>IFERROR(INDEX([1]Produtos!$E:$E,MATCH(L1374,[1]Produtos!$B:$B,0)), "-")</f>
        <v>-</v>
      </c>
      <c r="O1374" s="483" t="str">
        <f>IFERROR(INDEX([1]Produtos!$F:$F,MATCH(L1374,[1]Produtos!$B:$B,0)), "-")</f>
        <v>-</v>
      </c>
      <c r="P1374" s="477" t="str">
        <f>IFERROR(INDEX([1]Produtos!$G:$G,MATCH(L1374,[1]Produtos!$B:$B,0)), "-")</f>
        <v>-</v>
      </c>
      <c r="Q1374" s="483" t="str">
        <f>IFERROR(INDEX([1]Produtos!$H:$H,MATCH(L1374,[1]Produtos!$B:$B,0)), "-")</f>
        <v>-</v>
      </c>
      <c r="R1374" s="483" t="str">
        <f>IFERROR(INDEX([1]Produtos!$I:$I,MATCH(L1374,[1]Produtos!$B:$B,0)), "-")</f>
        <v>-</v>
      </c>
      <c r="S1374" s="483" t="str">
        <f>IFERROR(INDEX([1]Produtos!$J:$J,MATCH(L1374,[1]Produtos!$B:$B,0)), "-")</f>
        <v>-</v>
      </c>
      <c r="T1374" s="484"/>
      <c r="U1374" s="483"/>
      <c r="V1374" s="483"/>
      <c r="W1374" s="483"/>
      <c r="X1374" s="483"/>
      <c r="Y1374" s="483"/>
      <c r="Z1374" s="483"/>
      <c r="AA1374" s="483"/>
      <c r="AB1374" s="483"/>
      <c r="AC1374" s="483"/>
      <c r="AD1374" s="483"/>
      <c r="AE1374" s="483"/>
      <c r="AF1374" s="483"/>
      <c r="AG1374" s="483"/>
      <c r="AH1374" s="483"/>
      <c r="AI1374" s="483"/>
      <c r="AJ1374" s="483"/>
      <c r="AK1374" s="483"/>
      <c r="AL1374" s="483"/>
      <c r="AM1374" s="670"/>
      <c r="AN1374" s="670"/>
      <c r="AO1374" s="711" t="str">
        <f>IF(OR(Table1[[#This Row],[Início Setup Envase]]="",Table1[[#This Row],[Final Setup Envase]]=""),"",Table1[[#This Row],[Final Setup Envase]]-Table1[[#This Row],[Início Setup Envase]])</f>
        <v/>
      </c>
      <c r="AP1374" s="670"/>
      <c r="AQ1374" s="670"/>
      <c r="AR1374" s="483"/>
      <c r="AS1374" s="483"/>
      <c r="AT1374" s="483"/>
      <c r="AU1374" s="483"/>
      <c r="AV1374" s="483"/>
      <c r="AW1374" s="483"/>
      <c r="AX1374" s="483"/>
      <c r="AY1374" s="270"/>
      <c r="AZ1374" s="270"/>
      <c r="BA1374" s="270" t="str">
        <f>IF(Table1[[#This Row],[Data de Início]]="","",YEAR(Table1[[#This Row],[Data de Início]]))</f>
        <v/>
      </c>
      <c r="BB1374" s="270" t="str">
        <f>IF(Table1[[#This Row],[Data de Início]]="","",MONTH(Table1[[#This Row],[Data de Início]]))</f>
        <v/>
      </c>
      <c r="BC1374" s="270"/>
    </row>
    <row r="1375" spans="2:55" x14ac:dyDescent="0.25">
      <c r="B1375" s="470"/>
      <c r="C1375" s="263"/>
      <c r="D1375" s="477" cm="1">
        <f t="array" ref="D1375">IFERROR(HorasUteisFabrica2Turnos(B1375,C1375), "")</f>
        <v>0</v>
      </c>
      <c r="E1375" s="697" t="str">
        <f t="shared" si="21"/>
        <v/>
      </c>
      <c r="F1375" s="266"/>
      <c r="G1375" s="698"/>
      <c r="H1375" s="266"/>
      <c r="I1375" s="268"/>
      <c r="J1375" s="268"/>
      <c r="K1375" s="268"/>
      <c r="L1375" s="269"/>
      <c r="M1375" s="510" t="str">
        <f>IFERROR(INDEX([1]Produtos!$C:$C,MATCH(L1375,[1]Produtos!$B:$B,0)), "-")</f>
        <v>-</v>
      </c>
      <c r="N1375" s="510" t="str">
        <f>IFERROR(INDEX([1]Produtos!$E:$E,MATCH(L1375,[1]Produtos!$B:$B,0)), "-")</f>
        <v>-</v>
      </c>
      <c r="O1375" s="270" t="str">
        <f>IFERROR(INDEX([1]Produtos!$F:$F,MATCH(L1375,[1]Produtos!$B:$B,0)), "-")</f>
        <v>-</v>
      </c>
      <c r="P1375" s="264" t="str">
        <f>IFERROR(INDEX([1]Produtos!$G:$G,MATCH(L1375,[1]Produtos!$B:$B,0)), "-")</f>
        <v>-</v>
      </c>
      <c r="Q1375" s="270" t="str">
        <f>IFERROR(INDEX([1]Produtos!$H:$H,MATCH(L1375,[1]Produtos!$B:$B,0)), "-")</f>
        <v>-</v>
      </c>
      <c r="R1375" s="270" t="str">
        <f>IFERROR(INDEX([1]Produtos!$I:$I,MATCH(L1375,[1]Produtos!$B:$B,0)), "-")</f>
        <v>-</v>
      </c>
      <c r="S1375" s="270" t="str">
        <f>IFERROR(INDEX([1]Produtos!$J:$J,MATCH(L1375,[1]Produtos!$B:$B,0)), "-")</f>
        <v>-</v>
      </c>
      <c r="T1375" s="475"/>
      <c r="U1375" s="270"/>
      <c r="V1375" s="270"/>
      <c r="W1375" s="270"/>
      <c r="X1375" s="270"/>
      <c r="Y1375" s="270"/>
      <c r="Z1375" s="270"/>
      <c r="AA1375" s="270"/>
      <c r="AB1375" s="270"/>
      <c r="AC1375" s="270"/>
      <c r="AD1375" s="270"/>
      <c r="AE1375" s="270"/>
      <c r="AF1375" s="270"/>
      <c r="AG1375" s="270"/>
      <c r="AH1375" s="270"/>
      <c r="AI1375" s="270"/>
      <c r="AJ1375" s="270"/>
      <c r="AK1375" s="270"/>
      <c r="AL1375" s="270"/>
      <c r="AM1375" s="663"/>
      <c r="AN1375" s="663"/>
      <c r="AO1375" s="708" t="str">
        <f>IF(OR(Table1[[#This Row],[Início Setup Envase]]="",Table1[[#This Row],[Final Setup Envase]]=""),"",Table1[[#This Row],[Final Setup Envase]]-Table1[[#This Row],[Início Setup Envase]])</f>
        <v/>
      </c>
      <c r="AP1375" s="663"/>
      <c r="AQ1375" s="663"/>
      <c r="AR1375" s="270"/>
      <c r="AS1375" s="674"/>
      <c r="AT1375" s="674"/>
      <c r="AU1375" s="270"/>
      <c r="AV1375" s="270"/>
      <c r="AW1375" s="270"/>
      <c r="AX1375" s="270"/>
      <c r="AY1375" s="270"/>
      <c r="AZ1375" s="270"/>
      <c r="BA1375" s="270" t="str">
        <f>IF(Table1[[#This Row],[Data de Início]]="","",YEAR(Table1[[#This Row],[Data de Início]]))</f>
        <v/>
      </c>
      <c r="BB1375" s="270" t="str">
        <f>IF(Table1[[#This Row],[Data de Início]]="","",MONTH(Table1[[#This Row],[Data de Início]]))</f>
        <v/>
      </c>
      <c r="BC1375" s="483"/>
    </row>
    <row r="1376" spans="2:55" x14ac:dyDescent="0.25">
      <c r="B1376" s="470"/>
      <c r="C1376" s="263"/>
      <c r="D1376" s="477" cm="1">
        <f t="array" ref="D1376">IFERROR(HorasUteisFabrica2Turnos(B1376,C1376), "")</f>
        <v>0</v>
      </c>
      <c r="E1376" s="478" t="str">
        <f t="shared" si="21"/>
        <v/>
      </c>
      <c r="F1376" s="266"/>
      <c r="G1376" s="656"/>
      <c r="H1376" s="479"/>
      <c r="I1376" s="268"/>
      <c r="J1376" s="268"/>
      <c r="K1376" s="268"/>
      <c r="L1376" s="269"/>
      <c r="M1376" s="511" t="str">
        <f>IFERROR(INDEX([1]Produtos!$C:$C,MATCH(L1376,[1]Produtos!$B:$B,0)), "-")</f>
        <v>-</v>
      </c>
      <c r="N1376" s="511" t="str">
        <f>IFERROR(INDEX([1]Produtos!$E:$E,MATCH(L1376,[1]Produtos!$B:$B,0)), "-")</f>
        <v>-</v>
      </c>
      <c r="O1376" s="483" t="str">
        <f>IFERROR(INDEX([1]Produtos!$F:$F,MATCH(L1376,[1]Produtos!$B:$B,0)), "-")</f>
        <v>-</v>
      </c>
      <c r="P1376" s="477" t="str">
        <f>IFERROR(INDEX([1]Produtos!$G:$G,MATCH(L1376,[1]Produtos!$B:$B,0)), "-")</f>
        <v>-</v>
      </c>
      <c r="Q1376" s="483" t="str">
        <f>IFERROR(INDEX([1]Produtos!$H:$H,MATCH(L1376,[1]Produtos!$B:$B,0)), "-")</f>
        <v>-</v>
      </c>
      <c r="R1376" s="483" t="str">
        <f>IFERROR(INDEX([1]Produtos!$I:$I,MATCH(L1376,[1]Produtos!$B:$B,0)), "-")</f>
        <v>-</v>
      </c>
      <c r="S1376" s="483" t="str">
        <f>IFERROR(INDEX([1]Produtos!$J:$J,MATCH(L1376,[1]Produtos!$B:$B,0)), "-")</f>
        <v>-</v>
      </c>
      <c r="T1376" s="484"/>
      <c r="U1376" s="483"/>
      <c r="V1376" s="483"/>
      <c r="W1376" s="483"/>
      <c r="X1376" s="483"/>
      <c r="Y1376" s="483"/>
      <c r="Z1376" s="483"/>
      <c r="AA1376" s="483"/>
      <c r="AB1376" s="483"/>
      <c r="AC1376" s="483"/>
      <c r="AD1376" s="483"/>
      <c r="AE1376" s="483"/>
      <c r="AF1376" s="483"/>
      <c r="AG1376" s="483"/>
      <c r="AH1376" s="483"/>
      <c r="AI1376" s="483"/>
      <c r="AJ1376" s="483"/>
      <c r="AK1376" s="483"/>
      <c r="AL1376" s="483"/>
      <c r="AM1376" s="670"/>
      <c r="AN1376" s="670"/>
      <c r="AO1376" s="711" t="str">
        <f>IF(OR(Table1[[#This Row],[Início Setup Envase]]="",Table1[[#This Row],[Final Setup Envase]]=""),"",Table1[[#This Row],[Final Setup Envase]]-Table1[[#This Row],[Início Setup Envase]])</f>
        <v/>
      </c>
      <c r="AP1376" s="670"/>
      <c r="AQ1376" s="670"/>
      <c r="AR1376" s="483"/>
      <c r="AS1376" s="483"/>
      <c r="AT1376" s="483"/>
      <c r="AU1376" s="483"/>
      <c r="AV1376" s="483"/>
      <c r="AW1376" s="483"/>
      <c r="AX1376" s="483"/>
      <c r="AY1376" s="270"/>
      <c r="AZ1376" s="270"/>
      <c r="BA1376" s="270" t="str">
        <f>IF(Table1[[#This Row],[Data de Início]]="","",YEAR(Table1[[#This Row],[Data de Início]]))</f>
        <v/>
      </c>
      <c r="BB1376" s="270" t="str">
        <f>IF(Table1[[#This Row],[Data de Início]]="","",MONTH(Table1[[#This Row],[Data de Início]]))</f>
        <v/>
      </c>
      <c r="BC1376" s="270"/>
    </row>
    <row r="1377" spans="2:55" x14ac:dyDescent="0.25">
      <c r="B1377" s="470"/>
      <c r="C1377" s="263"/>
      <c r="D1377" s="477" cm="1">
        <f t="array" ref="D1377">IFERROR(HorasUteisFabrica2Turnos(B1377,C1377), "")</f>
        <v>0</v>
      </c>
      <c r="E1377" s="697" t="str">
        <f t="shared" si="21"/>
        <v/>
      </c>
      <c r="F1377" s="266"/>
      <c r="G1377" s="698"/>
      <c r="H1377" s="266"/>
      <c r="I1377" s="268"/>
      <c r="J1377" s="268"/>
      <c r="K1377" s="268"/>
      <c r="L1377" s="269"/>
      <c r="M1377" s="510" t="str">
        <f>IFERROR(INDEX([1]Produtos!$C:$C,MATCH(L1377,[1]Produtos!$B:$B,0)), "-")</f>
        <v>-</v>
      </c>
      <c r="N1377" s="510" t="str">
        <f>IFERROR(INDEX([1]Produtos!$E:$E,MATCH(L1377,[1]Produtos!$B:$B,0)), "-")</f>
        <v>-</v>
      </c>
      <c r="O1377" s="270" t="str">
        <f>IFERROR(INDEX([1]Produtos!$F:$F,MATCH(L1377,[1]Produtos!$B:$B,0)), "-")</f>
        <v>-</v>
      </c>
      <c r="P1377" s="264" t="str">
        <f>IFERROR(INDEX([1]Produtos!$G:$G,MATCH(L1377,[1]Produtos!$B:$B,0)), "-")</f>
        <v>-</v>
      </c>
      <c r="Q1377" s="270" t="str">
        <f>IFERROR(INDEX([1]Produtos!$H:$H,MATCH(L1377,[1]Produtos!$B:$B,0)), "-")</f>
        <v>-</v>
      </c>
      <c r="R1377" s="270" t="str">
        <f>IFERROR(INDEX([1]Produtos!$I:$I,MATCH(L1377,[1]Produtos!$B:$B,0)), "-")</f>
        <v>-</v>
      </c>
      <c r="S1377" s="270" t="str">
        <f>IFERROR(INDEX([1]Produtos!$J:$J,MATCH(L1377,[1]Produtos!$B:$B,0)), "-")</f>
        <v>-</v>
      </c>
      <c r="T1377" s="475"/>
      <c r="U1377" s="270"/>
      <c r="V1377" s="270"/>
      <c r="W1377" s="270"/>
      <c r="X1377" s="270"/>
      <c r="Y1377" s="270"/>
      <c r="Z1377" s="270"/>
      <c r="AA1377" s="270"/>
      <c r="AB1377" s="270"/>
      <c r="AC1377" s="270"/>
      <c r="AD1377" s="270"/>
      <c r="AE1377" s="270"/>
      <c r="AF1377" s="270"/>
      <c r="AG1377" s="270"/>
      <c r="AH1377" s="270"/>
      <c r="AI1377" s="270"/>
      <c r="AJ1377" s="270"/>
      <c r="AK1377" s="270"/>
      <c r="AL1377" s="270"/>
      <c r="AM1377" s="663"/>
      <c r="AN1377" s="663"/>
      <c r="AO1377" s="708" t="str">
        <f>IF(OR(Table1[[#This Row],[Início Setup Envase]]="",Table1[[#This Row],[Final Setup Envase]]=""),"",Table1[[#This Row],[Final Setup Envase]]-Table1[[#This Row],[Início Setup Envase]])</f>
        <v/>
      </c>
      <c r="AP1377" s="663"/>
      <c r="AQ1377" s="663"/>
      <c r="AR1377" s="270"/>
      <c r="AS1377" s="674"/>
      <c r="AT1377" s="674"/>
      <c r="AU1377" s="270"/>
      <c r="AV1377" s="270"/>
      <c r="AW1377" s="270"/>
      <c r="AX1377" s="270"/>
      <c r="AY1377" s="270"/>
      <c r="AZ1377" s="270"/>
      <c r="BA1377" s="270" t="str">
        <f>IF(Table1[[#This Row],[Data de Início]]="","",YEAR(Table1[[#This Row],[Data de Início]]))</f>
        <v/>
      </c>
      <c r="BB1377" s="270" t="str">
        <f>IF(Table1[[#This Row],[Data de Início]]="","",MONTH(Table1[[#This Row],[Data de Início]]))</f>
        <v/>
      </c>
      <c r="BC1377" s="483"/>
    </row>
    <row r="1378" spans="2:55" x14ac:dyDescent="0.25">
      <c r="B1378" s="470"/>
      <c r="C1378" s="263"/>
      <c r="D1378" s="477" cm="1">
        <f t="array" ref="D1378">IFERROR(HorasUteisFabrica2Turnos(B1378,C1378), "")</f>
        <v>0</v>
      </c>
      <c r="E1378" s="478" t="str">
        <f t="shared" si="21"/>
        <v/>
      </c>
      <c r="F1378" s="266"/>
      <c r="G1378" s="656"/>
      <c r="H1378" s="479"/>
      <c r="I1378" s="268"/>
      <c r="J1378" s="268"/>
      <c r="K1378" s="268"/>
      <c r="L1378" s="269"/>
      <c r="M1378" s="511" t="str">
        <f>IFERROR(INDEX([1]Produtos!$C:$C,MATCH(L1378,[1]Produtos!$B:$B,0)), "-")</f>
        <v>-</v>
      </c>
      <c r="N1378" s="511" t="str">
        <f>IFERROR(INDEX([1]Produtos!$E:$E,MATCH(L1378,[1]Produtos!$B:$B,0)), "-")</f>
        <v>-</v>
      </c>
      <c r="O1378" s="483" t="str">
        <f>IFERROR(INDEX([1]Produtos!$F:$F,MATCH(L1378,[1]Produtos!$B:$B,0)), "-")</f>
        <v>-</v>
      </c>
      <c r="P1378" s="477" t="str">
        <f>IFERROR(INDEX([1]Produtos!$G:$G,MATCH(L1378,[1]Produtos!$B:$B,0)), "-")</f>
        <v>-</v>
      </c>
      <c r="Q1378" s="483" t="str">
        <f>IFERROR(INDEX([1]Produtos!$H:$H,MATCH(L1378,[1]Produtos!$B:$B,0)), "-")</f>
        <v>-</v>
      </c>
      <c r="R1378" s="483" t="str">
        <f>IFERROR(INDEX([1]Produtos!$I:$I,MATCH(L1378,[1]Produtos!$B:$B,0)), "-")</f>
        <v>-</v>
      </c>
      <c r="S1378" s="483" t="str">
        <f>IFERROR(INDEX([1]Produtos!$J:$J,MATCH(L1378,[1]Produtos!$B:$B,0)), "-")</f>
        <v>-</v>
      </c>
      <c r="T1378" s="484"/>
      <c r="U1378" s="483"/>
      <c r="V1378" s="483"/>
      <c r="W1378" s="483"/>
      <c r="X1378" s="483"/>
      <c r="Y1378" s="483"/>
      <c r="Z1378" s="483"/>
      <c r="AA1378" s="483"/>
      <c r="AB1378" s="483"/>
      <c r="AC1378" s="483"/>
      <c r="AD1378" s="483"/>
      <c r="AE1378" s="483"/>
      <c r="AF1378" s="483"/>
      <c r="AG1378" s="483"/>
      <c r="AH1378" s="483"/>
      <c r="AI1378" s="483"/>
      <c r="AJ1378" s="483"/>
      <c r="AK1378" s="483"/>
      <c r="AL1378" s="483"/>
      <c r="AM1378" s="670"/>
      <c r="AN1378" s="670"/>
      <c r="AO1378" s="711" t="str">
        <f>IF(OR(Table1[[#This Row],[Início Setup Envase]]="",Table1[[#This Row],[Final Setup Envase]]=""),"",Table1[[#This Row],[Final Setup Envase]]-Table1[[#This Row],[Início Setup Envase]])</f>
        <v/>
      </c>
      <c r="AP1378" s="670"/>
      <c r="AQ1378" s="670"/>
      <c r="AR1378" s="483"/>
      <c r="AS1378" s="483"/>
      <c r="AT1378" s="483"/>
      <c r="AU1378" s="483"/>
      <c r="AV1378" s="483"/>
      <c r="AW1378" s="483"/>
      <c r="AX1378" s="483"/>
      <c r="AY1378" s="270"/>
      <c r="AZ1378" s="270"/>
      <c r="BA1378" s="270" t="str">
        <f>IF(Table1[[#This Row],[Data de Início]]="","",YEAR(Table1[[#This Row],[Data de Início]]))</f>
        <v/>
      </c>
      <c r="BB1378" s="270" t="str">
        <f>IF(Table1[[#This Row],[Data de Início]]="","",MONTH(Table1[[#This Row],[Data de Início]]))</f>
        <v/>
      </c>
      <c r="BC1378" s="270"/>
    </row>
    <row r="1379" spans="2:55" x14ac:dyDescent="0.25">
      <c r="B1379" s="470"/>
      <c r="C1379" s="263"/>
      <c r="D1379" s="477" cm="1">
        <f t="array" ref="D1379">IFERROR(HorasUteisFabrica2Turnos(B1379,C1379), "")</f>
        <v>0</v>
      </c>
      <c r="E1379" s="697" t="str">
        <f t="shared" si="21"/>
        <v/>
      </c>
      <c r="F1379" s="266"/>
      <c r="G1379" s="698"/>
      <c r="H1379" s="266"/>
      <c r="I1379" s="268"/>
      <c r="J1379" s="268"/>
      <c r="K1379" s="268"/>
      <c r="L1379" s="269"/>
      <c r="M1379" s="510" t="str">
        <f>IFERROR(INDEX([1]Produtos!$C:$C,MATCH(L1379,[1]Produtos!$B:$B,0)), "-")</f>
        <v>-</v>
      </c>
      <c r="N1379" s="510" t="str">
        <f>IFERROR(INDEX([1]Produtos!$E:$E,MATCH(L1379,[1]Produtos!$B:$B,0)), "-")</f>
        <v>-</v>
      </c>
      <c r="O1379" s="270" t="str">
        <f>IFERROR(INDEX([1]Produtos!$F:$F,MATCH(L1379,[1]Produtos!$B:$B,0)), "-")</f>
        <v>-</v>
      </c>
      <c r="P1379" s="264" t="str">
        <f>IFERROR(INDEX([1]Produtos!$G:$G,MATCH(L1379,[1]Produtos!$B:$B,0)), "-")</f>
        <v>-</v>
      </c>
      <c r="Q1379" s="270" t="str">
        <f>IFERROR(INDEX([1]Produtos!$H:$H,MATCH(L1379,[1]Produtos!$B:$B,0)), "-")</f>
        <v>-</v>
      </c>
      <c r="R1379" s="270" t="str">
        <f>IFERROR(INDEX([1]Produtos!$I:$I,MATCH(L1379,[1]Produtos!$B:$B,0)), "-")</f>
        <v>-</v>
      </c>
      <c r="S1379" s="270" t="str">
        <f>IFERROR(INDEX([1]Produtos!$J:$J,MATCH(L1379,[1]Produtos!$B:$B,0)), "-")</f>
        <v>-</v>
      </c>
      <c r="T1379" s="475"/>
      <c r="U1379" s="270"/>
      <c r="V1379" s="270"/>
      <c r="W1379" s="270"/>
      <c r="X1379" s="270"/>
      <c r="Y1379" s="270"/>
      <c r="Z1379" s="270"/>
      <c r="AA1379" s="270"/>
      <c r="AB1379" s="270"/>
      <c r="AC1379" s="270"/>
      <c r="AD1379" s="270"/>
      <c r="AE1379" s="270"/>
      <c r="AF1379" s="270"/>
      <c r="AG1379" s="270"/>
      <c r="AH1379" s="270"/>
      <c r="AI1379" s="270"/>
      <c r="AJ1379" s="270"/>
      <c r="AK1379" s="270"/>
      <c r="AL1379" s="270"/>
      <c r="AM1379" s="663"/>
      <c r="AN1379" s="663"/>
      <c r="AO1379" s="708" t="str">
        <f>IF(OR(Table1[[#This Row],[Início Setup Envase]]="",Table1[[#This Row],[Final Setup Envase]]=""),"",Table1[[#This Row],[Final Setup Envase]]-Table1[[#This Row],[Início Setup Envase]])</f>
        <v/>
      </c>
      <c r="AP1379" s="663"/>
      <c r="AQ1379" s="663"/>
      <c r="AR1379" s="270"/>
      <c r="AS1379" s="674"/>
      <c r="AT1379" s="674"/>
      <c r="AU1379" s="270"/>
      <c r="AV1379" s="270"/>
      <c r="AW1379" s="270"/>
      <c r="AX1379" s="270"/>
      <c r="AY1379" s="270"/>
      <c r="AZ1379" s="270"/>
      <c r="BA1379" s="270" t="str">
        <f>IF(Table1[[#This Row],[Data de Início]]="","",YEAR(Table1[[#This Row],[Data de Início]]))</f>
        <v/>
      </c>
      <c r="BB1379" s="270" t="str">
        <f>IF(Table1[[#This Row],[Data de Início]]="","",MONTH(Table1[[#This Row],[Data de Início]]))</f>
        <v/>
      </c>
      <c r="BC1379" s="483"/>
    </row>
    <row r="1380" spans="2:55" x14ac:dyDescent="0.25">
      <c r="B1380" s="470"/>
      <c r="C1380" s="263"/>
      <c r="D1380" s="477" cm="1">
        <f t="array" ref="D1380">IFERROR(HorasUteisFabrica2Turnos(B1380,C1380), "")</f>
        <v>0</v>
      </c>
      <c r="E1380" s="478" t="str">
        <f t="shared" si="21"/>
        <v/>
      </c>
      <c r="F1380" s="266"/>
      <c r="G1380" s="656"/>
      <c r="H1380" s="479"/>
      <c r="I1380" s="268"/>
      <c r="J1380" s="268"/>
      <c r="K1380" s="268"/>
      <c r="L1380" s="269"/>
      <c r="M1380" s="511" t="str">
        <f>IFERROR(INDEX([1]Produtos!$C:$C,MATCH(L1380,[1]Produtos!$B:$B,0)), "-")</f>
        <v>-</v>
      </c>
      <c r="N1380" s="511" t="str">
        <f>IFERROR(INDEX([1]Produtos!$E:$E,MATCH(L1380,[1]Produtos!$B:$B,0)), "-")</f>
        <v>-</v>
      </c>
      <c r="O1380" s="483" t="str">
        <f>IFERROR(INDEX([1]Produtos!$F:$F,MATCH(L1380,[1]Produtos!$B:$B,0)), "-")</f>
        <v>-</v>
      </c>
      <c r="P1380" s="477" t="str">
        <f>IFERROR(INDEX([1]Produtos!$G:$G,MATCH(L1380,[1]Produtos!$B:$B,0)), "-")</f>
        <v>-</v>
      </c>
      <c r="Q1380" s="483" t="str">
        <f>IFERROR(INDEX([1]Produtos!$H:$H,MATCH(L1380,[1]Produtos!$B:$B,0)), "-")</f>
        <v>-</v>
      </c>
      <c r="R1380" s="483" t="str">
        <f>IFERROR(INDEX([1]Produtos!$I:$I,MATCH(L1380,[1]Produtos!$B:$B,0)), "-")</f>
        <v>-</v>
      </c>
      <c r="S1380" s="483" t="str">
        <f>IFERROR(INDEX([1]Produtos!$J:$J,MATCH(L1380,[1]Produtos!$B:$B,0)), "-")</f>
        <v>-</v>
      </c>
      <c r="T1380" s="484"/>
      <c r="U1380" s="483"/>
      <c r="V1380" s="483"/>
      <c r="W1380" s="483"/>
      <c r="X1380" s="483"/>
      <c r="Y1380" s="483"/>
      <c r="Z1380" s="483"/>
      <c r="AA1380" s="483"/>
      <c r="AB1380" s="483"/>
      <c r="AC1380" s="483"/>
      <c r="AD1380" s="483"/>
      <c r="AE1380" s="483"/>
      <c r="AF1380" s="483"/>
      <c r="AG1380" s="483"/>
      <c r="AH1380" s="483"/>
      <c r="AI1380" s="483"/>
      <c r="AJ1380" s="483"/>
      <c r="AK1380" s="483"/>
      <c r="AL1380" s="483"/>
      <c r="AM1380" s="670"/>
      <c r="AN1380" s="670"/>
      <c r="AO1380" s="711" t="str">
        <f>IF(OR(Table1[[#This Row],[Início Setup Envase]]="",Table1[[#This Row],[Final Setup Envase]]=""),"",Table1[[#This Row],[Final Setup Envase]]-Table1[[#This Row],[Início Setup Envase]])</f>
        <v/>
      </c>
      <c r="AP1380" s="670"/>
      <c r="AQ1380" s="670"/>
      <c r="AR1380" s="483"/>
      <c r="AS1380" s="483"/>
      <c r="AT1380" s="483"/>
      <c r="AU1380" s="483"/>
      <c r="AV1380" s="483"/>
      <c r="AW1380" s="483"/>
      <c r="AX1380" s="483"/>
      <c r="AY1380" s="270"/>
      <c r="AZ1380" s="270"/>
      <c r="BA1380" s="270" t="str">
        <f>IF(Table1[[#This Row],[Data de Início]]="","",YEAR(Table1[[#This Row],[Data de Início]]))</f>
        <v/>
      </c>
      <c r="BB1380" s="270" t="str">
        <f>IF(Table1[[#This Row],[Data de Início]]="","",MONTH(Table1[[#This Row],[Data de Início]]))</f>
        <v/>
      </c>
      <c r="BC1380" s="270"/>
    </row>
    <row r="1381" spans="2:55" x14ac:dyDescent="0.25">
      <c r="B1381" s="470"/>
      <c r="C1381" s="263"/>
      <c r="D1381" s="477" cm="1">
        <f t="array" ref="D1381">IFERROR(HorasUteisFabrica2Turnos(B1381,C1381), "")</f>
        <v>0</v>
      </c>
      <c r="E1381" s="697" t="str">
        <f t="shared" ref="E1381:E1444" si="22">IFERROR(K1381/D1381, "")</f>
        <v/>
      </c>
      <c r="F1381" s="266"/>
      <c r="G1381" s="698"/>
      <c r="H1381" s="266"/>
      <c r="I1381" s="268"/>
      <c r="J1381" s="268"/>
      <c r="K1381" s="268"/>
      <c r="L1381" s="269"/>
      <c r="M1381" s="510" t="str">
        <f>IFERROR(INDEX([1]Produtos!$C:$C,MATCH(L1381,[1]Produtos!$B:$B,0)), "-")</f>
        <v>-</v>
      </c>
      <c r="N1381" s="510" t="str">
        <f>IFERROR(INDEX([1]Produtos!$E:$E,MATCH(L1381,[1]Produtos!$B:$B,0)), "-")</f>
        <v>-</v>
      </c>
      <c r="O1381" s="270" t="str">
        <f>IFERROR(INDEX([1]Produtos!$F:$F,MATCH(L1381,[1]Produtos!$B:$B,0)), "-")</f>
        <v>-</v>
      </c>
      <c r="P1381" s="264" t="str">
        <f>IFERROR(INDEX([1]Produtos!$G:$G,MATCH(L1381,[1]Produtos!$B:$B,0)), "-")</f>
        <v>-</v>
      </c>
      <c r="Q1381" s="270" t="str">
        <f>IFERROR(INDEX([1]Produtos!$H:$H,MATCH(L1381,[1]Produtos!$B:$B,0)), "-")</f>
        <v>-</v>
      </c>
      <c r="R1381" s="270" t="str">
        <f>IFERROR(INDEX([1]Produtos!$I:$I,MATCH(L1381,[1]Produtos!$B:$B,0)), "-")</f>
        <v>-</v>
      </c>
      <c r="S1381" s="270" t="str">
        <f>IFERROR(INDEX([1]Produtos!$J:$J,MATCH(L1381,[1]Produtos!$B:$B,0)), "-")</f>
        <v>-</v>
      </c>
      <c r="T1381" s="475"/>
      <c r="U1381" s="270"/>
      <c r="V1381" s="270"/>
      <c r="W1381" s="270"/>
      <c r="X1381" s="270"/>
      <c r="Y1381" s="270"/>
      <c r="Z1381" s="270"/>
      <c r="AA1381" s="270"/>
      <c r="AB1381" s="270"/>
      <c r="AC1381" s="270"/>
      <c r="AD1381" s="270"/>
      <c r="AE1381" s="270"/>
      <c r="AF1381" s="270"/>
      <c r="AG1381" s="270"/>
      <c r="AH1381" s="270"/>
      <c r="AI1381" s="270"/>
      <c r="AJ1381" s="270"/>
      <c r="AK1381" s="270"/>
      <c r="AL1381" s="270"/>
      <c r="AM1381" s="663"/>
      <c r="AN1381" s="663"/>
      <c r="AO1381" s="708" t="str">
        <f>IF(OR(Table1[[#This Row],[Início Setup Envase]]="",Table1[[#This Row],[Final Setup Envase]]=""),"",Table1[[#This Row],[Final Setup Envase]]-Table1[[#This Row],[Início Setup Envase]])</f>
        <v/>
      </c>
      <c r="AP1381" s="663"/>
      <c r="AQ1381" s="663"/>
      <c r="AR1381" s="270"/>
      <c r="AS1381" s="674"/>
      <c r="AT1381" s="674"/>
      <c r="AU1381" s="270"/>
      <c r="AV1381" s="270"/>
      <c r="AW1381" s="270"/>
      <c r="AX1381" s="270"/>
      <c r="AY1381" s="270"/>
      <c r="AZ1381" s="270"/>
      <c r="BA1381" s="270" t="str">
        <f>IF(Table1[[#This Row],[Data de Início]]="","",YEAR(Table1[[#This Row],[Data de Início]]))</f>
        <v/>
      </c>
      <c r="BB1381" s="270" t="str">
        <f>IF(Table1[[#This Row],[Data de Início]]="","",MONTH(Table1[[#This Row],[Data de Início]]))</f>
        <v/>
      </c>
      <c r="BC1381" s="483"/>
    </row>
    <row r="1382" spans="2:55" x14ac:dyDescent="0.25">
      <c r="B1382" s="470"/>
      <c r="C1382" s="263"/>
      <c r="D1382" s="477" cm="1">
        <f t="array" ref="D1382">IFERROR(HorasUteisFabrica2Turnos(B1382,C1382), "")</f>
        <v>0</v>
      </c>
      <c r="E1382" s="478" t="str">
        <f t="shared" si="22"/>
        <v/>
      </c>
      <c r="F1382" s="266"/>
      <c r="G1382" s="656"/>
      <c r="H1382" s="479"/>
      <c r="I1382" s="268"/>
      <c r="J1382" s="268"/>
      <c r="K1382" s="268"/>
      <c r="L1382" s="269"/>
      <c r="M1382" s="511" t="str">
        <f>IFERROR(INDEX([1]Produtos!$C:$C,MATCH(L1382,[1]Produtos!$B:$B,0)), "-")</f>
        <v>-</v>
      </c>
      <c r="N1382" s="511" t="str">
        <f>IFERROR(INDEX([1]Produtos!$E:$E,MATCH(L1382,[1]Produtos!$B:$B,0)), "-")</f>
        <v>-</v>
      </c>
      <c r="O1382" s="483" t="str">
        <f>IFERROR(INDEX([1]Produtos!$F:$F,MATCH(L1382,[1]Produtos!$B:$B,0)), "-")</f>
        <v>-</v>
      </c>
      <c r="P1382" s="477" t="str">
        <f>IFERROR(INDEX([1]Produtos!$G:$G,MATCH(L1382,[1]Produtos!$B:$B,0)), "-")</f>
        <v>-</v>
      </c>
      <c r="Q1382" s="483" t="str">
        <f>IFERROR(INDEX([1]Produtos!$H:$H,MATCH(L1382,[1]Produtos!$B:$B,0)), "-")</f>
        <v>-</v>
      </c>
      <c r="R1382" s="483" t="str">
        <f>IFERROR(INDEX([1]Produtos!$I:$I,MATCH(L1382,[1]Produtos!$B:$B,0)), "-")</f>
        <v>-</v>
      </c>
      <c r="S1382" s="483" t="str">
        <f>IFERROR(INDEX([1]Produtos!$J:$J,MATCH(L1382,[1]Produtos!$B:$B,0)), "-")</f>
        <v>-</v>
      </c>
      <c r="T1382" s="484"/>
      <c r="U1382" s="483"/>
      <c r="V1382" s="483"/>
      <c r="W1382" s="483"/>
      <c r="X1382" s="483"/>
      <c r="Y1382" s="483"/>
      <c r="Z1382" s="483"/>
      <c r="AA1382" s="483"/>
      <c r="AB1382" s="483"/>
      <c r="AC1382" s="483"/>
      <c r="AD1382" s="483"/>
      <c r="AE1382" s="483"/>
      <c r="AF1382" s="483"/>
      <c r="AG1382" s="483"/>
      <c r="AH1382" s="483"/>
      <c r="AI1382" s="483"/>
      <c r="AJ1382" s="483"/>
      <c r="AK1382" s="483"/>
      <c r="AL1382" s="483"/>
      <c r="AM1382" s="670"/>
      <c r="AN1382" s="670"/>
      <c r="AO1382" s="711" t="str">
        <f>IF(OR(Table1[[#This Row],[Início Setup Envase]]="",Table1[[#This Row],[Final Setup Envase]]=""),"",Table1[[#This Row],[Final Setup Envase]]-Table1[[#This Row],[Início Setup Envase]])</f>
        <v/>
      </c>
      <c r="AP1382" s="670"/>
      <c r="AQ1382" s="670"/>
      <c r="AR1382" s="483"/>
      <c r="AS1382" s="483"/>
      <c r="AT1382" s="483"/>
      <c r="AU1382" s="483"/>
      <c r="AV1382" s="483"/>
      <c r="AW1382" s="483"/>
      <c r="AX1382" s="483"/>
      <c r="AY1382" s="270"/>
      <c r="AZ1382" s="270"/>
      <c r="BA1382" s="270" t="str">
        <f>IF(Table1[[#This Row],[Data de Início]]="","",YEAR(Table1[[#This Row],[Data de Início]]))</f>
        <v/>
      </c>
      <c r="BB1382" s="270" t="str">
        <f>IF(Table1[[#This Row],[Data de Início]]="","",MONTH(Table1[[#This Row],[Data de Início]]))</f>
        <v/>
      </c>
      <c r="BC1382" s="270"/>
    </row>
    <row r="1383" spans="2:55" x14ac:dyDescent="0.25">
      <c r="B1383" s="470"/>
      <c r="C1383" s="263"/>
      <c r="D1383" s="477" cm="1">
        <f t="array" ref="D1383">IFERROR(HorasUteisFabrica2Turnos(B1383,C1383), "")</f>
        <v>0</v>
      </c>
      <c r="E1383" s="697" t="str">
        <f t="shared" si="22"/>
        <v/>
      </c>
      <c r="F1383" s="266"/>
      <c r="G1383" s="698"/>
      <c r="H1383" s="266"/>
      <c r="I1383" s="268"/>
      <c r="J1383" s="268"/>
      <c r="K1383" s="268"/>
      <c r="L1383" s="269"/>
      <c r="M1383" s="510" t="str">
        <f>IFERROR(INDEX([1]Produtos!$C:$C,MATCH(L1383,[1]Produtos!$B:$B,0)), "-")</f>
        <v>-</v>
      </c>
      <c r="N1383" s="510" t="str">
        <f>IFERROR(INDEX([1]Produtos!$E:$E,MATCH(L1383,[1]Produtos!$B:$B,0)), "-")</f>
        <v>-</v>
      </c>
      <c r="O1383" s="270" t="str">
        <f>IFERROR(INDEX([1]Produtos!$F:$F,MATCH(L1383,[1]Produtos!$B:$B,0)), "-")</f>
        <v>-</v>
      </c>
      <c r="P1383" s="264" t="str">
        <f>IFERROR(INDEX([1]Produtos!$G:$G,MATCH(L1383,[1]Produtos!$B:$B,0)), "-")</f>
        <v>-</v>
      </c>
      <c r="Q1383" s="270" t="str">
        <f>IFERROR(INDEX([1]Produtos!$H:$H,MATCH(L1383,[1]Produtos!$B:$B,0)), "-")</f>
        <v>-</v>
      </c>
      <c r="R1383" s="270" t="str">
        <f>IFERROR(INDEX([1]Produtos!$I:$I,MATCH(L1383,[1]Produtos!$B:$B,0)), "-")</f>
        <v>-</v>
      </c>
      <c r="S1383" s="270" t="str">
        <f>IFERROR(INDEX([1]Produtos!$J:$J,MATCH(L1383,[1]Produtos!$B:$B,0)), "-")</f>
        <v>-</v>
      </c>
      <c r="T1383" s="475"/>
      <c r="U1383" s="270"/>
      <c r="V1383" s="270"/>
      <c r="W1383" s="270"/>
      <c r="X1383" s="270"/>
      <c r="Y1383" s="270"/>
      <c r="Z1383" s="270"/>
      <c r="AA1383" s="270"/>
      <c r="AB1383" s="270"/>
      <c r="AC1383" s="270"/>
      <c r="AD1383" s="270"/>
      <c r="AE1383" s="270"/>
      <c r="AF1383" s="270"/>
      <c r="AG1383" s="270"/>
      <c r="AH1383" s="270"/>
      <c r="AI1383" s="270"/>
      <c r="AJ1383" s="270"/>
      <c r="AK1383" s="270"/>
      <c r="AL1383" s="270"/>
      <c r="AM1383" s="663"/>
      <c r="AN1383" s="663"/>
      <c r="AO1383" s="708" t="str">
        <f>IF(OR(Table1[[#This Row],[Início Setup Envase]]="",Table1[[#This Row],[Final Setup Envase]]=""),"",Table1[[#This Row],[Final Setup Envase]]-Table1[[#This Row],[Início Setup Envase]])</f>
        <v/>
      </c>
      <c r="AP1383" s="663"/>
      <c r="AQ1383" s="663"/>
      <c r="AR1383" s="270"/>
      <c r="AS1383" s="674"/>
      <c r="AT1383" s="674"/>
      <c r="AU1383" s="270"/>
      <c r="AV1383" s="270"/>
      <c r="AW1383" s="270"/>
      <c r="AX1383" s="270"/>
      <c r="AY1383" s="270"/>
      <c r="AZ1383" s="270"/>
      <c r="BA1383" s="270" t="str">
        <f>IF(Table1[[#This Row],[Data de Início]]="","",YEAR(Table1[[#This Row],[Data de Início]]))</f>
        <v/>
      </c>
      <c r="BB1383" s="270" t="str">
        <f>IF(Table1[[#This Row],[Data de Início]]="","",MONTH(Table1[[#This Row],[Data de Início]]))</f>
        <v/>
      </c>
      <c r="BC1383" s="483"/>
    </row>
    <row r="1384" spans="2:55" x14ac:dyDescent="0.25">
      <c r="B1384" s="470"/>
      <c r="C1384" s="263"/>
      <c r="D1384" s="477" cm="1">
        <f t="array" ref="D1384">IFERROR(HorasUteisFabrica2Turnos(B1384,C1384), "")</f>
        <v>0</v>
      </c>
      <c r="E1384" s="478" t="str">
        <f t="shared" si="22"/>
        <v/>
      </c>
      <c r="F1384" s="266"/>
      <c r="G1384" s="656"/>
      <c r="H1384" s="479"/>
      <c r="I1384" s="268"/>
      <c r="J1384" s="268"/>
      <c r="K1384" s="268"/>
      <c r="L1384" s="269"/>
      <c r="M1384" s="511" t="str">
        <f>IFERROR(INDEX([1]Produtos!$C:$C,MATCH(L1384,[1]Produtos!$B:$B,0)), "-")</f>
        <v>-</v>
      </c>
      <c r="N1384" s="511" t="str">
        <f>IFERROR(INDEX([1]Produtos!$E:$E,MATCH(L1384,[1]Produtos!$B:$B,0)), "-")</f>
        <v>-</v>
      </c>
      <c r="O1384" s="483" t="str">
        <f>IFERROR(INDEX([1]Produtos!$F:$F,MATCH(L1384,[1]Produtos!$B:$B,0)), "-")</f>
        <v>-</v>
      </c>
      <c r="P1384" s="477" t="str">
        <f>IFERROR(INDEX([1]Produtos!$G:$G,MATCH(L1384,[1]Produtos!$B:$B,0)), "-")</f>
        <v>-</v>
      </c>
      <c r="Q1384" s="483" t="str">
        <f>IFERROR(INDEX([1]Produtos!$H:$H,MATCH(L1384,[1]Produtos!$B:$B,0)), "-")</f>
        <v>-</v>
      </c>
      <c r="R1384" s="483" t="str">
        <f>IFERROR(INDEX([1]Produtos!$I:$I,MATCH(L1384,[1]Produtos!$B:$B,0)), "-")</f>
        <v>-</v>
      </c>
      <c r="S1384" s="483" t="str">
        <f>IFERROR(INDEX([1]Produtos!$J:$J,MATCH(L1384,[1]Produtos!$B:$B,0)), "-")</f>
        <v>-</v>
      </c>
      <c r="T1384" s="484"/>
      <c r="U1384" s="483"/>
      <c r="V1384" s="483"/>
      <c r="W1384" s="483"/>
      <c r="X1384" s="483"/>
      <c r="Y1384" s="483"/>
      <c r="Z1384" s="483"/>
      <c r="AA1384" s="483"/>
      <c r="AB1384" s="483"/>
      <c r="AC1384" s="483"/>
      <c r="AD1384" s="483"/>
      <c r="AE1384" s="483"/>
      <c r="AF1384" s="483"/>
      <c r="AG1384" s="483"/>
      <c r="AH1384" s="483"/>
      <c r="AI1384" s="483"/>
      <c r="AJ1384" s="483"/>
      <c r="AK1384" s="483"/>
      <c r="AL1384" s="483"/>
      <c r="AM1384" s="670"/>
      <c r="AN1384" s="670"/>
      <c r="AO1384" s="711" t="str">
        <f>IF(OR(Table1[[#This Row],[Início Setup Envase]]="",Table1[[#This Row],[Final Setup Envase]]=""),"",Table1[[#This Row],[Final Setup Envase]]-Table1[[#This Row],[Início Setup Envase]])</f>
        <v/>
      </c>
      <c r="AP1384" s="670"/>
      <c r="AQ1384" s="670"/>
      <c r="AR1384" s="483"/>
      <c r="AS1384" s="483"/>
      <c r="AT1384" s="483"/>
      <c r="AU1384" s="483"/>
      <c r="AV1384" s="483"/>
      <c r="AW1384" s="483"/>
      <c r="AX1384" s="483"/>
      <c r="AY1384" s="270"/>
      <c r="AZ1384" s="270"/>
      <c r="BA1384" s="270" t="str">
        <f>IF(Table1[[#This Row],[Data de Início]]="","",YEAR(Table1[[#This Row],[Data de Início]]))</f>
        <v/>
      </c>
      <c r="BB1384" s="270" t="str">
        <f>IF(Table1[[#This Row],[Data de Início]]="","",MONTH(Table1[[#This Row],[Data de Início]]))</f>
        <v/>
      </c>
      <c r="BC1384" s="270"/>
    </row>
    <row r="1385" spans="2:55" x14ac:dyDescent="0.25">
      <c r="B1385" s="470"/>
      <c r="C1385" s="263"/>
      <c r="D1385" s="477" cm="1">
        <f t="array" ref="D1385">IFERROR(HorasUteisFabrica2Turnos(B1385,C1385), "")</f>
        <v>0</v>
      </c>
      <c r="E1385" s="697" t="str">
        <f t="shared" si="22"/>
        <v/>
      </c>
      <c r="F1385" s="266"/>
      <c r="G1385" s="698"/>
      <c r="H1385" s="266"/>
      <c r="I1385" s="268"/>
      <c r="J1385" s="268"/>
      <c r="K1385" s="268"/>
      <c r="L1385" s="269"/>
      <c r="M1385" s="510" t="str">
        <f>IFERROR(INDEX([1]Produtos!$C:$C,MATCH(L1385,[1]Produtos!$B:$B,0)), "-")</f>
        <v>-</v>
      </c>
      <c r="N1385" s="510" t="str">
        <f>IFERROR(INDEX([1]Produtos!$E:$E,MATCH(L1385,[1]Produtos!$B:$B,0)), "-")</f>
        <v>-</v>
      </c>
      <c r="O1385" s="270" t="str">
        <f>IFERROR(INDEX([1]Produtos!$F:$F,MATCH(L1385,[1]Produtos!$B:$B,0)), "-")</f>
        <v>-</v>
      </c>
      <c r="P1385" s="264" t="str">
        <f>IFERROR(INDEX([1]Produtos!$G:$G,MATCH(L1385,[1]Produtos!$B:$B,0)), "-")</f>
        <v>-</v>
      </c>
      <c r="Q1385" s="270" t="str">
        <f>IFERROR(INDEX([1]Produtos!$H:$H,MATCH(L1385,[1]Produtos!$B:$B,0)), "-")</f>
        <v>-</v>
      </c>
      <c r="R1385" s="270" t="str">
        <f>IFERROR(INDEX([1]Produtos!$I:$I,MATCH(L1385,[1]Produtos!$B:$B,0)), "-")</f>
        <v>-</v>
      </c>
      <c r="S1385" s="270" t="str">
        <f>IFERROR(INDEX([1]Produtos!$J:$J,MATCH(L1385,[1]Produtos!$B:$B,0)), "-")</f>
        <v>-</v>
      </c>
      <c r="T1385" s="475"/>
      <c r="U1385" s="270"/>
      <c r="V1385" s="270"/>
      <c r="W1385" s="270"/>
      <c r="X1385" s="270"/>
      <c r="Y1385" s="270"/>
      <c r="Z1385" s="270"/>
      <c r="AA1385" s="270"/>
      <c r="AB1385" s="270"/>
      <c r="AC1385" s="270"/>
      <c r="AD1385" s="270"/>
      <c r="AE1385" s="270"/>
      <c r="AF1385" s="270"/>
      <c r="AG1385" s="270"/>
      <c r="AH1385" s="270"/>
      <c r="AI1385" s="270"/>
      <c r="AJ1385" s="270"/>
      <c r="AK1385" s="270"/>
      <c r="AL1385" s="270"/>
      <c r="AM1385" s="663"/>
      <c r="AN1385" s="663"/>
      <c r="AO1385" s="708" t="str">
        <f>IF(OR(Table1[[#This Row],[Início Setup Envase]]="",Table1[[#This Row],[Final Setup Envase]]=""),"",Table1[[#This Row],[Final Setup Envase]]-Table1[[#This Row],[Início Setup Envase]])</f>
        <v/>
      </c>
      <c r="AP1385" s="663"/>
      <c r="AQ1385" s="663"/>
      <c r="AR1385" s="270"/>
      <c r="AS1385" s="674"/>
      <c r="AT1385" s="674"/>
      <c r="AU1385" s="270"/>
      <c r="AV1385" s="270"/>
      <c r="AW1385" s="270"/>
      <c r="AX1385" s="270"/>
      <c r="AY1385" s="270"/>
      <c r="AZ1385" s="270"/>
      <c r="BA1385" s="270" t="str">
        <f>IF(Table1[[#This Row],[Data de Início]]="","",YEAR(Table1[[#This Row],[Data de Início]]))</f>
        <v/>
      </c>
      <c r="BB1385" s="270" t="str">
        <f>IF(Table1[[#This Row],[Data de Início]]="","",MONTH(Table1[[#This Row],[Data de Início]]))</f>
        <v/>
      </c>
      <c r="BC1385" s="483"/>
    </row>
    <row r="1386" spans="2:55" x14ac:dyDescent="0.25">
      <c r="B1386" s="470"/>
      <c r="C1386" s="263"/>
      <c r="D1386" s="477" cm="1">
        <f t="array" ref="D1386">IFERROR(HorasUteisFabrica2Turnos(B1386,C1386), "")</f>
        <v>0</v>
      </c>
      <c r="E1386" s="478" t="str">
        <f t="shared" si="22"/>
        <v/>
      </c>
      <c r="F1386" s="266"/>
      <c r="G1386" s="656"/>
      <c r="H1386" s="479"/>
      <c r="I1386" s="268"/>
      <c r="J1386" s="268"/>
      <c r="K1386" s="268"/>
      <c r="L1386" s="269"/>
      <c r="M1386" s="511" t="str">
        <f>IFERROR(INDEX([1]Produtos!$C:$C,MATCH(L1386,[1]Produtos!$B:$B,0)), "-")</f>
        <v>-</v>
      </c>
      <c r="N1386" s="511" t="str">
        <f>IFERROR(INDEX([1]Produtos!$E:$E,MATCH(L1386,[1]Produtos!$B:$B,0)), "-")</f>
        <v>-</v>
      </c>
      <c r="O1386" s="483" t="str">
        <f>IFERROR(INDEX([1]Produtos!$F:$F,MATCH(L1386,[1]Produtos!$B:$B,0)), "-")</f>
        <v>-</v>
      </c>
      <c r="P1386" s="477" t="str">
        <f>IFERROR(INDEX([1]Produtos!$G:$G,MATCH(L1386,[1]Produtos!$B:$B,0)), "-")</f>
        <v>-</v>
      </c>
      <c r="Q1386" s="483" t="str">
        <f>IFERROR(INDEX([1]Produtos!$H:$H,MATCH(L1386,[1]Produtos!$B:$B,0)), "-")</f>
        <v>-</v>
      </c>
      <c r="R1386" s="483" t="str">
        <f>IFERROR(INDEX([1]Produtos!$I:$I,MATCH(L1386,[1]Produtos!$B:$B,0)), "-")</f>
        <v>-</v>
      </c>
      <c r="S1386" s="483" t="str">
        <f>IFERROR(INDEX([1]Produtos!$J:$J,MATCH(L1386,[1]Produtos!$B:$B,0)), "-")</f>
        <v>-</v>
      </c>
      <c r="T1386" s="484"/>
      <c r="U1386" s="483"/>
      <c r="V1386" s="483"/>
      <c r="W1386" s="483"/>
      <c r="X1386" s="483"/>
      <c r="Y1386" s="483"/>
      <c r="Z1386" s="483"/>
      <c r="AA1386" s="483"/>
      <c r="AB1386" s="483"/>
      <c r="AC1386" s="483"/>
      <c r="AD1386" s="483"/>
      <c r="AE1386" s="483"/>
      <c r="AF1386" s="483"/>
      <c r="AG1386" s="483"/>
      <c r="AH1386" s="483"/>
      <c r="AI1386" s="483"/>
      <c r="AJ1386" s="483"/>
      <c r="AK1386" s="483"/>
      <c r="AL1386" s="483"/>
      <c r="AM1386" s="670"/>
      <c r="AN1386" s="670"/>
      <c r="AO1386" s="711" t="str">
        <f>IF(OR(Table1[[#This Row],[Início Setup Envase]]="",Table1[[#This Row],[Final Setup Envase]]=""),"",Table1[[#This Row],[Final Setup Envase]]-Table1[[#This Row],[Início Setup Envase]])</f>
        <v/>
      </c>
      <c r="AP1386" s="670"/>
      <c r="AQ1386" s="670"/>
      <c r="AR1386" s="483"/>
      <c r="AS1386" s="483"/>
      <c r="AT1386" s="483"/>
      <c r="AU1386" s="483"/>
      <c r="AV1386" s="483"/>
      <c r="AW1386" s="483"/>
      <c r="AX1386" s="483"/>
      <c r="AY1386" s="270"/>
      <c r="AZ1386" s="270"/>
      <c r="BA1386" s="270" t="str">
        <f>IF(Table1[[#This Row],[Data de Início]]="","",YEAR(Table1[[#This Row],[Data de Início]]))</f>
        <v/>
      </c>
      <c r="BB1386" s="270" t="str">
        <f>IF(Table1[[#This Row],[Data de Início]]="","",MONTH(Table1[[#This Row],[Data de Início]]))</f>
        <v/>
      </c>
      <c r="BC1386" s="270"/>
    </row>
    <row r="1387" spans="2:55" x14ac:dyDescent="0.25">
      <c r="B1387" s="470"/>
      <c r="C1387" s="263"/>
      <c r="D1387" s="477" cm="1">
        <f t="array" ref="D1387">IFERROR(HorasUteisFabrica2Turnos(B1387,C1387), "")</f>
        <v>0</v>
      </c>
      <c r="E1387" s="697" t="str">
        <f t="shared" si="22"/>
        <v/>
      </c>
      <c r="F1387" s="266"/>
      <c r="G1387" s="698"/>
      <c r="H1387" s="266"/>
      <c r="I1387" s="268"/>
      <c r="J1387" s="268"/>
      <c r="K1387" s="268"/>
      <c r="L1387" s="269"/>
      <c r="M1387" s="510" t="str">
        <f>IFERROR(INDEX([1]Produtos!$C:$C,MATCH(L1387,[1]Produtos!$B:$B,0)), "-")</f>
        <v>-</v>
      </c>
      <c r="N1387" s="510" t="str">
        <f>IFERROR(INDEX([1]Produtos!$E:$E,MATCH(L1387,[1]Produtos!$B:$B,0)), "-")</f>
        <v>-</v>
      </c>
      <c r="O1387" s="270" t="str">
        <f>IFERROR(INDEX([1]Produtos!$F:$F,MATCH(L1387,[1]Produtos!$B:$B,0)), "-")</f>
        <v>-</v>
      </c>
      <c r="P1387" s="264" t="str">
        <f>IFERROR(INDEX([1]Produtos!$G:$G,MATCH(L1387,[1]Produtos!$B:$B,0)), "-")</f>
        <v>-</v>
      </c>
      <c r="Q1387" s="270" t="str">
        <f>IFERROR(INDEX([1]Produtos!$H:$H,MATCH(L1387,[1]Produtos!$B:$B,0)), "-")</f>
        <v>-</v>
      </c>
      <c r="R1387" s="270" t="str">
        <f>IFERROR(INDEX([1]Produtos!$I:$I,MATCH(L1387,[1]Produtos!$B:$B,0)), "-")</f>
        <v>-</v>
      </c>
      <c r="S1387" s="270" t="str">
        <f>IFERROR(INDEX([1]Produtos!$J:$J,MATCH(L1387,[1]Produtos!$B:$B,0)), "-")</f>
        <v>-</v>
      </c>
      <c r="T1387" s="475"/>
      <c r="U1387" s="270"/>
      <c r="V1387" s="270"/>
      <c r="W1387" s="270"/>
      <c r="X1387" s="270"/>
      <c r="Y1387" s="270"/>
      <c r="Z1387" s="270"/>
      <c r="AA1387" s="270"/>
      <c r="AB1387" s="270"/>
      <c r="AC1387" s="270"/>
      <c r="AD1387" s="270"/>
      <c r="AE1387" s="270"/>
      <c r="AF1387" s="270"/>
      <c r="AG1387" s="270"/>
      <c r="AH1387" s="270"/>
      <c r="AI1387" s="270"/>
      <c r="AJ1387" s="270"/>
      <c r="AK1387" s="270"/>
      <c r="AL1387" s="270"/>
      <c r="AM1387" s="663"/>
      <c r="AN1387" s="663"/>
      <c r="AO1387" s="708" t="str">
        <f>IF(OR(Table1[[#This Row],[Início Setup Envase]]="",Table1[[#This Row],[Final Setup Envase]]=""),"",Table1[[#This Row],[Final Setup Envase]]-Table1[[#This Row],[Início Setup Envase]])</f>
        <v/>
      </c>
      <c r="AP1387" s="663"/>
      <c r="AQ1387" s="663"/>
      <c r="AR1387" s="270"/>
      <c r="AS1387" s="674"/>
      <c r="AT1387" s="674"/>
      <c r="AU1387" s="270"/>
      <c r="AV1387" s="270"/>
      <c r="AW1387" s="270"/>
      <c r="AX1387" s="270"/>
      <c r="AY1387" s="270"/>
      <c r="AZ1387" s="270"/>
      <c r="BA1387" s="270" t="str">
        <f>IF(Table1[[#This Row],[Data de Início]]="","",YEAR(Table1[[#This Row],[Data de Início]]))</f>
        <v/>
      </c>
      <c r="BB1387" s="270" t="str">
        <f>IF(Table1[[#This Row],[Data de Início]]="","",MONTH(Table1[[#This Row],[Data de Início]]))</f>
        <v/>
      </c>
      <c r="BC1387" s="483"/>
    </row>
    <row r="1388" spans="2:55" x14ac:dyDescent="0.25">
      <c r="B1388" s="470"/>
      <c r="C1388" s="263"/>
      <c r="D1388" s="477" cm="1">
        <f t="array" ref="D1388">IFERROR(HorasUteisFabrica2Turnos(B1388,C1388), "")</f>
        <v>0</v>
      </c>
      <c r="E1388" s="478" t="str">
        <f t="shared" si="22"/>
        <v/>
      </c>
      <c r="F1388" s="266"/>
      <c r="G1388" s="656"/>
      <c r="H1388" s="479"/>
      <c r="I1388" s="268"/>
      <c r="J1388" s="268"/>
      <c r="K1388" s="268"/>
      <c r="L1388" s="269"/>
      <c r="M1388" s="511" t="str">
        <f>IFERROR(INDEX([1]Produtos!$C:$C,MATCH(L1388,[1]Produtos!$B:$B,0)), "-")</f>
        <v>-</v>
      </c>
      <c r="N1388" s="511" t="str">
        <f>IFERROR(INDEX([1]Produtos!$E:$E,MATCH(L1388,[1]Produtos!$B:$B,0)), "-")</f>
        <v>-</v>
      </c>
      <c r="O1388" s="483" t="str">
        <f>IFERROR(INDEX([1]Produtos!$F:$F,MATCH(L1388,[1]Produtos!$B:$B,0)), "-")</f>
        <v>-</v>
      </c>
      <c r="P1388" s="477" t="str">
        <f>IFERROR(INDEX([1]Produtos!$G:$G,MATCH(L1388,[1]Produtos!$B:$B,0)), "-")</f>
        <v>-</v>
      </c>
      <c r="Q1388" s="483" t="str">
        <f>IFERROR(INDEX([1]Produtos!$H:$H,MATCH(L1388,[1]Produtos!$B:$B,0)), "-")</f>
        <v>-</v>
      </c>
      <c r="R1388" s="483" t="str">
        <f>IFERROR(INDEX([1]Produtos!$I:$I,MATCH(L1388,[1]Produtos!$B:$B,0)), "-")</f>
        <v>-</v>
      </c>
      <c r="S1388" s="483" t="str">
        <f>IFERROR(INDEX([1]Produtos!$J:$J,MATCH(L1388,[1]Produtos!$B:$B,0)), "-")</f>
        <v>-</v>
      </c>
      <c r="T1388" s="484"/>
      <c r="U1388" s="483"/>
      <c r="V1388" s="483"/>
      <c r="W1388" s="483"/>
      <c r="X1388" s="483"/>
      <c r="Y1388" s="483"/>
      <c r="Z1388" s="483"/>
      <c r="AA1388" s="483"/>
      <c r="AB1388" s="483"/>
      <c r="AC1388" s="483"/>
      <c r="AD1388" s="483"/>
      <c r="AE1388" s="483"/>
      <c r="AF1388" s="483"/>
      <c r="AG1388" s="483"/>
      <c r="AH1388" s="483"/>
      <c r="AI1388" s="483"/>
      <c r="AJ1388" s="483"/>
      <c r="AK1388" s="483"/>
      <c r="AL1388" s="483"/>
      <c r="AM1388" s="670"/>
      <c r="AN1388" s="670"/>
      <c r="AO1388" s="711" t="str">
        <f>IF(OR(Table1[[#This Row],[Início Setup Envase]]="",Table1[[#This Row],[Final Setup Envase]]=""),"",Table1[[#This Row],[Final Setup Envase]]-Table1[[#This Row],[Início Setup Envase]])</f>
        <v/>
      </c>
      <c r="AP1388" s="670"/>
      <c r="AQ1388" s="670"/>
      <c r="AR1388" s="483"/>
      <c r="AS1388" s="483"/>
      <c r="AT1388" s="483"/>
      <c r="AU1388" s="483"/>
      <c r="AV1388" s="483"/>
      <c r="AW1388" s="483"/>
      <c r="AX1388" s="483"/>
      <c r="AY1388" s="270"/>
      <c r="AZ1388" s="270"/>
      <c r="BA1388" s="270" t="str">
        <f>IF(Table1[[#This Row],[Data de Início]]="","",YEAR(Table1[[#This Row],[Data de Início]]))</f>
        <v/>
      </c>
      <c r="BB1388" s="270" t="str">
        <f>IF(Table1[[#This Row],[Data de Início]]="","",MONTH(Table1[[#This Row],[Data de Início]]))</f>
        <v/>
      </c>
      <c r="BC1388" s="270"/>
    </row>
    <row r="1389" spans="2:55" x14ac:dyDescent="0.25">
      <c r="B1389" s="470"/>
      <c r="C1389" s="263"/>
      <c r="D1389" s="477" cm="1">
        <f t="array" ref="D1389">IFERROR(HorasUteisFabrica2Turnos(B1389,C1389), "")</f>
        <v>0</v>
      </c>
      <c r="E1389" s="697" t="str">
        <f t="shared" si="22"/>
        <v/>
      </c>
      <c r="F1389" s="266"/>
      <c r="G1389" s="698"/>
      <c r="H1389" s="266"/>
      <c r="I1389" s="268"/>
      <c r="J1389" s="268"/>
      <c r="K1389" s="268"/>
      <c r="L1389" s="269"/>
      <c r="M1389" s="510" t="str">
        <f>IFERROR(INDEX([1]Produtos!$C:$C,MATCH(L1389,[1]Produtos!$B:$B,0)), "-")</f>
        <v>-</v>
      </c>
      <c r="N1389" s="510" t="str">
        <f>IFERROR(INDEX([1]Produtos!$E:$E,MATCH(L1389,[1]Produtos!$B:$B,0)), "-")</f>
        <v>-</v>
      </c>
      <c r="O1389" s="270" t="str">
        <f>IFERROR(INDEX([1]Produtos!$F:$F,MATCH(L1389,[1]Produtos!$B:$B,0)), "-")</f>
        <v>-</v>
      </c>
      <c r="P1389" s="264" t="str">
        <f>IFERROR(INDEX([1]Produtos!$G:$G,MATCH(L1389,[1]Produtos!$B:$B,0)), "-")</f>
        <v>-</v>
      </c>
      <c r="Q1389" s="270" t="str">
        <f>IFERROR(INDEX([1]Produtos!$H:$H,MATCH(L1389,[1]Produtos!$B:$B,0)), "-")</f>
        <v>-</v>
      </c>
      <c r="R1389" s="270" t="str">
        <f>IFERROR(INDEX([1]Produtos!$I:$I,MATCH(L1389,[1]Produtos!$B:$B,0)), "-")</f>
        <v>-</v>
      </c>
      <c r="S1389" s="270" t="str">
        <f>IFERROR(INDEX([1]Produtos!$J:$J,MATCH(L1389,[1]Produtos!$B:$B,0)), "-")</f>
        <v>-</v>
      </c>
      <c r="T1389" s="475"/>
      <c r="U1389" s="270"/>
      <c r="V1389" s="270"/>
      <c r="W1389" s="270"/>
      <c r="X1389" s="270"/>
      <c r="Y1389" s="270"/>
      <c r="Z1389" s="270"/>
      <c r="AA1389" s="270"/>
      <c r="AB1389" s="270"/>
      <c r="AC1389" s="270"/>
      <c r="AD1389" s="270"/>
      <c r="AE1389" s="270"/>
      <c r="AF1389" s="270"/>
      <c r="AG1389" s="270"/>
      <c r="AH1389" s="270"/>
      <c r="AI1389" s="270"/>
      <c r="AJ1389" s="270"/>
      <c r="AK1389" s="270"/>
      <c r="AL1389" s="270"/>
      <c r="AM1389" s="663"/>
      <c r="AN1389" s="663"/>
      <c r="AO1389" s="708" t="str">
        <f>IF(OR(Table1[[#This Row],[Início Setup Envase]]="",Table1[[#This Row],[Final Setup Envase]]=""),"",Table1[[#This Row],[Final Setup Envase]]-Table1[[#This Row],[Início Setup Envase]])</f>
        <v/>
      </c>
      <c r="AP1389" s="663"/>
      <c r="AQ1389" s="663"/>
      <c r="AR1389" s="270"/>
      <c r="AS1389" s="674"/>
      <c r="AT1389" s="674"/>
      <c r="AU1389" s="270"/>
      <c r="AV1389" s="270"/>
      <c r="AW1389" s="270"/>
      <c r="AX1389" s="270"/>
      <c r="AY1389" s="270"/>
      <c r="AZ1389" s="270"/>
      <c r="BA1389" s="270" t="str">
        <f>IF(Table1[[#This Row],[Data de Início]]="","",YEAR(Table1[[#This Row],[Data de Início]]))</f>
        <v/>
      </c>
      <c r="BB1389" s="270" t="str">
        <f>IF(Table1[[#This Row],[Data de Início]]="","",MONTH(Table1[[#This Row],[Data de Início]]))</f>
        <v/>
      </c>
      <c r="BC1389" s="483"/>
    </row>
    <row r="1390" spans="2:55" x14ac:dyDescent="0.25">
      <c r="B1390" s="470"/>
      <c r="C1390" s="263"/>
      <c r="D1390" s="477" cm="1">
        <f t="array" ref="D1390">IFERROR(HorasUteisFabrica2Turnos(B1390,C1390), "")</f>
        <v>0</v>
      </c>
      <c r="E1390" s="478" t="str">
        <f t="shared" si="22"/>
        <v/>
      </c>
      <c r="F1390" s="266"/>
      <c r="G1390" s="656"/>
      <c r="H1390" s="479"/>
      <c r="I1390" s="268"/>
      <c r="J1390" s="268"/>
      <c r="K1390" s="268"/>
      <c r="L1390" s="269"/>
      <c r="M1390" s="511" t="str">
        <f>IFERROR(INDEX([1]Produtos!$C:$C,MATCH(L1390,[1]Produtos!$B:$B,0)), "-")</f>
        <v>-</v>
      </c>
      <c r="N1390" s="511" t="str">
        <f>IFERROR(INDEX([1]Produtos!$E:$E,MATCH(L1390,[1]Produtos!$B:$B,0)), "-")</f>
        <v>-</v>
      </c>
      <c r="O1390" s="483" t="str">
        <f>IFERROR(INDEX([1]Produtos!$F:$F,MATCH(L1390,[1]Produtos!$B:$B,0)), "-")</f>
        <v>-</v>
      </c>
      <c r="P1390" s="477" t="str">
        <f>IFERROR(INDEX([1]Produtos!$G:$G,MATCH(L1390,[1]Produtos!$B:$B,0)), "-")</f>
        <v>-</v>
      </c>
      <c r="Q1390" s="483" t="str">
        <f>IFERROR(INDEX([1]Produtos!$H:$H,MATCH(L1390,[1]Produtos!$B:$B,0)), "-")</f>
        <v>-</v>
      </c>
      <c r="R1390" s="483" t="str">
        <f>IFERROR(INDEX([1]Produtos!$I:$I,MATCH(L1390,[1]Produtos!$B:$B,0)), "-")</f>
        <v>-</v>
      </c>
      <c r="S1390" s="483" t="str">
        <f>IFERROR(INDEX([1]Produtos!$J:$J,MATCH(L1390,[1]Produtos!$B:$B,0)), "-")</f>
        <v>-</v>
      </c>
      <c r="T1390" s="484"/>
      <c r="U1390" s="483"/>
      <c r="V1390" s="483"/>
      <c r="W1390" s="483"/>
      <c r="X1390" s="483"/>
      <c r="Y1390" s="483"/>
      <c r="Z1390" s="483"/>
      <c r="AA1390" s="483"/>
      <c r="AB1390" s="483"/>
      <c r="AC1390" s="483"/>
      <c r="AD1390" s="483"/>
      <c r="AE1390" s="483"/>
      <c r="AF1390" s="483"/>
      <c r="AG1390" s="483"/>
      <c r="AH1390" s="483"/>
      <c r="AI1390" s="483"/>
      <c r="AJ1390" s="483"/>
      <c r="AK1390" s="483"/>
      <c r="AL1390" s="483"/>
      <c r="AM1390" s="670"/>
      <c r="AN1390" s="670"/>
      <c r="AO1390" s="711" t="str">
        <f>IF(OR(Table1[[#This Row],[Início Setup Envase]]="",Table1[[#This Row],[Final Setup Envase]]=""),"",Table1[[#This Row],[Final Setup Envase]]-Table1[[#This Row],[Início Setup Envase]])</f>
        <v/>
      </c>
      <c r="AP1390" s="670"/>
      <c r="AQ1390" s="670"/>
      <c r="AR1390" s="483"/>
      <c r="AS1390" s="483"/>
      <c r="AT1390" s="483"/>
      <c r="AU1390" s="483"/>
      <c r="AV1390" s="483"/>
      <c r="AW1390" s="483"/>
      <c r="AX1390" s="483"/>
      <c r="AY1390" s="270"/>
      <c r="AZ1390" s="270"/>
      <c r="BA1390" s="270" t="str">
        <f>IF(Table1[[#This Row],[Data de Início]]="","",YEAR(Table1[[#This Row],[Data de Início]]))</f>
        <v/>
      </c>
      <c r="BB1390" s="270" t="str">
        <f>IF(Table1[[#This Row],[Data de Início]]="","",MONTH(Table1[[#This Row],[Data de Início]]))</f>
        <v/>
      </c>
      <c r="BC1390" s="270"/>
    </row>
    <row r="1391" spans="2:55" x14ac:dyDescent="0.25">
      <c r="B1391" s="470"/>
      <c r="C1391" s="263"/>
      <c r="D1391" s="477" cm="1">
        <f t="array" ref="D1391">IFERROR(HorasUteisFabrica2Turnos(B1391,C1391), "")</f>
        <v>0</v>
      </c>
      <c r="E1391" s="697" t="str">
        <f t="shared" si="22"/>
        <v/>
      </c>
      <c r="F1391" s="266"/>
      <c r="G1391" s="698"/>
      <c r="H1391" s="266"/>
      <c r="I1391" s="268"/>
      <c r="J1391" s="268"/>
      <c r="K1391" s="268"/>
      <c r="L1391" s="269"/>
      <c r="M1391" s="510" t="str">
        <f>IFERROR(INDEX([1]Produtos!$C:$C,MATCH(L1391,[1]Produtos!$B:$B,0)), "-")</f>
        <v>-</v>
      </c>
      <c r="N1391" s="510" t="str">
        <f>IFERROR(INDEX([1]Produtos!$E:$E,MATCH(L1391,[1]Produtos!$B:$B,0)), "-")</f>
        <v>-</v>
      </c>
      <c r="O1391" s="270" t="str">
        <f>IFERROR(INDEX([1]Produtos!$F:$F,MATCH(L1391,[1]Produtos!$B:$B,0)), "-")</f>
        <v>-</v>
      </c>
      <c r="P1391" s="264" t="str">
        <f>IFERROR(INDEX([1]Produtos!$G:$G,MATCH(L1391,[1]Produtos!$B:$B,0)), "-")</f>
        <v>-</v>
      </c>
      <c r="Q1391" s="270" t="str">
        <f>IFERROR(INDEX([1]Produtos!$H:$H,MATCH(L1391,[1]Produtos!$B:$B,0)), "-")</f>
        <v>-</v>
      </c>
      <c r="R1391" s="270" t="str">
        <f>IFERROR(INDEX([1]Produtos!$I:$I,MATCH(L1391,[1]Produtos!$B:$B,0)), "-")</f>
        <v>-</v>
      </c>
      <c r="S1391" s="270" t="str">
        <f>IFERROR(INDEX([1]Produtos!$J:$J,MATCH(L1391,[1]Produtos!$B:$B,0)), "-")</f>
        <v>-</v>
      </c>
      <c r="T1391" s="475"/>
      <c r="U1391" s="270"/>
      <c r="V1391" s="270"/>
      <c r="W1391" s="270"/>
      <c r="X1391" s="270"/>
      <c r="Y1391" s="270"/>
      <c r="Z1391" s="270"/>
      <c r="AA1391" s="270"/>
      <c r="AB1391" s="270"/>
      <c r="AC1391" s="270"/>
      <c r="AD1391" s="270"/>
      <c r="AE1391" s="270"/>
      <c r="AF1391" s="270"/>
      <c r="AG1391" s="270"/>
      <c r="AH1391" s="270"/>
      <c r="AI1391" s="270"/>
      <c r="AJ1391" s="270"/>
      <c r="AK1391" s="270"/>
      <c r="AL1391" s="270"/>
      <c r="AM1391" s="663"/>
      <c r="AN1391" s="663"/>
      <c r="AO1391" s="708" t="str">
        <f>IF(OR(Table1[[#This Row],[Início Setup Envase]]="",Table1[[#This Row],[Final Setup Envase]]=""),"",Table1[[#This Row],[Final Setup Envase]]-Table1[[#This Row],[Início Setup Envase]])</f>
        <v/>
      </c>
      <c r="AP1391" s="663"/>
      <c r="AQ1391" s="663"/>
      <c r="AR1391" s="270"/>
      <c r="AS1391" s="674"/>
      <c r="AT1391" s="674"/>
      <c r="AU1391" s="270"/>
      <c r="AV1391" s="270"/>
      <c r="AW1391" s="270"/>
      <c r="AX1391" s="270"/>
      <c r="AY1391" s="270"/>
      <c r="AZ1391" s="270"/>
      <c r="BA1391" s="270" t="str">
        <f>IF(Table1[[#This Row],[Data de Início]]="","",YEAR(Table1[[#This Row],[Data de Início]]))</f>
        <v/>
      </c>
      <c r="BB1391" s="270" t="str">
        <f>IF(Table1[[#This Row],[Data de Início]]="","",MONTH(Table1[[#This Row],[Data de Início]]))</f>
        <v/>
      </c>
      <c r="BC1391" s="483"/>
    </row>
    <row r="1392" spans="2:55" x14ac:dyDescent="0.25">
      <c r="B1392" s="470"/>
      <c r="C1392" s="263"/>
      <c r="D1392" s="477" cm="1">
        <f t="array" ref="D1392">IFERROR(HorasUteisFabrica2Turnos(B1392,C1392), "")</f>
        <v>0</v>
      </c>
      <c r="E1392" s="478" t="str">
        <f t="shared" si="22"/>
        <v/>
      </c>
      <c r="F1392" s="266"/>
      <c r="G1392" s="656"/>
      <c r="H1392" s="479"/>
      <c r="I1392" s="268"/>
      <c r="J1392" s="268"/>
      <c r="K1392" s="268"/>
      <c r="L1392" s="269"/>
      <c r="M1392" s="511" t="str">
        <f>IFERROR(INDEX([1]Produtos!$C:$C,MATCH(L1392,[1]Produtos!$B:$B,0)), "-")</f>
        <v>-</v>
      </c>
      <c r="N1392" s="511" t="str">
        <f>IFERROR(INDEX([1]Produtos!$E:$E,MATCH(L1392,[1]Produtos!$B:$B,0)), "-")</f>
        <v>-</v>
      </c>
      <c r="O1392" s="483" t="str">
        <f>IFERROR(INDEX([1]Produtos!$F:$F,MATCH(L1392,[1]Produtos!$B:$B,0)), "-")</f>
        <v>-</v>
      </c>
      <c r="P1392" s="477" t="str">
        <f>IFERROR(INDEX([1]Produtos!$G:$G,MATCH(L1392,[1]Produtos!$B:$B,0)), "-")</f>
        <v>-</v>
      </c>
      <c r="Q1392" s="483" t="str">
        <f>IFERROR(INDEX([1]Produtos!$H:$H,MATCH(L1392,[1]Produtos!$B:$B,0)), "-")</f>
        <v>-</v>
      </c>
      <c r="R1392" s="483" t="str">
        <f>IFERROR(INDEX([1]Produtos!$I:$I,MATCH(L1392,[1]Produtos!$B:$B,0)), "-")</f>
        <v>-</v>
      </c>
      <c r="S1392" s="483" t="str">
        <f>IFERROR(INDEX([1]Produtos!$J:$J,MATCH(L1392,[1]Produtos!$B:$B,0)), "-")</f>
        <v>-</v>
      </c>
      <c r="T1392" s="484"/>
      <c r="U1392" s="483"/>
      <c r="V1392" s="483"/>
      <c r="W1392" s="483"/>
      <c r="X1392" s="483"/>
      <c r="Y1392" s="483"/>
      <c r="Z1392" s="483"/>
      <c r="AA1392" s="483"/>
      <c r="AB1392" s="483"/>
      <c r="AC1392" s="483"/>
      <c r="AD1392" s="483"/>
      <c r="AE1392" s="483"/>
      <c r="AF1392" s="483"/>
      <c r="AG1392" s="483"/>
      <c r="AH1392" s="483"/>
      <c r="AI1392" s="483"/>
      <c r="AJ1392" s="483"/>
      <c r="AK1392" s="483"/>
      <c r="AL1392" s="483"/>
      <c r="AM1392" s="670"/>
      <c r="AN1392" s="670"/>
      <c r="AO1392" s="711" t="str">
        <f>IF(OR(Table1[[#This Row],[Início Setup Envase]]="",Table1[[#This Row],[Final Setup Envase]]=""),"",Table1[[#This Row],[Final Setup Envase]]-Table1[[#This Row],[Início Setup Envase]])</f>
        <v/>
      </c>
      <c r="AP1392" s="670"/>
      <c r="AQ1392" s="670"/>
      <c r="AR1392" s="483"/>
      <c r="AS1392" s="483"/>
      <c r="AT1392" s="483"/>
      <c r="AU1392" s="483"/>
      <c r="AV1392" s="483"/>
      <c r="AW1392" s="483"/>
      <c r="AX1392" s="483"/>
      <c r="AY1392" s="270"/>
      <c r="AZ1392" s="270"/>
      <c r="BA1392" s="270" t="str">
        <f>IF(Table1[[#This Row],[Data de Início]]="","",YEAR(Table1[[#This Row],[Data de Início]]))</f>
        <v/>
      </c>
      <c r="BB1392" s="270" t="str">
        <f>IF(Table1[[#This Row],[Data de Início]]="","",MONTH(Table1[[#This Row],[Data de Início]]))</f>
        <v/>
      </c>
      <c r="BC1392" s="270"/>
    </row>
    <row r="1393" spans="2:55" x14ac:dyDescent="0.25">
      <c r="B1393" s="470"/>
      <c r="C1393" s="263"/>
      <c r="D1393" s="477" cm="1">
        <f t="array" ref="D1393">IFERROR(HorasUteisFabrica2Turnos(B1393,C1393), "")</f>
        <v>0</v>
      </c>
      <c r="E1393" s="697" t="str">
        <f t="shared" si="22"/>
        <v/>
      </c>
      <c r="F1393" s="266"/>
      <c r="G1393" s="698"/>
      <c r="H1393" s="266"/>
      <c r="I1393" s="268"/>
      <c r="J1393" s="268"/>
      <c r="K1393" s="268"/>
      <c r="L1393" s="269"/>
      <c r="M1393" s="510" t="str">
        <f>IFERROR(INDEX([1]Produtos!$C:$C,MATCH(L1393,[1]Produtos!$B:$B,0)), "-")</f>
        <v>-</v>
      </c>
      <c r="N1393" s="510" t="str">
        <f>IFERROR(INDEX([1]Produtos!$E:$E,MATCH(L1393,[1]Produtos!$B:$B,0)), "-")</f>
        <v>-</v>
      </c>
      <c r="O1393" s="270" t="str">
        <f>IFERROR(INDEX([1]Produtos!$F:$F,MATCH(L1393,[1]Produtos!$B:$B,0)), "-")</f>
        <v>-</v>
      </c>
      <c r="P1393" s="264" t="str">
        <f>IFERROR(INDEX([1]Produtos!$G:$G,MATCH(L1393,[1]Produtos!$B:$B,0)), "-")</f>
        <v>-</v>
      </c>
      <c r="Q1393" s="270" t="str">
        <f>IFERROR(INDEX([1]Produtos!$H:$H,MATCH(L1393,[1]Produtos!$B:$B,0)), "-")</f>
        <v>-</v>
      </c>
      <c r="R1393" s="270" t="str">
        <f>IFERROR(INDEX([1]Produtos!$I:$I,MATCH(L1393,[1]Produtos!$B:$B,0)), "-")</f>
        <v>-</v>
      </c>
      <c r="S1393" s="270" t="str">
        <f>IFERROR(INDEX([1]Produtos!$J:$J,MATCH(L1393,[1]Produtos!$B:$B,0)), "-")</f>
        <v>-</v>
      </c>
      <c r="T1393" s="475"/>
      <c r="U1393" s="270"/>
      <c r="V1393" s="270"/>
      <c r="W1393" s="270"/>
      <c r="X1393" s="270"/>
      <c r="Y1393" s="270"/>
      <c r="Z1393" s="270"/>
      <c r="AA1393" s="270"/>
      <c r="AB1393" s="270"/>
      <c r="AC1393" s="270"/>
      <c r="AD1393" s="270"/>
      <c r="AE1393" s="270"/>
      <c r="AF1393" s="270"/>
      <c r="AG1393" s="270"/>
      <c r="AH1393" s="270"/>
      <c r="AI1393" s="270"/>
      <c r="AJ1393" s="270"/>
      <c r="AK1393" s="270"/>
      <c r="AL1393" s="270"/>
      <c r="AM1393" s="663"/>
      <c r="AN1393" s="663"/>
      <c r="AO1393" s="708" t="str">
        <f>IF(OR(Table1[[#This Row],[Início Setup Envase]]="",Table1[[#This Row],[Final Setup Envase]]=""),"",Table1[[#This Row],[Final Setup Envase]]-Table1[[#This Row],[Início Setup Envase]])</f>
        <v/>
      </c>
      <c r="AP1393" s="663"/>
      <c r="AQ1393" s="663"/>
      <c r="AR1393" s="270"/>
      <c r="AS1393" s="674"/>
      <c r="AT1393" s="674"/>
      <c r="AU1393" s="270"/>
      <c r="AV1393" s="270"/>
      <c r="AW1393" s="270"/>
      <c r="AX1393" s="270"/>
      <c r="AY1393" s="270"/>
      <c r="AZ1393" s="270"/>
      <c r="BA1393" s="270" t="str">
        <f>IF(Table1[[#This Row],[Data de Início]]="","",YEAR(Table1[[#This Row],[Data de Início]]))</f>
        <v/>
      </c>
      <c r="BB1393" s="270" t="str">
        <f>IF(Table1[[#This Row],[Data de Início]]="","",MONTH(Table1[[#This Row],[Data de Início]]))</f>
        <v/>
      </c>
      <c r="BC1393" s="483"/>
    </row>
    <row r="1394" spans="2:55" x14ac:dyDescent="0.25">
      <c r="B1394" s="470"/>
      <c r="C1394" s="263"/>
      <c r="D1394" s="477" cm="1">
        <f t="array" ref="D1394">IFERROR(HorasUteisFabrica2Turnos(B1394,C1394), "")</f>
        <v>0</v>
      </c>
      <c r="E1394" s="478" t="str">
        <f t="shared" si="22"/>
        <v/>
      </c>
      <c r="F1394" s="266"/>
      <c r="G1394" s="656"/>
      <c r="H1394" s="479"/>
      <c r="I1394" s="268"/>
      <c r="J1394" s="268"/>
      <c r="K1394" s="268"/>
      <c r="L1394" s="269"/>
      <c r="M1394" s="511" t="str">
        <f>IFERROR(INDEX([1]Produtos!$C:$C,MATCH(L1394,[1]Produtos!$B:$B,0)), "-")</f>
        <v>-</v>
      </c>
      <c r="N1394" s="511" t="str">
        <f>IFERROR(INDEX([1]Produtos!$E:$E,MATCH(L1394,[1]Produtos!$B:$B,0)), "-")</f>
        <v>-</v>
      </c>
      <c r="O1394" s="483" t="str">
        <f>IFERROR(INDEX([1]Produtos!$F:$F,MATCH(L1394,[1]Produtos!$B:$B,0)), "-")</f>
        <v>-</v>
      </c>
      <c r="P1394" s="477" t="str">
        <f>IFERROR(INDEX([1]Produtos!$G:$G,MATCH(L1394,[1]Produtos!$B:$B,0)), "-")</f>
        <v>-</v>
      </c>
      <c r="Q1394" s="483" t="str">
        <f>IFERROR(INDEX([1]Produtos!$H:$H,MATCH(L1394,[1]Produtos!$B:$B,0)), "-")</f>
        <v>-</v>
      </c>
      <c r="R1394" s="483" t="str">
        <f>IFERROR(INDEX([1]Produtos!$I:$I,MATCH(L1394,[1]Produtos!$B:$B,0)), "-")</f>
        <v>-</v>
      </c>
      <c r="S1394" s="483" t="str">
        <f>IFERROR(INDEX([1]Produtos!$J:$J,MATCH(L1394,[1]Produtos!$B:$B,0)), "-")</f>
        <v>-</v>
      </c>
      <c r="T1394" s="484"/>
      <c r="U1394" s="483"/>
      <c r="V1394" s="483"/>
      <c r="W1394" s="483"/>
      <c r="X1394" s="483"/>
      <c r="Y1394" s="483"/>
      <c r="Z1394" s="483"/>
      <c r="AA1394" s="483"/>
      <c r="AB1394" s="483"/>
      <c r="AC1394" s="483"/>
      <c r="AD1394" s="483"/>
      <c r="AE1394" s="483"/>
      <c r="AF1394" s="483"/>
      <c r="AG1394" s="483"/>
      <c r="AH1394" s="483"/>
      <c r="AI1394" s="483"/>
      <c r="AJ1394" s="483"/>
      <c r="AK1394" s="483"/>
      <c r="AL1394" s="483"/>
      <c r="AM1394" s="670"/>
      <c r="AN1394" s="670"/>
      <c r="AO1394" s="711" t="str">
        <f>IF(OR(Table1[[#This Row],[Início Setup Envase]]="",Table1[[#This Row],[Final Setup Envase]]=""),"",Table1[[#This Row],[Final Setup Envase]]-Table1[[#This Row],[Início Setup Envase]])</f>
        <v/>
      </c>
      <c r="AP1394" s="670"/>
      <c r="AQ1394" s="670"/>
      <c r="AR1394" s="483"/>
      <c r="AS1394" s="483"/>
      <c r="AT1394" s="483"/>
      <c r="AU1394" s="483"/>
      <c r="AV1394" s="483"/>
      <c r="AW1394" s="483"/>
      <c r="AX1394" s="483"/>
      <c r="AY1394" s="270"/>
      <c r="AZ1394" s="270"/>
      <c r="BA1394" s="270" t="str">
        <f>IF(Table1[[#This Row],[Data de Início]]="","",YEAR(Table1[[#This Row],[Data de Início]]))</f>
        <v/>
      </c>
      <c r="BB1394" s="270" t="str">
        <f>IF(Table1[[#This Row],[Data de Início]]="","",MONTH(Table1[[#This Row],[Data de Início]]))</f>
        <v/>
      </c>
      <c r="BC1394" s="270"/>
    </row>
    <row r="1395" spans="2:55" x14ac:dyDescent="0.25">
      <c r="B1395" s="470"/>
      <c r="C1395" s="263"/>
      <c r="D1395" s="477" cm="1">
        <f t="array" ref="D1395">IFERROR(HorasUteisFabrica2Turnos(B1395,C1395), "")</f>
        <v>0</v>
      </c>
      <c r="E1395" s="697" t="str">
        <f t="shared" si="22"/>
        <v/>
      </c>
      <c r="F1395" s="266"/>
      <c r="G1395" s="698"/>
      <c r="H1395" s="266"/>
      <c r="I1395" s="268"/>
      <c r="J1395" s="268"/>
      <c r="K1395" s="268"/>
      <c r="L1395" s="269"/>
      <c r="M1395" s="510" t="str">
        <f>IFERROR(INDEX([1]Produtos!$C:$C,MATCH(L1395,[1]Produtos!$B:$B,0)), "-")</f>
        <v>-</v>
      </c>
      <c r="N1395" s="510" t="str">
        <f>IFERROR(INDEX([1]Produtos!$E:$E,MATCH(L1395,[1]Produtos!$B:$B,0)), "-")</f>
        <v>-</v>
      </c>
      <c r="O1395" s="270" t="str">
        <f>IFERROR(INDEX([1]Produtos!$F:$F,MATCH(L1395,[1]Produtos!$B:$B,0)), "-")</f>
        <v>-</v>
      </c>
      <c r="P1395" s="264" t="str">
        <f>IFERROR(INDEX([1]Produtos!$G:$G,MATCH(L1395,[1]Produtos!$B:$B,0)), "-")</f>
        <v>-</v>
      </c>
      <c r="Q1395" s="270" t="str">
        <f>IFERROR(INDEX([1]Produtos!$H:$H,MATCH(L1395,[1]Produtos!$B:$B,0)), "-")</f>
        <v>-</v>
      </c>
      <c r="R1395" s="270" t="str">
        <f>IFERROR(INDEX([1]Produtos!$I:$I,MATCH(L1395,[1]Produtos!$B:$B,0)), "-")</f>
        <v>-</v>
      </c>
      <c r="S1395" s="270" t="str">
        <f>IFERROR(INDEX([1]Produtos!$J:$J,MATCH(L1395,[1]Produtos!$B:$B,0)), "-")</f>
        <v>-</v>
      </c>
      <c r="T1395" s="475"/>
      <c r="U1395" s="270"/>
      <c r="V1395" s="270"/>
      <c r="W1395" s="270"/>
      <c r="X1395" s="270"/>
      <c r="Y1395" s="270"/>
      <c r="Z1395" s="270"/>
      <c r="AA1395" s="270"/>
      <c r="AB1395" s="270"/>
      <c r="AC1395" s="270"/>
      <c r="AD1395" s="270"/>
      <c r="AE1395" s="270"/>
      <c r="AF1395" s="270"/>
      <c r="AG1395" s="270"/>
      <c r="AH1395" s="270"/>
      <c r="AI1395" s="270"/>
      <c r="AJ1395" s="270"/>
      <c r="AK1395" s="270"/>
      <c r="AL1395" s="270"/>
      <c r="AM1395" s="663"/>
      <c r="AN1395" s="663"/>
      <c r="AO1395" s="708" t="str">
        <f>IF(OR(Table1[[#This Row],[Início Setup Envase]]="",Table1[[#This Row],[Final Setup Envase]]=""),"",Table1[[#This Row],[Final Setup Envase]]-Table1[[#This Row],[Início Setup Envase]])</f>
        <v/>
      </c>
      <c r="AP1395" s="663"/>
      <c r="AQ1395" s="663"/>
      <c r="AR1395" s="270"/>
      <c r="AS1395" s="674"/>
      <c r="AT1395" s="674"/>
      <c r="AU1395" s="270"/>
      <c r="AV1395" s="270"/>
      <c r="AW1395" s="270"/>
      <c r="AX1395" s="270"/>
      <c r="AY1395" s="270"/>
      <c r="AZ1395" s="270"/>
      <c r="BA1395" s="270" t="str">
        <f>IF(Table1[[#This Row],[Data de Início]]="","",YEAR(Table1[[#This Row],[Data de Início]]))</f>
        <v/>
      </c>
      <c r="BB1395" s="270" t="str">
        <f>IF(Table1[[#This Row],[Data de Início]]="","",MONTH(Table1[[#This Row],[Data de Início]]))</f>
        <v/>
      </c>
      <c r="BC1395" s="483"/>
    </row>
    <row r="1396" spans="2:55" x14ac:dyDescent="0.25">
      <c r="B1396" s="470"/>
      <c r="C1396" s="263"/>
      <c r="D1396" s="477" cm="1">
        <f t="array" ref="D1396">IFERROR(HorasUteisFabrica2Turnos(B1396,C1396), "")</f>
        <v>0</v>
      </c>
      <c r="E1396" s="478" t="str">
        <f t="shared" si="22"/>
        <v/>
      </c>
      <c r="F1396" s="266"/>
      <c r="G1396" s="656"/>
      <c r="H1396" s="479"/>
      <c r="I1396" s="268"/>
      <c r="J1396" s="268"/>
      <c r="K1396" s="268"/>
      <c r="L1396" s="269"/>
      <c r="M1396" s="511" t="str">
        <f>IFERROR(INDEX([1]Produtos!$C:$C,MATCH(L1396,[1]Produtos!$B:$B,0)), "-")</f>
        <v>-</v>
      </c>
      <c r="N1396" s="511" t="str">
        <f>IFERROR(INDEX([1]Produtos!$E:$E,MATCH(L1396,[1]Produtos!$B:$B,0)), "-")</f>
        <v>-</v>
      </c>
      <c r="O1396" s="483" t="str">
        <f>IFERROR(INDEX([1]Produtos!$F:$F,MATCH(L1396,[1]Produtos!$B:$B,0)), "-")</f>
        <v>-</v>
      </c>
      <c r="P1396" s="477" t="str">
        <f>IFERROR(INDEX([1]Produtos!$G:$G,MATCH(L1396,[1]Produtos!$B:$B,0)), "-")</f>
        <v>-</v>
      </c>
      <c r="Q1396" s="483" t="str">
        <f>IFERROR(INDEX([1]Produtos!$H:$H,MATCH(L1396,[1]Produtos!$B:$B,0)), "-")</f>
        <v>-</v>
      </c>
      <c r="R1396" s="483" t="str">
        <f>IFERROR(INDEX([1]Produtos!$I:$I,MATCH(L1396,[1]Produtos!$B:$B,0)), "-")</f>
        <v>-</v>
      </c>
      <c r="S1396" s="483" t="str">
        <f>IFERROR(INDEX([1]Produtos!$J:$J,MATCH(L1396,[1]Produtos!$B:$B,0)), "-")</f>
        <v>-</v>
      </c>
      <c r="T1396" s="484"/>
      <c r="U1396" s="483"/>
      <c r="V1396" s="483"/>
      <c r="W1396" s="483"/>
      <c r="X1396" s="483"/>
      <c r="Y1396" s="483"/>
      <c r="Z1396" s="483"/>
      <c r="AA1396" s="483"/>
      <c r="AB1396" s="483"/>
      <c r="AC1396" s="483"/>
      <c r="AD1396" s="483"/>
      <c r="AE1396" s="483"/>
      <c r="AF1396" s="483"/>
      <c r="AG1396" s="483"/>
      <c r="AH1396" s="483"/>
      <c r="AI1396" s="483"/>
      <c r="AJ1396" s="483"/>
      <c r="AK1396" s="483"/>
      <c r="AL1396" s="483"/>
      <c r="AM1396" s="670"/>
      <c r="AN1396" s="670"/>
      <c r="AO1396" s="711" t="str">
        <f>IF(OR(Table1[[#This Row],[Início Setup Envase]]="",Table1[[#This Row],[Final Setup Envase]]=""),"",Table1[[#This Row],[Final Setup Envase]]-Table1[[#This Row],[Início Setup Envase]])</f>
        <v/>
      </c>
      <c r="AP1396" s="670"/>
      <c r="AQ1396" s="670"/>
      <c r="AR1396" s="483"/>
      <c r="AS1396" s="483"/>
      <c r="AT1396" s="483"/>
      <c r="AU1396" s="483"/>
      <c r="AV1396" s="483"/>
      <c r="AW1396" s="483"/>
      <c r="AX1396" s="483"/>
      <c r="AY1396" s="270"/>
      <c r="AZ1396" s="270"/>
      <c r="BA1396" s="270" t="str">
        <f>IF(Table1[[#This Row],[Data de Início]]="","",YEAR(Table1[[#This Row],[Data de Início]]))</f>
        <v/>
      </c>
      <c r="BB1396" s="270" t="str">
        <f>IF(Table1[[#This Row],[Data de Início]]="","",MONTH(Table1[[#This Row],[Data de Início]]))</f>
        <v/>
      </c>
      <c r="BC1396" s="270"/>
    </row>
    <row r="1397" spans="2:55" x14ac:dyDescent="0.25">
      <c r="B1397" s="470"/>
      <c r="C1397" s="263"/>
      <c r="D1397" s="477" cm="1">
        <f t="array" ref="D1397">IFERROR(HorasUteisFabrica2Turnos(B1397,C1397), "")</f>
        <v>0</v>
      </c>
      <c r="E1397" s="697" t="str">
        <f t="shared" si="22"/>
        <v/>
      </c>
      <c r="F1397" s="266"/>
      <c r="G1397" s="698"/>
      <c r="H1397" s="266"/>
      <c r="I1397" s="268"/>
      <c r="J1397" s="268"/>
      <c r="K1397" s="268"/>
      <c r="L1397" s="269"/>
      <c r="M1397" s="510" t="str">
        <f>IFERROR(INDEX([1]Produtos!$C:$C,MATCH(L1397,[1]Produtos!$B:$B,0)), "-")</f>
        <v>-</v>
      </c>
      <c r="N1397" s="510" t="str">
        <f>IFERROR(INDEX([1]Produtos!$E:$E,MATCH(L1397,[1]Produtos!$B:$B,0)), "-")</f>
        <v>-</v>
      </c>
      <c r="O1397" s="270" t="str">
        <f>IFERROR(INDEX([1]Produtos!$F:$F,MATCH(L1397,[1]Produtos!$B:$B,0)), "-")</f>
        <v>-</v>
      </c>
      <c r="P1397" s="264" t="str">
        <f>IFERROR(INDEX([1]Produtos!$G:$G,MATCH(L1397,[1]Produtos!$B:$B,0)), "-")</f>
        <v>-</v>
      </c>
      <c r="Q1397" s="270" t="str">
        <f>IFERROR(INDEX([1]Produtos!$H:$H,MATCH(L1397,[1]Produtos!$B:$B,0)), "-")</f>
        <v>-</v>
      </c>
      <c r="R1397" s="270" t="str">
        <f>IFERROR(INDEX([1]Produtos!$I:$I,MATCH(L1397,[1]Produtos!$B:$B,0)), "-")</f>
        <v>-</v>
      </c>
      <c r="S1397" s="270" t="str">
        <f>IFERROR(INDEX([1]Produtos!$J:$J,MATCH(L1397,[1]Produtos!$B:$B,0)), "-")</f>
        <v>-</v>
      </c>
      <c r="T1397" s="475"/>
      <c r="U1397" s="270"/>
      <c r="V1397" s="270"/>
      <c r="W1397" s="270"/>
      <c r="X1397" s="270"/>
      <c r="Y1397" s="270"/>
      <c r="Z1397" s="270"/>
      <c r="AA1397" s="270"/>
      <c r="AB1397" s="270"/>
      <c r="AC1397" s="270"/>
      <c r="AD1397" s="270"/>
      <c r="AE1397" s="270"/>
      <c r="AF1397" s="270"/>
      <c r="AG1397" s="270"/>
      <c r="AH1397" s="270"/>
      <c r="AI1397" s="270"/>
      <c r="AJ1397" s="270"/>
      <c r="AK1397" s="270"/>
      <c r="AL1397" s="270"/>
      <c r="AM1397" s="663"/>
      <c r="AN1397" s="663"/>
      <c r="AO1397" s="708" t="str">
        <f>IF(OR(Table1[[#This Row],[Início Setup Envase]]="",Table1[[#This Row],[Final Setup Envase]]=""),"",Table1[[#This Row],[Final Setup Envase]]-Table1[[#This Row],[Início Setup Envase]])</f>
        <v/>
      </c>
      <c r="AP1397" s="663"/>
      <c r="AQ1397" s="663"/>
      <c r="AR1397" s="270"/>
      <c r="AS1397" s="674"/>
      <c r="AT1397" s="674"/>
      <c r="AU1397" s="270"/>
      <c r="AV1397" s="270"/>
      <c r="AW1397" s="270"/>
      <c r="AX1397" s="270"/>
      <c r="AY1397" s="270"/>
      <c r="AZ1397" s="270"/>
      <c r="BA1397" s="270" t="str">
        <f>IF(Table1[[#This Row],[Data de Início]]="","",YEAR(Table1[[#This Row],[Data de Início]]))</f>
        <v/>
      </c>
      <c r="BB1397" s="270" t="str">
        <f>IF(Table1[[#This Row],[Data de Início]]="","",MONTH(Table1[[#This Row],[Data de Início]]))</f>
        <v/>
      </c>
      <c r="BC1397" s="483"/>
    </row>
    <row r="1398" spans="2:55" x14ac:dyDescent="0.25">
      <c r="B1398" s="470"/>
      <c r="C1398" s="263"/>
      <c r="D1398" s="477" cm="1">
        <f t="array" ref="D1398">IFERROR(HorasUteisFabrica2Turnos(B1398,C1398), "")</f>
        <v>0</v>
      </c>
      <c r="E1398" s="478" t="str">
        <f t="shared" si="22"/>
        <v/>
      </c>
      <c r="F1398" s="266"/>
      <c r="G1398" s="656"/>
      <c r="H1398" s="479"/>
      <c r="I1398" s="268"/>
      <c r="J1398" s="268"/>
      <c r="K1398" s="268"/>
      <c r="L1398" s="269"/>
      <c r="M1398" s="511" t="str">
        <f>IFERROR(INDEX([1]Produtos!$C:$C,MATCH(L1398,[1]Produtos!$B:$B,0)), "-")</f>
        <v>-</v>
      </c>
      <c r="N1398" s="511" t="str">
        <f>IFERROR(INDEX([1]Produtos!$E:$E,MATCH(L1398,[1]Produtos!$B:$B,0)), "-")</f>
        <v>-</v>
      </c>
      <c r="O1398" s="483" t="str">
        <f>IFERROR(INDEX([1]Produtos!$F:$F,MATCH(L1398,[1]Produtos!$B:$B,0)), "-")</f>
        <v>-</v>
      </c>
      <c r="P1398" s="477" t="str">
        <f>IFERROR(INDEX([1]Produtos!$G:$G,MATCH(L1398,[1]Produtos!$B:$B,0)), "-")</f>
        <v>-</v>
      </c>
      <c r="Q1398" s="483" t="str">
        <f>IFERROR(INDEX([1]Produtos!$H:$H,MATCH(L1398,[1]Produtos!$B:$B,0)), "-")</f>
        <v>-</v>
      </c>
      <c r="R1398" s="483" t="str">
        <f>IFERROR(INDEX([1]Produtos!$I:$I,MATCH(L1398,[1]Produtos!$B:$B,0)), "-")</f>
        <v>-</v>
      </c>
      <c r="S1398" s="483" t="str">
        <f>IFERROR(INDEX([1]Produtos!$J:$J,MATCH(L1398,[1]Produtos!$B:$B,0)), "-")</f>
        <v>-</v>
      </c>
      <c r="T1398" s="484"/>
      <c r="U1398" s="483"/>
      <c r="V1398" s="483"/>
      <c r="W1398" s="483"/>
      <c r="X1398" s="483"/>
      <c r="Y1398" s="483"/>
      <c r="Z1398" s="483"/>
      <c r="AA1398" s="483"/>
      <c r="AB1398" s="483"/>
      <c r="AC1398" s="483"/>
      <c r="AD1398" s="483"/>
      <c r="AE1398" s="483"/>
      <c r="AF1398" s="483"/>
      <c r="AG1398" s="483"/>
      <c r="AH1398" s="483"/>
      <c r="AI1398" s="483"/>
      <c r="AJ1398" s="483"/>
      <c r="AK1398" s="483"/>
      <c r="AL1398" s="483"/>
      <c r="AM1398" s="670"/>
      <c r="AN1398" s="670"/>
      <c r="AO1398" s="711" t="str">
        <f>IF(OR(Table1[[#This Row],[Início Setup Envase]]="",Table1[[#This Row],[Final Setup Envase]]=""),"",Table1[[#This Row],[Final Setup Envase]]-Table1[[#This Row],[Início Setup Envase]])</f>
        <v/>
      </c>
      <c r="AP1398" s="670"/>
      <c r="AQ1398" s="670"/>
      <c r="AR1398" s="483"/>
      <c r="AS1398" s="483"/>
      <c r="AT1398" s="483"/>
      <c r="AU1398" s="483"/>
      <c r="AV1398" s="483"/>
      <c r="AW1398" s="483"/>
      <c r="AX1398" s="483"/>
      <c r="AY1398" s="270"/>
      <c r="AZ1398" s="270"/>
      <c r="BA1398" s="270" t="str">
        <f>IF(Table1[[#This Row],[Data de Início]]="","",YEAR(Table1[[#This Row],[Data de Início]]))</f>
        <v/>
      </c>
      <c r="BB1398" s="270" t="str">
        <f>IF(Table1[[#This Row],[Data de Início]]="","",MONTH(Table1[[#This Row],[Data de Início]]))</f>
        <v/>
      </c>
      <c r="BC1398" s="270"/>
    </row>
    <row r="1399" spans="2:55" x14ac:dyDescent="0.25">
      <c r="B1399" s="470"/>
      <c r="C1399" s="263"/>
      <c r="D1399" s="477" cm="1">
        <f t="array" ref="D1399">IFERROR(HorasUteisFabrica2Turnos(B1399,C1399), "")</f>
        <v>0</v>
      </c>
      <c r="E1399" s="697" t="str">
        <f t="shared" si="22"/>
        <v/>
      </c>
      <c r="F1399" s="266"/>
      <c r="G1399" s="698"/>
      <c r="H1399" s="266"/>
      <c r="I1399" s="268"/>
      <c r="J1399" s="268"/>
      <c r="K1399" s="268"/>
      <c r="L1399" s="269"/>
      <c r="M1399" s="510" t="str">
        <f>IFERROR(INDEX([1]Produtos!$C:$C,MATCH(L1399,[1]Produtos!$B:$B,0)), "-")</f>
        <v>-</v>
      </c>
      <c r="N1399" s="510" t="str">
        <f>IFERROR(INDEX([1]Produtos!$E:$E,MATCH(L1399,[1]Produtos!$B:$B,0)), "-")</f>
        <v>-</v>
      </c>
      <c r="O1399" s="270" t="str">
        <f>IFERROR(INDEX([1]Produtos!$F:$F,MATCH(L1399,[1]Produtos!$B:$B,0)), "-")</f>
        <v>-</v>
      </c>
      <c r="P1399" s="264" t="str">
        <f>IFERROR(INDEX([1]Produtos!$G:$G,MATCH(L1399,[1]Produtos!$B:$B,0)), "-")</f>
        <v>-</v>
      </c>
      <c r="Q1399" s="270" t="str">
        <f>IFERROR(INDEX([1]Produtos!$H:$H,MATCH(L1399,[1]Produtos!$B:$B,0)), "-")</f>
        <v>-</v>
      </c>
      <c r="R1399" s="270" t="str">
        <f>IFERROR(INDEX([1]Produtos!$I:$I,MATCH(L1399,[1]Produtos!$B:$B,0)), "-")</f>
        <v>-</v>
      </c>
      <c r="S1399" s="270" t="str">
        <f>IFERROR(INDEX([1]Produtos!$J:$J,MATCH(L1399,[1]Produtos!$B:$B,0)), "-")</f>
        <v>-</v>
      </c>
      <c r="T1399" s="475"/>
      <c r="U1399" s="270"/>
      <c r="V1399" s="270"/>
      <c r="W1399" s="270"/>
      <c r="X1399" s="270"/>
      <c r="Y1399" s="270"/>
      <c r="Z1399" s="270"/>
      <c r="AA1399" s="270"/>
      <c r="AB1399" s="270"/>
      <c r="AC1399" s="270"/>
      <c r="AD1399" s="270"/>
      <c r="AE1399" s="270"/>
      <c r="AF1399" s="270"/>
      <c r="AG1399" s="270"/>
      <c r="AH1399" s="270"/>
      <c r="AI1399" s="270"/>
      <c r="AJ1399" s="270"/>
      <c r="AK1399" s="270"/>
      <c r="AL1399" s="270"/>
      <c r="AM1399" s="663"/>
      <c r="AN1399" s="663"/>
      <c r="AO1399" s="708" t="str">
        <f>IF(OR(Table1[[#This Row],[Início Setup Envase]]="",Table1[[#This Row],[Final Setup Envase]]=""),"",Table1[[#This Row],[Final Setup Envase]]-Table1[[#This Row],[Início Setup Envase]])</f>
        <v/>
      </c>
      <c r="AP1399" s="663"/>
      <c r="AQ1399" s="663"/>
      <c r="AR1399" s="270"/>
      <c r="AS1399" s="674"/>
      <c r="AT1399" s="674"/>
      <c r="AU1399" s="270"/>
      <c r="AV1399" s="270"/>
      <c r="AW1399" s="270"/>
      <c r="AX1399" s="270"/>
      <c r="AY1399" s="270"/>
      <c r="AZ1399" s="270"/>
      <c r="BA1399" s="270" t="str">
        <f>IF(Table1[[#This Row],[Data de Início]]="","",YEAR(Table1[[#This Row],[Data de Início]]))</f>
        <v/>
      </c>
      <c r="BB1399" s="270" t="str">
        <f>IF(Table1[[#This Row],[Data de Início]]="","",MONTH(Table1[[#This Row],[Data de Início]]))</f>
        <v/>
      </c>
      <c r="BC1399" s="483"/>
    </row>
    <row r="1400" spans="2:55" x14ac:dyDescent="0.25">
      <c r="B1400" s="470"/>
      <c r="C1400" s="263"/>
      <c r="D1400" s="477" cm="1">
        <f t="array" ref="D1400">IFERROR(HorasUteisFabrica2Turnos(B1400,C1400), "")</f>
        <v>0</v>
      </c>
      <c r="E1400" s="478" t="str">
        <f t="shared" si="22"/>
        <v/>
      </c>
      <c r="F1400" s="266"/>
      <c r="G1400" s="656"/>
      <c r="H1400" s="479"/>
      <c r="I1400" s="268"/>
      <c r="J1400" s="268"/>
      <c r="K1400" s="268"/>
      <c r="L1400" s="269"/>
      <c r="M1400" s="511" t="str">
        <f>IFERROR(INDEX([1]Produtos!$C:$C,MATCH(L1400,[1]Produtos!$B:$B,0)), "-")</f>
        <v>-</v>
      </c>
      <c r="N1400" s="511" t="str">
        <f>IFERROR(INDEX([1]Produtos!$E:$E,MATCH(L1400,[1]Produtos!$B:$B,0)), "-")</f>
        <v>-</v>
      </c>
      <c r="O1400" s="483" t="str">
        <f>IFERROR(INDEX([1]Produtos!$F:$F,MATCH(L1400,[1]Produtos!$B:$B,0)), "-")</f>
        <v>-</v>
      </c>
      <c r="P1400" s="477" t="str">
        <f>IFERROR(INDEX([1]Produtos!$G:$G,MATCH(L1400,[1]Produtos!$B:$B,0)), "-")</f>
        <v>-</v>
      </c>
      <c r="Q1400" s="483" t="str">
        <f>IFERROR(INDEX([1]Produtos!$H:$H,MATCH(L1400,[1]Produtos!$B:$B,0)), "-")</f>
        <v>-</v>
      </c>
      <c r="R1400" s="483" t="str">
        <f>IFERROR(INDEX([1]Produtos!$I:$I,MATCH(L1400,[1]Produtos!$B:$B,0)), "-")</f>
        <v>-</v>
      </c>
      <c r="S1400" s="483" t="str">
        <f>IFERROR(INDEX([1]Produtos!$J:$J,MATCH(L1400,[1]Produtos!$B:$B,0)), "-")</f>
        <v>-</v>
      </c>
      <c r="T1400" s="484"/>
      <c r="U1400" s="483"/>
      <c r="V1400" s="483"/>
      <c r="W1400" s="483"/>
      <c r="X1400" s="483"/>
      <c r="Y1400" s="483"/>
      <c r="Z1400" s="483"/>
      <c r="AA1400" s="483"/>
      <c r="AB1400" s="483"/>
      <c r="AC1400" s="483"/>
      <c r="AD1400" s="483"/>
      <c r="AE1400" s="483"/>
      <c r="AF1400" s="483"/>
      <c r="AG1400" s="483"/>
      <c r="AH1400" s="483"/>
      <c r="AI1400" s="483"/>
      <c r="AJ1400" s="483"/>
      <c r="AK1400" s="483"/>
      <c r="AL1400" s="483"/>
      <c r="AM1400" s="670"/>
      <c r="AN1400" s="670"/>
      <c r="AO1400" s="711" t="str">
        <f>IF(OR(Table1[[#This Row],[Início Setup Envase]]="",Table1[[#This Row],[Final Setup Envase]]=""),"",Table1[[#This Row],[Final Setup Envase]]-Table1[[#This Row],[Início Setup Envase]])</f>
        <v/>
      </c>
      <c r="AP1400" s="670"/>
      <c r="AQ1400" s="670"/>
      <c r="AR1400" s="483"/>
      <c r="AS1400" s="483"/>
      <c r="AT1400" s="483"/>
      <c r="AU1400" s="483"/>
      <c r="AV1400" s="483"/>
      <c r="AW1400" s="483"/>
      <c r="AX1400" s="483"/>
      <c r="AY1400" s="270"/>
      <c r="AZ1400" s="270"/>
      <c r="BA1400" s="270" t="str">
        <f>IF(Table1[[#This Row],[Data de Início]]="","",YEAR(Table1[[#This Row],[Data de Início]]))</f>
        <v/>
      </c>
      <c r="BB1400" s="270" t="str">
        <f>IF(Table1[[#This Row],[Data de Início]]="","",MONTH(Table1[[#This Row],[Data de Início]]))</f>
        <v/>
      </c>
      <c r="BC1400" s="270"/>
    </row>
    <row r="1401" spans="2:55" x14ac:dyDescent="0.25">
      <c r="B1401" s="470"/>
      <c r="C1401" s="263"/>
      <c r="D1401" s="477" cm="1">
        <f t="array" ref="D1401">IFERROR(HorasUteisFabrica2Turnos(B1401,C1401), "")</f>
        <v>0</v>
      </c>
      <c r="E1401" s="697" t="str">
        <f t="shared" si="22"/>
        <v/>
      </c>
      <c r="F1401" s="266"/>
      <c r="G1401" s="698"/>
      <c r="H1401" s="266"/>
      <c r="I1401" s="268"/>
      <c r="J1401" s="268"/>
      <c r="K1401" s="268"/>
      <c r="L1401" s="269"/>
      <c r="M1401" s="510" t="str">
        <f>IFERROR(INDEX([1]Produtos!$C:$C,MATCH(L1401,[1]Produtos!$B:$B,0)), "-")</f>
        <v>-</v>
      </c>
      <c r="N1401" s="510" t="str">
        <f>IFERROR(INDEX([1]Produtos!$E:$E,MATCH(L1401,[1]Produtos!$B:$B,0)), "-")</f>
        <v>-</v>
      </c>
      <c r="O1401" s="270" t="str">
        <f>IFERROR(INDEX([1]Produtos!$F:$F,MATCH(L1401,[1]Produtos!$B:$B,0)), "-")</f>
        <v>-</v>
      </c>
      <c r="P1401" s="264" t="str">
        <f>IFERROR(INDEX([1]Produtos!$G:$G,MATCH(L1401,[1]Produtos!$B:$B,0)), "-")</f>
        <v>-</v>
      </c>
      <c r="Q1401" s="270" t="str">
        <f>IFERROR(INDEX([1]Produtos!$H:$H,MATCH(L1401,[1]Produtos!$B:$B,0)), "-")</f>
        <v>-</v>
      </c>
      <c r="R1401" s="270" t="str">
        <f>IFERROR(INDEX([1]Produtos!$I:$I,MATCH(L1401,[1]Produtos!$B:$B,0)), "-")</f>
        <v>-</v>
      </c>
      <c r="S1401" s="270" t="str">
        <f>IFERROR(INDEX([1]Produtos!$J:$J,MATCH(L1401,[1]Produtos!$B:$B,0)), "-")</f>
        <v>-</v>
      </c>
      <c r="T1401" s="475"/>
      <c r="U1401" s="270"/>
      <c r="V1401" s="270"/>
      <c r="W1401" s="270"/>
      <c r="X1401" s="270"/>
      <c r="Y1401" s="270"/>
      <c r="Z1401" s="270"/>
      <c r="AA1401" s="270"/>
      <c r="AB1401" s="270"/>
      <c r="AC1401" s="270"/>
      <c r="AD1401" s="270"/>
      <c r="AE1401" s="270"/>
      <c r="AF1401" s="270"/>
      <c r="AG1401" s="270"/>
      <c r="AH1401" s="270"/>
      <c r="AI1401" s="270"/>
      <c r="AJ1401" s="270"/>
      <c r="AK1401" s="270"/>
      <c r="AL1401" s="270"/>
      <c r="AM1401" s="663"/>
      <c r="AN1401" s="663"/>
      <c r="AO1401" s="708" t="str">
        <f>IF(OR(Table1[[#This Row],[Início Setup Envase]]="",Table1[[#This Row],[Final Setup Envase]]=""),"",Table1[[#This Row],[Final Setup Envase]]-Table1[[#This Row],[Início Setup Envase]])</f>
        <v/>
      </c>
      <c r="AP1401" s="663"/>
      <c r="AQ1401" s="663"/>
      <c r="AR1401" s="270"/>
      <c r="AS1401" s="674"/>
      <c r="AT1401" s="674"/>
      <c r="AU1401" s="270"/>
      <c r="AV1401" s="270"/>
      <c r="AW1401" s="270"/>
      <c r="AX1401" s="270"/>
      <c r="AY1401" s="270"/>
      <c r="AZ1401" s="270"/>
      <c r="BA1401" s="270" t="str">
        <f>IF(Table1[[#This Row],[Data de Início]]="","",YEAR(Table1[[#This Row],[Data de Início]]))</f>
        <v/>
      </c>
      <c r="BB1401" s="270" t="str">
        <f>IF(Table1[[#This Row],[Data de Início]]="","",MONTH(Table1[[#This Row],[Data de Início]]))</f>
        <v/>
      </c>
      <c r="BC1401" s="483"/>
    </row>
    <row r="1402" spans="2:55" x14ac:dyDescent="0.25">
      <c r="B1402" s="470"/>
      <c r="C1402" s="263"/>
      <c r="D1402" s="477" cm="1">
        <f t="array" ref="D1402">IFERROR(HorasUteisFabrica2Turnos(B1402,C1402), "")</f>
        <v>0</v>
      </c>
      <c r="E1402" s="478" t="str">
        <f t="shared" si="22"/>
        <v/>
      </c>
      <c r="F1402" s="266"/>
      <c r="G1402" s="656"/>
      <c r="H1402" s="479"/>
      <c r="I1402" s="268"/>
      <c r="J1402" s="268"/>
      <c r="K1402" s="268"/>
      <c r="L1402" s="269"/>
      <c r="M1402" s="511" t="str">
        <f>IFERROR(INDEX([1]Produtos!$C:$C,MATCH(L1402,[1]Produtos!$B:$B,0)), "-")</f>
        <v>-</v>
      </c>
      <c r="N1402" s="511" t="str">
        <f>IFERROR(INDEX([1]Produtos!$E:$E,MATCH(L1402,[1]Produtos!$B:$B,0)), "-")</f>
        <v>-</v>
      </c>
      <c r="O1402" s="483" t="str">
        <f>IFERROR(INDEX([1]Produtos!$F:$F,MATCH(L1402,[1]Produtos!$B:$B,0)), "-")</f>
        <v>-</v>
      </c>
      <c r="P1402" s="477" t="str">
        <f>IFERROR(INDEX([1]Produtos!$G:$G,MATCH(L1402,[1]Produtos!$B:$B,0)), "-")</f>
        <v>-</v>
      </c>
      <c r="Q1402" s="483" t="str">
        <f>IFERROR(INDEX([1]Produtos!$H:$H,MATCH(L1402,[1]Produtos!$B:$B,0)), "-")</f>
        <v>-</v>
      </c>
      <c r="R1402" s="483" t="str">
        <f>IFERROR(INDEX([1]Produtos!$I:$I,MATCH(L1402,[1]Produtos!$B:$B,0)), "-")</f>
        <v>-</v>
      </c>
      <c r="S1402" s="483" t="str">
        <f>IFERROR(INDEX([1]Produtos!$J:$J,MATCH(L1402,[1]Produtos!$B:$B,0)), "-")</f>
        <v>-</v>
      </c>
      <c r="T1402" s="484"/>
      <c r="U1402" s="483"/>
      <c r="V1402" s="483"/>
      <c r="W1402" s="483"/>
      <c r="X1402" s="483"/>
      <c r="Y1402" s="483"/>
      <c r="Z1402" s="483"/>
      <c r="AA1402" s="483"/>
      <c r="AB1402" s="483"/>
      <c r="AC1402" s="483"/>
      <c r="AD1402" s="483"/>
      <c r="AE1402" s="483"/>
      <c r="AF1402" s="483"/>
      <c r="AG1402" s="483"/>
      <c r="AH1402" s="483"/>
      <c r="AI1402" s="483"/>
      <c r="AJ1402" s="483"/>
      <c r="AK1402" s="483"/>
      <c r="AL1402" s="483"/>
      <c r="AM1402" s="670"/>
      <c r="AN1402" s="670"/>
      <c r="AO1402" s="711" t="str">
        <f>IF(OR(Table1[[#This Row],[Início Setup Envase]]="",Table1[[#This Row],[Final Setup Envase]]=""),"",Table1[[#This Row],[Final Setup Envase]]-Table1[[#This Row],[Início Setup Envase]])</f>
        <v/>
      </c>
      <c r="AP1402" s="670"/>
      <c r="AQ1402" s="670"/>
      <c r="AR1402" s="483"/>
      <c r="AS1402" s="483"/>
      <c r="AT1402" s="483"/>
      <c r="AU1402" s="483"/>
      <c r="AV1402" s="483"/>
      <c r="AW1402" s="483"/>
      <c r="AX1402" s="483"/>
      <c r="AY1402" s="270"/>
      <c r="AZ1402" s="270"/>
      <c r="BA1402" s="270" t="str">
        <f>IF(Table1[[#This Row],[Data de Início]]="","",YEAR(Table1[[#This Row],[Data de Início]]))</f>
        <v/>
      </c>
      <c r="BB1402" s="270" t="str">
        <f>IF(Table1[[#This Row],[Data de Início]]="","",MONTH(Table1[[#This Row],[Data de Início]]))</f>
        <v/>
      </c>
      <c r="BC1402" s="270"/>
    </row>
    <row r="1403" spans="2:55" x14ac:dyDescent="0.25">
      <c r="B1403" s="470"/>
      <c r="C1403" s="263"/>
      <c r="D1403" s="477" cm="1">
        <f t="array" ref="D1403">IFERROR(HorasUteisFabrica2Turnos(B1403,C1403), "")</f>
        <v>0</v>
      </c>
      <c r="E1403" s="697" t="str">
        <f t="shared" si="22"/>
        <v/>
      </c>
      <c r="F1403" s="266"/>
      <c r="G1403" s="698"/>
      <c r="H1403" s="266"/>
      <c r="I1403" s="268"/>
      <c r="J1403" s="268"/>
      <c r="K1403" s="268"/>
      <c r="L1403" s="269"/>
      <c r="M1403" s="510" t="str">
        <f>IFERROR(INDEX([1]Produtos!$C:$C,MATCH(L1403,[1]Produtos!$B:$B,0)), "-")</f>
        <v>-</v>
      </c>
      <c r="N1403" s="510" t="str">
        <f>IFERROR(INDEX([1]Produtos!$E:$E,MATCH(L1403,[1]Produtos!$B:$B,0)), "-")</f>
        <v>-</v>
      </c>
      <c r="O1403" s="270" t="str">
        <f>IFERROR(INDEX([1]Produtos!$F:$F,MATCH(L1403,[1]Produtos!$B:$B,0)), "-")</f>
        <v>-</v>
      </c>
      <c r="P1403" s="264" t="str">
        <f>IFERROR(INDEX([1]Produtos!$G:$G,MATCH(L1403,[1]Produtos!$B:$B,0)), "-")</f>
        <v>-</v>
      </c>
      <c r="Q1403" s="270" t="str">
        <f>IFERROR(INDEX([1]Produtos!$H:$H,MATCH(L1403,[1]Produtos!$B:$B,0)), "-")</f>
        <v>-</v>
      </c>
      <c r="R1403" s="270" t="str">
        <f>IFERROR(INDEX([1]Produtos!$I:$I,MATCH(L1403,[1]Produtos!$B:$B,0)), "-")</f>
        <v>-</v>
      </c>
      <c r="S1403" s="270" t="str">
        <f>IFERROR(INDEX([1]Produtos!$J:$J,MATCH(L1403,[1]Produtos!$B:$B,0)), "-")</f>
        <v>-</v>
      </c>
      <c r="T1403" s="475"/>
      <c r="U1403" s="270"/>
      <c r="V1403" s="270"/>
      <c r="W1403" s="270"/>
      <c r="X1403" s="270"/>
      <c r="Y1403" s="270"/>
      <c r="Z1403" s="270"/>
      <c r="AA1403" s="270"/>
      <c r="AB1403" s="270"/>
      <c r="AC1403" s="270"/>
      <c r="AD1403" s="270"/>
      <c r="AE1403" s="270"/>
      <c r="AF1403" s="270"/>
      <c r="AG1403" s="270"/>
      <c r="AH1403" s="270"/>
      <c r="AI1403" s="270"/>
      <c r="AJ1403" s="270"/>
      <c r="AK1403" s="270"/>
      <c r="AL1403" s="270"/>
      <c r="AM1403" s="663"/>
      <c r="AN1403" s="663"/>
      <c r="AO1403" s="708" t="str">
        <f>IF(OR(Table1[[#This Row],[Início Setup Envase]]="",Table1[[#This Row],[Final Setup Envase]]=""),"",Table1[[#This Row],[Final Setup Envase]]-Table1[[#This Row],[Início Setup Envase]])</f>
        <v/>
      </c>
      <c r="AP1403" s="663"/>
      <c r="AQ1403" s="663"/>
      <c r="AR1403" s="270"/>
      <c r="AS1403" s="674"/>
      <c r="AT1403" s="674"/>
      <c r="AU1403" s="270"/>
      <c r="AV1403" s="270"/>
      <c r="AW1403" s="270"/>
      <c r="AX1403" s="270"/>
      <c r="AY1403" s="270"/>
      <c r="AZ1403" s="270"/>
      <c r="BA1403" s="270" t="str">
        <f>IF(Table1[[#This Row],[Data de Início]]="","",YEAR(Table1[[#This Row],[Data de Início]]))</f>
        <v/>
      </c>
      <c r="BB1403" s="270" t="str">
        <f>IF(Table1[[#This Row],[Data de Início]]="","",MONTH(Table1[[#This Row],[Data de Início]]))</f>
        <v/>
      </c>
      <c r="BC1403" s="483"/>
    </row>
    <row r="1404" spans="2:55" x14ac:dyDescent="0.25">
      <c r="B1404" s="470"/>
      <c r="C1404" s="263"/>
      <c r="D1404" s="477" cm="1">
        <f t="array" ref="D1404">IFERROR(HorasUteisFabrica2Turnos(B1404,C1404), "")</f>
        <v>0</v>
      </c>
      <c r="E1404" s="478" t="str">
        <f t="shared" si="22"/>
        <v/>
      </c>
      <c r="F1404" s="266"/>
      <c r="G1404" s="656"/>
      <c r="H1404" s="479"/>
      <c r="I1404" s="268"/>
      <c r="J1404" s="268"/>
      <c r="K1404" s="268"/>
      <c r="L1404" s="269"/>
      <c r="M1404" s="511" t="str">
        <f>IFERROR(INDEX([1]Produtos!$C:$C,MATCH(L1404,[1]Produtos!$B:$B,0)), "-")</f>
        <v>-</v>
      </c>
      <c r="N1404" s="511" t="str">
        <f>IFERROR(INDEX([1]Produtos!$E:$E,MATCH(L1404,[1]Produtos!$B:$B,0)), "-")</f>
        <v>-</v>
      </c>
      <c r="O1404" s="483" t="str">
        <f>IFERROR(INDEX([1]Produtos!$F:$F,MATCH(L1404,[1]Produtos!$B:$B,0)), "-")</f>
        <v>-</v>
      </c>
      <c r="P1404" s="477" t="str">
        <f>IFERROR(INDEX([1]Produtos!$G:$G,MATCH(L1404,[1]Produtos!$B:$B,0)), "-")</f>
        <v>-</v>
      </c>
      <c r="Q1404" s="483" t="str">
        <f>IFERROR(INDEX([1]Produtos!$H:$H,MATCH(L1404,[1]Produtos!$B:$B,0)), "-")</f>
        <v>-</v>
      </c>
      <c r="R1404" s="483" t="str">
        <f>IFERROR(INDEX([1]Produtos!$I:$I,MATCH(L1404,[1]Produtos!$B:$B,0)), "-")</f>
        <v>-</v>
      </c>
      <c r="S1404" s="483" t="str">
        <f>IFERROR(INDEX([1]Produtos!$J:$J,MATCH(L1404,[1]Produtos!$B:$B,0)), "-")</f>
        <v>-</v>
      </c>
      <c r="T1404" s="484"/>
      <c r="U1404" s="483"/>
      <c r="V1404" s="483"/>
      <c r="W1404" s="483"/>
      <c r="X1404" s="483"/>
      <c r="Y1404" s="483"/>
      <c r="Z1404" s="483"/>
      <c r="AA1404" s="483"/>
      <c r="AB1404" s="483"/>
      <c r="AC1404" s="483"/>
      <c r="AD1404" s="483"/>
      <c r="AE1404" s="483"/>
      <c r="AF1404" s="483"/>
      <c r="AG1404" s="483"/>
      <c r="AH1404" s="483"/>
      <c r="AI1404" s="483"/>
      <c r="AJ1404" s="483"/>
      <c r="AK1404" s="483"/>
      <c r="AL1404" s="483"/>
      <c r="AM1404" s="670"/>
      <c r="AN1404" s="670"/>
      <c r="AO1404" s="711" t="str">
        <f>IF(OR(Table1[[#This Row],[Início Setup Envase]]="",Table1[[#This Row],[Final Setup Envase]]=""),"",Table1[[#This Row],[Final Setup Envase]]-Table1[[#This Row],[Início Setup Envase]])</f>
        <v/>
      </c>
      <c r="AP1404" s="670"/>
      <c r="AQ1404" s="670"/>
      <c r="AR1404" s="483"/>
      <c r="AS1404" s="483"/>
      <c r="AT1404" s="483"/>
      <c r="AU1404" s="483"/>
      <c r="AV1404" s="483"/>
      <c r="AW1404" s="483"/>
      <c r="AX1404" s="483"/>
      <c r="AY1404" s="270"/>
      <c r="AZ1404" s="270"/>
      <c r="BA1404" s="270" t="str">
        <f>IF(Table1[[#This Row],[Data de Início]]="","",YEAR(Table1[[#This Row],[Data de Início]]))</f>
        <v/>
      </c>
      <c r="BB1404" s="270" t="str">
        <f>IF(Table1[[#This Row],[Data de Início]]="","",MONTH(Table1[[#This Row],[Data de Início]]))</f>
        <v/>
      </c>
      <c r="BC1404" s="270"/>
    </row>
    <row r="1405" spans="2:55" x14ac:dyDescent="0.25">
      <c r="B1405" s="470"/>
      <c r="C1405" s="263"/>
      <c r="D1405" s="477" cm="1">
        <f t="array" ref="D1405">IFERROR(HorasUteisFabrica2Turnos(B1405,C1405), "")</f>
        <v>0</v>
      </c>
      <c r="E1405" s="697" t="str">
        <f t="shared" si="22"/>
        <v/>
      </c>
      <c r="F1405" s="266"/>
      <c r="G1405" s="698"/>
      <c r="H1405" s="266"/>
      <c r="I1405" s="268"/>
      <c r="J1405" s="268"/>
      <c r="K1405" s="268"/>
      <c r="L1405" s="269"/>
      <c r="M1405" s="510" t="str">
        <f>IFERROR(INDEX([1]Produtos!$C:$C,MATCH(L1405,[1]Produtos!$B:$B,0)), "-")</f>
        <v>-</v>
      </c>
      <c r="N1405" s="510" t="str">
        <f>IFERROR(INDEX([1]Produtos!$E:$E,MATCH(L1405,[1]Produtos!$B:$B,0)), "-")</f>
        <v>-</v>
      </c>
      <c r="O1405" s="270" t="str">
        <f>IFERROR(INDEX([1]Produtos!$F:$F,MATCH(L1405,[1]Produtos!$B:$B,0)), "-")</f>
        <v>-</v>
      </c>
      <c r="P1405" s="264" t="str">
        <f>IFERROR(INDEX([1]Produtos!$G:$G,MATCH(L1405,[1]Produtos!$B:$B,0)), "-")</f>
        <v>-</v>
      </c>
      <c r="Q1405" s="270" t="str">
        <f>IFERROR(INDEX([1]Produtos!$H:$H,MATCH(L1405,[1]Produtos!$B:$B,0)), "-")</f>
        <v>-</v>
      </c>
      <c r="R1405" s="270" t="str">
        <f>IFERROR(INDEX([1]Produtos!$I:$I,MATCH(L1405,[1]Produtos!$B:$B,0)), "-")</f>
        <v>-</v>
      </c>
      <c r="S1405" s="270" t="str">
        <f>IFERROR(INDEX([1]Produtos!$J:$J,MATCH(L1405,[1]Produtos!$B:$B,0)), "-")</f>
        <v>-</v>
      </c>
      <c r="T1405" s="475"/>
      <c r="U1405" s="270"/>
      <c r="V1405" s="270"/>
      <c r="W1405" s="270"/>
      <c r="X1405" s="270"/>
      <c r="Y1405" s="270"/>
      <c r="Z1405" s="270"/>
      <c r="AA1405" s="270"/>
      <c r="AB1405" s="270"/>
      <c r="AC1405" s="270"/>
      <c r="AD1405" s="270"/>
      <c r="AE1405" s="270"/>
      <c r="AF1405" s="270"/>
      <c r="AG1405" s="270"/>
      <c r="AH1405" s="270"/>
      <c r="AI1405" s="270"/>
      <c r="AJ1405" s="270"/>
      <c r="AK1405" s="270"/>
      <c r="AL1405" s="270"/>
      <c r="AM1405" s="663"/>
      <c r="AN1405" s="663"/>
      <c r="AO1405" s="708" t="str">
        <f>IF(OR(Table1[[#This Row],[Início Setup Envase]]="",Table1[[#This Row],[Final Setup Envase]]=""),"",Table1[[#This Row],[Final Setup Envase]]-Table1[[#This Row],[Início Setup Envase]])</f>
        <v/>
      </c>
      <c r="AP1405" s="663"/>
      <c r="AQ1405" s="663"/>
      <c r="AR1405" s="270"/>
      <c r="AS1405" s="674"/>
      <c r="AT1405" s="674"/>
      <c r="AU1405" s="270"/>
      <c r="AV1405" s="270"/>
      <c r="AW1405" s="270"/>
      <c r="AX1405" s="270"/>
      <c r="AY1405" s="270"/>
      <c r="AZ1405" s="270"/>
      <c r="BA1405" s="270" t="str">
        <f>IF(Table1[[#This Row],[Data de Início]]="","",YEAR(Table1[[#This Row],[Data de Início]]))</f>
        <v/>
      </c>
      <c r="BB1405" s="270" t="str">
        <f>IF(Table1[[#This Row],[Data de Início]]="","",MONTH(Table1[[#This Row],[Data de Início]]))</f>
        <v/>
      </c>
      <c r="BC1405" s="483"/>
    </row>
    <row r="1406" spans="2:55" x14ac:dyDescent="0.25">
      <c r="B1406" s="470"/>
      <c r="C1406" s="263"/>
      <c r="D1406" s="477" cm="1">
        <f t="array" ref="D1406">IFERROR(HorasUteisFabrica2Turnos(B1406,C1406), "")</f>
        <v>0</v>
      </c>
      <c r="E1406" s="478" t="str">
        <f t="shared" si="22"/>
        <v/>
      </c>
      <c r="F1406" s="266"/>
      <c r="G1406" s="656"/>
      <c r="H1406" s="479"/>
      <c r="I1406" s="268"/>
      <c r="J1406" s="268"/>
      <c r="K1406" s="268"/>
      <c r="L1406" s="269"/>
      <c r="M1406" s="511" t="str">
        <f>IFERROR(INDEX([1]Produtos!$C:$C,MATCH(L1406,[1]Produtos!$B:$B,0)), "-")</f>
        <v>-</v>
      </c>
      <c r="N1406" s="511" t="str">
        <f>IFERROR(INDEX([1]Produtos!$E:$E,MATCH(L1406,[1]Produtos!$B:$B,0)), "-")</f>
        <v>-</v>
      </c>
      <c r="O1406" s="483" t="str">
        <f>IFERROR(INDEX([1]Produtos!$F:$F,MATCH(L1406,[1]Produtos!$B:$B,0)), "-")</f>
        <v>-</v>
      </c>
      <c r="P1406" s="477" t="str">
        <f>IFERROR(INDEX([1]Produtos!$G:$G,MATCH(L1406,[1]Produtos!$B:$B,0)), "-")</f>
        <v>-</v>
      </c>
      <c r="Q1406" s="483" t="str">
        <f>IFERROR(INDEX([1]Produtos!$H:$H,MATCH(L1406,[1]Produtos!$B:$B,0)), "-")</f>
        <v>-</v>
      </c>
      <c r="R1406" s="483" t="str">
        <f>IFERROR(INDEX([1]Produtos!$I:$I,MATCH(L1406,[1]Produtos!$B:$B,0)), "-")</f>
        <v>-</v>
      </c>
      <c r="S1406" s="483" t="str">
        <f>IFERROR(INDEX([1]Produtos!$J:$J,MATCH(L1406,[1]Produtos!$B:$B,0)), "-")</f>
        <v>-</v>
      </c>
      <c r="T1406" s="484"/>
      <c r="U1406" s="483"/>
      <c r="V1406" s="483"/>
      <c r="W1406" s="483"/>
      <c r="X1406" s="483"/>
      <c r="Y1406" s="483"/>
      <c r="Z1406" s="483"/>
      <c r="AA1406" s="483"/>
      <c r="AB1406" s="483"/>
      <c r="AC1406" s="483"/>
      <c r="AD1406" s="483"/>
      <c r="AE1406" s="483"/>
      <c r="AF1406" s="483"/>
      <c r="AG1406" s="483"/>
      <c r="AH1406" s="483"/>
      <c r="AI1406" s="483"/>
      <c r="AJ1406" s="483"/>
      <c r="AK1406" s="483"/>
      <c r="AL1406" s="483"/>
      <c r="AM1406" s="670"/>
      <c r="AN1406" s="670"/>
      <c r="AO1406" s="711" t="str">
        <f>IF(OR(Table1[[#This Row],[Início Setup Envase]]="",Table1[[#This Row],[Final Setup Envase]]=""),"",Table1[[#This Row],[Final Setup Envase]]-Table1[[#This Row],[Início Setup Envase]])</f>
        <v/>
      </c>
      <c r="AP1406" s="670"/>
      <c r="AQ1406" s="670"/>
      <c r="AR1406" s="483"/>
      <c r="AS1406" s="483"/>
      <c r="AT1406" s="483"/>
      <c r="AU1406" s="483"/>
      <c r="AV1406" s="483"/>
      <c r="AW1406" s="483"/>
      <c r="AX1406" s="483"/>
      <c r="AY1406" s="270"/>
      <c r="AZ1406" s="270"/>
      <c r="BA1406" s="270" t="str">
        <f>IF(Table1[[#This Row],[Data de Início]]="","",YEAR(Table1[[#This Row],[Data de Início]]))</f>
        <v/>
      </c>
      <c r="BB1406" s="270" t="str">
        <f>IF(Table1[[#This Row],[Data de Início]]="","",MONTH(Table1[[#This Row],[Data de Início]]))</f>
        <v/>
      </c>
      <c r="BC1406" s="270"/>
    </row>
    <row r="1407" spans="2:55" x14ac:dyDescent="0.25">
      <c r="B1407" s="470"/>
      <c r="C1407" s="263"/>
      <c r="D1407" s="477" cm="1">
        <f t="array" ref="D1407">IFERROR(HorasUteisFabrica2Turnos(B1407,C1407), "")</f>
        <v>0</v>
      </c>
      <c r="E1407" s="697" t="str">
        <f t="shared" si="22"/>
        <v/>
      </c>
      <c r="F1407" s="266"/>
      <c r="G1407" s="698"/>
      <c r="H1407" s="266"/>
      <c r="I1407" s="268"/>
      <c r="J1407" s="268"/>
      <c r="K1407" s="268"/>
      <c r="L1407" s="269"/>
      <c r="M1407" s="510" t="str">
        <f>IFERROR(INDEX([1]Produtos!$C:$C,MATCH(L1407,[1]Produtos!$B:$B,0)), "-")</f>
        <v>-</v>
      </c>
      <c r="N1407" s="510" t="str">
        <f>IFERROR(INDEX([1]Produtos!$E:$E,MATCH(L1407,[1]Produtos!$B:$B,0)), "-")</f>
        <v>-</v>
      </c>
      <c r="O1407" s="270" t="str">
        <f>IFERROR(INDEX([1]Produtos!$F:$F,MATCH(L1407,[1]Produtos!$B:$B,0)), "-")</f>
        <v>-</v>
      </c>
      <c r="P1407" s="264" t="str">
        <f>IFERROR(INDEX([1]Produtos!$G:$G,MATCH(L1407,[1]Produtos!$B:$B,0)), "-")</f>
        <v>-</v>
      </c>
      <c r="Q1407" s="270" t="str">
        <f>IFERROR(INDEX([1]Produtos!$H:$H,MATCH(L1407,[1]Produtos!$B:$B,0)), "-")</f>
        <v>-</v>
      </c>
      <c r="R1407" s="270" t="str">
        <f>IFERROR(INDEX([1]Produtos!$I:$I,MATCH(L1407,[1]Produtos!$B:$B,0)), "-")</f>
        <v>-</v>
      </c>
      <c r="S1407" s="270" t="str">
        <f>IFERROR(INDEX([1]Produtos!$J:$J,MATCH(L1407,[1]Produtos!$B:$B,0)), "-")</f>
        <v>-</v>
      </c>
      <c r="T1407" s="475"/>
      <c r="U1407" s="270"/>
      <c r="V1407" s="270"/>
      <c r="W1407" s="270"/>
      <c r="X1407" s="270"/>
      <c r="Y1407" s="270"/>
      <c r="Z1407" s="270"/>
      <c r="AA1407" s="270"/>
      <c r="AB1407" s="270"/>
      <c r="AC1407" s="270"/>
      <c r="AD1407" s="270"/>
      <c r="AE1407" s="270"/>
      <c r="AF1407" s="270"/>
      <c r="AG1407" s="270"/>
      <c r="AH1407" s="270"/>
      <c r="AI1407" s="270"/>
      <c r="AJ1407" s="270"/>
      <c r="AK1407" s="270"/>
      <c r="AL1407" s="270"/>
      <c r="AM1407" s="663"/>
      <c r="AN1407" s="663"/>
      <c r="AO1407" s="708" t="str">
        <f>IF(OR(Table1[[#This Row],[Início Setup Envase]]="",Table1[[#This Row],[Final Setup Envase]]=""),"",Table1[[#This Row],[Final Setup Envase]]-Table1[[#This Row],[Início Setup Envase]])</f>
        <v/>
      </c>
      <c r="AP1407" s="663"/>
      <c r="AQ1407" s="663"/>
      <c r="AR1407" s="270"/>
      <c r="AS1407" s="674"/>
      <c r="AT1407" s="674"/>
      <c r="AU1407" s="270"/>
      <c r="AV1407" s="270"/>
      <c r="AW1407" s="270"/>
      <c r="AX1407" s="270"/>
      <c r="AY1407" s="270"/>
      <c r="AZ1407" s="270"/>
      <c r="BA1407" s="270" t="str">
        <f>IF(Table1[[#This Row],[Data de Início]]="","",YEAR(Table1[[#This Row],[Data de Início]]))</f>
        <v/>
      </c>
      <c r="BB1407" s="270" t="str">
        <f>IF(Table1[[#This Row],[Data de Início]]="","",MONTH(Table1[[#This Row],[Data de Início]]))</f>
        <v/>
      </c>
      <c r="BC1407" s="483"/>
    </row>
    <row r="1408" spans="2:55" x14ac:dyDescent="0.25">
      <c r="B1408" s="470"/>
      <c r="C1408" s="263"/>
      <c r="D1408" s="477" cm="1">
        <f t="array" ref="D1408">IFERROR(HorasUteisFabrica2Turnos(B1408,C1408), "")</f>
        <v>0</v>
      </c>
      <c r="E1408" s="478" t="str">
        <f t="shared" si="22"/>
        <v/>
      </c>
      <c r="F1408" s="266"/>
      <c r="G1408" s="656"/>
      <c r="H1408" s="479"/>
      <c r="I1408" s="268"/>
      <c r="J1408" s="268"/>
      <c r="K1408" s="268"/>
      <c r="L1408" s="269"/>
      <c r="M1408" s="511" t="str">
        <f>IFERROR(INDEX([1]Produtos!$C:$C,MATCH(L1408,[1]Produtos!$B:$B,0)), "-")</f>
        <v>-</v>
      </c>
      <c r="N1408" s="511" t="str">
        <f>IFERROR(INDEX([1]Produtos!$E:$E,MATCH(L1408,[1]Produtos!$B:$B,0)), "-")</f>
        <v>-</v>
      </c>
      <c r="O1408" s="483" t="str">
        <f>IFERROR(INDEX([1]Produtos!$F:$F,MATCH(L1408,[1]Produtos!$B:$B,0)), "-")</f>
        <v>-</v>
      </c>
      <c r="P1408" s="477" t="str">
        <f>IFERROR(INDEX([1]Produtos!$G:$G,MATCH(L1408,[1]Produtos!$B:$B,0)), "-")</f>
        <v>-</v>
      </c>
      <c r="Q1408" s="483" t="str">
        <f>IFERROR(INDEX([1]Produtos!$H:$H,MATCH(L1408,[1]Produtos!$B:$B,0)), "-")</f>
        <v>-</v>
      </c>
      <c r="R1408" s="483" t="str">
        <f>IFERROR(INDEX([1]Produtos!$I:$I,MATCH(L1408,[1]Produtos!$B:$B,0)), "-")</f>
        <v>-</v>
      </c>
      <c r="S1408" s="483" t="str">
        <f>IFERROR(INDEX([1]Produtos!$J:$J,MATCH(L1408,[1]Produtos!$B:$B,0)), "-")</f>
        <v>-</v>
      </c>
      <c r="T1408" s="484"/>
      <c r="U1408" s="483"/>
      <c r="V1408" s="483"/>
      <c r="W1408" s="483"/>
      <c r="X1408" s="483"/>
      <c r="Y1408" s="483"/>
      <c r="Z1408" s="483"/>
      <c r="AA1408" s="483"/>
      <c r="AB1408" s="483"/>
      <c r="AC1408" s="483"/>
      <c r="AD1408" s="483"/>
      <c r="AE1408" s="483"/>
      <c r="AF1408" s="483"/>
      <c r="AG1408" s="483"/>
      <c r="AH1408" s="483"/>
      <c r="AI1408" s="483"/>
      <c r="AJ1408" s="483"/>
      <c r="AK1408" s="483"/>
      <c r="AL1408" s="483"/>
      <c r="AM1408" s="670"/>
      <c r="AN1408" s="670"/>
      <c r="AO1408" s="711" t="str">
        <f>IF(OR(Table1[[#This Row],[Início Setup Envase]]="",Table1[[#This Row],[Final Setup Envase]]=""),"",Table1[[#This Row],[Final Setup Envase]]-Table1[[#This Row],[Início Setup Envase]])</f>
        <v/>
      </c>
      <c r="AP1408" s="670"/>
      <c r="AQ1408" s="670"/>
      <c r="AR1408" s="483"/>
      <c r="AS1408" s="483"/>
      <c r="AT1408" s="483"/>
      <c r="AU1408" s="483"/>
      <c r="AV1408" s="483"/>
      <c r="AW1408" s="483"/>
      <c r="AX1408" s="483"/>
      <c r="AY1408" s="270"/>
      <c r="AZ1408" s="270"/>
      <c r="BA1408" s="270" t="str">
        <f>IF(Table1[[#This Row],[Data de Início]]="","",YEAR(Table1[[#This Row],[Data de Início]]))</f>
        <v/>
      </c>
      <c r="BB1408" s="270" t="str">
        <f>IF(Table1[[#This Row],[Data de Início]]="","",MONTH(Table1[[#This Row],[Data de Início]]))</f>
        <v/>
      </c>
      <c r="BC1408" s="270"/>
    </row>
    <row r="1409" spans="2:55" x14ac:dyDescent="0.25">
      <c r="B1409" s="470"/>
      <c r="C1409" s="263"/>
      <c r="D1409" s="477" cm="1">
        <f t="array" ref="D1409">IFERROR(HorasUteisFabrica2Turnos(B1409,C1409), "")</f>
        <v>0</v>
      </c>
      <c r="E1409" s="697" t="str">
        <f t="shared" si="22"/>
        <v/>
      </c>
      <c r="F1409" s="266"/>
      <c r="G1409" s="698"/>
      <c r="H1409" s="266"/>
      <c r="I1409" s="268"/>
      <c r="J1409" s="268"/>
      <c r="K1409" s="268"/>
      <c r="L1409" s="269"/>
      <c r="M1409" s="510" t="str">
        <f>IFERROR(INDEX([1]Produtos!$C:$C,MATCH(L1409,[1]Produtos!$B:$B,0)), "-")</f>
        <v>-</v>
      </c>
      <c r="N1409" s="510" t="str">
        <f>IFERROR(INDEX([1]Produtos!$E:$E,MATCH(L1409,[1]Produtos!$B:$B,0)), "-")</f>
        <v>-</v>
      </c>
      <c r="O1409" s="270" t="str">
        <f>IFERROR(INDEX([1]Produtos!$F:$F,MATCH(L1409,[1]Produtos!$B:$B,0)), "-")</f>
        <v>-</v>
      </c>
      <c r="P1409" s="264" t="str">
        <f>IFERROR(INDEX([1]Produtos!$G:$G,MATCH(L1409,[1]Produtos!$B:$B,0)), "-")</f>
        <v>-</v>
      </c>
      <c r="Q1409" s="270" t="str">
        <f>IFERROR(INDEX([1]Produtos!$H:$H,MATCH(L1409,[1]Produtos!$B:$B,0)), "-")</f>
        <v>-</v>
      </c>
      <c r="R1409" s="270" t="str">
        <f>IFERROR(INDEX([1]Produtos!$I:$I,MATCH(L1409,[1]Produtos!$B:$B,0)), "-")</f>
        <v>-</v>
      </c>
      <c r="S1409" s="270" t="str">
        <f>IFERROR(INDEX([1]Produtos!$J:$J,MATCH(L1409,[1]Produtos!$B:$B,0)), "-")</f>
        <v>-</v>
      </c>
      <c r="T1409" s="475"/>
      <c r="U1409" s="270"/>
      <c r="V1409" s="270"/>
      <c r="W1409" s="270"/>
      <c r="X1409" s="270"/>
      <c r="Y1409" s="270"/>
      <c r="Z1409" s="270"/>
      <c r="AA1409" s="270"/>
      <c r="AB1409" s="270"/>
      <c r="AC1409" s="270"/>
      <c r="AD1409" s="270"/>
      <c r="AE1409" s="270"/>
      <c r="AF1409" s="270"/>
      <c r="AG1409" s="270"/>
      <c r="AH1409" s="270"/>
      <c r="AI1409" s="270"/>
      <c r="AJ1409" s="270"/>
      <c r="AK1409" s="270"/>
      <c r="AL1409" s="270"/>
      <c r="AM1409" s="663"/>
      <c r="AN1409" s="663"/>
      <c r="AO1409" s="708" t="str">
        <f>IF(OR(Table1[[#This Row],[Início Setup Envase]]="",Table1[[#This Row],[Final Setup Envase]]=""),"",Table1[[#This Row],[Final Setup Envase]]-Table1[[#This Row],[Início Setup Envase]])</f>
        <v/>
      </c>
      <c r="AP1409" s="663"/>
      <c r="AQ1409" s="663"/>
      <c r="AR1409" s="270"/>
      <c r="AS1409" s="674"/>
      <c r="AT1409" s="674"/>
      <c r="AU1409" s="270"/>
      <c r="AV1409" s="270"/>
      <c r="AW1409" s="270"/>
      <c r="AX1409" s="270"/>
      <c r="AY1409" s="270"/>
      <c r="AZ1409" s="270"/>
      <c r="BA1409" s="270" t="str">
        <f>IF(Table1[[#This Row],[Data de Início]]="","",YEAR(Table1[[#This Row],[Data de Início]]))</f>
        <v/>
      </c>
      <c r="BB1409" s="270" t="str">
        <f>IF(Table1[[#This Row],[Data de Início]]="","",MONTH(Table1[[#This Row],[Data de Início]]))</f>
        <v/>
      </c>
      <c r="BC1409" s="483"/>
    </row>
    <row r="1410" spans="2:55" x14ac:dyDescent="0.25">
      <c r="B1410" s="470"/>
      <c r="C1410" s="263"/>
      <c r="D1410" s="477" cm="1">
        <f t="array" ref="D1410">IFERROR(HorasUteisFabrica2Turnos(B1410,C1410), "")</f>
        <v>0</v>
      </c>
      <c r="E1410" s="478" t="str">
        <f t="shared" si="22"/>
        <v/>
      </c>
      <c r="F1410" s="266"/>
      <c r="G1410" s="656"/>
      <c r="H1410" s="479"/>
      <c r="I1410" s="268"/>
      <c r="J1410" s="268"/>
      <c r="K1410" s="268"/>
      <c r="L1410" s="269"/>
      <c r="M1410" s="511" t="str">
        <f>IFERROR(INDEX([1]Produtos!$C:$C,MATCH(L1410,[1]Produtos!$B:$B,0)), "-")</f>
        <v>-</v>
      </c>
      <c r="N1410" s="511" t="str">
        <f>IFERROR(INDEX([1]Produtos!$E:$E,MATCH(L1410,[1]Produtos!$B:$B,0)), "-")</f>
        <v>-</v>
      </c>
      <c r="O1410" s="483" t="str">
        <f>IFERROR(INDEX([1]Produtos!$F:$F,MATCH(L1410,[1]Produtos!$B:$B,0)), "-")</f>
        <v>-</v>
      </c>
      <c r="P1410" s="477" t="str">
        <f>IFERROR(INDEX([1]Produtos!$G:$G,MATCH(L1410,[1]Produtos!$B:$B,0)), "-")</f>
        <v>-</v>
      </c>
      <c r="Q1410" s="483" t="str">
        <f>IFERROR(INDEX([1]Produtos!$H:$H,MATCH(L1410,[1]Produtos!$B:$B,0)), "-")</f>
        <v>-</v>
      </c>
      <c r="R1410" s="483" t="str">
        <f>IFERROR(INDEX([1]Produtos!$I:$I,MATCH(L1410,[1]Produtos!$B:$B,0)), "-")</f>
        <v>-</v>
      </c>
      <c r="S1410" s="483" t="str">
        <f>IFERROR(INDEX([1]Produtos!$J:$J,MATCH(L1410,[1]Produtos!$B:$B,0)), "-")</f>
        <v>-</v>
      </c>
      <c r="T1410" s="484"/>
      <c r="U1410" s="483"/>
      <c r="V1410" s="483"/>
      <c r="W1410" s="483"/>
      <c r="X1410" s="483"/>
      <c r="Y1410" s="483"/>
      <c r="Z1410" s="483"/>
      <c r="AA1410" s="483"/>
      <c r="AB1410" s="483"/>
      <c r="AC1410" s="483"/>
      <c r="AD1410" s="483"/>
      <c r="AE1410" s="483"/>
      <c r="AF1410" s="483"/>
      <c r="AG1410" s="483"/>
      <c r="AH1410" s="483"/>
      <c r="AI1410" s="483"/>
      <c r="AJ1410" s="483"/>
      <c r="AK1410" s="483"/>
      <c r="AL1410" s="483"/>
      <c r="AM1410" s="670"/>
      <c r="AN1410" s="670"/>
      <c r="AO1410" s="711" t="str">
        <f>IF(OR(Table1[[#This Row],[Início Setup Envase]]="",Table1[[#This Row],[Final Setup Envase]]=""),"",Table1[[#This Row],[Final Setup Envase]]-Table1[[#This Row],[Início Setup Envase]])</f>
        <v/>
      </c>
      <c r="AP1410" s="670"/>
      <c r="AQ1410" s="670"/>
      <c r="AR1410" s="483"/>
      <c r="AS1410" s="483"/>
      <c r="AT1410" s="483"/>
      <c r="AU1410" s="483"/>
      <c r="AV1410" s="483"/>
      <c r="AW1410" s="483"/>
      <c r="AX1410" s="483"/>
      <c r="AY1410" s="270"/>
      <c r="AZ1410" s="270"/>
      <c r="BA1410" s="270" t="str">
        <f>IF(Table1[[#This Row],[Data de Início]]="","",YEAR(Table1[[#This Row],[Data de Início]]))</f>
        <v/>
      </c>
      <c r="BB1410" s="270" t="str">
        <f>IF(Table1[[#This Row],[Data de Início]]="","",MONTH(Table1[[#This Row],[Data de Início]]))</f>
        <v/>
      </c>
      <c r="BC1410" s="270"/>
    </row>
    <row r="1411" spans="2:55" x14ac:dyDescent="0.25">
      <c r="B1411" s="470"/>
      <c r="C1411" s="263"/>
      <c r="D1411" s="477" cm="1">
        <f t="array" ref="D1411">IFERROR(HorasUteisFabrica2Turnos(B1411,C1411), "")</f>
        <v>0</v>
      </c>
      <c r="E1411" s="697" t="str">
        <f t="shared" si="22"/>
        <v/>
      </c>
      <c r="F1411" s="266"/>
      <c r="G1411" s="698"/>
      <c r="H1411" s="266"/>
      <c r="I1411" s="268"/>
      <c r="J1411" s="268"/>
      <c r="K1411" s="268"/>
      <c r="L1411" s="269"/>
      <c r="M1411" s="510" t="str">
        <f>IFERROR(INDEX([1]Produtos!$C:$C,MATCH(L1411,[1]Produtos!$B:$B,0)), "-")</f>
        <v>-</v>
      </c>
      <c r="N1411" s="510" t="str">
        <f>IFERROR(INDEX([1]Produtos!$E:$E,MATCH(L1411,[1]Produtos!$B:$B,0)), "-")</f>
        <v>-</v>
      </c>
      <c r="O1411" s="270" t="str">
        <f>IFERROR(INDEX([1]Produtos!$F:$F,MATCH(L1411,[1]Produtos!$B:$B,0)), "-")</f>
        <v>-</v>
      </c>
      <c r="P1411" s="264" t="str">
        <f>IFERROR(INDEX([1]Produtos!$G:$G,MATCH(L1411,[1]Produtos!$B:$B,0)), "-")</f>
        <v>-</v>
      </c>
      <c r="Q1411" s="270" t="str">
        <f>IFERROR(INDEX([1]Produtos!$H:$H,MATCH(L1411,[1]Produtos!$B:$B,0)), "-")</f>
        <v>-</v>
      </c>
      <c r="R1411" s="270" t="str">
        <f>IFERROR(INDEX([1]Produtos!$I:$I,MATCH(L1411,[1]Produtos!$B:$B,0)), "-")</f>
        <v>-</v>
      </c>
      <c r="S1411" s="270" t="str">
        <f>IFERROR(INDEX([1]Produtos!$J:$J,MATCH(L1411,[1]Produtos!$B:$B,0)), "-")</f>
        <v>-</v>
      </c>
      <c r="T1411" s="475"/>
      <c r="U1411" s="270"/>
      <c r="V1411" s="270"/>
      <c r="W1411" s="270"/>
      <c r="X1411" s="270"/>
      <c r="Y1411" s="270"/>
      <c r="Z1411" s="270"/>
      <c r="AA1411" s="270"/>
      <c r="AB1411" s="270"/>
      <c r="AC1411" s="270"/>
      <c r="AD1411" s="270"/>
      <c r="AE1411" s="270"/>
      <c r="AF1411" s="270"/>
      <c r="AG1411" s="270"/>
      <c r="AH1411" s="270"/>
      <c r="AI1411" s="270"/>
      <c r="AJ1411" s="270"/>
      <c r="AK1411" s="270"/>
      <c r="AL1411" s="270"/>
      <c r="AM1411" s="663"/>
      <c r="AN1411" s="663"/>
      <c r="AO1411" s="708" t="str">
        <f>IF(OR(Table1[[#This Row],[Início Setup Envase]]="",Table1[[#This Row],[Final Setup Envase]]=""),"",Table1[[#This Row],[Final Setup Envase]]-Table1[[#This Row],[Início Setup Envase]])</f>
        <v/>
      </c>
      <c r="AP1411" s="663"/>
      <c r="AQ1411" s="663"/>
      <c r="AR1411" s="270"/>
      <c r="AS1411" s="674"/>
      <c r="AT1411" s="674"/>
      <c r="AU1411" s="270"/>
      <c r="AV1411" s="270"/>
      <c r="AW1411" s="270"/>
      <c r="AX1411" s="270"/>
      <c r="AY1411" s="270"/>
      <c r="AZ1411" s="270"/>
      <c r="BA1411" s="270" t="str">
        <f>IF(Table1[[#This Row],[Data de Início]]="","",YEAR(Table1[[#This Row],[Data de Início]]))</f>
        <v/>
      </c>
      <c r="BB1411" s="270" t="str">
        <f>IF(Table1[[#This Row],[Data de Início]]="","",MONTH(Table1[[#This Row],[Data de Início]]))</f>
        <v/>
      </c>
      <c r="BC1411" s="483"/>
    </row>
    <row r="1412" spans="2:55" x14ac:dyDescent="0.25">
      <c r="B1412" s="470"/>
      <c r="C1412" s="263"/>
      <c r="D1412" s="477" cm="1">
        <f t="array" ref="D1412">IFERROR(HorasUteisFabrica2Turnos(B1412,C1412), "")</f>
        <v>0</v>
      </c>
      <c r="E1412" s="478" t="str">
        <f t="shared" si="22"/>
        <v/>
      </c>
      <c r="F1412" s="266"/>
      <c r="G1412" s="656"/>
      <c r="H1412" s="479"/>
      <c r="I1412" s="268"/>
      <c r="J1412" s="268"/>
      <c r="K1412" s="268"/>
      <c r="L1412" s="269"/>
      <c r="M1412" s="511" t="str">
        <f>IFERROR(INDEX([1]Produtos!$C:$C,MATCH(L1412,[1]Produtos!$B:$B,0)), "-")</f>
        <v>-</v>
      </c>
      <c r="N1412" s="511" t="str">
        <f>IFERROR(INDEX([1]Produtos!$E:$E,MATCH(L1412,[1]Produtos!$B:$B,0)), "-")</f>
        <v>-</v>
      </c>
      <c r="O1412" s="483" t="str">
        <f>IFERROR(INDEX([1]Produtos!$F:$F,MATCH(L1412,[1]Produtos!$B:$B,0)), "-")</f>
        <v>-</v>
      </c>
      <c r="P1412" s="477" t="str">
        <f>IFERROR(INDEX([1]Produtos!$G:$G,MATCH(L1412,[1]Produtos!$B:$B,0)), "-")</f>
        <v>-</v>
      </c>
      <c r="Q1412" s="483" t="str">
        <f>IFERROR(INDEX([1]Produtos!$H:$H,MATCH(L1412,[1]Produtos!$B:$B,0)), "-")</f>
        <v>-</v>
      </c>
      <c r="R1412" s="483" t="str">
        <f>IFERROR(INDEX([1]Produtos!$I:$I,MATCH(L1412,[1]Produtos!$B:$B,0)), "-")</f>
        <v>-</v>
      </c>
      <c r="S1412" s="483" t="str">
        <f>IFERROR(INDEX([1]Produtos!$J:$J,MATCH(L1412,[1]Produtos!$B:$B,0)), "-")</f>
        <v>-</v>
      </c>
      <c r="T1412" s="484"/>
      <c r="U1412" s="483"/>
      <c r="V1412" s="483"/>
      <c r="W1412" s="483"/>
      <c r="X1412" s="483"/>
      <c r="Y1412" s="483"/>
      <c r="Z1412" s="483"/>
      <c r="AA1412" s="483"/>
      <c r="AB1412" s="483"/>
      <c r="AC1412" s="483"/>
      <c r="AD1412" s="483"/>
      <c r="AE1412" s="483"/>
      <c r="AF1412" s="483"/>
      <c r="AG1412" s="483"/>
      <c r="AH1412" s="483"/>
      <c r="AI1412" s="483"/>
      <c r="AJ1412" s="483"/>
      <c r="AK1412" s="483"/>
      <c r="AL1412" s="483"/>
      <c r="AM1412" s="670"/>
      <c r="AN1412" s="670"/>
      <c r="AO1412" s="711" t="str">
        <f>IF(OR(Table1[[#This Row],[Início Setup Envase]]="",Table1[[#This Row],[Final Setup Envase]]=""),"",Table1[[#This Row],[Final Setup Envase]]-Table1[[#This Row],[Início Setup Envase]])</f>
        <v/>
      </c>
      <c r="AP1412" s="670"/>
      <c r="AQ1412" s="670"/>
      <c r="AR1412" s="483"/>
      <c r="AS1412" s="483"/>
      <c r="AT1412" s="483"/>
      <c r="AU1412" s="483"/>
      <c r="AV1412" s="483"/>
      <c r="AW1412" s="483"/>
      <c r="AX1412" s="483"/>
      <c r="AY1412" s="270"/>
      <c r="AZ1412" s="270"/>
      <c r="BA1412" s="270" t="str">
        <f>IF(Table1[[#This Row],[Data de Início]]="","",YEAR(Table1[[#This Row],[Data de Início]]))</f>
        <v/>
      </c>
      <c r="BB1412" s="270" t="str">
        <f>IF(Table1[[#This Row],[Data de Início]]="","",MONTH(Table1[[#This Row],[Data de Início]]))</f>
        <v/>
      </c>
      <c r="BC1412" s="270"/>
    </row>
    <row r="1413" spans="2:55" x14ac:dyDescent="0.25">
      <c r="B1413" s="470"/>
      <c r="C1413" s="263"/>
      <c r="D1413" s="477" cm="1">
        <f t="array" ref="D1413">IFERROR(HorasUteisFabrica2Turnos(B1413,C1413), "")</f>
        <v>0</v>
      </c>
      <c r="E1413" s="697" t="str">
        <f t="shared" si="22"/>
        <v/>
      </c>
      <c r="F1413" s="266"/>
      <c r="G1413" s="698"/>
      <c r="H1413" s="266"/>
      <c r="I1413" s="268"/>
      <c r="J1413" s="268"/>
      <c r="K1413" s="268"/>
      <c r="L1413" s="269"/>
      <c r="M1413" s="510" t="str">
        <f>IFERROR(INDEX([1]Produtos!$C:$C,MATCH(L1413,[1]Produtos!$B:$B,0)), "-")</f>
        <v>-</v>
      </c>
      <c r="N1413" s="510" t="str">
        <f>IFERROR(INDEX([1]Produtos!$E:$E,MATCH(L1413,[1]Produtos!$B:$B,0)), "-")</f>
        <v>-</v>
      </c>
      <c r="O1413" s="270" t="str">
        <f>IFERROR(INDEX([1]Produtos!$F:$F,MATCH(L1413,[1]Produtos!$B:$B,0)), "-")</f>
        <v>-</v>
      </c>
      <c r="P1413" s="264" t="str">
        <f>IFERROR(INDEX([1]Produtos!$G:$G,MATCH(L1413,[1]Produtos!$B:$B,0)), "-")</f>
        <v>-</v>
      </c>
      <c r="Q1413" s="270" t="str">
        <f>IFERROR(INDEX([1]Produtos!$H:$H,MATCH(L1413,[1]Produtos!$B:$B,0)), "-")</f>
        <v>-</v>
      </c>
      <c r="R1413" s="270" t="str">
        <f>IFERROR(INDEX([1]Produtos!$I:$I,MATCH(L1413,[1]Produtos!$B:$B,0)), "-")</f>
        <v>-</v>
      </c>
      <c r="S1413" s="270" t="str">
        <f>IFERROR(INDEX([1]Produtos!$J:$J,MATCH(L1413,[1]Produtos!$B:$B,0)), "-")</f>
        <v>-</v>
      </c>
      <c r="T1413" s="475"/>
      <c r="U1413" s="270"/>
      <c r="V1413" s="270"/>
      <c r="W1413" s="270"/>
      <c r="X1413" s="270"/>
      <c r="Y1413" s="270"/>
      <c r="Z1413" s="270"/>
      <c r="AA1413" s="270"/>
      <c r="AB1413" s="270"/>
      <c r="AC1413" s="270"/>
      <c r="AD1413" s="270"/>
      <c r="AE1413" s="270"/>
      <c r="AF1413" s="270"/>
      <c r="AG1413" s="270"/>
      <c r="AH1413" s="270"/>
      <c r="AI1413" s="270"/>
      <c r="AJ1413" s="270"/>
      <c r="AK1413" s="270"/>
      <c r="AL1413" s="270"/>
      <c r="AM1413" s="663"/>
      <c r="AN1413" s="663"/>
      <c r="AO1413" s="708" t="str">
        <f>IF(OR(Table1[[#This Row],[Início Setup Envase]]="",Table1[[#This Row],[Final Setup Envase]]=""),"",Table1[[#This Row],[Final Setup Envase]]-Table1[[#This Row],[Início Setup Envase]])</f>
        <v/>
      </c>
      <c r="AP1413" s="663"/>
      <c r="AQ1413" s="663"/>
      <c r="AR1413" s="270"/>
      <c r="AS1413" s="674"/>
      <c r="AT1413" s="674"/>
      <c r="AU1413" s="270"/>
      <c r="AV1413" s="270"/>
      <c r="AW1413" s="270"/>
      <c r="AX1413" s="270"/>
      <c r="AY1413" s="270"/>
      <c r="AZ1413" s="270"/>
      <c r="BA1413" s="270" t="str">
        <f>IF(Table1[[#This Row],[Data de Início]]="","",YEAR(Table1[[#This Row],[Data de Início]]))</f>
        <v/>
      </c>
      <c r="BB1413" s="270" t="str">
        <f>IF(Table1[[#This Row],[Data de Início]]="","",MONTH(Table1[[#This Row],[Data de Início]]))</f>
        <v/>
      </c>
      <c r="BC1413" s="483"/>
    </row>
    <row r="1414" spans="2:55" x14ac:dyDescent="0.25">
      <c r="B1414" s="470"/>
      <c r="C1414" s="263"/>
      <c r="D1414" s="477" cm="1">
        <f t="array" ref="D1414">IFERROR(HorasUteisFabrica2Turnos(B1414,C1414), "")</f>
        <v>0</v>
      </c>
      <c r="E1414" s="478" t="str">
        <f t="shared" si="22"/>
        <v/>
      </c>
      <c r="F1414" s="266"/>
      <c r="G1414" s="656"/>
      <c r="H1414" s="479"/>
      <c r="I1414" s="268"/>
      <c r="J1414" s="268"/>
      <c r="K1414" s="268"/>
      <c r="L1414" s="269"/>
      <c r="M1414" s="511" t="str">
        <f>IFERROR(INDEX([1]Produtos!$C:$C,MATCH(L1414,[1]Produtos!$B:$B,0)), "-")</f>
        <v>-</v>
      </c>
      <c r="N1414" s="511" t="str">
        <f>IFERROR(INDEX([1]Produtos!$E:$E,MATCH(L1414,[1]Produtos!$B:$B,0)), "-")</f>
        <v>-</v>
      </c>
      <c r="O1414" s="483" t="str">
        <f>IFERROR(INDEX([1]Produtos!$F:$F,MATCH(L1414,[1]Produtos!$B:$B,0)), "-")</f>
        <v>-</v>
      </c>
      <c r="P1414" s="477" t="str">
        <f>IFERROR(INDEX([1]Produtos!$G:$G,MATCH(L1414,[1]Produtos!$B:$B,0)), "-")</f>
        <v>-</v>
      </c>
      <c r="Q1414" s="483" t="str">
        <f>IFERROR(INDEX([1]Produtos!$H:$H,MATCH(L1414,[1]Produtos!$B:$B,0)), "-")</f>
        <v>-</v>
      </c>
      <c r="R1414" s="483" t="str">
        <f>IFERROR(INDEX([1]Produtos!$I:$I,MATCH(L1414,[1]Produtos!$B:$B,0)), "-")</f>
        <v>-</v>
      </c>
      <c r="S1414" s="483" t="str">
        <f>IFERROR(INDEX([1]Produtos!$J:$J,MATCH(L1414,[1]Produtos!$B:$B,0)), "-")</f>
        <v>-</v>
      </c>
      <c r="T1414" s="484"/>
      <c r="U1414" s="483"/>
      <c r="V1414" s="483"/>
      <c r="W1414" s="483"/>
      <c r="X1414" s="483"/>
      <c r="Y1414" s="483"/>
      <c r="Z1414" s="483"/>
      <c r="AA1414" s="483"/>
      <c r="AB1414" s="483"/>
      <c r="AC1414" s="483"/>
      <c r="AD1414" s="483"/>
      <c r="AE1414" s="483"/>
      <c r="AF1414" s="483"/>
      <c r="AG1414" s="483"/>
      <c r="AH1414" s="483"/>
      <c r="AI1414" s="483"/>
      <c r="AJ1414" s="483"/>
      <c r="AK1414" s="483"/>
      <c r="AL1414" s="483"/>
      <c r="AM1414" s="670"/>
      <c r="AN1414" s="670"/>
      <c r="AO1414" s="711" t="str">
        <f>IF(OR(Table1[[#This Row],[Início Setup Envase]]="",Table1[[#This Row],[Final Setup Envase]]=""),"",Table1[[#This Row],[Final Setup Envase]]-Table1[[#This Row],[Início Setup Envase]])</f>
        <v/>
      </c>
      <c r="AP1414" s="670"/>
      <c r="AQ1414" s="670"/>
      <c r="AR1414" s="483"/>
      <c r="AS1414" s="483"/>
      <c r="AT1414" s="483"/>
      <c r="AU1414" s="483"/>
      <c r="AV1414" s="483"/>
      <c r="AW1414" s="483"/>
      <c r="AX1414" s="483"/>
      <c r="AY1414" s="270"/>
      <c r="AZ1414" s="270"/>
      <c r="BA1414" s="270" t="str">
        <f>IF(Table1[[#This Row],[Data de Início]]="","",YEAR(Table1[[#This Row],[Data de Início]]))</f>
        <v/>
      </c>
      <c r="BB1414" s="270" t="str">
        <f>IF(Table1[[#This Row],[Data de Início]]="","",MONTH(Table1[[#This Row],[Data de Início]]))</f>
        <v/>
      </c>
      <c r="BC1414" s="270"/>
    </row>
    <row r="1415" spans="2:55" x14ac:dyDescent="0.25">
      <c r="B1415" s="470"/>
      <c r="C1415" s="263"/>
      <c r="D1415" s="477" cm="1">
        <f t="array" ref="D1415">IFERROR(HorasUteisFabrica2Turnos(B1415,C1415), "")</f>
        <v>0</v>
      </c>
      <c r="E1415" s="697" t="str">
        <f t="shared" si="22"/>
        <v/>
      </c>
      <c r="F1415" s="266"/>
      <c r="G1415" s="698"/>
      <c r="H1415" s="266"/>
      <c r="I1415" s="268"/>
      <c r="J1415" s="268"/>
      <c r="K1415" s="268"/>
      <c r="L1415" s="269"/>
      <c r="M1415" s="510" t="str">
        <f>IFERROR(INDEX([1]Produtos!$C:$C,MATCH(L1415,[1]Produtos!$B:$B,0)), "-")</f>
        <v>-</v>
      </c>
      <c r="N1415" s="510" t="str">
        <f>IFERROR(INDEX([1]Produtos!$E:$E,MATCH(L1415,[1]Produtos!$B:$B,0)), "-")</f>
        <v>-</v>
      </c>
      <c r="O1415" s="270" t="str">
        <f>IFERROR(INDEX([1]Produtos!$F:$F,MATCH(L1415,[1]Produtos!$B:$B,0)), "-")</f>
        <v>-</v>
      </c>
      <c r="P1415" s="264" t="str">
        <f>IFERROR(INDEX([1]Produtos!$G:$G,MATCH(L1415,[1]Produtos!$B:$B,0)), "-")</f>
        <v>-</v>
      </c>
      <c r="Q1415" s="270" t="str">
        <f>IFERROR(INDEX([1]Produtos!$H:$H,MATCH(L1415,[1]Produtos!$B:$B,0)), "-")</f>
        <v>-</v>
      </c>
      <c r="R1415" s="270" t="str">
        <f>IFERROR(INDEX([1]Produtos!$I:$I,MATCH(L1415,[1]Produtos!$B:$B,0)), "-")</f>
        <v>-</v>
      </c>
      <c r="S1415" s="270" t="str">
        <f>IFERROR(INDEX([1]Produtos!$J:$J,MATCH(L1415,[1]Produtos!$B:$B,0)), "-")</f>
        <v>-</v>
      </c>
      <c r="T1415" s="475"/>
      <c r="U1415" s="270"/>
      <c r="V1415" s="270"/>
      <c r="W1415" s="270"/>
      <c r="X1415" s="270"/>
      <c r="Y1415" s="270"/>
      <c r="Z1415" s="270"/>
      <c r="AA1415" s="270"/>
      <c r="AB1415" s="270"/>
      <c r="AC1415" s="270"/>
      <c r="AD1415" s="270"/>
      <c r="AE1415" s="270"/>
      <c r="AF1415" s="270"/>
      <c r="AG1415" s="270"/>
      <c r="AH1415" s="270"/>
      <c r="AI1415" s="270"/>
      <c r="AJ1415" s="270"/>
      <c r="AK1415" s="270"/>
      <c r="AL1415" s="270"/>
      <c r="AM1415" s="663"/>
      <c r="AN1415" s="663"/>
      <c r="AO1415" s="708" t="str">
        <f>IF(OR(Table1[[#This Row],[Início Setup Envase]]="",Table1[[#This Row],[Final Setup Envase]]=""),"",Table1[[#This Row],[Final Setup Envase]]-Table1[[#This Row],[Início Setup Envase]])</f>
        <v/>
      </c>
      <c r="AP1415" s="663"/>
      <c r="AQ1415" s="663"/>
      <c r="AR1415" s="270"/>
      <c r="AS1415" s="674"/>
      <c r="AT1415" s="674"/>
      <c r="AU1415" s="270"/>
      <c r="AV1415" s="270"/>
      <c r="AW1415" s="270"/>
      <c r="AX1415" s="270"/>
      <c r="AY1415" s="270"/>
      <c r="AZ1415" s="270"/>
      <c r="BA1415" s="270" t="str">
        <f>IF(Table1[[#This Row],[Data de Início]]="","",YEAR(Table1[[#This Row],[Data de Início]]))</f>
        <v/>
      </c>
      <c r="BB1415" s="270" t="str">
        <f>IF(Table1[[#This Row],[Data de Início]]="","",MONTH(Table1[[#This Row],[Data de Início]]))</f>
        <v/>
      </c>
      <c r="BC1415" s="483"/>
    </row>
    <row r="1416" spans="2:55" x14ac:dyDescent="0.25">
      <c r="B1416" s="470"/>
      <c r="C1416" s="263"/>
      <c r="D1416" s="477" cm="1">
        <f t="array" ref="D1416">IFERROR(HorasUteisFabrica2Turnos(B1416,C1416), "")</f>
        <v>0</v>
      </c>
      <c r="E1416" s="478" t="str">
        <f t="shared" si="22"/>
        <v/>
      </c>
      <c r="F1416" s="266"/>
      <c r="G1416" s="656"/>
      <c r="H1416" s="479"/>
      <c r="I1416" s="268"/>
      <c r="J1416" s="268"/>
      <c r="K1416" s="268"/>
      <c r="L1416" s="269"/>
      <c r="M1416" s="511" t="str">
        <f>IFERROR(INDEX([1]Produtos!$C:$C,MATCH(L1416,[1]Produtos!$B:$B,0)), "-")</f>
        <v>-</v>
      </c>
      <c r="N1416" s="511" t="str">
        <f>IFERROR(INDEX([1]Produtos!$E:$E,MATCH(L1416,[1]Produtos!$B:$B,0)), "-")</f>
        <v>-</v>
      </c>
      <c r="O1416" s="483" t="str">
        <f>IFERROR(INDEX([1]Produtos!$F:$F,MATCH(L1416,[1]Produtos!$B:$B,0)), "-")</f>
        <v>-</v>
      </c>
      <c r="P1416" s="477" t="str">
        <f>IFERROR(INDEX([1]Produtos!$G:$G,MATCH(L1416,[1]Produtos!$B:$B,0)), "-")</f>
        <v>-</v>
      </c>
      <c r="Q1416" s="483" t="str">
        <f>IFERROR(INDEX([1]Produtos!$H:$H,MATCH(L1416,[1]Produtos!$B:$B,0)), "-")</f>
        <v>-</v>
      </c>
      <c r="R1416" s="483" t="str">
        <f>IFERROR(INDEX([1]Produtos!$I:$I,MATCH(L1416,[1]Produtos!$B:$B,0)), "-")</f>
        <v>-</v>
      </c>
      <c r="S1416" s="483" t="str">
        <f>IFERROR(INDEX([1]Produtos!$J:$J,MATCH(L1416,[1]Produtos!$B:$B,0)), "-")</f>
        <v>-</v>
      </c>
      <c r="T1416" s="484"/>
      <c r="U1416" s="483"/>
      <c r="V1416" s="483"/>
      <c r="W1416" s="483"/>
      <c r="X1416" s="483"/>
      <c r="Y1416" s="483"/>
      <c r="Z1416" s="483"/>
      <c r="AA1416" s="483"/>
      <c r="AB1416" s="483"/>
      <c r="AC1416" s="483"/>
      <c r="AD1416" s="483"/>
      <c r="AE1416" s="483"/>
      <c r="AF1416" s="483"/>
      <c r="AG1416" s="483"/>
      <c r="AH1416" s="483"/>
      <c r="AI1416" s="483"/>
      <c r="AJ1416" s="483"/>
      <c r="AK1416" s="483"/>
      <c r="AL1416" s="483"/>
      <c r="AM1416" s="670"/>
      <c r="AN1416" s="670"/>
      <c r="AO1416" s="711" t="str">
        <f>IF(OR(Table1[[#This Row],[Início Setup Envase]]="",Table1[[#This Row],[Final Setup Envase]]=""),"",Table1[[#This Row],[Final Setup Envase]]-Table1[[#This Row],[Início Setup Envase]])</f>
        <v/>
      </c>
      <c r="AP1416" s="670"/>
      <c r="AQ1416" s="670"/>
      <c r="AR1416" s="483"/>
      <c r="AS1416" s="483"/>
      <c r="AT1416" s="483"/>
      <c r="AU1416" s="483"/>
      <c r="AV1416" s="483"/>
      <c r="AW1416" s="483"/>
      <c r="AX1416" s="483"/>
      <c r="AY1416" s="270"/>
      <c r="AZ1416" s="270"/>
      <c r="BA1416" s="270" t="str">
        <f>IF(Table1[[#This Row],[Data de Início]]="","",YEAR(Table1[[#This Row],[Data de Início]]))</f>
        <v/>
      </c>
      <c r="BB1416" s="270" t="str">
        <f>IF(Table1[[#This Row],[Data de Início]]="","",MONTH(Table1[[#This Row],[Data de Início]]))</f>
        <v/>
      </c>
      <c r="BC1416" s="270"/>
    </row>
    <row r="1417" spans="2:55" x14ac:dyDescent="0.25">
      <c r="B1417" s="470"/>
      <c r="C1417" s="263"/>
      <c r="D1417" s="477" cm="1">
        <f t="array" ref="D1417">IFERROR(HorasUteisFabrica2Turnos(B1417,C1417), "")</f>
        <v>0</v>
      </c>
      <c r="E1417" s="697" t="str">
        <f t="shared" si="22"/>
        <v/>
      </c>
      <c r="F1417" s="266"/>
      <c r="G1417" s="698"/>
      <c r="H1417" s="266"/>
      <c r="I1417" s="268"/>
      <c r="J1417" s="268"/>
      <c r="K1417" s="268"/>
      <c r="L1417" s="269"/>
      <c r="M1417" s="510" t="str">
        <f>IFERROR(INDEX([1]Produtos!$C:$C,MATCH(L1417,[1]Produtos!$B:$B,0)), "-")</f>
        <v>-</v>
      </c>
      <c r="N1417" s="510" t="str">
        <f>IFERROR(INDEX([1]Produtos!$E:$E,MATCH(L1417,[1]Produtos!$B:$B,0)), "-")</f>
        <v>-</v>
      </c>
      <c r="O1417" s="270" t="str">
        <f>IFERROR(INDEX([1]Produtos!$F:$F,MATCH(L1417,[1]Produtos!$B:$B,0)), "-")</f>
        <v>-</v>
      </c>
      <c r="P1417" s="264" t="str">
        <f>IFERROR(INDEX([1]Produtos!$G:$G,MATCH(L1417,[1]Produtos!$B:$B,0)), "-")</f>
        <v>-</v>
      </c>
      <c r="Q1417" s="270" t="str">
        <f>IFERROR(INDEX([1]Produtos!$H:$H,MATCH(L1417,[1]Produtos!$B:$B,0)), "-")</f>
        <v>-</v>
      </c>
      <c r="R1417" s="270" t="str">
        <f>IFERROR(INDEX([1]Produtos!$I:$I,MATCH(L1417,[1]Produtos!$B:$B,0)), "-")</f>
        <v>-</v>
      </c>
      <c r="S1417" s="270" t="str">
        <f>IFERROR(INDEX([1]Produtos!$J:$J,MATCH(L1417,[1]Produtos!$B:$B,0)), "-")</f>
        <v>-</v>
      </c>
      <c r="T1417" s="475"/>
      <c r="U1417" s="270"/>
      <c r="V1417" s="270"/>
      <c r="W1417" s="270"/>
      <c r="X1417" s="270"/>
      <c r="Y1417" s="270"/>
      <c r="Z1417" s="270"/>
      <c r="AA1417" s="270"/>
      <c r="AB1417" s="270"/>
      <c r="AC1417" s="270"/>
      <c r="AD1417" s="270"/>
      <c r="AE1417" s="270"/>
      <c r="AF1417" s="270"/>
      <c r="AG1417" s="270"/>
      <c r="AH1417" s="270"/>
      <c r="AI1417" s="270"/>
      <c r="AJ1417" s="270"/>
      <c r="AK1417" s="270"/>
      <c r="AL1417" s="270"/>
      <c r="AM1417" s="663"/>
      <c r="AN1417" s="663"/>
      <c r="AO1417" s="708" t="str">
        <f>IF(OR(Table1[[#This Row],[Início Setup Envase]]="",Table1[[#This Row],[Final Setup Envase]]=""),"",Table1[[#This Row],[Final Setup Envase]]-Table1[[#This Row],[Início Setup Envase]])</f>
        <v/>
      </c>
      <c r="AP1417" s="663"/>
      <c r="AQ1417" s="663"/>
      <c r="AR1417" s="270"/>
      <c r="AS1417" s="674"/>
      <c r="AT1417" s="674"/>
      <c r="AU1417" s="270"/>
      <c r="AV1417" s="270"/>
      <c r="AW1417" s="270"/>
      <c r="AX1417" s="270"/>
      <c r="AY1417" s="270"/>
      <c r="AZ1417" s="270"/>
      <c r="BA1417" s="270" t="str">
        <f>IF(Table1[[#This Row],[Data de Início]]="","",YEAR(Table1[[#This Row],[Data de Início]]))</f>
        <v/>
      </c>
      <c r="BB1417" s="270" t="str">
        <f>IF(Table1[[#This Row],[Data de Início]]="","",MONTH(Table1[[#This Row],[Data de Início]]))</f>
        <v/>
      </c>
      <c r="BC1417" s="483"/>
    </row>
    <row r="1418" spans="2:55" x14ac:dyDescent="0.25">
      <c r="B1418" s="470"/>
      <c r="C1418" s="263"/>
      <c r="D1418" s="477" cm="1">
        <f t="array" ref="D1418">IFERROR(HorasUteisFabrica2Turnos(B1418,C1418), "")</f>
        <v>0</v>
      </c>
      <c r="E1418" s="478" t="str">
        <f t="shared" si="22"/>
        <v/>
      </c>
      <c r="F1418" s="266"/>
      <c r="G1418" s="656"/>
      <c r="H1418" s="479"/>
      <c r="I1418" s="268"/>
      <c r="J1418" s="268"/>
      <c r="K1418" s="268"/>
      <c r="L1418" s="269"/>
      <c r="M1418" s="511" t="str">
        <f>IFERROR(INDEX([1]Produtos!$C:$C,MATCH(L1418,[1]Produtos!$B:$B,0)), "-")</f>
        <v>-</v>
      </c>
      <c r="N1418" s="511" t="str">
        <f>IFERROR(INDEX([1]Produtos!$E:$E,MATCH(L1418,[1]Produtos!$B:$B,0)), "-")</f>
        <v>-</v>
      </c>
      <c r="O1418" s="483" t="str">
        <f>IFERROR(INDEX([1]Produtos!$F:$F,MATCH(L1418,[1]Produtos!$B:$B,0)), "-")</f>
        <v>-</v>
      </c>
      <c r="P1418" s="477" t="str">
        <f>IFERROR(INDEX([1]Produtos!$G:$G,MATCH(L1418,[1]Produtos!$B:$B,0)), "-")</f>
        <v>-</v>
      </c>
      <c r="Q1418" s="483" t="str">
        <f>IFERROR(INDEX([1]Produtos!$H:$H,MATCH(L1418,[1]Produtos!$B:$B,0)), "-")</f>
        <v>-</v>
      </c>
      <c r="R1418" s="483" t="str">
        <f>IFERROR(INDEX([1]Produtos!$I:$I,MATCH(L1418,[1]Produtos!$B:$B,0)), "-")</f>
        <v>-</v>
      </c>
      <c r="S1418" s="483" t="str">
        <f>IFERROR(INDEX([1]Produtos!$J:$J,MATCH(L1418,[1]Produtos!$B:$B,0)), "-")</f>
        <v>-</v>
      </c>
      <c r="T1418" s="484"/>
      <c r="U1418" s="483"/>
      <c r="V1418" s="483"/>
      <c r="W1418" s="483"/>
      <c r="X1418" s="483"/>
      <c r="Y1418" s="483"/>
      <c r="Z1418" s="483"/>
      <c r="AA1418" s="483"/>
      <c r="AB1418" s="483"/>
      <c r="AC1418" s="483"/>
      <c r="AD1418" s="483"/>
      <c r="AE1418" s="483"/>
      <c r="AF1418" s="483"/>
      <c r="AG1418" s="483"/>
      <c r="AH1418" s="483"/>
      <c r="AI1418" s="483"/>
      <c r="AJ1418" s="483"/>
      <c r="AK1418" s="483"/>
      <c r="AL1418" s="483"/>
      <c r="AM1418" s="670"/>
      <c r="AN1418" s="670"/>
      <c r="AO1418" s="711" t="str">
        <f>IF(OR(Table1[[#This Row],[Início Setup Envase]]="",Table1[[#This Row],[Final Setup Envase]]=""),"",Table1[[#This Row],[Final Setup Envase]]-Table1[[#This Row],[Início Setup Envase]])</f>
        <v/>
      </c>
      <c r="AP1418" s="670"/>
      <c r="AQ1418" s="670"/>
      <c r="AR1418" s="483"/>
      <c r="AS1418" s="483"/>
      <c r="AT1418" s="483"/>
      <c r="AU1418" s="483"/>
      <c r="AV1418" s="483"/>
      <c r="AW1418" s="483"/>
      <c r="AX1418" s="483"/>
      <c r="AY1418" s="270"/>
      <c r="AZ1418" s="270"/>
      <c r="BA1418" s="270" t="str">
        <f>IF(Table1[[#This Row],[Data de Início]]="","",YEAR(Table1[[#This Row],[Data de Início]]))</f>
        <v/>
      </c>
      <c r="BB1418" s="270" t="str">
        <f>IF(Table1[[#This Row],[Data de Início]]="","",MONTH(Table1[[#This Row],[Data de Início]]))</f>
        <v/>
      </c>
      <c r="BC1418" s="270"/>
    </row>
    <row r="1419" spans="2:55" x14ac:dyDescent="0.25">
      <c r="B1419" s="470"/>
      <c r="C1419" s="263"/>
      <c r="D1419" s="477" cm="1">
        <f t="array" ref="D1419">IFERROR(HorasUteisFabrica2Turnos(B1419,C1419), "")</f>
        <v>0</v>
      </c>
      <c r="E1419" s="697" t="str">
        <f t="shared" si="22"/>
        <v/>
      </c>
      <c r="F1419" s="266"/>
      <c r="G1419" s="698"/>
      <c r="H1419" s="266"/>
      <c r="I1419" s="268"/>
      <c r="J1419" s="268"/>
      <c r="K1419" s="268"/>
      <c r="L1419" s="269"/>
      <c r="M1419" s="510" t="str">
        <f>IFERROR(INDEX([1]Produtos!$C:$C,MATCH(L1419,[1]Produtos!$B:$B,0)), "-")</f>
        <v>-</v>
      </c>
      <c r="N1419" s="510" t="str">
        <f>IFERROR(INDEX([1]Produtos!$E:$E,MATCH(L1419,[1]Produtos!$B:$B,0)), "-")</f>
        <v>-</v>
      </c>
      <c r="O1419" s="270" t="str">
        <f>IFERROR(INDEX([1]Produtos!$F:$F,MATCH(L1419,[1]Produtos!$B:$B,0)), "-")</f>
        <v>-</v>
      </c>
      <c r="P1419" s="264" t="str">
        <f>IFERROR(INDEX([1]Produtos!$G:$G,MATCH(L1419,[1]Produtos!$B:$B,0)), "-")</f>
        <v>-</v>
      </c>
      <c r="Q1419" s="270" t="str">
        <f>IFERROR(INDEX([1]Produtos!$H:$H,MATCH(L1419,[1]Produtos!$B:$B,0)), "-")</f>
        <v>-</v>
      </c>
      <c r="R1419" s="270" t="str">
        <f>IFERROR(INDEX([1]Produtos!$I:$I,MATCH(L1419,[1]Produtos!$B:$B,0)), "-")</f>
        <v>-</v>
      </c>
      <c r="S1419" s="270" t="str">
        <f>IFERROR(INDEX([1]Produtos!$J:$J,MATCH(L1419,[1]Produtos!$B:$B,0)), "-")</f>
        <v>-</v>
      </c>
      <c r="T1419" s="475"/>
      <c r="U1419" s="270"/>
      <c r="V1419" s="270"/>
      <c r="W1419" s="270"/>
      <c r="X1419" s="270"/>
      <c r="Y1419" s="270"/>
      <c r="Z1419" s="270"/>
      <c r="AA1419" s="270"/>
      <c r="AB1419" s="270"/>
      <c r="AC1419" s="270"/>
      <c r="AD1419" s="270"/>
      <c r="AE1419" s="270"/>
      <c r="AF1419" s="270"/>
      <c r="AG1419" s="270"/>
      <c r="AH1419" s="270"/>
      <c r="AI1419" s="270"/>
      <c r="AJ1419" s="270"/>
      <c r="AK1419" s="270"/>
      <c r="AL1419" s="270"/>
      <c r="AM1419" s="663"/>
      <c r="AN1419" s="663"/>
      <c r="AO1419" s="708" t="str">
        <f>IF(OR(Table1[[#This Row],[Início Setup Envase]]="",Table1[[#This Row],[Final Setup Envase]]=""),"",Table1[[#This Row],[Final Setup Envase]]-Table1[[#This Row],[Início Setup Envase]])</f>
        <v/>
      </c>
      <c r="AP1419" s="663"/>
      <c r="AQ1419" s="663"/>
      <c r="AR1419" s="270"/>
      <c r="AS1419" s="674"/>
      <c r="AT1419" s="674"/>
      <c r="AU1419" s="270"/>
      <c r="AV1419" s="270"/>
      <c r="AW1419" s="270"/>
      <c r="AX1419" s="270"/>
      <c r="AY1419" s="270"/>
      <c r="AZ1419" s="270"/>
      <c r="BA1419" s="270" t="str">
        <f>IF(Table1[[#This Row],[Data de Início]]="","",YEAR(Table1[[#This Row],[Data de Início]]))</f>
        <v/>
      </c>
      <c r="BB1419" s="270" t="str">
        <f>IF(Table1[[#This Row],[Data de Início]]="","",MONTH(Table1[[#This Row],[Data de Início]]))</f>
        <v/>
      </c>
      <c r="BC1419" s="483"/>
    </row>
    <row r="1420" spans="2:55" x14ac:dyDescent="0.25">
      <c r="B1420" s="470"/>
      <c r="C1420" s="263"/>
      <c r="D1420" s="477" cm="1">
        <f t="array" ref="D1420">IFERROR(HorasUteisFabrica2Turnos(B1420,C1420), "")</f>
        <v>0</v>
      </c>
      <c r="E1420" s="478" t="str">
        <f t="shared" si="22"/>
        <v/>
      </c>
      <c r="F1420" s="266"/>
      <c r="G1420" s="656"/>
      <c r="H1420" s="479"/>
      <c r="I1420" s="268"/>
      <c r="J1420" s="268"/>
      <c r="K1420" s="268"/>
      <c r="L1420" s="269"/>
      <c r="M1420" s="511" t="str">
        <f>IFERROR(INDEX([1]Produtos!$C:$C,MATCH(L1420,[1]Produtos!$B:$B,0)), "-")</f>
        <v>-</v>
      </c>
      <c r="N1420" s="511" t="str">
        <f>IFERROR(INDEX([1]Produtos!$E:$E,MATCH(L1420,[1]Produtos!$B:$B,0)), "-")</f>
        <v>-</v>
      </c>
      <c r="O1420" s="483" t="str">
        <f>IFERROR(INDEX([1]Produtos!$F:$F,MATCH(L1420,[1]Produtos!$B:$B,0)), "-")</f>
        <v>-</v>
      </c>
      <c r="P1420" s="477" t="str">
        <f>IFERROR(INDEX([1]Produtos!$G:$G,MATCH(L1420,[1]Produtos!$B:$B,0)), "-")</f>
        <v>-</v>
      </c>
      <c r="Q1420" s="483" t="str">
        <f>IFERROR(INDEX([1]Produtos!$H:$H,MATCH(L1420,[1]Produtos!$B:$B,0)), "-")</f>
        <v>-</v>
      </c>
      <c r="R1420" s="483" t="str">
        <f>IFERROR(INDEX([1]Produtos!$I:$I,MATCH(L1420,[1]Produtos!$B:$B,0)), "-")</f>
        <v>-</v>
      </c>
      <c r="S1420" s="483" t="str">
        <f>IFERROR(INDEX([1]Produtos!$J:$J,MATCH(L1420,[1]Produtos!$B:$B,0)), "-")</f>
        <v>-</v>
      </c>
      <c r="T1420" s="484"/>
      <c r="U1420" s="483"/>
      <c r="V1420" s="483"/>
      <c r="W1420" s="483"/>
      <c r="X1420" s="483"/>
      <c r="Y1420" s="483"/>
      <c r="Z1420" s="483"/>
      <c r="AA1420" s="483"/>
      <c r="AB1420" s="483"/>
      <c r="AC1420" s="483"/>
      <c r="AD1420" s="483"/>
      <c r="AE1420" s="483"/>
      <c r="AF1420" s="483"/>
      <c r="AG1420" s="483"/>
      <c r="AH1420" s="483"/>
      <c r="AI1420" s="483"/>
      <c r="AJ1420" s="483"/>
      <c r="AK1420" s="483"/>
      <c r="AL1420" s="483"/>
      <c r="AM1420" s="670"/>
      <c r="AN1420" s="670"/>
      <c r="AO1420" s="711" t="str">
        <f>IF(OR(Table1[[#This Row],[Início Setup Envase]]="",Table1[[#This Row],[Final Setup Envase]]=""),"",Table1[[#This Row],[Final Setup Envase]]-Table1[[#This Row],[Início Setup Envase]])</f>
        <v/>
      </c>
      <c r="AP1420" s="670"/>
      <c r="AQ1420" s="670"/>
      <c r="AR1420" s="483"/>
      <c r="AS1420" s="483"/>
      <c r="AT1420" s="483"/>
      <c r="AU1420" s="483"/>
      <c r="AV1420" s="483"/>
      <c r="AW1420" s="483"/>
      <c r="AX1420" s="483"/>
      <c r="AY1420" s="270"/>
      <c r="AZ1420" s="270"/>
      <c r="BA1420" s="270" t="str">
        <f>IF(Table1[[#This Row],[Data de Início]]="","",YEAR(Table1[[#This Row],[Data de Início]]))</f>
        <v/>
      </c>
      <c r="BB1420" s="270" t="str">
        <f>IF(Table1[[#This Row],[Data de Início]]="","",MONTH(Table1[[#This Row],[Data de Início]]))</f>
        <v/>
      </c>
      <c r="BC1420" s="270"/>
    </row>
    <row r="1421" spans="2:55" x14ac:dyDescent="0.25">
      <c r="B1421" s="470"/>
      <c r="C1421" s="263"/>
      <c r="D1421" s="477" cm="1">
        <f t="array" ref="D1421">IFERROR(HorasUteisFabrica2Turnos(B1421,C1421), "")</f>
        <v>0</v>
      </c>
      <c r="E1421" s="697" t="str">
        <f t="shared" si="22"/>
        <v/>
      </c>
      <c r="F1421" s="266"/>
      <c r="G1421" s="698"/>
      <c r="H1421" s="266"/>
      <c r="I1421" s="268"/>
      <c r="J1421" s="268"/>
      <c r="K1421" s="268"/>
      <c r="L1421" s="269"/>
      <c r="M1421" s="510" t="str">
        <f>IFERROR(INDEX([1]Produtos!$C:$C,MATCH(L1421,[1]Produtos!$B:$B,0)), "-")</f>
        <v>-</v>
      </c>
      <c r="N1421" s="510" t="str">
        <f>IFERROR(INDEX([1]Produtos!$E:$E,MATCH(L1421,[1]Produtos!$B:$B,0)), "-")</f>
        <v>-</v>
      </c>
      <c r="O1421" s="270" t="str">
        <f>IFERROR(INDEX([1]Produtos!$F:$F,MATCH(L1421,[1]Produtos!$B:$B,0)), "-")</f>
        <v>-</v>
      </c>
      <c r="P1421" s="264" t="str">
        <f>IFERROR(INDEX([1]Produtos!$G:$G,MATCH(L1421,[1]Produtos!$B:$B,0)), "-")</f>
        <v>-</v>
      </c>
      <c r="Q1421" s="270" t="str">
        <f>IFERROR(INDEX([1]Produtos!$H:$H,MATCH(L1421,[1]Produtos!$B:$B,0)), "-")</f>
        <v>-</v>
      </c>
      <c r="R1421" s="270" t="str">
        <f>IFERROR(INDEX([1]Produtos!$I:$I,MATCH(L1421,[1]Produtos!$B:$B,0)), "-")</f>
        <v>-</v>
      </c>
      <c r="S1421" s="270" t="str">
        <f>IFERROR(INDEX([1]Produtos!$J:$J,MATCH(L1421,[1]Produtos!$B:$B,0)), "-")</f>
        <v>-</v>
      </c>
      <c r="T1421" s="475"/>
      <c r="U1421" s="270"/>
      <c r="V1421" s="270"/>
      <c r="W1421" s="270"/>
      <c r="X1421" s="270"/>
      <c r="Y1421" s="270"/>
      <c r="Z1421" s="270"/>
      <c r="AA1421" s="270"/>
      <c r="AB1421" s="270"/>
      <c r="AC1421" s="270"/>
      <c r="AD1421" s="270"/>
      <c r="AE1421" s="270"/>
      <c r="AF1421" s="270"/>
      <c r="AG1421" s="270"/>
      <c r="AH1421" s="270"/>
      <c r="AI1421" s="270"/>
      <c r="AJ1421" s="270"/>
      <c r="AK1421" s="270"/>
      <c r="AL1421" s="270"/>
      <c r="AM1421" s="663"/>
      <c r="AN1421" s="663"/>
      <c r="AO1421" s="708" t="str">
        <f>IF(OR(Table1[[#This Row],[Início Setup Envase]]="",Table1[[#This Row],[Final Setup Envase]]=""),"",Table1[[#This Row],[Final Setup Envase]]-Table1[[#This Row],[Início Setup Envase]])</f>
        <v/>
      </c>
      <c r="AP1421" s="663"/>
      <c r="AQ1421" s="663"/>
      <c r="AR1421" s="270"/>
      <c r="AS1421" s="674"/>
      <c r="AT1421" s="674"/>
      <c r="AU1421" s="270"/>
      <c r="AV1421" s="270"/>
      <c r="AW1421" s="270"/>
      <c r="AX1421" s="270"/>
      <c r="AY1421" s="270"/>
      <c r="AZ1421" s="270"/>
      <c r="BA1421" s="270" t="str">
        <f>IF(Table1[[#This Row],[Data de Início]]="","",YEAR(Table1[[#This Row],[Data de Início]]))</f>
        <v/>
      </c>
      <c r="BB1421" s="270" t="str">
        <f>IF(Table1[[#This Row],[Data de Início]]="","",MONTH(Table1[[#This Row],[Data de Início]]))</f>
        <v/>
      </c>
      <c r="BC1421" s="483"/>
    </row>
    <row r="1422" spans="2:55" x14ac:dyDescent="0.25">
      <c r="B1422" s="470"/>
      <c r="C1422" s="263"/>
      <c r="D1422" s="477" cm="1">
        <f t="array" ref="D1422">IFERROR(HorasUteisFabrica2Turnos(B1422,C1422), "")</f>
        <v>0</v>
      </c>
      <c r="E1422" s="478" t="str">
        <f t="shared" si="22"/>
        <v/>
      </c>
      <c r="F1422" s="266"/>
      <c r="G1422" s="656"/>
      <c r="H1422" s="479"/>
      <c r="I1422" s="268"/>
      <c r="J1422" s="268"/>
      <c r="K1422" s="268"/>
      <c r="L1422" s="269"/>
      <c r="M1422" s="511" t="str">
        <f>IFERROR(INDEX([1]Produtos!$C:$C,MATCH(L1422,[1]Produtos!$B:$B,0)), "-")</f>
        <v>-</v>
      </c>
      <c r="N1422" s="511" t="str">
        <f>IFERROR(INDEX([1]Produtos!$E:$E,MATCH(L1422,[1]Produtos!$B:$B,0)), "-")</f>
        <v>-</v>
      </c>
      <c r="O1422" s="483" t="str">
        <f>IFERROR(INDEX([1]Produtos!$F:$F,MATCH(L1422,[1]Produtos!$B:$B,0)), "-")</f>
        <v>-</v>
      </c>
      <c r="P1422" s="477" t="str">
        <f>IFERROR(INDEX([1]Produtos!$G:$G,MATCH(L1422,[1]Produtos!$B:$B,0)), "-")</f>
        <v>-</v>
      </c>
      <c r="Q1422" s="483" t="str">
        <f>IFERROR(INDEX([1]Produtos!$H:$H,MATCH(L1422,[1]Produtos!$B:$B,0)), "-")</f>
        <v>-</v>
      </c>
      <c r="R1422" s="483" t="str">
        <f>IFERROR(INDEX([1]Produtos!$I:$I,MATCH(L1422,[1]Produtos!$B:$B,0)), "-")</f>
        <v>-</v>
      </c>
      <c r="S1422" s="483" t="str">
        <f>IFERROR(INDEX([1]Produtos!$J:$J,MATCH(L1422,[1]Produtos!$B:$B,0)), "-")</f>
        <v>-</v>
      </c>
      <c r="T1422" s="484"/>
      <c r="U1422" s="483"/>
      <c r="V1422" s="483"/>
      <c r="W1422" s="483"/>
      <c r="X1422" s="483"/>
      <c r="Y1422" s="483"/>
      <c r="Z1422" s="483"/>
      <c r="AA1422" s="483"/>
      <c r="AB1422" s="483"/>
      <c r="AC1422" s="483"/>
      <c r="AD1422" s="483"/>
      <c r="AE1422" s="483"/>
      <c r="AF1422" s="483"/>
      <c r="AG1422" s="483"/>
      <c r="AH1422" s="483"/>
      <c r="AI1422" s="483"/>
      <c r="AJ1422" s="483"/>
      <c r="AK1422" s="483"/>
      <c r="AL1422" s="483"/>
      <c r="AM1422" s="670"/>
      <c r="AN1422" s="670"/>
      <c r="AO1422" s="711" t="str">
        <f>IF(OR(Table1[[#This Row],[Início Setup Envase]]="",Table1[[#This Row],[Final Setup Envase]]=""),"",Table1[[#This Row],[Final Setup Envase]]-Table1[[#This Row],[Início Setup Envase]])</f>
        <v/>
      </c>
      <c r="AP1422" s="670"/>
      <c r="AQ1422" s="670"/>
      <c r="AR1422" s="483"/>
      <c r="AS1422" s="483"/>
      <c r="AT1422" s="483"/>
      <c r="AU1422" s="483"/>
      <c r="AV1422" s="483"/>
      <c r="AW1422" s="483"/>
      <c r="AX1422" s="483"/>
      <c r="AY1422" s="270"/>
      <c r="AZ1422" s="270"/>
      <c r="BA1422" s="270" t="str">
        <f>IF(Table1[[#This Row],[Data de Início]]="","",YEAR(Table1[[#This Row],[Data de Início]]))</f>
        <v/>
      </c>
      <c r="BB1422" s="270" t="str">
        <f>IF(Table1[[#This Row],[Data de Início]]="","",MONTH(Table1[[#This Row],[Data de Início]]))</f>
        <v/>
      </c>
      <c r="BC1422" s="270"/>
    </row>
    <row r="1423" spans="2:55" x14ac:dyDescent="0.25">
      <c r="B1423" s="470"/>
      <c r="C1423" s="263"/>
      <c r="D1423" s="477" cm="1">
        <f t="array" ref="D1423">IFERROR(HorasUteisFabrica2Turnos(B1423,C1423), "")</f>
        <v>0</v>
      </c>
      <c r="E1423" s="697" t="str">
        <f t="shared" si="22"/>
        <v/>
      </c>
      <c r="F1423" s="266"/>
      <c r="G1423" s="698"/>
      <c r="H1423" s="266"/>
      <c r="I1423" s="268"/>
      <c r="J1423" s="268"/>
      <c r="K1423" s="268"/>
      <c r="L1423" s="269"/>
      <c r="M1423" s="510" t="str">
        <f>IFERROR(INDEX([1]Produtos!$C:$C,MATCH(L1423,[1]Produtos!$B:$B,0)), "-")</f>
        <v>-</v>
      </c>
      <c r="N1423" s="510" t="str">
        <f>IFERROR(INDEX([1]Produtos!$E:$E,MATCH(L1423,[1]Produtos!$B:$B,0)), "-")</f>
        <v>-</v>
      </c>
      <c r="O1423" s="270" t="str">
        <f>IFERROR(INDEX([1]Produtos!$F:$F,MATCH(L1423,[1]Produtos!$B:$B,0)), "-")</f>
        <v>-</v>
      </c>
      <c r="P1423" s="264" t="str">
        <f>IFERROR(INDEX([1]Produtos!$G:$G,MATCH(L1423,[1]Produtos!$B:$B,0)), "-")</f>
        <v>-</v>
      </c>
      <c r="Q1423" s="270" t="str">
        <f>IFERROR(INDEX([1]Produtos!$H:$H,MATCH(L1423,[1]Produtos!$B:$B,0)), "-")</f>
        <v>-</v>
      </c>
      <c r="R1423" s="270" t="str">
        <f>IFERROR(INDEX([1]Produtos!$I:$I,MATCH(L1423,[1]Produtos!$B:$B,0)), "-")</f>
        <v>-</v>
      </c>
      <c r="S1423" s="270" t="str">
        <f>IFERROR(INDEX([1]Produtos!$J:$J,MATCH(L1423,[1]Produtos!$B:$B,0)), "-")</f>
        <v>-</v>
      </c>
      <c r="T1423" s="475"/>
      <c r="U1423" s="270"/>
      <c r="V1423" s="270"/>
      <c r="W1423" s="270"/>
      <c r="X1423" s="270"/>
      <c r="Y1423" s="270"/>
      <c r="Z1423" s="270"/>
      <c r="AA1423" s="270"/>
      <c r="AB1423" s="270"/>
      <c r="AC1423" s="270"/>
      <c r="AD1423" s="270"/>
      <c r="AE1423" s="270"/>
      <c r="AF1423" s="270"/>
      <c r="AG1423" s="270"/>
      <c r="AH1423" s="270"/>
      <c r="AI1423" s="270"/>
      <c r="AJ1423" s="270"/>
      <c r="AK1423" s="270"/>
      <c r="AL1423" s="270"/>
      <c r="AM1423" s="663"/>
      <c r="AN1423" s="663"/>
      <c r="AO1423" s="708" t="str">
        <f>IF(OR(Table1[[#This Row],[Início Setup Envase]]="",Table1[[#This Row],[Final Setup Envase]]=""),"",Table1[[#This Row],[Final Setup Envase]]-Table1[[#This Row],[Início Setup Envase]])</f>
        <v/>
      </c>
      <c r="AP1423" s="663"/>
      <c r="AQ1423" s="663"/>
      <c r="AR1423" s="270"/>
      <c r="AS1423" s="674"/>
      <c r="AT1423" s="674"/>
      <c r="AU1423" s="270"/>
      <c r="AV1423" s="270"/>
      <c r="AW1423" s="270"/>
      <c r="AX1423" s="270"/>
      <c r="AY1423" s="270"/>
      <c r="AZ1423" s="270"/>
      <c r="BA1423" s="270" t="str">
        <f>IF(Table1[[#This Row],[Data de Início]]="","",YEAR(Table1[[#This Row],[Data de Início]]))</f>
        <v/>
      </c>
      <c r="BB1423" s="270" t="str">
        <f>IF(Table1[[#This Row],[Data de Início]]="","",MONTH(Table1[[#This Row],[Data de Início]]))</f>
        <v/>
      </c>
      <c r="BC1423" s="483"/>
    </row>
    <row r="1424" spans="2:55" x14ac:dyDescent="0.25">
      <c r="B1424" s="470"/>
      <c r="C1424" s="263"/>
      <c r="D1424" s="477" cm="1">
        <f t="array" ref="D1424">IFERROR(HorasUteisFabrica2Turnos(B1424,C1424), "")</f>
        <v>0</v>
      </c>
      <c r="E1424" s="478" t="str">
        <f t="shared" si="22"/>
        <v/>
      </c>
      <c r="F1424" s="266"/>
      <c r="G1424" s="656"/>
      <c r="H1424" s="479"/>
      <c r="I1424" s="268"/>
      <c r="J1424" s="268"/>
      <c r="K1424" s="268"/>
      <c r="L1424" s="269"/>
      <c r="M1424" s="511" t="str">
        <f>IFERROR(INDEX([1]Produtos!$C:$C,MATCH(L1424,[1]Produtos!$B:$B,0)), "-")</f>
        <v>-</v>
      </c>
      <c r="N1424" s="511" t="str">
        <f>IFERROR(INDEX([1]Produtos!$E:$E,MATCH(L1424,[1]Produtos!$B:$B,0)), "-")</f>
        <v>-</v>
      </c>
      <c r="O1424" s="483" t="str">
        <f>IFERROR(INDEX([1]Produtos!$F:$F,MATCH(L1424,[1]Produtos!$B:$B,0)), "-")</f>
        <v>-</v>
      </c>
      <c r="P1424" s="477" t="str">
        <f>IFERROR(INDEX([1]Produtos!$G:$G,MATCH(L1424,[1]Produtos!$B:$B,0)), "-")</f>
        <v>-</v>
      </c>
      <c r="Q1424" s="483" t="str">
        <f>IFERROR(INDEX([1]Produtos!$H:$H,MATCH(L1424,[1]Produtos!$B:$B,0)), "-")</f>
        <v>-</v>
      </c>
      <c r="R1424" s="483" t="str">
        <f>IFERROR(INDEX([1]Produtos!$I:$I,MATCH(L1424,[1]Produtos!$B:$B,0)), "-")</f>
        <v>-</v>
      </c>
      <c r="S1424" s="483" t="str">
        <f>IFERROR(INDEX([1]Produtos!$J:$J,MATCH(L1424,[1]Produtos!$B:$B,0)), "-")</f>
        <v>-</v>
      </c>
      <c r="T1424" s="484"/>
      <c r="U1424" s="483"/>
      <c r="V1424" s="483"/>
      <c r="W1424" s="483"/>
      <c r="X1424" s="483"/>
      <c r="Y1424" s="483"/>
      <c r="Z1424" s="483"/>
      <c r="AA1424" s="483"/>
      <c r="AB1424" s="483"/>
      <c r="AC1424" s="483"/>
      <c r="AD1424" s="483"/>
      <c r="AE1424" s="483"/>
      <c r="AF1424" s="483"/>
      <c r="AG1424" s="483"/>
      <c r="AH1424" s="483"/>
      <c r="AI1424" s="483"/>
      <c r="AJ1424" s="483"/>
      <c r="AK1424" s="483"/>
      <c r="AL1424" s="483"/>
      <c r="AM1424" s="670"/>
      <c r="AN1424" s="670"/>
      <c r="AO1424" s="711" t="str">
        <f>IF(OR(Table1[[#This Row],[Início Setup Envase]]="",Table1[[#This Row],[Final Setup Envase]]=""),"",Table1[[#This Row],[Final Setup Envase]]-Table1[[#This Row],[Início Setup Envase]])</f>
        <v/>
      </c>
      <c r="AP1424" s="670"/>
      <c r="AQ1424" s="670"/>
      <c r="AR1424" s="483"/>
      <c r="AS1424" s="483"/>
      <c r="AT1424" s="483"/>
      <c r="AU1424" s="483"/>
      <c r="AV1424" s="483"/>
      <c r="AW1424" s="483"/>
      <c r="AX1424" s="483"/>
      <c r="AY1424" s="270"/>
      <c r="AZ1424" s="270"/>
      <c r="BA1424" s="270" t="str">
        <f>IF(Table1[[#This Row],[Data de Início]]="","",YEAR(Table1[[#This Row],[Data de Início]]))</f>
        <v/>
      </c>
      <c r="BB1424" s="270" t="str">
        <f>IF(Table1[[#This Row],[Data de Início]]="","",MONTH(Table1[[#This Row],[Data de Início]]))</f>
        <v/>
      </c>
      <c r="BC1424" s="270"/>
    </row>
    <row r="1425" spans="2:55" x14ac:dyDescent="0.25">
      <c r="B1425" s="470"/>
      <c r="C1425" s="263"/>
      <c r="D1425" s="477" cm="1">
        <f t="array" ref="D1425">IFERROR(HorasUteisFabrica2Turnos(B1425,C1425), "")</f>
        <v>0</v>
      </c>
      <c r="E1425" s="697" t="str">
        <f t="shared" si="22"/>
        <v/>
      </c>
      <c r="F1425" s="266"/>
      <c r="G1425" s="698"/>
      <c r="H1425" s="266"/>
      <c r="I1425" s="268"/>
      <c r="J1425" s="268"/>
      <c r="K1425" s="268"/>
      <c r="L1425" s="269"/>
      <c r="M1425" s="510" t="str">
        <f>IFERROR(INDEX([1]Produtos!$C:$C,MATCH(L1425,[1]Produtos!$B:$B,0)), "-")</f>
        <v>-</v>
      </c>
      <c r="N1425" s="510" t="str">
        <f>IFERROR(INDEX([1]Produtos!$E:$E,MATCH(L1425,[1]Produtos!$B:$B,0)), "-")</f>
        <v>-</v>
      </c>
      <c r="O1425" s="270" t="str">
        <f>IFERROR(INDEX([1]Produtos!$F:$F,MATCH(L1425,[1]Produtos!$B:$B,0)), "-")</f>
        <v>-</v>
      </c>
      <c r="P1425" s="264" t="str">
        <f>IFERROR(INDEX([1]Produtos!$G:$G,MATCH(L1425,[1]Produtos!$B:$B,0)), "-")</f>
        <v>-</v>
      </c>
      <c r="Q1425" s="270" t="str">
        <f>IFERROR(INDEX([1]Produtos!$H:$H,MATCH(L1425,[1]Produtos!$B:$B,0)), "-")</f>
        <v>-</v>
      </c>
      <c r="R1425" s="270" t="str">
        <f>IFERROR(INDEX([1]Produtos!$I:$I,MATCH(L1425,[1]Produtos!$B:$B,0)), "-")</f>
        <v>-</v>
      </c>
      <c r="S1425" s="270" t="str">
        <f>IFERROR(INDEX([1]Produtos!$J:$J,MATCH(L1425,[1]Produtos!$B:$B,0)), "-")</f>
        <v>-</v>
      </c>
      <c r="T1425" s="475"/>
      <c r="U1425" s="270"/>
      <c r="V1425" s="270"/>
      <c r="W1425" s="270"/>
      <c r="X1425" s="270"/>
      <c r="Y1425" s="270"/>
      <c r="Z1425" s="270"/>
      <c r="AA1425" s="270"/>
      <c r="AB1425" s="270"/>
      <c r="AC1425" s="270"/>
      <c r="AD1425" s="270"/>
      <c r="AE1425" s="270"/>
      <c r="AF1425" s="270"/>
      <c r="AG1425" s="270"/>
      <c r="AH1425" s="270"/>
      <c r="AI1425" s="270"/>
      <c r="AJ1425" s="270"/>
      <c r="AK1425" s="270"/>
      <c r="AL1425" s="270"/>
      <c r="AM1425" s="663"/>
      <c r="AN1425" s="663"/>
      <c r="AO1425" s="708" t="str">
        <f>IF(OR(Table1[[#This Row],[Início Setup Envase]]="",Table1[[#This Row],[Final Setup Envase]]=""),"",Table1[[#This Row],[Final Setup Envase]]-Table1[[#This Row],[Início Setup Envase]])</f>
        <v/>
      </c>
      <c r="AP1425" s="663"/>
      <c r="AQ1425" s="663"/>
      <c r="AR1425" s="270"/>
      <c r="AS1425" s="674"/>
      <c r="AT1425" s="674"/>
      <c r="AU1425" s="270"/>
      <c r="AV1425" s="270"/>
      <c r="AW1425" s="270"/>
      <c r="AX1425" s="270"/>
      <c r="AY1425" s="270"/>
      <c r="AZ1425" s="270"/>
      <c r="BA1425" s="270" t="str">
        <f>IF(Table1[[#This Row],[Data de Início]]="","",YEAR(Table1[[#This Row],[Data de Início]]))</f>
        <v/>
      </c>
      <c r="BB1425" s="270" t="str">
        <f>IF(Table1[[#This Row],[Data de Início]]="","",MONTH(Table1[[#This Row],[Data de Início]]))</f>
        <v/>
      </c>
      <c r="BC1425" s="483"/>
    </row>
    <row r="1426" spans="2:55" x14ac:dyDescent="0.25">
      <c r="B1426" s="470"/>
      <c r="C1426" s="263"/>
      <c r="D1426" s="477" cm="1">
        <f t="array" ref="D1426">IFERROR(HorasUteisFabrica2Turnos(B1426,C1426), "")</f>
        <v>0</v>
      </c>
      <c r="E1426" s="478" t="str">
        <f t="shared" si="22"/>
        <v/>
      </c>
      <c r="F1426" s="266"/>
      <c r="G1426" s="656"/>
      <c r="H1426" s="479"/>
      <c r="I1426" s="268"/>
      <c r="J1426" s="268"/>
      <c r="K1426" s="268"/>
      <c r="L1426" s="269"/>
      <c r="M1426" s="511" t="str">
        <f>IFERROR(INDEX([1]Produtos!$C:$C,MATCH(L1426,[1]Produtos!$B:$B,0)), "-")</f>
        <v>-</v>
      </c>
      <c r="N1426" s="511" t="str">
        <f>IFERROR(INDEX([1]Produtos!$E:$E,MATCH(L1426,[1]Produtos!$B:$B,0)), "-")</f>
        <v>-</v>
      </c>
      <c r="O1426" s="483" t="str">
        <f>IFERROR(INDEX([1]Produtos!$F:$F,MATCH(L1426,[1]Produtos!$B:$B,0)), "-")</f>
        <v>-</v>
      </c>
      <c r="P1426" s="477" t="str">
        <f>IFERROR(INDEX([1]Produtos!$G:$G,MATCH(L1426,[1]Produtos!$B:$B,0)), "-")</f>
        <v>-</v>
      </c>
      <c r="Q1426" s="483" t="str">
        <f>IFERROR(INDEX([1]Produtos!$H:$H,MATCH(L1426,[1]Produtos!$B:$B,0)), "-")</f>
        <v>-</v>
      </c>
      <c r="R1426" s="483" t="str">
        <f>IFERROR(INDEX([1]Produtos!$I:$I,MATCH(L1426,[1]Produtos!$B:$B,0)), "-")</f>
        <v>-</v>
      </c>
      <c r="S1426" s="483" t="str">
        <f>IFERROR(INDEX([1]Produtos!$J:$J,MATCH(L1426,[1]Produtos!$B:$B,0)), "-")</f>
        <v>-</v>
      </c>
      <c r="T1426" s="484"/>
      <c r="U1426" s="483"/>
      <c r="V1426" s="483"/>
      <c r="W1426" s="483"/>
      <c r="X1426" s="483"/>
      <c r="Y1426" s="483"/>
      <c r="Z1426" s="483"/>
      <c r="AA1426" s="483"/>
      <c r="AB1426" s="483"/>
      <c r="AC1426" s="483"/>
      <c r="AD1426" s="483"/>
      <c r="AE1426" s="483"/>
      <c r="AF1426" s="483"/>
      <c r="AG1426" s="483"/>
      <c r="AH1426" s="483"/>
      <c r="AI1426" s="483"/>
      <c r="AJ1426" s="483"/>
      <c r="AK1426" s="483"/>
      <c r="AL1426" s="483"/>
      <c r="AM1426" s="670"/>
      <c r="AN1426" s="670"/>
      <c r="AO1426" s="711" t="str">
        <f>IF(OR(Table1[[#This Row],[Início Setup Envase]]="",Table1[[#This Row],[Final Setup Envase]]=""),"",Table1[[#This Row],[Final Setup Envase]]-Table1[[#This Row],[Início Setup Envase]])</f>
        <v/>
      </c>
      <c r="AP1426" s="670"/>
      <c r="AQ1426" s="670"/>
      <c r="AR1426" s="483"/>
      <c r="AS1426" s="483"/>
      <c r="AT1426" s="483"/>
      <c r="AU1426" s="483"/>
      <c r="AV1426" s="483"/>
      <c r="AW1426" s="483"/>
      <c r="AX1426" s="483"/>
      <c r="AY1426" s="270"/>
      <c r="AZ1426" s="270"/>
      <c r="BA1426" s="270" t="str">
        <f>IF(Table1[[#This Row],[Data de Início]]="","",YEAR(Table1[[#This Row],[Data de Início]]))</f>
        <v/>
      </c>
      <c r="BB1426" s="270" t="str">
        <f>IF(Table1[[#This Row],[Data de Início]]="","",MONTH(Table1[[#This Row],[Data de Início]]))</f>
        <v/>
      </c>
      <c r="BC1426" s="270"/>
    </row>
    <row r="1427" spans="2:55" x14ac:dyDescent="0.25">
      <c r="B1427" s="470"/>
      <c r="C1427" s="263"/>
      <c r="D1427" s="477" cm="1">
        <f t="array" ref="D1427">IFERROR(HorasUteisFabrica2Turnos(B1427,C1427), "")</f>
        <v>0</v>
      </c>
      <c r="E1427" s="697" t="str">
        <f t="shared" si="22"/>
        <v/>
      </c>
      <c r="F1427" s="266"/>
      <c r="G1427" s="698"/>
      <c r="H1427" s="266"/>
      <c r="I1427" s="268"/>
      <c r="J1427" s="268"/>
      <c r="K1427" s="268"/>
      <c r="L1427" s="269"/>
      <c r="M1427" s="510" t="str">
        <f>IFERROR(INDEX([1]Produtos!$C:$C,MATCH(L1427,[1]Produtos!$B:$B,0)), "-")</f>
        <v>-</v>
      </c>
      <c r="N1427" s="510" t="str">
        <f>IFERROR(INDEX([1]Produtos!$E:$E,MATCH(L1427,[1]Produtos!$B:$B,0)), "-")</f>
        <v>-</v>
      </c>
      <c r="O1427" s="270" t="str">
        <f>IFERROR(INDEX([1]Produtos!$F:$F,MATCH(L1427,[1]Produtos!$B:$B,0)), "-")</f>
        <v>-</v>
      </c>
      <c r="P1427" s="264" t="str">
        <f>IFERROR(INDEX([1]Produtos!$G:$G,MATCH(L1427,[1]Produtos!$B:$B,0)), "-")</f>
        <v>-</v>
      </c>
      <c r="Q1427" s="270" t="str">
        <f>IFERROR(INDEX([1]Produtos!$H:$H,MATCH(L1427,[1]Produtos!$B:$B,0)), "-")</f>
        <v>-</v>
      </c>
      <c r="R1427" s="270" t="str">
        <f>IFERROR(INDEX([1]Produtos!$I:$I,MATCH(L1427,[1]Produtos!$B:$B,0)), "-")</f>
        <v>-</v>
      </c>
      <c r="S1427" s="270" t="str">
        <f>IFERROR(INDEX([1]Produtos!$J:$J,MATCH(L1427,[1]Produtos!$B:$B,0)), "-")</f>
        <v>-</v>
      </c>
      <c r="T1427" s="475"/>
      <c r="U1427" s="270"/>
      <c r="V1427" s="270"/>
      <c r="W1427" s="270"/>
      <c r="X1427" s="270"/>
      <c r="Y1427" s="270"/>
      <c r="Z1427" s="270"/>
      <c r="AA1427" s="270"/>
      <c r="AB1427" s="270"/>
      <c r="AC1427" s="270"/>
      <c r="AD1427" s="270"/>
      <c r="AE1427" s="270"/>
      <c r="AF1427" s="270"/>
      <c r="AG1427" s="270"/>
      <c r="AH1427" s="270"/>
      <c r="AI1427" s="270"/>
      <c r="AJ1427" s="270"/>
      <c r="AK1427" s="270"/>
      <c r="AL1427" s="270"/>
      <c r="AM1427" s="663"/>
      <c r="AN1427" s="663"/>
      <c r="AO1427" s="708" t="str">
        <f>IF(OR(Table1[[#This Row],[Início Setup Envase]]="",Table1[[#This Row],[Final Setup Envase]]=""),"",Table1[[#This Row],[Final Setup Envase]]-Table1[[#This Row],[Início Setup Envase]])</f>
        <v/>
      </c>
      <c r="AP1427" s="663"/>
      <c r="AQ1427" s="663"/>
      <c r="AR1427" s="270"/>
      <c r="AS1427" s="674"/>
      <c r="AT1427" s="674"/>
      <c r="AU1427" s="270"/>
      <c r="AV1427" s="270"/>
      <c r="AW1427" s="270"/>
      <c r="AX1427" s="270"/>
      <c r="AY1427" s="270"/>
      <c r="AZ1427" s="270"/>
      <c r="BA1427" s="270" t="str">
        <f>IF(Table1[[#This Row],[Data de Início]]="","",YEAR(Table1[[#This Row],[Data de Início]]))</f>
        <v/>
      </c>
      <c r="BB1427" s="270" t="str">
        <f>IF(Table1[[#This Row],[Data de Início]]="","",MONTH(Table1[[#This Row],[Data de Início]]))</f>
        <v/>
      </c>
      <c r="BC1427" s="483"/>
    </row>
    <row r="1428" spans="2:55" x14ac:dyDescent="0.25">
      <c r="B1428" s="470"/>
      <c r="C1428" s="263"/>
      <c r="D1428" s="477" cm="1">
        <f t="array" ref="D1428">IFERROR(HorasUteisFabrica2Turnos(B1428,C1428), "")</f>
        <v>0</v>
      </c>
      <c r="E1428" s="478" t="str">
        <f t="shared" si="22"/>
        <v/>
      </c>
      <c r="F1428" s="266"/>
      <c r="G1428" s="656"/>
      <c r="H1428" s="479"/>
      <c r="I1428" s="268"/>
      <c r="J1428" s="268"/>
      <c r="K1428" s="268"/>
      <c r="L1428" s="269"/>
      <c r="M1428" s="511" t="str">
        <f>IFERROR(INDEX([1]Produtos!$C:$C,MATCH(L1428,[1]Produtos!$B:$B,0)), "-")</f>
        <v>-</v>
      </c>
      <c r="N1428" s="511" t="str">
        <f>IFERROR(INDEX([1]Produtos!$E:$E,MATCH(L1428,[1]Produtos!$B:$B,0)), "-")</f>
        <v>-</v>
      </c>
      <c r="O1428" s="483" t="str">
        <f>IFERROR(INDEX([1]Produtos!$F:$F,MATCH(L1428,[1]Produtos!$B:$B,0)), "-")</f>
        <v>-</v>
      </c>
      <c r="P1428" s="477" t="str">
        <f>IFERROR(INDEX([1]Produtos!$G:$G,MATCH(L1428,[1]Produtos!$B:$B,0)), "-")</f>
        <v>-</v>
      </c>
      <c r="Q1428" s="483" t="str">
        <f>IFERROR(INDEX([1]Produtos!$H:$H,MATCH(L1428,[1]Produtos!$B:$B,0)), "-")</f>
        <v>-</v>
      </c>
      <c r="R1428" s="483" t="str">
        <f>IFERROR(INDEX([1]Produtos!$I:$I,MATCH(L1428,[1]Produtos!$B:$B,0)), "-")</f>
        <v>-</v>
      </c>
      <c r="S1428" s="483" t="str">
        <f>IFERROR(INDEX([1]Produtos!$J:$J,MATCH(L1428,[1]Produtos!$B:$B,0)), "-")</f>
        <v>-</v>
      </c>
      <c r="T1428" s="484"/>
      <c r="U1428" s="483"/>
      <c r="V1428" s="483"/>
      <c r="W1428" s="483"/>
      <c r="X1428" s="483"/>
      <c r="Y1428" s="483"/>
      <c r="Z1428" s="483"/>
      <c r="AA1428" s="483"/>
      <c r="AB1428" s="483"/>
      <c r="AC1428" s="483"/>
      <c r="AD1428" s="483"/>
      <c r="AE1428" s="483"/>
      <c r="AF1428" s="483"/>
      <c r="AG1428" s="483"/>
      <c r="AH1428" s="483"/>
      <c r="AI1428" s="483"/>
      <c r="AJ1428" s="483"/>
      <c r="AK1428" s="483"/>
      <c r="AL1428" s="483"/>
      <c r="AM1428" s="670"/>
      <c r="AN1428" s="670"/>
      <c r="AO1428" s="711" t="str">
        <f>IF(OR(Table1[[#This Row],[Início Setup Envase]]="",Table1[[#This Row],[Final Setup Envase]]=""),"",Table1[[#This Row],[Final Setup Envase]]-Table1[[#This Row],[Início Setup Envase]])</f>
        <v/>
      </c>
      <c r="AP1428" s="670"/>
      <c r="AQ1428" s="670"/>
      <c r="AR1428" s="483"/>
      <c r="AS1428" s="483"/>
      <c r="AT1428" s="483"/>
      <c r="AU1428" s="483"/>
      <c r="AV1428" s="483"/>
      <c r="AW1428" s="483"/>
      <c r="AX1428" s="483"/>
      <c r="AY1428" s="270"/>
      <c r="AZ1428" s="270"/>
      <c r="BA1428" s="270" t="str">
        <f>IF(Table1[[#This Row],[Data de Início]]="","",YEAR(Table1[[#This Row],[Data de Início]]))</f>
        <v/>
      </c>
      <c r="BB1428" s="270" t="str">
        <f>IF(Table1[[#This Row],[Data de Início]]="","",MONTH(Table1[[#This Row],[Data de Início]]))</f>
        <v/>
      </c>
      <c r="BC1428" s="270"/>
    </row>
    <row r="1429" spans="2:55" x14ac:dyDescent="0.25">
      <c r="B1429" s="470"/>
      <c r="C1429" s="263"/>
      <c r="D1429" s="477" cm="1">
        <f t="array" ref="D1429">IFERROR(HorasUteisFabrica2Turnos(B1429,C1429), "")</f>
        <v>0</v>
      </c>
      <c r="E1429" s="697" t="str">
        <f t="shared" si="22"/>
        <v/>
      </c>
      <c r="F1429" s="266"/>
      <c r="G1429" s="698"/>
      <c r="H1429" s="266"/>
      <c r="I1429" s="268"/>
      <c r="J1429" s="268"/>
      <c r="K1429" s="268"/>
      <c r="L1429" s="269"/>
      <c r="M1429" s="510" t="str">
        <f>IFERROR(INDEX([1]Produtos!$C:$C,MATCH(L1429,[1]Produtos!$B:$B,0)), "-")</f>
        <v>-</v>
      </c>
      <c r="N1429" s="510" t="str">
        <f>IFERROR(INDEX([1]Produtos!$E:$E,MATCH(L1429,[1]Produtos!$B:$B,0)), "-")</f>
        <v>-</v>
      </c>
      <c r="O1429" s="270" t="str">
        <f>IFERROR(INDEX([1]Produtos!$F:$F,MATCH(L1429,[1]Produtos!$B:$B,0)), "-")</f>
        <v>-</v>
      </c>
      <c r="P1429" s="264" t="str">
        <f>IFERROR(INDEX([1]Produtos!$G:$G,MATCH(L1429,[1]Produtos!$B:$B,0)), "-")</f>
        <v>-</v>
      </c>
      <c r="Q1429" s="270" t="str">
        <f>IFERROR(INDEX([1]Produtos!$H:$H,MATCH(L1429,[1]Produtos!$B:$B,0)), "-")</f>
        <v>-</v>
      </c>
      <c r="R1429" s="270" t="str">
        <f>IFERROR(INDEX([1]Produtos!$I:$I,MATCH(L1429,[1]Produtos!$B:$B,0)), "-")</f>
        <v>-</v>
      </c>
      <c r="S1429" s="270" t="str">
        <f>IFERROR(INDEX([1]Produtos!$J:$J,MATCH(L1429,[1]Produtos!$B:$B,0)), "-")</f>
        <v>-</v>
      </c>
      <c r="T1429" s="475"/>
      <c r="U1429" s="270"/>
      <c r="V1429" s="270"/>
      <c r="W1429" s="270"/>
      <c r="X1429" s="270"/>
      <c r="Y1429" s="270"/>
      <c r="Z1429" s="270"/>
      <c r="AA1429" s="270"/>
      <c r="AB1429" s="270"/>
      <c r="AC1429" s="270"/>
      <c r="AD1429" s="270"/>
      <c r="AE1429" s="270"/>
      <c r="AF1429" s="270"/>
      <c r="AG1429" s="270"/>
      <c r="AH1429" s="270"/>
      <c r="AI1429" s="270"/>
      <c r="AJ1429" s="270"/>
      <c r="AK1429" s="270"/>
      <c r="AL1429" s="270"/>
      <c r="AM1429" s="663"/>
      <c r="AN1429" s="663"/>
      <c r="AO1429" s="708" t="str">
        <f>IF(OR(Table1[[#This Row],[Início Setup Envase]]="",Table1[[#This Row],[Final Setup Envase]]=""),"",Table1[[#This Row],[Final Setup Envase]]-Table1[[#This Row],[Início Setup Envase]])</f>
        <v/>
      </c>
      <c r="AP1429" s="663"/>
      <c r="AQ1429" s="663"/>
      <c r="AR1429" s="270"/>
      <c r="AS1429" s="674"/>
      <c r="AT1429" s="674"/>
      <c r="AU1429" s="270"/>
      <c r="AV1429" s="270"/>
      <c r="AW1429" s="270"/>
      <c r="AX1429" s="270"/>
      <c r="AY1429" s="270"/>
      <c r="AZ1429" s="270"/>
      <c r="BA1429" s="270" t="str">
        <f>IF(Table1[[#This Row],[Data de Início]]="","",YEAR(Table1[[#This Row],[Data de Início]]))</f>
        <v/>
      </c>
      <c r="BB1429" s="270" t="str">
        <f>IF(Table1[[#This Row],[Data de Início]]="","",MONTH(Table1[[#This Row],[Data de Início]]))</f>
        <v/>
      </c>
      <c r="BC1429" s="483"/>
    </row>
    <row r="1430" spans="2:55" x14ac:dyDescent="0.25">
      <c r="B1430" s="470"/>
      <c r="C1430" s="263"/>
      <c r="D1430" s="477" cm="1">
        <f t="array" ref="D1430">IFERROR(HorasUteisFabrica2Turnos(B1430,C1430), "")</f>
        <v>0</v>
      </c>
      <c r="E1430" s="478" t="str">
        <f t="shared" si="22"/>
        <v/>
      </c>
      <c r="F1430" s="266"/>
      <c r="G1430" s="656"/>
      <c r="H1430" s="479"/>
      <c r="I1430" s="268"/>
      <c r="J1430" s="268"/>
      <c r="K1430" s="268"/>
      <c r="L1430" s="269"/>
      <c r="M1430" s="511" t="str">
        <f>IFERROR(INDEX([1]Produtos!$C:$C,MATCH(L1430,[1]Produtos!$B:$B,0)), "-")</f>
        <v>-</v>
      </c>
      <c r="N1430" s="511" t="str">
        <f>IFERROR(INDEX([1]Produtos!$E:$E,MATCH(L1430,[1]Produtos!$B:$B,0)), "-")</f>
        <v>-</v>
      </c>
      <c r="O1430" s="483" t="str">
        <f>IFERROR(INDEX([1]Produtos!$F:$F,MATCH(L1430,[1]Produtos!$B:$B,0)), "-")</f>
        <v>-</v>
      </c>
      <c r="P1430" s="477" t="str">
        <f>IFERROR(INDEX([1]Produtos!$G:$G,MATCH(L1430,[1]Produtos!$B:$B,0)), "-")</f>
        <v>-</v>
      </c>
      <c r="Q1430" s="483" t="str">
        <f>IFERROR(INDEX([1]Produtos!$H:$H,MATCH(L1430,[1]Produtos!$B:$B,0)), "-")</f>
        <v>-</v>
      </c>
      <c r="R1430" s="483" t="str">
        <f>IFERROR(INDEX([1]Produtos!$I:$I,MATCH(L1430,[1]Produtos!$B:$B,0)), "-")</f>
        <v>-</v>
      </c>
      <c r="S1430" s="483" t="str">
        <f>IFERROR(INDEX([1]Produtos!$J:$J,MATCH(L1430,[1]Produtos!$B:$B,0)), "-")</f>
        <v>-</v>
      </c>
      <c r="T1430" s="484"/>
      <c r="U1430" s="483"/>
      <c r="V1430" s="483"/>
      <c r="W1430" s="483"/>
      <c r="X1430" s="483"/>
      <c r="Y1430" s="483"/>
      <c r="Z1430" s="483"/>
      <c r="AA1430" s="483"/>
      <c r="AB1430" s="483"/>
      <c r="AC1430" s="483"/>
      <c r="AD1430" s="483"/>
      <c r="AE1430" s="483"/>
      <c r="AF1430" s="483"/>
      <c r="AG1430" s="483"/>
      <c r="AH1430" s="483"/>
      <c r="AI1430" s="483"/>
      <c r="AJ1430" s="483"/>
      <c r="AK1430" s="483"/>
      <c r="AL1430" s="483"/>
      <c r="AM1430" s="670"/>
      <c r="AN1430" s="670"/>
      <c r="AO1430" s="711" t="str">
        <f>IF(OR(Table1[[#This Row],[Início Setup Envase]]="",Table1[[#This Row],[Final Setup Envase]]=""),"",Table1[[#This Row],[Final Setup Envase]]-Table1[[#This Row],[Início Setup Envase]])</f>
        <v/>
      </c>
      <c r="AP1430" s="670"/>
      <c r="AQ1430" s="670"/>
      <c r="AR1430" s="483"/>
      <c r="AS1430" s="483"/>
      <c r="AT1430" s="483"/>
      <c r="AU1430" s="483"/>
      <c r="AV1430" s="483"/>
      <c r="AW1430" s="483"/>
      <c r="AX1430" s="483"/>
      <c r="AY1430" s="270"/>
      <c r="AZ1430" s="270"/>
      <c r="BA1430" s="270" t="str">
        <f>IF(Table1[[#This Row],[Data de Início]]="","",YEAR(Table1[[#This Row],[Data de Início]]))</f>
        <v/>
      </c>
      <c r="BB1430" s="270" t="str">
        <f>IF(Table1[[#This Row],[Data de Início]]="","",MONTH(Table1[[#This Row],[Data de Início]]))</f>
        <v/>
      </c>
      <c r="BC1430" s="270"/>
    </row>
    <row r="1431" spans="2:55" x14ac:dyDescent="0.25">
      <c r="B1431" s="470"/>
      <c r="C1431" s="263"/>
      <c r="D1431" s="477" cm="1">
        <f t="array" ref="D1431">IFERROR(HorasUteisFabrica2Turnos(B1431,C1431), "")</f>
        <v>0</v>
      </c>
      <c r="E1431" s="697" t="str">
        <f t="shared" si="22"/>
        <v/>
      </c>
      <c r="F1431" s="266"/>
      <c r="G1431" s="698"/>
      <c r="H1431" s="266"/>
      <c r="I1431" s="268"/>
      <c r="J1431" s="268"/>
      <c r="K1431" s="268"/>
      <c r="L1431" s="269"/>
      <c r="M1431" s="510" t="str">
        <f>IFERROR(INDEX([1]Produtos!$C:$C,MATCH(L1431,[1]Produtos!$B:$B,0)), "-")</f>
        <v>-</v>
      </c>
      <c r="N1431" s="510" t="str">
        <f>IFERROR(INDEX([1]Produtos!$E:$E,MATCH(L1431,[1]Produtos!$B:$B,0)), "-")</f>
        <v>-</v>
      </c>
      <c r="O1431" s="270" t="str">
        <f>IFERROR(INDEX([1]Produtos!$F:$F,MATCH(L1431,[1]Produtos!$B:$B,0)), "-")</f>
        <v>-</v>
      </c>
      <c r="P1431" s="264" t="str">
        <f>IFERROR(INDEX([1]Produtos!$G:$G,MATCH(L1431,[1]Produtos!$B:$B,0)), "-")</f>
        <v>-</v>
      </c>
      <c r="Q1431" s="270" t="str">
        <f>IFERROR(INDEX([1]Produtos!$H:$H,MATCH(L1431,[1]Produtos!$B:$B,0)), "-")</f>
        <v>-</v>
      </c>
      <c r="R1431" s="270" t="str">
        <f>IFERROR(INDEX([1]Produtos!$I:$I,MATCH(L1431,[1]Produtos!$B:$B,0)), "-")</f>
        <v>-</v>
      </c>
      <c r="S1431" s="270" t="str">
        <f>IFERROR(INDEX([1]Produtos!$J:$J,MATCH(L1431,[1]Produtos!$B:$B,0)), "-")</f>
        <v>-</v>
      </c>
      <c r="T1431" s="475"/>
      <c r="U1431" s="270"/>
      <c r="V1431" s="270"/>
      <c r="W1431" s="270"/>
      <c r="X1431" s="270"/>
      <c r="Y1431" s="270"/>
      <c r="Z1431" s="270"/>
      <c r="AA1431" s="270"/>
      <c r="AB1431" s="270"/>
      <c r="AC1431" s="270"/>
      <c r="AD1431" s="270"/>
      <c r="AE1431" s="270"/>
      <c r="AF1431" s="270"/>
      <c r="AG1431" s="270"/>
      <c r="AH1431" s="270"/>
      <c r="AI1431" s="270"/>
      <c r="AJ1431" s="270"/>
      <c r="AK1431" s="270"/>
      <c r="AL1431" s="270"/>
      <c r="AM1431" s="663"/>
      <c r="AN1431" s="663"/>
      <c r="AO1431" s="708" t="str">
        <f>IF(OR(Table1[[#This Row],[Início Setup Envase]]="",Table1[[#This Row],[Final Setup Envase]]=""),"",Table1[[#This Row],[Final Setup Envase]]-Table1[[#This Row],[Início Setup Envase]])</f>
        <v/>
      </c>
      <c r="AP1431" s="663"/>
      <c r="AQ1431" s="663"/>
      <c r="AR1431" s="270"/>
      <c r="AS1431" s="674"/>
      <c r="AT1431" s="674"/>
      <c r="AU1431" s="270"/>
      <c r="AV1431" s="270"/>
      <c r="AW1431" s="270"/>
      <c r="AX1431" s="270"/>
      <c r="AY1431" s="270"/>
      <c r="AZ1431" s="270"/>
      <c r="BA1431" s="270" t="str">
        <f>IF(Table1[[#This Row],[Data de Início]]="","",YEAR(Table1[[#This Row],[Data de Início]]))</f>
        <v/>
      </c>
      <c r="BB1431" s="270" t="str">
        <f>IF(Table1[[#This Row],[Data de Início]]="","",MONTH(Table1[[#This Row],[Data de Início]]))</f>
        <v/>
      </c>
      <c r="BC1431" s="483"/>
    </row>
    <row r="1432" spans="2:55" x14ac:dyDescent="0.25">
      <c r="B1432" s="470"/>
      <c r="C1432" s="263"/>
      <c r="D1432" s="477" cm="1">
        <f t="array" ref="D1432">IFERROR(HorasUteisFabrica2Turnos(B1432,C1432), "")</f>
        <v>0</v>
      </c>
      <c r="E1432" s="478" t="str">
        <f t="shared" si="22"/>
        <v/>
      </c>
      <c r="F1432" s="266"/>
      <c r="G1432" s="656"/>
      <c r="H1432" s="479"/>
      <c r="I1432" s="268"/>
      <c r="J1432" s="268"/>
      <c r="K1432" s="268"/>
      <c r="L1432" s="269"/>
      <c r="M1432" s="511" t="str">
        <f>IFERROR(INDEX([1]Produtos!$C:$C,MATCH(L1432,[1]Produtos!$B:$B,0)), "-")</f>
        <v>-</v>
      </c>
      <c r="N1432" s="511" t="str">
        <f>IFERROR(INDEX([1]Produtos!$E:$E,MATCH(L1432,[1]Produtos!$B:$B,0)), "-")</f>
        <v>-</v>
      </c>
      <c r="O1432" s="483" t="str">
        <f>IFERROR(INDEX([1]Produtos!$F:$F,MATCH(L1432,[1]Produtos!$B:$B,0)), "-")</f>
        <v>-</v>
      </c>
      <c r="P1432" s="477" t="str">
        <f>IFERROR(INDEX([1]Produtos!$G:$G,MATCH(L1432,[1]Produtos!$B:$B,0)), "-")</f>
        <v>-</v>
      </c>
      <c r="Q1432" s="483" t="str">
        <f>IFERROR(INDEX([1]Produtos!$H:$H,MATCH(L1432,[1]Produtos!$B:$B,0)), "-")</f>
        <v>-</v>
      </c>
      <c r="R1432" s="483" t="str">
        <f>IFERROR(INDEX([1]Produtos!$I:$I,MATCH(L1432,[1]Produtos!$B:$B,0)), "-")</f>
        <v>-</v>
      </c>
      <c r="S1432" s="483" t="str">
        <f>IFERROR(INDEX([1]Produtos!$J:$J,MATCH(L1432,[1]Produtos!$B:$B,0)), "-")</f>
        <v>-</v>
      </c>
      <c r="T1432" s="484"/>
      <c r="U1432" s="483"/>
      <c r="V1432" s="483"/>
      <c r="W1432" s="483"/>
      <c r="X1432" s="483"/>
      <c r="Y1432" s="483"/>
      <c r="Z1432" s="483"/>
      <c r="AA1432" s="483"/>
      <c r="AB1432" s="483"/>
      <c r="AC1432" s="483"/>
      <c r="AD1432" s="483"/>
      <c r="AE1432" s="483"/>
      <c r="AF1432" s="483"/>
      <c r="AG1432" s="483"/>
      <c r="AH1432" s="483"/>
      <c r="AI1432" s="483"/>
      <c r="AJ1432" s="483"/>
      <c r="AK1432" s="483"/>
      <c r="AL1432" s="483"/>
      <c r="AM1432" s="670"/>
      <c r="AN1432" s="670"/>
      <c r="AO1432" s="711" t="str">
        <f>IF(OR(Table1[[#This Row],[Início Setup Envase]]="",Table1[[#This Row],[Final Setup Envase]]=""),"",Table1[[#This Row],[Final Setup Envase]]-Table1[[#This Row],[Início Setup Envase]])</f>
        <v/>
      </c>
      <c r="AP1432" s="670"/>
      <c r="AQ1432" s="670"/>
      <c r="AR1432" s="483"/>
      <c r="AS1432" s="483"/>
      <c r="AT1432" s="483"/>
      <c r="AU1432" s="483"/>
      <c r="AV1432" s="483"/>
      <c r="AW1432" s="483"/>
      <c r="AX1432" s="483"/>
      <c r="AY1432" s="270"/>
      <c r="AZ1432" s="270"/>
      <c r="BA1432" s="270" t="str">
        <f>IF(Table1[[#This Row],[Data de Início]]="","",YEAR(Table1[[#This Row],[Data de Início]]))</f>
        <v/>
      </c>
      <c r="BB1432" s="270" t="str">
        <f>IF(Table1[[#This Row],[Data de Início]]="","",MONTH(Table1[[#This Row],[Data de Início]]))</f>
        <v/>
      </c>
      <c r="BC1432" s="270"/>
    </row>
    <row r="1433" spans="2:55" x14ac:dyDescent="0.25">
      <c r="B1433" s="470"/>
      <c r="C1433" s="263"/>
      <c r="D1433" s="477" cm="1">
        <f t="array" ref="D1433">IFERROR(HorasUteisFabrica2Turnos(B1433,C1433), "")</f>
        <v>0</v>
      </c>
      <c r="E1433" s="697" t="str">
        <f t="shared" si="22"/>
        <v/>
      </c>
      <c r="F1433" s="266"/>
      <c r="G1433" s="698"/>
      <c r="H1433" s="266"/>
      <c r="I1433" s="268"/>
      <c r="J1433" s="268"/>
      <c r="K1433" s="268"/>
      <c r="L1433" s="269"/>
      <c r="M1433" s="510" t="str">
        <f>IFERROR(INDEX([1]Produtos!$C:$C,MATCH(L1433,[1]Produtos!$B:$B,0)), "-")</f>
        <v>-</v>
      </c>
      <c r="N1433" s="510" t="str">
        <f>IFERROR(INDEX([1]Produtos!$E:$E,MATCH(L1433,[1]Produtos!$B:$B,0)), "-")</f>
        <v>-</v>
      </c>
      <c r="O1433" s="270" t="str">
        <f>IFERROR(INDEX([1]Produtos!$F:$F,MATCH(L1433,[1]Produtos!$B:$B,0)), "-")</f>
        <v>-</v>
      </c>
      <c r="P1433" s="264" t="str">
        <f>IFERROR(INDEX([1]Produtos!$G:$G,MATCH(L1433,[1]Produtos!$B:$B,0)), "-")</f>
        <v>-</v>
      </c>
      <c r="Q1433" s="270" t="str">
        <f>IFERROR(INDEX([1]Produtos!$H:$H,MATCH(L1433,[1]Produtos!$B:$B,0)), "-")</f>
        <v>-</v>
      </c>
      <c r="R1433" s="270" t="str">
        <f>IFERROR(INDEX([1]Produtos!$I:$I,MATCH(L1433,[1]Produtos!$B:$B,0)), "-")</f>
        <v>-</v>
      </c>
      <c r="S1433" s="270" t="str">
        <f>IFERROR(INDEX([1]Produtos!$J:$J,MATCH(L1433,[1]Produtos!$B:$B,0)), "-")</f>
        <v>-</v>
      </c>
      <c r="T1433" s="475"/>
      <c r="U1433" s="270"/>
      <c r="V1433" s="270"/>
      <c r="W1433" s="270"/>
      <c r="X1433" s="270"/>
      <c r="Y1433" s="270"/>
      <c r="Z1433" s="270"/>
      <c r="AA1433" s="270"/>
      <c r="AB1433" s="270"/>
      <c r="AC1433" s="270"/>
      <c r="AD1433" s="270"/>
      <c r="AE1433" s="270"/>
      <c r="AF1433" s="270"/>
      <c r="AG1433" s="270"/>
      <c r="AH1433" s="270"/>
      <c r="AI1433" s="270"/>
      <c r="AJ1433" s="270"/>
      <c r="AK1433" s="270"/>
      <c r="AL1433" s="270"/>
      <c r="AM1433" s="663"/>
      <c r="AN1433" s="663"/>
      <c r="AO1433" s="708" t="str">
        <f>IF(OR(Table1[[#This Row],[Início Setup Envase]]="",Table1[[#This Row],[Final Setup Envase]]=""),"",Table1[[#This Row],[Final Setup Envase]]-Table1[[#This Row],[Início Setup Envase]])</f>
        <v/>
      </c>
      <c r="AP1433" s="663"/>
      <c r="AQ1433" s="663"/>
      <c r="AR1433" s="270"/>
      <c r="AS1433" s="674"/>
      <c r="AT1433" s="674"/>
      <c r="AU1433" s="270"/>
      <c r="AV1433" s="270"/>
      <c r="AW1433" s="270"/>
      <c r="AX1433" s="270"/>
      <c r="AY1433" s="270"/>
      <c r="AZ1433" s="270"/>
      <c r="BA1433" s="270" t="str">
        <f>IF(Table1[[#This Row],[Data de Início]]="","",YEAR(Table1[[#This Row],[Data de Início]]))</f>
        <v/>
      </c>
      <c r="BB1433" s="270" t="str">
        <f>IF(Table1[[#This Row],[Data de Início]]="","",MONTH(Table1[[#This Row],[Data de Início]]))</f>
        <v/>
      </c>
      <c r="BC1433" s="483"/>
    </row>
    <row r="1434" spans="2:55" x14ac:dyDescent="0.25">
      <c r="B1434" s="470"/>
      <c r="C1434" s="263"/>
      <c r="D1434" s="477" cm="1">
        <f t="array" ref="D1434">IFERROR(HorasUteisFabrica2Turnos(B1434,C1434), "")</f>
        <v>0</v>
      </c>
      <c r="E1434" s="478" t="str">
        <f t="shared" si="22"/>
        <v/>
      </c>
      <c r="F1434" s="266"/>
      <c r="G1434" s="656"/>
      <c r="H1434" s="479"/>
      <c r="I1434" s="268"/>
      <c r="J1434" s="268"/>
      <c r="K1434" s="268"/>
      <c r="L1434" s="269"/>
      <c r="M1434" s="511" t="str">
        <f>IFERROR(INDEX([1]Produtos!$C:$C,MATCH(L1434,[1]Produtos!$B:$B,0)), "-")</f>
        <v>-</v>
      </c>
      <c r="N1434" s="511" t="str">
        <f>IFERROR(INDEX([1]Produtos!$E:$E,MATCH(L1434,[1]Produtos!$B:$B,0)), "-")</f>
        <v>-</v>
      </c>
      <c r="O1434" s="483" t="str">
        <f>IFERROR(INDEX([1]Produtos!$F:$F,MATCH(L1434,[1]Produtos!$B:$B,0)), "-")</f>
        <v>-</v>
      </c>
      <c r="P1434" s="477" t="str">
        <f>IFERROR(INDEX([1]Produtos!$G:$G,MATCH(L1434,[1]Produtos!$B:$B,0)), "-")</f>
        <v>-</v>
      </c>
      <c r="Q1434" s="483" t="str">
        <f>IFERROR(INDEX([1]Produtos!$H:$H,MATCH(L1434,[1]Produtos!$B:$B,0)), "-")</f>
        <v>-</v>
      </c>
      <c r="R1434" s="483" t="str">
        <f>IFERROR(INDEX([1]Produtos!$I:$I,MATCH(L1434,[1]Produtos!$B:$B,0)), "-")</f>
        <v>-</v>
      </c>
      <c r="S1434" s="483" t="str">
        <f>IFERROR(INDEX([1]Produtos!$J:$J,MATCH(L1434,[1]Produtos!$B:$B,0)), "-")</f>
        <v>-</v>
      </c>
      <c r="T1434" s="484"/>
      <c r="U1434" s="483"/>
      <c r="V1434" s="483"/>
      <c r="W1434" s="483"/>
      <c r="X1434" s="483"/>
      <c r="Y1434" s="483"/>
      <c r="Z1434" s="483"/>
      <c r="AA1434" s="483"/>
      <c r="AB1434" s="483"/>
      <c r="AC1434" s="483"/>
      <c r="AD1434" s="483"/>
      <c r="AE1434" s="483"/>
      <c r="AF1434" s="483"/>
      <c r="AG1434" s="483"/>
      <c r="AH1434" s="483"/>
      <c r="AI1434" s="483"/>
      <c r="AJ1434" s="483"/>
      <c r="AK1434" s="483"/>
      <c r="AL1434" s="483"/>
      <c r="AM1434" s="670"/>
      <c r="AN1434" s="670"/>
      <c r="AO1434" s="711" t="str">
        <f>IF(OR(Table1[[#This Row],[Início Setup Envase]]="",Table1[[#This Row],[Final Setup Envase]]=""),"",Table1[[#This Row],[Final Setup Envase]]-Table1[[#This Row],[Início Setup Envase]])</f>
        <v/>
      </c>
      <c r="AP1434" s="670"/>
      <c r="AQ1434" s="670"/>
      <c r="AR1434" s="483"/>
      <c r="AS1434" s="483"/>
      <c r="AT1434" s="483"/>
      <c r="AU1434" s="483"/>
      <c r="AV1434" s="483"/>
      <c r="AW1434" s="483"/>
      <c r="AX1434" s="483"/>
      <c r="AY1434" s="270"/>
      <c r="AZ1434" s="270"/>
      <c r="BA1434" s="270" t="str">
        <f>IF(Table1[[#This Row],[Data de Início]]="","",YEAR(Table1[[#This Row],[Data de Início]]))</f>
        <v/>
      </c>
      <c r="BB1434" s="270" t="str">
        <f>IF(Table1[[#This Row],[Data de Início]]="","",MONTH(Table1[[#This Row],[Data de Início]]))</f>
        <v/>
      </c>
      <c r="BC1434" s="270"/>
    </row>
    <row r="1435" spans="2:55" x14ac:dyDescent="0.25">
      <c r="B1435" s="470"/>
      <c r="C1435" s="263"/>
      <c r="D1435" s="477" cm="1">
        <f t="array" ref="D1435">IFERROR(HorasUteisFabrica2Turnos(B1435,C1435), "")</f>
        <v>0</v>
      </c>
      <c r="E1435" s="697" t="str">
        <f t="shared" si="22"/>
        <v/>
      </c>
      <c r="F1435" s="266"/>
      <c r="G1435" s="698"/>
      <c r="H1435" s="266"/>
      <c r="I1435" s="268"/>
      <c r="J1435" s="268"/>
      <c r="K1435" s="268"/>
      <c r="L1435" s="269"/>
      <c r="M1435" s="510" t="str">
        <f>IFERROR(INDEX([1]Produtos!$C:$C,MATCH(L1435,[1]Produtos!$B:$B,0)), "-")</f>
        <v>-</v>
      </c>
      <c r="N1435" s="510" t="str">
        <f>IFERROR(INDEX([1]Produtos!$E:$E,MATCH(L1435,[1]Produtos!$B:$B,0)), "-")</f>
        <v>-</v>
      </c>
      <c r="O1435" s="270" t="str">
        <f>IFERROR(INDEX([1]Produtos!$F:$F,MATCH(L1435,[1]Produtos!$B:$B,0)), "-")</f>
        <v>-</v>
      </c>
      <c r="P1435" s="264" t="str">
        <f>IFERROR(INDEX([1]Produtos!$G:$G,MATCH(L1435,[1]Produtos!$B:$B,0)), "-")</f>
        <v>-</v>
      </c>
      <c r="Q1435" s="270" t="str">
        <f>IFERROR(INDEX([1]Produtos!$H:$H,MATCH(L1435,[1]Produtos!$B:$B,0)), "-")</f>
        <v>-</v>
      </c>
      <c r="R1435" s="270" t="str">
        <f>IFERROR(INDEX([1]Produtos!$I:$I,MATCH(L1435,[1]Produtos!$B:$B,0)), "-")</f>
        <v>-</v>
      </c>
      <c r="S1435" s="270" t="str">
        <f>IFERROR(INDEX([1]Produtos!$J:$J,MATCH(L1435,[1]Produtos!$B:$B,0)), "-")</f>
        <v>-</v>
      </c>
      <c r="T1435" s="475"/>
      <c r="U1435" s="270"/>
      <c r="V1435" s="270"/>
      <c r="W1435" s="270"/>
      <c r="X1435" s="270"/>
      <c r="Y1435" s="270"/>
      <c r="Z1435" s="270"/>
      <c r="AA1435" s="270"/>
      <c r="AB1435" s="270"/>
      <c r="AC1435" s="270"/>
      <c r="AD1435" s="270"/>
      <c r="AE1435" s="270"/>
      <c r="AF1435" s="270"/>
      <c r="AG1435" s="270"/>
      <c r="AH1435" s="270"/>
      <c r="AI1435" s="270"/>
      <c r="AJ1435" s="270"/>
      <c r="AK1435" s="270"/>
      <c r="AL1435" s="270"/>
      <c r="AM1435" s="663"/>
      <c r="AN1435" s="663"/>
      <c r="AO1435" s="708" t="str">
        <f>IF(OR(Table1[[#This Row],[Início Setup Envase]]="",Table1[[#This Row],[Final Setup Envase]]=""),"",Table1[[#This Row],[Final Setup Envase]]-Table1[[#This Row],[Início Setup Envase]])</f>
        <v/>
      </c>
      <c r="AP1435" s="663"/>
      <c r="AQ1435" s="663"/>
      <c r="AR1435" s="270"/>
      <c r="AS1435" s="674"/>
      <c r="AT1435" s="674"/>
      <c r="AU1435" s="270"/>
      <c r="AV1435" s="270"/>
      <c r="AW1435" s="270"/>
      <c r="AX1435" s="270"/>
      <c r="AY1435" s="270"/>
      <c r="AZ1435" s="270"/>
      <c r="BA1435" s="270" t="str">
        <f>IF(Table1[[#This Row],[Data de Início]]="","",YEAR(Table1[[#This Row],[Data de Início]]))</f>
        <v/>
      </c>
      <c r="BB1435" s="270" t="str">
        <f>IF(Table1[[#This Row],[Data de Início]]="","",MONTH(Table1[[#This Row],[Data de Início]]))</f>
        <v/>
      </c>
      <c r="BC1435" s="483"/>
    </row>
    <row r="1436" spans="2:55" x14ac:dyDescent="0.25">
      <c r="B1436" s="470"/>
      <c r="C1436" s="263"/>
      <c r="D1436" s="477" cm="1">
        <f t="array" ref="D1436">IFERROR(HorasUteisFabrica2Turnos(B1436,C1436), "")</f>
        <v>0</v>
      </c>
      <c r="E1436" s="478" t="str">
        <f t="shared" si="22"/>
        <v/>
      </c>
      <c r="F1436" s="266"/>
      <c r="G1436" s="656"/>
      <c r="H1436" s="479"/>
      <c r="I1436" s="268"/>
      <c r="J1436" s="268"/>
      <c r="K1436" s="268"/>
      <c r="L1436" s="269"/>
      <c r="M1436" s="511" t="str">
        <f>IFERROR(INDEX([1]Produtos!$C:$C,MATCH(L1436,[1]Produtos!$B:$B,0)), "-")</f>
        <v>-</v>
      </c>
      <c r="N1436" s="511" t="str">
        <f>IFERROR(INDEX([1]Produtos!$E:$E,MATCH(L1436,[1]Produtos!$B:$B,0)), "-")</f>
        <v>-</v>
      </c>
      <c r="O1436" s="483" t="str">
        <f>IFERROR(INDEX([1]Produtos!$F:$F,MATCH(L1436,[1]Produtos!$B:$B,0)), "-")</f>
        <v>-</v>
      </c>
      <c r="P1436" s="477" t="str">
        <f>IFERROR(INDEX([1]Produtos!$G:$G,MATCH(L1436,[1]Produtos!$B:$B,0)), "-")</f>
        <v>-</v>
      </c>
      <c r="Q1436" s="483" t="str">
        <f>IFERROR(INDEX([1]Produtos!$H:$H,MATCH(L1436,[1]Produtos!$B:$B,0)), "-")</f>
        <v>-</v>
      </c>
      <c r="R1436" s="483" t="str">
        <f>IFERROR(INDEX([1]Produtos!$I:$I,MATCH(L1436,[1]Produtos!$B:$B,0)), "-")</f>
        <v>-</v>
      </c>
      <c r="S1436" s="483" t="str">
        <f>IFERROR(INDEX([1]Produtos!$J:$J,MATCH(L1436,[1]Produtos!$B:$B,0)), "-")</f>
        <v>-</v>
      </c>
      <c r="T1436" s="484"/>
      <c r="U1436" s="483"/>
      <c r="V1436" s="483"/>
      <c r="W1436" s="483"/>
      <c r="X1436" s="483"/>
      <c r="Y1436" s="483"/>
      <c r="Z1436" s="483"/>
      <c r="AA1436" s="483"/>
      <c r="AB1436" s="483"/>
      <c r="AC1436" s="483"/>
      <c r="AD1436" s="483"/>
      <c r="AE1436" s="483"/>
      <c r="AF1436" s="483"/>
      <c r="AG1436" s="483"/>
      <c r="AH1436" s="483"/>
      <c r="AI1436" s="483"/>
      <c r="AJ1436" s="483"/>
      <c r="AK1436" s="483"/>
      <c r="AL1436" s="483"/>
      <c r="AM1436" s="670"/>
      <c r="AN1436" s="670"/>
      <c r="AO1436" s="711" t="str">
        <f>IF(OR(Table1[[#This Row],[Início Setup Envase]]="",Table1[[#This Row],[Final Setup Envase]]=""),"",Table1[[#This Row],[Final Setup Envase]]-Table1[[#This Row],[Início Setup Envase]])</f>
        <v/>
      </c>
      <c r="AP1436" s="670"/>
      <c r="AQ1436" s="670"/>
      <c r="AR1436" s="483"/>
      <c r="AS1436" s="483"/>
      <c r="AT1436" s="483"/>
      <c r="AU1436" s="483"/>
      <c r="AV1436" s="483"/>
      <c r="AW1436" s="483"/>
      <c r="AX1436" s="483"/>
      <c r="AY1436" s="270"/>
      <c r="AZ1436" s="270"/>
      <c r="BA1436" s="270" t="str">
        <f>IF(Table1[[#This Row],[Data de Início]]="","",YEAR(Table1[[#This Row],[Data de Início]]))</f>
        <v/>
      </c>
      <c r="BB1436" s="270" t="str">
        <f>IF(Table1[[#This Row],[Data de Início]]="","",MONTH(Table1[[#This Row],[Data de Início]]))</f>
        <v/>
      </c>
      <c r="BC1436" s="270"/>
    </row>
    <row r="1437" spans="2:55" x14ac:dyDescent="0.25">
      <c r="B1437" s="470"/>
      <c r="C1437" s="263"/>
      <c r="D1437" s="477" cm="1">
        <f t="array" ref="D1437">IFERROR(HorasUteisFabrica2Turnos(B1437,C1437), "")</f>
        <v>0</v>
      </c>
      <c r="E1437" s="697" t="str">
        <f t="shared" si="22"/>
        <v/>
      </c>
      <c r="F1437" s="266"/>
      <c r="G1437" s="698"/>
      <c r="H1437" s="266"/>
      <c r="I1437" s="268"/>
      <c r="J1437" s="268"/>
      <c r="K1437" s="268"/>
      <c r="L1437" s="269"/>
      <c r="M1437" s="510" t="str">
        <f>IFERROR(INDEX([1]Produtos!$C:$C,MATCH(L1437,[1]Produtos!$B:$B,0)), "-")</f>
        <v>-</v>
      </c>
      <c r="N1437" s="510" t="str">
        <f>IFERROR(INDEX([1]Produtos!$E:$E,MATCH(L1437,[1]Produtos!$B:$B,0)), "-")</f>
        <v>-</v>
      </c>
      <c r="O1437" s="270" t="str">
        <f>IFERROR(INDEX([1]Produtos!$F:$F,MATCH(L1437,[1]Produtos!$B:$B,0)), "-")</f>
        <v>-</v>
      </c>
      <c r="P1437" s="264" t="str">
        <f>IFERROR(INDEX([1]Produtos!$G:$G,MATCH(L1437,[1]Produtos!$B:$B,0)), "-")</f>
        <v>-</v>
      </c>
      <c r="Q1437" s="270" t="str">
        <f>IFERROR(INDEX([1]Produtos!$H:$H,MATCH(L1437,[1]Produtos!$B:$B,0)), "-")</f>
        <v>-</v>
      </c>
      <c r="R1437" s="270" t="str">
        <f>IFERROR(INDEX([1]Produtos!$I:$I,MATCH(L1437,[1]Produtos!$B:$B,0)), "-")</f>
        <v>-</v>
      </c>
      <c r="S1437" s="270" t="str">
        <f>IFERROR(INDEX([1]Produtos!$J:$J,MATCH(L1437,[1]Produtos!$B:$B,0)), "-")</f>
        <v>-</v>
      </c>
      <c r="T1437" s="475"/>
      <c r="U1437" s="270"/>
      <c r="V1437" s="270"/>
      <c r="W1437" s="270"/>
      <c r="X1437" s="270"/>
      <c r="Y1437" s="270"/>
      <c r="Z1437" s="270"/>
      <c r="AA1437" s="270"/>
      <c r="AB1437" s="270"/>
      <c r="AC1437" s="270"/>
      <c r="AD1437" s="270"/>
      <c r="AE1437" s="270"/>
      <c r="AF1437" s="270"/>
      <c r="AG1437" s="270"/>
      <c r="AH1437" s="270"/>
      <c r="AI1437" s="270"/>
      <c r="AJ1437" s="270"/>
      <c r="AK1437" s="270"/>
      <c r="AL1437" s="270"/>
      <c r="AM1437" s="663"/>
      <c r="AN1437" s="663"/>
      <c r="AO1437" s="708" t="str">
        <f>IF(OR(Table1[[#This Row],[Início Setup Envase]]="",Table1[[#This Row],[Final Setup Envase]]=""),"",Table1[[#This Row],[Final Setup Envase]]-Table1[[#This Row],[Início Setup Envase]])</f>
        <v/>
      </c>
      <c r="AP1437" s="663"/>
      <c r="AQ1437" s="663"/>
      <c r="AR1437" s="270"/>
      <c r="AS1437" s="674"/>
      <c r="AT1437" s="674"/>
      <c r="AU1437" s="270"/>
      <c r="AV1437" s="270"/>
      <c r="AW1437" s="270"/>
      <c r="AX1437" s="270"/>
      <c r="AY1437" s="270"/>
      <c r="AZ1437" s="270"/>
      <c r="BA1437" s="270" t="str">
        <f>IF(Table1[[#This Row],[Data de Início]]="","",YEAR(Table1[[#This Row],[Data de Início]]))</f>
        <v/>
      </c>
      <c r="BB1437" s="270" t="str">
        <f>IF(Table1[[#This Row],[Data de Início]]="","",MONTH(Table1[[#This Row],[Data de Início]]))</f>
        <v/>
      </c>
      <c r="BC1437" s="483"/>
    </row>
    <row r="1438" spans="2:55" x14ac:dyDescent="0.25">
      <c r="B1438" s="470"/>
      <c r="C1438" s="263"/>
      <c r="D1438" s="477" cm="1">
        <f t="array" ref="D1438">IFERROR(HorasUteisFabrica2Turnos(B1438,C1438), "")</f>
        <v>0</v>
      </c>
      <c r="E1438" s="478" t="str">
        <f t="shared" si="22"/>
        <v/>
      </c>
      <c r="F1438" s="266"/>
      <c r="G1438" s="656"/>
      <c r="H1438" s="479"/>
      <c r="I1438" s="268"/>
      <c r="J1438" s="268"/>
      <c r="K1438" s="268"/>
      <c r="L1438" s="269"/>
      <c r="M1438" s="511" t="str">
        <f>IFERROR(INDEX([1]Produtos!$C:$C,MATCH(L1438,[1]Produtos!$B:$B,0)), "-")</f>
        <v>-</v>
      </c>
      <c r="N1438" s="511" t="str">
        <f>IFERROR(INDEX([1]Produtos!$E:$E,MATCH(L1438,[1]Produtos!$B:$B,0)), "-")</f>
        <v>-</v>
      </c>
      <c r="O1438" s="483" t="str">
        <f>IFERROR(INDEX([1]Produtos!$F:$F,MATCH(L1438,[1]Produtos!$B:$B,0)), "-")</f>
        <v>-</v>
      </c>
      <c r="P1438" s="477" t="str">
        <f>IFERROR(INDEX([1]Produtos!$G:$G,MATCH(L1438,[1]Produtos!$B:$B,0)), "-")</f>
        <v>-</v>
      </c>
      <c r="Q1438" s="483" t="str">
        <f>IFERROR(INDEX([1]Produtos!$H:$H,MATCH(L1438,[1]Produtos!$B:$B,0)), "-")</f>
        <v>-</v>
      </c>
      <c r="R1438" s="483" t="str">
        <f>IFERROR(INDEX([1]Produtos!$I:$I,MATCH(L1438,[1]Produtos!$B:$B,0)), "-")</f>
        <v>-</v>
      </c>
      <c r="S1438" s="483" t="str">
        <f>IFERROR(INDEX([1]Produtos!$J:$J,MATCH(L1438,[1]Produtos!$B:$B,0)), "-")</f>
        <v>-</v>
      </c>
      <c r="T1438" s="484"/>
      <c r="U1438" s="483"/>
      <c r="V1438" s="483"/>
      <c r="W1438" s="483"/>
      <c r="X1438" s="483"/>
      <c r="Y1438" s="483"/>
      <c r="Z1438" s="483"/>
      <c r="AA1438" s="483"/>
      <c r="AB1438" s="483"/>
      <c r="AC1438" s="483"/>
      <c r="AD1438" s="483"/>
      <c r="AE1438" s="483"/>
      <c r="AF1438" s="483"/>
      <c r="AG1438" s="483"/>
      <c r="AH1438" s="483"/>
      <c r="AI1438" s="483"/>
      <c r="AJ1438" s="483"/>
      <c r="AK1438" s="483"/>
      <c r="AL1438" s="483"/>
      <c r="AM1438" s="670"/>
      <c r="AN1438" s="670"/>
      <c r="AO1438" s="711" t="str">
        <f>IF(OR(Table1[[#This Row],[Início Setup Envase]]="",Table1[[#This Row],[Final Setup Envase]]=""),"",Table1[[#This Row],[Final Setup Envase]]-Table1[[#This Row],[Início Setup Envase]])</f>
        <v/>
      </c>
      <c r="AP1438" s="670"/>
      <c r="AQ1438" s="670"/>
      <c r="AR1438" s="483"/>
      <c r="AS1438" s="483"/>
      <c r="AT1438" s="483"/>
      <c r="AU1438" s="483"/>
      <c r="AV1438" s="483"/>
      <c r="AW1438" s="483"/>
      <c r="AX1438" s="483"/>
      <c r="AY1438" s="270"/>
      <c r="AZ1438" s="270"/>
      <c r="BA1438" s="270" t="str">
        <f>IF(Table1[[#This Row],[Data de Início]]="","",YEAR(Table1[[#This Row],[Data de Início]]))</f>
        <v/>
      </c>
      <c r="BB1438" s="270" t="str">
        <f>IF(Table1[[#This Row],[Data de Início]]="","",MONTH(Table1[[#This Row],[Data de Início]]))</f>
        <v/>
      </c>
      <c r="BC1438" s="270"/>
    </row>
    <row r="1439" spans="2:55" x14ac:dyDescent="0.25">
      <c r="B1439" s="470"/>
      <c r="C1439" s="263"/>
      <c r="D1439" s="477" cm="1">
        <f t="array" ref="D1439">IFERROR(HorasUteisFabrica2Turnos(B1439,C1439), "")</f>
        <v>0</v>
      </c>
      <c r="E1439" s="697" t="str">
        <f t="shared" si="22"/>
        <v/>
      </c>
      <c r="F1439" s="266"/>
      <c r="G1439" s="698"/>
      <c r="H1439" s="266"/>
      <c r="I1439" s="268"/>
      <c r="J1439" s="268"/>
      <c r="K1439" s="268"/>
      <c r="L1439" s="269"/>
      <c r="M1439" s="510" t="str">
        <f>IFERROR(INDEX([1]Produtos!$C:$C,MATCH(L1439,[1]Produtos!$B:$B,0)), "-")</f>
        <v>-</v>
      </c>
      <c r="N1439" s="510" t="str">
        <f>IFERROR(INDEX([1]Produtos!$E:$E,MATCH(L1439,[1]Produtos!$B:$B,0)), "-")</f>
        <v>-</v>
      </c>
      <c r="O1439" s="270" t="str">
        <f>IFERROR(INDEX([1]Produtos!$F:$F,MATCH(L1439,[1]Produtos!$B:$B,0)), "-")</f>
        <v>-</v>
      </c>
      <c r="P1439" s="264" t="str">
        <f>IFERROR(INDEX([1]Produtos!$G:$G,MATCH(L1439,[1]Produtos!$B:$B,0)), "-")</f>
        <v>-</v>
      </c>
      <c r="Q1439" s="270" t="str">
        <f>IFERROR(INDEX([1]Produtos!$H:$H,MATCH(L1439,[1]Produtos!$B:$B,0)), "-")</f>
        <v>-</v>
      </c>
      <c r="R1439" s="270" t="str">
        <f>IFERROR(INDEX([1]Produtos!$I:$I,MATCH(L1439,[1]Produtos!$B:$B,0)), "-")</f>
        <v>-</v>
      </c>
      <c r="S1439" s="270" t="str">
        <f>IFERROR(INDEX([1]Produtos!$J:$J,MATCH(L1439,[1]Produtos!$B:$B,0)), "-")</f>
        <v>-</v>
      </c>
      <c r="T1439" s="475"/>
      <c r="U1439" s="270"/>
      <c r="V1439" s="270"/>
      <c r="W1439" s="270"/>
      <c r="X1439" s="270"/>
      <c r="Y1439" s="270"/>
      <c r="Z1439" s="270"/>
      <c r="AA1439" s="270"/>
      <c r="AB1439" s="270"/>
      <c r="AC1439" s="270"/>
      <c r="AD1439" s="270"/>
      <c r="AE1439" s="270"/>
      <c r="AF1439" s="270"/>
      <c r="AG1439" s="270"/>
      <c r="AH1439" s="270"/>
      <c r="AI1439" s="270"/>
      <c r="AJ1439" s="270"/>
      <c r="AK1439" s="270"/>
      <c r="AL1439" s="270"/>
      <c r="AM1439" s="663"/>
      <c r="AN1439" s="663"/>
      <c r="AO1439" s="708" t="str">
        <f>IF(OR(Table1[[#This Row],[Início Setup Envase]]="",Table1[[#This Row],[Final Setup Envase]]=""),"",Table1[[#This Row],[Final Setup Envase]]-Table1[[#This Row],[Início Setup Envase]])</f>
        <v/>
      </c>
      <c r="AP1439" s="663"/>
      <c r="AQ1439" s="663"/>
      <c r="AR1439" s="270"/>
      <c r="AS1439" s="674"/>
      <c r="AT1439" s="674"/>
      <c r="AU1439" s="270"/>
      <c r="AV1439" s="270"/>
      <c r="AW1439" s="270"/>
      <c r="AX1439" s="270"/>
      <c r="AY1439" s="270"/>
      <c r="AZ1439" s="270"/>
      <c r="BA1439" s="270" t="str">
        <f>IF(Table1[[#This Row],[Data de Início]]="","",YEAR(Table1[[#This Row],[Data de Início]]))</f>
        <v/>
      </c>
      <c r="BB1439" s="270" t="str">
        <f>IF(Table1[[#This Row],[Data de Início]]="","",MONTH(Table1[[#This Row],[Data de Início]]))</f>
        <v/>
      </c>
      <c r="BC1439" s="483"/>
    </row>
    <row r="1440" spans="2:55" x14ac:dyDescent="0.25">
      <c r="B1440" s="470"/>
      <c r="C1440" s="263"/>
      <c r="D1440" s="477" cm="1">
        <f t="array" ref="D1440">IFERROR(HorasUteisFabrica2Turnos(B1440,C1440), "")</f>
        <v>0</v>
      </c>
      <c r="E1440" s="478" t="str">
        <f t="shared" si="22"/>
        <v/>
      </c>
      <c r="F1440" s="266"/>
      <c r="G1440" s="656"/>
      <c r="H1440" s="479"/>
      <c r="I1440" s="268"/>
      <c r="J1440" s="268"/>
      <c r="K1440" s="268"/>
      <c r="L1440" s="269"/>
      <c r="M1440" s="511" t="str">
        <f>IFERROR(INDEX([1]Produtos!$C:$C,MATCH(L1440,[1]Produtos!$B:$B,0)), "-")</f>
        <v>-</v>
      </c>
      <c r="N1440" s="511" t="str">
        <f>IFERROR(INDEX([1]Produtos!$E:$E,MATCH(L1440,[1]Produtos!$B:$B,0)), "-")</f>
        <v>-</v>
      </c>
      <c r="O1440" s="483" t="str">
        <f>IFERROR(INDEX([1]Produtos!$F:$F,MATCH(L1440,[1]Produtos!$B:$B,0)), "-")</f>
        <v>-</v>
      </c>
      <c r="P1440" s="477" t="str">
        <f>IFERROR(INDEX([1]Produtos!$G:$G,MATCH(L1440,[1]Produtos!$B:$B,0)), "-")</f>
        <v>-</v>
      </c>
      <c r="Q1440" s="483" t="str">
        <f>IFERROR(INDEX([1]Produtos!$H:$H,MATCH(L1440,[1]Produtos!$B:$B,0)), "-")</f>
        <v>-</v>
      </c>
      <c r="R1440" s="483" t="str">
        <f>IFERROR(INDEX([1]Produtos!$I:$I,MATCH(L1440,[1]Produtos!$B:$B,0)), "-")</f>
        <v>-</v>
      </c>
      <c r="S1440" s="483" t="str">
        <f>IFERROR(INDEX([1]Produtos!$J:$J,MATCH(L1440,[1]Produtos!$B:$B,0)), "-")</f>
        <v>-</v>
      </c>
      <c r="T1440" s="484"/>
      <c r="U1440" s="483"/>
      <c r="V1440" s="483"/>
      <c r="W1440" s="483"/>
      <c r="X1440" s="483"/>
      <c r="Y1440" s="483"/>
      <c r="Z1440" s="483"/>
      <c r="AA1440" s="483"/>
      <c r="AB1440" s="483"/>
      <c r="AC1440" s="483"/>
      <c r="AD1440" s="483"/>
      <c r="AE1440" s="483"/>
      <c r="AF1440" s="483"/>
      <c r="AG1440" s="483"/>
      <c r="AH1440" s="483"/>
      <c r="AI1440" s="483"/>
      <c r="AJ1440" s="483"/>
      <c r="AK1440" s="483"/>
      <c r="AL1440" s="483"/>
      <c r="AM1440" s="670"/>
      <c r="AN1440" s="670"/>
      <c r="AO1440" s="711" t="str">
        <f>IF(OR(Table1[[#This Row],[Início Setup Envase]]="",Table1[[#This Row],[Final Setup Envase]]=""),"",Table1[[#This Row],[Final Setup Envase]]-Table1[[#This Row],[Início Setup Envase]])</f>
        <v/>
      </c>
      <c r="AP1440" s="670"/>
      <c r="AQ1440" s="670"/>
      <c r="AR1440" s="483"/>
      <c r="AS1440" s="483"/>
      <c r="AT1440" s="483"/>
      <c r="AU1440" s="483"/>
      <c r="AV1440" s="483"/>
      <c r="AW1440" s="483"/>
      <c r="AX1440" s="483"/>
      <c r="AY1440" s="270"/>
      <c r="AZ1440" s="270"/>
      <c r="BA1440" s="270" t="str">
        <f>IF(Table1[[#This Row],[Data de Início]]="","",YEAR(Table1[[#This Row],[Data de Início]]))</f>
        <v/>
      </c>
      <c r="BB1440" s="270" t="str">
        <f>IF(Table1[[#This Row],[Data de Início]]="","",MONTH(Table1[[#This Row],[Data de Início]]))</f>
        <v/>
      </c>
      <c r="BC1440" s="270"/>
    </row>
    <row r="1441" spans="2:55" x14ac:dyDescent="0.25">
      <c r="B1441" s="470"/>
      <c r="C1441" s="263"/>
      <c r="D1441" s="477" cm="1">
        <f t="array" ref="D1441">IFERROR(HorasUteisFabrica2Turnos(B1441,C1441), "")</f>
        <v>0</v>
      </c>
      <c r="E1441" s="697" t="str">
        <f t="shared" si="22"/>
        <v/>
      </c>
      <c r="F1441" s="266"/>
      <c r="G1441" s="698"/>
      <c r="H1441" s="266"/>
      <c r="I1441" s="268"/>
      <c r="J1441" s="268"/>
      <c r="K1441" s="268"/>
      <c r="L1441" s="269"/>
      <c r="M1441" s="510" t="str">
        <f>IFERROR(INDEX([1]Produtos!$C:$C,MATCH(L1441,[1]Produtos!$B:$B,0)), "-")</f>
        <v>-</v>
      </c>
      <c r="N1441" s="510" t="str">
        <f>IFERROR(INDEX([1]Produtos!$E:$E,MATCH(L1441,[1]Produtos!$B:$B,0)), "-")</f>
        <v>-</v>
      </c>
      <c r="O1441" s="270" t="str">
        <f>IFERROR(INDEX([1]Produtos!$F:$F,MATCH(L1441,[1]Produtos!$B:$B,0)), "-")</f>
        <v>-</v>
      </c>
      <c r="P1441" s="264" t="str">
        <f>IFERROR(INDEX([1]Produtos!$G:$G,MATCH(L1441,[1]Produtos!$B:$B,0)), "-")</f>
        <v>-</v>
      </c>
      <c r="Q1441" s="270" t="str">
        <f>IFERROR(INDEX([1]Produtos!$H:$H,MATCH(L1441,[1]Produtos!$B:$B,0)), "-")</f>
        <v>-</v>
      </c>
      <c r="R1441" s="270" t="str">
        <f>IFERROR(INDEX([1]Produtos!$I:$I,MATCH(L1441,[1]Produtos!$B:$B,0)), "-")</f>
        <v>-</v>
      </c>
      <c r="S1441" s="270" t="str">
        <f>IFERROR(INDEX([1]Produtos!$J:$J,MATCH(L1441,[1]Produtos!$B:$B,0)), "-")</f>
        <v>-</v>
      </c>
      <c r="T1441" s="475"/>
      <c r="U1441" s="270"/>
      <c r="V1441" s="270"/>
      <c r="W1441" s="270"/>
      <c r="X1441" s="270"/>
      <c r="Y1441" s="270"/>
      <c r="Z1441" s="270"/>
      <c r="AA1441" s="270"/>
      <c r="AB1441" s="270"/>
      <c r="AC1441" s="270"/>
      <c r="AD1441" s="270"/>
      <c r="AE1441" s="270"/>
      <c r="AF1441" s="270"/>
      <c r="AG1441" s="270"/>
      <c r="AH1441" s="270"/>
      <c r="AI1441" s="270"/>
      <c r="AJ1441" s="270"/>
      <c r="AK1441" s="270"/>
      <c r="AL1441" s="270"/>
      <c r="AM1441" s="663"/>
      <c r="AN1441" s="663"/>
      <c r="AO1441" s="708" t="str">
        <f>IF(OR(Table1[[#This Row],[Início Setup Envase]]="",Table1[[#This Row],[Final Setup Envase]]=""),"",Table1[[#This Row],[Final Setup Envase]]-Table1[[#This Row],[Início Setup Envase]])</f>
        <v/>
      </c>
      <c r="AP1441" s="663"/>
      <c r="AQ1441" s="663"/>
      <c r="AR1441" s="270"/>
      <c r="AS1441" s="674"/>
      <c r="AT1441" s="674"/>
      <c r="AU1441" s="270"/>
      <c r="AV1441" s="270"/>
      <c r="AW1441" s="270"/>
      <c r="AX1441" s="270"/>
      <c r="AY1441" s="270"/>
      <c r="AZ1441" s="270"/>
      <c r="BA1441" s="270" t="str">
        <f>IF(Table1[[#This Row],[Data de Início]]="","",YEAR(Table1[[#This Row],[Data de Início]]))</f>
        <v/>
      </c>
      <c r="BB1441" s="270" t="str">
        <f>IF(Table1[[#This Row],[Data de Início]]="","",MONTH(Table1[[#This Row],[Data de Início]]))</f>
        <v/>
      </c>
      <c r="BC1441" s="483"/>
    </row>
    <row r="1442" spans="2:55" x14ac:dyDescent="0.25">
      <c r="B1442" s="470"/>
      <c r="C1442" s="263"/>
      <c r="D1442" s="477" cm="1">
        <f t="array" ref="D1442">IFERROR(HorasUteisFabrica2Turnos(B1442,C1442), "")</f>
        <v>0</v>
      </c>
      <c r="E1442" s="478" t="str">
        <f t="shared" si="22"/>
        <v/>
      </c>
      <c r="F1442" s="266"/>
      <c r="G1442" s="656"/>
      <c r="H1442" s="479"/>
      <c r="I1442" s="268"/>
      <c r="J1442" s="268"/>
      <c r="K1442" s="268"/>
      <c r="L1442" s="269"/>
      <c r="M1442" s="511" t="str">
        <f>IFERROR(INDEX([1]Produtos!$C:$C,MATCH(L1442,[1]Produtos!$B:$B,0)), "-")</f>
        <v>-</v>
      </c>
      <c r="N1442" s="511" t="str">
        <f>IFERROR(INDEX([1]Produtos!$E:$E,MATCH(L1442,[1]Produtos!$B:$B,0)), "-")</f>
        <v>-</v>
      </c>
      <c r="O1442" s="483" t="str">
        <f>IFERROR(INDEX([1]Produtos!$F:$F,MATCH(L1442,[1]Produtos!$B:$B,0)), "-")</f>
        <v>-</v>
      </c>
      <c r="P1442" s="477" t="str">
        <f>IFERROR(INDEX([1]Produtos!$G:$G,MATCH(L1442,[1]Produtos!$B:$B,0)), "-")</f>
        <v>-</v>
      </c>
      <c r="Q1442" s="483" t="str">
        <f>IFERROR(INDEX([1]Produtos!$H:$H,MATCH(L1442,[1]Produtos!$B:$B,0)), "-")</f>
        <v>-</v>
      </c>
      <c r="R1442" s="483" t="str">
        <f>IFERROR(INDEX([1]Produtos!$I:$I,MATCH(L1442,[1]Produtos!$B:$B,0)), "-")</f>
        <v>-</v>
      </c>
      <c r="S1442" s="483" t="str">
        <f>IFERROR(INDEX([1]Produtos!$J:$J,MATCH(L1442,[1]Produtos!$B:$B,0)), "-")</f>
        <v>-</v>
      </c>
      <c r="T1442" s="484"/>
      <c r="U1442" s="483"/>
      <c r="V1442" s="483"/>
      <c r="W1442" s="483"/>
      <c r="X1442" s="483"/>
      <c r="Y1442" s="483"/>
      <c r="Z1442" s="483"/>
      <c r="AA1442" s="483"/>
      <c r="AB1442" s="483"/>
      <c r="AC1442" s="483"/>
      <c r="AD1442" s="483"/>
      <c r="AE1442" s="483"/>
      <c r="AF1442" s="483"/>
      <c r="AG1442" s="483"/>
      <c r="AH1442" s="483"/>
      <c r="AI1442" s="483"/>
      <c r="AJ1442" s="483"/>
      <c r="AK1442" s="483"/>
      <c r="AL1442" s="483"/>
      <c r="AM1442" s="670"/>
      <c r="AN1442" s="670"/>
      <c r="AO1442" s="711" t="str">
        <f>IF(OR(Table1[[#This Row],[Início Setup Envase]]="",Table1[[#This Row],[Final Setup Envase]]=""),"",Table1[[#This Row],[Final Setup Envase]]-Table1[[#This Row],[Início Setup Envase]])</f>
        <v/>
      </c>
      <c r="AP1442" s="670"/>
      <c r="AQ1442" s="670"/>
      <c r="AR1442" s="483"/>
      <c r="AS1442" s="483"/>
      <c r="AT1442" s="483"/>
      <c r="AU1442" s="483"/>
      <c r="AV1442" s="483"/>
      <c r="AW1442" s="483"/>
      <c r="AX1442" s="483"/>
      <c r="AY1442" s="270"/>
      <c r="AZ1442" s="270"/>
      <c r="BA1442" s="270" t="str">
        <f>IF(Table1[[#This Row],[Data de Início]]="","",YEAR(Table1[[#This Row],[Data de Início]]))</f>
        <v/>
      </c>
      <c r="BB1442" s="270" t="str">
        <f>IF(Table1[[#This Row],[Data de Início]]="","",MONTH(Table1[[#This Row],[Data de Início]]))</f>
        <v/>
      </c>
      <c r="BC1442" s="270"/>
    </row>
    <row r="1443" spans="2:55" x14ac:dyDescent="0.25">
      <c r="B1443" s="470"/>
      <c r="C1443" s="263"/>
      <c r="D1443" s="477" cm="1">
        <f t="array" ref="D1443">IFERROR(HorasUteisFabrica2Turnos(B1443,C1443), "")</f>
        <v>0</v>
      </c>
      <c r="E1443" s="697" t="str">
        <f t="shared" si="22"/>
        <v/>
      </c>
      <c r="F1443" s="266"/>
      <c r="G1443" s="698"/>
      <c r="H1443" s="266"/>
      <c r="I1443" s="268"/>
      <c r="J1443" s="268"/>
      <c r="K1443" s="268"/>
      <c r="L1443" s="269"/>
      <c r="M1443" s="510" t="str">
        <f>IFERROR(INDEX([1]Produtos!$C:$C,MATCH(L1443,[1]Produtos!$B:$B,0)), "-")</f>
        <v>-</v>
      </c>
      <c r="N1443" s="510" t="str">
        <f>IFERROR(INDEX([1]Produtos!$E:$E,MATCH(L1443,[1]Produtos!$B:$B,0)), "-")</f>
        <v>-</v>
      </c>
      <c r="O1443" s="270" t="str">
        <f>IFERROR(INDEX([1]Produtos!$F:$F,MATCH(L1443,[1]Produtos!$B:$B,0)), "-")</f>
        <v>-</v>
      </c>
      <c r="P1443" s="264" t="str">
        <f>IFERROR(INDEX([1]Produtos!$G:$G,MATCH(L1443,[1]Produtos!$B:$B,0)), "-")</f>
        <v>-</v>
      </c>
      <c r="Q1443" s="270" t="str">
        <f>IFERROR(INDEX([1]Produtos!$H:$H,MATCH(L1443,[1]Produtos!$B:$B,0)), "-")</f>
        <v>-</v>
      </c>
      <c r="R1443" s="270" t="str">
        <f>IFERROR(INDEX([1]Produtos!$I:$I,MATCH(L1443,[1]Produtos!$B:$B,0)), "-")</f>
        <v>-</v>
      </c>
      <c r="S1443" s="270" t="str">
        <f>IFERROR(INDEX([1]Produtos!$J:$J,MATCH(L1443,[1]Produtos!$B:$B,0)), "-")</f>
        <v>-</v>
      </c>
      <c r="T1443" s="475"/>
      <c r="U1443" s="270"/>
      <c r="V1443" s="270"/>
      <c r="W1443" s="270"/>
      <c r="X1443" s="270"/>
      <c r="Y1443" s="270"/>
      <c r="Z1443" s="270"/>
      <c r="AA1443" s="270"/>
      <c r="AB1443" s="270"/>
      <c r="AC1443" s="270"/>
      <c r="AD1443" s="270"/>
      <c r="AE1443" s="270"/>
      <c r="AF1443" s="270"/>
      <c r="AG1443" s="270"/>
      <c r="AH1443" s="270"/>
      <c r="AI1443" s="270"/>
      <c r="AJ1443" s="270"/>
      <c r="AK1443" s="270"/>
      <c r="AL1443" s="270"/>
      <c r="AM1443" s="663"/>
      <c r="AN1443" s="663"/>
      <c r="AO1443" s="708" t="str">
        <f>IF(OR(Table1[[#This Row],[Início Setup Envase]]="",Table1[[#This Row],[Final Setup Envase]]=""),"",Table1[[#This Row],[Final Setup Envase]]-Table1[[#This Row],[Início Setup Envase]])</f>
        <v/>
      </c>
      <c r="AP1443" s="663"/>
      <c r="AQ1443" s="663"/>
      <c r="AR1443" s="270"/>
      <c r="AS1443" s="674"/>
      <c r="AT1443" s="674"/>
      <c r="AU1443" s="270"/>
      <c r="AV1443" s="270"/>
      <c r="AW1443" s="270"/>
      <c r="AX1443" s="270"/>
      <c r="AY1443" s="270"/>
      <c r="AZ1443" s="270"/>
      <c r="BA1443" s="270" t="str">
        <f>IF(Table1[[#This Row],[Data de Início]]="","",YEAR(Table1[[#This Row],[Data de Início]]))</f>
        <v/>
      </c>
      <c r="BB1443" s="270" t="str">
        <f>IF(Table1[[#This Row],[Data de Início]]="","",MONTH(Table1[[#This Row],[Data de Início]]))</f>
        <v/>
      </c>
      <c r="BC1443" s="483"/>
    </row>
    <row r="1444" spans="2:55" x14ac:dyDescent="0.25">
      <c r="B1444" s="470"/>
      <c r="C1444" s="263"/>
      <c r="D1444" s="477" cm="1">
        <f t="array" ref="D1444">IFERROR(HorasUteisFabrica2Turnos(B1444,C1444), "")</f>
        <v>0</v>
      </c>
      <c r="E1444" s="478" t="str">
        <f t="shared" si="22"/>
        <v/>
      </c>
      <c r="F1444" s="266"/>
      <c r="G1444" s="656"/>
      <c r="H1444" s="479"/>
      <c r="I1444" s="268"/>
      <c r="J1444" s="268"/>
      <c r="K1444" s="268"/>
      <c r="L1444" s="269"/>
      <c r="M1444" s="511" t="str">
        <f>IFERROR(INDEX([1]Produtos!$C:$C,MATCH(L1444,[1]Produtos!$B:$B,0)), "-")</f>
        <v>-</v>
      </c>
      <c r="N1444" s="511" t="str">
        <f>IFERROR(INDEX([1]Produtos!$E:$E,MATCH(L1444,[1]Produtos!$B:$B,0)), "-")</f>
        <v>-</v>
      </c>
      <c r="O1444" s="483" t="str">
        <f>IFERROR(INDEX([1]Produtos!$F:$F,MATCH(L1444,[1]Produtos!$B:$B,0)), "-")</f>
        <v>-</v>
      </c>
      <c r="P1444" s="477" t="str">
        <f>IFERROR(INDEX([1]Produtos!$G:$G,MATCH(L1444,[1]Produtos!$B:$B,0)), "-")</f>
        <v>-</v>
      </c>
      <c r="Q1444" s="483" t="str">
        <f>IFERROR(INDEX([1]Produtos!$H:$H,MATCH(L1444,[1]Produtos!$B:$B,0)), "-")</f>
        <v>-</v>
      </c>
      <c r="R1444" s="483" t="str">
        <f>IFERROR(INDEX([1]Produtos!$I:$I,MATCH(L1444,[1]Produtos!$B:$B,0)), "-")</f>
        <v>-</v>
      </c>
      <c r="S1444" s="483" t="str">
        <f>IFERROR(INDEX([1]Produtos!$J:$J,MATCH(L1444,[1]Produtos!$B:$B,0)), "-")</f>
        <v>-</v>
      </c>
      <c r="T1444" s="484"/>
      <c r="U1444" s="483"/>
      <c r="V1444" s="483"/>
      <c r="W1444" s="483"/>
      <c r="X1444" s="483"/>
      <c r="Y1444" s="483"/>
      <c r="Z1444" s="483"/>
      <c r="AA1444" s="483"/>
      <c r="AB1444" s="483"/>
      <c r="AC1444" s="483"/>
      <c r="AD1444" s="483"/>
      <c r="AE1444" s="483"/>
      <c r="AF1444" s="483"/>
      <c r="AG1444" s="483"/>
      <c r="AH1444" s="483"/>
      <c r="AI1444" s="483"/>
      <c r="AJ1444" s="483"/>
      <c r="AK1444" s="483"/>
      <c r="AL1444" s="483"/>
      <c r="AM1444" s="670"/>
      <c r="AN1444" s="670"/>
      <c r="AO1444" s="711" t="str">
        <f>IF(OR(Table1[[#This Row],[Início Setup Envase]]="",Table1[[#This Row],[Final Setup Envase]]=""),"",Table1[[#This Row],[Final Setup Envase]]-Table1[[#This Row],[Início Setup Envase]])</f>
        <v/>
      </c>
      <c r="AP1444" s="670"/>
      <c r="AQ1444" s="670"/>
      <c r="AR1444" s="483"/>
      <c r="AS1444" s="483"/>
      <c r="AT1444" s="483"/>
      <c r="AU1444" s="483"/>
      <c r="AV1444" s="483"/>
      <c r="AW1444" s="483"/>
      <c r="AX1444" s="483"/>
      <c r="AY1444" s="270"/>
      <c r="AZ1444" s="270"/>
      <c r="BA1444" s="270" t="str">
        <f>IF(Table1[[#This Row],[Data de Início]]="","",YEAR(Table1[[#This Row],[Data de Início]]))</f>
        <v/>
      </c>
      <c r="BB1444" s="270" t="str">
        <f>IF(Table1[[#This Row],[Data de Início]]="","",MONTH(Table1[[#This Row],[Data de Início]]))</f>
        <v/>
      </c>
      <c r="BC1444" s="270"/>
    </row>
    <row r="1445" spans="2:55" x14ac:dyDescent="0.25">
      <c r="B1445" s="470"/>
      <c r="C1445" s="263"/>
      <c r="D1445" s="477" cm="1">
        <f t="array" ref="D1445">IFERROR(HorasUteisFabrica2Turnos(B1445,C1445), "")</f>
        <v>0</v>
      </c>
      <c r="E1445" s="697" t="str">
        <f t="shared" ref="E1445:E1508" si="23">IFERROR(K1445/D1445, "")</f>
        <v/>
      </c>
      <c r="F1445" s="266"/>
      <c r="G1445" s="698"/>
      <c r="H1445" s="266"/>
      <c r="I1445" s="268"/>
      <c r="J1445" s="268"/>
      <c r="K1445" s="268"/>
      <c r="L1445" s="269"/>
      <c r="M1445" s="510" t="str">
        <f>IFERROR(INDEX([1]Produtos!$C:$C,MATCH(L1445,[1]Produtos!$B:$B,0)), "-")</f>
        <v>-</v>
      </c>
      <c r="N1445" s="510" t="str">
        <f>IFERROR(INDEX([1]Produtos!$E:$E,MATCH(L1445,[1]Produtos!$B:$B,0)), "-")</f>
        <v>-</v>
      </c>
      <c r="O1445" s="270" t="str">
        <f>IFERROR(INDEX([1]Produtos!$F:$F,MATCH(L1445,[1]Produtos!$B:$B,0)), "-")</f>
        <v>-</v>
      </c>
      <c r="P1445" s="264" t="str">
        <f>IFERROR(INDEX([1]Produtos!$G:$G,MATCH(L1445,[1]Produtos!$B:$B,0)), "-")</f>
        <v>-</v>
      </c>
      <c r="Q1445" s="270" t="str">
        <f>IFERROR(INDEX([1]Produtos!$H:$H,MATCH(L1445,[1]Produtos!$B:$B,0)), "-")</f>
        <v>-</v>
      </c>
      <c r="R1445" s="270" t="str">
        <f>IFERROR(INDEX([1]Produtos!$I:$I,MATCH(L1445,[1]Produtos!$B:$B,0)), "-")</f>
        <v>-</v>
      </c>
      <c r="S1445" s="270" t="str">
        <f>IFERROR(INDEX([1]Produtos!$J:$J,MATCH(L1445,[1]Produtos!$B:$B,0)), "-")</f>
        <v>-</v>
      </c>
      <c r="T1445" s="475"/>
      <c r="U1445" s="270"/>
      <c r="V1445" s="270"/>
      <c r="W1445" s="270"/>
      <c r="X1445" s="270"/>
      <c r="Y1445" s="270"/>
      <c r="Z1445" s="270"/>
      <c r="AA1445" s="270"/>
      <c r="AB1445" s="270"/>
      <c r="AC1445" s="270"/>
      <c r="AD1445" s="270"/>
      <c r="AE1445" s="270"/>
      <c r="AF1445" s="270"/>
      <c r="AG1445" s="270"/>
      <c r="AH1445" s="270"/>
      <c r="AI1445" s="270"/>
      <c r="AJ1445" s="270"/>
      <c r="AK1445" s="270"/>
      <c r="AL1445" s="270"/>
      <c r="AM1445" s="663"/>
      <c r="AN1445" s="663"/>
      <c r="AO1445" s="708" t="str">
        <f>IF(OR(Table1[[#This Row],[Início Setup Envase]]="",Table1[[#This Row],[Final Setup Envase]]=""),"",Table1[[#This Row],[Final Setup Envase]]-Table1[[#This Row],[Início Setup Envase]])</f>
        <v/>
      </c>
      <c r="AP1445" s="663"/>
      <c r="AQ1445" s="663"/>
      <c r="AR1445" s="270"/>
      <c r="AS1445" s="674"/>
      <c r="AT1445" s="674"/>
      <c r="AU1445" s="270"/>
      <c r="AV1445" s="270"/>
      <c r="AW1445" s="270"/>
      <c r="AX1445" s="270"/>
      <c r="AY1445" s="270"/>
      <c r="AZ1445" s="270"/>
      <c r="BA1445" s="270" t="str">
        <f>IF(Table1[[#This Row],[Data de Início]]="","",YEAR(Table1[[#This Row],[Data de Início]]))</f>
        <v/>
      </c>
      <c r="BB1445" s="270" t="str">
        <f>IF(Table1[[#This Row],[Data de Início]]="","",MONTH(Table1[[#This Row],[Data de Início]]))</f>
        <v/>
      </c>
      <c r="BC1445" s="483"/>
    </row>
    <row r="1446" spans="2:55" x14ac:dyDescent="0.25">
      <c r="B1446" s="470"/>
      <c r="C1446" s="263"/>
      <c r="D1446" s="477" cm="1">
        <f t="array" ref="D1446">IFERROR(HorasUteisFabrica2Turnos(B1446,C1446), "")</f>
        <v>0</v>
      </c>
      <c r="E1446" s="478" t="str">
        <f t="shared" si="23"/>
        <v/>
      </c>
      <c r="F1446" s="266"/>
      <c r="G1446" s="656"/>
      <c r="H1446" s="479"/>
      <c r="I1446" s="268"/>
      <c r="J1446" s="268"/>
      <c r="K1446" s="268"/>
      <c r="L1446" s="269"/>
      <c r="M1446" s="511" t="str">
        <f>IFERROR(INDEX([1]Produtos!$C:$C,MATCH(L1446,[1]Produtos!$B:$B,0)), "-")</f>
        <v>-</v>
      </c>
      <c r="N1446" s="511" t="str">
        <f>IFERROR(INDEX([1]Produtos!$E:$E,MATCH(L1446,[1]Produtos!$B:$B,0)), "-")</f>
        <v>-</v>
      </c>
      <c r="O1446" s="483" t="str">
        <f>IFERROR(INDEX([1]Produtos!$F:$F,MATCH(L1446,[1]Produtos!$B:$B,0)), "-")</f>
        <v>-</v>
      </c>
      <c r="P1446" s="477" t="str">
        <f>IFERROR(INDEX([1]Produtos!$G:$G,MATCH(L1446,[1]Produtos!$B:$B,0)), "-")</f>
        <v>-</v>
      </c>
      <c r="Q1446" s="483" t="str">
        <f>IFERROR(INDEX([1]Produtos!$H:$H,MATCH(L1446,[1]Produtos!$B:$B,0)), "-")</f>
        <v>-</v>
      </c>
      <c r="R1446" s="483" t="str">
        <f>IFERROR(INDEX([1]Produtos!$I:$I,MATCH(L1446,[1]Produtos!$B:$B,0)), "-")</f>
        <v>-</v>
      </c>
      <c r="S1446" s="483" t="str">
        <f>IFERROR(INDEX([1]Produtos!$J:$J,MATCH(L1446,[1]Produtos!$B:$B,0)), "-")</f>
        <v>-</v>
      </c>
      <c r="T1446" s="484"/>
      <c r="U1446" s="483"/>
      <c r="V1446" s="483"/>
      <c r="W1446" s="483"/>
      <c r="X1446" s="483"/>
      <c r="Y1446" s="483"/>
      <c r="Z1446" s="483"/>
      <c r="AA1446" s="483"/>
      <c r="AB1446" s="483"/>
      <c r="AC1446" s="483"/>
      <c r="AD1446" s="483"/>
      <c r="AE1446" s="483"/>
      <c r="AF1446" s="483"/>
      <c r="AG1446" s="483"/>
      <c r="AH1446" s="483"/>
      <c r="AI1446" s="483"/>
      <c r="AJ1446" s="483"/>
      <c r="AK1446" s="483"/>
      <c r="AL1446" s="483"/>
      <c r="AM1446" s="670"/>
      <c r="AN1446" s="670"/>
      <c r="AO1446" s="711" t="str">
        <f>IF(OR(Table1[[#This Row],[Início Setup Envase]]="",Table1[[#This Row],[Final Setup Envase]]=""),"",Table1[[#This Row],[Final Setup Envase]]-Table1[[#This Row],[Início Setup Envase]])</f>
        <v/>
      </c>
      <c r="AP1446" s="670"/>
      <c r="AQ1446" s="670"/>
      <c r="AR1446" s="483"/>
      <c r="AS1446" s="483"/>
      <c r="AT1446" s="483"/>
      <c r="AU1446" s="483"/>
      <c r="AV1446" s="483"/>
      <c r="AW1446" s="483"/>
      <c r="AX1446" s="483"/>
      <c r="AY1446" s="270"/>
      <c r="AZ1446" s="270"/>
      <c r="BA1446" s="270" t="str">
        <f>IF(Table1[[#This Row],[Data de Início]]="","",YEAR(Table1[[#This Row],[Data de Início]]))</f>
        <v/>
      </c>
      <c r="BB1446" s="270" t="str">
        <f>IF(Table1[[#This Row],[Data de Início]]="","",MONTH(Table1[[#This Row],[Data de Início]]))</f>
        <v/>
      </c>
      <c r="BC1446" s="270"/>
    </row>
    <row r="1447" spans="2:55" x14ac:dyDescent="0.25">
      <c r="B1447" s="470"/>
      <c r="C1447" s="263"/>
      <c r="D1447" s="477" cm="1">
        <f t="array" ref="D1447">IFERROR(HorasUteisFabrica2Turnos(B1447,C1447), "")</f>
        <v>0</v>
      </c>
      <c r="E1447" s="697" t="str">
        <f t="shared" si="23"/>
        <v/>
      </c>
      <c r="F1447" s="266"/>
      <c r="G1447" s="698"/>
      <c r="H1447" s="266"/>
      <c r="I1447" s="268"/>
      <c r="J1447" s="268"/>
      <c r="K1447" s="268"/>
      <c r="L1447" s="269"/>
      <c r="M1447" s="510" t="str">
        <f>IFERROR(INDEX([1]Produtos!$C:$C,MATCH(L1447,[1]Produtos!$B:$B,0)), "-")</f>
        <v>-</v>
      </c>
      <c r="N1447" s="510" t="str">
        <f>IFERROR(INDEX([1]Produtos!$E:$E,MATCH(L1447,[1]Produtos!$B:$B,0)), "-")</f>
        <v>-</v>
      </c>
      <c r="O1447" s="270" t="str">
        <f>IFERROR(INDEX([1]Produtos!$F:$F,MATCH(L1447,[1]Produtos!$B:$B,0)), "-")</f>
        <v>-</v>
      </c>
      <c r="P1447" s="264" t="str">
        <f>IFERROR(INDEX([1]Produtos!$G:$G,MATCH(L1447,[1]Produtos!$B:$B,0)), "-")</f>
        <v>-</v>
      </c>
      <c r="Q1447" s="270" t="str">
        <f>IFERROR(INDEX([1]Produtos!$H:$H,MATCH(L1447,[1]Produtos!$B:$B,0)), "-")</f>
        <v>-</v>
      </c>
      <c r="R1447" s="270" t="str">
        <f>IFERROR(INDEX([1]Produtos!$I:$I,MATCH(L1447,[1]Produtos!$B:$B,0)), "-")</f>
        <v>-</v>
      </c>
      <c r="S1447" s="270" t="str">
        <f>IFERROR(INDEX([1]Produtos!$J:$J,MATCH(L1447,[1]Produtos!$B:$B,0)), "-")</f>
        <v>-</v>
      </c>
      <c r="T1447" s="475"/>
      <c r="U1447" s="270"/>
      <c r="V1447" s="270"/>
      <c r="W1447" s="270"/>
      <c r="X1447" s="270"/>
      <c r="Y1447" s="270"/>
      <c r="Z1447" s="270"/>
      <c r="AA1447" s="270"/>
      <c r="AB1447" s="270"/>
      <c r="AC1447" s="270"/>
      <c r="AD1447" s="270"/>
      <c r="AE1447" s="270"/>
      <c r="AF1447" s="270"/>
      <c r="AG1447" s="270"/>
      <c r="AH1447" s="270"/>
      <c r="AI1447" s="270"/>
      <c r="AJ1447" s="270"/>
      <c r="AK1447" s="270"/>
      <c r="AL1447" s="270"/>
      <c r="AM1447" s="663"/>
      <c r="AN1447" s="663"/>
      <c r="AO1447" s="708" t="str">
        <f>IF(OR(Table1[[#This Row],[Início Setup Envase]]="",Table1[[#This Row],[Final Setup Envase]]=""),"",Table1[[#This Row],[Final Setup Envase]]-Table1[[#This Row],[Início Setup Envase]])</f>
        <v/>
      </c>
      <c r="AP1447" s="663"/>
      <c r="AQ1447" s="663"/>
      <c r="AR1447" s="270"/>
      <c r="AS1447" s="674"/>
      <c r="AT1447" s="674"/>
      <c r="AU1447" s="270"/>
      <c r="AV1447" s="270"/>
      <c r="AW1447" s="270"/>
      <c r="AX1447" s="270"/>
      <c r="AY1447" s="270"/>
      <c r="AZ1447" s="270"/>
      <c r="BA1447" s="270" t="str">
        <f>IF(Table1[[#This Row],[Data de Início]]="","",YEAR(Table1[[#This Row],[Data de Início]]))</f>
        <v/>
      </c>
      <c r="BB1447" s="270" t="str">
        <f>IF(Table1[[#This Row],[Data de Início]]="","",MONTH(Table1[[#This Row],[Data de Início]]))</f>
        <v/>
      </c>
      <c r="BC1447" s="483"/>
    </row>
    <row r="1448" spans="2:55" x14ac:dyDescent="0.25">
      <c r="B1448" s="470"/>
      <c r="C1448" s="263"/>
      <c r="D1448" s="477" cm="1">
        <f t="array" ref="D1448">IFERROR(HorasUteisFabrica2Turnos(B1448,C1448), "")</f>
        <v>0</v>
      </c>
      <c r="E1448" s="478" t="str">
        <f t="shared" si="23"/>
        <v/>
      </c>
      <c r="F1448" s="266"/>
      <c r="G1448" s="656"/>
      <c r="H1448" s="479"/>
      <c r="I1448" s="268"/>
      <c r="J1448" s="268"/>
      <c r="K1448" s="268"/>
      <c r="L1448" s="269"/>
      <c r="M1448" s="511" t="str">
        <f>IFERROR(INDEX([1]Produtos!$C:$C,MATCH(L1448,[1]Produtos!$B:$B,0)), "-")</f>
        <v>-</v>
      </c>
      <c r="N1448" s="511" t="str">
        <f>IFERROR(INDEX([1]Produtos!$E:$E,MATCH(L1448,[1]Produtos!$B:$B,0)), "-")</f>
        <v>-</v>
      </c>
      <c r="O1448" s="483" t="str">
        <f>IFERROR(INDEX([1]Produtos!$F:$F,MATCH(L1448,[1]Produtos!$B:$B,0)), "-")</f>
        <v>-</v>
      </c>
      <c r="P1448" s="477" t="str">
        <f>IFERROR(INDEX([1]Produtos!$G:$G,MATCH(L1448,[1]Produtos!$B:$B,0)), "-")</f>
        <v>-</v>
      </c>
      <c r="Q1448" s="483" t="str">
        <f>IFERROR(INDEX([1]Produtos!$H:$H,MATCH(L1448,[1]Produtos!$B:$B,0)), "-")</f>
        <v>-</v>
      </c>
      <c r="R1448" s="483" t="str">
        <f>IFERROR(INDEX([1]Produtos!$I:$I,MATCH(L1448,[1]Produtos!$B:$B,0)), "-")</f>
        <v>-</v>
      </c>
      <c r="S1448" s="483" t="str">
        <f>IFERROR(INDEX([1]Produtos!$J:$J,MATCH(L1448,[1]Produtos!$B:$B,0)), "-")</f>
        <v>-</v>
      </c>
      <c r="T1448" s="484"/>
      <c r="U1448" s="483"/>
      <c r="V1448" s="483"/>
      <c r="W1448" s="483"/>
      <c r="X1448" s="483"/>
      <c r="Y1448" s="483"/>
      <c r="Z1448" s="483"/>
      <c r="AA1448" s="483"/>
      <c r="AB1448" s="483"/>
      <c r="AC1448" s="483"/>
      <c r="AD1448" s="483"/>
      <c r="AE1448" s="483"/>
      <c r="AF1448" s="483"/>
      <c r="AG1448" s="483"/>
      <c r="AH1448" s="483"/>
      <c r="AI1448" s="483"/>
      <c r="AJ1448" s="483"/>
      <c r="AK1448" s="483"/>
      <c r="AL1448" s="483"/>
      <c r="AM1448" s="670"/>
      <c r="AN1448" s="670"/>
      <c r="AO1448" s="711" t="str">
        <f>IF(OR(Table1[[#This Row],[Início Setup Envase]]="",Table1[[#This Row],[Final Setup Envase]]=""),"",Table1[[#This Row],[Final Setup Envase]]-Table1[[#This Row],[Início Setup Envase]])</f>
        <v/>
      </c>
      <c r="AP1448" s="670"/>
      <c r="AQ1448" s="670"/>
      <c r="AR1448" s="483"/>
      <c r="AS1448" s="483"/>
      <c r="AT1448" s="483"/>
      <c r="AU1448" s="483"/>
      <c r="AV1448" s="483"/>
      <c r="AW1448" s="483"/>
      <c r="AX1448" s="483"/>
      <c r="AY1448" s="270"/>
      <c r="AZ1448" s="270"/>
      <c r="BA1448" s="270" t="str">
        <f>IF(Table1[[#This Row],[Data de Início]]="","",YEAR(Table1[[#This Row],[Data de Início]]))</f>
        <v/>
      </c>
      <c r="BB1448" s="270" t="str">
        <f>IF(Table1[[#This Row],[Data de Início]]="","",MONTH(Table1[[#This Row],[Data de Início]]))</f>
        <v/>
      </c>
      <c r="BC1448" s="270"/>
    </row>
    <row r="1449" spans="2:55" x14ac:dyDescent="0.25">
      <c r="B1449" s="470"/>
      <c r="C1449" s="263"/>
      <c r="D1449" s="477" cm="1">
        <f t="array" ref="D1449">IFERROR(HorasUteisFabrica2Turnos(B1449,C1449), "")</f>
        <v>0</v>
      </c>
      <c r="E1449" s="697" t="str">
        <f t="shared" si="23"/>
        <v/>
      </c>
      <c r="F1449" s="266"/>
      <c r="G1449" s="698"/>
      <c r="H1449" s="266"/>
      <c r="I1449" s="268"/>
      <c r="J1449" s="268"/>
      <c r="K1449" s="268"/>
      <c r="L1449" s="269"/>
      <c r="M1449" s="510" t="str">
        <f>IFERROR(INDEX([1]Produtos!$C:$C,MATCH(L1449,[1]Produtos!$B:$B,0)), "-")</f>
        <v>-</v>
      </c>
      <c r="N1449" s="510" t="str">
        <f>IFERROR(INDEX([1]Produtos!$E:$E,MATCH(L1449,[1]Produtos!$B:$B,0)), "-")</f>
        <v>-</v>
      </c>
      <c r="O1449" s="270" t="str">
        <f>IFERROR(INDEX([1]Produtos!$F:$F,MATCH(L1449,[1]Produtos!$B:$B,0)), "-")</f>
        <v>-</v>
      </c>
      <c r="P1449" s="264" t="str">
        <f>IFERROR(INDEX([1]Produtos!$G:$G,MATCH(L1449,[1]Produtos!$B:$B,0)), "-")</f>
        <v>-</v>
      </c>
      <c r="Q1449" s="270" t="str">
        <f>IFERROR(INDEX([1]Produtos!$H:$H,MATCH(L1449,[1]Produtos!$B:$B,0)), "-")</f>
        <v>-</v>
      </c>
      <c r="R1449" s="270" t="str">
        <f>IFERROR(INDEX([1]Produtos!$I:$I,MATCH(L1449,[1]Produtos!$B:$B,0)), "-")</f>
        <v>-</v>
      </c>
      <c r="S1449" s="270" t="str">
        <f>IFERROR(INDEX([1]Produtos!$J:$J,MATCH(L1449,[1]Produtos!$B:$B,0)), "-")</f>
        <v>-</v>
      </c>
      <c r="T1449" s="475"/>
      <c r="U1449" s="270"/>
      <c r="V1449" s="270"/>
      <c r="W1449" s="270"/>
      <c r="X1449" s="270"/>
      <c r="Y1449" s="270"/>
      <c r="Z1449" s="270"/>
      <c r="AA1449" s="270"/>
      <c r="AB1449" s="270"/>
      <c r="AC1449" s="270"/>
      <c r="AD1449" s="270"/>
      <c r="AE1449" s="270"/>
      <c r="AF1449" s="270"/>
      <c r="AG1449" s="270"/>
      <c r="AH1449" s="270"/>
      <c r="AI1449" s="270"/>
      <c r="AJ1449" s="270"/>
      <c r="AK1449" s="270"/>
      <c r="AL1449" s="270"/>
      <c r="AM1449" s="663"/>
      <c r="AN1449" s="663"/>
      <c r="AO1449" s="708" t="str">
        <f>IF(OR(Table1[[#This Row],[Início Setup Envase]]="",Table1[[#This Row],[Final Setup Envase]]=""),"",Table1[[#This Row],[Final Setup Envase]]-Table1[[#This Row],[Início Setup Envase]])</f>
        <v/>
      </c>
      <c r="AP1449" s="663"/>
      <c r="AQ1449" s="663"/>
      <c r="AR1449" s="270"/>
      <c r="AS1449" s="674"/>
      <c r="AT1449" s="674"/>
      <c r="AU1449" s="270"/>
      <c r="AV1449" s="270"/>
      <c r="AW1449" s="270"/>
      <c r="AX1449" s="270"/>
      <c r="AY1449" s="270"/>
      <c r="AZ1449" s="270"/>
      <c r="BA1449" s="270" t="str">
        <f>IF(Table1[[#This Row],[Data de Início]]="","",YEAR(Table1[[#This Row],[Data de Início]]))</f>
        <v/>
      </c>
      <c r="BB1449" s="270" t="str">
        <f>IF(Table1[[#This Row],[Data de Início]]="","",MONTH(Table1[[#This Row],[Data de Início]]))</f>
        <v/>
      </c>
      <c r="BC1449" s="483"/>
    </row>
    <row r="1450" spans="2:55" x14ac:dyDescent="0.25">
      <c r="B1450" s="470"/>
      <c r="C1450" s="263"/>
      <c r="D1450" s="477" cm="1">
        <f t="array" ref="D1450">IFERROR(HorasUteisFabrica2Turnos(B1450,C1450), "")</f>
        <v>0</v>
      </c>
      <c r="E1450" s="478" t="str">
        <f t="shared" si="23"/>
        <v/>
      </c>
      <c r="F1450" s="266"/>
      <c r="G1450" s="656"/>
      <c r="H1450" s="479"/>
      <c r="I1450" s="268"/>
      <c r="J1450" s="268"/>
      <c r="K1450" s="268"/>
      <c r="L1450" s="269"/>
      <c r="M1450" s="511" t="str">
        <f>IFERROR(INDEX([1]Produtos!$C:$C,MATCH(L1450,[1]Produtos!$B:$B,0)), "-")</f>
        <v>-</v>
      </c>
      <c r="N1450" s="511" t="str">
        <f>IFERROR(INDEX([1]Produtos!$E:$E,MATCH(L1450,[1]Produtos!$B:$B,0)), "-")</f>
        <v>-</v>
      </c>
      <c r="O1450" s="483" t="str">
        <f>IFERROR(INDEX([1]Produtos!$F:$F,MATCH(L1450,[1]Produtos!$B:$B,0)), "-")</f>
        <v>-</v>
      </c>
      <c r="P1450" s="477" t="str">
        <f>IFERROR(INDEX([1]Produtos!$G:$G,MATCH(L1450,[1]Produtos!$B:$B,0)), "-")</f>
        <v>-</v>
      </c>
      <c r="Q1450" s="483" t="str">
        <f>IFERROR(INDEX([1]Produtos!$H:$H,MATCH(L1450,[1]Produtos!$B:$B,0)), "-")</f>
        <v>-</v>
      </c>
      <c r="R1450" s="483" t="str">
        <f>IFERROR(INDEX([1]Produtos!$I:$I,MATCH(L1450,[1]Produtos!$B:$B,0)), "-")</f>
        <v>-</v>
      </c>
      <c r="S1450" s="483" t="str">
        <f>IFERROR(INDEX([1]Produtos!$J:$J,MATCH(L1450,[1]Produtos!$B:$B,0)), "-")</f>
        <v>-</v>
      </c>
      <c r="T1450" s="484"/>
      <c r="U1450" s="483"/>
      <c r="V1450" s="483"/>
      <c r="W1450" s="483"/>
      <c r="X1450" s="483"/>
      <c r="Y1450" s="483"/>
      <c r="Z1450" s="483"/>
      <c r="AA1450" s="483"/>
      <c r="AB1450" s="483"/>
      <c r="AC1450" s="483"/>
      <c r="AD1450" s="483"/>
      <c r="AE1450" s="483"/>
      <c r="AF1450" s="483"/>
      <c r="AG1450" s="483"/>
      <c r="AH1450" s="483"/>
      <c r="AI1450" s="483"/>
      <c r="AJ1450" s="483"/>
      <c r="AK1450" s="483"/>
      <c r="AL1450" s="483"/>
      <c r="AM1450" s="670"/>
      <c r="AN1450" s="670"/>
      <c r="AO1450" s="711" t="str">
        <f>IF(OR(Table1[[#This Row],[Início Setup Envase]]="",Table1[[#This Row],[Final Setup Envase]]=""),"",Table1[[#This Row],[Final Setup Envase]]-Table1[[#This Row],[Início Setup Envase]])</f>
        <v/>
      </c>
      <c r="AP1450" s="670"/>
      <c r="AQ1450" s="670"/>
      <c r="AR1450" s="483"/>
      <c r="AS1450" s="483"/>
      <c r="AT1450" s="483"/>
      <c r="AU1450" s="483"/>
      <c r="AV1450" s="483"/>
      <c r="AW1450" s="483"/>
      <c r="AX1450" s="483"/>
      <c r="AY1450" s="270"/>
      <c r="AZ1450" s="270"/>
      <c r="BA1450" s="270" t="str">
        <f>IF(Table1[[#This Row],[Data de Início]]="","",YEAR(Table1[[#This Row],[Data de Início]]))</f>
        <v/>
      </c>
      <c r="BB1450" s="270" t="str">
        <f>IF(Table1[[#This Row],[Data de Início]]="","",MONTH(Table1[[#This Row],[Data de Início]]))</f>
        <v/>
      </c>
      <c r="BC1450" s="270"/>
    </row>
    <row r="1451" spans="2:55" x14ac:dyDescent="0.25">
      <c r="B1451" s="470"/>
      <c r="C1451" s="263"/>
      <c r="D1451" s="477" cm="1">
        <f t="array" ref="D1451">IFERROR(HorasUteisFabrica2Turnos(B1451,C1451), "")</f>
        <v>0</v>
      </c>
      <c r="E1451" s="697" t="str">
        <f t="shared" si="23"/>
        <v/>
      </c>
      <c r="F1451" s="266"/>
      <c r="G1451" s="698"/>
      <c r="H1451" s="266"/>
      <c r="I1451" s="268"/>
      <c r="J1451" s="268"/>
      <c r="K1451" s="268"/>
      <c r="L1451" s="269"/>
      <c r="M1451" s="510" t="str">
        <f>IFERROR(INDEX([1]Produtos!$C:$C,MATCH(L1451,[1]Produtos!$B:$B,0)), "-")</f>
        <v>-</v>
      </c>
      <c r="N1451" s="510" t="str">
        <f>IFERROR(INDEX([1]Produtos!$E:$E,MATCH(L1451,[1]Produtos!$B:$B,0)), "-")</f>
        <v>-</v>
      </c>
      <c r="O1451" s="270" t="str">
        <f>IFERROR(INDEX([1]Produtos!$F:$F,MATCH(L1451,[1]Produtos!$B:$B,0)), "-")</f>
        <v>-</v>
      </c>
      <c r="P1451" s="264" t="str">
        <f>IFERROR(INDEX([1]Produtos!$G:$G,MATCH(L1451,[1]Produtos!$B:$B,0)), "-")</f>
        <v>-</v>
      </c>
      <c r="Q1451" s="270" t="str">
        <f>IFERROR(INDEX([1]Produtos!$H:$H,MATCH(L1451,[1]Produtos!$B:$B,0)), "-")</f>
        <v>-</v>
      </c>
      <c r="R1451" s="270" t="str">
        <f>IFERROR(INDEX([1]Produtos!$I:$I,MATCH(L1451,[1]Produtos!$B:$B,0)), "-")</f>
        <v>-</v>
      </c>
      <c r="S1451" s="270" t="str">
        <f>IFERROR(INDEX([1]Produtos!$J:$J,MATCH(L1451,[1]Produtos!$B:$B,0)), "-")</f>
        <v>-</v>
      </c>
      <c r="T1451" s="475"/>
      <c r="U1451" s="270"/>
      <c r="V1451" s="270"/>
      <c r="W1451" s="270"/>
      <c r="X1451" s="270"/>
      <c r="Y1451" s="270"/>
      <c r="Z1451" s="270"/>
      <c r="AA1451" s="270"/>
      <c r="AB1451" s="270"/>
      <c r="AC1451" s="270"/>
      <c r="AD1451" s="270"/>
      <c r="AE1451" s="270"/>
      <c r="AF1451" s="270"/>
      <c r="AG1451" s="270"/>
      <c r="AH1451" s="270"/>
      <c r="AI1451" s="270"/>
      <c r="AJ1451" s="270"/>
      <c r="AK1451" s="270"/>
      <c r="AL1451" s="270"/>
      <c r="AM1451" s="663"/>
      <c r="AN1451" s="663"/>
      <c r="AO1451" s="708" t="str">
        <f>IF(OR(Table1[[#This Row],[Início Setup Envase]]="",Table1[[#This Row],[Final Setup Envase]]=""),"",Table1[[#This Row],[Final Setup Envase]]-Table1[[#This Row],[Início Setup Envase]])</f>
        <v/>
      </c>
      <c r="AP1451" s="663"/>
      <c r="AQ1451" s="663"/>
      <c r="AR1451" s="270"/>
      <c r="AS1451" s="674"/>
      <c r="AT1451" s="674"/>
      <c r="AU1451" s="270"/>
      <c r="AV1451" s="270"/>
      <c r="AW1451" s="270"/>
      <c r="AX1451" s="270"/>
      <c r="AY1451" s="270"/>
      <c r="AZ1451" s="270"/>
      <c r="BA1451" s="270" t="str">
        <f>IF(Table1[[#This Row],[Data de Início]]="","",YEAR(Table1[[#This Row],[Data de Início]]))</f>
        <v/>
      </c>
      <c r="BB1451" s="270" t="str">
        <f>IF(Table1[[#This Row],[Data de Início]]="","",MONTH(Table1[[#This Row],[Data de Início]]))</f>
        <v/>
      </c>
      <c r="BC1451" s="483"/>
    </row>
    <row r="1452" spans="2:55" x14ac:dyDescent="0.25">
      <c r="B1452" s="470"/>
      <c r="C1452" s="263"/>
      <c r="D1452" s="477" cm="1">
        <f t="array" ref="D1452">IFERROR(HorasUteisFabrica2Turnos(B1452,C1452), "")</f>
        <v>0</v>
      </c>
      <c r="E1452" s="478" t="str">
        <f t="shared" si="23"/>
        <v/>
      </c>
      <c r="F1452" s="266"/>
      <c r="G1452" s="656"/>
      <c r="H1452" s="479"/>
      <c r="I1452" s="268"/>
      <c r="J1452" s="268"/>
      <c r="K1452" s="268"/>
      <c r="L1452" s="269"/>
      <c r="M1452" s="511" t="str">
        <f>IFERROR(INDEX([1]Produtos!$C:$C,MATCH(L1452,[1]Produtos!$B:$B,0)), "-")</f>
        <v>-</v>
      </c>
      <c r="N1452" s="511" t="str">
        <f>IFERROR(INDEX([1]Produtos!$E:$E,MATCH(L1452,[1]Produtos!$B:$B,0)), "-")</f>
        <v>-</v>
      </c>
      <c r="O1452" s="483" t="str">
        <f>IFERROR(INDEX([1]Produtos!$F:$F,MATCH(L1452,[1]Produtos!$B:$B,0)), "-")</f>
        <v>-</v>
      </c>
      <c r="P1452" s="477" t="str">
        <f>IFERROR(INDEX([1]Produtos!$G:$G,MATCH(L1452,[1]Produtos!$B:$B,0)), "-")</f>
        <v>-</v>
      </c>
      <c r="Q1452" s="483" t="str">
        <f>IFERROR(INDEX([1]Produtos!$H:$H,MATCH(L1452,[1]Produtos!$B:$B,0)), "-")</f>
        <v>-</v>
      </c>
      <c r="R1452" s="483" t="str">
        <f>IFERROR(INDEX([1]Produtos!$I:$I,MATCH(L1452,[1]Produtos!$B:$B,0)), "-")</f>
        <v>-</v>
      </c>
      <c r="S1452" s="483" t="str">
        <f>IFERROR(INDEX([1]Produtos!$J:$J,MATCH(L1452,[1]Produtos!$B:$B,0)), "-")</f>
        <v>-</v>
      </c>
      <c r="T1452" s="484"/>
      <c r="U1452" s="483"/>
      <c r="V1452" s="483"/>
      <c r="W1452" s="483"/>
      <c r="X1452" s="483"/>
      <c r="Y1452" s="483"/>
      <c r="Z1452" s="483"/>
      <c r="AA1452" s="483"/>
      <c r="AB1452" s="483"/>
      <c r="AC1452" s="483"/>
      <c r="AD1452" s="483"/>
      <c r="AE1452" s="483"/>
      <c r="AF1452" s="483"/>
      <c r="AG1452" s="483"/>
      <c r="AH1452" s="483"/>
      <c r="AI1452" s="483"/>
      <c r="AJ1452" s="483"/>
      <c r="AK1452" s="483"/>
      <c r="AL1452" s="483"/>
      <c r="AM1452" s="670"/>
      <c r="AN1452" s="670"/>
      <c r="AO1452" s="711" t="str">
        <f>IF(OR(Table1[[#This Row],[Início Setup Envase]]="",Table1[[#This Row],[Final Setup Envase]]=""),"",Table1[[#This Row],[Final Setup Envase]]-Table1[[#This Row],[Início Setup Envase]])</f>
        <v/>
      </c>
      <c r="AP1452" s="670"/>
      <c r="AQ1452" s="670"/>
      <c r="AR1452" s="483"/>
      <c r="AS1452" s="483"/>
      <c r="AT1452" s="483"/>
      <c r="AU1452" s="483"/>
      <c r="AV1452" s="483"/>
      <c r="AW1452" s="483"/>
      <c r="AX1452" s="483"/>
      <c r="AY1452" s="270"/>
      <c r="AZ1452" s="270"/>
      <c r="BA1452" s="270" t="str">
        <f>IF(Table1[[#This Row],[Data de Início]]="","",YEAR(Table1[[#This Row],[Data de Início]]))</f>
        <v/>
      </c>
      <c r="BB1452" s="270" t="str">
        <f>IF(Table1[[#This Row],[Data de Início]]="","",MONTH(Table1[[#This Row],[Data de Início]]))</f>
        <v/>
      </c>
      <c r="BC1452" s="270"/>
    </row>
    <row r="1453" spans="2:55" x14ac:dyDescent="0.25">
      <c r="B1453" s="470"/>
      <c r="C1453" s="263"/>
      <c r="D1453" s="477" cm="1">
        <f t="array" ref="D1453">IFERROR(HorasUteisFabrica2Turnos(B1453,C1453), "")</f>
        <v>0</v>
      </c>
      <c r="E1453" s="697" t="str">
        <f t="shared" si="23"/>
        <v/>
      </c>
      <c r="F1453" s="266"/>
      <c r="G1453" s="698"/>
      <c r="H1453" s="266"/>
      <c r="I1453" s="268"/>
      <c r="J1453" s="268"/>
      <c r="K1453" s="268"/>
      <c r="L1453" s="269"/>
      <c r="M1453" s="510" t="str">
        <f>IFERROR(INDEX([1]Produtos!$C:$C,MATCH(L1453,[1]Produtos!$B:$B,0)), "-")</f>
        <v>-</v>
      </c>
      <c r="N1453" s="510" t="str">
        <f>IFERROR(INDEX([1]Produtos!$E:$E,MATCH(L1453,[1]Produtos!$B:$B,0)), "-")</f>
        <v>-</v>
      </c>
      <c r="O1453" s="270" t="str">
        <f>IFERROR(INDEX([1]Produtos!$F:$F,MATCH(L1453,[1]Produtos!$B:$B,0)), "-")</f>
        <v>-</v>
      </c>
      <c r="P1453" s="264" t="str">
        <f>IFERROR(INDEX([1]Produtos!$G:$G,MATCH(L1453,[1]Produtos!$B:$B,0)), "-")</f>
        <v>-</v>
      </c>
      <c r="Q1453" s="270" t="str">
        <f>IFERROR(INDEX([1]Produtos!$H:$H,MATCH(L1453,[1]Produtos!$B:$B,0)), "-")</f>
        <v>-</v>
      </c>
      <c r="R1453" s="270" t="str">
        <f>IFERROR(INDEX([1]Produtos!$I:$I,MATCH(L1453,[1]Produtos!$B:$B,0)), "-")</f>
        <v>-</v>
      </c>
      <c r="S1453" s="270" t="str">
        <f>IFERROR(INDEX([1]Produtos!$J:$J,MATCH(L1453,[1]Produtos!$B:$B,0)), "-")</f>
        <v>-</v>
      </c>
      <c r="T1453" s="475"/>
      <c r="U1453" s="270"/>
      <c r="V1453" s="270"/>
      <c r="W1453" s="270"/>
      <c r="X1453" s="270"/>
      <c r="Y1453" s="270"/>
      <c r="Z1453" s="270"/>
      <c r="AA1453" s="270"/>
      <c r="AB1453" s="270"/>
      <c r="AC1453" s="270"/>
      <c r="AD1453" s="270"/>
      <c r="AE1453" s="270"/>
      <c r="AF1453" s="270"/>
      <c r="AG1453" s="270"/>
      <c r="AH1453" s="270"/>
      <c r="AI1453" s="270"/>
      <c r="AJ1453" s="270"/>
      <c r="AK1453" s="270"/>
      <c r="AL1453" s="270"/>
      <c r="AM1453" s="663"/>
      <c r="AN1453" s="663"/>
      <c r="AO1453" s="708" t="str">
        <f>IF(OR(Table1[[#This Row],[Início Setup Envase]]="",Table1[[#This Row],[Final Setup Envase]]=""),"",Table1[[#This Row],[Final Setup Envase]]-Table1[[#This Row],[Início Setup Envase]])</f>
        <v/>
      </c>
      <c r="AP1453" s="663"/>
      <c r="AQ1453" s="663"/>
      <c r="AR1453" s="270"/>
      <c r="AS1453" s="674"/>
      <c r="AT1453" s="674"/>
      <c r="AU1453" s="270"/>
      <c r="AV1453" s="270"/>
      <c r="AW1453" s="270"/>
      <c r="AX1453" s="270"/>
      <c r="AY1453" s="270"/>
      <c r="AZ1453" s="270"/>
      <c r="BA1453" s="270" t="str">
        <f>IF(Table1[[#This Row],[Data de Início]]="","",YEAR(Table1[[#This Row],[Data de Início]]))</f>
        <v/>
      </c>
      <c r="BB1453" s="270" t="str">
        <f>IF(Table1[[#This Row],[Data de Início]]="","",MONTH(Table1[[#This Row],[Data de Início]]))</f>
        <v/>
      </c>
      <c r="BC1453" s="483"/>
    </row>
    <row r="1454" spans="2:55" x14ac:dyDescent="0.25">
      <c r="B1454" s="470"/>
      <c r="C1454" s="263"/>
      <c r="D1454" s="477" cm="1">
        <f t="array" ref="D1454">IFERROR(HorasUteisFabrica2Turnos(B1454,C1454), "")</f>
        <v>0</v>
      </c>
      <c r="E1454" s="478" t="str">
        <f t="shared" si="23"/>
        <v/>
      </c>
      <c r="F1454" s="266"/>
      <c r="G1454" s="656"/>
      <c r="H1454" s="479"/>
      <c r="I1454" s="268"/>
      <c r="J1454" s="268"/>
      <c r="K1454" s="268"/>
      <c r="L1454" s="269"/>
      <c r="M1454" s="511" t="str">
        <f>IFERROR(INDEX([1]Produtos!$C:$C,MATCH(L1454,[1]Produtos!$B:$B,0)), "-")</f>
        <v>-</v>
      </c>
      <c r="N1454" s="511" t="str">
        <f>IFERROR(INDEX([1]Produtos!$E:$E,MATCH(L1454,[1]Produtos!$B:$B,0)), "-")</f>
        <v>-</v>
      </c>
      <c r="O1454" s="483" t="str">
        <f>IFERROR(INDEX([1]Produtos!$F:$F,MATCH(L1454,[1]Produtos!$B:$B,0)), "-")</f>
        <v>-</v>
      </c>
      <c r="P1454" s="477" t="str">
        <f>IFERROR(INDEX([1]Produtos!$G:$G,MATCH(L1454,[1]Produtos!$B:$B,0)), "-")</f>
        <v>-</v>
      </c>
      <c r="Q1454" s="483" t="str">
        <f>IFERROR(INDEX([1]Produtos!$H:$H,MATCH(L1454,[1]Produtos!$B:$B,0)), "-")</f>
        <v>-</v>
      </c>
      <c r="R1454" s="483" t="str">
        <f>IFERROR(INDEX([1]Produtos!$I:$I,MATCH(L1454,[1]Produtos!$B:$B,0)), "-")</f>
        <v>-</v>
      </c>
      <c r="S1454" s="483" t="str">
        <f>IFERROR(INDEX([1]Produtos!$J:$J,MATCH(L1454,[1]Produtos!$B:$B,0)), "-")</f>
        <v>-</v>
      </c>
      <c r="T1454" s="484"/>
      <c r="U1454" s="483"/>
      <c r="V1454" s="483"/>
      <c r="W1454" s="483"/>
      <c r="X1454" s="483"/>
      <c r="Y1454" s="483"/>
      <c r="Z1454" s="483"/>
      <c r="AA1454" s="483"/>
      <c r="AB1454" s="483"/>
      <c r="AC1454" s="483"/>
      <c r="AD1454" s="483"/>
      <c r="AE1454" s="483"/>
      <c r="AF1454" s="483"/>
      <c r="AG1454" s="483"/>
      <c r="AH1454" s="483"/>
      <c r="AI1454" s="483"/>
      <c r="AJ1454" s="483"/>
      <c r="AK1454" s="483"/>
      <c r="AL1454" s="483"/>
      <c r="AM1454" s="670"/>
      <c r="AN1454" s="670"/>
      <c r="AO1454" s="711" t="str">
        <f>IF(OR(Table1[[#This Row],[Início Setup Envase]]="",Table1[[#This Row],[Final Setup Envase]]=""),"",Table1[[#This Row],[Final Setup Envase]]-Table1[[#This Row],[Início Setup Envase]])</f>
        <v/>
      </c>
      <c r="AP1454" s="670"/>
      <c r="AQ1454" s="670"/>
      <c r="AR1454" s="483"/>
      <c r="AS1454" s="483"/>
      <c r="AT1454" s="483"/>
      <c r="AU1454" s="483"/>
      <c r="AV1454" s="483"/>
      <c r="AW1454" s="483"/>
      <c r="AX1454" s="483"/>
      <c r="AY1454" s="270"/>
      <c r="AZ1454" s="270"/>
      <c r="BA1454" s="270" t="str">
        <f>IF(Table1[[#This Row],[Data de Início]]="","",YEAR(Table1[[#This Row],[Data de Início]]))</f>
        <v/>
      </c>
      <c r="BB1454" s="270" t="str">
        <f>IF(Table1[[#This Row],[Data de Início]]="","",MONTH(Table1[[#This Row],[Data de Início]]))</f>
        <v/>
      </c>
      <c r="BC1454" s="270"/>
    </row>
    <row r="1455" spans="2:55" x14ac:dyDescent="0.25">
      <c r="B1455" s="470"/>
      <c r="C1455" s="263"/>
      <c r="D1455" s="477" cm="1">
        <f t="array" ref="D1455">IFERROR(HorasUteisFabrica2Turnos(B1455,C1455), "")</f>
        <v>0</v>
      </c>
      <c r="E1455" s="697" t="str">
        <f t="shared" si="23"/>
        <v/>
      </c>
      <c r="F1455" s="266"/>
      <c r="G1455" s="698"/>
      <c r="H1455" s="266"/>
      <c r="I1455" s="268"/>
      <c r="J1455" s="268"/>
      <c r="K1455" s="268"/>
      <c r="L1455" s="269"/>
      <c r="M1455" s="510" t="str">
        <f>IFERROR(INDEX([1]Produtos!$C:$C,MATCH(L1455,[1]Produtos!$B:$B,0)), "-")</f>
        <v>-</v>
      </c>
      <c r="N1455" s="510" t="str">
        <f>IFERROR(INDEX([1]Produtos!$E:$E,MATCH(L1455,[1]Produtos!$B:$B,0)), "-")</f>
        <v>-</v>
      </c>
      <c r="O1455" s="270" t="str">
        <f>IFERROR(INDEX([1]Produtos!$F:$F,MATCH(L1455,[1]Produtos!$B:$B,0)), "-")</f>
        <v>-</v>
      </c>
      <c r="P1455" s="264" t="str">
        <f>IFERROR(INDEX([1]Produtos!$G:$G,MATCH(L1455,[1]Produtos!$B:$B,0)), "-")</f>
        <v>-</v>
      </c>
      <c r="Q1455" s="270" t="str">
        <f>IFERROR(INDEX([1]Produtos!$H:$H,MATCH(L1455,[1]Produtos!$B:$B,0)), "-")</f>
        <v>-</v>
      </c>
      <c r="R1455" s="270" t="str">
        <f>IFERROR(INDEX([1]Produtos!$I:$I,MATCH(L1455,[1]Produtos!$B:$B,0)), "-")</f>
        <v>-</v>
      </c>
      <c r="S1455" s="270" t="str">
        <f>IFERROR(INDEX([1]Produtos!$J:$J,MATCH(L1455,[1]Produtos!$B:$B,0)), "-")</f>
        <v>-</v>
      </c>
      <c r="T1455" s="475"/>
      <c r="U1455" s="270"/>
      <c r="V1455" s="270"/>
      <c r="W1455" s="270"/>
      <c r="X1455" s="270"/>
      <c r="Y1455" s="270"/>
      <c r="Z1455" s="270"/>
      <c r="AA1455" s="270"/>
      <c r="AB1455" s="270"/>
      <c r="AC1455" s="270"/>
      <c r="AD1455" s="270"/>
      <c r="AE1455" s="270"/>
      <c r="AF1455" s="270"/>
      <c r="AG1455" s="270"/>
      <c r="AH1455" s="270"/>
      <c r="AI1455" s="270"/>
      <c r="AJ1455" s="270"/>
      <c r="AK1455" s="270"/>
      <c r="AL1455" s="270"/>
      <c r="AM1455" s="663"/>
      <c r="AN1455" s="663"/>
      <c r="AO1455" s="708" t="str">
        <f>IF(OR(Table1[[#This Row],[Início Setup Envase]]="",Table1[[#This Row],[Final Setup Envase]]=""),"",Table1[[#This Row],[Final Setup Envase]]-Table1[[#This Row],[Início Setup Envase]])</f>
        <v/>
      </c>
      <c r="AP1455" s="663"/>
      <c r="AQ1455" s="663"/>
      <c r="AR1455" s="270"/>
      <c r="AS1455" s="674"/>
      <c r="AT1455" s="674"/>
      <c r="AU1455" s="270"/>
      <c r="AV1455" s="270"/>
      <c r="AW1455" s="270"/>
      <c r="AX1455" s="270"/>
      <c r="AY1455" s="270"/>
      <c r="AZ1455" s="270"/>
      <c r="BA1455" s="270" t="str">
        <f>IF(Table1[[#This Row],[Data de Início]]="","",YEAR(Table1[[#This Row],[Data de Início]]))</f>
        <v/>
      </c>
      <c r="BB1455" s="270" t="str">
        <f>IF(Table1[[#This Row],[Data de Início]]="","",MONTH(Table1[[#This Row],[Data de Início]]))</f>
        <v/>
      </c>
      <c r="BC1455" s="483"/>
    </row>
    <row r="1456" spans="2:55" x14ac:dyDescent="0.25">
      <c r="B1456" s="470"/>
      <c r="C1456" s="263"/>
      <c r="D1456" s="477" cm="1">
        <f t="array" ref="D1456">IFERROR(HorasUteisFabrica2Turnos(B1456,C1456), "")</f>
        <v>0</v>
      </c>
      <c r="E1456" s="478" t="str">
        <f t="shared" si="23"/>
        <v/>
      </c>
      <c r="F1456" s="266"/>
      <c r="G1456" s="656"/>
      <c r="H1456" s="479"/>
      <c r="I1456" s="268"/>
      <c r="J1456" s="268"/>
      <c r="K1456" s="268"/>
      <c r="L1456" s="269"/>
      <c r="M1456" s="511" t="str">
        <f>IFERROR(INDEX([1]Produtos!$C:$C,MATCH(L1456,[1]Produtos!$B:$B,0)), "-")</f>
        <v>-</v>
      </c>
      <c r="N1456" s="511" t="str">
        <f>IFERROR(INDEX([1]Produtos!$E:$E,MATCH(L1456,[1]Produtos!$B:$B,0)), "-")</f>
        <v>-</v>
      </c>
      <c r="O1456" s="483" t="str">
        <f>IFERROR(INDEX([1]Produtos!$F:$F,MATCH(L1456,[1]Produtos!$B:$B,0)), "-")</f>
        <v>-</v>
      </c>
      <c r="P1456" s="477" t="str">
        <f>IFERROR(INDEX([1]Produtos!$G:$G,MATCH(L1456,[1]Produtos!$B:$B,0)), "-")</f>
        <v>-</v>
      </c>
      <c r="Q1456" s="483" t="str">
        <f>IFERROR(INDEX([1]Produtos!$H:$H,MATCH(L1456,[1]Produtos!$B:$B,0)), "-")</f>
        <v>-</v>
      </c>
      <c r="R1456" s="483" t="str">
        <f>IFERROR(INDEX([1]Produtos!$I:$I,MATCH(L1456,[1]Produtos!$B:$B,0)), "-")</f>
        <v>-</v>
      </c>
      <c r="S1456" s="483" t="str">
        <f>IFERROR(INDEX([1]Produtos!$J:$J,MATCH(L1456,[1]Produtos!$B:$B,0)), "-")</f>
        <v>-</v>
      </c>
      <c r="T1456" s="484"/>
      <c r="U1456" s="483"/>
      <c r="V1456" s="483"/>
      <c r="W1456" s="483"/>
      <c r="X1456" s="483"/>
      <c r="Y1456" s="483"/>
      <c r="Z1456" s="483"/>
      <c r="AA1456" s="483"/>
      <c r="AB1456" s="483"/>
      <c r="AC1456" s="483"/>
      <c r="AD1456" s="483"/>
      <c r="AE1456" s="483"/>
      <c r="AF1456" s="483"/>
      <c r="AG1456" s="483"/>
      <c r="AH1456" s="483"/>
      <c r="AI1456" s="483"/>
      <c r="AJ1456" s="483"/>
      <c r="AK1456" s="483"/>
      <c r="AL1456" s="483"/>
      <c r="AM1456" s="670"/>
      <c r="AN1456" s="670"/>
      <c r="AO1456" s="711" t="str">
        <f>IF(OR(Table1[[#This Row],[Início Setup Envase]]="",Table1[[#This Row],[Final Setup Envase]]=""),"",Table1[[#This Row],[Final Setup Envase]]-Table1[[#This Row],[Início Setup Envase]])</f>
        <v/>
      </c>
      <c r="AP1456" s="670"/>
      <c r="AQ1456" s="670"/>
      <c r="AR1456" s="483"/>
      <c r="AS1456" s="483"/>
      <c r="AT1456" s="483"/>
      <c r="AU1456" s="483"/>
      <c r="AV1456" s="483"/>
      <c r="AW1456" s="483"/>
      <c r="AX1456" s="483"/>
      <c r="AY1456" s="270"/>
      <c r="AZ1456" s="270"/>
      <c r="BA1456" s="270" t="str">
        <f>IF(Table1[[#This Row],[Data de Início]]="","",YEAR(Table1[[#This Row],[Data de Início]]))</f>
        <v/>
      </c>
      <c r="BB1456" s="270" t="str">
        <f>IF(Table1[[#This Row],[Data de Início]]="","",MONTH(Table1[[#This Row],[Data de Início]]))</f>
        <v/>
      </c>
      <c r="BC1456" s="270"/>
    </row>
    <row r="1457" spans="2:55" x14ac:dyDescent="0.25">
      <c r="B1457" s="470"/>
      <c r="C1457" s="263"/>
      <c r="D1457" s="477" cm="1">
        <f t="array" ref="D1457">IFERROR(HorasUteisFabrica2Turnos(B1457,C1457), "")</f>
        <v>0</v>
      </c>
      <c r="E1457" s="697" t="str">
        <f t="shared" si="23"/>
        <v/>
      </c>
      <c r="F1457" s="266"/>
      <c r="G1457" s="698"/>
      <c r="H1457" s="266"/>
      <c r="I1457" s="268"/>
      <c r="J1457" s="268"/>
      <c r="K1457" s="268"/>
      <c r="L1457" s="269"/>
      <c r="M1457" s="510" t="str">
        <f>IFERROR(INDEX([1]Produtos!$C:$C,MATCH(L1457,[1]Produtos!$B:$B,0)), "-")</f>
        <v>-</v>
      </c>
      <c r="N1457" s="510" t="str">
        <f>IFERROR(INDEX([1]Produtos!$E:$E,MATCH(L1457,[1]Produtos!$B:$B,0)), "-")</f>
        <v>-</v>
      </c>
      <c r="O1457" s="270" t="str">
        <f>IFERROR(INDEX([1]Produtos!$F:$F,MATCH(L1457,[1]Produtos!$B:$B,0)), "-")</f>
        <v>-</v>
      </c>
      <c r="P1457" s="264" t="str">
        <f>IFERROR(INDEX([1]Produtos!$G:$G,MATCH(L1457,[1]Produtos!$B:$B,0)), "-")</f>
        <v>-</v>
      </c>
      <c r="Q1457" s="270" t="str">
        <f>IFERROR(INDEX([1]Produtos!$H:$H,MATCH(L1457,[1]Produtos!$B:$B,0)), "-")</f>
        <v>-</v>
      </c>
      <c r="R1457" s="270" t="str">
        <f>IFERROR(INDEX([1]Produtos!$I:$I,MATCH(L1457,[1]Produtos!$B:$B,0)), "-")</f>
        <v>-</v>
      </c>
      <c r="S1457" s="270" t="str">
        <f>IFERROR(INDEX([1]Produtos!$J:$J,MATCH(L1457,[1]Produtos!$B:$B,0)), "-")</f>
        <v>-</v>
      </c>
      <c r="T1457" s="475"/>
      <c r="U1457" s="270"/>
      <c r="V1457" s="270"/>
      <c r="W1457" s="270"/>
      <c r="X1457" s="270"/>
      <c r="Y1457" s="270"/>
      <c r="Z1457" s="270"/>
      <c r="AA1457" s="270"/>
      <c r="AB1457" s="270"/>
      <c r="AC1457" s="270"/>
      <c r="AD1457" s="270"/>
      <c r="AE1457" s="270"/>
      <c r="AF1457" s="270"/>
      <c r="AG1457" s="270"/>
      <c r="AH1457" s="270"/>
      <c r="AI1457" s="270"/>
      <c r="AJ1457" s="270"/>
      <c r="AK1457" s="270"/>
      <c r="AL1457" s="270"/>
      <c r="AM1457" s="663"/>
      <c r="AN1457" s="663"/>
      <c r="AO1457" s="708" t="str">
        <f>IF(OR(Table1[[#This Row],[Início Setup Envase]]="",Table1[[#This Row],[Final Setup Envase]]=""),"",Table1[[#This Row],[Final Setup Envase]]-Table1[[#This Row],[Início Setup Envase]])</f>
        <v/>
      </c>
      <c r="AP1457" s="663"/>
      <c r="AQ1457" s="663"/>
      <c r="AR1457" s="270"/>
      <c r="AS1457" s="674"/>
      <c r="AT1457" s="674"/>
      <c r="AU1457" s="270"/>
      <c r="AV1457" s="270"/>
      <c r="AW1457" s="270"/>
      <c r="AX1457" s="270"/>
      <c r="AY1457" s="270"/>
      <c r="AZ1457" s="270"/>
      <c r="BA1457" s="270" t="str">
        <f>IF(Table1[[#This Row],[Data de Início]]="","",YEAR(Table1[[#This Row],[Data de Início]]))</f>
        <v/>
      </c>
      <c r="BB1457" s="270" t="str">
        <f>IF(Table1[[#This Row],[Data de Início]]="","",MONTH(Table1[[#This Row],[Data de Início]]))</f>
        <v/>
      </c>
      <c r="BC1457" s="483"/>
    </row>
    <row r="1458" spans="2:55" x14ac:dyDescent="0.25">
      <c r="B1458" s="470"/>
      <c r="C1458" s="263"/>
      <c r="D1458" s="477" cm="1">
        <f t="array" ref="D1458">IFERROR(HorasUteisFabrica2Turnos(B1458,C1458), "")</f>
        <v>0</v>
      </c>
      <c r="E1458" s="478" t="str">
        <f t="shared" si="23"/>
        <v/>
      </c>
      <c r="F1458" s="266"/>
      <c r="G1458" s="656"/>
      <c r="H1458" s="479"/>
      <c r="I1458" s="268"/>
      <c r="J1458" s="268"/>
      <c r="K1458" s="268"/>
      <c r="L1458" s="269"/>
      <c r="M1458" s="511" t="str">
        <f>IFERROR(INDEX([1]Produtos!$C:$C,MATCH(L1458,[1]Produtos!$B:$B,0)), "-")</f>
        <v>-</v>
      </c>
      <c r="N1458" s="511" t="str">
        <f>IFERROR(INDEX([1]Produtos!$E:$E,MATCH(L1458,[1]Produtos!$B:$B,0)), "-")</f>
        <v>-</v>
      </c>
      <c r="O1458" s="483" t="str">
        <f>IFERROR(INDEX([1]Produtos!$F:$F,MATCH(L1458,[1]Produtos!$B:$B,0)), "-")</f>
        <v>-</v>
      </c>
      <c r="P1458" s="477" t="str">
        <f>IFERROR(INDEX([1]Produtos!$G:$G,MATCH(L1458,[1]Produtos!$B:$B,0)), "-")</f>
        <v>-</v>
      </c>
      <c r="Q1458" s="483" t="str">
        <f>IFERROR(INDEX([1]Produtos!$H:$H,MATCH(L1458,[1]Produtos!$B:$B,0)), "-")</f>
        <v>-</v>
      </c>
      <c r="R1458" s="483" t="str">
        <f>IFERROR(INDEX([1]Produtos!$I:$I,MATCH(L1458,[1]Produtos!$B:$B,0)), "-")</f>
        <v>-</v>
      </c>
      <c r="S1458" s="483" t="str">
        <f>IFERROR(INDEX([1]Produtos!$J:$J,MATCH(L1458,[1]Produtos!$B:$B,0)), "-")</f>
        <v>-</v>
      </c>
      <c r="T1458" s="484"/>
      <c r="U1458" s="483"/>
      <c r="V1458" s="483"/>
      <c r="W1458" s="483"/>
      <c r="X1458" s="483"/>
      <c r="Y1458" s="483"/>
      <c r="Z1458" s="483"/>
      <c r="AA1458" s="483"/>
      <c r="AB1458" s="483"/>
      <c r="AC1458" s="483"/>
      <c r="AD1458" s="483"/>
      <c r="AE1458" s="483"/>
      <c r="AF1458" s="483"/>
      <c r="AG1458" s="483"/>
      <c r="AH1458" s="483"/>
      <c r="AI1458" s="483"/>
      <c r="AJ1458" s="483"/>
      <c r="AK1458" s="483"/>
      <c r="AL1458" s="483"/>
      <c r="AM1458" s="670"/>
      <c r="AN1458" s="670"/>
      <c r="AO1458" s="711" t="str">
        <f>IF(OR(Table1[[#This Row],[Início Setup Envase]]="",Table1[[#This Row],[Final Setup Envase]]=""),"",Table1[[#This Row],[Final Setup Envase]]-Table1[[#This Row],[Início Setup Envase]])</f>
        <v/>
      </c>
      <c r="AP1458" s="670"/>
      <c r="AQ1458" s="670"/>
      <c r="AR1458" s="483"/>
      <c r="AS1458" s="483"/>
      <c r="AT1458" s="483"/>
      <c r="AU1458" s="483"/>
      <c r="AV1458" s="483"/>
      <c r="AW1458" s="483"/>
      <c r="AX1458" s="483"/>
      <c r="AY1458" s="270"/>
      <c r="AZ1458" s="270"/>
      <c r="BA1458" s="270" t="str">
        <f>IF(Table1[[#This Row],[Data de Início]]="","",YEAR(Table1[[#This Row],[Data de Início]]))</f>
        <v/>
      </c>
      <c r="BB1458" s="270" t="str">
        <f>IF(Table1[[#This Row],[Data de Início]]="","",MONTH(Table1[[#This Row],[Data de Início]]))</f>
        <v/>
      </c>
      <c r="BC1458" s="270"/>
    </row>
    <row r="1459" spans="2:55" x14ac:dyDescent="0.25">
      <c r="B1459" s="470"/>
      <c r="C1459" s="263"/>
      <c r="D1459" s="477" cm="1">
        <f t="array" ref="D1459">IFERROR(HorasUteisFabrica2Turnos(B1459,C1459), "")</f>
        <v>0</v>
      </c>
      <c r="E1459" s="697" t="str">
        <f t="shared" si="23"/>
        <v/>
      </c>
      <c r="F1459" s="266"/>
      <c r="G1459" s="698"/>
      <c r="H1459" s="266"/>
      <c r="I1459" s="268"/>
      <c r="J1459" s="268"/>
      <c r="K1459" s="268"/>
      <c r="L1459" s="269"/>
      <c r="M1459" s="510" t="str">
        <f>IFERROR(INDEX([1]Produtos!$C:$C,MATCH(L1459,[1]Produtos!$B:$B,0)), "-")</f>
        <v>-</v>
      </c>
      <c r="N1459" s="510" t="str">
        <f>IFERROR(INDEX([1]Produtos!$E:$E,MATCH(L1459,[1]Produtos!$B:$B,0)), "-")</f>
        <v>-</v>
      </c>
      <c r="O1459" s="270" t="str">
        <f>IFERROR(INDEX([1]Produtos!$F:$F,MATCH(L1459,[1]Produtos!$B:$B,0)), "-")</f>
        <v>-</v>
      </c>
      <c r="P1459" s="264" t="str">
        <f>IFERROR(INDEX([1]Produtos!$G:$G,MATCH(L1459,[1]Produtos!$B:$B,0)), "-")</f>
        <v>-</v>
      </c>
      <c r="Q1459" s="270" t="str">
        <f>IFERROR(INDEX([1]Produtos!$H:$H,MATCH(L1459,[1]Produtos!$B:$B,0)), "-")</f>
        <v>-</v>
      </c>
      <c r="R1459" s="270" t="str">
        <f>IFERROR(INDEX([1]Produtos!$I:$I,MATCH(L1459,[1]Produtos!$B:$B,0)), "-")</f>
        <v>-</v>
      </c>
      <c r="S1459" s="270" t="str">
        <f>IFERROR(INDEX([1]Produtos!$J:$J,MATCH(L1459,[1]Produtos!$B:$B,0)), "-")</f>
        <v>-</v>
      </c>
      <c r="T1459" s="475"/>
      <c r="U1459" s="270"/>
      <c r="V1459" s="270"/>
      <c r="W1459" s="270"/>
      <c r="X1459" s="270"/>
      <c r="Y1459" s="270"/>
      <c r="Z1459" s="270"/>
      <c r="AA1459" s="270"/>
      <c r="AB1459" s="270"/>
      <c r="AC1459" s="270"/>
      <c r="AD1459" s="270"/>
      <c r="AE1459" s="270"/>
      <c r="AF1459" s="270"/>
      <c r="AG1459" s="270"/>
      <c r="AH1459" s="270"/>
      <c r="AI1459" s="270"/>
      <c r="AJ1459" s="270"/>
      <c r="AK1459" s="270"/>
      <c r="AL1459" s="270"/>
      <c r="AM1459" s="663"/>
      <c r="AN1459" s="663"/>
      <c r="AO1459" s="708" t="str">
        <f>IF(OR(Table1[[#This Row],[Início Setup Envase]]="",Table1[[#This Row],[Final Setup Envase]]=""),"",Table1[[#This Row],[Final Setup Envase]]-Table1[[#This Row],[Início Setup Envase]])</f>
        <v/>
      </c>
      <c r="AP1459" s="663"/>
      <c r="AQ1459" s="663"/>
      <c r="AR1459" s="270"/>
      <c r="AS1459" s="674"/>
      <c r="AT1459" s="674"/>
      <c r="AU1459" s="270"/>
      <c r="AV1459" s="270"/>
      <c r="AW1459" s="270"/>
      <c r="AX1459" s="270"/>
      <c r="AY1459" s="270"/>
      <c r="AZ1459" s="270"/>
      <c r="BA1459" s="270" t="str">
        <f>IF(Table1[[#This Row],[Data de Início]]="","",YEAR(Table1[[#This Row],[Data de Início]]))</f>
        <v/>
      </c>
      <c r="BB1459" s="270" t="str">
        <f>IF(Table1[[#This Row],[Data de Início]]="","",MONTH(Table1[[#This Row],[Data de Início]]))</f>
        <v/>
      </c>
      <c r="BC1459" s="483"/>
    </row>
    <row r="1460" spans="2:55" x14ac:dyDescent="0.25">
      <c r="B1460" s="470"/>
      <c r="C1460" s="263"/>
      <c r="D1460" s="477" cm="1">
        <f t="array" ref="D1460">IFERROR(HorasUteisFabrica2Turnos(B1460,C1460), "")</f>
        <v>0</v>
      </c>
      <c r="E1460" s="478" t="str">
        <f t="shared" si="23"/>
        <v/>
      </c>
      <c r="F1460" s="266"/>
      <c r="G1460" s="656"/>
      <c r="H1460" s="479"/>
      <c r="I1460" s="268"/>
      <c r="J1460" s="268"/>
      <c r="K1460" s="268"/>
      <c r="L1460" s="269"/>
      <c r="M1460" s="511" t="str">
        <f>IFERROR(INDEX([1]Produtos!$C:$C,MATCH(L1460,[1]Produtos!$B:$B,0)), "-")</f>
        <v>-</v>
      </c>
      <c r="N1460" s="511" t="str">
        <f>IFERROR(INDEX([1]Produtos!$E:$E,MATCH(L1460,[1]Produtos!$B:$B,0)), "-")</f>
        <v>-</v>
      </c>
      <c r="O1460" s="483" t="str">
        <f>IFERROR(INDEX([1]Produtos!$F:$F,MATCH(L1460,[1]Produtos!$B:$B,0)), "-")</f>
        <v>-</v>
      </c>
      <c r="P1460" s="477" t="str">
        <f>IFERROR(INDEX([1]Produtos!$G:$G,MATCH(L1460,[1]Produtos!$B:$B,0)), "-")</f>
        <v>-</v>
      </c>
      <c r="Q1460" s="483" t="str">
        <f>IFERROR(INDEX([1]Produtos!$H:$H,MATCH(L1460,[1]Produtos!$B:$B,0)), "-")</f>
        <v>-</v>
      </c>
      <c r="R1460" s="483" t="str">
        <f>IFERROR(INDEX([1]Produtos!$I:$I,MATCH(L1460,[1]Produtos!$B:$B,0)), "-")</f>
        <v>-</v>
      </c>
      <c r="S1460" s="483" t="str">
        <f>IFERROR(INDEX([1]Produtos!$J:$J,MATCH(L1460,[1]Produtos!$B:$B,0)), "-")</f>
        <v>-</v>
      </c>
      <c r="T1460" s="484"/>
      <c r="U1460" s="483"/>
      <c r="V1460" s="483"/>
      <c r="W1460" s="483"/>
      <c r="X1460" s="483"/>
      <c r="Y1460" s="483"/>
      <c r="Z1460" s="483"/>
      <c r="AA1460" s="483"/>
      <c r="AB1460" s="483"/>
      <c r="AC1460" s="483"/>
      <c r="AD1460" s="483"/>
      <c r="AE1460" s="483"/>
      <c r="AF1460" s="483"/>
      <c r="AG1460" s="483"/>
      <c r="AH1460" s="483"/>
      <c r="AI1460" s="483"/>
      <c r="AJ1460" s="483"/>
      <c r="AK1460" s="483"/>
      <c r="AL1460" s="483"/>
      <c r="AM1460" s="670"/>
      <c r="AN1460" s="670"/>
      <c r="AO1460" s="711" t="str">
        <f>IF(OR(Table1[[#This Row],[Início Setup Envase]]="",Table1[[#This Row],[Final Setup Envase]]=""),"",Table1[[#This Row],[Final Setup Envase]]-Table1[[#This Row],[Início Setup Envase]])</f>
        <v/>
      </c>
      <c r="AP1460" s="670"/>
      <c r="AQ1460" s="670"/>
      <c r="AR1460" s="483"/>
      <c r="AS1460" s="483"/>
      <c r="AT1460" s="483"/>
      <c r="AU1460" s="483"/>
      <c r="AV1460" s="483"/>
      <c r="AW1460" s="483"/>
      <c r="AX1460" s="483"/>
      <c r="AY1460" s="270"/>
      <c r="AZ1460" s="270"/>
      <c r="BA1460" s="270" t="str">
        <f>IF(Table1[[#This Row],[Data de Início]]="","",YEAR(Table1[[#This Row],[Data de Início]]))</f>
        <v/>
      </c>
      <c r="BB1460" s="270" t="str">
        <f>IF(Table1[[#This Row],[Data de Início]]="","",MONTH(Table1[[#This Row],[Data de Início]]))</f>
        <v/>
      </c>
      <c r="BC1460" s="270"/>
    </row>
    <row r="1461" spans="2:55" x14ac:dyDescent="0.25">
      <c r="B1461" s="470"/>
      <c r="C1461" s="263"/>
      <c r="D1461" s="477" cm="1">
        <f t="array" ref="D1461">IFERROR(HorasUteisFabrica2Turnos(B1461,C1461), "")</f>
        <v>0</v>
      </c>
      <c r="E1461" s="697" t="str">
        <f t="shared" si="23"/>
        <v/>
      </c>
      <c r="F1461" s="266"/>
      <c r="G1461" s="698"/>
      <c r="H1461" s="266"/>
      <c r="I1461" s="268"/>
      <c r="J1461" s="268"/>
      <c r="K1461" s="268"/>
      <c r="L1461" s="269"/>
      <c r="M1461" s="510" t="str">
        <f>IFERROR(INDEX([1]Produtos!$C:$C,MATCH(L1461,[1]Produtos!$B:$B,0)), "-")</f>
        <v>-</v>
      </c>
      <c r="N1461" s="510" t="str">
        <f>IFERROR(INDEX([1]Produtos!$E:$E,MATCH(L1461,[1]Produtos!$B:$B,0)), "-")</f>
        <v>-</v>
      </c>
      <c r="O1461" s="270" t="str">
        <f>IFERROR(INDEX([1]Produtos!$F:$F,MATCH(L1461,[1]Produtos!$B:$B,0)), "-")</f>
        <v>-</v>
      </c>
      <c r="P1461" s="264" t="str">
        <f>IFERROR(INDEX([1]Produtos!$G:$G,MATCH(L1461,[1]Produtos!$B:$B,0)), "-")</f>
        <v>-</v>
      </c>
      <c r="Q1461" s="270" t="str">
        <f>IFERROR(INDEX([1]Produtos!$H:$H,MATCH(L1461,[1]Produtos!$B:$B,0)), "-")</f>
        <v>-</v>
      </c>
      <c r="R1461" s="270" t="str">
        <f>IFERROR(INDEX([1]Produtos!$I:$I,MATCH(L1461,[1]Produtos!$B:$B,0)), "-")</f>
        <v>-</v>
      </c>
      <c r="S1461" s="270" t="str">
        <f>IFERROR(INDEX([1]Produtos!$J:$J,MATCH(L1461,[1]Produtos!$B:$B,0)), "-")</f>
        <v>-</v>
      </c>
      <c r="T1461" s="475"/>
      <c r="U1461" s="270"/>
      <c r="V1461" s="270"/>
      <c r="W1461" s="270"/>
      <c r="X1461" s="270"/>
      <c r="Y1461" s="270"/>
      <c r="Z1461" s="270"/>
      <c r="AA1461" s="270"/>
      <c r="AB1461" s="270"/>
      <c r="AC1461" s="270"/>
      <c r="AD1461" s="270"/>
      <c r="AE1461" s="270"/>
      <c r="AF1461" s="270"/>
      <c r="AG1461" s="270"/>
      <c r="AH1461" s="270"/>
      <c r="AI1461" s="270"/>
      <c r="AJ1461" s="270"/>
      <c r="AK1461" s="270"/>
      <c r="AL1461" s="270"/>
      <c r="AM1461" s="663"/>
      <c r="AN1461" s="663"/>
      <c r="AO1461" s="708" t="str">
        <f>IF(OR(Table1[[#This Row],[Início Setup Envase]]="",Table1[[#This Row],[Final Setup Envase]]=""),"",Table1[[#This Row],[Final Setup Envase]]-Table1[[#This Row],[Início Setup Envase]])</f>
        <v/>
      </c>
      <c r="AP1461" s="663"/>
      <c r="AQ1461" s="663"/>
      <c r="AR1461" s="270"/>
      <c r="AS1461" s="674"/>
      <c r="AT1461" s="674"/>
      <c r="AU1461" s="270"/>
      <c r="AV1461" s="270"/>
      <c r="AW1461" s="270"/>
      <c r="AX1461" s="270"/>
      <c r="AY1461" s="270"/>
      <c r="AZ1461" s="270"/>
      <c r="BA1461" s="270" t="str">
        <f>IF(Table1[[#This Row],[Data de Início]]="","",YEAR(Table1[[#This Row],[Data de Início]]))</f>
        <v/>
      </c>
      <c r="BB1461" s="270" t="str">
        <f>IF(Table1[[#This Row],[Data de Início]]="","",MONTH(Table1[[#This Row],[Data de Início]]))</f>
        <v/>
      </c>
      <c r="BC1461" s="483"/>
    </row>
    <row r="1462" spans="2:55" x14ac:dyDescent="0.25">
      <c r="B1462" s="470"/>
      <c r="C1462" s="263"/>
      <c r="D1462" s="477" cm="1">
        <f t="array" ref="D1462">IFERROR(HorasUteisFabrica2Turnos(B1462,C1462), "")</f>
        <v>0</v>
      </c>
      <c r="E1462" s="478" t="str">
        <f t="shared" si="23"/>
        <v/>
      </c>
      <c r="F1462" s="266"/>
      <c r="G1462" s="656"/>
      <c r="H1462" s="479"/>
      <c r="I1462" s="268"/>
      <c r="J1462" s="268"/>
      <c r="K1462" s="268"/>
      <c r="L1462" s="269"/>
      <c r="M1462" s="511" t="str">
        <f>IFERROR(INDEX([1]Produtos!$C:$C,MATCH(L1462,[1]Produtos!$B:$B,0)), "-")</f>
        <v>-</v>
      </c>
      <c r="N1462" s="511" t="str">
        <f>IFERROR(INDEX([1]Produtos!$E:$E,MATCH(L1462,[1]Produtos!$B:$B,0)), "-")</f>
        <v>-</v>
      </c>
      <c r="O1462" s="483" t="str">
        <f>IFERROR(INDEX([1]Produtos!$F:$F,MATCH(L1462,[1]Produtos!$B:$B,0)), "-")</f>
        <v>-</v>
      </c>
      <c r="P1462" s="477" t="str">
        <f>IFERROR(INDEX([1]Produtos!$G:$G,MATCH(L1462,[1]Produtos!$B:$B,0)), "-")</f>
        <v>-</v>
      </c>
      <c r="Q1462" s="483" t="str">
        <f>IFERROR(INDEX([1]Produtos!$H:$H,MATCH(L1462,[1]Produtos!$B:$B,0)), "-")</f>
        <v>-</v>
      </c>
      <c r="R1462" s="483" t="str">
        <f>IFERROR(INDEX([1]Produtos!$I:$I,MATCH(L1462,[1]Produtos!$B:$B,0)), "-")</f>
        <v>-</v>
      </c>
      <c r="S1462" s="483" t="str">
        <f>IFERROR(INDEX([1]Produtos!$J:$J,MATCH(L1462,[1]Produtos!$B:$B,0)), "-")</f>
        <v>-</v>
      </c>
      <c r="T1462" s="484"/>
      <c r="U1462" s="483"/>
      <c r="V1462" s="483"/>
      <c r="W1462" s="483"/>
      <c r="X1462" s="483"/>
      <c r="Y1462" s="483"/>
      <c r="Z1462" s="483"/>
      <c r="AA1462" s="483"/>
      <c r="AB1462" s="483"/>
      <c r="AC1462" s="483"/>
      <c r="AD1462" s="483"/>
      <c r="AE1462" s="483"/>
      <c r="AF1462" s="483"/>
      <c r="AG1462" s="483"/>
      <c r="AH1462" s="483"/>
      <c r="AI1462" s="483"/>
      <c r="AJ1462" s="483"/>
      <c r="AK1462" s="483"/>
      <c r="AL1462" s="483"/>
      <c r="AM1462" s="670"/>
      <c r="AN1462" s="670"/>
      <c r="AO1462" s="711" t="str">
        <f>IF(OR(Table1[[#This Row],[Início Setup Envase]]="",Table1[[#This Row],[Final Setup Envase]]=""),"",Table1[[#This Row],[Final Setup Envase]]-Table1[[#This Row],[Início Setup Envase]])</f>
        <v/>
      </c>
      <c r="AP1462" s="670"/>
      <c r="AQ1462" s="670"/>
      <c r="AR1462" s="483"/>
      <c r="AS1462" s="483"/>
      <c r="AT1462" s="483"/>
      <c r="AU1462" s="483"/>
      <c r="AV1462" s="483"/>
      <c r="AW1462" s="483"/>
      <c r="AX1462" s="483"/>
      <c r="AY1462" s="270"/>
      <c r="AZ1462" s="270"/>
      <c r="BA1462" s="270" t="str">
        <f>IF(Table1[[#This Row],[Data de Início]]="","",YEAR(Table1[[#This Row],[Data de Início]]))</f>
        <v/>
      </c>
      <c r="BB1462" s="270" t="str">
        <f>IF(Table1[[#This Row],[Data de Início]]="","",MONTH(Table1[[#This Row],[Data de Início]]))</f>
        <v/>
      </c>
      <c r="BC1462" s="270"/>
    </row>
    <row r="1463" spans="2:55" x14ac:dyDescent="0.25">
      <c r="B1463" s="470"/>
      <c r="C1463" s="263"/>
      <c r="D1463" s="477" cm="1">
        <f t="array" ref="D1463">IFERROR(HorasUteisFabrica2Turnos(B1463,C1463), "")</f>
        <v>0</v>
      </c>
      <c r="E1463" s="697" t="str">
        <f t="shared" si="23"/>
        <v/>
      </c>
      <c r="F1463" s="266"/>
      <c r="G1463" s="698"/>
      <c r="H1463" s="266"/>
      <c r="I1463" s="268"/>
      <c r="J1463" s="268"/>
      <c r="K1463" s="268"/>
      <c r="L1463" s="269"/>
      <c r="M1463" s="510" t="str">
        <f>IFERROR(INDEX([1]Produtos!$C:$C,MATCH(L1463,[1]Produtos!$B:$B,0)), "-")</f>
        <v>-</v>
      </c>
      <c r="N1463" s="510" t="str">
        <f>IFERROR(INDEX([1]Produtos!$E:$E,MATCH(L1463,[1]Produtos!$B:$B,0)), "-")</f>
        <v>-</v>
      </c>
      <c r="O1463" s="270" t="str">
        <f>IFERROR(INDEX([1]Produtos!$F:$F,MATCH(L1463,[1]Produtos!$B:$B,0)), "-")</f>
        <v>-</v>
      </c>
      <c r="P1463" s="264" t="str">
        <f>IFERROR(INDEX([1]Produtos!$G:$G,MATCH(L1463,[1]Produtos!$B:$B,0)), "-")</f>
        <v>-</v>
      </c>
      <c r="Q1463" s="270" t="str">
        <f>IFERROR(INDEX([1]Produtos!$H:$H,MATCH(L1463,[1]Produtos!$B:$B,0)), "-")</f>
        <v>-</v>
      </c>
      <c r="R1463" s="270" t="str">
        <f>IFERROR(INDEX([1]Produtos!$I:$I,MATCH(L1463,[1]Produtos!$B:$B,0)), "-")</f>
        <v>-</v>
      </c>
      <c r="S1463" s="270" t="str">
        <f>IFERROR(INDEX([1]Produtos!$J:$J,MATCH(L1463,[1]Produtos!$B:$B,0)), "-")</f>
        <v>-</v>
      </c>
      <c r="T1463" s="475"/>
      <c r="U1463" s="270"/>
      <c r="V1463" s="270"/>
      <c r="W1463" s="270"/>
      <c r="X1463" s="270"/>
      <c r="Y1463" s="270"/>
      <c r="Z1463" s="270"/>
      <c r="AA1463" s="270"/>
      <c r="AB1463" s="270"/>
      <c r="AC1463" s="270"/>
      <c r="AD1463" s="270"/>
      <c r="AE1463" s="270"/>
      <c r="AF1463" s="270"/>
      <c r="AG1463" s="270"/>
      <c r="AH1463" s="270"/>
      <c r="AI1463" s="270"/>
      <c r="AJ1463" s="270"/>
      <c r="AK1463" s="270"/>
      <c r="AL1463" s="270"/>
      <c r="AM1463" s="663"/>
      <c r="AN1463" s="663"/>
      <c r="AO1463" s="708" t="str">
        <f>IF(OR(Table1[[#This Row],[Início Setup Envase]]="",Table1[[#This Row],[Final Setup Envase]]=""),"",Table1[[#This Row],[Final Setup Envase]]-Table1[[#This Row],[Início Setup Envase]])</f>
        <v/>
      </c>
      <c r="AP1463" s="663"/>
      <c r="AQ1463" s="663"/>
      <c r="AR1463" s="270"/>
      <c r="AS1463" s="674"/>
      <c r="AT1463" s="674"/>
      <c r="AU1463" s="270"/>
      <c r="AV1463" s="270"/>
      <c r="AW1463" s="270"/>
      <c r="AX1463" s="270"/>
      <c r="AY1463" s="270"/>
      <c r="AZ1463" s="270"/>
      <c r="BA1463" s="270" t="str">
        <f>IF(Table1[[#This Row],[Data de Início]]="","",YEAR(Table1[[#This Row],[Data de Início]]))</f>
        <v/>
      </c>
      <c r="BB1463" s="270" t="str">
        <f>IF(Table1[[#This Row],[Data de Início]]="","",MONTH(Table1[[#This Row],[Data de Início]]))</f>
        <v/>
      </c>
      <c r="BC1463" s="483"/>
    </row>
    <row r="1464" spans="2:55" x14ac:dyDescent="0.25">
      <c r="B1464" s="470"/>
      <c r="C1464" s="263"/>
      <c r="D1464" s="477" cm="1">
        <f t="array" ref="D1464">IFERROR(HorasUteisFabrica2Turnos(B1464,C1464), "")</f>
        <v>0</v>
      </c>
      <c r="E1464" s="478" t="str">
        <f t="shared" si="23"/>
        <v/>
      </c>
      <c r="F1464" s="266"/>
      <c r="G1464" s="656"/>
      <c r="H1464" s="479"/>
      <c r="I1464" s="268"/>
      <c r="J1464" s="268"/>
      <c r="K1464" s="268"/>
      <c r="L1464" s="269"/>
      <c r="M1464" s="511" t="str">
        <f>IFERROR(INDEX([1]Produtos!$C:$C,MATCH(L1464,[1]Produtos!$B:$B,0)), "-")</f>
        <v>-</v>
      </c>
      <c r="N1464" s="511" t="str">
        <f>IFERROR(INDEX([1]Produtos!$E:$E,MATCH(L1464,[1]Produtos!$B:$B,0)), "-")</f>
        <v>-</v>
      </c>
      <c r="O1464" s="483" t="str">
        <f>IFERROR(INDEX([1]Produtos!$F:$F,MATCH(L1464,[1]Produtos!$B:$B,0)), "-")</f>
        <v>-</v>
      </c>
      <c r="P1464" s="477" t="str">
        <f>IFERROR(INDEX([1]Produtos!$G:$G,MATCH(L1464,[1]Produtos!$B:$B,0)), "-")</f>
        <v>-</v>
      </c>
      <c r="Q1464" s="483" t="str">
        <f>IFERROR(INDEX([1]Produtos!$H:$H,MATCH(L1464,[1]Produtos!$B:$B,0)), "-")</f>
        <v>-</v>
      </c>
      <c r="R1464" s="483" t="str">
        <f>IFERROR(INDEX([1]Produtos!$I:$I,MATCH(L1464,[1]Produtos!$B:$B,0)), "-")</f>
        <v>-</v>
      </c>
      <c r="S1464" s="483" t="str">
        <f>IFERROR(INDEX([1]Produtos!$J:$J,MATCH(L1464,[1]Produtos!$B:$B,0)), "-")</f>
        <v>-</v>
      </c>
      <c r="T1464" s="484"/>
      <c r="U1464" s="483"/>
      <c r="V1464" s="483"/>
      <c r="W1464" s="483"/>
      <c r="X1464" s="483"/>
      <c r="Y1464" s="483"/>
      <c r="Z1464" s="483"/>
      <c r="AA1464" s="483"/>
      <c r="AB1464" s="483"/>
      <c r="AC1464" s="483"/>
      <c r="AD1464" s="483"/>
      <c r="AE1464" s="483"/>
      <c r="AF1464" s="483"/>
      <c r="AG1464" s="483"/>
      <c r="AH1464" s="483"/>
      <c r="AI1464" s="483"/>
      <c r="AJ1464" s="483"/>
      <c r="AK1464" s="483"/>
      <c r="AL1464" s="483"/>
      <c r="AM1464" s="670"/>
      <c r="AN1464" s="670"/>
      <c r="AO1464" s="711" t="str">
        <f>IF(OR(Table1[[#This Row],[Início Setup Envase]]="",Table1[[#This Row],[Final Setup Envase]]=""),"",Table1[[#This Row],[Final Setup Envase]]-Table1[[#This Row],[Início Setup Envase]])</f>
        <v/>
      </c>
      <c r="AP1464" s="670"/>
      <c r="AQ1464" s="670"/>
      <c r="AR1464" s="483"/>
      <c r="AS1464" s="483"/>
      <c r="AT1464" s="483"/>
      <c r="AU1464" s="483"/>
      <c r="AV1464" s="483"/>
      <c r="AW1464" s="483"/>
      <c r="AX1464" s="483"/>
      <c r="AY1464" s="270"/>
      <c r="AZ1464" s="270"/>
      <c r="BA1464" s="270" t="str">
        <f>IF(Table1[[#This Row],[Data de Início]]="","",YEAR(Table1[[#This Row],[Data de Início]]))</f>
        <v/>
      </c>
      <c r="BB1464" s="270" t="str">
        <f>IF(Table1[[#This Row],[Data de Início]]="","",MONTH(Table1[[#This Row],[Data de Início]]))</f>
        <v/>
      </c>
      <c r="BC1464" s="270"/>
    </row>
    <row r="1465" spans="2:55" x14ac:dyDescent="0.25">
      <c r="B1465" s="470"/>
      <c r="C1465" s="263"/>
      <c r="D1465" s="477" cm="1">
        <f t="array" ref="D1465">IFERROR(HorasUteisFabrica2Turnos(B1465,C1465), "")</f>
        <v>0</v>
      </c>
      <c r="E1465" s="697" t="str">
        <f t="shared" si="23"/>
        <v/>
      </c>
      <c r="F1465" s="266"/>
      <c r="G1465" s="698"/>
      <c r="H1465" s="266"/>
      <c r="I1465" s="268"/>
      <c r="J1465" s="268"/>
      <c r="K1465" s="268"/>
      <c r="L1465" s="269"/>
      <c r="M1465" s="510" t="str">
        <f>IFERROR(INDEX([1]Produtos!$C:$C,MATCH(L1465,[1]Produtos!$B:$B,0)), "-")</f>
        <v>-</v>
      </c>
      <c r="N1465" s="510" t="str">
        <f>IFERROR(INDEX([1]Produtos!$E:$E,MATCH(L1465,[1]Produtos!$B:$B,0)), "-")</f>
        <v>-</v>
      </c>
      <c r="O1465" s="270" t="str">
        <f>IFERROR(INDEX([1]Produtos!$F:$F,MATCH(L1465,[1]Produtos!$B:$B,0)), "-")</f>
        <v>-</v>
      </c>
      <c r="P1465" s="264" t="str">
        <f>IFERROR(INDEX([1]Produtos!$G:$G,MATCH(L1465,[1]Produtos!$B:$B,0)), "-")</f>
        <v>-</v>
      </c>
      <c r="Q1465" s="270" t="str">
        <f>IFERROR(INDEX([1]Produtos!$H:$H,MATCH(L1465,[1]Produtos!$B:$B,0)), "-")</f>
        <v>-</v>
      </c>
      <c r="R1465" s="270" t="str">
        <f>IFERROR(INDEX([1]Produtos!$I:$I,MATCH(L1465,[1]Produtos!$B:$B,0)), "-")</f>
        <v>-</v>
      </c>
      <c r="S1465" s="270" t="str">
        <f>IFERROR(INDEX([1]Produtos!$J:$J,MATCH(L1465,[1]Produtos!$B:$B,0)), "-")</f>
        <v>-</v>
      </c>
      <c r="T1465" s="475"/>
      <c r="U1465" s="270"/>
      <c r="V1465" s="270"/>
      <c r="W1465" s="270"/>
      <c r="X1465" s="270"/>
      <c r="Y1465" s="270"/>
      <c r="Z1465" s="270"/>
      <c r="AA1465" s="270"/>
      <c r="AB1465" s="270"/>
      <c r="AC1465" s="270"/>
      <c r="AD1465" s="270"/>
      <c r="AE1465" s="270"/>
      <c r="AF1465" s="270"/>
      <c r="AG1465" s="270"/>
      <c r="AH1465" s="270"/>
      <c r="AI1465" s="270"/>
      <c r="AJ1465" s="270"/>
      <c r="AK1465" s="270"/>
      <c r="AL1465" s="270"/>
      <c r="AM1465" s="663"/>
      <c r="AN1465" s="663"/>
      <c r="AO1465" s="708" t="str">
        <f>IF(OR(Table1[[#This Row],[Início Setup Envase]]="",Table1[[#This Row],[Final Setup Envase]]=""),"",Table1[[#This Row],[Final Setup Envase]]-Table1[[#This Row],[Início Setup Envase]])</f>
        <v/>
      </c>
      <c r="AP1465" s="663"/>
      <c r="AQ1465" s="663"/>
      <c r="AR1465" s="270"/>
      <c r="AS1465" s="674"/>
      <c r="AT1465" s="674"/>
      <c r="AU1465" s="270"/>
      <c r="AV1465" s="270"/>
      <c r="AW1465" s="270"/>
      <c r="AX1465" s="270"/>
      <c r="AY1465" s="270"/>
      <c r="AZ1465" s="270"/>
      <c r="BA1465" s="270" t="str">
        <f>IF(Table1[[#This Row],[Data de Início]]="","",YEAR(Table1[[#This Row],[Data de Início]]))</f>
        <v/>
      </c>
      <c r="BB1465" s="270" t="str">
        <f>IF(Table1[[#This Row],[Data de Início]]="","",MONTH(Table1[[#This Row],[Data de Início]]))</f>
        <v/>
      </c>
      <c r="BC1465" s="483"/>
    </row>
    <row r="1466" spans="2:55" x14ac:dyDescent="0.25">
      <c r="B1466" s="470"/>
      <c r="C1466" s="263"/>
      <c r="D1466" s="477" cm="1">
        <f t="array" ref="D1466">IFERROR(HorasUteisFabrica2Turnos(B1466,C1466), "")</f>
        <v>0</v>
      </c>
      <c r="E1466" s="478" t="str">
        <f t="shared" si="23"/>
        <v/>
      </c>
      <c r="F1466" s="266"/>
      <c r="G1466" s="656"/>
      <c r="H1466" s="479"/>
      <c r="I1466" s="268"/>
      <c r="J1466" s="268"/>
      <c r="K1466" s="268"/>
      <c r="L1466" s="269"/>
      <c r="M1466" s="511" t="str">
        <f>IFERROR(INDEX([1]Produtos!$C:$C,MATCH(L1466,[1]Produtos!$B:$B,0)), "-")</f>
        <v>-</v>
      </c>
      <c r="N1466" s="511" t="str">
        <f>IFERROR(INDEX([1]Produtos!$E:$E,MATCH(L1466,[1]Produtos!$B:$B,0)), "-")</f>
        <v>-</v>
      </c>
      <c r="O1466" s="483" t="str">
        <f>IFERROR(INDEX([1]Produtos!$F:$F,MATCH(L1466,[1]Produtos!$B:$B,0)), "-")</f>
        <v>-</v>
      </c>
      <c r="P1466" s="477" t="str">
        <f>IFERROR(INDEX([1]Produtos!$G:$G,MATCH(L1466,[1]Produtos!$B:$B,0)), "-")</f>
        <v>-</v>
      </c>
      <c r="Q1466" s="483" t="str">
        <f>IFERROR(INDEX([1]Produtos!$H:$H,MATCH(L1466,[1]Produtos!$B:$B,0)), "-")</f>
        <v>-</v>
      </c>
      <c r="R1466" s="483" t="str">
        <f>IFERROR(INDEX([1]Produtos!$I:$I,MATCH(L1466,[1]Produtos!$B:$B,0)), "-")</f>
        <v>-</v>
      </c>
      <c r="S1466" s="483" t="str">
        <f>IFERROR(INDEX([1]Produtos!$J:$J,MATCH(L1466,[1]Produtos!$B:$B,0)), "-")</f>
        <v>-</v>
      </c>
      <c r="T1466" s="484"/>
      <c r="U1466" s="483"/>
      <c r="V1466" s="483"/>
      <c r="W1466" s="483"/>
      <c r="X1466" s="483"/>
      <c r="Y1466" s="483"/>
      <c r="Z1466" s="483"/>
      <c r="AA1466" s="483"/>
      <c r="AB1466" s="483"/>
      <c r="AC1466" s="483"/>
      <c r="AD1466" s="483"/>
      <c r="AE1466" s="483"/>
      <c r="AF1466" s="483"/>
      <c r="AG1466" s="483"/>
      <c r="AH1466" s="483"/>
      <c r="AI1466" s="483"/>
      <c r="AJ1466" s="483"/>
      <c r="AK1466" s="483"/>
      <c r="AL1466" s="483"/>
      <c r="AM1466" s="670"/>
      <c r="AN1466" s="670"/>
      <c r="AO1466" s="711" t="str">
        <f>IF(OR(Table1[[#This Row],[Início Setup Envase]]="",Table1[[#This Row],[Final Setup Envase]]=""),"",Table1[[#This Row],[Final Setup Envase]]-Table1[[#This Row],[Início Setup Envase]])</f>
        <v/>
      </c>
      <c r="AP1466" s="670"/>
      <c r="AQ1466" s="670"/>
      <c r="AR1466" s="483"/>
      <c r="AS1466" s="483"/>
      <c r="AT1466" s="483"/>
      <c r="AU1466" s="483"/>
      <c r="AV1466" s="483"/>
      <c r="AW1466" s="483"/>
      <c r="AX1466" s="483"/>
      <c r="AY1466" s="270"/>
      <c r="AZ1466" s="270"/>
      <c r="BA1466" s="270" t="str">
        <f>IF(Table1[[#This Row],[Data de Início]]="","",YEAR(Table1[[#This Row],[Data de Início]]))</f>
        <v/>
      </c>
      <c r="BB1466" s="270" t="str">
        <f>IF(Table1[[#This Row],[Data de Início]]="","",MONTH(Table1[[#This Row],[Data de Início]]))</f>
        <v/>
      </c>
      <c r="BC1466" s="270"/>
    </row>
    <row r="1467" spans="2:55" x14ac:dyDescent="0.25">
      <c r="B1467" s="470"/>
      <c r="C1467" s="263"/>
      <c r="D1467" s="477" cm="1">
        <f t="array" ref="D1467">IFERROR(HorasUteisFabrica2Turnos(B1467,C1467), "")</f>
        <v>0</v>
      </c>
      <c r="E1467" s="697" t="str">
        <f t="shared" si="23"/>
        <v/>
      </c>
      <c r="F1467" s="266"/>
      <c r="G1467" s="698"/>
      <c r="H1467" s="266"/>
      <c r="I1467" s="268"/>
      <c r="J1467" s="268"/>
      <c r="K1467" s="268"/>
      <c r="L1467" s="269"/>
      <c r="M1467" s="510" t="str">
        <f>IFERROR(INDEX([1]Produtos!$C:$C,MATCH(L1467,[1]Produtos!$B:$B,0)), "-")</f>
        <v>-</v>
      </c>
      <c r="N1467" s="510" t="str">
        <f>IFERROR(INDEX([1]Produtos!$E:$E,MATCH(L1467,[1]Produtos!$B:$B,0)), "-")</f>
        <v>-</v>
      </c>
      <c r="O1467" s="270" t="str">
        <f>IFERROR(INDEX([1]Produtos!$F:$F,MATCH(L1467,[1]Produtos!$B:$B,0)), "-")</f>
        <v>-</v>
      </c>
      <c r="P1467" s="264" t="str">
        <f>IFERROR(INDEX([1]Produtos!$G:$G,MATCH(L1467,[1]Produtos!$B:$B,0)), "-")</f>
        <v>-</v>
      </c>
      <c r="Q1467" s="270" t="str">
        <f>IFERROR(INDEX([1]Produtos!$H:$H,MATCH(L1467,[1]Produtos!$B:$B,0)), "-")</f>
        <v>-</v>
      </c>
      <c r="R1467" s="270" t="str">
        <f>IFERROR(INDEX([1]Produtos!$I:$I,MATCH(L1467,[1]Produtos!$B:$B,0)), "-")</f>
        <v>-</v>
      </c>
      <c r="S1467" s="270" t="str">
        <f>IFERROR(INDEX([1]Produtos!$J:$J,MATCH(L1467,[1]Produtos!$B:$B,0)), "-")</f>
        <v>-</v>
      </c>
      <c r="T1467" s="475"/>
      <c r="U1467" s="270"/>
      <c r="V1467" s="270"/>
      <c r="W1467" s="270"/>
      <c r="X1467" s="270"/>
      <c r="Y1467" s="270"/>
      <c r="Z1467" s="270"/>
      <c r="AA1467" s="270"/>
      <c r="AB1467" s="270"/>
      <c r="AC1467" s="270"/>
      <c r="AD1467" s="270"/>
      <c r="AE1467" s="270"/>
      <c r="AF1467" s="270"/>
      <c r="AG1467" s="270"/>
      <c r="AH1467" s="270"/>
      <c r="AI1467" s="270"/>
      <c r="AJ1467" s="270"/>
      <c r="AK1467" s="270"/>
      <c r="AL1467" s="270"/>
      <c r="AM1467" s="663"/>
      <c r="AN1467" s="663"/>
      <c r="AO1467" s="708" t="str">
        <f>IF(OR(Table1[[#This Row],[Início Setup Envase]]="",Table1[[#This Row],[Final Setup Envase]]=""),"",Table1[[#This Row],[Final Setup Envase]]-Table1[[#This Row],[Início Setup Envase]])</f>
        <v/>
      </c>
      <c r="AP1467" s="663"/>
      <c r="AQ1467" s="663"/>
      <c r="AR1467" s="270"/>
      <c r="AS1467" s="674"/>
      <c r="AT1467" s="674"/>
      <c r="AU1467" s="270"/>
      <c r="AV1467" s="270"/>
      <c r="AW1467" s="270"/>
      <c r="AX1467" s="270"/>
      <c r="AY1467" s="270"/>
      <c r="AZ1467" s="270"/>
      <c r="BA1467" s="270" t="str">
        <f>IF(Table1[[#This Row],[Data de Início]]="","",YEAR(Table1[[#This Row],[Data de Início]]))</f>
        <v/>
      </c>
      <c r="BB1467" s="270" t="str">
        <f>IF(Table1[[#This Row],[Data de Início]]="","",MONTH(Table1[[#This Row],[Data de Início]]))</f>
        <v/>
      </c>
      <c r="BC1467" s="483"/>
    </row>
    <row r="1468" spans="2:55" x14ac:dyDescent="0.25">
      <c r="B1468" s="470"/>
      <c r="C1468" s="263"/>
      <c r="D1468" s="477" cm="1">
        <f t="array" ref="D1468">IFERROR(HorasUteisFabrica2Turnos(B1468,C1468), "")</f>
        <v>0</v>
      </c>
      <c r="E1468" s="478" t="str">
        <f t="shared" si="23"/>
        <v/>
      </c>
      <c r="F1468" s="266"/>
      <c r="G1468" s="656"/>
      <c r="H1468" s="479"/>
      <c r="I1468" s="268"/>
      <c r="J1468" s="268"/>
      <c r="K1468" s="268"/>
      <c r="L1468" s="269"/>
      <c r="M1468" s="511" t="str">
        <f>IFERROR(INDEX([1]Produtos!$C:$C,MATCH(L1468,[1]Produtos!$B:$B,0)), "-")</f>
        <v>-</v>
      </c>
      <c r="N1468" s="511" t="str">
        <f>IFERROR(INDEX([1]Produtos!$E:$E,MATCH(L1468,[1]Produtos!$B:$B,0)), "-")</f>
        <v>-</v>
      </c>
      <c r="O1468" s="483" t="str">
        <f>IFERROR(INDEX([1]Produtos!$F:$F,MATCH(L1468,[1]Produtos!$B:$B,0)), "-")</f>
        <v>-</v>
      </c>
      <c r="P1468" s="477" t="str">
        <f>IFERROR(INDEX([1]Produtos!$G:$G,MATCH(L1468,[1]Produtos!$B:$B,0)), "-")</f>
        <v>-</v>
      </c>
      <c r="Q1468" s="483" t="str">
        <f>IFERROR(INDEX([1]Produtos!$H:$H,MATCH(L1468,[1]Produtos!$B:$B,0)), "-")</f>
        <v>-</v>
      </c>
      <c r="R1468" s="483" t="str">
        <f>IFERROR(INDEX([1]Produtos!$I:$I,MATCH(L1468,[1]Produtos!$B:$B,0)), "-")</f>
        <v>-</v>
      </c>
      <c r="S1468" s="483" t="str">
        <f>IFERROR(INDEX([1]Produtos!$J:$J,MATCH(L1468,[1]Produtos!$B:$B,0)), "-")</f>
        <v>-</v>
      </c>
      <c r="T1468" s="484"/>
      <c r="U1468" s="483"/>
      <c r="V1468" s="483"/>
      <c r="W1468" s="483"/>
      <c r="X1468" s="483"/>
      <c r="Y1468" s="483"/>
      <c r="Z1468" s="483"/>
      <c r="AA1468" s="483"/>
      <c r="AB1468" s="483"/>
      <c r="AC1468" s="483"/>
      <c r="AD1468" s="483"/>
      <c r="AE1468" s="483"/>
      <c r="AF1468" s="483"/>
      <c r="AG1468" s="483"/>
      <c r="AH1468" s="483"/>
      <c r="AI1468" s="483"/>
      <c r="AJ1468" s="483"/>
      <c r="AK1468" s="483"/>
      <c r="AL1468" s="483"/>
      <c r="AM1468" s="670"/>
      <c r="AN1468" s="670"/>
      <c r="AO1468" s="711" t="str">
        <f>IF(OR(Table1[[#This Row],[Início Setup Envase]]="",Table1[[#This Row],[Final Setup Envase]]=""),"",Table1[[#This Row],[Final Setup Envase]]-Table1[[#This Row],[Início Setup Envase]])</f>
        <v/>
      </c>
      <c r="AP1468" s="670"/>
      <c r="AQ1468" s="670"/>
      <c r="AR1468" s="483"/>
      <c r="AS1468" s="483"/>
      <c r="AT1468" s="483"/>
      <c r="AU1468" s="483"/>
      <c r="AV1468" s="483"/>
      <c r="AW1468" s="483"/>
      <c r="AX1468" s="483"/>
      <c r="AY1468" s="270"/>
      <c r="AZ1468" s="270"/>
      <c r="BA1468" s="270" t="str">
        <f>IF(Table1[[#This Row],[Data de Início]]="","",YEAR(Table1[[#This Row],[Data de Início]]))</f>
        <v/>
      </c>
      <c r="BB1468" s="270" t="str">
        <f>IF(Table1[[#This Row],[Data de Início]]="","",MONTH(Table1[[#This Row],[Data de Início]]))</f>
        <v/>
      </c>
      <c r="BC1468" s="270"/>
    </row>
    <row r="1469" spans="2:55" x14ac:dyDescent="0.25">
      <c r="B1469" s="470"/>
      <c r="C1469" s="263"/>
      <c r="D1469" s="477" cm="1">
        <f t="array" ref="D1469">IFERROR(HorasUteisFabrica2Turnos(B1469,C1469), "")</f>
        <v>0</v>
      </c>
      <c r="E1469" s="697" t="str">
        <f t="shared" si="23"/>
        <v/>
      </c>
      <c r="F1469" s="266"/>
      <c r="G1469" s="698"/>
      <c r="H1469" s="266"/>
      <c r="I1469" s="268"/>
      <c r="J1469" s="268"/>
      <c r="K1469" s="268"/>
      <c r="L1469" s="269"/>
      <c r="M1469" s="510" t="str">
        <f>IFERROR(INDEX([1]Produtos!$C:$C,MATCH(L1469,[1]Produtos!$B:$B,0)), "-")</f>
        <v>-</v>
      </c>
      <c r="N1469" s="510" t="str">
        <f>IFERROR(INDEX([1]Produtos!$E:$E,MATCH(L1469,[1]Produtos!$B:$B,0)), "-")</f>
        <v>-</v>
      </c>
      <c r="O1469" s="270" t="str">
        <f>IFERROR(INDEX([1]Produtos!$F:$F,MATCH(L1469,[1]Produtos!$B:$B,0)), "-")</f>
        <v>-</v>
      </c>
      <c r="P1469" s="264" t="str">
        <f>IFERROR(INDEX([1]Produtos!$G:$G,MATCH(L1469,[1]Produtos!$B:$B,0)), "-")</f>
        <v>-</v>
      </c>
      <c r="Q1469" s="270" t="str">
        <f>IFERROR(INDEX([1]Produtos!$H:$H,MATCH(L1469,[1]Produtos!$B:$B,0)), "-")</f>
        <v>-</v>
      </c>
      <c r="R1469" s="270" t="str">
        <f>IFERROR(INDEX([1]Produtos!$I:$I,MATCH(L1469,[1]Produtos!$B:$B,0)), "-")</f>
        <v>-</v>
      </c>
      <c r="S1469" s="270" t="str">
        <f>IFERROR(INDEX([1]Produtos!$J:$J,MATCH(L1469,[1]Produtos!$B:$B,0)), "-")</f>
        <v>-</v>
      </c>
      <c r="T1469" s="475"/>
      <c r="U1469" s="270"/>
      <c r="V1469" s="270"/>
      <c r="W1469" s="270"/>
      <c r="X1469" s="270"/>
      <c r="Y1469" s="270"/>
      <c r="Z1469" s="270"/>
      <c r="AA1469" s="270"/>
      <c r="AB1469" s="270"/>
      <c r="AC1469" s="270"/>
      <c r="AD1469" s="270"/>
      <c r="AE1469" s="270"/>
      <c r="AF1469" s="270"/>
      <c r="AG1469" s="270"/>
      <c r="AH1469" s="270"/>
      <c r="AI1469" s="270"/>
      <c r="AJ1469" s="270"/>
      <c r="AK1469" s="270"/>
      <c r="AL1469" s="270"/>
      <c r="AM1469" s="663"/>
      <c r="AN1469" s="663"/>
      <c r="AO1469" s="708" t="str">
        <f>IF(OR(Table1[[#This Row],[Início Setup Envase]]="",Table1[[#This Row],[Final Setup Envase]]=""),"",Table1[[#This Row],[Final Setup Envase]]-Table1[[#This Row],[Início Setup Envase]])</f>
        <v/>
      </c>
      <c r="AP1469" s="663"/>
      <c r="AQ1469" s="663"/>
      <c r="AR1469" s="270"/>
      <c r="AS1469" s="674"/>
      <c r="AT1469" s="674"/>
      <c r="AU1469" s="270"/>
      <c r="AV1469" s="270"/>
      <c r="AW1469" s="270"/>
      <c r="AX1469" s="270"/>
      <c r="AY1469" s="270"/>
      <c r="AZ1469" s="270"/>
      <c r="BA1469" s="270" t="str">
        <f>IF(Table1[[#This Row],[Data de Início]]="","",YEAR(Table1[[#This Row],[Data de Início]]))</f>
        <v/>
      </c>
      <c r="BB1469" s="270" t="str">
        <f>IF(Table1[[#This Row],[Data de Início]]="","",MONTH(Table1[[#This Row],[Data de Início]]))</f>
        <v/>
      </c>
      <c r="BC1469" s="483"/>
    </row>
    <row r="1470" spans="2:55" x14ac:dyDescent="0.25">
      <c r="B1470" s="470"/>
      <c r="C1470" s="263"/>
      <c r="D1470" s="477" cm="1">
        <f t="array" ref="D1470">IFERROR(HorasUteisFabrica2Turnos(B1470,C1470), "")</f>
        <v>0</v>
      </c>
      <c r="E1470" s="478" t="str">
        <f t="shared" si="23"/>
        <v/>
      </c>
      <c r="F1470" s="266"/>
      <c r="G1470" s="656"/>
      <c r="H1470" s="479"/>
      <c r="I1470" s="268"/>
      <c r="J1470" s="268"/>
      <c r="K1470" s="268"/>
      <c r="L1470" s="269"/>
      <c r="M1470" s="511" t="str">
        <f>IFERROR(INDEX([1]Produtos!$C:$C,MATCH(L1470,[1]Produtos!$B:$B,0)), "-")</f>
        <v>-</v>
      </c>
      <c r="N1470" s="511" t="str">
        <f>IFERROR(INDEX([1]Produtos!$E:$E,MATCH(L1470,[1]Produtos!$B:$B,0)), "-")</f>
        <v>-</v>
      </c>
      <c r="O1470" s="483" t="str">
        <f>IFERROR(INDEX([1]Produtos!$F:$F,MATCH(L1470,[1]Produtos!$B:$B,0)), "-")</f>
        <v>-</v>
      </c>
      <c r="P1470" s="477" t="str">
        <f>IFERROR(INDEX([1]Produtos!$G:$G,MATCH(L1470,[1]Produtos!$B:$B,0)), "-")</f>
        <v>-</v>
      </c>
      <c r="Q1470" s="483" t="str">
        <f>IFERROR(INDEX([1]Produtos!$H:$H,MATCH(L1470,[1]Produtos!$B:$B,0)), "-")</f>
        <v>-</v>
      </c>
      <c r="R1470" s="483" t="str">
        <f>IFERROR(INDEX([1]Produtos!$I:$I,MATCH(L1470,[1]Produtos!$B:$B,0)), "-")</f>
        <v>-</v>
      </c>
      <c r="S1470" s="483" t="str">
        <f>IFERROR(INDEX([1]Produtos!$J:$J,MATCH(L1470,[1]Produtos!$B:$B,0)), "-")</f>
        <v>-</v>
      </c>
      <c r="T1470" s="484"/>
      <c r="U1470" s="483"/>
      <c r="V1470" s="483"/>
      <c r="W1470" s="483"/>
      <c r="X1470" s="483"/>
      <c r="Y1470" s="483"/>
      <c r="Z1470" s="483"/>
      <c r="AA1470" s="483"/>
      <c r="AB1470" s="483"/>
      <c r="AC1470" s="483"/>
      <c r="AD1470" s="483"/>
      <c r="AE1470" s="483"/>
      <c r="AF1470" s="483"/>
      <c r="AG1470" s="483"/>
      <c r="AH1470" s="483"/>
      <c r="AI1470" s="483"/>
      <c r="AJ1470" s="483"/>
      <c r="AK1470" s="483"/>
      <c r="AL1470" s="483"/>
      <c r="AM1470" s="670"/>
      <c r="AN1470" s="670"/>
      <c r="AO1470" s="711" t="str">
        <f>IF(OR(Table1[[#This Row],[Início Setup Envase]]="",Table1[[#This Row],[Final Setup Envase]]=""),"",Table1[[#This Row],[Final Setup Envase]]-Table1[[#This Row],[Início Setup Envase]])</f>
        <v/>
      </c>
      <c r="AP1470" s="670"/>
      <c r="AQ1470" s="670"/>
      <c r="AR1470" s="483"/>
      <c r="AS1470" s="483"/>
      <c r="AT1470" s="483"/>
      <c r="AU1470" s="483"/>
      <c r="AV1470" s="483"/>
      <c r="AW1470" s="483"/>
      <c r="AX1470" s="483"/>
      <c r="AY1470" s="270"/>
      <c r="AZ1470" s="270"/>
      <c r="BA1470" s="270" t="str">
        <f>IF(Table1[[#This Row],[Data de Início]]="","",YEAR(Table1[[#This Row],[Data de Início]]))</f>
        <v/>
      </c>
      <c r="BB1470" s="270" t="str">
        <f>IF(Table1[[#This Row],[Data de Início]]="","",MONTH(Table1[[#This Row],[Data de Início]]))</f>
        <v/>
      </c>
      <c r="BC1470" s="270"/>
    </row>
    <row r="1471" spans="2:55" x14ac:dyDescent="0.25">
      <c r="B1471" s="470"/>
      <c r="C1471" s="263"/>
      <c r="D1471" s="477" cm="1">
        <f t="array" ref="D1471">IFERROR(HorasUteisFabrica2Turnos(B1471,C1471), "")</f>
        <v>0</v>
      </c>
      <c r="E1471" s="697" t="str">
        <f t="shared" si="23"/>
        <v/>
      </c>
      <c r="F1471" s="266"/>
      <c r="G1471" s="698"/>
      <c r="H1471" s="266"/>
      <c r="I1471" s="268"/>
      <c r="J1471" s="268"/>
      <c r="K1471" s="268"/>
      <c r="L1471" s="269"/>
      <c r="M1471" s="510" t="str">
        <f>IFERROR(INDEX([1]Produtos!$C:$C,MATCH(L1471,[1]Produtos!$B:$B,0)), "-")</f>
        <v>-</v>
      </c>
      <c r="N1471" s="510" t="str">
        <f>IFERROR(INDEX([1]Produtos!$E:$E,MATCH(L1471,[1]Produtos!$B:$B,0)), "-")</f>
        <v>-</v>
      </c>
      <c r="O1471" s="270" t="str">
        <f>IFERROR(INDEX([1]Produtos!$F:$F,MATCH(L1471,[1]Produtos!$B:$B,0)), "-")</f>
        <v>-</v>
      </c>
      <c r="P1471" s="264" t="str">
        <f>IFERROR(INDEX([1]Produtos!$G:$G,MATCH(L1471,[1]Produtos!$B:$B,0)), "-")</f>
        <v>-</v>
      </c>
      <c r="Q1471" s="270" t="str">
        <f>IFERROR(INDEX([1]Produtos!$H:$H,MATCH(L1471,[1]Produtos!$B:$B,0)), "-")</f>
        <v>-</v>
      </c>
      <c r="R1471" s="270" t="str">
        <f>IFERROR(INDEX([1]Produtos!$I:$I,MATCH(L1471,[1]Produtos!$B:$B,0)), "-")</f>
        <v>-</v>
      </c>
      <c r="S1471" s="270" t="str">
        <f>IFERROR(INDEX([1]Produtos!$J:$J,MATCH(L1471,[1]Produtos!$B:$B,0)), "-")</f>
        <v>-</v>
      </c>
      <c r="T1471" s="475"/>
      <c r="U1471" s="270"/>
      <c r="V1471" s="270"/>
      <c r="W1471" s="270"/>
      <c r="X1471" s="270"/>
      <c r="Y1471" s="270"/>
      <c r="Z1471" s="270"/>
      <c r="AA1471" s="270"/>
      <c r="AB1471" s="270"/>
      <c r="AC1471" s="270"/>
      <c r="AD1471" s="270"/>
      <c r="AE1471" s="270"/>
      <c r="AF1471" s="270"/>
      <c r="AG1471" s="270"/>
      <c r="AH1471" s="270"/>
      <c r="AI1471" s="270"/>
      <c r="AJ1471" s="270"/>
      <c r="AK1471" s="270"/>
      <c r="AL1471" s="270"/>
      <c r="AM1471" s="663"/>
      <c r="AN1471" s="663"/>
      <c r="AO1471" s="708" t="str">
        <f>IF(OR(Table1[[#This Row],[Início Setup Envase]]="",Table1[[#This Row],[Final Setup Envase]]=""),"",Table1[[#This Row],[Final Setup Envase]]-Table1[[#This Row],[Início Setup Envase]])</f>
        <v/>
      </c>
      <c r="AP1471" s="663"/>
      <c r="AQ1471" s="663"/>
      <c r="AR1471" s="270"/>
      <c r="AS1471" s="674"/>
      <c r="AT1471" s="674"/>
      <c r="AU1471" s="270"/>
      <c r="AV1471" s="270"/>
      <c r="AW1471" s="270"/>
      <c r="AX1471" s="270"/>
      <c r="AY1471" s="270"/>
      <c r="AZ1471" s="270"/>
      <c r="BA1471" s="270" t="str">
        <f>IF(Table1[[#This Row],[Data de Início]]="","",YEAR(Table1[[#This Row],[Data de Início]]))</f>
        <v/>
      </c>
      <c r="BB1471" s="270" t="str">
        <f>IF(Table1[[#This Row],[Data de Início]]="","",MONTH(Table1[[#This Row],[Data de Início]]))</f>
        <v/>
      </c>
      <c r="BC1471" s="483"/>
    </row>
    <row r="1472" spans="2:55" x14ac:dyDescent="0.25">
      <c r="B1472" s="470"/>
      <c r="C1472" s="263"/>
      <c r="D1472" s="477" cm="1">
        <f t="array" ref="D1472">IFERROR(HorasUteisFabrica2Turnos(B1472,C1472), "")</f>
        <v>0</v>
      </c>
      <c r="E1472" s="478" t="str">
        <f t="shared" si="23"/>
        <v/>
      </c>
      <c r="F1472" s="266"/>
      <c r="G1472" s="656"/>
      <c r="H1472" s="479"/>
      <c r="I1472" s="268"/>
      <c r="J1472" s="268"/>
      <c r="K1472" s="268"/>
      <c r="L1472" s="269"/>
      <c r="M1472" s="511" t="str">
        <f>IFERROR(INDEX([1]Produtos!$C:$C,MATCH(L1472,[1]Produtos!$B:$B,0)), "-")</f>
        <v>-</v>
      </c>
      <c r="N1472" s="511" t="str">
        <f>IFERROR(INDEX([1]Produtos!$E:$E,MATCH(L1472,[1]Produtos!$B:$B,0)), "-")</f>
        <v>-</v>
      </c>
      <c r="O1472" s="483" t="str">
        <f>IFERROR(INDEX([1]Produtos!$F:$F,MATCH(L1472,[1]Produtos!$B:$B,0)), "-")</f>
        <v>-</v>
      </c>
      <c r="P1472" s="477" t="str">
        <f>IFERROR(INDEX([1]Produtos!$G:$G,MATCH(L1472,[1]Produtos!$B:$B,0)), "-")</f>
        <v>-</v>
      </c>
      <c r="Q1472" s="483" t="str">
        <f>IFERROR(INDEX([1]Produtos!$H:$H,MATCH(L1472,[1]Produtos!$B:$B,0)), "-")</f>
        <v>-</v>
      </c>
      <c r="R1472" s="483" t="str">
        <f>IFERROR(INDEX([1]Produtos!$I:$I,MATCH(L1472,[1]Produtos!$B:$B,0)), "-")</f>
        <v>-</v>
      </c>
      <c r="S1472" s="483" t="str">
        <f>IFERROR(INDEX([1]Produtos!$J:$J,MATCH(L1472,[1]Produtos!$B:$B,0)), "-")</f>
        <v>-</v>
      </c>
      <c r="T1472" s="484"/>
      <c r="U1472" s="483"/>
      <c r="V1472" s="483"/>
      <c r="W1472" s="483"/>
      <c r="X1472" s="483"/>
      <c r="Y1472" s="483"/>
      <c r="Z1472" s="483"/>
      <c r="AA1472" s="483"/>
      <c r="AB1472" s="483"/>
      <c r="AC1472" s="483"/>
      <c r="AD1472" s="483"/>
      <c r="AE1472" s="483"/>
      <c r="AF1472" s="483"/>
      <c r="AG1472" s="483"/>
      <c r="AH1472" s="483"/>
      <c r="AI1472" s="483"/>
      <c r="AJ1472" s="483"/>
      <c r="AK1472" s="483"/>
      <c r="AL1472" s="483"/>
      <c r="AM1472" s="670"/>
      <c r="AN1472" s="670"/>
      <c r="AO1472" s="711" t="str">
        <f>IF(OR(Table1[[#This Row],[Início Setup Envase]]="",Table1[[#This Row],[Final Setup Envase]]=""),"",Table1[[#This Row],[Final Setup Envase]]-Table1[[#This Row],[Início Setup Envase]])</f>
        <v/>
      </c>
      <c r="AP1472" s="670"/>
      <c r="AQ1472" s="670"/>
      <c r="AR1472" s="483"/>
      <c r="AS1472" s="483"/>
      <c r="AT1472" s="483"/>
      <c r="AU1472" s="483"/>
      <c r="AV1472" s="483"/>
      <c r="AW1472" s="483"/>
      <c r="AX1472" s="483"/>
      <c r="AY1472" s="270"/>
      <c r="AZ1472" s="270"/>
      <c r="BA1472" s="270" t="str">
        <f>IF(Table1[[#This Row],[Data de Início]]="","",YEAR(Table1[[#This Row],[Data de Início]]))</f>
        <v/>
      </c>
      <c r="BB1472" s="270" t="str">
        <f>IF(Table1[[#This Row],[Data de Início]]="","",MONTH(Table1[[#This Row],[Data de Início]]))</f>
        <v/>
      </c>
      <c r="BC1472" s="270"/>
    </row>
    <row r="1473" spans="2:55" x14ac:dyDescent="0.25">
      <c r="B1473" s="470"/>
      <c r="C1473" s="263"/>
      <c r="D1473" s="477" cm="1">
        <f t="array" ref="D1473">IFERROR(HorasUteisFabrica2Turnos(B1473,C1473), "")</f>
        <v>0</v>
      </c>
      <c r="E1473" s="697" t="str">
        <f t="shared" si="23"/>
        <v/>
      </c>
      <c r="F1473" s="266"/>
      <c r="G1473" s="698"/>
      <c r="H1473" s="266"/>
      <c r="I1473" s="268"/>
      <c r="J1473" s="268"/>
      <c r="K1473" s="268"/>
      <c r="L1473" s="269"/>
      <c r="M1473" s="510" t="str">
        <f>IFERROR(INDEX([1]Produtos!$C:$C,MATCH(L1473,[1]Produtos!$B:$B,0)), "-")</f>
        <v>-</v>
      </c>
      <c r="N1473" s="510" t="str">
        <f>IFERROR(INDEX([1]Produtos!$E:$E,MATCH(L1473,[1]Produtos!$B:$B,0)), "-")</f>
        <v>-</v>
      </c>
      <c r="O1473" s="270" t="str">
        <f>IFERROR(INDEX([1]Produtos!$F:$F,MATCH(L1473,[1]Produtos!$B:$B,0)), "-")</f>
        <v>-</v>
      </c>
      <c r="P1473" s="264" t="str">
        <f>IFERROR(INDEX([1]Produtos!$G:$G,MATCH(L1473,[1]Produtos!$B:$B,0)), "-")</f>
        <v>-</v>
      </c>
      <c r="Q1473" s="270" t="str">
        <f>IFERROR(INDEX([1]Produtos!$H:$H,MATCH(L1473,[1]Produtos!$B:$B,0)), "-")</f>
        <v>-</v>
      </c>
      <c r="R1473" s="270" t="str">
        <f>IFERROR(INDEX([1]Produtos!$I:$I,MATCH(L1473,[1]Produtos!$B:$B,0)), "-")</f>
        <v>-</v>
      </c>
      <c r="S1473" s="270" t="str">
        <f>IFERROR(INDEX([1]Produtos!$J:$J,MATCH(L1473,[1]Produtos!$B:$B,0)), "-")</f>
        <v>-</v>
      </c>
      <c r="T1473" s="475"/>
      <c r="U1473" s="270"/>
      <c r="V1473" s="270"/>
      <c r="W1473" s="270"/>
      <c r="X1473" s="270"/>
      <c r="Y1473" s="270"/>
      <c r="Z1473" s="270"/>
      <c r="AA1473" s="270"/>
      <c r="AB1473" s="270"/>
      <c r="AC1473" s="270"/>
      <c r="AD1473" s="270"/>
      <c r="AE1473" s="270"/>
      <c r="AF1473" s="270"/>
      <c r="AG1473" s="270"/>
      <c r="AH1473" s="270"/>
      <c r="AI1473" s="270"/>
      <c r="AJ1473" s="270"/>
      <c r="AK1473" s="270"/>
      <c r="AL1473" s="270"/>
      <c r="AM1473" s="663"/>
      <c r="AN1473" s="663"/>
      <c r="AO1473" s="708" t="str">
        <f>IF(OR(Table1[[#This Row],[Início Setup Envase]]="",Table1[[#This Row],[Final Setup Envase]]=""),"",Table1[[#This Row],[Final Setup Envase]]-Table1[[#This Row],[Início Setup Envase]])</f>
        <v/>
      </c>
      <c r="AP1473" s="663"/>
      <c r="AQ1473" s="663"/>
      <c r="AR1473" s="270"/>
      <c r="AS1473" s="674"/>
      <c r="AT1473" s="674"/>
      <c r="AU1473" s="270"/>
      <c r="AV1473" s="270"/>
      <c r="AW1473" s="270"/>
      <c r="AX1473" s="270"/>
      <c r="AY1473" s="270"/>
      <c r="AZ1473" s="270"/>
      <c r="BA1473" s="270" t="str">
        <f>IF(Table1[[#This Row],[Data de Início]]="","",YEAR(Table1[[#This Row],[Data de Início]]))</f>
        <v/>
      </c>
      <c r="BB1473" s="270" t="str">
        <f>IF(Table1[[#This Row],[Data de Início]]="","",MONTH(Table1[[#This Row],[Data de Início]]))</f>
        <v/>
      </c>
      <c r="BC1473" s="483"/>
    </row>
    <row r="1474" spans="2:55" x14ac:dyDescent="0.25">
      <c r="B1474" s="470"/>
      <c r="C1474" s="263"/>
      <c r="D1474" s="477" cm="1">
        <f t="array" ref="D1474">IFERROR(HorasUteisFabrica2Turnos(B1474,C1474), "")</f>
        <v>0</v>
      </c>
      <c r="E1474" s="478" t="str">
        <f t="shared" si="23"/>
        <v/>
      </c>
      <c r="F1474" s="266"/>
      <c r="G1474" s="656"/>
      <c r="H1474" s="479"/>
      <c r="I1474" s="268"/>
      <c r="J1474" s="268"/>
      <c r="K1474" s="268"/>
      <c r="L1474" s="269"/>
      <c r="M1474" s="511" t="str">
        <f>IFERROR(INDEX([1]Produtos!$C:$C,MATCH(L1474,[1]Produtos!$B:$B,0)), "-")</f>
        <v>-</v>
      </c>
      <c r="N1474" s="511" t="str">
        <f>IFERROR(INDEX([1]Produtos!$E:$E,MATCH(L1474,[1]Produtos!$B:$B,0)), "-")</f>
        <v>-</v>
      </c>
      <c r="O1474" s="483" t="str">
        <f>IFERROR(INDEX([1]Produtos!$F:$F,MATCH(L1474,[1]Produtos!$B:$B,0)), "-")</f>
        <v>-</v>
      </c>
      <c r="P1474" s="477" t="str">
        <f>IFERROR(INDEX([1]Produtos!$G:$G,MATCH(L1474,[1]Produtos!$B:$B,0)), "-")</f>
        <v>-</v>
      </c>
      <c r="Q1474" s="483" t="str">
        <f>IFERROR(INDEX([1]Produtos!$H:$H,MATCH(L1474,[1]Produtos!$B:$B,0)), "-")</f>
        <v>-</v>
      </c>
      <c r="R1474" s="483" t="str">
        <f>IFERROR(INDEX([1]Produtos!$I:$I,MATCH(L1474,[1]Produtos!$B:$B,0)), "-")</f>
        <v>-</v>
      </c>
      <c r="S1474" s="483" t="str">
        <f>IFERROR(INDEX([1]Produtos!$J:$J,MATCH(L1474,[1]Produtos!$B:$B,0)), "-")</f>
        <v>-</v>
      </c>
      <c r="T1474" s="484"/>
      <c r="U1474" s="483"/>
      <c r="V1474" s="483"/>
      <c r="W1474" s="483"/>
      <c r="X1474" s="483"/>
      <c r="Y1474" s="483"/>
      <c r="Z1474" s="483"/>
      <c r="AA1474" s="483"/>
      <c r="AB1474" s="483"/>
      <c r="AC1474" s="483"/>
      <c r="AD1474" s="483"/>
      <c r="AE1474" s="483"/>
      <c r="AF1474" s="483"/>
      <c r="AG1474" s="483"/>
      <c r="AH1474" s="483"/>
      <c r="AI1474" s="483"/>
      <c r="AJ1474" s="483"/>
      <c r="AK1474" s="483"/>
      <c r="AL1474" s="483"/>
      <c r="AM1474" s="670"/>
      <c r="AN1474" s="670"/>
      <c r="AO1474" s="711" t="str">
        <f>IF(OR(Table1[[#This Row],[Início Setup Envase]]="",Table1[[#This Row],[Final Setup Envase]]=""),"",Table1[[#This Row],[Final Setup Envase]]-Table1[[#This Row],[Início Setup Envase]])</f>
        <v/>
      </c>
      <c r="AP1474" s="670"/>
      <c r="AQ1474" s="670"/>
      <c r="AR1474" s="483"/>
      <c r="AS1474" s="483"/>
      <c r="AT1474" s="483"/>
      <c r="AU1474" s="483"/>
      <c r="AV1474" s="483"/>
      <c r="AW1474" s="483"/>
      <c r="AX1474" s="483"/>
      <c r="AY1474" s="270"/>
      <c r="AZ1474" s="270"/>
      <c r="BA1474" s="270" t="str">
        <f>IF(Table1[[#This Row],[Data de Início]]="","",YEAR(Table1[[#This Row],[Data de Início]]))</f>
        <v/>
      </c>
      <c r="BB1474" s="270" t="str">
        <f>IF(Table1[[#This Row],[Data de Início]]="","",MONTH(Table1[[#This Row],[Data de Início]]))</f>
        <v/>
      </c>
      <c r="BC1474" s="270"/>
    </row>
    <row r="1475" spans="2:55" x14ac:dyDescent="0.25">
      <c r="B1475" s="470"/>
      <c r="C1475" s="263"/>
      <c r="D1475" s="477" cm="1">
        <f t="array" ref="D1475">IFERROR(HorasUteisFabrica2Turnos(B1475,C1475), "")</f>
        <v>0</v>
      </c>
      <c r="E1475" s="697" t="str">
        <f t="shared" si="23"/>
        <v/>
      </c>
      <c r="F1475" s="266"/>
      <c r="G1475" s="698"/>
      <c r="H1475" s="266"/>
      <c r="I1475" s="268"/>
      <c r="J1475" s="268"/>
      <c r="K1475" s="268"/>
      <c r="L1475" s="269"/>
      <c r="M1475" s="510" t="str">
        <f>IFERROR(INDEX([1]Produtos!$C:$C,MATCH(L1475,[1]Produtos!$B:$B,0)), "-")</f>
        <v>-</v>
      </c>
      <c r="N1475" s="510" t="str">
        <f>IFERROR(INDEX([1]Produtos!$E:$E,MATCH(L1475,[1]Produtos!$B:$B,0)), "-")</f>
        <v>-</v>
      </c>
      <c r="O1475" s="270" t="str">
        <f>IFERROR(INDEX([1]Produtos!$F:$F,MATCH(L1475,[1]Produtos!$B:$B,0)), "-")</f>
        <v>-</v>
      </c>
      <c r="P1475" s="264" t="str">
        <f>IFERROR(INDEX([1]Produtos!$G:$G,MATCH(L1475,[1]Produtos!$B:$B,0)), "-")</f>
        <v>-</v>
      </c>
      <c r="Q1475" s="270" t="str">
        <f>IFERROR(INDEX([1]Produtos!$H:$H,MATCH(L1475,[1]Produtos!$B:$B,0)), "-")</f>
        <v>-</v>
      </c>
      <c r="R1475" s="270" t="str">
        <f>IFERROR(INDEX([1]Produtos!$I:$I,MATCH(L1475,[1]Produtos!$B:$B,0)), "-")</f>
        <v>-</v>
      </c>
      <c r="S1475" s="270" t="str">
        <f>IFERROR(INDEX([1]Produtos!$J:$J,MATCH(L1475,[1]Produtos!$B:$B,0)), "-")</f>
        <v>-</v>
      </c>
      <c r="T1475" s="475"/>
      <c r="U1475" s="270"/>
      <c r="V1475" s="270"/>
      <c r="W1475" s="270"/>
      <c r="X1475" s="270"/>
      <c r="Y1475" s="270"/>
      <c r="Z1475" s="270"/>
      <c r="AA1475" s="270"/>
      <c r="AB1475" s="270"/>
      <c r="AC1475" s="270"/>
      <c r="AD1475" s="270"/>
      <c r="AE1475" s="270"/>
      <c r="AF1475" s="270"/>
      <c r="AG1475" s="270"/>
      <c r="AH1475" s="270"/>
      <c r="AI1475" s="270"/>
      <c r="AJ1475" s="270"/>
      <c r="AK1475" s="270"/>
      <c r="AL1475" s="270"/>
      <c r="AM1475" s="663"/>
      <c r="AN1475" s="663"/>
      <c r="AO1475" s="708" t="str">
        <f>IF(OR(Table1[[#This Row],[Início Setup Envase]]="",Table1[[#This Row],[Final Setup Envase]]=""),"",Table1[[#This Row],[Final Setup Envase]]-Table1[[#This Row],[Início Setup Envase]])</f>
        <v/>
      </c>
      <c r="AP1475" s="663"/>
      <c r="AQ1475" s="663"/>
      <c r="AR1475" s="270"/>
      <c r="AS1475" s="674"/>
      <c r="AT1475" s="674"/>
      <c r="AU1475" s="270"/>
      <c r="AV1475" s="270"/>
      <c r="AW1475" s="270"/>
      <c r="AX1475" s="270"/>
      <c r="AY1475" s="270"/>
      <c r="AZ1475" s="270"/>
      <c r="BA1475" s="270" t="str">
        <f>IF(Table1[[#This Row],[Data de Início]]="","",YEAR(Table1[[#This Row],[Data de Início]]))</f>
        <v/>
      </c>
      <c r="BB1475" s="270" t="str">
        <f>IF(Table1[[#This Row],[Data de Início]]="","",MONTH(Table1[[#This Row],[Data de Início]]))</f>
        <v/>
      </c>
      <c r="BC1475" s="483"/>
    </row>
    <row r="1476" spans="2:55" x14ac:dyDescent="0.25">
      <c r="B1476" s="470"/>
      <c r="C1476" s="263"/>
      <c r="D1476" s="477" cm="1">
        <f t="array" ref="D1476">IFERROR(HorasUteisFabrica2Turnos(B1476,C1476), "")</f>
        <v>0</v>
      </c>
      <c r="E1476" s="478" t="str">
        <f t="shared" si="23"/>
        <v/>
      </c>
      <c r="F1476" s="266"/>
      <c r="G1476" s="656"/>
      <c r="H1476" s="479"/>
      <c r="I1476" s="268"/>
      <c r="J1476" s="268"/>
      <c r="K1476" s="268"/>
      <c r="L1476" s="269"/>
      <c r="M1476" s="511" t="str">
        <f>IFERROR(INDEX([1]Produtos!$C:$C,MATCH(L1476,[1]Produtos!$B:$B,0)), "-")</f>
        <v>-</v>
      </c>
      <c r="N1476" s="511" t="str">
        <f>IFERROR(INDEX([1]Produtos!$E:$E,MATCH(L1476,[1]Produtos!$B:$B,0)), "-")</f>
        <v>-</v>
      </c>
      <c r="O1476" s="483" t="str">
        <f>IFERROR(INDEX([1]Produtos!$F:$F,MATCH(L1476,[1]Produtos!$B:$B,0)), "-")</f>
        <v>-</v>
      </c>
      <c r="P1476" s="477" t="str">
        <f>IFERROR(INDEX([1]Produtos!$G:$G,MATCH(L1476,[1]Produtos!$B:$B,0)), "-")</f>
        <v>-</v>
      </c>
      <c r="Q1476" s="483" t="str">
        <f>IFERROR(INDEX([1]Produtos!$H:$H,MATCH(L1476,[1]Produtos!$B:$B,0)), "-")</f>
        <v>-</v>
      </c>
      <c r="R1476" s="483" t="str">
        <f>IFERROR(INDEX([1]Produtos!$I:$I,MATCH(L1476,[1]Produtos!$B:$B,0)), "-")</f>
        <v>-</v>
      </c>
      <c r="S1476" s="483" t="str">
        <f>IFERROR(INDEX([1]Produtos!$J:$J,MATCH(L1476,[1]Produtos!$B:$B,0)), "-")</f>
        <v>-</v>
      </c>
      <c r="T1476" s="484"/>
      <c r="U1476" s="483"/>
      <c r="V1476" s="483"/>
      <c r="W1476" s="483"/>
      <c r="X1476" s="483"/>
      <c r="Y1476" s="483"/>
      <c r="Z1476" s="483"/>
      <c r="AA1476" s="483"/>
      <c r="AB1476" s="483"/>
      <c r="AC1476" s="483"/>
      <c r="AD1476" s="483"/>
      <c r="AE1476" s="483"/>
      <c r="AF1476" s="483"/>
      <c r="AG1476" s="483"/>
      <c r="AH1476" s="483"/>
      <c r="AI1476" s="483"/>
      <c r="AJ1476" s="483"/>
      <c r="AK1476" s="483"/>
      <c r="AL1476" s="483"/>
      <c r="AM1476" s="670"/>
      <c r="AN1476" s="670"/>
      <c r="AO1476" s="711" t="str">
        <f>IF(OR(Table1[[#This Row],[Início Setup Envase]]="",Table1[[#This Row],[Final Setup Envase]]=""),"",Table1[[#This Row],[Final Setup Envase]]-Table1[[#This Row],[Início Setup Envase]])</f>
        <v/>
      </c>
      <c r="AP1476" s="670"/>
      <c r="AQ1476" s="670"/>
      <c r="AR1476" s="483"/>
      <c r="AS1476" s="483"/>
      <c r="AT1476" s="483"/>
      <c r="AU1476" s="483"/>
      <c r="AV1476" s="483"/>
      <c r="AW1476" s="483"/>
      <c r="AX1476" s="483"/>
      <c r="AY1476" s="270"/>
      <c r="AZ1476" s="270"/>
      <c r="BA1476" s="270" t="str">
        <f>IF(Table1[[#This Row],[Data de Início]]="","",YEAR(Table1[[#This Row],[Data de Início]]))</f>
        <v/>
      </c>
      <c r="BB1476" s="270" t="str">
        <f>IF(Table1[[#This Row],[Data de Início]]="","",MONTH(Table1[[#This Row],[Data de Início]]))</f>
        <v/>
      </c>
      <c r="BC1476" s="270"/>
    </row>
    <row r="1477" spans="2:55" x14ac:dyDescent="0.25">
      <c r="B1477" s="470"/>
      <c r="C1477" s="263"/>
      <c r="D1477" s="477" cm="1">
        <f t="array" ref="D1477">IFERROR(HorasUteisFabrica2Turnos(B1477,C1477), "")</f>
        <v>0</v>
      </c>
      <c r="E1477" s="697" t="str">
        <f t="shared" si="23"/>
        <v/>
      </c>
      <c r="F1477" s="266"/>
      <c r="G1477" s="698"/>
      <c r="H1477" s="266"/>
      <c r="I1477" s="268"/>
      <c r="J1477" s="268"/>
      <c r="K1477" s="268"/>
      <c r="L1477" s="269"/>
      <c r="M1477" s="510" t="str">
        <f>IFERROR(INDEX([1]Produtos!$C:$C,MATCH(L1477,[1]Produtos!$B:$B,0)), "-")</f>
        <v>-</v>
      </c>
      <c r="N1477" s="510" t="str">
        <f>IFERROR(INDEX([1]Produtos!$E:$E,MATCH(L1477,[1]Produtos!$B:$B,0)), "-")</f>
        <v>-</v>
      </c>
      <c r="O1477" s="270" t="str">
        <f>IFERROR(INDEX([1]Produtos!$F:$F,MATCH(L1477,[1]Produtos!$B:$B,0)), "-")</f>
        <v>-</v>
      </c>
      <c r="P1477" s="264" t="str">
        <f>IFERROR(INDEX([1]Produtos!$G:$G,MATCH(L1477,[1]Produtos!$B:$B,0)), "-")</f>
        <v>-</v>
      </c>
      <c r="Q1477" s="270" t="str">
        <f>IFERROR(INDEX([1]Produtos!$H:$H,MATCH(L1477,[1]Produtos!$B:$B,0)), "-")</f>
        <v>-</v>
      </c>
      <c r="R1477" s="270" t="str">
        <f>IFERROR(INDEX([1]Produtos!$I:$I,MATCH(L1477,[1]Produtos!$B:$B,0)), "-")</f>
        <v>-</v>
      </c>
      <c r="S1477" s="270" t="str">
        <f>IFERROR(INDEX([1]Produtos!$J:$J,MATCH(L1477,[1]Produtos!$B:$B,0)), "-")</f>
        <v>-</v>
      </c>
      <c r="T1477" s="475"/>
      <c r="U1477" s="270"/>
      <c r="V1477" s="270"/>
      <c r="W1477" s="270"/>
      <c r="X1477" s="270"/>
      <c r="Y1477" s="270"/>
      <c r="Z1477" s="270"/>
      <c r="AA1477" s="270"/>
      <c r="AB1477" s="270"/>
      <c r="AC1477" s="270"/>
      <c r="AD1477" s="270"/>
      <c r="AE1477" s="270"/>
      <c r="AF1477" s="270"/>
      <c r="AG1477" s="270"/>
      <c r="AH1477" s="270"/>
      <c r="AI1477" s="270"/>
      <c r="AJ1477" s="270"/>
      <c r="AK1477" s="270"/>
      <c r="AL1477" s="270"/>
      <c r="AM1477" s="663"/>
      <c r="AN1477" s="663"/>
      <c r="AO1477" s="708" t="str">
        <f>IF(OR(Table1[[#This Row],[Início Setup Envase]]="",Table1[[#This Row],[Final Setup Envase]]=""),"",Table1[[#This Row],[Final Setup Envase]]-Table1[[#This Row],[Início Setup Envase]])</f>
        <v/>
      </c>
      <c r="AP1477" s="663"/>
      <c r="AQ1477" s="663"/>
      <c r="AR1477" s="270"/>
      <c r="AS1477" s="674"/>
      <c r="AT1477" s="674"/>
      <c r="AU1477" s="270"/>
      <c r="AV1477" s="270"/>
      <c r="AW1477" s="270"/>
      <c r="AX1477" s="270"/>
      <c r="AY1477" s="270"/>
      <c r="AZ1477" s="270"/>
      <c r="BA1477" s="270" t="str">
        <f>IF(Table1[[#This Row],[Data de Início]]="","",YEAR(Table1[[#This Row],[Data de Início]]))</f>
        <v/>
      </c>
      <c r="BB1477" s="270" t="str">
        <f>IF(Table1[[#This Row],[Data de Início]]="","",MONTH(Table1[[#This Row],[Data de Início]]))</f>
        <v/>
      </c>
      <c r="BC1477" s="483"/>
    </row>
    <row r="1478" spans="2:55" x14ac:dyDescent="0.25">
      <c r="B1478" s="470"/>
      <c r="C1478" s="263"/>
      <c r="D1478" s="477" cm="1">
        <f t="array" ref="D1478">IFERROR(HorasUteisFabrica2Turnos(B1478,C1478), "")</f>
        <v>0</v>
      </c>
      <c r="E1478" s="478" t="str">
        <f t="shared" si="23"/>
        <v/>
      </c>
      <c r="F1478" s="266"/>
      <c r="G1478" s="656"/>
      <c r="H1478" s="479"/>
      <c r="I1478" s="268"/>
      <c r="J1478" s="268"/>
      <c r="K1478" s="268"/>
      <c r="L1478" s="269"/>
      <c r="M1478" s="511" t="str">
        <f>IFERROR(INDEX([1]Produtos!$C:$C,MATCH(L1478,[1]Produtos!$B:$B,0)), "-")</f>
        <v>-</v>
      </c>
      <c r="N1478" s="511" t="str">
        <f>IFERROR(INDEX([1]Produtos!$E:$E,MATCH(L1478,[1]Produtos!$B:$B,0)), "-")</f>
        <v>-</v>
      </c>
      <c r="O1478" s="483" t="str">
        <f>IFERROR(INDEX([1]Produtos!$F:$F,MATCH(L1478,[1]Produtos!$B:$B,0)), "-")</f>
        <v>-</v>
      </c>
      <c r="P1478" s="477" t="str">
        <f>IFERROR(INDEX([1]Produtos!$G:$G,MATCH(L1478,[1]Produtos!$B:$B,0)), "-")</f>
        <v>-</v>
      </c>
      <c r="Q1478" s="483" t="str">
        <f>IFERROR(INDEX([1]Produtos!$H:$H,MATCH(L1478,[1]Produtos!$B:$B,0)), "-")</f>
        <v>-</v>
      </c>
      <c r="R1478" s="483" t="str">
        <f>IFERROR(INDEX([1]Produtos!$I:$I,MATCH(L1478,[1]Produtos!$B:$B,0)), "-")</f>
        <v>-</v>
      </c>
      <c r="S1478" s="483" t="str">
        <f>IFERROR(INDEX([1]Produtos!$J:$J,MATCH(L1478,[1]Produtos!$B:$B,0)), "-")</f>
        <v>-</v>
      </c>
      <c r="T1478" s="484"/>
      <c r="U1478" s="483"/>
      <c r="V1478" s="483"/>
      <c r="W1478" s="483"/>
      <c r="X1478" s="483"/>
      <c r="Y1478" s="483"/>
      <c r="Z1478" s="483"/>
      <c r="AA1478" s="483"/>
      <c r="AB1478" s="483"/>
      <c r="AC1478" s="483"/>
      <c r="AD1478" s="483"/>
      <c r="AE1478" s="483"/>
      <c r="AF1478" s="483"/>
      <c r="AG1478" s="483"/>
      <c r="AH1478" s="483"/>
      <c r="AI1478" s="483"/>
      <c r="AJ1478" s="483"/>
      <c r="AK1478" s="483"/>
      <c r="AL1478" s="483"/>
      <c r="AM1478" s="670"/>
      <c r="AN1478" s="670"/>
      <c r="AO1478" s="711" t="str">
        <f>IF(OR(Table1[[#This Row],[Início Setup Envase]]="",Table1[[#This Row],[Final Setup Envase]]=""),"",Table1[[#This Row],[Final Setup Envase]]-Table1[[#This Row],[Início Setup Envase]])</f>
        <v/>
      </c>
      <c r="AP1478" s="670"/>
      <c r="AQ1478" s="670"/>
      <c r="AR1478" s="483"/>
      <c r="AS1478" s="483"/>
      <c r="AT1478" s="483"/>
      <c r="AU1478" s="483"/>
      <c r="AV1478" s="483"/>
      <c r="AW1478" s="483"/>
      <c r="AX1478" s="483"/>
      <c r="AY1478" s="270"/>
      <c r="AZ1478" s="270"/>
      <c r="BA1478" s="270" t="str">
        <f>IF(Table1[[#This Row],[Data de Início]]="","",YEAR(Table1[[#This Row],[Data de Início]]))</f>
        <v/>
      </c>
      <c r="BB1478" s="270" t="str">
        <f>IF(Table1[[#This Row],[Data de Início]]="","",MONTH(Table1[[#This Row],[Data de Início]]))</f>
        <v/>
      </c>
      <c r="BC1478" s="270"/>
    </row>
    <row r="1479" spans="2:55" x14ac:dyDescent="0.25">
      <c r="B1479" s="470"/>
      <c r="C1479" s="263"/>
      <c r="D1479" s="477" cm="1">
        <f t="array" ref="D1479">IFERROR(HorasUteisFabrica2Turnos(B1479,C1479), "")</f>
        <v>0</v>
      </c>
      <c r="E1479" s="697" t="str">
        <f t="shared" si="23"/>
        <v/>
      </c>
      <c r="F1479" s="266"/>
      <c r="G1479" s="698"/>
      <c r="H1479" s="266"/>
      <c r="I1479" s="268"/>
      <c r="J1479" s="268"/>
      <c r="K1479" s="268"/>
      <c r="L1479" s="269"/>
      <c r="M1479" s="510" t="str">
        <f>IFERROR(INDEX([1]Produtos!$C:$C,MATCH(L1479,[1]Produtos!$B:$B,0)), "-")</f>
        <v>-</v>
      </c>
      <c r="N1479" s="510" t="str">
        <f>IFERROR(INDEX([1]Produtos!$E:$E,MATCH(L1479,[1]Produtos!$B:$B,0)), "-")</f>
        <v>-</v>
      </c>
      <c r="O1479" s="270" t="str">
        <f>IFERROR(INDEX([1]Produtos!$F:$F,MATCH(L1479,[1]Produtos!$B:$B,0)), "-")</f>
        <v>-</v>
      </c>
      <c r="P1479" s="264" t="str">
        <f>IFERROR(INDEX([1]Produtos!$G:$G,MATCH(L1479,[1]Produtos!$B:$B,0)), "-")</f>
        <v>-</v>
      </c>
      <c r="Q1479" s="270" t="str">
        <f>IFERROR(INDEX([1]Produtos!$H:$H,MATCH(L1479,[1]Produtos!$B:$B,0)), "-")</f>
        <v>-</v>
      </c>
      <c r="R1479" s="270" t="str">
        <f>IFERROR(INDEX([1]Produtos!$I:$I,MATCH(L1479,[1]Produtos!$B:$B,0)), "-")</f>
        <v>-</v>
      </c>
      <c r="S1479" s="270" t="str">
        <f>IFERROR(INDEX([1]Produtos!$J:$J,MATCH(L1479,[1]Produtos!$B:$B,0)), "-")</f>
        <v>-</v>
      </c>
      <c r="T1479" s="475"/>
      <c r="U1479" s="270"/>
      <c r="V1479" s="270"/>
      <c r="W1479" s="270"/>
      <c r="X1479" s="270"/>
      <c r="Y1479" s="270"/>
      <c r="Z1479" s="270"/>
      <c r="AA1479" s="270"/>
      <c r="AB1479" s="270"/>
      <c r="AC1479" s="270"/>
      <c r="AD1479" s="270"/>
      <c r="AE1479" s="270"/>
      <c r="AF1479" s="270"/>
      <c r="AG1479" s="270"/>
      <c r="AH1479" s="270"/>
      <c r="AI1479" s="270"/>
      <c r="AJ1479" s="270"/>
      <c r="AK1479" s="270"/>
      <c r="AL1479" s="270"/>
      <c r="AM1479" s="663"/>
      <c r="AN1479" s="663"/>
      <c r="AO1479" s="708" t="str">
        <f>IF(OR(Table1[[#This Row],[Início Setup Envase]]="",Table1[[#This Row],[Final Setup Envase]]=""),"",Table1[[#This Row],[Final Setup Envase]]-Table1[[#This Row],[Início Setup Envase]])</f>
        <v/>
      </c>
      <c r="AP1479" s="663"/>
      <c r="AQ1479" s="663"/>
      <c r="AR1479" s="270"/>
      <c r="AS1479" s="674"/>
      <c r="AT1479" s="674"/>
      <c r="AU1479" s="270"/>
      <c r="AV1479" s="270"/>
      <c r="AW1479" s="270"/>
      <c r="AX1479" s="270"/>
      <c r="AY1479" s="270"/>
      <c r="AZ1479" s="270"/>
      <c r="BA1479" s="270" t="str">
        <f>IF(Table1[[#This Row],[Data de Início]]="","",YEAR(Table1[[#This Row],[Data de Início]]))</f>
        <v/>
      </c>
      <c r="BB1479" s="270" t="str">
        <f>IF(Table1[[#This Row],[Data de Início]]="","",MONTH(Table1[[#This Row],[Data de Início]]))</f>
        <v/>
      </c>
      <c r="BC1479" s="483"/>
    </row>
    <row r="1480" spans="2:55" x14ac:dyDescent="0.25">
      <c r="B1480" s="470"/>
      <c r="C1480" s="263"/>
      <c r="D1480" s="477" cm="1">
        <f t="array" ref="D1480">IFERROR(HorasUteisFabrica2Turnos(B1480,C1480), "")</f>
        <v>0</v>
      </c>
      <c r="E1480" s="478" t="str">
        <f t="shared" si="23"/>
        <v/>
      </c>
      <c r="F1480" s="266"/>
      <c r="G1480" s="656"/>
      <c r="H1480" s="479"/>
      <c r="I1480" s="268"/>
      <c r="J1480" s="268"/>
      <c r="K1480" s="268"/>
      <c r="L1480" s="269"/>
      <c r="M1480" s="511" t="str">
        <f>IFERROR(INDEX([1]Produtos!$C:$C,MATCH(L1480,[1]Produtos!$B:$B,0)), "-")</f>
        <v>-</v>
      </c>
      <c r="N1480" s="511" t="str">
        <f>IFERROR(INDEX([1]Produtos!$E:$E,MATCH(L1480,[1]Produtos!$B:$B,0)), "-")</f>
        <v>-</v>
      </c>
      <c r="O1480" s="483" t="str">
        <f>IFERROR(INDEX([1]Produtos!$F:$F,MATCH(L1480,[1]Produtos!$B:$B,0)), "-")</f>
        <v>-</v>
      </c>
      <c r="P1480" s="477" t="str">
        <f>IFERROR(INDEX([1]Produtos!$G:$G,MATCH(L1480,[1]Produtos!$B:$B,0)), "-")</f>
        <v>-</v>
      </c>
      <c r="Q1480" s="483" t="str">
        <f>IFERROR(INDEX([1]Produtos!$H:$H,MATCH(L1480,[1]Produtos!$B:$B,0)), "-")</f>
        <v>-</v>
      </c>
      <c r="R1480" s="483" t="str">
        <f>IFERROR(INDEX([1]Produtos!$I:$I,MATCH(L1480,[1]Produtos!$B:$B,0)), "-")</f>
        <v>-</v>
      </c>
      <c r="S1480" s="483" t="str">
        <f>IFERROR(INDEX([1]Produtos!$J:$J,MATCH(L1480,[1]Produtos!$B:$B,0)), "-")</f>
        <v>-</v>
      </c>
      <c r="T1480" s="484"/>
      <c r="U1480" s="483"/>
      <c r="V1480" s="483"/>
      <c r="W1480" s="483"/>
      <c r="X1480" s="483"/>
      <c r="Y1480" s="483"/>
      <c r="Z1480" s="483"/>
      <c r="AA1480" s="483"/>
      <c r="AB1480" s="483"/>
      <c r="AC1480" s="483"/>
      <c r="AD1480" s="483"/>
      <c r="AE1480" s="483"/>
      <c r="AF1480" s="483"/>
      <c r="AG1480" s="483"/>
      <c r="AH1480" s="483"/>
      <c r="AI1480" s="483"/>
      <c r="AJ1480" s="483"/>
      <c r="AK1480" s="483"/>
      <c r="AL1480" s="483"/>
      <c r="AM1480" s="670"/>
      <c r="AN1480" s="670"/>
      <c r="AO1480" s="711" t="str">
        <f>IF(OR(Table1[[#This Row],[Início Setup Envase]]="",Table1[[#This Row],[Final Setup Envase]]=""),"",Table1[[#This Row],[Final Setup Envase]]-Table1[[#This Row],[Início Setup Envase]])</f>
        <v/>
      </c>
      <c r="AP1480" s="670"/>
      <c r="AQ1480" s="670"/>
      <c r="AR1480" s="483"/>
      <c r="AS1480" s="483"/>
      <c r="AT1480" s="483"/>
      <c r="AU1480" s="483"/>
      <c r="AV1480" s="483"/>
      <c r="AW1480" s="483"/>
      <c r="AX1480" s="483"/>
      <c r="AY1480" s="270"/>
      <c r="AZ1480" s="270"/>
      <c r="BA1480" s="270" t="str">
        <f>IF(Table1[[#This Row],[Data de Início]]="","",YEAR(Table1[[#This Row],[Data de Início]]))</f>
        <v/>
      </c>
      <c r="BB1480" s="270" t="str">
        <f>IF(Table1[[#This Row],[Data de Início]]="","",MONTH(Table1[[#This Row],[Data de Início]]))</f>
        <v/>
      </c>
      <c r="BC1480" s="270"/>
    </row>
    <row r="1481" spans="2:55" x14ac:dyDescent="0.25">
      <c r="B1481" s="470"/>
      <c r="C1481" s="263"/>
      <c r="D1481" s="477" cm="1">
        <f t="array" ref="D1481">IFERROR(HorasUteisFabrica2Turnos(B1481,C1481), "")</f>
        <v>0</v>
      </c>
      <c r="E1481" s="697" t="str">
        <f t="shared" si="23"/>
        <v/>
      </c>
      <c r="F1481" s="266"/>
      <c r="G1481" s="698"/>
      <c r="H1481" s="266"/>
      <c r="I1481" s="268"/>
      <c r="J1481" s="268"/>
      <c r="K1481" s="268"/>
      <c r="L1481" s="269"/>
      <c r="M1481" s="510" t="str">
        <f>IFERROR(INDEX([1]Produtos!$C:$C,MATCH(L1481,[1]Produtos!$B:$B,0)), "-")</f>
        <v>-</v>
      </c>
      <c r="N1481" s="510" t="str">
        <f>IFERROR(INDEX([1]Produtos!$E:$E,MATCH(L1481,[1]Produtos!$B:$B,0)), "-")</f>
        <v>-</v>
      </c>
      <c r="O1481" s="270" t="str">
        <f>IFERROR(INDEX([1]Produtos!$F:$F,MATCH(L1481,[1]Produtos!$B:$B,0)), "-")</f>
        <v>-</v>
      </c>
      <c r="P1481" s="264" t="str">
        <f>IFERROR(INDEX([1]Produtos!$G:$G,MATCH(L1481,[1]Produtos!$B:$B,0)), "-")</f>
        <v>-</v>
      </c>
      <c r="Q1481" s="270" t="str">
        <f>IFERROR(INDEX([1]Produtos!$H:$H,MATCH(L1481,[1]Produtos!$B:$B,0)), "-")</f>
        <v>-</v>
      </c>
      <c r="R1481" s="270" t="str">
        <f>IFERROR(INDEX([1]Produtos!$I:$I,MATCH(L1481,[1]Produtos!$B:$B,0)), "-")</f>
        <v>-</v>
      </c>
      <c r="S1481" s="270" t="str">
        <f>IFERROR(INDEX([1]Produtos!$J:$J,MATCH(L1481,[1]Produtos!$B:$B,0)), "-")</f>
        <v>-</v>
      </c>
      <c r="T1481" s="475"/>
      <c r="U1481" s="270"/>
      <c r="V1481" s="270"/>
      <c r="W1481" s="270"/>
      <c r="X1481" s="270"/>
      <c r="Y1481" s="270"/>
      <c r="Z1481" s="270"/>
      <c r="AA1481" s="270"/>
      <c r="AB1481" s="270"/>
      <c r="AC1481" s="270"/>
      <c r="AD1481" s="270"/>
      <c r="AE1481" s="270"/>
      <c r="AF1481" s="270"/>
      <c r="AG1481" s="270"/>
      <c r="AH1481" s="270"/>
      <c r="AI1481" s="270"/>
      <c r="AJ1481" s="270"/>
      <c r="AK1481" s="270"/>
      <c r="AL1481" s="270"/>
      <c r="AM1481" s="663"/>
      <c r="AN1481" s="663"/>
      <c r="AO1481" s="708" t="str">
        <f>IF(OR(Table1[[#This Row],[Início Setup Envase]]="",Table1[[#This Row],[Final Setup Envase]]=""),"",Table1[[#This Row],[Final Setup Envase]]-Table1[[#This Row],[Início Setup Envase]])</f>
        <v/>
      </c>
      <c r="AP1481" s="663"/>
      <c r="AQ1481" s="663"/>
      <c r="AR1481" s="270"/>
      <c r="AS1481" s="674"/>
      <c r="AT1481" s="674"/>
      <c r="AU1481" s="270"/>
      <c r="AV1481" s="270"/>
      <c r="AW1481" s="270"/>
      <c r="AX1481" s="270"/>
      <c r="AY1481" s="270"/>
      <c r="AZ1481" s="270"/>
      <c r="BA1481" s="270" t="str">
        <f>IF(Table1[[#This Row],[Data de Início]]="","",YEAR(Table1[[#This Row],[Data de Início]]))</f>
        <v/>
      </c>
      <c r="BB1481" s="270" t="str">
        <f>IF(Table1[[#This Row],[Data de Início]]="","",MONTH(Table1[[#This Row],[Data de Início]]))</f>
        <v/>
      </c>
      <c r="BC1481" s="483"/>
    </row>
    <row r="1482" spans="2:55" x14ac:dyDescent="0.25">
      <c r="B1482" s="470"/>
      <c r="C1482" s="263"/>
      <c r="D1482" s="477" cm="1">
        <f t="array" ref="D1482">IFERROR(HorasUteisFabrica2Turnos(B1482,C1482), "")</f>
        <v>0</v>
      </c>
      <c r="E1482" s="478" t="str">
        <f t="shared" si="23"/>
        <v/>
      </c>
      <c r="F1482" s="266"/>
      <c r="G1482" s="656"/>
      <c r="H1482" s="479"/>
      <c r="I1482" s="268"/>
      <c r="J1482" s="268"/>
      <c r="K1482" s="268"/>
      <c r="L1482" s="269"/>
      <c r="M1482" s="511" t="str">
        <f>IFERROR(INDEX([1]Produtos!$C:$C,MATCH(L1482,[1]Produtos!$B:$B,0)), "-")</f>
        <v>-</v>
      </c>
      <c r="N1482" s="511" t="str">
        <f>IFERROR(INDEX([1]Produtos!$E:$E,MATCH(L1482,[1]Produtos!$B:$B,0)), "-")</f>
        <v>-</v>
      </c>
      <c r="O1482" s="483" t="str">
        <f>IFERROR(INDEX([1]Produtos!$F:$F,MATCH(L1482,[1]Produtos!$B:$B,0)), "-")</f>
        <v>-</v>
      </c>
      <c r="P1482" s="477" t="str">
        <f>IFERROR(INDEX([1]Produtos!$G:$G,MATCH(L1482,[1]Produtos!$B:$B,0)), "-")</f>
        <v>-</v>
      </c>
      <c r="Q1482" s="483" t="str">
        <f>IFERROR(INDEX([1]Produtos!$H:$H,MATCH(L1482,[1]Produtos!$B:$B,0)), "-")</f>
        <v>-</v>
      </c>
      <c r="R1482" s="483" t="str">
        <f>IFERROR(INDEX([1]Produtos!$I:$I,MATCH(L1482,[1]Produtos!$B:$B,0)), "-")</f>
        <v>-</v>
      </c>
      <c r="S1482" s="483" t="str">
        <f>IFERROR(INDEX([1]Produtos!$J:$J,MATCH(L1482,[1]Produtos!$B:$B,0)), "-")</f>
        <v>-</v>
      </c>
      <c r="T1482" s="484"/>
      <c r="U1482" s="483"/>
      <c r="V1482" s="483"/>
      <c r="W1482" s="483"/>
      <c r="X1482" s="483"/>
      <c r="Y1482" s="483"/>
      <c r="Z1482" s="483"/>
      <c r="AA1482" s="483"/>
      <c r="AB1482" s="483"/>
      <c r="AC1482" s="483"/>
      <c r="AD1482" s="483"/>
      <c r="AE1482" s="483"/>
      <c r="AF1482" s="483"/>
      <c r="AG1482" s="483"/>
      <c r="AH1482" s="483"/>
      <c r="AI1482" s="483"/>
      <c r="AJ1482" s="483"/>
      <c r="AK1482" s="483"/>
      <c r="AL1482" s="483"/>
      <c r="AM1482" s="670"/>
      <c r="AN1482" s="670"/>
      <c r="AO1482" s="711" t="str">
        <f>IF(OR(Table1[[#This Row],[Início Setup Envase]]="",Table1[[#This Row],[Final Setup Envase]]=""),"",Table1[[#This Row],[Final Setup Envase]]-Table1[[#This Row],[Início Setup Envase]])</f>
        <v/>
      </c>
      <c r="AP1482" s="670"/>
      <c r="AQ1482" s="670"/>
      <c r="AR1482" s="483"/>
      <c r="AS1482" s="483"/>
      <c r="AT1482" s="483"/>
      <c r="AU1482" s="483"/>
      <c r="AV1482" s="483"/>
      <c r="AW1482" s="483"/>
      <c r="AX1482" s="483"/>
      <c r="AY1482" s="270"/>
      <c r="AZ1482" s="270"/>
      <c r="BA1482" s="270" t="str">
        <f>IF(Table1[[#This Row],[Data de Início]]="","",YEAR(Table1[[#This Row],[Data de Início]]))</f>
        <v/>
      </c>
      <c r="BB1482" s="270" t="str">
        <f>IF(Table1[[#This Row],[Data de Início]]="","",MONTH(Table1[[#This Row],[Data de Início]]))</f>
        <v/>
      </c>
      <c r="BC1482" s="270"/>
    </row>
    <row r="1483" spans="2:55" x14ac:dyDescent="0.25">
      <c r="B1483" s="470"/>
      <c r="C1483" s="263"/>
      <c r="D1483" s="477" cm="1">
        <f t="array" ref="D1483">IFERROR(HorasUteisFabrica2Turnos(B1483,C1483), "")</f>
        <v>0</v>
      </c>
      <c r="E1483" s="697" t="str">
        <f t="shared" si="23"/>
        <v/>
      </c>
      <c r="F1483" s="266"/>
      <c r="G1483" s="698"/>
      <c r="H1483" s="266"/>
      <c r="I1483" s="268"/>
      <c r="J1483" s="268"/>
      <c r="K1483" s="268"/>
      <c r="L1483" s="269"/>
      <c r="M1483" s="510" t="str">
        <f>IFERROR(INDEX([1]Produtos!$C:$C,MATCH(L1483,[1]Produtos!$B:$B,0)), "-")</f>
        <v>-</v>
      </c>
      <c r="N1483" s="510" t="str">
        <f>IFERROR(INDEX([1]Produtos!$E:$E,MATCH(L1483,[1]Produtos!$B:$B,0)), "-")</f>
        <v>-</v>
      </c>
      <c r="O1483" s="270" t="str">
        <f>IFERROR(INDEX([1]Produtos!$F:$F,MATCH(L1483,[1]Produtos!$B:$B,0)), "-")</f>
        <v>-</v>
      </c>
      <c r="P1483" s="264" t="str">
        <f>IFERROR(INDEX([1]Produtos!$G:$G,MATCH(L1483,[1]Produtos!$B:$B,0)), "-")</f>
        <v>-</v>
      </c>
      <c r="Q1483" s="270" t="str">
        <f>IFERROR(INDEX([1]Produtos!$H:$H,MATCH(L1483,[1]Produtos!$B:$B,0)), "-")</f>
        <v>-</v>
      </c>
      <c r="R1483" s="270" t="str">
        <f>IFERROR(INDEX([1]Produtos!$I:$I,MATCH(L1483,[1]Produtos!$B:$B,0)), "-")</f>
        <v>-</v>
      </c>
      <c r="S1483" s="270" t="str">
        <f>IFERROR(INDEX([1]Produtos!$J:$J,MATCH(L1483,[1]Produtos!$B:$B,0)), "-")</f>
        <v>-</v>
      </c>
      <c r="T1483" s="475"/>
      <c r="U1483" s="270"/>
      <c r="V1483" s="270"/>
      <c r="W1483" s="270"/>
      <c r="X1483" s="270"/>
      <c r="Y1483" s="270"/>
      <c r="Z1483" s="270"/>
      <c r="AA1483" s="270"/>
      <c r="AB1483" s="270"/>
      <c r="AC1483" s="270"/>
      <c r="AD1483" s="270"/>
      <c r="AE1483" s="270"/>
      <c r="AF1483" s="270"/>
      <c r="AG1483" s="270"/>
      <c r="AH1483" s="270"/>
      <c r="AI1483" s="270"/>
      <c r="AJ1483" s="270"/>
      <c r="AK1483" s="270"/>
      <c r="AL1483" s="270"/>
      <c r="AM1483" s="663"/>
      <c r="AN1483" s="663"/>
      <c r="AO1483" s="708" t="str">
        <f>IF(OR(Table1[[#This Row],[Início Setup Envase]]="",Table1[[#This Row],[Final Setup Envase]]=""),"",Table1[[#This Row],[Final Setup Envase]]-Table1[[#This Row],[Início Setup Envase]])</f>
        <v/>
      </c>
      <c r="AP1483" s="663"/>
      <c r="AQ1483" s="663"/>
      <c r="AR1483" s="270"/>
      <c r="AS1483" s="674"/>
      <c r="AT1483" s="674"/>
      <c r="AU1483" s="270"/>
      <c r="AV1483" s="270"/>
      <c r="AW1483" s="270"/>
      <c r="AX1483" s="270"/>
      <c r="AY1483" s="270"/>
      <c r="AZ1483" s="270"/>
      <c r="BA1483" s="270" t="str">
        <f>IF(Table1[[#This Row],[Data de Início]]="","",YEAR(Table1[[#This Row],[Data de Início]]))</f>
        <v/>
      </c>
      <c r="BB1483" s="270" t="str">
        <f>IF(Table1[[#This Row],[Data de Início]]="","",MONTH(Table1[[#This Row],[Data de Início]]))</f>
        <v/>
      </c>
      <c r="BC1483" s="483"/>
    </row>
    <row r="1484" spans="2:55" x14ac:dyDescent="0.25">
      <c r="B1484" s="470"/>
      <c r="C1484" s="263"/>
      <c r="D1484" s="477" cm="1">
        <f t="array" ref="D1484">IFERROR(HorasUteisFabrica2Turnos(B1484,C1484), "")</f>
        <v>0</v>
      </c>
      <c r="E1484" s="478" t="str">
        <f t="shared" si="23"/>
        <v/>
      </c>
      <c r="F1484" s="266"/>
      <c r="G1484" s="656"/>
      <c r="H1484" s="479"/>
      <c r="I1484" s="268"/>
      <c r="J1484" s="268"/>
      <c r="K1484" s="268"/>
      <c r="L1484" s="269"/>
      <c r="M1484" s="511" t="str">
        <f>IFERROR(INDEX([1]Produtos!$C:$C,MATCH(L1484,[1]Produtos!$B:$B,0)), "-")</f>
        <v>-</v>
      </c>
      <c r="N1484" s="511" t="str">
        <f>IFERROR(INDEX([1]Produtos!$E:$E,MATCH(L1484,[1]Produtos!$B:$B,0)), "-")</f>
        <v>-</v>
      </c>
      <c r="O1484" s="483" t="str">
        <f>IFERROR(INDEX([1]Produtos!$F:$F,MATCH(L1484,[1]Produtos!$B:$B,0)), "-")</f>
        <v>-</v>
      </c>
      <c r="P1484" s="477" t="str">
        <f>IFERROR(INDEX([1]Produtos!$G:$G,MATCH(L1484,[1]Produtos!$B:$B,0)), "-")</f>
        <v>-</v>
      </c>
      <c r="Q1484" s="483" t="str">
        <f>IFERROR(INDEX([1]Produtos!$H:$H,MATCH(L1484,[1]Produtos!$B:$B,0)), "-")</f>
        <v>-</v>
      </c>
      <c r="R1484" s="483" t="str">
        <f>IFERROR(INDEX([1]Produtos!$I:$I,MATCH(L1484,[1]Produtos!$B:$B,0)), "-")</f>
        <v>-</v>
      </c>
      <c r="S1484" s="483" t="str">
        <f>IFERROR(INDEX([1]Produtos!$J:$J,MATCH(L1484,[1]Produtos!$B:$B,0)), "-")</f>
        <v>-</v>
      </c>
      <c r="T1484" s="484"/>
      <c r="U1484" s="483"/>
      <c r="V1484" s="483"/>
      <c r="W1484" s="483"/>
      <c r="X1484" s="483"/>
      <c r="Y1484" s="483"/>
      <c r="Z1484" s="483"/>
      <c r="AA1484" s="483"/>
      <c r="AB1484" s="483"/>
      <c r="AC1484" s="483"/>
      <c r="AD1484" s="483"/>
      <c r="AE1484" s="483"/>
      <c r="AF1484" s="483"/>
      <c r="AG1484" s="483"/>
      <c r="AH1484" s="483"/>
      <c r="AI1484" s="483"/>
      <c r="AJ1484" s="483"/>
      <c r="AK1484" s="483"/>
      <c r="AL1484" s="483"/>
      <c r="AM1484" s="670"/>
      <c r="AN1484" s="670"/>
      <c r="AO1484" s="711" t="str">
        <f>IF(OR(Table1[[#This Row],[Início Setup Envase]]="",Table1[[#This Row],[Final Setup Envase]]=""),"",Table1[[#This Row],[Final Setup Envase]]-Table1[[#This Row],[Início Setup Envase]])</f>
        <v/>
      </c>
      <c r="AP1484" s="670"/>
      <c r="AQ1484" s="670"/>
      <c r="AR1484" s="483"/>
      <c r="AS1484" s="483"/>
      <c r="AT1484" s="483"/>
      <c r="AU1484" s="483"/>
      <c r="AV1484" s="483"/>
      <c r="AW1484" s="483"/>
      <c r="AX1484" s="483"/>
      <c r="AY1484" s="270"/>
      <c r="AZ1484" s="270"/>
      <c r="BA1484" s="270" t="str">
        <f>IF(Table1[[#This Row],[Data de Início]]="","",YEAR(Table1[[#This Row],[Data de Início]]))</f>
        <v/>
      </c>
      <c r="BB1484" s="270" t="str">
        <f>IF(Table1[[#This Row],[Data de Início]]="","",MONTH(Table1[[#This Row],[Data de Início]]))</f>
        <v/>
      </c>
      <c r="BC1484" s="270"/>
    </row>
    <row r="1485" spans="2:55" x14ac:dyDescent="0.25">
      <c r="B1485" s="470"/>
      <c r="C1485" s="263"/>
      <c r="D1485" s="477" cm="1">
        <f t="array" ref="D1485">IFERROR(HorasUteisFabrica2Turnos(B1485,C1485), "")</f>
        <v>0</v>
      </c>
      <c r="E1485" s="697" t="str">
        <f t="shared" si="23"/>
        <v/>
      </c>
      <c r="F1485" s="266"/>
      <c r="G1485" s="698"/>
      <c r="H1485" s="266"/>
      <c r="I1485" s="268"/>
      <c r="J1485" s="268"/>
      <c r="K1485" s="268"/>
      <c r="L1485" s="269"/>
      <c r="M1485" s="510" t="str">
        <f>IFERROR(INDEX([1]Produtos!$C:$C,MATCH(L1485,[1]Produtos!$B:$B,0)), "-")</f>
        <v>-</v>
      </c>
      <c r="N1485" s="510" t="str">
        <f>IFERROR(INDEX([1]Produtos!$E:$E,MATCH(L1485,[1]Produtos!$B:$B,0)), "-")</f>
        <v>-</v>
      </c>
      <c r="O1485" s="270" t="str">
        <f>IFERROR(INDEX([1]Produtos!$F:$F,MATCH(L1485,[1]Produtos!$B:$B,0)), "-")</f>
        <v>-</v>
      </c>
      <c r="P1485" s="264" t="str">
        <f>IFERROR(INDEX([1]Produtos!$G:$G,MATCH(L1485,[1]Produtos!$B:$B,0)), "-")</f>
        <v>-</v>
      </c>
      <c r="Q1485" s="270" t="str">
        <f>IFERROR(INDEX([1]Produtos!$H:$H,MATCH(L1485,[1]Produtos!$B:$B,0)), "-")</f>
        <v>-</v>
      </c>
      <c r="R1485" s="270" t="str">
        <f>IFERROR(INDEX([1]Produtos!$I:$I,MATCH(L1485,[1]Produtos!$B:$B,0)), "-")</f>
        <v>-</v>
      </c>
      <c r="S1485" s="270" t="str">
        <f>IFERROR(INDEX([1]Produtos!$J:$J,MATCH(L1485,[1]Produtos!$B:$B,0)), "-")</f>
        <v>-</v>
      </c>
      <c r="T1485" s="475"/>
      <c r="U1485" s="270"/>
      <c r="V1485" s="270"/>
      <c r="W1485" s="270"/>
      <c r="X1485" s="270"/>
      <c r="Y1485" s="270"/>
      <c r="Z1485" s="270"/>
      <c r="AA1485" s="270"/>
      <c r="AB1485" s="270"/>
      <c r="AC1485" s="270"/>
      <c r="AD1485" s="270"/>
      <c r="AE1485" s="270"/>
      <c r="AF1485" s="270"/>
      <c r="AG1485" s="270"/>
      <c r="AH1485" s="270"/>
      <c r="AI1485" s="270"/>
      <c r="AJ1485" s="270"/>
      <c r="AK1485" s="270"/>
      <c r="AL1485" s="270"/>
      <c r="AM1485" s="663"/>
      <c r="AN1485" s="663"/>
      <c r="AO1485" s="708" t="str">
        <f>IF(OR(Table1[[#This Row],[Início Setup Envase]]="",Table1[[#This Row],[Final Setup Envase]]=""),"",Table1[[#This Row],[Final Setup Envase]]-Table1[[#This Row],[Início Setup Envase]])</f>
        <v/>
      </c>
      <c r="AP1485" s="663"/>
      <c r="AQ1485" s="663"/>
      <c r="AR1485" s="270"/>
      <c r="AS1485" s="674"/>
      <c r="AT1485" s="674"/>
      <c r="AU1485" s="270"/>
      <c r="AV1485" s="270"/>
      <c r="AW1485" s="270"/>
      <c r="AX1485" s="270"/>
      <c r="AY1485" s="270"/>
      <c r="AZ1485" s="270"/>
      <c r="BA1485" s="270" t="str">
        <f>IF(Table1[[#This Row],[Data de Início]]="","",YEAR(Table1[[#This Row],[Data de Início]]))</f>
        <v/>
      </c>
      <c r="BB1485" s="270" t="str">
        <f>IF(Table1[[#This Row],[Data de Início]]="","",MONTH(Table1[[#This Row],[Data de Início]]))</f>
        <v/>
      </c>
      <c r="BC1485" s="483"/>
    </row>
    <row r="1486" spans="2:55" x14ac:dyDescent="0.25">
      <c r="B1486" s="470"/>
      <c r="C1486" s="263"/>
      <c r="D1486" s="477" cm="1">
        <f t="array" ref="D1486">IFERROR(HorasUteisFabrica2Turnos(B1486,C1486), "")</f>
        <v>0</v>
      </c>
      <c r="E1486" s="478" t="str">
        <f t="shared" si="23"/>
        <v/>
      </c>
      <c r="F1486" s="266"/>
      <c r="G1486" s="656"/>
      <c r="H1486" s="479"/>
      <c r="I1486" s="268"/>
      <c r="J1486" s="268"/>
      <c r="K1486" s="268"/>
      <c r="L1486" s="269"/>
      <c r="M1486" s="511" t="str">
        <f>IFERROR(INDEX([1]Produtos!$C:$C,MATCH(L1486,[1]Produtos!$B:$B,0)), "-")</f>
        <v>-</v>
      </c>
      <c r="N1486" s="511" t="str">
        <f>IFERROR(INDEX([1]Produtos!$E:$E,MATCH(L1486,[1]Produtos!$B:$B,0)), "-")</f>
        <v>-</v>
      </c>
      <c r="O1486" s="483" t="str">
        <f>IFERROR(INDEX([1]Produtos!$F:$F,MATCH(L1486,[1]Produtos!$B:$B,0)), "-")</f>
        <v>-</v>
      </c>
      <c r="P1486" s="477" t="str">
        <f>IFERROR(INDEX([1]Produtos!$G:$G,MATCH(L1486,[1]Produtos!$B:$B,0)), "-")</f>
        <v>-</v>
      </c>
      <c r="Q1486" s="483" t="str">
        <f>IFERROR(INDEX([1]Produtos!$H:$H,MATCH(L1486,[1]Produtos!$B:$B,0)), "-")</f>
        <v>-</v>
      </c>
      <c r="R1486" s="483" t="str">
        <f>IFERROR(INDEX([1]Produtos!$I:$I,MATCH(L1486,[1]Produtos!$B:$B,0)), "-")</f>
        <v>-</v>
      </c>
      <c r="S1486" s="483" t="str">
        <f>IFERROR(INDEX([1]Produtos!$J:$J,MATCH(L1486,[1]Produtos!$B:$B,0)), "-")</f>
        <v>-</v>
      </c>
      <c r="T1486" s="484"/>
      <c r="U1486" s="483"/>
      <c r="V1486" s="483"/>
      <c r="W1486" s="483"/>
      <c r="X1486" s="483"/>
      <c r="Y1486" s="483"/>
      <c r="Z1486" s="483"/>
      <c r="AA1486" s="483"/>
      <c r="AB1486" s="483"/>
      <c r="AC1486" s="483"/>
      <c r="AD1486" s="483"/>
      <c r="AE1486" s="483"/>
      <c r="AF1486" s="483"/>
      <c r="AG1486" s="483"/>
      <c r="AH1486" s="483"/>
      <c r="AI1486" s="483"/>
      <c r="AJ1486" s="483"/>
      <c r="AK1486" s="483"/>
      <c r="AL1486" s="483"/>
      <c r="AM1486" s="670"/>
      <c r="AN1486" s="670"/>
      <c r="AO1486" s="711" t="str">
        <f>IF(OR(Table1[[#This Row],[Início Setup Envase]]="",Table1[[#This Row],[Final Setup Envase]]=""),"",Table1[[#This Row],[Final Setup Envase]]-Table1[[#This Row],[Início Setup Envase]])</f>
        <v/>
      </c>
      <c r="AP1486" s="670"/>
      <c r="AQ1486" s="670"/>
      <c r="AR1486" s="483"/>
      <c r="AS1486" s="483"/>
      <c r="AT1486" s="483"/>
      <c r="AU1486" s="483"/>
      <c r="AV1486" s="483"/>
      <c r="AW1486" s="483"/>
      <c r="AX1486" s="483"/>
      <c r="AY1486" s="270"/>
      <c r="AZ1486" s="270"/>
      <c r="BA1486" s="270" t="str">
        <f>IF(Table1[[#This Row],[Data de Início]]="","",YEAR(Table1[[#This Row],[Data de Início]]))</f>
        <v/>
      </c>
      <c r="BB1486" s="270" t="str">
        <f>IF(Table1[[#This Row],[Data de Início]]="","",MONTH(Table1[[#This Row],[Data de Início]]))</f>
        <v/>
      </c>
      <c r="BC1486" s="270"/>
    </row>
    <row r="1487" spans="2:55" x14ac:dyDescent="0.25">
      <c r="B1487" s="470"/>
      <c r="C1487" s="263"/>
      <c r="D1487" s="477" cm="1">
        <f t="array" ref="D1487">IFERROR(HorasUteisFabrica2Turnos(B1487,C1487), "")</f>
        <v>0</v>
      </c>
      <c r="E1487" s="697" t="str">
        <f t="shared" si="23"/>
        <v/>
      </c>
      <c r="F1487" s="266"/>
      <c r="G1487" s="698"/>
      <c r="H1487" s="266"/>
      <c r="I1487" s="268"/>
      <c r="J1487" s="268"/>
      <c r="K1487" s="268"/>
      <c r="L1487" s="269"/>
      <c r="M1487" s="510" t="str">
        <f>IFERROR(INDEX([1]Produtos!$C:$C,MATCH(L1487,[1]Produtos!$B:$B,0)), "-")</f>
        <v>-</v>
      </c>
      <c r="N1487" s="510" t="str">
        <f>IFERROR(INDEX([1]Produtos!$E:$E,MATCH(L1487,[1]Produtos!$B:$B,0)), "-")</f>
        <v>-</v>
      </c>
      <c r="O1487" s="270" t="str">
        <f>IFERROR(INDEX([1]Produtos!$F:$F,MATCH(L1487,[1]Produtos!$B:$B,0)), "-")</f>
        <v>-</v>
      </c>
      <c r="P1487" s="264" t="str">
        <f>IFERROR(INDEX([1]Produtos!$G:$G,MATCH(L1487,[1]Produtos!$B:$B,0)), "-")</f>
        <v>-</v>
      </c>
      <c r="Q1487" s="270" t="str">
        <f>IFERROR(INDEX([1]Produtos!$H:$H,MATCH(L1487,[1]Produtos!$B:$B,0)), "-")</f>
        <v>-</v>
      </c>
      <c r="R1487" s="270" t="str">
        <f>IFERROR(INDEX([1]Produtos!$I:$I,MATCH(L1487,[1]Produtos!$B:$B,0)), "-")</f>
        <v>-</v>
      </c>
      <c r="S1487" s="270" t="str">
        <f>IFERROR(INDEX([1]Produtos!$J:$J,MATCH(L1487,[1]Produtos!$B:$B,0)), "-")</f>
        <v>-</v>
      </c>
      <c r="T1487" s="475"/>
      <c r="U1487" s="270"/>
      <c r="V1487" s="270"/>
      <c r="W1487" s="270"/>
      <c r="X1487" s="270"/>
      <c r="Y1487" s="270"/>
      <c r="Z1487" s="270"/>
      <c r="AA1487" s="270"/>
      <c r="AB1487" s="270"/>
      <c r="AC1487" s="270"/>
      <c r="AD1487" s="270"/>
      <c r="AE1487" s="270"/>
      <c r="AF1487" s="270"/>
      <c r="AG1487" s="270"/>
      <c r="AH1487" s="270"/>
      <c r="AI1487" s="270"/>
      <c r="AJ1487" s="270"/>
      <c r="AK1487" s="270"/>
      <c r="AL1487" s="270"/>
      <c r="AM1487" s="663"/>
      <c r="AN1487" s="663"/>
      <c r="AO1487" s="708" t="str">
        <f>IF(OR(Table1[[#This Row],[Início Setup Envase]]="",Table1[[#This Row],[Final Setup Envase]]=""),"",Table1[[#This Row],[Final Setup Envase]]-Table1[[#This Row],[Início Setup Envase]])</f>
        <v/>
      </c>
      <c r="AP1487" s="663"/>
      <c r="AQ1487" s="663"/>
      <c r="AR1487" s="270"/>
      <c r="AS1487" s="674"/>
      <c r="AT1487" s="674"/>
      <c r="AU1487" s="270"/>
      <c r="AV1487" s="270"/>
      <c r="AW1487" s="270"/>
      <c r="AX1487" s="270"/>
      <c r="AY1487" s="270"/>
      <c r="AZ1487" s="270"/>
      <c r="BA1487" s="270" t="str">
        <f>IF(Table1[[#This Row],[Data de Início]]="","",YEAR(Table1[[#This Row],[Data de Início]]))</f>
        <v/>
      </c>
      <c r="BB1487" s="270" t="str">
        <f>IF(Table1[[#This Row],[Data de Início]]="","",MONTH(Table1[[#This Row],[Data de Início]]))</f>
        <v/>
      </c>
      <c r="BC1487" s="483"/>
    </row>
    <row r="1488" spans="2:55" x14ac:dyDescent="0.25">
      <c r="B1488" s="470"/>
      <c r="C1488" s="263"/>
      <c r="D1488" s="477" cm="1">
        <f t="array" ref="D1488">IFERROR(HorasUteisFabrica2Turnos(B1488,C1488), "")</f>
        <v>0</v>
      </c>
      <c r="E1488" s="478" t="str">
        <f t="shared" si="23"/>
        <v/>
      </c>
      <c r="F1488" s="266"/>
      <c r="G1488" s="656"/>
      <c r="H1488" s="479"/>
      <c r="I1488" s="268"/>
      <c r="J1488" s="268"/>
      <c r="K1488" s="268"/>
      <c r="L1488" s="269"/>
      <c r="M1488" s="511" t="str">
        <f>IFERROR(INDEX([1]Produtos!$C:$C,MATCH(L1488,[1]Produtos!$B:$B,0)), "-")</f>
        <v>-</v>
      </c>
      <c r="N1488" s="511" t="str">
        <f>IFERROR(INDEX([1]Produtos!$E:$E,MATCH(L1488,[1]Produtos!$B:$B,0)), "-")</f>
        <v>-</v>
      </c>
      <c r="O1488" s="483" t="str">
        <f>IFERROR(INDEX([1]Produtos!$F:$F,MATCH(L1488,[1]Produtos!$B:$B,0)), "-")</f>
        <v>-</v>
      </c>
      <c r="P1488" s="477" t="str">
        <f>IFERROR(INDEX([1]Produtos!$G:$G,MATCH(L1488,[1]Produtos!$B:$B,0)), "-")</f>
        <v>-</v>
      </c>
      <c r="Q1488" s="483" t="str">
        <f>IFERROR(INDEX([1]Produtos!$H:$H,MATCH(L1488,[1]Produtos!$B:$B,0)), "-")</f>
        <v>-</v>
      </c>
      <c r="R1488" s="483" t="str">
        <f>IFERROR(INDEX([1]Produtos!$I:$I,MATCH(L1488,[1]Produtos!$B:$B,0)), "-")</f>
        <v>-</v>
      </c>
      <c r="S1488" s="483" t="str">
        <f>IFERROR(INDEX([1]Produtos!$J:$J,MATCH(L1488,[1]Produtos!$B:$B,0)), "-")</f>
        <v>-</v>
      </c>
      <c r="T1488" s="484"/>
      <c r="U1488" s="483"/>
      <c r="V1488" s="483"/>
      <c r="W1488" s="483"/>
      <c r="X1488" s="483"/>
      <c r="Y1488" s="483"/>
      <c r="Z1488" s="483"/>
      <c r="AA1488" s="483"/>
      <c r="AB1488" s="483"/>
      <c r="AC1488" s="483"/>
      <c r="AD1488" s="483"/>
      <c r="AE1488" s="483"/>
      <c r="AF1488" s="483"/>
      <c r="AG1488" s="483"/>
      <c r="AH1488" s="483"/>
      <c r="AI1488" s="483"/>
      <c r="AJ1488" s="483"/>
      <c r="AK1488" s="483"/>
      <c r="AL1488" s="483"/>
      <c r="AM1488" s="670"/>
      <c r="AN1488" s="670"/>
      <c r="AO1488" s="711" t="str">
        <f>IF(OR(Table1[[#This Row],[Início Setup Envase]]="",Table1[[#This Row],[Final Setup Envase]]=""),"",Table1[[#This Row],[Final Setup Envase]]-Table1[[#This Row],[Início Setup Envase]])</f>
        <v/>
      </c>
      <c r="AP1488" s="670"/>
      <c r="AQ1488" s="670"/>
      <c r="AR1488" s="483"/>
      <c r="AS1488" s="483"/>
      <c r="AT1488" s="483"/>
      <c r="AU1488" s="483"/>
      <c r="AV1488" s="483"/>
      <c r="AW1488" s="483"/>
      <c r="AX1488" s="483"/>
      <c r="AY1488" s="270"/>
      <c r="AZ1488" s="270"/>
      <c r="BA1488" s="270" t="str">
        <f>IF(Table1[[#This Row],[Data de Início]]="","",YEAR(Table1[[#This Row],[Data de Início]]))</f>
        <v/>
      </c>
      <c r="BB1488" s="270" t="str">
        <f>IF(Table1[[#This Row],[Data de Início]]="","",MONTH(Table1[[#This Row],[Data de Início]]))</f>
        <v/>
      </c>
      <c r="BC1488" s="270"/>
    </row>
    <row r="1489" spans="2:55" x14ac:dyDescent="0.25">
      <c r="B1489" s="470"/>
      <c r="C1489" s="263"/>
      <c r="D1489" s="477" cm="1">
        <f t="array" ref="D1489">IFERROR(HorasUteisFabrica2Turnos(B1489,C1489), "")</f>
        <v>0</v>
      </c>
      <c r="E1489" s="697" t="str">
        <f t="shared" si="23"/>
        <v/>
      </c>
      <c r="F1489" s="266"/>
      <c r="G1489" s="698"/>
      <c r="H1489" s="266"/>
      <c r="I1489" s="268"/>
      <c r="J1489" s="268"/>
      <c r="K1489" s="268"/>
      <c r="L1489" s="269"/>
      <c r="M1489" s="510" t="str">
        <f>IFERROR(INDEX([1]Produtos!$C:$C,MATCH(L1489,[1]Produtos!$B:$B,0)), "-")</f>
        <v>-</v>
      </c>
      <c r="N1489" s="510" t="str">
        <f>IFERROR(INDEX([1]Produtos!$E:$E,MATCH(L1489,[1]Produtos!$B:$B,0)), "-")</f>
        <v>-</v>
      </c>
      <c r="O1489" s="270" t="str">
        <f>IFERROR(INDEX([1]Produtos!$F:$F,MATCH(L1489,[1]Produtos!$B:$B,0)), "-")</f>
        <v>-</v>
      </c>
      <c r="P1489" s="264" t="str">
        <f>IFERROR(INDEX([1]Produtos!$G:$G,MATCH(L1489,[1]Produtos!$B:$B,0)), "-")</f>
        <v>-</v>
      </c>
      <c r="Q1489" s="270" t="str">
        <f>IFERROR(INDEX([1]Produtos!$H:$H,MATCH(L1489,[1]Produtos!$B:$B,0)), "-")</f>
        <v>-</v>
      </c>
      <c r="R1489" s="270" t="str">
        <f>IFERROR(INDEX([1]Produtos!$I:$I,MATCH(L1489,[1]Produtos!$B:$B,0)), "-")</f>
        <v>-</v>
      </c>
      <c r="S1489" s="270" t="str">
        <f>IFERROR(INDEX([1]Produtos!$J:$J,MATCH(L1489,[1]Produtos!$B:$B,0)), "-")</f>
        <v>-</v>
      </c>
      <c r="T1489" s="475"/>
      <c r="U1489" s="270"/>
      <c r="V1489" s="270"/>
      <c r="W1489" s="270"/>
      <c r="X1489" s="270"/>
      <c r="Y1489" s="270"/>
      <c r="Z1489" s="270"/>
      <c r="AA1489" s="270"/>
      <c r="AB1489" s="270"/>
      <c r="AC1489" s="270"/>
      <c r="AD1489" s="270"/>
      <c r="AE1489" s="270"/>
      <c r="AF1489" s="270"/>
      <c r="AG1489" s="270"/>
      <c r="AH1489" s="270"/>
      <c r="AI1489" s="270"/>
      <c r="AJ1489" s="270"/>
      <c r="AK1489" s="270"/>
      <c r="AL1489" s="270"/>
      <c r="AM1489" s="663"/>
      <c r="AN1489" s="663"/>
      <c r="AO1489" s="708" t="str">
        <f>IF(OR(Table1[[#This Row],[Início Setup Envase]]="",Table1[[#This Row],[Final Setup Envase]]=""),"",Table1[[#This Row],[Final Setup Envase]]-Table1[[#This Row],[Início Setup Envase]])</f>
        <v/>
      </c>
      <c r="AP1489" s="663"/>
      <c r="AQ1489" s="663"/>
      <c r="AR1489" s="270"/>
      <c r="AS1489" s="674"/>
      <c r="AT1489" s="674"/>
      <c r="AU1489" s="270"/>
      <c r="AV1489" s="270"/>
      <c r="AW1489" s="270"/>
      <c r="AX1489" s="270"/>
      <c r="AY1489" s="270"/>
      <c r="AZ1489" s="270"/>
      <c r="BA1489" s="270" t="str">
        <f>IF(Table1[[#This Row],[Data de Início]]="","",YEAR(Table1[[#This Row],[Data de Início]]))</f>
        <v/>
      </c>
      <c r="BB1489" s="270" t="str">
        <f>IF(Table1[[#This Row],[Data de Início]]="","",MONTH(Table1[[#This Row],[Data de Início]]))</f>
        <v/>
      </c>
      <c r="BC1489" s="483"/>
    </row>
    <row r="1490" spans="2:55" x14ac:dyDescent="0.25">
      <c r="B1490" s="470"/>
      <c r="C1490" s="263"/>
      <c r="D1490" s="477" cm="1">
        <f t="array" ref="D1490">IFERROR(HorasUteisFabrica2Turnos(B1490,C1490), "")</f>
        <v>0</v>
      </c>
      <c r="E1490" s="478" t="str">
        <f t="shared" si="23"/>
        <v/>
      </c>
      <c r="F1490" s="266"/>
      <c r="G1490" s="656"/>
      <c r="H1490" s="479"/>
      <c r="I1490" s="268"/>
      <c r="J1490" s="268"/>
      <c r="K1490" s="268"/>
      <c r="L1490" s="269"/>
      <c r="M1490" s="511" t="str">
        <f>IFERROR(INDEX([1]Produtos!$C:$C,MATCH(L1490,[1]Produtos!$B:$B,0)), "-")</f>
        <v>-</v>
      </c>
      <c r="N1490" s="511" t="str">
        <f>IFERROR(INDEX([1]Produtos!$E:$E,MATCH(L1490,[1]Produtos!$B:$B,0)), "-")</f>
        <v>-</v>
      </c>
      <c r="O1490" s="483" t="str">
        <f>IFERROR(INDEX([1]Produtos!$F:$F,MATCH(L1490,[1]Produtos!$B:$B,0)), "-")</f>
        <v>-</v>
      </c>
      <c r="P1490" s="477" t="str">
        <f>IFERROR(INDEX([1]Produtos!$G:$G,MATCH(L1490,[1]Produtos!$B:$B,0)), "-")</f>
        <v>-</v>
      </c>
      <c r="Q1490" s="483" t="str">
        <f>IFERROR(INDEX([1]Produtos!$H:$H,MATCH(L1490,[1]Produtos!$B:$B,0)), "-")</f>
        <v>-</v>
      </c>
      <c r="R1490" s="483" t="str">
        <f>IFERROR(INDEX([1]Produtos!$I:$I,MATCH(L1490,[1]Produtos!$B:$B,0)), "-")</f>
        <v>-</v>
      </c>
      <c r="S1490" s="483" t="str">
        <f>IFERROR(INDEX([1]Produtos!$J:$J,MATCH(L1490,[1]Produtos!$B:$B,0)), "-")</f>
        <v>-</v>
      </c>
      <c r="T1490" s="484"/>
      <c r="U1490" s="483"/>
      <c r="V1490" s="483"/>
      <c r="W1490" s="483"/>
      <c r="X1490" s="483"/>
      <c r="Y1490" s="483"/>
      <c r="Z1490" s="483"/>
      <c r="AA1490" s="483"/>
      <c r="AB1490" s="483"/>
      <c r="AC1490" s="483"/>
      <c r="AD1490" s="483"/>
      <c r="AE1490" s="483"/>
      <c r="AF1490" s="483"/>
      <c r="AG1490" s="483"/>
      <c r="AH1490" s="483"/>
      <c r="AI1490" s="483"/>
      <c r="AJ1490" s="483"/>
      <c r="AK1490" s="483"/>
      <c r="AL1490" s="483"/>
      <c r="AM1490" s="670"/>
      <c r="AN1490" s="670"/>
      <c r="AO1490" s="711" t="str">
        <f>IF(OR(Table1[[#This Row],[Início Setup Envase]]="",Table1[[#This Row],[Final Setup Envase]]=""),"",Table1[[#This Row],[Final Setup Envase]]-Table1[[#This Row],[Início Setup Envase]])</f>
        <v/>
      </c>
      <c r="AP1490" s="670"/>
      <c r="AQ1490" s="670"/>
      <c r="AR1490" s="483"/>
      <c r="AS1490" s="483"/>
      <c r="AT1490" s="483"/>
      <c r="AU1490" s="483"/>
      <c r="AV1490" s="483"/>
      <c r="AW1490" s="483"/>
      <c r="AX1490" s="483"/>
      <c r="AY1490" s="270"/>
      <c r="AZ1490" s="270"/>
      <c r="BA1490" s="270" t="str">
        <f>IF(Table1[[#This Row],[Data de Início]]="","",YEAR(Table1[[#This Row],[Data de Início]]))</f>
        <v/>
      </c>
      <c r="BB1490" s="270" t="str">
        <f>IF(Table1[[#This Row],[Data de Início]]="","",MONTH(Table1[[#This Row],[Data de Início]]))</f>
        <v/>
      </c>
      <c r="BC1490" s="270"/>
    </row>
    <row r="1491" spans="2:55" x14ac:dyDescent="0.25">
      <c r="B1491" s="470"/>
      <c r="C1491" s="263"/>
      <c r="D1491" s="477" cm="1">
        <f t="array" ref="D1491">IFERROR(HorasUteisFabrica2Turnos(B1491,C1491), "")</f>
        <v>0</v>
      </c>
      <c r="E1491" s="697" t="str">
        <f t="shared" si="23"/>
        <v/>
      </c>
      <c r="F1491" s="266"/>
      <c r="G1491" s="698"/>
      <c r="H1491" s="266"/>
      <c r="I1491" s="268"/>
      <c r="J1491" s="268"/>
      <c r="K1491" s="268"/>
      <c r="L1491" s="269"/>
      <c r="M1491" s="510" t="str">
        <f>IFERROR(INDEX([1]Produtos!$C:$C,MATCH(L1491,[1]Produtos!$B:$B,0)), "-")</f>
        <v>-</v>
      </c>
      <c r="N1491" s="510" t="str">
        <f>IFERROR(INDEX([1]Produtos!$E:$E,MATCH(L1491,[1]Produtos!$B:$B,0)), "-")</f>
        <v>-</v>
      </c>
      <c r="O1491" s="270" t="str">
        <f>IFERROR(INDEX([1]Produtos!$F:$F,MATCH(L1491,[1]Produtos!$B:$B,0)), "-")</f>
        <v>-</v>
      </c>
      <c r="P1491" s="264" t="str">
        <f>IFERROR(INDEX([1]Produtos!$G:$G,MATCH(L1491,[1]Produtos!$B:$B,0)), "-")</f>
        <v>-</v>
      </c>
      <c r="Q1491" s="270" t="str">
        <f>IFERROR(INDEX([1]Produtos!$H:$H,MATCH(L1491,[1]Produtos!$B:$B,0)), "-")</f>
        <v>-</v>
      </c>
      <c r="R1491" s="270" t="str">
        <f>IFERROR(INDEX([1]Produtos!$I:$I,MATCH(L1491,[1]Produtos!$B:$B,0)), "-")</f>
        <v>-</v>
      </c>
      <c r="S1491" s="270" t="str">
        <f>IFERROR(INDEX([1]Produtos!$J:$J,MATCH(L1491,[1]Produtos!$B:$B,0)), "-")</f>
        <v>-</v>
      </c>
      <c r="T1491" s="475"/>
      <c r="U1491" s="270"/>
      <c r="V1491" s="270"/>
      <c r="W1491" s="270"/>
      <c r="X1491" s="270"/>
      <c r="Y1491" s="270"/>
      <c r="Z1491" s="270"/>
      <c r="AA1491" s="270"/>
      <c r="AB1491" s="270"/>
      <c r="AC1491" s="270"/>
      <c r="AD1491" s="270"/>
      <c r="AE1491" s="270"/>
      <c r="AF1491" s="270"/>
      <c r="AG1491" s="270"/>
      <c r="AH1491" s="270"/>
      <c r="AI1491" s="270"/>
      <c r="AJ1491" s="270"/>
      <c r="AK1491" s="270"/>
      <c r="AL1491" s="270"/>
      <c r="AM1491" s="663"/>
      <c r="AN1491" s="663"/>
      <c r="AO1491" s="708" t="str">
        <f>IF(OR(Table1[[#This Row],[Início Setup Envase]]="",Table1[[#This Row],[Final Setup Envase]]=""),"",Table1[[#This Row],[Final Setup Envase]]-Table1[[#This Row],[Início Setup Envase]])</f>
        <v/>
      </c>
      <c r="AP1491" s="663"/>
      <c r="AQ1491" s="663"/>
      <c r="AR1491" s="270"/>
      <c r="AS1491" s="674"/>
      <c r="AT1491" s="674"/>
      <c r="AU1491" s="270"/>
      <c r="AV1491" s="270"/>
      <c r="AW1491" s="270"/>
      <c r="AX1491" s="270"/>
      <c r="AY1491" s="270"/>
      <c r="AZ1491" s="270"/>
      <c r="BA1491" s="270" t="str">
        <f>IF(Table1[[#This Row],[Data de Início]]="","",YEAR(Table1[[#This Row],[Data de Início]]))</f>
        <v/>
      </c>
      <c r="BB1491" s="270" t="str">
        <f>IF(Table1[[#This Row],[Data de Início]]="","",MONTH(Table1[[#This Row],[Data de Início]]))</f>
        <v/>
      </c>
      <c r="BC1491" s="483"/>
    </row>
    <row r="1492" spans="2:55" x14ac:dyDescent="0.25">
      <c r="B1492" s="470"/>
      <c r="C1492" s="263"/>
      <c r="D1492" s="477" cm="1">
        <f t="array" ref="D1492">IFERROR(HorasUteisFabrica2Turnos(B1492,C1492), "")</f>
        <v>0</v>
      </c>
      <c r="E1492" s="478" t="str">
        <f t="shared" si="23"/>
        <v/>
      </c>
      <c r="F1492" s="266"/>
      <c r="G1492" s="656"/>
      <c r="H1492" s="479"/>
      <c r="I1492" s="268"/>
      <c r="J1492" s="268"/>
      <c r="K1492" s="268"/>
      <c r="L1492" s="269"/>
      <c r="M1492" s="511" t="str">
        <f>IFERROR(INDEX([1]Produtos!$C:$C,MATCH(L1492,[1]Produtos!$B:$B,0)), "-")</f>
        <v>-</v>
      </c>
      <c r="N1492" s="511" t="str">
        <f>IFERROR(INDEX([1]Produtos!$E:$E,MATCH(L1492,[1]Produtos!$B:$B,0)), "-")</f>
        <v>-</v>
      </c>
      <c r="O1492" s="483" t="str">
        <f>IFERROR(INDEX([1]Produtos!$F:$F,MATCH(L1492,[1]Produtos!$B:$B,0)), "-")</f>
        <v>-</v>
      </c>
      <c r="P1492" s="477" t="str">
        <f>IFERROR(INDEX([1]Produtos!$G:$G,MATCH(L1492,[1]Produtos!$B:$B,0)), "-")</f>
        <v>-</v>
      </c>
      <c r="Q1492" s="483" t="str">
        <f>IFERROR(INDEX([1]Produtos!$H:$H,MATCH(L1492,[1]Produtos!$B:$B,0)), "-")</f>
        <v>-</v>
      </c>
      <c r="R1492" s="483" t="str">
        <f>IFERROR(INDEX([1]Produtos!$I:$I,MATCH(L1492,[1]Produtos!$B:$B,0)), "-")</f>
        <v>-</v>
      </c>
      <c r="S1492" s="483" t="str">
        <f>IFERROR(INDEX([1]Produtos!$J:$J,MATCH(L1492,[1]Produtos!$B:$B,0)), "-")</f>
        <v>-</v>
      </c>
      <c r="T1492" s="484"/>
      <c r="U1492" s="483"/>
      <c r="V1492" s="483"/>
      <c r="W1492" s="483"/>
      <c r="X1492" s="483"/>
      <c r="Y1492" s="483"/>
      <c r="Z1492" s="483"/>
      <c r="AA1492" s="483"/>
      <c r="AB1492" s="483"/>
      <c r="AC1492" s="483"/>
      <c r="AD1492" s="483"/>
      <c r="AE1492" s="483"/>
      <c r="AF1492" s="483"/>
      <c r="AG1492" s="483"/>
      <c r="AH1492" s="483"/>
      <c r="AI1492" s="483"/>
      <c r="AJ1492" s="483"/>
      <c r="AK1492" s="483"/>
      <c r="AL1492" s="483"/>
      <c r="AM1492" s="670"/>
      <c r="AN1492" s="670"/>
      <c r="AO1492" s="711" t="str">
        <f>IF(OR(Table1[[#This Row],[Início Setup Envase]]="",Table1[[#This Row],[Final Setup Envase]]=""),"",Table1[[#This Row],[Final Setup Envase]]-Table1[[#This Row],[Início Setup Envase]])</f>
        <v/>
      </c>
      <c r="AP1492" s="670"/>
      <c r="AQ1492" s="670"/>
      <c r="AR1492" s="483"/>
      <c r="AS1492" s="483"/>
      <c r="AT1492" s="483"/>
      <c r="AU1492" s="483"/>
      <c r="AV1492" s="483"/>
      <c r="AW1492" s="483"/>
      <c r="AX1492" s="483"/>
      <c r="AY1492" s="270"/>
      <c r="AZ1492" s="270"/>
      <c r="BA1492" s="270" t="str">
        <f>IF(Table1[[#This Row],[Data de Início]]="","",YEAR(Table1[[#This Row],[Data de Início]]))</f>
        <v/>
      </c>
      <c r="BB1492" s="270" t="str">
        <f>IF(Table1[[#This Row],[Data de Início]]="","",MONTH(Table1[[#This Row],[Data de Início]]))</f>
        <v/>
      </c>
      <c r="BC1492" s="270"/>
    </row>
    <row r="1493" spans="2:55" x14ac:dyDescent="0.25">
      <c r="B1493" s="470"/>
      <c r="C1493" s="263"/>
      <c r="D1493" s="477" cm="1">
        <f t="array" ref="D1493">IFERROR(HorasUteisFabrica2Turnos(B1493,C1493), "")</f>
        <v>0</v>
      </c>
      <c r="E1493" s="697" t="str">
        <f t="shared" si="23"/>
        <v/>
      </c>
      <c r="F1493" s="266"/>
      <c r="G1493" s="698"/>
      <c r="H1493" s="266"/>
      <c r="I1493" s="268"/>
      <c r="J1493" s="268"/>
      <c r="K1493" s="268"/>
      <c r="L1493" s="269"/>
      <c r="M1493" s="510" t="str">
        <f>IFERROR(INDEX([1]Produtos!$C:$C,MATCH(L1493,[1]Produtos!$B:$B,0)), "-")</f>
        <v>-</v>
      </c>
      <c r="N1493" s="510" t="str">
        <f>IFERROR(INDEX([1]Produtos!$E:$E,MATCH(L1493,[1]Produtos!$B:$B,0)), "-")</f>
        <v>-</v>
      </c>
      <c r="O1493" s="270" t="str">
        <f>IFERROR(INDEX([1]Produtos!$F:$F,MATCH(L1493,[1]Produtos!$B:$B,0)), "-")</f>
        <v>-</v>
      </c>
      <c r="P1493" s="264" t="str">
        <f>IFERROR(INDEX([1]Produtos!$G:$G,MATCH(L1493,[1]Produtos!$B:$B,0)), "-")</f>
        <v>-</v>
      </c>
      <c r="Q1493" s="270" t="str">
        <f>IFERROR(INDEX([1]Produtos!$H:$H,MATCH(L1493,[1]Produtos!$B:$B,0)), "-")</f>
        <v>-</v>
      </c>
      <c r="R1493" s="270" t="str">
        <f>IFERROR(INDEX([1]Produtos!$I:$I,MATCH(L1493,[1]Produtos!$B:$B,0)), "-")</f>
        <v>-</v>
      </c>
      <c r="S1493" s="270" t="str">
        <f>IFERROR(INDEX([1]Produtos!$J:$J,MATCH(L1493,[1]Produtos!$B:$B,0)), "-")</f>
        <v>-</v>
      </c>
      <c r="T1493" s="475"/>
      <c r="U1493" s="270"/>
      <c r="V1493" s="270"/>
      <c r="W1493" s="270"/>
      <c r="X1493" s="270"/>
      <c r="Y1493" s="270"/>
      <c r="Z1493" s="270"/>
      <c r="AA1493" s="270"/>
      <c r="AB1493" s="270"/>
      <c r="AC1493" s="270"/>
      <c r="AD1493" s="270"/>
      <c r="AE1493" s="270"/>
      <c r="AF1493" s="270"/>
      <c r="AG1493" s="270"/>
      <c r="AH1493" s="270"/>
      <c r="AI1493" s="270"/>
      <c r="AJ1493" s="270"/>
      <c r="AK1493" s="270"/>
      <c r="AL1493" s="270"/>
      <c r="AM1493" s="663"/>
      <c r="AN1493" s="663"/>
      <c r="AO1493" s="708" t="str">
        <f>IF(OR(Table1[[#This Row],[Início Setup Envase]]="",Table1[[#This Row],[Final Setup Envase]]=""),"",Table1[[#This Row],[Final Setup Envase]]-Table1[[#This Row],[Início Setup Envase]])</f>
        <v/>
      </c>
      <c r="AP1493" s="663"/>
      <c r="AQ1493" s="663"/>
      <c r="AR1493" s="270"/>
      <c r="AS1493" s="674"/>
      <c r="AT1493" s="674"/>
      <c r="AU1493" s="270"/>
      <c r="AV1493" s="270"/>
      <c r="AW1493" s="270"/>
      <c r="AX1493" s="270"/>
      <c r="AY1493" s="270"/>
      <c r="AZ1493" s="270"/>
      <c r="BA1493" s="270" t="str">
        <f>IF(Table1[[#This Row],[Data de Início]]="","",YEAR(Table1[[#This Row],[Data de Início]]))</f>
        <v/>
      </c>
      <c r="BB1493" s="270" t="str">
        <f>IF(Table1[[#This Row],[Data de Início]]="","",MONTH(Table1[[#This Row],[Data de Início]]))</f>
        <v/>
      </c>
      <c r="BC1493" s="483"/>
    </row>
    <row r="1494" spans="2:55" x14ac:dyDescent="0.25">
      <c r="B1494" s="470"/>
      <c r="C1494" s="263"/>
      <c r="D1494" s="477" cm="1">
        <f t="array" ref="D1494">IFERROR(HorasUteisFabrica2Turnos(B1494,C1494), "")</f>
        <v>0</v>
      </c>
      <c r="E1494" s="478" t="str">
        <f t="shared" si="23"/>
        <v/>
      </c>
      <c r="F1494" s="266"/>
      <c r="G1494" s="656"/>
      <c r="H1494" s="479"/>
      <c r="I1494" s="268"/>
      <c r="J1494" s="268"/>
      <c r="K1494" s="268"/>
      <c r="L1494" s="269"/>
      <c r="M1494" s="511" t="str">
        <f>IFERROR(INDEX([1]Produtos!$C:$C,MATCH(L1494,[1]Produtos!$B:$B,0)), "-")</f>
        <v>-</v>
      </c>
      <c r="N1494" s="511" t="str">
        <f>IFERROR(INDEX([1]Produtos!$E:$E,MATCH(L1494,[1]Produtos!$B:$B,0)), "-")</f>
        <v>-</v>
      </c>
      <c r="O1494" s="483" t="str">
        <f>IFERROR(INDEX([1]Produtos!$F:$F,MATCH(L1494,[1]Produtos!$B:$B,0)), "-")</f>
        <v>-</v>
      </c>
      <c r="P1494" s="477" t="str">
        <f>IFERROR(INDEX([1]Produtos!$G:$G,MATCH(L1494,[1]Produtos!$B:$B,0)), "-")</f>
        <v>-</v>
      </c>
      <c r="Q1494" s="483" t="str">
        <f>IFERROR(INDEX([1]Produtos!$H:$H,MATCH(L1494,[1]Produtos!$B:$B,0)), "-")</f>
        <v>-</v>
      </c>
      <c r="R1494" s="483" t="str">
        <f>IFERROR(INDEX([1]Produtos!$I:$I,MATCH(L1494,[1]Produtos!$B:$B,0)), "-")</f>
        <v>-</v>
      </c>
      <c r="S1494" s="483" t="str">
        <f>IFERROR(INDEX([1]Produtos!$J:$J,MATCH(L1494,[1]Produtos!$B:$B,0)), "-")</f>
        <v>-</v>
      </c>
      <c r="T1494" s="484"/>
      <c r="U1494" s="483"/>
      <c r="V1494" s="483"/>
      <c r="W1494" s="483"/>
      <c r="X1494" s="483"/>
      <c r="Y1494" s="483"/>
      <c r="Z1494" s="483"/>
      <c r="AA1494" s="483"/>
      <c r="AB1494" s="483"/>
      <c r="AC1494" s="483"/>
      <c r="AD1494" s="483"/>
      <c r="AE1494" s="483"/>
      <c r="AF1494" s="483"/>
      <c r="AG1494" s="483"/>
      <c r="AH1494" s="483"/>
      <c r="AI1494" s="483"/>
      <c r="AJ1494" s="483"/>
      <c r="AK1494" s="483"/>
      <c r="AL1494" s="483"/>
      <c r="AM1494" s="670"/>
      <c r="AN1494" s="670"/>
      <c r="AO1494" s="711" t="str">
        <f>IF(OR(Table1[[#This Row],[Início Setup Envase]]="",Table1[[#This Row],[Final Setup Envase]]=""),"",Table1[[#This Row],[Final Setup Envase]]-Table1[[#This Row],[Início Setup Envase]])</f>
        <v/>
      </c>
      <c r="AP1494" s="670"/>
      <c r="AQ1494" s="670"/>
      <c r="AR1494" s="483"/>
      <c r="AS1494" s="483"/>
      <c r="AT1494" s="483"/>
      <c r="AU1494" s="483"/>
      <c r="AV1494" s="483"/>
      <c r="AW1494" s="483"/>
      <c r="AX1494" s="483"/>
      <c r="AY1494" s="270"/>
      <c r="AZ1494" s="270"/>
      <c r="BA1494" s="270" t="str">
        <f>IF(Table1[[#This Row],[Data de Início]]="","",YEAR(Table1[[#This Row],[Data de Início]]))</f>
        <v/>
      </c>
      <c r="BB1494" s="270" t="str">
        <f>IF(Table1[[#This Row],[Data de Início]]="","",MONTH(Table1[[#This Row],[Data de Início]]))</f>
        <v/>
      </c>
      <c r="BC1494" s="270"/>
    </row>
    <row r="1495" spans="2:55" x14ac:dyDescent="0.25">
      <c r="B1495" s="470"/>
      <c r="C1495" s="263"/>
      <c r="D1495" s="477" cm="1">
        <f t="array" ref="D1495">IFERROR(HorasUteisFabrica2Turnos(B1495,C1495), "")</f>
        <v>0</v>
      </c>
      <c r="E1495" s="697" t="str">
        <f t="shared" si="23"/>
        <v/>
      </c>
      <c r="F1495" s="266"/>
      <c r="G1495" s="698"/>
      <c r="H1495" s="266"/>
      <c r="I1495" s="268"/>
      <c r="J1495" s="268"/>
      <c r="K1495" s="268"/>
      <c r="L1495" s="269"/>
      <c r="M1495" s="510" t="str">
        <f>IFERROR(INDEX([1]Produtos!$C:$C,MATCH(L1495,[1]Produtos!$B:$B,0)), "-")</f>
        <v>-</v>
      </c>
      <c r="N1495" s="510" t="str">
        <f>IFERROR(INDEX([1]Produtos!$E:$E,MATCH(L1495,[1]Produtos!$B:$B,0)), "-")</f>
        <v>-</v>
      </c>
      <c r="O1495" s="270" t="str">
        <f>IFERROR(INDEX([1]Produtos!$F:$F,MATCH(L1495,[1]Produtos!$B:$B,0)), "-")</f>
        <v>-</v>
      </c>
      <c r="P1495" s="264" t="str">
        <f>IFERROR(INDEX([1]Produtos!$G:$G,MATCH(L1495,[1]Produtos!$B:$B,0)), "-")</f>
        <v>-</v>
      </c>
      <c r="Q1495" s="270" t="str">
        <f>IFERROR(INDEX([1]Produtos!$H:$H,MATCH(L1495,[1]Produtos!$B:$B,0)), "-")</f>
        <v>-</v>
      </c>
      <c r="R1495" s="270" t="str">
        <f>IFERROR(INDEX([1]Produtos!$I:$I,MATCH(L1495,[1]Produtos!$B:$B,0)), "-")</f>
        <v>-</v>
      </c>
      <c r="S1495" s="270" t="str">
        <f>IFERROR(INDEX([1]Produtos!$J:$J,MATCH(L1495,[1]Produtos!$B:$B,0)), "-")</f>
        <v>-</v>
      </c>
      <c r="T1495" s="475"/>
      <c r="U1495" s="270"/>
      <c r="V1495" s="270"/>
      <c r="W1495" s="270"/>
      <c r="X1495" s="270"/>
      <c r="Y1495" s="270"/>
      <c r="Z1495" s="270"/>
      <c r="AA1495" s="270"/>
      <c r="AB1495" s="270"/>
      <c r="AC1495" s="270"/>
      <c r="AD1495" s="270"/>
      <c r="AE1495" s="270"/>
      <c r="AF1495" s="270"/>
      <c r="AG1495" s="270"/>
      <c r="AH1495" s="270"/>
      <c r="AI1495" s="270"/>
      <c r="AJ1495" s="270"/>
      <c r="AK1495" s="270"/>
      <c r="AL1495" s="270"/>
      <c r="AM1495" s="663"/>
      <c r="AN1495" s="663"/>
      <c r="AO1495" s="708" t="str">
        <f>IF(OR(Table1[[#This Row],[Início Setup Envase]]="",Table1[[#This Row],[Final Setup Envase]]=""),"",Table1[[#This Row],[Final Setup Envase]]-Table1[[#This Row],[Início Setup Envase]])</f>
        <v/>
      </c>
      <c r="AP1495" s="663"/>
      <c r="AQ1495" s="663"/>
      <c r="AR1495" s="270"/>
      <c r="AS1495" s="674"/>
      <c r="AT1495" s="674"/>
      <c r="AU1495" s="270"/>
      <c r="AV1495" s="270"/>
      <c r="AW1495" s="270"/>
      <c r="AX1495" s="270"/>
      <c r="AY1495" s="270"/>
      <c r="AZ1495" s="270"/>
      <c r="BA1495" s="270" t="str">
        <f>IF(Table1[[#This Row],[Data de Início]]="","",YEAR(Table1[[#This Row],[Data de Início]]))</f>
        <v/>
      </c>
      <c r="BB1495" s="270" t="str">
        <f>IF(Table1[[#This Row],[Data de Início]]="","",MONTH(Table1[[#This Row],[Data de Início]]))</f>
        <v/>
      </c>
      <c r="BC1495" s="483"/>
    </row>
    <row r="1496" spans="2:55" x14ac:dyDescent="0.25">
      <c r="B1496" s="470"/>
      <c r="C1496" s="263"/>
      <c r="D1496" s="477" cm="1">
        <f t="array" ref="D1496">IFERROR(HorasUteisFabrica2Turnos(B1496,C1496), "")</f>
        <v>0</v>
      </c>
      <c r="E1496" s="478" t="str">
        <f t="shared" si="23"/>
        <v/>
      </c>
      <c r="F1496" s="266"/>
      <c r="G1496" s="656"/>
      <c r="H1496" s="479"/>
      <c r="I1496" s="268"/>
      <c r="J1496" s="268"/>
      <c r="K1496" s="268"/>
      <c r="L1496" s="269"/>
      <c r="M1496" s="511" t="str">
        <f>IFERROR(INDEX([1]Produtos!$C:$C,MATCH(L1496,[1]Produtos!$B:$B,0)), "-")</f>
        <v>-</v>
      </c>
      <c r="N1496" s="511" t="str">
        <f>IFERROR(INDEX([1]Produtos!$E:$E,MATCH(L1496,[1]Produtos!$B:$B,0)), "-")</f>
        <v>-</v>
      </c>
      <c r="O1496" s="483" t="str">
        <f>IFERROR(INDEX([1]Produtos!$F:$F,MATCH(L1496,[1]Produtos!$B:$B,0)), "-")</f>
        <v>-</v>
      </c>
      <c r="P1496" s="477" t="str">
        <f>IFERROR(INDEX([1]Produtos!$G:$G,MATCH(L1496,[1]Produtos!$B:$B,0)), "-")</f>
        <v>-</v>
      </c>
      <c r="Q1496" s="483" t="str">
        <f>IFERROR(INDEX([1]Produtos!$H:$H,MATCH(L1496,[1]Produtos!$B:$B,0)), "-")</f>
        <v>-</v>
      </c>
      <c r="R1496" s="483" t="str">
        <f>IFERROR(INDEX([1]Produtos!$I:$I,MATCH(L1496,[1]Produtos!$B:$B,0)), "-")</f>
        <v>-</v>
      </c>
      <c r="S1496" s="483" t="str">
        <f>IFERROR(INDEX([1]Produtos!$J:$J,MATCH(L1496,[1]Produtos!$B:$B,0)), "-")</f>
        <v>-</v>
      </c>
      <c r="T1496" s="484"/>
      <c r="U1496" s="483"/>
      <c r="V1496" s="483"/>
      <c r="W1496" s="483"/>
      <c r="X1496" s="483"/>
      <c r="Y1496" s="483"/>
      <c r="Z1496" s="483"/>
      <c r="AA1496" s="483"/>
      <c r="AB1496" s="483"/>
      <c r="AC1496" s="483"/>
      <c r="AD1496" s="483"/>
      <c r="AE1496" s="483"/>
      <c r="AF1496" s="483"/>
      <c r="AG1496" s="483"/>
      <c r="AH1496" s="483"/>
      <c r="AI1496" s="483"/>
      <c r="AJ1496" s="483"/>
      <c r="AK1496" s="483"/>
      <c r="AL1496" s="483"/>
      <c r="AM1496" s="670"/>
      <c r="AN1496" s="670"/>
      <c r="AO1496" s="711" t="str">
        <f>IF(OR(Table1[[#This Row],[Início Setup Envase]]="",Table1[[#This Row],[Final Setup Envase]]=""),"",Table1[[#This Row],[Final Setup Envase]]-Table1[[#This Row],[Início Setup Envase]])</f>
        <v/>
      </c>
      <c r="AP1496" s="670"/>
      <c r="AQ1496" s="670"/>
      <c r="AR1496" s="483"/>
      <c r="AS1496" s="483"/>
      <c r="AT1496" s="483"/>
      <c r="AU1496" s="483"/>
      <c r="AV1496" s="483"/>
      <c r="AW1496" s="483"/>
      <c r="AX1496" s="483"/>
      <c r="AY1496" s="270"/>
      <c r="AZ1496" s="270"/>
      <c r="BA1496" s="270" t="str">
        <f>IF(Table1[[#This Row],[Data de Início]]="","",YEAR(Table1[[#This Row],[Data de Início]]))</f>
        <v/>
      </c>
      <c r="BB1496" s="270" t="str">
        <f>IF(Table1[[#This Row],[Data de Início]]="","",MONTH(Table1[[#This Row],[Data de Início]]))</f>
        <v/>
      </c>
      <c r="BC1496" s="270"/>
    </row>
    <row r="1497" spans="2:55" x14ac:dyDescent="0.25">
      <c r="B1497" s="470"/>
      <c r="C1497" s="263"/>
      <c r="D1497" s="477" cm="1">
        <f t="array" ref="D1497">IFERROR(HorasUteisFabrica2Turnos(B1497,C1497), "")</f>
        <v>0</v>
      </c>
      <c r="E1497" s="697" t="str">
        <f t="shared" si="23"/>
        <v/>
      </c>
      <c r="F1497" s="266"/>
      <c r="G1497" s="698"/>
      <c r="H1497" s="266"/>
      <c r="I1497" s="268"/>
      <c r="J1497" s="268"/>
      <c r="K1497" s="268"/>
      <c r="L1497" s="269"/>
      <c r="M1497" s="510" t="str">
        <f>IFERROR(INDEX([1]Produtos!$C:$C,MATCH(L1497,[1]Produtos!$B:$B,0)), "-")</f>
        <v>-</v>
      </c>
      <c r="N1497" s="510" t="str">
        <f>IFERROR(INDEX([1]Produtos!$E:$E,MATCH(L1497,[1]Produtos!$B:$B,0)), "-")</f>
        <v>-</v>
      </c>
      <c r="O1497" s="270" t="str">
        <f>IFERROR(INDEX([1]Produtos!$F:$F,MATCH(L1497,[1]Produtos!$B:$B,0)), "-")</f>
        <v>-</v>
      </c>
      <c r="P1497" s="264" t="str">
        <f>IFERROR(INDEX([1]Produtos!$G:$G,MATCH(L1497,[1]Produtos!$B:$B,0)), "-")</f>
        <v>-</v>
      </c>
      <c r="Q1497" s="270" t="str">
        <f>IFERROR(INDEX([1]Produtos!$H:$H,MATCH(L1497,[1]Produtos!$B:$B,0)), "-")</f>
        <v>-</v>
      </c>
      <c r="R1497" s="270" t="str">
        <f>IFERROR(INDEX([1]Produtos!$I:$I,MATCH(L1497,[1]Produtos!$B:$B,0)), "-")</f>
        <v>-</v>
      </c>
      <c r="S1497" s="270" t="str">
        <f>IFERROR(INDEX([1]Produtos!$J:$J,MATCH(L1497,[1]Produtos!$B:$B,0)), "-")</f>
        <v>-</v>
      </c>
      <c r="T1497" s="475"/>
      <c r="U1497" s="270"/>
      <c r="V1497" s="270"/>
      <c r="W1497" s="270"/>
      <c r="X1497" s="270"/>
      <c r="Y1497" s="270"/>
      <c r="Z1497" s="270"/>
      <c r="AA1497" s="270"/>
      <c r="AB1497" s="270"/>
      <c r="AC1497" s="270"/>
      <c r="AD1497" s="270"/>
      <c r="AE1497" s="270"/>
      <c r="AF1497" s="270"/>
      <c r="AG1497" s="270"/>
      <c r="AH1497" s="270"/>
      <c r="AI1497" s="270"/>
      <c r="AJ1497" s="270"/>
      <c r="AK1497" s="270"/>
      <c r="AL1497" s="270"/>
      <c r="AM1497" s="663"/>
      <c r="AN1497" s="663"/>
      <c r="AO1497" s="708" t="str">
        <f>IF(OR(Table1[[#This Row],[Início Setup Envase]]="",Table1[[#This Row],[Final Setup Envase]]=""),"",Table1[[#This Row],[Final Setup Envase]]-Table1[[#This Row],[Início Setup Envase]])</f>
        <v/>
      </c>
      <c r="AP1497" s="663"/>
      <c r="AQ1497" s="663"/>
      <c r="AR1497" s="270"/>
      <c r="AS1497" s="674"/>
      <c r="AT1497" s="674"/>
      <c r="AU1497" s="270"/>
      <c r="AV1497" s="270"/>
      <c r="AW1497" s="270"/>
      <c r="AX1497" s="270"/>
      <c r="AY1497" s="270"/>
      <c r="AZ1497" s="270"/>
      <c r="BA1497" s="270" t="str">
        <f>IF(Table1[[#This Row],[Data de Início]]="","",YEAR(Table1[[#This Row],[Data de Início]]))</f>
        <v/>
      </c>
      <c r="BB1497" s="270" t="str">
        <f>IF(Table1[[#This Row],[Data de Início]]="","",MONTH(Table1[[#This Row],[Data de Início]]))</f>
        <v/>
      </c>
      <c r="BC1497" s="483"/>
    </row>
    <row r="1498" spans="2:55" x14ac:dyDescent="0.25">
      <c r="B1498" s="470"/>
      <c r="C1498" s="263"/>
      <c r="D1498" s="477" cm="1">
        <f t="array" ref="D1498">IFERROR(HorasUteisFabrica2Turnos(B1498,C1498), "")</f>
        <v>0</v>
      </c>
      <c r="E1498" s="478" t="str">
        <f t="shared" si="23"/>
        <v/>
      </c>
      <c r="F1498" s="266"/>
      <c r="G1498" s="656"/>
      <c r="H1498" s="479"/>
      <c r="I1498" s="268"/>
      <c r="J1498" s="268"/>
      <c r="K1498" s="268"/>
      <c r="L1498" s="269"/>
      <c r="M1498" s="511" t="str">
        <f>IFERROR(INDEX([1]Produtos!$C:$C,MATCH(L1498,[1]Produtos!$B:$B,0)), "-")</f>
        <v>-</v>
      </c>
      <c r="N1498" s="511" t="str">
        <f>IFERROR(INDEX([1]Produtos!$E:$E,MATCH(L1498,[1]Produtos!$B:$B,0)), "-")</f>
        <v>-</v>
      </c>
      <c r="O1498" s="483" t="str">
        <f>IFERROR(INDEX([1]Produtos!$F:$F,MATCH(L1498,[1]Produtos!$B:$B,0)), "-")</f>
        <v>-</v>
      </c>
      <c r="P1498" s="477" t="str">
        <f>IFERROR(INDEX([1]Produtos!$G:$G,MATCH(L1498,[1]Produtos!$B:$B,0)), "-")</f>
        <v>-</v>
      </c>
      <c r="Q1498" s="483" t="str">
        <f>IFERROR(INDEX([1]Produtos!$H:$H,MATCH(L1498,[1]Produtos!$B:$B,0)), "-")</f>
        <v>-</v>
      </c>
      <c r="R1498" s="483" t="str">
        <f>IFERROR(INDEX([1]Produtos!$I:$I,MATCH(L1498,[1]Produtos!$B:$B,0)), "-")</f>
        <v>-</v>
      </c>
      <c r="S1498" s="483" t="str">
        <f>IFERROR(INDEX([1]Produtos!$J:$J,MATCH(L1498,[1]Produtos!$B:$B,0)), "-")</f>
        <v>-</v>
      </c>
      <c r="T1498" s="484"/>
      <c r="U1498" s="483"/>
      <c r="V1498" s="483"/>
      <c r="W1498" s="483"/>
      <c r="X1498" s="483"/>
      <c r="Y1498" s="483"/>
      <c r="Z1498" s="483"/>
      <c r="AA1498" s="483"/>
      <c r="AB1498" s="483"/>
      <c r="AC1498" s="483"/>
      <c r="AD1498" s="483"/>
      <c r="AE1498" s="483"/>
      <c r="AF1498" s="483"/>
      <c r="AG1498" s="483"/>
      <c r="AH1498" s="483"/>
      <c r="AI1498" s="483"/>
      <c r="AJ1498" s="483"/>
      <c r="AK1498" s="483"/>
      <c r="AL1498" s="483"/>
      <c r="AM1498" s="670"/>
      <c r="AN1498" s="670"/>
      <c r="AO1498" s="711" t="str">
        <f>IF(OR(Table1[[#This Row],[Início Setup Envase]]="",Table1[[#This Row],[Final Setup Envase]]=""),"",Table1[[#This Row],[Final Setup Envase]]-Table1[[#This Row],[Início Setup Envase]])</f>
        <v/>
      </c>
      <c r="AP1498" s="670"/>
      <c r="AQ1498" s="670"/>
      <c r="AR1498" s="483"/>
      <c r="AS1498" s="483"/>
      <c r="AT1498" s="483"/>
      <c r="AU1498" s="483"/>
      <c r="AV1498" s="483"/>
      <c r="AW1498" s="483"/>
      <c r="AX1498" s="483"/>
      <c r="AY1498" s="270"/>
      <c r="AZ1498" s="270"/>
      <c r="BA1498" s="270" t="str">
        <f>IF(Table1[[#This Row],[Data de Início]]="","",YEAR(Table1[[#This Row],[Data de Início]]))</f>
        <v/>
      </c>
      <c r="BB1498" s="270" t="str">
        <f>IF(Table1[[#This Row],[Data de Início]]="","",MONTH(Table1[[#This Row],[Data de Início]]))</f>
        <v/>
      </c>
      <c r="BC1498" s="270"/>
    </row>
    <row r="1499" spans="2:55" x14ac:dyDescent="0.25">
      <c r="B1499" s="470"/>
      <c r="C1499" s="263"/>
      <c r="D1499" s="477" cm="1">
        <f t="array" ref="D1499">IFERROR(HorasUteisFabrica2Turnos(B1499,C1499), "")</f>
        <v>0</v>
      </c>
      <c r="E1499" s="697" t="str">
        <f t="shared" si="23"/>
        <v/>
      </c>
      <c r="F1499" s="266"/>
      <c r="G1499" s="698"/>
      <c r="H1499" s="266"/>
      <c r="I1499" s="268"/>
      <c r="J1499" s="268"/>
      <c r="K1499" s="268"/>
      <c r="L1499" s="269"/>
      <c r="M1499" s="510" t="str">
        <f>IFERROR(INDEX([1]Produtos!$C:$C,MATCH(L1499,[1]Produtos!$B:$B,0)), "-")</f>
        <v>-</v>
      </c>
      <c r="N1499" s="510" t="str">
        <f>IFERROR(INDEX([1]Produtos!$E:$E,MATCH(L1499,[1]Produtos!$B:$B,0)), "-")</f>
        <v>-</v>
      </c>
      <c r="O1499" s="270" t="str">
        <f>IFERROR(INDEX([1]Produtos!$F:$F,MATCH(L1499,[1]Produtos!$B:$B,0)), "-")</f>
        <v>-</v>
      </c>
      <c r="P1499" s="264" t="str">
        <f>IFERROR(INDEX([1]Produtos!$G:$G,MATCH(L1499,[1]Produtos!$B:$B,0)), "-")</f>
        <v>-</v>
      </c>
      <c r="Q1499" s="270" t="str">
        <f>IFERROR(INDEX([1]Produtos!$H:$H,MATCH(L1499,[1]Produtos!$B:$B,0)), "-")</f>
        <v>-</v>
      </c>
      <c r="R1499" s="270" t="str">
        <f>IFERROR(INDEX([1]Produtos!$I:$I,MATCH(L1499,[1]Produtos!$B:$B,0)), "-")</f>
        <v>-</v>
      </c>
      <c r="S1499" s="270" t="str">
        <f>IFERROR(INDEX([1]Produtos!$J:$J,MATCH(L1499,[1]Produtos!$B:$B,0)), "-")</f>
        <v>-</v>
      </c>
      <c r="T1499" s="475"/>
      <c r="U1499" s="270"/>
      <c r="V1499" s="270"/>
      <c r="W1499" s="270"/>
      <c r="X1499" s="270"/>
      <c r="Y1499" s="270"/>
      <c r="Z1499" s="270"/>
      <c r="AA1499" s="270"/>
      <c r="AB1499" s="270"/>
      <c r="AC1499" s="270"/>
      <c r="AD1499" s="270"/>
      <c r="AE1499" s="270"/>
      <c r="AF1499" s="270"/>
      <c r="AG1499" s="270"/>
      <c r="AH1499" s="270"/>
      <c r="AI1499" s="270"/>
      <c r="AJ1499" s="270"/>
      <c r="AK1499" s="270"/>
      <c r="AL1499" s="270"/>
      <c r="AM1499" s="663"/>
      <c r="AN1499" s="663"/>
      <c r="AO1499" s="708" t="str">
        <f>IF(OR(Table1[[#This Row],[Início Setup Envase]]="",Table1[[#This Row],[Final Setup Envase]]=""),"",Table1[[#This Row],[Final Setup Envase]]-Table1[[#This Row],[Início Setup Envase]])</f>
        <v/>
      </c>
      <c r="AP1499" s="663"/>
      <c r="AQ1499" s="663"/>
      <c r="AR1499" s="270"/>
      <c r="AS1499" s="674"/>
      <c r="AT1499" s="674"/>
      <c r="AU1499" s="270"/>
      <c r="AV1499" s="270"/>
      <c r="AW1499" s="270"/>
      <c r="AX1499" s="270"/>
      <c r="AY1499" s="270"/>
      <c r="AZ1499" s="270"/>
      <c r="BA1499" s="270" t="str">
        <f>IF(Table1[[#This Row],[Data de Início]]="","",YEAR(Table1[[#This Row],[Data de Início]]))</f>
        <v/>
      </c>
      <c r="BB1499" s="270" t="str">
        <f>IF(Table1[[#This Row],[Data de Início]]="","",MONTH(Table1[[#This Row],[Data de Início]]))</f>
        <v/>
      </c>
      <c r="BC1499" s="483"/>
    </row>
    <row r="1500" spans="2:55" x14ac:dyDescent="0.25">
      <c r="B1500" s="470"/>
      <c r="C1500" s="263"/>
      <c r="D1500" s="477" cm="1">
        <f t="array" ref="D1500">IFERROR(HorasUteisFabrica2Turnos(B1500,C1500), "")</f>
        <v>0</v>
      </c>
      <c r="E1500" s="478" t="str">
        <f t="shared" si="23"/>
        <v/>
      </c>
      <c r="F1500" s="266"/>
      <c r="G1500" s="656"/>
      <c r="H1500" s="479"/>
      <c r="I1500" s="268"/>
      <c r="J1500" s="268"/>
      <c r="K1500" s="268"/>
      <c r="L1500" s="269"/>
      <c r="M1500" s="511" t="str">
        <f>IFERROR(INDEX([1]Produtos!$C:$C,MATCH(L1500,[1]Produtos!$B:$B,0)), "-")</f>
        <v>-</v>
      </c>
      <c r="N1500" s="511" t="str">
        <f>IFERROR(INDEX([1]Produtos!$E:$E,MATCH(L1500,[1]Produtos!$B:$B,0)), "-")</f>
        <v>-</v>
      </c>
      <c r="O1500" s="483" t="str">
        <f>IFERROR(INDEX([1]Produtos!$F:$F,MATCH(L1500,[1]Produtos!$B:$B,0)), "-")</f>
        <v>-</v>
      </c>
      <c r="P1500" s="477" t="str">
        <f>IFERROR(INDEX([1]Produtos!$G:$G,MATCH(L1500,[1]Produtos!$B:$B,0)), "-")</f>
        <v>-</v>
      </c>
      <c r="Q1500" s="483" t="str">
        <f>IFERROR(INDEX([1]Produtos!$H:$H,MATCH(L1500,[1]Produtos!$B:$B,0)), "-")</f>
        <v>-</v>
      </c>
      <c r="R1500" s="483" t="str">
        <f>IFERROR(INDEX([1]Produtos!$I:$I,MATCH(L1500,[1]Produtos!$B:$B,0)), "-")</f>
        <v>-</v>
      </c>
      <c r="S1500" s="483" t="str">
        <f>IFERROR(INDEX([1]Produtos!$J:$J,MATCH(L1500,[1]Produtos!$B:$B,0)), "-")</f>
        <v>-</v>
      </c>
      <c r="T1500" s="484"/>
      <c r="U1500" s="483"/>
      <c r="V1500" s="483"/>
      <c r="W1500" s="483"/>
      <c r="X1500" s="483"/>
      <c r="Y1500" s="483"/>
      <c r="Z1500" s="483"/>
      <c r="AA1500" s="483"/>
      <c r="AB1500" s="483"/>
      <c r="AC1500" s="483"/>
      <c r="AD1500" s="483"/>
      <c r="AE1500" s="483"/>
      <c r="AF1500" s="483"/>
      <c r="AG1500" s="483"/>
      <c r="AH1500" s="483"/>
      <c r="AI1500" s="483"/>
      <c r="AJ1500" s="483"/>
      <c r="AK1500" s="483"/>
      <c r="AL1500" s="483"/>
      <c r="AM1500" s="670"/>
      <c r="AN1500" s="670"/>
      <c r="AO1500" s="711" t="str">
        <f>IF(OR(Table1[[#This Row],[Início Setup Envase]]="",Table1[[#This Row],[Final Setup Envase]]=""),"",Table1[[#This Row],[Final Setup Envase]]-Table1[[#This Row],[Início Setup Envase]])</f>
        <v/>
      </c>
      <c r="AP1500" s="670"/>
      <c r="AQ1500" s="670"/>
      <c r="AR1500" s="483"/>
      <c r="AS1500" s="483"/>
      <c r="AT1500" s="483"/>
      <c r="AU1500" s="483"/>
      <c r="AV1500" s="483"/>
      <c r="AW1500" s="483"/>
      <c r="AX1500" s="483"/>
      <c r="AY1500" s="270"/>
      <c r="AZ1500" s="270"/>
      <c r="BA1500" s="270" t="str">
        <f>IF(Table1[[#This Row],[Data de Início]]="","",YEAR(Table1[[#This Row],[Data de Início]]))</f>
        <v/>
      </c>
      <c r="BB1500" s="270" t="str">
        <f>IF(Table1[[#This Row],[Data de Início]]="","",MONTH(Table1[[#This Row],[Data de Início]]))</f>
        <v/>
      </c>
      <c r="BC1500" s="270"/>
    </row>
    <row r="1501" spans="2:55" x14ac:dyDescent="0.25">
      <c r="B1501" s="470"/>
      <c r="C1501" s="263"/>
      <c r="D1501" s="477" cm="1">
        <f t="array" ref="D1501">IFERROR(HorasUteisFabrica2Turnos(B1501,C1501), "")</f>
        <v>0</v>
      </c>
      <c r="E1501" s="697" t="str">
        <f t="shared" si="23"/>
        <v/>
      </c>
      <c r="F1501" s="266"/>
      <c r="G1501" s="698"/>
      <c r="H1501" s="266"/>
      <c r="I1501" s="268"/>
      <c r="J1501" s="268"/>
      <c r="K1501" s="268"/>
      <c r="L1501" s="269"/>
      <c r="M1501" s="510" t="str">
        <f>IFERROR(INDEX([1]Produtos!$C:$C,MATCH(L1501,[1]Produtos!$B:$B,0)), "-")</f>
        <v>-</v>
      </c>
      <c r="N1501" s="510" t="str">
        <f>IFERROR(INDEX([1]Produtos!$E:$E,MATCH(L1501,[1]Produtos!$B:$B,0)), "-")</f>
        <v>-</v>
      </c>
      <c r="O1501" s="270" t="str">
        <f>IFERROR(INDEX([1]Produtos!$F:$F,MATCH(L1501,[1]Produtos!$B:$B,0)), "-")</f>
        <v>-</v>
      </c>
      <c r="P1501" s="264" t="str">
        <f>IFERROR(INDEX([1]Produtos!$G:$G,MATCH(L1501,[1]Produtos!$B:$B,0)), "-")</f>
        <v>-</v>
      </c>
      <c r="Q1501" s="270" t="str">
        <f>IFERROR(INDEX([1]Produtos!$H:$H,MATCH(L1501,[1]Produtos!$B:$B,0)), "-")</f>
        <v>-</v>
      </c>
      <c r="R1501" s="270" t="str">
        <f>IFERROR(INDEX([1]Produtos!$I:$I,MATCH(L1501,[1]Produtos!$B:$B,0)), "-")</f>
        <v>-</v>
      </c>
      <c r="S1501" s="270" t="str">
        <f>IFERROR(INDEX([1]Produtos!$J:$J,MATCH(L1501,[1]Produtos!$B:$B,0)), "-")</f>
        <v>-</v>
      </c>
      <c r="T1501" s="475"/>
      <c r="U1501" s="270"/>
      <c r="V1501" s="270"/>
      <c r="W1501" s="270"/>
      <c r="X1501" s="270"/>
      <c r="Y1501" s="270"/>
      <c r="Z1501" s="270"/>
      <c r="AA1501" s="270"/>
      <c r="AB1501" s="270"/>
      <c r="AC1501" s="270"/>
      <c r="AD1501" s="270"/>
      <c r="AE1501" s="270"/>
      <c r="AF1501" s="270"/>
      <c r="AG1501" s="270"/>
      <c r="AH1501" s="270"/>
      <c r="AI1501" s="270"/>
      <c r="AJ1501" s="270"/>
      <c r="AK1501" s="270"/>
      <c r="AL1501" s="270"/>
      <c r="AM1501" s="663"/>
      <c r="AN1501" s="663"/>
      <c r="AO1501" s="708" t="str">
        <f>IF(OR(Table1[[#This Row],[Início Setup Envase]]="",Table1[[#This Row],[Final Setup Envase]]=""),"",Table1[[#This Row],[Final Setup Envase]]-Table1[[#This Row],[Início Setup Envase]])</f>
        <v/>
      </c>
      <c r="AP1501" s="663"/>
      <c r="AQ1501" s="663"/>
      <c r="AR1501" s="270"/>
      <c r="AS1501" s="674"/>
      <c r="AT1501" s="674"/>
      <c r="AU1501" s="270"/>
      <c r="AV1501" s="270"/>
      <c r="AW1501" s="270"/>
      <c r="AX1501" s="270"/>
      <c r="AY1501" s="270"/>
      <c r="AZ1501" s="270"/>
      <c r="BA1501" s="270" t="str">
        <f>IF(Table1[[#This Row],[Data de Início]]="","",YEAR(Table1[[#This Row],[Data de Início]]))</f>
        <v/>
      </c>
      <c r="BB1501" s="270" t="str">
        <f>IF(Table1[[#This Row],[Data de Início]]="","",MONTH(Table1[[#This Row],[Data de Início]]))</f>
        <v/>
      </c>
      <c r="BC1501" s="483"/>
    </row>
    <row r="1502" spans="2:55" x14ac:dyDescent="0.25">
      <c r="B1502" s="470"/>
      <c r="C1502" s="263"/>
      <c r="D1502" s="477" cm="1">
        <f t="array" ref="D1502">IFERROR(HorasUteisFabrica2Turnos(B1502,C1502), "")</f>
        <v>0</v>
      </c>
      <c r="E1502" s="478" t="str">
        <f t="shared" si="23"/>
        <v/>
      </c>
      <c r="F1502" s="266"/>
      <c r="G1502" s="656"/>
      <c r="H1502" s="479"/>
      <c r="I1502" s="268"/>
      <c r="J1502" s="268"/>
      <c r="K1502" s="268"/>
      <c r="L1502" s="269"/>
      <c r="M1502" s="511" t="str">
        <f>IFERROR(INDEX([1]Produtos!$C:$C,MATCH(L1502,[1]Produtos!$B:$B,0)), "-")</f>
        <v>-</v>
      </c>
      <c r="N1502" s="511" t="str">
        <f>IFERROR(INDEX([1]Produtos!$E:$E,MATCH(L1502,[1]Produtos!$B:$B,0)), "-")</f>
        <v>-</v>
      </c>
      <c r="O1502" s="483" t="str">
        <f>IFERROR(INDEX([1]Produtos!$F:$F,MATCH(L1502,[1]Produtos!$B:$B,0)), "-")</f>
        <v>-</v>
      </c>
      <c r="P1502" s="477" t="str">
        <f>IFERROR(INDEX([1]Produtos!$G:$G,MATCH(L1502,[1]Produtos!$B:$B,0)), "-")</f>
        <v>-</v>
      </c>
      <c r="Q1502" s="483" t="str">
        <f>IFERROR(INDEX([1]Produtos!$H:$H,MATCH(L1502,[1]Produtos!$B:$B,0)), "-")</f>
        <v>-</v>
      </c>
      <c r="R1502" s="483" t="str">
        <f>IFERROR(INDEX([1]Produtos!$I:$I,MATCH(L1502,[1]Produtos!$B:$B,0)), "-")</f>
        <v>-</v>
      </c>
      <c r="S1502" s="483" t="str">
        <f>IFERROR(INDEX([1]Produtos!$J:$J,MATCH(L1502,[1]Produtos!$B:$B,0)), "-")</f>
        <v>-</v>
      </c>
      <c r="T1502" s="484"/>
      <c r="U1502" s="483"/>
      <c r="V1502" s="483"/>
      <c r="W1502" s="483"/>
      <c r="X1502" s="483"/>
      <c r="Y1502" s="483"/>
      <c r="Z1502" s="483"/>
      <c r="AA1502" s="483"/>
      <c r="AB1502" s="483"/>
      <c r="AC1502" s="483"/>
      <c r="AD1502" s="483"/>
      <c r="AE1502" s="483"/>
      <c r="AF1502" s="483"/>
      <c r="AG1502" s="483"/>
      <c r="AH1502" s="483"/>
      <c r="AI1502" s="483"/>
      <c r="AJ1502" s="483"/>
      <c r="AK1502" s="483"/>
      <c r="AL1502" s="483"/>
      <c r="AM1502" s="670"/>
      <c r="AN1502" s="670"/>
      <c r="AO1502" s="711" t="str">
        <f>IF(OR(Table1[[#This Row],[Início Setup Envase]]="",Table1[[#This Row],[Final Setup Envase]]=""),"",Table1[[#This Row],[Final Setup Envase]]-Table1[[#This Row],[Início Setup Envase]])</f>
        <v/>
      </c>
      <c r="AP1502" s="670"/>
      <c r="AQ1502" s="670"/>
      <c r="AR1502" s="483"/>
      <c r="AS1502" s="483"/>
      <c r="AT1502" s="483"/>
      <c r="AU1502" s="483"/>
      <c r="AV1502" s="483"/>
      <c r="AW1502" s="483"/>
      <c r="AX1502" s="483"/>
      <c r="AY1502" s="270"/>
      <c r="AZ1502" s="270"/>
      <c r="BA1502" s="270" t="str">
        <f>IF(Table1[[#This Row],[Data de Início]]="","",YEAR(Table1[[#This Row],[Data de Início]]))</f>
        <v/>
      </c>
      <c r="BB1502" s="270" t="str">
        <f>IF(Table1[[#This Row],[Data de Início]]="","",MONTH(Table1[[#This Row],[Data de Início]]))</f>
        <v/>
      </c>
      <c r="BC1502" s="270"/>
    </row>
    <row r="1503" spans="2:55" x14ac:dyDescent="0.25">
      <c r="B1503" s="470"/>
      <c r="C1503" s="263"/>
      <c r="D1503" s="477" cm="1">
        <f t="array" ref="D1503">IFERROR(HorasUteisFabrica2Turnos(B1503,C1503), "")</f>
        <v>0</v>
      </c>
      <c r="E1503" s="697" t="str">
        <f t="shared" si="23"/>
        <v/>
      </c>
      <c r="F1503" s="266"/>
      <c r="G1503" s="698"/>
      <c r="H1503" s="266"/>
      <c r="I1503" s="268"/>
      <c r="J1503" s="268"/>
      <c r="K1503" s="268"/>
      <c r="L1503" s="269"/>
      <c r="M1503" s="510" t="str">
        <f>IFERROR(INDEX([1]Produtos!$C:$C,MATCH(L1503,[1]Produtos!$B:$B,0)), "-")</f>
        <v>-</v>
      </c>
      <c r="N1503" s="510" t="str">
        <f>IFERROR(INDEX([1]Produtos!$E:$E,MATCH(L1503,[1]Produtos!$B:$B,0)), "-")</f>
        <v>-</v>
      </c>
      <c r="O1503" s="270" t="str">
        <f>IFERROR(INDEX([1]Produtos!$F:$F,MATCH(L1503,[1]Produtos!$B:$B,0)), "-")</f>
        <v>-</v>
      </c>
      <c r="P1503" s="264" t="str">
        <f>IFERROR(INDEX([1]Produtos!$G:$G,MATCH(L1503,[1]Produtos!$B:$B,0)), "-")</f>
        <v>-</v>
      </c>
      <c r="Q1503" s="270" t="str">
        <f>IFERROR(INDEX([1]Produtos!$H:$H,MATCH(L1503,[1]Produtos!$B:$B,0)), "-")</f>
        <v>-</v>
      </c>
      <c r="R1503" s="270" t="str">
        <f>IFERROR(INDEX([1]Produtos!$I:$I,MATCH(L1503,[1]Produtos!$B:$B,0)), "-")</f>
        <v>-</v>
      </c>
      <c r="S1503" s="270" t="str">
        <f>IFERROR(INDEX([1]Produtos!$J:$J,MATCH(L1503,[1]Produtos!$B:$B,0)), "-")</f>
        <v>-</v>
      </c>
      <c r="T1503" s="475"/>
      <c r="U1503" s="270"/>
      <c r="V1503" s="270"/>
      <c r="W1503" s="270"/>
      <c r="X1503" s="270"/>
      <c r="Y1503" s="270"/>
      <c r="Z1503" s="270"/>
      <c r="AA1503" s="270"/>
      <c r="AB1503" s="270"/>
      <c r="AC1503" s="270"/>
      <c r="AD1503" s="270"/>
      <c r="AE1503" s="270"/>
      <c r="AF1503" s="270"/>
      <c r="AG1503" s="270"/>
      <c r="AH1503" s="270"/>
      <c r="AI1503" s="270"/>
      <c r="AJ1503" s="270"/>
      <c r="AK1503" s="270"/>
      <c r="AL1503" s="270"/>
      <c r="AM1503" s="663"/>
      <c r="AN1503" s="663"/>
      <c r="AO1503" s="708" t="str">
        <f>IF(OR(Table1[[#This Row],[Início Setup Envase]]="",Table1[[#This Row],[Final Setup Envase]]=""),"",Table1[[#This Row],[Final Setup Envase]]-Table1[[#This Row],[Início Setup Envase]])</f>
        <v/>
      </c>
      <c r="AP1503" s="663"/>
      <c r="AQ1503" s="663"/>
      <c r="AR1503" s="270"/>
      <c r="AS1503" s="674"/>
      <c r="AT1503" s="674"/>
      <c r="AU1503" s="270"/>
      <c r="AV1503" s="270"/>
      <c r="AW1503" s="270"/>
      <c r="AX1503" s="270"/>
      <c r="AY1503" s="270"/>
      <c r="AZ1503" s="270"/>
      <c r="BA1503" s="270" t="str">
        <f>IF(Table1[[#This Row],[Data de Início]]="","",YEAR(Table1[[#This Row],[Data de Início]]))</f>
        <v/>
      </c>
      <c r="BB1503" s="270" t="str">
        <f>IF(Table1[[#This Row],[Data de Início]]="","",MONTH(Table1[[#This Row],[Data de Início]]))</f>
        <v/>
      </c>
      <c r="BC1503" s="483"/>
    </row>
    <row r="1504" spans="2:55" x14ac:dyDescent="0.25">
      <c r="B1504" s="470"/>
      <c r="C1504" s="263"/>
      <c r="D1504" s="477" cm="1">
        <f t="array" ref="D1504">IFERROR(HorasUteisFabrica2Turnos(B1504,C1504), "")</f>
        <v>0</v>
      </c>
      <c r="E1504" s="478" t="str">
        <f t="shared" si="23"/>
        <v/>
      </c>
      <c r="F1504" s="266"/>
      <c r="G1504" s="656"/>
      <c r="H1504" s="479"/>
      <c r="I1504" s="268"/>
      <c r="J1504" s="268"/>
      <c r="K1504" s="268"/>
      <c r="L1504" s="269"/>
      <c r="M1504" s="511" t="str">
        <f>IFERROR(INDEX([1]Produtos!$C:$C,MATCH(L1504,[1]Produtos!$B:$B,0)), "-")</f>
        <v>-</v>
      </c>
      <c r="N1504" s="511" t="str">
        <f>IFERROR(INDEX([1]Produtos!$E:$E,MATCH(L1504,[1]Produtos!$B:$B,0)), "-")</f>
        <v>-</v>
      </c>
      <c r="O1504" s="483" t="str">
        <f>IFERROR(INDEX([1]Produtos!$F:$F,MATCH(L1504,[1]Produtos!$B:$B,0)), "-")</f>
        <v>-</v>
      </c>
      <c r="P1504" s="477" t="str">
        <f>IFERROR(INDEX([1]Produtos!$G:$G,MATCH(L1504,[1]Produtos!$B:$B,0)), "-")</f>
        <v>-</v>
      </c>
      <c r="Q1504" s="483" t="str">
        <f>IFERROR(INDEX([1]Produtos!$H:$H,MATCH(L1504,[1]Produtos!$B:$B,0)), "-")</f>
        <v>-</v>
      </c>
      <c r="R1504" s="483" t="str">
        <f>IFERROR(INDEX([1]Produtos!$I:$I,MATCH(L1504,[1]Produtos!$B:$B,0)), "-")</f>
        <v>-</v>
      </c>
      <c r="S1504" s="483" t="str">
        <f>IFERROR(INDEX([1]Produtos!$J:$J,MATCH(L1504,[1]Produtos!$B:$B,0)), "-")</f>
        <v>-</v>
      </c>
      <c r="T1504" s="484"/>
      <c r="U1504" s="483"/>
      <c r="V1504" s="483"/>
      <c r="W1504" s="483"/>
      <c r="X1504" s="483"/>
      <c r="Y1504" s="483"/>
      <c r="Z1504" s="483"/>
      <c r="AA1504" s="483"/>
      <c r="AB1504" s="483"/>
      <c r="AC1504" s="483"/>
      <c r="AD1504" s="483"/>
      <c r="AE1504" s="483"/>
      <c r="AF1504" s="483"/>
      <c r="AG1504" s="483"/>
      <c r="AH1504" s="483"/>
      <c r="AI1504" s="483"/>
      <c r="AJ1504" s="483"/>
      <c r="AK1504" s="483"/>
      <c r="AL1504" s="483"/>
      <c r="AM1504" s="670"/>
      <c r="AN1504" s="670"/>
      <c r="AO1504" s="711" t="str">
        <f>IF(OR(Table1[[#This Row],[Início Setup Envase]]="",Table1[[#This Row],[Final Setup Envase]]=""),"",Table1[[#This Row],[Final Setup Envase]]-Table1[[#This Row],[Início Setup Envase]])</f>
        <v/>
      </c>
      <c r="AP1504" s="670"/>
      <c r="AQ1504" s="670"/>
      <c r="AR1504" s="483"/>
      <c r="AS1504" s="483"/>
      <c r="AT1504" s="483"/>
      <c r="AU1504" s="483"/>
      <c r="AV1504" s="483"/>
      <c r="AW1504" s="483"/>
      <c r="AX1504" s="483"/>
      <c r="AY1504" s="270"/>
      <c r="AZ1504" s="270"/>
      <c r="BA1504" s="270" t="str">
        <f>IF(Table1[[#This Row],[Data de Início]]="","",YEAR(Table1[[#This Row],[Data de Início]]))</f>
        <v/>
      </c>
      <c r="BB1504" s="270" t="str">
        <f>IF(Table1[[#This Row],[Data de Início]]="","",MONTH(Table1[[#This Row],[Data de Início]]))</f>
        <v/>
      </c>
      <c r="BC1504" s="270"/>
    </row>
    <row r="1505" spans="2:55" x14ac:dyDescent="0.25">
      <c r="B1505" s="470"/>
      <c r="C1505" s="263"/>
      <c r="D1505" s="477" cm="1">
        <f t="array" ref="D1505">IFERROR(HorasUteisFabrica2Turnos(B1505,C1505), "")</f>
        <v>0</v>
      </c>
      <c r="E1505" s="697" t="str">
        <f t="shared" si="23"/>
        <v/>
      </c>
      <c r="F1505" s="266"/>
      <c r="G1505" s="698"/>
      <c r="H1505" s="266"/>
      <c r="I1505" s="268"/>
      <c r="J1505" s="268"/>
      <c r="K1505" s="268"/>
      <c r="L1505" s="269"/>
      <c r="M1505" s="510" t="str">
        <f>IFERROR(INDEX([1]Produtos!$C:$C,MATCH(L1505,[1]Produtos!$B:$B,0)), "-")</f>
        <v>-</v>
      </c>
      <c r="N1505" s="510" t="str">
        <f>IFERROR(INDEX([1]Produtos!$E:$E,MATCH(L1505,[1]Produtos!$B:$B,0)), "-")</f>
        <v>-</v>
      </c>
      <c r="O1505" s="270" t="str">
        <f>IFERROR(INDEX([1]Produtos!$F:$F,MATCH(L1505,[1]Produtos!$B:$B,0)), "-")</f>
        <v>-</v>
      </c>
      <c r="P1505" s="264" t="str">
        <f>IFERROR(INDEX([1]Produtos!$G:$G,MATCH(L1505,[1]Produtos!$B:$B,0)), "-")</f>
        <v>-</v>
      </c>
      <c r="Q1505" s="270" t="str">
        <f>IFERROR(INDEX([1]Produtos!$H:$H,MATCH(L1505,[1]Produtos!$B:$B,0)), "-")</f>
        <v>-</v>
      </c>
      <c r="R1505" s="270" t="str">
        <f>IFERROR(INDEX([1]Produtos!$I:$I,MATCH(L1505,[1]Produtos!$B:$B,0)), "-")</f>
        <v>-</v>
      </c>
      <c r="S1505" s="270" t="str">
        <f>IFERROR(INDEX([1]Produtos!$J:$J,MATCH(L1505,[1]Produtos!$B:$B,0)), "-")</f>
        <v>-</v>
      </c>
      <c r="T1505" s="475"/>
      <c r="U1505" s="270"/>
      <c r="V1505" s="270"/>
      <c r="W1505" s="270"/>
      <c r="X1505" s="270"/>
      <c r="Y1505" s="270"/>
      <c r="Z1505" s="270"/>
      <c r="AA1505" s="270"/>
      <c r="AB1505" s="270"/>
      <c r="AC1505" s="270"/>
      <c r="AD1505" s="270"/>
      <c r="AE1505" s="270"/>
      <c r="AF1505" s="270"/>
      <c r="AG1505" s="270"/>
      <c r="AH1505" s="270"/>
      <c r="AI1505" s="270"/>
      <c r="AJ1505" s="270"/>
      <c r="AK1505" s="270"/>
      <c r="AL1505" s="270"/>
      <c r="AM1505" s="663"/>
      <c r="AN1505" s="663"/>
      <c r="AO1505" s="708" t="str">
        <f>IF(OR(Table1[[#This Row],[Início Setup Envase]]="",Table1[[#This Row],[Final Setup Envase]]=""),"",Table1[[#This Row],[Final Setup Envase]]-Table1[[#This Row],[Início Setup Envase]])</f>
        <v/>
      </c>
      <c r="AP1505" s="663"/>
      <c r="AQ1505" s="663"/>
      <c r="AR1505" s="270"/>
      <c r="AS1505" s="674"/>
      <c r="AT1505" s="674"/>
      <c r="AU1505" s="270"/>
      <c r="AV1505" s="270"/>
      <c r="AW1505" s="270"/>
      <c r="AX1505" s="270"/>
      <c r="AY1505" s="270"/>
      <c r="AZ1505" s="270"/>
      <c r="BA1505" s="270" t="str">
        <f>IF(Table1[[#This Row],[Data de Início]]="","",YEAR(Table1[[#This Row],[Data de Início]]))</f>
        <v/>
      </c>
      <c r="BB1505" s="270" t="str">
        <f>IF(Table1[[#This Row],[Data de Início]]="","",MONTH(Table1[[#This Row],[Data de Início]]))</f>
        <v/>
      </c>
      <c r="BC1505" s="483"/>
    </row>
    <row r="1506" spans="2:55" x14ac:dyDescent="0.25">
      <c r="B1506" s="470"/>
      <c r="C1506" s="263"/>
      <c r="D1506" s="477" cm="1">
        <f t="array" ref="D1506">IFERROR(HorasUteisFabrica2Turnos(B1506,C1506), "")</f>
        <v>0</v>
      </c>
      <c r="E1506" s="478" t="str">
        <f t="shared" si="23"/>
        <v/>
      </c>
      <c r="F1506" s="266"/>
      <c r="G1506" s="656"/>
      <c r="H1506" s="479"/>
      <c r="I1506" s="268"/>
      <c r="J1506" s="268"/>
      <c r="K1506" s="268"/>
      <c r="L1506" s="269"/>
      <c r="M1506" s="511" t="str">
        <f>IFERROR(INDEX([1]Produtos!$C:$C,MATCH(L1506,[1]Produtos!$B:$B,0)), "-")</f>
        <v>-</v>
      </c>
      <c r="N1506" s="511" t="str">
        <f>IFERROR(INDEX([1]Produtos!$E:$E,MATCH(L1506,[1]Produtos!$B:$B,0)), "-")</f>
        <v>-</v>
      </c>
      <c r="O1506" s="483" t="str">
        <f>IFERROR(INDEX([1]Produtos!$F:$F,MATCH(L1506,[1]Produtos!$B:$B,0)), "-")</f>
        <v>-</v>
      </c>
      <c r="P1506" s="477" t="str">
        <f>IFERROR(INDEX([1]Produtos!$G:$G,MATCH(L1506,[1]Produtos!$B:$B,0)), "-")</f>
        <v>-</v>
      </c>
      <c r="Q1506" s="483" t="str">
        <f>IFERROR(INDEX([1]Produtos!$H:$H,MATCH(L1506,[1]Produtos!$B:$B,0)), "-")</f>
        <v>-</v>
      </c>
      <c r="R1506" s="483" t="str">
        <f>IFERROR(INDEX([1]Produtos!$I:$I,MATCH(L1506,[1]Produtos!$B:$B,0)), "-")</f>
        <v>-</v>
      </c>
      <c r="S1506" s="483" t="str">
        <f>IFERROR(INDEX([1]Produtos!$J:$J,MATCH(L1506,[1]Produtos!$B:$B,0)), "-")</f>
        <v>-</v>
      </c>
      <c r="T1506" s="484"/>
      <c r="U1506" s="483"/>
      <c r="V1506" s="483"/>
      <c r="W1506" s="483"/>
      <c r="X1506" s="483"/>
      <c r="Y1506" s="483"/>
      <c r="Z1506" s="483"/>
      <c r="AA1506" s="483"/>
      <c r="AB1506" s="483"/>
      <c r="AC1506" s="483"/>
      <c r="AD1506" s="483"/>
      <c r="AE1506" s="483"/>
      <c r="AF1506" s="483"/>
      <c r="AG1506" s="483"/>
      <c r="AH1506" s="483"/>
      <c r="AI1506" s="483"/>
      <c r="AJ1506" s="483"/>
      <c r="AK1506" s="483"/>
      <c r="AL1506" s="483"/>
      <c r="AM1506" s="670"/>
      <c r="AN1506" s="670"/>
      <c r="AO1506" s="711" t="str">
        <f>IF(OR(Table1[[#This Row],[Início Setup Envase]]="",Table1[[#This Row],[Final Setup Envase]]=""),"",Table1[[#This Row],[Final Setup Envase]]-Table1[[#This Row],[Início Setup Envase]])</f>
        <v/>
      </c>
      <c r="AP1506" s="670"/>
      <c r="AQ1506" s="670"/>
      <c r="AR1506" s="483"/>
      <c r="AS1506" s="483"/>
      <c r="AT1506" s="483"/>
      <c r="AU1506" s="483"/>
      <c r="AV1506" s="483"/>
      <c r="AW1506" s="483"/>
      <c r="AX1506" s="483"/>
      <c r="AY1506" s="270"/>
      <c r="AZ1506" s="270"/>
      <c r="BA1506" s="270" t="str">
        <f>IF(Table1[[#This Row],[Data de Início]]="","",YEAR(Table1[[#This Row],[Data de Início]]))</f>
        <v/>
      </c>
      <c r="BB1506" s="270" t="str">
        <f>IF(Table1[[#This Row],[Data de Início]]="","",MONTH(Table1[[#This Row],[Data de Início]]))</f>
        <v/>
      </c>
      <c r="BC1506" s="270"/>
    </row>
    <row r="1507" spans="2:55" x14ac:dyDescent="0.25">
      <c r="B1507" s="470"/>
      <c r="C1507" s="263"/>
      <c r="D1507" s="477" cm="1">
        <f t="array" ref="D1507">IFERROR(HorasUteisFabrica2Turnos(B1507,C1507), "")</f>
        <v>0</v>
      </c>
      <c r="E1507" s="697" t="str">
        <f t="shared" si="23"/>
        <v/>
      </c>
      <c r="F1507" s="266"/>
      <c r="G1507" s="698"/>
      <c r="H1507" s="266"/>
      <c r="I1507" s="268"/>
      <c r="J1507" s="268"/>
      <c r="K1507" s="268"/>
      <c r="L1507" s="269"/>
      <c r="M1507" s="510" t="str">
        <f>IFERROR(INDEX([1]Produtos!$C:$C,MATCH(L1507,[1]Produtos!$B:$B,0)), "-")</f>
        <v>-</v>
      </c>
      <c r="N1507" s="510" t="str">
        <f>IFERROR(INDEX([1]Produtos!$E:$E,MATCH(L1507,[1]Produtos!$B:$B,0)), "-")</f>
        <v>-</v>
      </c>
      <c r="O1507" s="270" t="str">
        <f>IFERROR(INDEX([1]Produtos!$F:$F,MATCH(L1507,[1]Produtos!$B:$B,0)), "-")</f>
        <v>-</v>
      </c>
      <c r="P1507" s="264" t="str">
        <f>IFERROR(INDEX([1]Produtos!$G:$G,MATCH(L1507,[1]Produtos!$B:$B,0)), "-")</f>
        <v>-</v>
      </c>
      <c r="Q1507" s="270" t="str">
        <f>IFERROR(INDEX([1]Produtos!$H:$H,MATCH(L1507,[1]Produtos!$B:$B,0)), "-")</f>
        <v>-</v>
      </c>
      <c r="R1507" s="270" t="str">
        <f>IFERROR(INDEX([1]Produtos!$I:$I,MATCH(L1507,[1]Produtos!$B:$B,0)), "-")</f>
        <v>-</v>
      </c>
      <c r="S1507" s="270" t="str">
        <f>IFERROR(INDEX([1]Produtos!$J:$J,MATCH(L1507,[1]Produtos!$B:$B,0)), "-")</f>
        <v>-</v>
      </c>
      <c r="T1507" s="475"/>
      <c r="U1507" s="270"/>
      <c r="V1507" s="270"/>
      <c r="W1507" s="270"/>
      <c r="X1507" s="270"/>
      <c r="Y1507" s="270"/>
      <c r="Z1507" s="270"/>
      <c r="AA1507" s="270"/>
      <c r="AB1507" s="270"/>
      <c r="AC1507" s="270"/>
      <c r="AD1507" s="270"/>
      <c r="AE1507" s="270"/>
      <c r="AF1507" s="270"/>
      <c r="AG1507" s="270"/>
      <c r="AH1507" s="270"/>
      <c r="AI1507" s="270"/>
      <c r="AJ1507" s="270"/>
      <c r="AK1507" s="270"/>
      <c r="AL1507" s="270"/>
      <c r="AM1507" s="663"/>
      <c r="AN1507" s="663"/>
      <c r="AO1507" s="708" t="str">
        <f>IF(OR(Table1[[#This Row],[Início Setup Envase]]="",Table1[[#This Row],[Final Setup Envase]]=""),"",Table1[[#This Row],[Final Setup Envase]]-Table1[[#This Row],[Início Setup Envase]])</f>
        <v/>
      </c>
      <c r="AP1507" s="663"/>
      <c r="AQ1507" s="663"/>
      <c r="AR1507" s="270"/>
      <c r="AS1507" s="674"/>
      <c r="AT1507" s="674"/>
      <c r="AU1507" s="270"/>
      <c r="AV1507" s="270"/>
      <c r="AW1507" s="270"/>
      <c r="AX1507" s="270"/>
      <c r="AY1507" s="270"/>
      <c r="AZ1507" s="270"/>
      <c r="BA1507" s="270" t="str">
        <f>IF(Table1[[#This Row],[Data de Início]]="","",YEAR(Table1[[#This Row],[Data de Início]]))</f>
        <v/>
      </c>
      <c r="BB1507" s="270" t="str">
        <f>IF(Table1[[#This Row],[Data de Início]]="","",MONTH(Table1[[#This Row],[Data de Início]]))</f>
        <v/>
      </c>
      <c r="BC1507" s="483"/>
    </row>
    <row r="1508" spans="2:55" x14ac:dyDescent="0.25">
      <c r="B1508" s="470"/>
      <c r="C1508" s="263"/>
      <c r="D1508" s="477" cm="1">
        <f t="array" ref="D1508">IFERROR(HorasUteisFabrica2Turnos(B1508,C1508), "")</f>
        <v>0</v>
      </c>
      <c r="E1508" s="478" t="str">
        <f t="shared" si="23"/>
        <v/>
      </c>
      <c r="F1508" s="266"/>
      <c r="G1508" s="656"/>
      <c r="H1508" s="479"/>
      <c r="I1508" s="268"/>
      <c r="J1508" s="268"/>
      <c r="K1508" s="268"/>
      <c r="L1508" s="269"/>
      <c r="M1508" s="511" t="str">
        <f>IFERROR(INDEX([1]Produtos!$C:$C,MATCH(L1508,[1]Produtos!$B:$B,0)), "-")</f>
        <v>-</v>
      </c>
      <c r="N1508" s="511" t="str">
        <f>IFERROR(INDEX([1]Produtos!$E:$E,MATCH(L1508,[1]Produtos!$B:$B,0)), "-")</f>
        <v>-</v>
      </c>
      <c r="O1508" s="483" t="str">
        <f>IFERROR(INDEX([1]Produtos!$F:$F,MATCH(L1508,[1]Produtos!$B:$B,0)), "-")</f>
        <v>-</v>
      </c>
      <c r="P1508" s="477" t="str">
        <f>IFERROR(INDEX([1]Produtos!$G:$G,MATCH(L1508,[1]Produtos!$B:$B,0)), "-")</f>
        <v>-</v>
      </c>
      <c r="Q1508" s="483" t="str">
        <f>IFERROR(INDEX([1]Produtos!$H:$H,MATCH(L1508,[1]Produtos!$B:$B,0)), "-")</f>
        <v>-</v>
      </c>
      <c r="R1508" s="483" t="str">
        <f>IFERROR(INDEX([1]Produtos!$I:$I,MATCH(L1508,[1]Produtos!$B:$B,0)), "-")</f>
        <v>-</v>
      </c>
      <c r="S1508" s="483" t="str">
        <f>IFERROR(INDEX([1]Produtos!$J:$J,MATCH(L1508,[1]Produtos!$B:$B,0)), "-")</f>
        <v>-</v>
      </c>
      <c r="T1508" s="484"/>
      <c r="U1508" s="483"/>
      <c r="V1508" s="483"/>
      <c r="W1508" s="483"/>
      <c r="X1508" s="483"/>
      <c r="Y1508" s="483"/>
      <c r="Z1508" s="483"/>
      <c r="AA1508" s="483"/>
      <c r="AB1508" s="483"/>
      <c r="AC1508" s="483"/>
      <c r="AD1508" s="483"/>
      <c r="AE1508" s="483"/>
      <c r="AF1508" s="483"/>
      <c r="AG1508" s="483"/>
      <c r="AH1508" s="483"/>
      <c r="AI1508" s="483"/>
      <c r="AJ1508" s="483"/>
      <c r="AK1508" s="483"/>
      <c r="AL1508" s="483"/>
      <c r="AM1508" s="670"/>
      <c r="AN1508" s="670"/>
      <c r="AO1508" s="711" t="str">
        <f>IF(OR(Table1[[#This Row],[Início Setup Envase]]="",Table1[[#This Row],[Final Setup Envase]]=""),"",Table1[[#This Row],[Final Setup Envase]]-Table1[[#This Row],[Início Setup Envase]])</f>
        <v/>
      </c>
      <c r="AP1508" s="670"/>
      <c r="AQ1508" s="670"/>
      <c r="AR1508" s="483"/>
      <c r="AS1508" s="483"/>
      <c r="AT1508" s="483"/>
      <c r="AU1508" s="483"/>
      <c r="AV1508" s="483"/>
      <c r="AW1508" s="483"/>
      <c r="AX1508" s="483"/>
      <c r="AY1508" s="270"/>
      <c r="AZ1508" s="270"/>
      <c r="BA1508" s="270" t="str">
        <f>IF(Table1[[#This Row],[Data de Início]]="","",YEAR(Table1[[#This Row],[Data de Início]]))</f>
        <v/>
      </c>
      <c r="BB1508" s="270" t="str">
        <f>IF(Table1[[#This Row],[Data de Início]]="","",MONTH(Table1[[#This Row],[Data de Início]]))</f>
        <v/>
      </c>
      <c r="BC1508" s="270"/>
    </row>
    <row r="1509" spans="2:55" x14ac:dyDescent="0.25">
      <c r="B1509" s="470"/>
      <c r="C1509" s="263"/>
      <c r="D1509" s="477" cm="1">
        <f t="array" ref="D1509">IFERROR(HorasUteisFabrica2Turnos(B1509,C1509), "")</f>
        <v>0</v>
      </c>
      <c r="E1509" s="697" t="str">
        <f t="shared" ref="E1509:E1572" si="24">IFERROR(K1509/D1509, "")</f>
        <v/>
      </c>
      <c r="F1509" s="266"/>
      <c r="G1509" s="698"/>
      <c r="H1509" s="266"/>
      <c r="I1509" s="268"/>
      <c r="J1509" s="268"/>
      <c r="K1509" s="268"/>
      <c r="L1509" s="269"/>
      <c r="M1509" s="510" t="str">
        <f>IFERROR(INDEX([1]Produtos!$C:$C,MATCH(L1509,[1]Produtos!$B:$B,0)), "-")</f>
        <v>-</v>
      </c>
      <c r="N1509" s="510" t="str">
        <f>IFERROR(INDEX([1]Produtos!$E:$E,MATCH(L1509,[1]Produtos!$B:$B,0)), "-")</f>
        <v>-</v>
      </c>
      <c r="O1509" s="270" t="str">
        <f>IFERROR(INDEX([1]Produtos!$F:$F,MATCH(L1509,[1]Produtos!$B:$B,0)), "-")</f>
        <v>-</v>
      </c>
      <c r="P1509" s="264" t="str">
        <f>IFERROR(INDEX([1]Produtos!$G:$G,MATCH(L1509,[1]Produtos!$B:$B,0)), "-")</f>
        <v>-</v>
      </c>
      <c r="Q1509" s="270" t="str">
        <f>IFERROR(INDEX([1]Produtos!$H:$H,MATCH(L1509,[1]Produtos!$B:$B,0)), "-")</f>
        <v>-</v>
      </c>
      <c r="R1509" s="270" t="str">
        <f>IFERROR(INDEX([1]Produtos!$I:$I,MATCH(L1509,[1]Produtos!$B:$B,0)), "-")</f>
        <v>-</v>
      </c>
      <c r="S1509" s="270" t="str">
        <f>IFERROR(INDEX([1]Produtos!$J:$J,MATCH(L1509,[1]Produtos!$B:$B,0)), "-")</f>
        <v>-</v>
      </c>
      <c r="T1509" s="475"/>
      <c r="U1509" s="270"/>
      <c r="V1509" s="270"/>
      <c r="W1509" s="270"/>
      <c r="X1509" s="270"/>
      <c r="Y1509" s="270"/>
      <c r="Z1509" s="270"/>
      <c r="AA1509" s="270"/>
      <c r="AB1509" s="270"/>
      <c r="AC1509" s="270"/>
      <c r="AD1509" s="270"/>
      <c r="AE1509" s="270"/>
      <c r="AF1509" s="270"/>
      <c r="AG1509" s="270"/>
      <c r="AH1509" s="270"/>
      <c r="AI1509" s="270"/>
      <c r="AJ1509" s="270"/>
      <c r="AK1509" s="270"/>
      <c r="AL1509" s="270"/>
      <c r="AM1509" s="663"/>
      <c r="AN1509" s="663"/>
      <c r="AO1509" s="708" t="str">
        <f>IF(OR(Table1[[#This Row],[Início Setup Envase]]="",Table1[[#This Row],[Final Setup Envase]]=""),"",Table1[[#This Row],[Final Setup Envase]]-Table1[[#This Row],[Início Setup Envase]])</f>
        <v/>
      </c>
      <c r="AP1509" s="663"/>
      <c r="AQ1509" s="663"/>
      <c r="AR1509" s="270"/>
      <c r="AS1509" s="674"/>
      <c r="AT1509" s="674"/>
      <c r="AU1509" s="270"/>
      <c r="AV1509" s="270"/>
      <c r="AW1509" s="270"/>
      <c r="AX1509" s="270"/>
      <c r="AY1509" s="270"/>
      <c r="AZ1509" s="270"/>
      <c r="BA1509" s="270" t="str">
        <f>IF(Table1[[#This Row],[Data de Início]]="","",YEAR(Table1[[#This Row],[Data de Início]]))</f>
        <v/>
      </c>
      <c r="BB1509" s="270" t="str">
        <f>IF(Table1[[#This Row],[Data de Início]]="","",MONTH(Table1[[#This Row],[Data de Início]]))</f>
        <v/>
      </c>
      <c r="BC1509" s="483"/>
    </row>
    <row r="1510" spans="2:55" x14ac:dyDescent="0.25">
      <c r="B1510" s="470"/>
      <c r="C1510" s="263"/>
      <c r="D1510" s="477" cm="1">
        <f t="array" ref="D1510">IFERROR(HorasUteisFabrica2Turnos(B1510,C1510), "")</f>
        <v>0</v>
      </c>
      <c r="E1510" s="478" t="str">
        <f t="shared" si="24"/>
        <v/>
      </c>
      <c r="F1510" s="266"/>
      <c r="G1510" s="656"/>
      <c r="H1510" s="479"/>
      <c r="I1510" s="268"/>
      <c r="J1510" s="268"/>
      <c r="K1510" s="268"/>
      <c r="L1510" s="269"/>
      <c r="M1510" s="511" t="str">
        <f>IFERROR(INDEX([1]Produtos!$C:$C,MATCH(L1510,[1]Produtos!$B:$B,0)), "-")</f>
        <v>-</v>
      </c>
      <c r="N1510" s="511" t="str">
        <f>IFERROR(INDEX([1]Produtos!$E:$E,MATCH(L1510,[1]Produtos!$B:$B,0)), "-")</f>
        <v>-</v>
      </c>
      <c r="O1510" s="483" t="str">
        <f>IFERROR(INDEX([1]Produtos!$F:$F,MATCH(L1510,[1]Produtos!$B:$B,0)), "-")</f>
        <v>-</v>
      </c>
      <c r="P1510" s="477" t="str">
        <f>IFERROR(INDEX([1]Produtos!$G:$G,MATCH(L1510,[1]Produtos!$B:$B,0)), "-")</f>
        <v>-</v>
      </c>
      <c r="Q1510" s="483" t="str">
        <f>IFERROR(INDEX([1]Produtos!$H:$H,MATCH(L1510,[1]Produtos!$B:$B,0)), "-")</f>
        <v>-</v>
      </c>
      <c r="R1510" s="483" t="str">
        <f>IFERROR(INDEX([1]Produtos!$I:$I,MATCH(L1510,[1]Produtos!$B:$B,0)), "-")</f>
        <v>-</v>
      </c>
      <c r="S1510" s="483" t="str">
        <f>IFERROR(INDEX([1]Produtos!$J:$J,MATCH(L1510,[1]Produtos!$B:$B,0)), "-")</f>
        <v>-</v>
      </c>
      <c r="T1510" s="484"/>
      <c r="U1510" s="483"/>
      <c r="V1510" s="483"/>
      <c r="W1510" s="483"/>
      <c r="X1510" s="483"/>
      <c r="Y1510" s="483"/>
      <c r="Z1510" s="483"/>
      <c r="AA1510" s="483"/>
      <c r="AB1510" s="483"/>
      <c r="AC1510" s="483"/>
      <c r="AD1510" s="483"/>
      <c r="AE1510" s="483"/>
      <c r="AF1510" s="483"/>
      <c r="AG1510" s="483"/>
      <c r="AH1510" s="483"/>
      <c r="AI1510" s="483"/>
      <c r="AJ1510" s="483"/>
      <c r="AK1510" s="483"/>
      <c r="AL1510" s="483"/>
      <c r="AM1510" s="670"/>
      <c r="AN1510" s="670"/>
      <c r="AO1510" s="711" t="str">
        <f>IF(OR(Table1[[#This Row],[Início Setup Envase]]="",Table1[[#This Row],[Final Setup Envase]]=""),"",Table1[[#This Row],[Final Setup Envase]]-Table1[[#This Row],[Início Setup Envase]])</f>
        <v/>
      </c>
      <c r="AP1510" s="670"/>
      <c r="AQ1510" s="670"/>
      <c r="AR1510" s="483"/>
      <c r="AS1510" s="483"/>
      <c r="AT1510" s="483"/>
      <c r="AU1510" s="483"/>
      <c r="AV1510" s="483"/>
      <c r="AW1510" s="483"/>
      <c r="AX1510" s="483"/>
      <c r="AY1510" s="270"/>
      <c r="AZ1510" s="270"/>
      <c r="BA1510" s="270" t="str">
        <f>IF(Table1[[#This Row],[Data de Início]]="","",YEAR(Table1[[#This Row],[Data de Início]]))</f>
        <v/>
      </c>
      <c r="BB1510" s="270" t="str">
        <f>IF(Table1[[#This Row],[Data de Início]]="","",MONTH(Table1[[#This Row],[Data de Início]]))</f>
        <v/>
      </c>
      <c r="BC1510" s="270"/>
    </row>
    <row r="1511" spans="2:55" x14ac:dyDescent="0.25">
      <c r="B1511" s="470"/>
      <c r="C1511" s="263"/>
      <c r="D1511" s="477" cm="1">
        <f t="array" ref="D1511">IFERROR(HorasUteisFabrica2Turnos(B1511,C1511), "")</f>
        <v>0</v>
      </c>
      <c r="E1511" s="697" t="str">
        <f t="shared" si="24"/>
        <v/>
      </c>
      <c r="F1511" s="266"/>
      <c r="G1511" s="698"/>
      <c r="H1511" s="266"/>
      <c r="I1511" s="268"/>
      <c r="J1511" s="268"/>
      <c r="K1511" s="268"/>
      <c r="L1511" s="269"/>
      <c r="M1511" s="510" t="str">
        <f>IFERROR(INDEX([1]Produtos!$C:$C,MATCH(L1511,[1]Produtos!$B:$B,0)), "-")</f>
        <v>-</v>
      </c>
      <c r="N1511" s="510" t="str">
        <f>IFERROR(INDEX([1]Produtos!$E:$E,MATCH(L1511,[1]Produtos!$B:$B,0)), "-")</f>
        <v>-</v>
      </c>
      <c r="O1511" s="270" t="str">
        <f>IFERROR(INDEX([1]Produtos!$F:$F,MATCH(L1511,[1]Produtos!$B:$B,0)), "-")</f>
        <v>-</v>
      </c>
      <c r="P1511" s="264" t="str">
        <f>IFERROR(INDEX([1]Produtos!$G:$G,MATCH(L1511,[1]Produtos!$B:$B,0)), "-")</f>
        <v>-</v>
      </c>
      <c r="Q1511" s="270" t="str">
        <f>IFERROR(INDEX([1]Produtos!$H:$H,MATCH(L1511,[1]Produtos!$B:$B,0)), "-")</f>
        <v>-</v>
      </c>
      <c r="R1511" s="270" t="str">
        <f>IFERROR(INDEX([1]Produtos!$I:$I,MATCH(L1511,[1]Produtos!$B:$B,0)), "-")</f>
        <v>-</v>
      </c>
      <c r="S1511" s="270" t="str">
        <f>IFERROR(INDEX([1]Produtos!$J:$J,MATCH(L1511,[1]Produtos!$B:$B,0)), "-")</f>
        <v>-</v>
      </c>
      <c r="T1511" s="475"/>
      <c r="U1511" s="270"/>
      <c r="V1511" s="270"/>
      <c r="W1511" s="270"/>
      <c r="X1511" s="270"/>
      <c r="Y1511" s="270"/>
      <c r="Z1511" s="270"/>
      <c r="AA1511" s="270"/>
      <c r="AB1511" s="270"/>
      <c r="AC1511" s="270"/>
      <c r="AD1511" s="270"/>
      <c r="AE1511" s="270"/>
      <c r="AF1511" s="270"/>
      <c r="AG1511" s="270"/>
      <c r="AH1511" s="270"/>
      <c r="AI1511" s="270"/>
      <c r="AJ1511" s="270"/>
      <c r="AK1511" s="270"/>
      <c r="AL1511" s="270"/>
      <c r="AM1511" s="663"/>
      <c r="AN1511" s="663"/>
      <c r="AO1511" s="708" t="str">
        <f>IF(OR(Table1[[#This Row],[Início Setup Envase]]="",Table1[[#This Row],[Final Setup Envase]]=""),"",Table1[[#This Row],[Final Setup Envase]]-Table1[[#This Row],[Início Setup Envase]])</f>
        <v/>
      </c>
      <c r="AP1511" s="663"/>
      <c r="AQ1511" s="663"/>
      <c r="AR1511" s="270"/>
      <c r="AS1511" s="674"/>
      <c r="AT1511" s="674"/>
      <c r="AU1511" s="270"/>
      <c r="AV1511" s="270"/>
      <c r="AW1511" s="270"/>
      <c r="AX1511" s="270"/>
      <c r="AY1511" s="270"/>
      <c r="AZ1511" s="270"/>
      <c r="BA1511" s="270" t="str">
        <f>IF(Table1[[#This Row],[Data de Início]]="","",YEAR(Table1[[#This Row],[Data de Início]]))</f>
        <v/>
      </c>
      <c r="BB1511" s="270" t="str">
        <f>IF(Table1[[#This Row],[Data de Início]]="","",MONTH(Table1[[#This Row],[Data de Início]]))</f>
        <v/>
      </c>
      <c r="BC1511" s="483"/>
    </row>
    <row r="1512" spans="2:55" x14ac:dyDescent="0.25">
      <c r="B1512" s="470"/>
      <c r="C1512" s="263"/>
      <c r="D1512" s="477" cm="1">
        <f t="array" ref="D1512">IFERROR(HorasUteisFabrica2Turnos(B1512,C1512), "")</f>
        <v>0</v>
      </c>
      <c r="E1512" s="478" t="str">
        <f t="shared" si="24"/>
        <v/>
      </c>
      <c r="F1512" s="266"/>
      <c r="G1512" s="656"/>
      <c r="H1512" s="479"/>
      <c r="I1512" s="268"/>
      <c r="J1512" s="268"/>
      <c r="K1512" s="268"/>
      <c r="L1512" s="269"/>
      <c r="M1512" s="511" t="str">
        <f>IFERROR(INDEX([1]Produtos!$C:$C,MATCH(L1512,[1]Produtos!$B:$B,0)), "-")</f>
        <v>-</v>
      </c>
      <c r="N1512" s="511" t="str">
        <f>IFERROR(INDEX([1]Produtos!$E:$E,MATCH(L1512,[1]Produtos!$B:$B,0)), "-")</f>
        <v>-</v>
      </c>
      <c r="O1512" s="483" t="str">
        <f>IFERROR(INDEX([1]Produtos!$F:$F,MATCH(L1512,[1]Produtos!$B:$B,0)), "-")</f>
        <v>-</v>
      </c>
      <c r="P1512" s="477" t="str">
        <f>IFERROR(INDEX([1]Produtos!$G:$G,MATCH(L1512,[1]Produtos!$B:$B,0)), "-")</f>
        <v>-</v>
      </c>
      <c r="Q1512" s="483" t="str">
        <f>IFERROR(INDEX([1]Produtos!$H:$H,MATCH(L1512,[1]Produtos!$B:$B,0)), "-")</f>
        <v>-</v>
      </c>
      <c r="R1512" s="483" t="str">
        <f>IFERROR(INDEX([1]Produtos!$I:$I,MATCH(L1512,[1]Produtos!$B:$B,0)), "-")</f>
        <v>-</v>
      </c>
      <c r="S1512" s="483" t="str">
        <f>IFERROR(INDEX([1]Produtos!$J:$J,MATCH(L1512,[1]Produtos!$B:$B,0)), "-")</f>
        <v>-</v>
      </c>
      <c r="T1512" s="484"/>
      <c r="U1512" s="483"/>
      <c r="V1512" s="483"/>
      <c r="W1512" s="483"/>
      <c r="X1512" s="483"/>
      <c r="Y1512" s="483"/>
      <c r="Z1512" s="483"/>
      <c r="AA1512" s="483"/>
      <c r="AB1512" s="483"/>
      <c r="AC1512" s="483"/>
      <c r="AD1512" s="483"/>
      <c r="AE1512" s="483"/>
      <c r="AF1512" s="483"/>
      <c r="AG1512" s="483"/>
      <c r="AH1512" s="483"/>
      <c r="AI1512" s="483"/>
      <c r="AJ1512" s="483"/>
      <c r="AK1512" s="483"/>
      <c r="AL1512" s="483"/>
      <c r="AM1512" s="670"/>
      <c r="AN1512" s="670"/>
      <c r="AO1512" s="711" t="str">
        <f>IF(OR(Table1[[#This Row],[Início Setup Envase]]="",Table1[[#This Row],[Final Setup Envase]]=""),"",Table1[[#This Row],[Final Setup Envase]]-Table1[[#This Row],[Início Setup Envase]])</f>
        <v/>
      </c>
      <c r="AP1512" s="670"/>
      <c r="AQ1512" s="670"/>
      <c r="AR1512" s="483"/>
      <c r="AS1512" s="483"/>
      <c r="AT1512" s="483"/>
      <c r="AU1512" s="483"/>
      <c r="AV1512" s="483"/>
      <c r="AW1512" s="483"/>
      <c r="AX1512" s="483"/>
      <c r="AY1512" s="270"/>
      <c r="AZ1512" s="270"/>
      <c r="BA1512" s="270" t="str">
        <f>IF(Table1[[#This Row],[Data de Início]]="","",YEAR(Table1[[#This Row],[Data de Início]]))</f>
        <v/>
      </c>
      <c r="BB1512" s="270" t="str">
        <f>IF(Table1[[#This Row],[Data de Início]]="","",MONTH(Table1[[#This Row],[Data de Início]]))</f>
        <v/>
      </c>
      <c r="BC1512" s="270"/>
    </row>
    <row r="1513" spans="2:55" x14ac:dyDescent="0.25">
      <c r="B1513" s="470"/>
      <c r="C1513" s="263"/>
      <c r="D1513" s="477" cm="1">
        <f t="array" ref="D1513">IFERROR(HorasUteisFabrica2Turnos(B1513,C1513), "")</f>
        <v>0</v>
      </c>
      <c r="E1513" s="697" t="str">
        <f t="shared" si="24"/>
        <v/>
      </c>
      <c r="F1513" s="266"/>
      <c r="G1513" s="698"/>
      <c r="H1513" s="266"/>
      <c r="I1513" s="268"/>
      <c r="J1513" s="268"/>
      <c r="K1513" s="268"/>
      <c r="L1513" s="269"/>
      <c r="M1513" s="510" t="str">
        <f>IFERROR(INDEX([1]Produtos!$C:$C,MATCH(L1513,[1]Produtos!$B:$B,0)), "-")</f>
        <v>-</v>
      </c>
      <c r="N1513" s="510" t="str">
        <f>IFERROR(INDEX([1]Produtos!$E:$E,MATCH(L1513,[1]Produtos!$B:$B,0)), "-")</f>
        <v>-</v>
      </c>
      <c r="O1513" s="270" t="str">
        <f>IFERROR(INDEX([1]Produtos!$F:$F,MATCH(L1513,[1]Produtos!$B:$B,0)), "-")</f>
        <v>-</v>
      </c>
      <c r="P1513" s="264" t="str">
        <f>IFERROR(INDEX([1]Produtos!$G:$G,MATCH(L1513,[1]Produtos!$B:$B,0)), "-")</f>
        <v>-</v>
      </c>
      <c r="Q1513" s="270" t="str">
        <f>IFERROR(INDEX([1]Produtos!$H:$H,MATCH(L1513,[1]Produtos!$B:$B,0)), "-")</f>
        <v>-</v>
      </c>
      <c r="R1513" s="270" t="str">
        <f>IFERROR(INDEX([1]Produtos!$I:$I,MATCH(L1513,[1]Produtos!$B:$B,0)), "-")</f>
        <v>-</v>
      </c>
      <c r="S1513" s="270" t="str">
        <f>IFERROR(INDEX([1]Produtos!$J:$J,MATCH(L1513,[1]Produtos!$B:$B,0)), "-")</f>
        <v>-</v>
      </c>
      <c r="T1513" s="475"/>
      <c r="U1513" s="270"/>
      <c r="V1513" s="270"/>
      <c r="W1513" s="270"/>
      <c r="X1513" s="270"/>
      <c r="Y1513" s="270"/>
      <c r="Z1513" s="270"/>
      <c r="AA1513" s="270"/>
      <c r="AB1513" s="270"/>
      <c r="AC1513" s="270"/>
      <c r="AD1513" s="270"/>
      <c r="AE1513" s="270"/>
      <c r="AF1513" s="270"/>
      <c r="AG1513" s="270"/>
      <c r="AH1513" s="270"/>
      <c r="AI1513" s="270"/>
      <c r="AJ1513" s="270"/>
      <c r="AK1513" s="270"/>
      <c r="AL1513" s="270"/>
      <c r="AM1513" s="663"/>
      <c r="AN1513" s="663"/>
      <c r="AO1513" s="708" t="str">
        <f>IF(OR(Table1[[#This Row],[Início Setup Envase]]="",Table1[[#This Row],[Final Setup Envase]]=""),"",Table1[[#This Row],[Final Setup Envase]]-Table1[[#This Row],[Início Setup Envase]])</f>
        <v/>
      </c>
      <c r="AP1513" s="663"/>
      <c r="AQ1513" s="663"/>
      <c r="AR1513" s="270"/>
      <c r="AS1513" s="674"/>
      <c r="AT1513" s="674"/>
      <c r="AU1513" s="270"/>
      <c r="AV1513" s="270"/>
      <c r="AW1513" s="270"/>
      <c r="AX1513" s="270"/>
      <c r="AY1513" s="270"/>
      <c r="AZ1513" s="270"/>
      <c r="BA1513" s="270" t="str">
        <f>IF(Table1[[#This Row],[Data de Início]]="","",YEAR(Table1[[#This Row],[Data de Início]]))</f>
        <v/>
      </c>
      <c r="BB1513" s="270" t="str">
        <f>IF(Table1[[#This Row],[Data de Início]]="","",MONTH(Table1[[#This Row],[Data de Início]]))</f>
        <v/>
      </c>
      <c r="BC1513" s="483"/>
    </row>
    <row r="1514" spans="2:55" x14ac:dyDescent="0.25">
      <c r="B1514" s="470"/>
      <c r="C1514" s="263"/>
      <c r="D1514" s="477" cm="1">
        <f t="array" ref="D1514">IFERROR(HorasUteisFabrica2Turnos(B1514,C1514), "")</f>
        <v>0</v>
      </c>
      <c r="E1514" s="478" t="str">
        <f t="shared" si="24"/>
        <v/>
      </c>
      <c r="F1514" s="266"/>
      <c r="G1514" s="656"/>
      <c r="H1514" s="479"/>
      <c r="I1514" s="268"/>
      <c r="J1514" s="268"/>
      <c r="K1514" s="268"/>
      <c r="L1514" s="269"/>
      <c r="M1514" s="511" t="str">
        <f>IFERROR(INDEX([1]Produtos!$C:$C,MATCH(L1514,[1]Produtos!$B:$B,0)), "-")</f>
        <v>-</v>
      </c>
      <c r="N1514" s="511" t="str">
        <f>IFERROR(INDEX([1]Produtos!$E:$E,MATCH(L1514,[1]Produtos!$B:$B,0)), "-")</f>
        <v>-</v>
      </c>
      <c r="O1514" s="483" t="str">
        <f>IFERROR(INDEX([1]Produtos!$F:$F,MATCH(L1514,[1]Produtos!$B:$B,0)), "-")</f>
        <v>-</v>
      </c>
      <c r="P1514" s="477" t="str">
        <f>IFERROR(INDEX([1]Produtos!$G:$G,MATCH(L1514,[1]Produtos!$B:$B,0)), "-")</f>
        <v>-</v>
      </c>
      <c r="Q1514" s="483" t="str">
        <f>IFERROR(INDEX([1]Produtos!$H:$H,MATCH(L1514,[1]Produtos!$B:$B,0)), "-")</f>
        <v>-</v>
      </c>
      <c r="R1514" s="483" t="str">
        <f>IFERROR(INDEX([1]Produtos!$I:$I,MATCH(L1514,[1]Produtos!$B:$B,0)), "-")</f>
        <v>-</v>
      </c>
      <c r="S1514" s="483" t="str">
        <f>IFERROR(INDEX([1]Produtos!$J:$J,MATCH(L1514,[1]Produtos!$B:$B,0)), "-")</f>
        <v>-</v>
      </c>
      <c r="T1514" s="484"/>
      <c r="U1514" s="483"/>
      <c r="V1514" s="483"/>
      <c r="W1514" s="483"/>
      <c r="X1514" s="483"/>
      <c r="Y1514" s="483"/>
      <c r="Z1514" s="483"/>
      <c r="AA1514" s="483"/>
      <c r="AB1514" s="483"/>
      <c r="AC1514" s="483"/>
      <c r="AD1514" s="483"/>
      <c r="AE1514" s="483"/>
      <c r="AF1514" s="483"/>
      <c r="AG1514" s="483"/>
      <c r="AH1514" s="483"/>
      <c r="AI1514" s="483"/>
      <c r="AJ1514" s="483"/>
      <c r="AK1514" s="483"/>
      <c r="AL1514" s="483"/>
      <c r="AM1514" s="670"/>
      <c r="AN1514" s="670"/>
      <c r="AO1514" s="711" t="str">
        <f>IF(OR(Table1[[#This Row],[Início Setup Envase]]="",Table1[[#This Row],[Final Setup Envase]]=""),"",Table1[[#This Row],[Final Setup Envase]]-Table1[[#This Row],[Início Setup Envase]])</f>
        <v/>
      </c>
      <c r="AP1514" s="670"/>
      <c r="AQ1514" s="670"/>
      <c r="AR1514" s="483"/>
      <c r="AS1514" s="483"/>
      <c r="AT1514" s="483"/>
      <c r="AU1514" s="483"/>
      <c r="AV1514" s="483"/>
      <c r="AW1514" s="483"/>
      <c r="AX1514" s="483"/>
      <c r="AY1514" s="270"/>
      <c r="AZ1514" s="270"/>
      <c r="BA1514" s="270" t="str">
        <f>IF(Table1[[#This Row],[Data de Início]]="","",YEAR(Table1[[#This Row],[Data de Início]]))</f>
        <v/>
      </c>
      <c r="BB1514" s="270" t="str">
        <f>IF(Table1[[#This Row],[Data de Início]]="","",MONTH(Table1[[#This Row],[Data de Início]]))</f>
        <v/>
      </c>
      <c r="BC1514" s="270"/>
    </row>
    <row r="1515" spans="2:55" x14ac:dyDescent="0.25">
      <c r="B1515" s="470"/>
      <c r="C1515" s="263"/>
      <c r="D1515" s="477" cm="1">
        <f t="array" ref="D1515">IFERROR(HorasUteisFabrica2Turnos(B1515,C1515), "")</f>
        <v>0</v>
      </c>
      <c r="E1515" s="697" t="str">
        <f t="shared" si="24"/>
        <v/>
      </c>
      <c r="F1515" s="266"/>
      <c r="G1515" s="698"/>
      <c r="H1515" s="266"/>
      <c r="I1515" s="268"/>
      <c r="J1515" s="268"/>
      <c r="K1515" s="268"/>
      <c r="L1515" s="269"/>
      <c r="M1515" s="510" t="str">
        <f>IFERROR(INDEX([1]Produtos!$C:$C,MATCH(L1515,[1]Produtos!$B:$B,0)), "-")</f>
        <v>-</v>
      </c>
      <c r="N1515" s="510" t="str">
        <f>IFERROR(INDEX([1]Produtos!$E:$E,MATCH(L1515,[1]Produtos!$B:$B,0)), "-")</f>
        <v>-</v>
      </c>
      <c r="O1515" s="270" t="str">
        <f>IFERROR(INDEX([1]Produtos!$F:$F,MATCH(L1515,[1]Produtos!$B:$B,0)), "-")</f>
        <v>-</v>
      </c>
      <c r="P1515" s="264" t="str">
        <f>IFERROR(INDEX([1]Produtos!$G:$G,MATCH(L1515,[1]Produtos!$B:$B,0)), "-")</f>
        <v>-</v>
      </c>
      <c r="Q1515" s="270" t="str">
        <f>IFERROR(INDEX([1]Produtos!$H:$H,MATCH(L1515,[1]Produtos!$B:$B,0)), "-")</f>
        <v>-</v>
      </c>
      <c r="R1515" s="270" t="str">
        <f>IFERROR(INDEX([1]Produtos!$I:$I,MATCH(L1515,[1]Produtos!$B:$B,0)), "-")</f>
        <v>-</v>
      </c>
      <c r="S1515" s="270" t="str">
        <f>IFERROR(INDEX([1]Produtos!$J:$J,MATCH(L1515,[1]Produtos!$B:$B,0)), "-")</f>
        <v>-</v>
      </c>
      <c r="T1515" s="475"/>
      <c r="U1515" s="270"/>
      <c r="V1515" s="270"/>
      <c r="W1515" s="270"/>
      <c r="X1515" s="270"/>
      <c r="Y1515" s="270"/>
      <c r="Z1515" s="270"/>
      <c r="AA1515" s="270"/>
      <c r="AB1515" s="270"/>
      <c r="AC1515" s="270"/>
      <c r="AD1515" s="270"/>
      <c r="AE1515" s="270"/>
      <c r="AF1515" s="270"/>
      <c r="AG1515" s="270"/>
      <c r="AH1515" s="270"/>
      <c r="AI1515" s="270"/>
      <c r="AJ1515" s="270"/>
      <c r="AK1515" s="270"/>
      <c r="AL1515" s="270"/>
      <c r="AM1515" s="663"/>
      <c r="AN1515" s="663"/>
      <c r="AO1515" s="708" t="str">
        <f>IF(OR(Table1[[#This Row],[Início Setup Envase]]="",Table1[[#This Row],[Final Setup Envase]]=""),"",Table1[[#This Row],[Final Setup Envase]]-Table1[[#This Row],[Início Setup Envase]])</f>
        <v/>
      </c>
      <c r="AP1515" s="663"/>
      <c r="AQ1515" s="663"/>
      <c r="AR1515" s="270"/>
      <c r="AS1515" s="674"/>
      <c r="AT1515" s="674"/>
      <c r="AU1515" s="270"/>
      <c r="AV1515" s="270"/>
      <c r="AW1515" s="270"/>
      <c r="AX1515" s="270"/>
      <c r="AY1515" s="270"/>
      <c r="AZ1515" s="270"/>
      <c r="BA1515" s="270" t="str">
        <f>IF(Table1[[#This Row],[Data de Início]]="","",YEAR(Table1[[#This Row],[Data de Início]]))</f>
        <v/>
      </c>
      <c r="BB1515" s="270" t="str">
        <f>IF(Table1[[#This Row],[Data de Início]]="","",MONTH(Table1[[#This Row],[Data de Início]]))</f>
        <v/>
      </c>
      <c r="BC1515" s="483"/>
    </row>
    <row r="1516" spans="2:55" x14ac:dyDescent="0.25">
      <c r="B1516" s="470"/>
      <c r="C1516" s="263"/>
      <c r="D1516" s="477" cm="1">
        <f t="array" ref="D1516">IFERROR(HorasUteisFabrica2Turnos(B1516,C1516), "")</f>
        <v>0</v>
      </c>
      <c r="E1516" s="478" t="str">
        <f t="shared" si="24"/>
        <v/>
      </c>
      <c r="F1516" s="266"/>
      <c r="G1516" s="656"/>
      <c r="H1516" s="479"/>
      <c r="I1516" s="268"/>
      <c r="J1516" s="268"/>
      <c r="K1516" s="268"/>
      <c r="L1516" s="269"/>
      <c r="M1516" s="511" t="str">
        <f>IFERROR(INDEX([1]Produtos!$C:$C,MATCH(L1516,[1]Produtos!$B:$B,0)), "-")</f>
        <v>-</v>
      </c>
      <c r="N1516" s="511" t="str">
        <f>IFERROR(INDEX([1]Produtos!$E:$E,MATCH(L1516,[1]Produtos!$B:$B,0)), "-")</f>
        <v>-</v>
      </c>
      <c r="O1516" s="483" t="str">
        <f>IFERROR(INDEX([1]Produtos!$F:$F,MATCH(L1516,[1]Produtos!$B:$B,0)), "-")</f>
        <v>-</v>
      </c>
      <c r="P1516" s="477" t="str">
        <f>IFERROR(INDEX([1]Produtos!$G:$G,MATCH(L1516,[1]Produtos!$B:$B,0)), "-")</f>
        <v>-</v>
      </c>
      <c r="Q1516" s="483" t="str">
        <f>IFERROR(INDEX([1]Produtos!$H:$H,MATCH(L1516,[1]Produtos!$B:$B,0)), "-")</f>
        <v>-</v>
      </c>
      <c r="R1516" s="483" t="str">
        <f>IFERROR(INDEX([1]Produtos!$I:$I,MATCH(L1516,[1]Produtos!$B:$B,0)), "-")</f>
        <v>-</v>
      </c>
      <c r="S1516" s="483" t="str">
        <f>IFERROR(INDEX([1]Produtos!$J:$J,MATCH(L1516,[1]Produtos!$B:$B,0)), "-")</f>
        <v>-</v>
      </c>
      <c r="T1516" s="484"/>
      <c r="U1516" s="483"/>
      <c r="V1516" s="483"/>
      <c r="W1516" s="483"/>
      <c r="X1516" s="483"/>
      <c r="Y1516" s="483"/>
      <c r="Z1516" s="483"/>
      <c r="AA1516" s="483"/>
      <c r="AB1516" s="483"/>
      <c r="AC1516" s="483"/>
      <c r="AD1516" s="483"/>
      <c r="AE1516" s="483"/>
      <c r="AF1516" s="483"/>
      <c r="AG1516" s="483"/>
      <c r="AH1516" s="483"/>
      <c r="AI1516" s="483"/>
      <c r="AJ1516" s="483"/>
      <c r="AK1516" s="483"/>
      <c r="AL1516" s="483"/>
      <c r="AM1516" s="670"/>
      <c r="AN1516" s="670"/>
      <c r="AO1516" s="711" t="str">
        <f>IF(OR(Table1[[#This Row],[Início Setup Envase]]="",Table1[[#This Row],[Final Setup Envase]]=""),"",Table1[[#This Row],[Final Setup Envase]]-Table1[[#This Row],[Início Setup Envase]])</f>
        <v/>
      </c>
      <c r="AP1516" s="670"/>
      <c r="AQ1516" s="670"/>
      <c r="AR1516" s="483"/>
      <c r="AS1516" s="483"/>
      <c r="AT1516" s="483"/>
      <c r="AU1516" s="483"/>
      <c r="AV1516" s="483"/>
      <c r="AW1516" s="483"/>
      <c r="AX1516" s="483"/>
      <c r="AY1516" s="270"/>
      <c r="AZ1516" s="270"/>
      <c r="BA1516" s="270" t="str">
        <f>IF(Table1[[#This Row],[Data de Início]]="","",YEAR(Table1[[#This Row],[Data de Início]]))</f>
        <v/>
      </c>
      <c r="BB1516" s="270" t="str">
        <f>IF(Table1[[#This Row],[Data de Início]]="","",MONTH(Table1[[#This Row],[Data de Início]]))</f>
        <v/>
      </c>
      <c r="BC1516" s="270"/>
    </row>
    <row r="1517" spans="2:55" x14ac:dyDescent="0.25">
      <c r="B1517" s="470"/>
      <c r="C1517" s="263"/>
      <c r="D1517" s="477" cm="1">
        <f t="array" ref="D1517">IFERROR(HorasUteisFabrica2Turnos(B1517,C1517), "")</f>
        <v>0</v>
      </c>
      <c r="E1517" s="697" t="str">
        <f t="shared" si="24"/>
        <v/>
      </c>
      <c r="F1517" s="266"/>
      <c r="G1517" s="698"/>
      <c r="H1517" s="266"/>
      <c r="I1517" s="268"/>
      <c r="J1517" s="268"/>
      <c r="K1517" s="268"/>
      <c r="L1517" s="269"/>
      <c r="M1517" s="510" t="str">
        <f>IFERROR(INDEX([1]Produtos!$C:$C,MATCH(L1517,[1]Produtos!$B:$B,0)), "-")</f>
        <v>-</v>
      </c>
      <c r="N1517" s="510" t="str">
        <f>IFERROR(INDEX([1]Produtos!$E:$E,MATCH(L1517,[1]Produtos!$B:$B,0)), "-")</f>
        <v>-</v>
      </c>
      <c r="O1517" s="270" t="str">
        <f>IFERROR(INDEX([1]Produtos!$F:$F,MATCH(L1517,[1]Produtos!$B:$B,0)), "-")</f>
        <v>-</v>
      </c>
      <c r="P1517" s="264" t="str">
        <f>IFERROR(INDEX([1]Produtos!$G:$G,MATCH(L1517,[1]Produtos!$B:$B,0)), "-")</f>
        <v>-</v>
      </c>
      <c r="Q1517" s="270" t="str">
        <f>IFERROR(INDEX([1]Produtos!$H:$H,MATCH(L1517,[1]Produtos!$B:$B,0)), "-")</f>
        <v>-</v>
      </c>
      <c r="R1517" s="270" t="str">
        <f>IFERROR(INDEX([1]Produtos!$I:$I,MATCH(L1517,[1]Produtos!$B:$B,0)), "-")</f>
        <v>-</v>
      </c>
      <c r="S1517" s="270" t="str">
        <f>IFERROR(INDEX([1]Produtos!$J:$J,MATCH(L1517,[1]Produtos!$B:$B,0)), "-")</f>
        <v>-</v>
      </c>
      <c r="T1517" s="475"/>
      <c r="U1517" s="270"/>
      <c r="V1517" s="270"/>
      <c r="W1517" s="270"/>
      <c r="X1517" s="270"/>
      <c r="Y1517" s="270"/>
      <c r="Z1517" s="270"/>
      <c r="AA1517" s="270"/>
      <c r="AB1517" s="270"/>
      <c r="AC1517" s="270"/>
      <c r="AD1517" s="270"/>
      <c r="AE1517" s="270"/>
      <c r="AF1517" s="270"/>
      <c r="AG1517" s="270"/>
      <c r="AH1517" s="270"/>
      <c r="AI1517" s="270"/>
      <c r="AJ1517" s="270"/>
      <c r="AK1517" s="270"/>
      <c r="AL1517" s="270"/>
      <c r="AM1517" s="663"/>
      <c r="AN1517" s="663"/>
      <c r="AO1517" s="708" t="str">
        <f>IF(OR(Table1[[#This Row],[Início Setup Envase]]="",Table1[[#This Row],[Final Setup Envase]]=""),"",Table1[[#This Row],[Final Setup Envase]]-Table1[[#This Row],[Início Setup Envase]])</f>
        <v/>
      </c>
      <c r="AP1517" s="663"/>
      <c r="AQ1517" s="663"/>
      <c r="AR1517" s="270"/>
      <c r="AS1517" s="674"/>
      <c r="AT1517" s="674"/>
      <c r="AU1517" s="270"/>
      <c r="AV1517" s="270"/>
      <c r="AW1517" s="270"/>
      <c r="AX1517" s="270"/>
      <c r="AY1517" s="270"/>
      <c r="AZ1517" s="270"/>
      <c r="BA1517" s="270" t="str">
        <f>IF(Table1[[#This Row],[Data de Início]]="","",YEAR(Table1[[#This Row],[Data de Início]]))</f>
        <v/>
      </c>
      <c r="BB1517" s="270" t="str">
        <f>IF(Table1[[#This Row],[Data de Início]]="","",MONTH(Table1[[#This Row],[Data de Início]]))</f>
        <v/>
      </c>
      <c r="BC1517" s="483"/>
    </row>
    <row r="1518" spans="2:55" x14ac:dyDescent="0.25">
      <c r="B1518" s="470"/>
      <c r="C1518" s="263"/>
      <c r="D1518" s="477" cm="1">
        <f t="array" ref="D1518">IFERROR(HorasUteisFabrica2Turnos(B1518,C1518), "")</f>
        <v>0</v>
      </c>
      <c r="E1518" s="478" t="str">
        <f t="shared" si="24"/>
        <v/>
      </c>
      <c r="F1518" s="266"/>
      <c r="G1518" s="656"/>
      <c r="H1518" s="479"/>
      <c r="I1518" s="268"/>
      <c r="J1518" s="268"/>
      <c r="K1518" s="268"/>
      <c r="L1518" s="269"/>
      <c r="M1518" s="511" t="str">
        <f>IFERROR(INDEX([1]Produtos!$C:$C,MATCH(L1518,[1]Produtos!$B:$B,0)), "-")</f>
        <v>-</v>
      </c>
      <c r="N1518" s="511" t="str">
        <f>IFERROR(INDEX([1]Produtos!$E:$E,MATCH(L1518,[1]Produtos!$B:$B,0)), "-")</f>
        <v>-</v>
      </c>
      <c r="O1518" s="483" t="str">
        <f>IFERROR(INDEX([1]Produtos!$F:$F,MATCH(L1518,[1]Produtos!$B:$B,0)), "-")</f>
        <v>-</v>
      </c>
      <c r="P1518" s="477" t="str">
        <f>IFERROR(INDEX([1]Produtos!$G:$G,MATCH(L1518,[1]Produtos!$B:$B,0)), "-")</f>
        <v>-</v>
      </c>
      <c r="Q1518" s="483" t="str">
        <f>IFERROR(INDEX([1]Produtos!$H:$H,MATCH(L1518,[1]Produtos!$B:$B,0)), "-")</f>
        <v>-</v>
      </c>
      <c r="R1518" s="483" t="str">
        <f>IFERROR(INDEX([1]Produtos!$I:$I,MATCH(L1518,[1]Produtos!$B:$B,0)), "-")</f>
        <v>-</v>
      </c>
      <c r="S1518" s="483" t="str">
        <f>IFERROR(INDEX([1]Produtos!$J:$J,MATCH(L1518,[1]Produtos!$B:$B,0)), "-")</f>
        <v>-</v>
      </c>
      <c r="T1518" s="484"/>
      <c r="U1518" s="483"/>
      <c r="V1518" s="483"/>
      <c r="W1518" s="483"/>
      <c r="X1518" s="483"/>
      <c r="Y1518" s="483"/>
      <c r="Z1518" s="483"/>
      <c r="AA1518" s="483"/>
      <c r="AB1518" s="483"/>
      <c r="AC1518" s="483"/>
      <c r="AD1518" s="483"/>
      <c r="AE1518" s="483"/>
      <c r="AF1518" s="483"/>
      <c r="AG1518" s="483"/>
      <c r="AH1518" s="483"/>
      <c r="AI1518" s="483"/>
      <c r="AJ1518" s="483"/>
      <c r="AK1518" s="483"/>
      <c r="AL1518" s="483"/>
      <c r="AM1518" s="670"/>
      <c r="AN1518" s="670"/>
      <c r="AO1518" s="711" t="str">
        <f>IF(OR(Table1[[#This Row],[Início Setup Envase]]="",Table1[[#This Row],[Final Setup Envase]]=""),"",Table1[[#This Row],[Final Setup Envase]]-Table1[[#This Row],[Início Setup Envase]])</f>
        <v/>
      </c>
      <c r="AP1518" s="670"/>
      <c r="AQ1518" s="670"/>
      <c r="AR1518" s="483"/>
      <c r="AS1518" s="483"/>
      <c r="AT1518" s="483"/>
      <c r="AU1518" s="483"/>
      <c r="AV1518" s="483"/>
      <c r="AW1518" s="483"/>
      <c r="AX1518" s="483"/>
      <c r="AY1518" s="270"/>
      <c r="AZ1518" s="270"/>
      <c r="BA1518" s="270" t="str">
        <f>IF(Table1[[#This Row],[Data de Início]]="","",YEAR(Table1[[#This Row],[Data de Início]]))</f>
        <v/>
      </c>
      <c r="BB1518" s="270" t="str">
        <f>IF(Table1[[#This Row],[Data de Início]]="","",MONTH(Table1[[#This Row],[Data de Início]]))</f>
        <v/>
      </c>
      <c r="BC1518" s="270"/>
    </row>
    <row r="1519" spans="2:55" x14ac:dyDescent="0.25">
      <c r="B1519" s="470"/>
      <c r="C1519" s="263"/>
      <c r="D1519" s="477" cm="1">
        <f t="array" ref="D1519">IFERROR(HorasUteisFabrica2Turnos(B1519,C1519), "")</f>
        <v>0</v>
      </c>
      <c r="E1519" s="697" t="str">
        <f t="shared" si="24"/>
        <v/>
      </c>
      <c r="F1519" s="266"/>
      <c r="G1519" s="698"/>
      <c r="H1519" s="266"/>
      <c r="I1519" s="268"/>
      <c r="J1519" s="268"/>
      <c r="K1519" s="268"/>
      <c r="L1519" s="269"/>
      <c r="M1519" s="510" t="str">
        <f>IFERROR(INDEX([1]Produtos!$C:$C,MATCH(L1519,[1]Produtos!$B:$B,0)), "-")</f>
        <v>-</v>
      </c>
      <c r="N1519" s="510" t="str">
        <f>IFERROR(INDEX([1]Produtos!$E:$E,MATCH(L1519,[1]Produtos!$B:$B,0)), "-")</f>
        <v>-</v>
      </c>
      <c r="O1519" s="270" t="str">
        <f>IFERROR(INDEX([1]Produtos!$F:$F,MATCH(L1519,[1]Produtos!$B:$B,0)), "-")</f>
        <v>-</v>
      </c>
      <c r="P1519" s="264" t="str">
        <f>IFERROR(INDEX([1]Produtos!$G:$G,MATCH(L1519,[1]Produtos!$B:$B,0)), "-")</f>
        <v>-</v>
      </c>
      <c r="Q1519" s="270" t="str">
        <f>IFERROR(INDEX([1]Produtos!$H:$H,MATCH(L1519,[1]Produtos!$B:$B,0)), "-")</f>
        <v>-</v>
      </c>
      <c r="R1519" s="270" t="str">
        <f>IFERROR(INDEX([1]Produtos!$I:$I,MATCH(L1519,[1]Produtos!$B:$B,0)), "-")</f>
        <v>-</v>
      </c>
      <c r="S1519" s="270" t="str">
        <f>IFERROR(INDEX([1]Produtos!$J:$J,MATCH(L1519,[1]Produtos!$B:$B,0)), "-")</f>
        <v>-</v>
      </c>
      <c r="T1519" s="475"/>
      <c r="U1519" s="270"/>
      <c r="V1519" s="270"/>
      <c r="W1519" s="270"/>
      <c r="X1519" s="270"/>
      <c r="Y1519" s="270"/>
      <c r="Z1519" s="270"/>
      <c r="AA1519" s="270"/>
      <c r="AB1519" s="270"/>
      <c r="AC1519" s="270"/>
      <c r="AD1519" s="270"/>
      <c r="AE1519" s="270"/>
      <c r="AF1519" s="270"/>
      <c r="AG1519" s="270"/>
      <c r="AH1519" s="270"/>
      <c r="AI1519" s="270"/>
      <c r="AJ1519" s="270"/>
      <c r="AK1519" s="270"/>
      <c r="AL1519" s="270"/>
      <c r="AM1519" s="663"/>
      <c r="AN1519" s="663"/>
      <c r="AO1519" s="708" t="str">
        <f>IF(OR(Table1[[#This Row],[Início Setup Envase]]="",Table1[[#This Row],[Final Setup Envase]]=""),"",Table1[[#This Row],[Final Setup Envase]]-Table1[[#This Row],[Início Setup Envase]])</f>
        <v/>
      </c>
      <c r="AP1519" s="663"/>
      <c r="AQ1519" s="663"/>
      <c r="AR1519" s="270"/>
      <c r="AS1519" s="674"/>
      <c r="AT1519" s="674"/>
      <c r="AU1519" s="270"/>
      <c r="AV1519" s="270"/>
      <c r="AW1519" s="270"/>
      <c r="AX1519" s="270"/>
      <c r="AY1519" s="270"/>
      <c r="AZ1519" s="270"/>
      <c r="BA1519" s="270" t="str">
        <f>IF(Table1[[#This Row],[Data de Início]]="","",YEAR(Table1[[#This Row],[Data de Início]]))</f>
        <v/>
      </c>
      <c r="BB1519" s="270" t="str">
        <f>IF(Table1[[#This Row],[Data de Início]]="","",MONTH(Table1[[#This Row],[Data de Início]]))</f>
        <v/>
      </c>
      <c r="BC1519" s="483"/>
    </row>
    <row r="1520" spans="2:55" x14ac:dyDescent="0.25">
      <c r="B1520" s="470"/>
      <c r="C1520" s="263"/>
      <c r="D1520" s="477" cm="1">
        <f t="array" ref="D1520">IFERROR(HorasUteisFabrica2Turnos(B1520,C1520), "")</f>
        <v>0</v>
      </c>
      <c r="E1520" s="478" t="str">
        <f t="shared" si="24"/>
        <v/>
      </c>
      <c r="F1520" s="266"/>
      <c r="G1520" s="656"/>
      <c r="H1520" s="479"/>
      <c r="I1520" s="268"/>
      <c r="J1520" s="268"/>
      <c r="K1520" s="268"/>
      <c r="L1520" s="269"/>
      <c r="M1520" s="511" t="str">
        <f>IFERROR(INDEX([1]Produtos!$C:$C,MATCH(L1520,[1]Produtos!$B:$B,0)), "-")</f>
        <v>-</v>
      </c>
      <c r="N1520" s="511" t="str">
        <f>IFERROR(INDEX([1]Produtos!$E:$E,MATCH(L1520,[1]Produtos!$B:$B,0)), "-")</f>
        <v>-</v>
      </c>
      <c r="O1520" s="483" t="str">
        <f>IFERROR(INDEX([1]Produtos!$F:$F,MATCH(L1520,[1]Produtos!$B:$B,0)), "-")</f>
        <v>-</v>
      </c>
      <c r="P1520" s="477" t="str">
        <f>IFERROR(INDEX([1]Produtos!$G:$G,MATCH(L1520,[1]Produtos!$B:$B,0)), "-")</f>
        <v>-</v>
      </c>
      <c r="Q1520" s="483" t="str">
        <f>IFERROR(INDEX([1]Produtos!$H:$H,MATCH(L1520,[1]Produtos!$B:$B,0)), "-")</f>
        <v>-</v>
      </c>
      <c r="R1520" s="483" t="str">
        <f>IFERROR(INDEX([1]Produtos!$I:$I,MATCH(L1520,[1]Produtos!$B:$B,0)), "-")</f>
        <v>-</v>
      </c>
      <c r="S1520" s="483" t="str">
        <f>IFERROR(INDEX([1]Produtos!$J:$J,MATCH(L1520,[1]Produtos!$B:$B,0)), "-")</f>
        <v>-</v>
      </c>
      <c r="T1520" s="484"/>
      <c r="U1520" s="483"/>
      <c r="V1520" s="483"/>
      <c r="W1520" s="483"/>
      <c r="X1520" s="483"/>
      <c r="Y1520" s="483"/>
      <c r="Z1520" s="483"/>
      <c r="AA1520" s="483"/>
      <c r="AB1520" s="483"/>
      <c r="AC1520" s="483"/>
      <c r="AD1520" s="483"/>
      <c r="AE1520" s="483"/>
      <c r="AF1520" s="483"/>
      <c r="AG1520" s="483"/>
      <c r="AH1520" s="483"/>
      <c r="AI1520" s="483"/>
      <c r="AJ1520" s="483"/>
      <c r="AK1520" s="483"/>
      <c r="AL1520" s="483"/>
      <c r="AM1520" s="670"/>
      <c r="AN1520" s="670"/>
      <c r="AO1520" s="711" t="str">
        <f>IF(OR(Table1[[#This Row],[Início Setup Envase]]="",Table1[[#This Row],[Final Setup Envase]]=""),"",Table1[[#This Row],[Final Setup Envase]]-Table1[[#This Row],[Início Setup Envase]])</f>
        <v/>
      </c>
      <c r="AP1520" s="670"/>
      <c r="AQ1520" s="670"/>
      <c r="AR1520" s="483"/>
      <c r="AS1520" s="483"/>
      <c r="AT1520" s="483"/>
      <c r="AU1520" s="483"/>
      <c r="AV1520" s="483"/>
      <c r="AW1520" s="483"/>
      <c r="AX1520" s="483"/>
      <c r="AY1520" s="270"/>
      <c r="AZ1520" s="270"/>
      <c r="BA1520" s="270" t="str">
        <f>IF(Table1[[#This Row],[Data de Início]]="","",YEAR(Table1[[#This Row],[Data de Início]]))</f>
        <v/>
      </c>
      <c r="BB1520" s="270" t="str">
        <f>IF(Table1[[#This Row],[Data de Início]]="","",MONTH(Table1[[#This Row],[Data de Início]]))</f>
        <v/>
      </c>
      <c r="BC1520" s="270"/>
    </row>
    <row r="1521" spans="2:55" x14ac:dyDescent="0.25">
      <c r="B1521" s="470"/>
      <c r="C1521" s="263"/>
      <c r="D1521" s="477" cm="1">
        <f t="array" ref="D1521">IFERROR(HorasUteisFabrica2Turnos(B1521,C1521), "")</f>
        <v>0</v>
      </c>
      <c r="E1521" s="697" t="str">
        <f t="shared" si="24"/>
        <v/>
      </c>
      <c r="F1521" s="266"/>
      <c r="G1521" s="698"/>
      <c r="H1521" s="266"/>
      <c r="I1521" s="268"/>
      <c r="J1521" s="268"/>
      <c r="K1521" s="268"/>
      <c r="L1521" s="269"/>
      <c r="M1521" s="510" t="str">
        <f>IFERROR(INDEX([1]Produtos!$C:$C,MATCH(L1521,[1]Produtos!$B:$B,0)), "-")</f>
        <v>-</v>
      </c>
      <c r="N1521" s="510" t="str">
        <f>IFERROR(INDEX([1]Produtos!$E:$E,MATCH(L1521,[1]Produtos!$B:$B,0)), "-")</f>
        <v>-</v>
      </c>
      <c r="O1521" s="270" t="str">
        <f>IFERROR(INDEX([1]Produtos!$F:$F,MATCH(L1521,[1]Produtos!$B:$B,0)), "-")</f>
        <v>-</v>
      </c>
      <c r="P1521" s="264" t="str">
        <f>IFERROR(INDEX([1]Produtos!$G:$G,MATCH(L1521,[1]Produtos!$B:$B,0)), "-")</f>
        <v>-</v>
      </c>
      <c r="Q1521" s="270" t="str">
        <f>IFERROR(INDEX([1]Produtos!$H:$H,MATCH(L1521,[1]Produtos!$B:$B,0)), "-")</f>
        <v>-</v>
      </c>
      <c r="R1521" s="270" t="str">
        <f>IFERROR(INDEX([1]Produtos!$I:$I,MATCH(L1521,[1]Produtos!$B:$B,0)), "-")</f>
        <v>-</v>
      </c>
      <c r="S1521" s="270" t="str">
        <f>IFERROR(INDEX([1]Produtos!$J:$J,MATCH(L1521,[1]Produtos!$B:$B,0)), "-")</f>
        <v>-</v>
      </c>
      <c r="T1521" s="475"/>
      <c r="U1521" s="270"/>
      <c r="V1521" s="270"/>
      <c r="W1521" s="270"/>
      <c r="X1521" s="270"/>
      <c r="Y1521" s="270"/>
      <c r="Z1521" s="270"/>
      <c r="AA1521" s="270"/>
      <c r="AB1521" s="270"/>
      <c r="AC1521" s="270"/>
      <c r="AD1521" s="270"/>
      <c r="AE1521" s="270"/>
      <c r="AF1521" s="270"/>
      <c r="AG1521" s="270"/>
      <c r="AH1521" s="270"/>
      <c r="AI1521" s="270"/>
      <c r="AJ1521" s="270"/>
      <c r="AK1521" s="270"/>
      <c r="AL1521" s="270"/>
      <c r="AM1521" s="663"/>
      <c r="AN1521" s="663"/>
      <c r="AO1521" s="708" t="str">
        <f>IF(OR(Table1[[#This Row],[Início Setup Envase]]="",Table1[[#This Row],[Final Setup Envase]]=""),"",Table1[[#This Row],[Final Setup Envase]]-Table1[[#This Row],[Início Setup Envase]])</f>
        <v/>
      </c>
      <c r="AP1521" s="663"/>
      <c r="AQ1521" s="663"/>
      <c r="AR1521" s="270"/>
      <c r="AS1521" s="674"/>
      <c r="AT1521" s="674"/>
      <c r="AU1521" s="270"/>
      <c r="AV1521" s="270"/>
      <c r="AW1521" s="270"/>
      <c r="AX1521" s="270"/>
      <c r="AY1521" s="270"/>
      <c r="AZ1521" s="270"/>
      <c r="BA1521" s="270" t="str">
        <f>IF(Table1[[#This Row],[Data de Início]]="","",YEAR(Table1[[#This Row],[Data de Início]]))</f>
        <v/>
      </c>
      <c r="BB1521" s="270" t="str">
        <f>IF(Table1[[#This Row],[Data de Início]]="","",MONTH(Table1[[#This Row],[Data de Início]]))</f>
        <v/>
      </c>
      <c r="BC1521" s="483"/>
    </row>
    <row r="1522" spans="2:55" x14ac:dyDescent="0.25">
      <c r="B1522" s="470"/>
      <c r="C1522" s="263"/>
      <c r="D1522" s="477" cm="1">
        <f t="array" ref="D1522">IFERROR(HorasUteisFabrica2Turnos(B1522,C1522), "")</f>
        <v>0</v>
      </c>
      <c r="E1522" s="478" t="str">
        <f t="shared" si="24"/>
        <v/>
      </c>
      <c r="F1522" s="266"/>
      <c r="G1522" s="656"/>
      <c r="H1522" s="479"/>
      <c r="I1522" s="268"/>
      <c r="J1522" s="268"/>
      <c r="K1522" s="268"/>
      <c r="L1522" s="269"/>
      <c r="M1522" s="511" t="str">
        <f>IFERROR(INDEX([1]Produtos!$C:$C,MATCH(L1522,[1]Produtos!$B:$B,0)), "-")</f>
        <v>-</v>
      </c>
      <c r="N1522" s="511" t="str">
        <f>IFERROR(INDEX([1]Produtos!$E:$E,MATCH(L1522,[1]Produtos!$B:$B,0)), "-")</f>
        <v>-</v>
      </c>
      <c r="O1522" s="483" t="str">
        <f>IFERROR(INDEX([1]Produtos!$F:$F,MATCH(L1522,[1]Produtos!$B:$B,0)), "-")</f>
        <v>-</v>
      </c>
      <c r="P1522" s="477" t="str">
        <f>IFERROR(INDEX([1]Produtos!$G:$G,MATCH(L1522,[1]Produtos!$B:$B,0)), "-")</f>
        <v>-</v>
      </c>
      <c r="Q1522" s="483" t="str">
        <f>IFERROR(INDEX([1]Produtos!$H:$H,MATCH(L1522,[1]Produtos!$B:$B,0)), "-")</f>
        <v>-</v>
      </c>
      <c r="R1522" s="483" t="str">
        <f>IFERROR(INDEX([1]Produtos!$I:$I,MATCH(L1522,[1]Produtos!$B:$B,0)), "-")</f>
        <v>-</v>
      </c>
      <c r="S1522" s="483" t="str">
        <f>IFERROR(INDEX([1]Produtos!$J:$J,MATCH(L1522,[1]Produtos!$B:$B,0)), "-")</f>
        <v>-</v>
      </c>
      <c r="T1522" s="484"/>
      <c r="U1522" s="483"/>
      <c r="V1522" s="483"/>
      <c r="W1522" s="483"/>
      <c r="X1522" s="483"/>
      <c r="Y1522" s="483"/>
      <c r="Z1522" s="483"/>
      <c r="AA1522" s="483"/>
      <c r="AB1522" s="483"/>
      <c r="AC1522" s="483"/>
      <c r="AD1522" s="483"/>
      <c r="AE1522" s="483"/>
      <c r="AF1522" s="483"/>
      <c r="AG1522" s="483"/>
      <c r="AH1522" s="483"/>
      <c r="AI1522" s="483"/>
      <c r="AJ1522" s="483"/>
      <c r="AK1522" s="483"/>
      <c r="AL1522" s="483"/>
      <c r="AM1522" s="670"/>
      <c r="AN1522" s="670"/>
      <c r="AO1522" s="711" t="str">
        <f>IF(OR(Table1[[#This Row],[Início Setup Envase]]="",Table1[[#This Row],[Final Setup Envase]]=""),"",Table1[[#This Row],[Final Setup Envase]]-Table1[[#This Row],[Início Setup Envase]])</f>
        <v/>
      </c>
      <c r="AP1522" s="670"/>
      <c r="AQ1522" s="670"/>
      <c r="AR1522" s="483"/>
      <c r="AS1522" s="483"/>
      <c r="AT1522" s="483"/>
      <c r="AU1522" s="483"/>
      <c r="AV1522" s="483"/>
      <c r="AW1522" s="483"/>
      <c r="AX1522" s="483"/>
      <c r="AY1522" s="270"/>
      <c r="AZ1522" s="270"/>
      <c r="BA1522" s="270" t="str">
        <f>IF(Table1[[#This Row],[Data de Início]]="","",YEAR(Table1[[#This Row],[Data de Início]]))</f>
        <v/>
      </c>
      <c r="BB1522" s="270" t="str">
        <f>IF(Table1[[#This Row],[Data de Início]]="","",MONTH(Table1[[#This Row],[Data de Início]]))</f>
        <v/>
      </c>
      <c r="BC1522" s="270"/>
    </row>
    <row r="1523" spans="2:55" x14ac:dyDescent="0.25">
      <c r="B1523" s="470"/>
      <c r="C1523" s="263"/>
      <c r="D1523" s="477" cm="1">
        <f t="array" ref="D1523">IFERROR(HorasUteisFabrica2Turnos(B1523,C1523), "")</f>
        <v>0</v>
      </c>
      <c r="E1523" s="697" t="str">
        <f t="shared" si="24"/>
        <v/>
      </c>
      <c r="F1523" s="266"/>
      <c r="G1523" s="698"/>
      <c r="H1523" s="266"/>
      <c r="I1523" s="268"/>
      <c r="J1523" s="268"/>
      <c r="K1523" s="268"/>
      <c r="L1523" s="269"/>
      <c r="M1523" s="510" t="str">
        <f>IFERROR(INDEX([1]Produtos!$C:$C,MATCH(L1523,[1]Produtos!$B:$B,0)), "-")</f>
        <v>-</v>
      </c>
      <c r="N1523" s="510" t="str">
        <f>IFERROR(INDEX([1]Produtos!$E:$E,MATCH(L1523,[1]Produtos!$B:$B,0)), "-")</f>
        <v>-</v>
      </c>
      <c r="O1523" s="270" t="str">
        <f>IFERROR(INDEX([1]Produtos!$F:$F,MATCH(L1523,[1]Produtos!$B:$B,0)), "-")</f>
        <v>-</v>
      </c>
      <c r="P1523" s="264" t="str">
        <f>IFERROR(INDEX([1]Produtos!$G:$G,MATCH(L1523,[1]Produtos!$B:$B,0)), "-")</f>
        <v>-</v>
      </c>
      <c r="Q1523" s="270" t="str">
        <f>IFERROR(INDEX([1]Produtos!$H:$H,MATCH(L1523,[1]Produtos!$B:$B,0)), "-")</f>
        <v>-</v>
      </c>
      <c r="R1523" s="270" t="str">
        <f>IFERROR(INDEX([1]Produtos!$I:$I,MATCH(L1523,[1]Produtos!$B:$B,0)), "-")</f>
        <v>-</v>
      </c>
      <c r="S1523" s="270" t="str">
        <f>IFERROR(INDEX([1]Produtos!$J:$J,MATCH(L1523,[1]Produtos!$B:$B,0)), "-")</f>
        <v>-</v>
      </c>
      <c r="T1523" s="475"/>
      <c r="U1523" s="270"/>
      <c r="V1523" s="270"/>
      <c r="W1523" s="270"/>
      <c r="X1523" s="270"/>
      <c r="Y1523" s="270"/>
      <c r="Z1523" s="270"/>
      <c r="AA1523" s="270"/>
      <c r="AB1523" s="270"/>
      <c r="AC1523" s="270"/>
      <c r="AD1523" s="270"/>
      <c r="AE1523" s="270"/>
      <c r="AF1523" s="270"/>
      <c r="AG1523" s="270"/>
      <c r="AH1523" s="270"/>
      <c r="AI1523" s="270"/>
      <c r="AJ1523" s="270"/>
      <c r="AK1523" s="270"/>
      <c r="AL1523" s="270"/>
      <c r="AM1523" s="663"/>
      <c r="AN1523" s="663"/>
      <c r="AO1523" s="708" t="str">
        <f>IF(OR(Table1[[#This Row],[Início Setup Envase]]="",Table1[[#This Row],[Final Setup Envase]]=""),"",Table1[[#This Row],[Final Setup Envase]]-Table1[[#This Row],[Início Setup Envase]])</f>
        <v/>
      </c>
      <c r="AP1523" s="663"/>
      <c r="AQ1523" s="663"/>
      <c r="AR1523" s="270"/>
      <c r="AS1523" s="674"/>
      <c r="AT1523" s="674"/>
      <c r="AU1523" s="270"/>
      <c r="AV1523" s="270"/>
      <c r="AW1523" s="270"/>
      <c r="AX1523" s="270"/>
      <c r="AY1523" s="270"/>
      <c r="AZ1523" s="270"/>
      <c r="BA1523" s="270" t="str">
        <f>IF(Table1[[#This Row],[Data de Início]]="","",YEAR(Table1[[#This Row],[Data de Início]]))</f>
        <v/>
      </c>
      <c r="BB1523" s="270" t="str">
        <f>IF(Table1[[#This Row],[Data de Início]]="","",MONTH(Table1[[#This Row],[Data de Início]]))</f>
        <v/>
      </c>
      <c r="BC1523" s="483"/>
    </row>
    <row r="1524" spans="2:55" x14ac:dyDescent="0.25">
      <c r="B1524" s="470"/>
      <c r="C1524" s="263"/>
      <c r="D1524" s="477" cm="1">
        <f t="array" ref="D1524">IFERROR(HorasUteisFabrica2Turnos(B1524,C1524), "")</f>
        <v>0</v>
      </c>
      <c r="E1524" s="478" t="str">
        <f t="shared" si="24"/>
        <v/>
      </c>
      <c r="F1524" s="266"/>
      <c r="G1524" s="656"/>
      <c r="H1524" s="479"/>
      <c r="I1524" s="268"/>
      <c r="J1524" s="268"/>
      <c r="K1524" s="268"/>
      <c r="L1524" s="269"/>
      <c r="M1524" s="511" t="str">
        <f>IFERROR(INDEX([1]Produtos!$C:$C,MATCH(L1524,[1]Produtos!$B:$B,0)), "-")</f>
        <v>-</v>
      </c>
      <c r="N1524" s="511" t="str">
        <f>IFERROR(INDEX([1]Produtos!$E:$E,MATCH(L1524,[1]Produtos!$B:$B,0)), "-")</f>
        <v>-</v>
      </c>
      <c r="O1524" s="483" t="str">
        <f>IFERROR(INDEX([1]Produtos!$F:$F,MATCH(L1524,[1]Produtos!$B:$B,0)), "-")</f>
        <v>-</v>
      </c>
      <c r="P1524" s="477" t="str">
        <f>IFERROR(INDEX([1]Produtos!$G:$G,MATCH(L1524,[1]Produtos!$B:$B,0)), "-")</f>
        <v>-</v>
      </c>
      <c r="Q1524" s="483" t="str">
        <f>IFERROR(INDEX([1]Produtos!$H:$H,MATCH(L1524,[1]Produtos!$B:$B,0)), "-")</f>
        <v>-</v>
      </c>
      <c r="R1524" s="483" t="str">
        <f>IFERROR(INDEX([1]Produtos!$I:$I,MATCH(L1524,[1]Produtos!$B:$B,0)), "-")</f>
        <v>-</v>
      </c>
      <c r="S1524" s="483" t="str">
        <f>IFERROR(INDEX([1]Produtos!$J:$J,MATCH(L1524,[1]Produtos!$B:$B,0)), "-")</f>
        <v>-</v>
      </c>
      <c r="T1524" s="484"/>
      <c r="U1524" s="483"/>
      <c r="V1524" s="483"/>
      <c r="W1524" s="483"/>
      <c r="X1524" s="483"/>
      <c r="Y1524" s="483"/>
      <c r="Z1524" s="483"/>
      <c r="AA1524" s="483"/>
      <c r="AB1524" s="483"/>
      <c r="AC1524" s="483"/>
      <c r="AD1524" s="483"/>
      <c r="AE1524" s="483"/>
      <c r="AF1524" s="483"/>
      <c r="AG1524" s="483"/>
      <c r="AH1524" s="483"/>
      <c r="AI1524" s="483"/>
      <c r="AJ1524" s="483"/>
      <c r="AK1524" s="483"/>
      <c r="AL1524" s="483"/>
      <c r="AM1524" s="670"/>
      <c r="AN1524" s="670"/>
      <c r="AO1524" s="711" t="str">
        <f>IF(OR(Table1[[#This Row],[Início Setup Envase]]="",Table1[[#This Row],[Final Setup Envase]]=""),"",Table1[[#This Row],[Final Setup Envase]]-Table1[[#This Row],[Início Setup Envase]])</f>
        <v/>
      </c>
      <c r="AP1524" s="670"/>
      <c r="AQ1524" s="670"/>
      <c r="AR1524" s="483"/>
      <c r="AS1524" s="483"/>
      <c r="AT1524" s="483"/>
      <c r="AU1524" s="483"/>
      <c r="AV1524" s="483"/>
      <c r="AW1524" s="483"/>
      <c r="AX1524" s="483"/>
      <c r="AY1524" s="270"/>
      <c r="AZ1524" s="270"/>
      <c r="BA1524" s="270" t="str">
        <f>IF(Table1[[#This Row],[Data de Início]]="","",YEAR(Table1[[#This Row],[Data de Início]]))</f>
        <v/>
      </c>
      <c r="BB1524" s="270" t="str">
        <f>IF(Table1[[#This Row],[Data de Início]]="","",MONTH(Table1[[#This Row],[Data de Início]]))</f>
        <v/>
      </c>
      <c r="BC1524" s="270"/>
    </row>
    <row r="1525" spans="2:55" x14ac:dyDescent="0.25">
      <c r="B1525" s="470"/>
      <c r="C1525" s="263"/>
      <c r="D1525" s="477" cm="1">
        <f t="array" ref="D1525">IFERROR(HorasUteisFabrica2Turnos(B1525,C1525), "")</f>
        <v>0</v>
      </c>
      <c r="E1525" s="697" t="str">
        <f t="shared" si="24"/>
        <v/>
      </c>
      <c r="F1525" s="266"/>
      <c r="G1525" s="698"/>
      <c r="H1525" s="266"/>
      <c r="I1525" s="268"/>
      <c r="J1525" s="268"/>
      <c r="K1525" s="268"/>
      <c r="L1525" s="269"/>
      <c r="M1525" s="510" t="str">
        <f>IFERROR(INDEX([1]Produtos!$C:$C,MATCH(L1525,[1]Produtos!$B:$B,0)), "-")</f>
        <v>-</v>
      </c>
      <c r="N1525" s="510" t="str">
        <f>IFERROR(INDEX([1]Produtos!$E:$E,MATCH(L1525,[1]Produtos!$B:$B,0)), "-")</f>
        <v>-</v>
      </c>
      <c r="O1525" s="270" t="str">
        <f>IFERROR(INDEX([1]Produtos!$F:$F,MATCH(L1525,[1]Produtos!$B:$B,0)), "-")</f>
        <v>-</v>
      </c>
      <c r="P1525" s="264" t="str">
        <f>IFERROR(INDEX([1]Produtos!$G:$G,MATCH(L1525,[1]Produtos!$B:$B,0)), "-")</f>
        <v>-</v>
      </c>
      <c r="Q1525" s="270" t="str">
        <f>IFERROR(INDEX([1]Produtos!$H:$H,MATCH(L1525,[1]Produtos!$B:$B,0)), "-")</f>
        <v>-</v>
      </c>
      <c r="R1525" s="270" t="str">
        <f>IFERROR(INDEX([1]Produtos!$I:$I,MATCH(L1525,[1]Produtos!$B:$B,0)), "-")</f>
        <v>-</v>
      </c>
      <c r="S1525" s="270" t="str">
        <f>IFERROR(INDEX([1]Produtos!$J:$J,MATCH(L1525,[1]Produtos!$B:$B,0)), "-")</f>
        <v>-</v>
      </c>
      <c r="T1525" s="475"/>
      <c r="U1525" s="270"/>
      <c r="V1525" s="270"/>
      <c r="W1525" s="270"/>
      <c r="X1525" s="270"/>
      <c r="Y1525" s="270"/>
      <c r="Z1525" s="270"/>
      <c r="AA1525" s="270"/>
      <c r="AB1525" s="270"/>
      <c r="AC1525" s="270"/>
      <c r="AD1525" s="270"/>
      <c r="AE1525" s="270"/>
      <c r="AF1525" s="270"/>
      <c r="AG1525" s="270"/>
      <c r="AH1525" s="270"/>
      <c r="AI1525" s="270"/>
      <c r="AJ1525" s="270"/>
      <c r="AK1525" s="270"/>
      <c r="AL1525" s="270"/>
      <c r="AM1525" s="663"/>
      <c r="AN1525" s="663"/>
      <c r="AO1525" s="708" t="str">
        <f>IF(OR(Table1[[#This Row],[Início Setup Envase]]="",Table1[[#This Row],[Final Setup Envase]]=""),"",Table1[[#This Row],[Final Setup Envase]]-Table1[[#This Row],[Início Setup Envase]])</f>
        <v/>
      </c>
      <c r="AP1525" s="663"/>
      <c r="AQ1525" s="663"/>
      <c r="AR1525" s="270"/>
      <c r="AS1525" s="674"/>
      <c r="AT1525" s="674"/>
      <c r="AU1525" s="270"/>
      <c r="AV1525" s="270"/>
      <c r="AW1525" s="270"/>
      <c r="AX1525" s="270"/>
      <c r="AY1525" s="270"/>
      <c r="AZ1525" s="270"/>
      <c r="BA1525" s="270" t="str">
        <f>IF(Table1[[#This Row],[Data de Início]]="","",YEAR(Table1[[#This Row],[Data de Início]]))</f>
        <v/>
      </c>
      <c r="BB1525" s="270" t="str">
        <f>IF(Table1[[#This Row],[Data de Início]]="","",MONTH(Table1[[#This Row],[Data de Início]]))</f>
        <v/>
      </c>
      <c r="BC1525" s="483"/>
    </row>
    <row r="1526" spans="2:55" x14ac:dyDescent="0.25">
      <c r="B1526" s="470"/>
      <c r="C1526" s="263"/>
      <c r="D1526" s="477" cm="1">
        <f t="array" ref="D1526">IFERROR(HorasUteisFabrica2Turnos(B1526,C1526), "")</f>
        <v>0</v>
      </c>
      <c r="E1526" s="478" t="str">
        <f t="shared" si="24"/>
        <v/>
      </c>
      <c r="F1526" s="266"/>
      <c r="G1526" s="656"/>
      <c r="H1526" s="479"/>
      <c r="I1526" s="268"/>
      <c r="J1526" s="268"/>
      <c r="K1526" s="268"/>
      <c r="L1526" s="269"/>
      <c r="M1526" s="511" t="str">
        <f>IFERROR(INDEX([1]Produtos!$C:$C,MATCH(L1526,[1]Produtos!$B:$B,0)), "-")</f>
        <v>-</v>
      </c>
      <c r="N1526" s="511" t="str">
        <f>IFERROR(INDEX([1]Produtos!$E:$E,MATCH(L1526,[1]Produtos!$B:$B,0)), "-")</f>
        <v>-</v>
      </c>
      <c r="O1526" s="483" t="str">
        <f>IFERROR(INDEX([1]Produtos!$F:$F,MATCH(L1526,[1]Produtos!$B:$B,0)), "-")</f>
        <v>-</v>
      </c>
      <c r="P1526" s="477" t="str">
        <f>IFERROR(INDEX([1]Produtos!$G:$G,MATCH(L1526,[1]Produtos!$B:$B,0)), "-")</f>
        <v>-</v>
      </c>
      <c r="Q1526" s="483" t="str">
        <f>IFERROR(INDEX([1]Produtos!$H:$H,MATCH(L1526,[1]Produtos!$B:$B,0)), "-")</f>
        <v>-</v>
      </c>
      <c r="R1526" s="483" t="str">
        <f>IFERROR(INDEX([1]Produtos!$I:$I,MATCH(L1526,[1]Produtos!$B:$B,0)), "-")</f>
        <v>-</v>
      </c>
      <c r="S1526" s="483" t="str">
        <f>IFERROR(INDEX([1]Produtos!$J:$J,MATCH(L1526,[1]Produtos!$B:$B,0)), "-")</f>
        <v>-</v>
      </c>
      <c r="T1526" s="484"/>
      <c r="U1526" s="483"/>
      <c r="V1526" s="483"/>
      <c r="W1526" s="483"/>
      <c r="X1526" s="483"/>
      <c r="Y1526" s="483"/>
      <c r="Z1526" s="483"/>
      <c r="AA1526" s="483"/>
      <c r="AB1526" s="483"/>
      <c r="AC1526" s="483"/>
      <c r="AD1526" s="483"/>
      <c r="AE1526" s="483"/>
      <c r="AF1526" s="483"/>
      <c r="AG1526" s="483"/>
      <c r="AH1526" s="483"/>
      <c r="AI1526" s="483"/>
      <c r="AJ1526" s="483"/>
      <c r="AK1526" s="483"/>
      <c r="AL1526" s="483"/>
      <c r="AM1526" s="670"/>
      <c r="AN1526" s="670"/>
      <c r="AO1526" s="711" t="str">
        <f>IF(OR(Table1[[#This Row],[Início Setup Envase]]="",Table1[[#This Row],[Final Setup Envase]]=""),"",Table1[[#This Row],[Final Setup Envase]]-Table1[[#This Row],[Início Setup Envase]])</f>
        <v/>
      </c>
      <c r="AP1526" s="670"/>
      <c r="AQ1526" s="670"/>
      <c r="AR1526" s="483"/>
      <c r="AS1526" s="483"/>
      <c r="AT1526" s="483"/>
      <c r="AU1526" s="483"/>
      <c r="AV1526" s="483"/>
      <c r="AW1526" s="483"/>
      <c r="AX1526" s="483"/>
      <c r="AY1526" s="270"/>
      <c r="AZ1526" s="270"/>
      <c r="BA1526" s="270" t="str">
        <f>IF(Table1[[#This Row],[Data de Início]]="","",YEAR(Table1[[#This Row],[Data de Início]]))</f>
        <v/>
      </c>
      <c r="BB1526" s="270" t="str">
        <f>IF(Table1[[#This Row],[Data de Início]]="","",MONTH(Table1[[#This Row],[Data de Início]]))</f>
        <v/>
      </c>
      <c r="BC1526" s="270"/>
    </row>
    <row r="1527" spans="2:55" x14ac:dyDescent="0.25">
      <c r="B1527" s="470"/>
      <c r="C1527" s="263"/>
      <c r="D1527" s="477" cm="1">
        <f t="array" ref="D1527">IFERROR(HorasUteisFabrica2Turnos(B1527,C1527), "")</f>
        <v>0</v>
      </c>
      <c r="E1527" s="697" t="str">
        <f t="shared" si="24"/>
        <v/>
      </c>
      <c r="F1527" s="266"/>
      <c r="G1527" s="698"/>
      <c r="H1527" s="266"/>
      <c r="I1527" s="268"/>
      <c r="J1527" s="268"/>
      <c r="K1527" s="268"/>
      <c r="L1527" s="269"/>
      <c r="M1527" s="510" t="str">
        <f>IFERROR(INDEX([1]Produtos!$C:$C,MATCH(L1527,[1]Produtos!$B:$B,0)), "-")</f>
        <v>-</v>
      </c>
      <c r="N1527" s="510" t="str">
        <f>IFERROR(INDEX([1]Produtos!$E:$E,MATCH(L1527,[1]Produtos!$B:$B,0)), "-")</f>
        <v>-</v>
      </c>
      <c r="O1527" s="270" t="str">
        <f>IFERROR(INDEX([1]Produtos!$F:$F,MATCH(L1527,[1]Produtos!$B:$B,0)), "-")</f>
        <v>-</v>
      </c>
      <c r="P1527" s="264" t="str">
        <f>IFERROR(INDEX([1]Produtos!$G:$G,MATCH(L1527,[1]Produtos!$B:$B,0)), "-")</f>
        <v>-</v>
      </c>
      <c r="Q1527" s="270" t="str">
        <f>IFERROR(INDEX([1]Produtos!$H:$H,MATCH(L1527,[1]Produtos!$B:$B,0)), "-")</f>
        <v>-</v>
      </c>
      <c r="R1527" s="270" t="str">
        <f>IFERROR(INDEX([1]Produtos!$I:$I,MATCH(L1527,[1]Produtos!$B:$B,0)), "-")</f>
        <v>-</v>
      </c>
      <c r="S1527" s="270" t="str">
        <f>IFERROR(INDEX([1]Produtos!$J:$J,MATCH(L1527,[1]Produtos!$B:$B,0)), "-")</f>
        <v>-</v>
      </c>
      <c r="T1527" s="475"/>
      <c r="U1527" s="270"/>
      <c r="V1527" s="270"/>
      <c r="W1527" s="270"/>
      <c r="X1527" s="270"/>
      <c r="Y1527" s="270"/>
      <c r="Z1527" s="270"/>
      <c r="AA1527" s="270"/>
      <c r="AB1527" s="270"/>
      <c r="AC1527" s="270"/>
      <c r="AD1527" s="270"/>
      <c r="AE1527" s="270"/>
      <c r="AF1527" s="270"/>
      <c r="AG1527" s="270"/>
      <c r="AH1527" s="270"/>
      <c r="AI1527" s="270"/>
      <c r="AJ1527" s="270"/>
      <c r="AK1527" s="270"/>
      <c r="AL1527" s="270"/>
      <c r="AM1527" s="663"/>
      <c r="AN1527" s="663"/>
      <c r="AO1527" s="708" t="str">
        <f>IF(OR(Table1[[#This Row],[Início Setup Envase]]="",Table1[[#This Row],[Final Setup Envase]]=""),"",Table1[[#This Row],[Final Setup Envase]]-Table1[[#This Row],[Início Setup Envase]])</f>
        <v/>
      </c>
      <c r="AP1527" s="663"/>
      <c r="AQ1527" s="663"/>
      <c r="AR1527" s="270"/>
      <c r="AS1527" s="674"/>
      <c r="AT1527" s="674"/>
      <c r="AU1527" s="270"/>
      <c r="AV1527" s="270"/>
      <c r="AW1527" s="270"/>
      <c r="AX1527" s="270"/>
      <c r="AY1527" s="270"/>
      <c r="AZ1527" s="270"/>
      <c r="BA1527" s="270" t="str">
        <f>IF(Table1[[#This Row],[Data de Início]]="","",YEAR(Table1[[#This Row],[Data de Início]]))</f>
        <v/>
      </c>
      <c r="BB1527" s="270" t="str">
        <f>IF(Table1[[#This Row],[Data de Início]]="","",MONTH(Table1[[#This Row],[Data de Início]]))</f>
        <v/>
      </c>
      <c r="BC1527" s="483"/>
    </row>
    <row r="1528" spans="2:55" x14ac:dyDescent="0.25">
      <c r="B1528" s="470"/>
      <c r="C1528" s="263"/>
      <c r="D1528" s="477" cm="1">
        <f t="array" ref="D1528">IFERROR(HorasUteisFabrica2Turnos(B1528,C1528), "")</f>
        <v>0</v>
      </c>
      <c r="E1528" s="478" t="str">
        <f t="shared" si="24"/>
        <v/>
      </c>
      <c r="F1528" s="266"/>
      <c r="G1528" s="656"/>
      <c r="H1528" s="479"/>
      <c r="I1528" s="268"/>
      <c r="J1528" s="268"/>
      <c r="K1528" s="268"/>
      <c r="L1528" s="269"/>
      <c r="M1528" s="511" t="str">
        <f>IFERROR(INDEX([1]Produtos!$C:$C,MATCH(L1528,[1]Produtos!$B:$B,0)), "-")</f>
        <v>-</v>
      </c>
      <c r="N1528" s="511" t="str">
        <f>IFERROR(INDEX([1]Produtos!$E:$E,MATCH(L1528,[1]Produtos!$B:$B,0)), "-")</f>
        <v>-</v>
      </c>
      <c r="O1528" s="483" t="str">
        <f>IFERROR(INDEX([1]Produtos!$F:$F,MATCH(L1528,[1]Produtos!$B:$B,0)), "-")</f>
        <v>-</v>
      </c>
      <c r="P1528" s="477" t="str">
        <f>IFERROR(INDEX([1]Produtos!$G:$G,MATCH(L1528,[1]Produtos!$B:$B,0)), "-")</f>
        <v>-</v>
      </c>
      <c r="Q1528" s="483" t="str">
        <f>IFERROR(INDEX([1]Produtos!$H:$H,MATCH(L1528,[1]Produtos!$B:$B,0)), "-")</f>
        <v>-</v>
      </c>
      <c r="R1528" s="483" t="str">
        <f>IFERROR(INDEX([1]Produtos!$I:$I,MATCH(L1528,[1]Produtos!$B:$B,0)), "-")</f>
        <v>-</v>
      </c>
      <c r="S1528" s="483" t="str">
        <f>IFERROR(INDEX([1]Produtos!$J:$J,MATCH(L1528,[1]Produtos!$B:$B,0)), "-")</f>
        <v>-</v>
      </c>
      <c r="T1528" s="484"/>
      <c r="U1528" s="483"/>
      <c r="V1528" s="483"/>
      <c r="W1528" s="483"/>
      <c r="X1528" s="483"/>
      <c r="Y1528" s="483"/>
      <c r="Z1528" s="483"/>
      <c r="AA1528" s="483"/>
      <c r="AB1528" s="483"/>
      <c r="AC1528" s="483"/>
      <c r="AD1528" s="483"/>
      <c r="AE1528" s="483"/>
      <c r="AF1528" s="483"/>
      <c r="AG1528" s="483"/>
      <c r="AH1528" s="483"/>
      <c r="AI1528" s="483"/>
      <c r="AJ1528" s="483"/>
      <c r="AK1528" s="483"/>
      <c r="AL1528" s="483"/>
      <c r="AM1528" s="670"/>
      <c r="AN1528" s="670"/>
      <c r="AO1528" s="711" t="str">
        <f>IF(OR(Table1[[#This Row],[Início Setup Envase]]="",Table1[[#This Row],[Final Setup Envase]]=""),"",Table1[[#This Row],[Final Setup Envase]]-Table1[[#This Row],[Início Setup Envase]])</f>
        <v/>
      </c>
      <c r="AP1528" s="670"/>
      <c r="AQ1528" s="670"/>
      <c r="AR1528" s="483"/>
      <c r="AS1528" s="483"/>
      <c r="AT1528" s="483"/>
      <c r="AU1528" s="483"/>
      <c r="AV1528" s="483"/>
      <c r="AW1528" s="483"/>
      <c r="AX1528" s="483"/>
      <c r="AY1528" s="270"/>
      <c r="AZ1528" s="270"/>
      <c r="BA1528" s="270" t="str">
        <f>IF(Table1[[#This Row],[Data de Início]]="","",YEAR(Table1[[#This Row],[Data de Início]]))</f>
        <v/>
      </c>
      <c r="BB1528" s="270" t="str">
        <f>IF(Table1[[#This Row],[Data de Início]]="","",MONTH(Table1[[#This Row],[Data de Início]]))</f>
        <v/>
      </c>
      <c r="BC1528" s="270"/>
    </row>
    <row r="1529" spans="2:55" x14ac:dyDescent="0.25">
      <c r="B1529" s="470"/>
      <c r="C1529" s="263"/>
      <c r="D1529" s="477" cm="1">
        <f t="array" ref="D1529">IFERROR(HorasUteisFabrica2Turnos(B1529,C1529), "")</f>
        <v>0</v>
      </c>
      <c r="E1529" s="697" t="str">
        <f t="shared" si="24"/>
        <v/>
      </c>
      <c r="F1529" s="266"/>
      <c r="G1529" s="698"/>
      <c r="H1529" s="266"/>
      <c r="I1529" s="268"/>
      <c r="J1529" s="268"/>
      <c r="K1529" s="268"/>
      <c r="L1529" s="269"/>
      <c r="M1529" s="510" t="str">
        <f>IFERROR(INDEX([1]Produtos!$C:$C,MATCH(L1529,[1]Produtos!$B:$B,0)), "-")</f>
        <v>-</v>
      </c>
      <c r="N1529" s="510" t="str">
        <f>IFERROR(INDEX([1]Produtos!$E:$E,MATCH(L1529,[1]Produtos!$B:$B,0)), "-")</f>
        <v>-</v>
      </c>
      <c r="O1529" s="270" t="str">
        <f>IFERROR(INDEX([1]Produtos!$F:$F,MATCH(L1529,[1]Produtos!$B:$B,0)), "-")</f>
        <v>-</v>
      </c>
      <c r="P1529" s="264" t="str">
        <f>IFERROR(INDEX([1]Produtos!$G:$G,MATCH(L1529,[1]Produtos!$B:$B,0)), "-")</f>
        <v>-</v>
      </c>
      <c r="Q1529" s="270" t="str">
        <f>IFERROR(INDEX([1]Produtos!$H:$H,MATCH(L1529,[1]Produtos!$B:$B,0)), "-")</f>
        <v>-</v>
      </c>
      <c r="R1529" s="270" t="str">
        <f>IFERROR(INDEX([1]Produtos!$I:$I,MATCH(L1529,[1]Produtos!$B:$B,0)), "-")</f>
        <v>-</v>
      </c>
      <c r="S1529" s="270" t="str">
        <f>IFERROR(INDEX([1]Produtos!$J:$J,MATCH(L1529,[1]Produtos!$B:$B,0)), "-")</f>
        <v>-</v>
      </c>
      <c r="T1529" s="475"/>
      <c r="U1529" s="270"/>
      <c r="V1529" s="270"/>
      <c r="W1529" s="270"/>
      <c r="X1529" s="270"/>
      <c r="Y1529" s="270"/>
      <c r="Z1529" s="270"/>
      <c r="AA1529" s="270"/>
      <c r="AB1529" s="270"/>
      <c r="AC1529" s="270"/>
      <c r="AD1529" s="270"/>
      <c r="AE1529" s="270"/>
      <c r="AF1529" s="270"/>
      <c r="AG1529" s="270"/>
      <c r="AH1529" s="270"/>
      <c r="AI1529" s="270"/>
      <c r="AJ1529" s="270"/>
      <c r="AK1529" s="270"/>
      <c r="AL1529" s="270"/>
      <c r="AM1529" s="663"/>
      <c r="AN1529" s="663"/>
      <c r="AO1529" s="708" t="str">
        <f>IF(OR(Table1[[#This Row],[Início Setup Envase]]="",Table1[[#This Row],[Final Setup Envase]]=""),"",Table1[[#This Row],[Final Setup Envase]]-Table1[[#This Row],[Início Setup Envase]])</f>
        <v/>
      </c>
      <c r="AP1529" s="663"/>
      <c r="AQ1529" s="663"/>
      <c r="AR1529" s="270"/>
      <c r="AS1529" s="674"/>
      <c r="AT1529" s="674"/>
      <c r="AU1529" s="270"/>
      <c r="AV1529" s="270"/>
      <c r="AW1529" s="270"/>
      <c r="AX1529" s="270"/>
      <c r="AY1529" s="270"/>
      <c r="AZ1529" s="270"/>
      <c r="BA1529" s="270" t="str">
        <f>IF(Table1[[#This Row],[Data de Início]]="","",YEAR(Table1[[#This Row],[Data de Início]]))</f>
        <v/>
      </c>
      <c r="BB1529" s="270" t="str">
        <f>IF(Table1[[#This Row],[Data de Início]]="","",MONTH(Table1[[#This Row],[Data de Início]]))</f>
        <v/>
      </c>
      <c r="BC1529" s="483"/>
    </row>
    <row r="1530" spans="2:55" x14ac:dyDescent="0.25">
      <c r="B1530" s="470"/>
      <c r="C1530" s="263"/>
      <c r="D1530" s="477" cm="1">
        <f t="array" ref="D1530">IFERROR(HorasUteisFabrica2Turnos(B1530,C1530), "")</f>
        <v>0</v>
      </c>
      <c r="E1530" s="478" t="str">
        <f t="shared" si="24"/>
        <v/>
      </c>
      <c r="F1530" s="266"/>
      <c r="G1530" s="656"/>
      <c r="H1530" s="479"/>
      <c r="I1530" s="268"/>
      <c r="J1530" s="268"/>
      <c r="K1530" s="268"/>
      <c r="L1530" s="269"/>
      <c r="M1530" s="511" t="str">
        <f>IFERROR(INDEX([1]Produtos!$C:$C,MATCH(L1530,[1]Produtos!$B:$B,0)), "-")</f>
        <v>-</v>
      </c>
      <c r="N1530" s="511" t="str">
        <f>IFERROR(INDEX([1]Produtos!$E:$E,MATCH(L1530,[1]Produtos!$B:$B,0)), "-")</f>
        <v>-</v>
      </c>
      <c r="O1530" s="483" t="str">
        <f>IFERROR(INDEX([1]Produtos!$F:$F,MATCH(L1530,[1]Produtos!$B:$B,0)), "-")</f>
        <v>-</v>
      </c>
      <c r="P1530" s="477" t="str">
        <f>IFERROR(INDEX([1]Produtos!$G:$G,MATCH(L1530,[1]Produtos!$B:$B,0)), "-")</f>
        <v>-</v>
      </c>
      <c r="Q1530" s="483" t="str">
        <f>IFERROR(INDEX([1]Produtos!$H:$H,MATCH(L1530,[1]Produtos!$B:$B,0)), "-")</f>
        <v>-</v>
      </c>
      <c r="R1530" s="483" t="str">
        <f>IFERROR(INDEX([1]Produtos!$I:$I,MATCH(L1530,[1]Produtos!$B:$B,0)), "-")</f>
        <v>-</v>
      </c>
      <c r="S1530" s="483" t="str">
        <f>IFERROR(INDEX([1]Produtos!$J:$J,MATCH(L1530,[1]Produtos!$B:$B,0)), "-")</f>
        <v>-</v>
      </c>
      <c r="T1530" s="484"/>
      <c r="U1530" s="483"/>
      <c r="V1530" s="483"/>
      <c r="W1530" s="483"/>
      <c r="X1530" s="483"/>
      <c r="Y1530" s="483"/>
      <c r="Z1530" s="483"/>
      <c r="AA1530" s="483"/>
      <c r="AB1530" s="483"/>
      <c r="AC1530" s="483"/>
      <c r="AD1530" s="483"/>
      <c r="AE1530" s="483"/>
      <c r="AF1530" s="483"/>
      <c r="AG1530" s="483"/>
      <c r="AH1530" s="483"/>
      <c r="AI1530" s="483"/>
      <c r="AJ1530" s="483"/>
      <c r="AK1530" s="483"/>
      <c r="AL1530" s="483"/>
      <c r="AM1530" s="670"/>
      <c r="AN1530" s="670"/>
      <c r="AO1530" s="711" t="str">
        <f>IF(OR(Table1[[#This Row],[Início Setup Envase]]="",Table1[[#This Row],[Final Setup Envase]]=""),"",Table1[[#This Row],[Final Setup Envase]]-Table1[[#This Row],[Início Setup Envase]])</f>
        <v/>
      </c>
      <c r="AP1530" s="670"/>
      <c r="AQ1530" s="670"/>
      <c r="AR1530" s="483"/>
      <c r="AS1530" s="483"/>
      <c r="AT1530" s="483"/>
      <c r="AU1530" s="483"/>
      <c r="AV1530" s="483"/>
      <c r="AW1530" s="483"/>
      <c r="AX1530" s="483"/>
      <c r="AY1530" s="270"/>
      <c r="AZ1530" s="270"/>
      <c r="BA1530" s="270" t="str">
        <f>IF(Table1[[#This Row],[Data de Início]]="","",YEAR(Table1[[#This Row],[Data de Início]]))</f>
        <v/>
      </c>
      <c r="BB1530" s="270" t="str">
        <f>IF(Table1[[#This Row],[Data de Início]]="","",MONTH(Table1[[#This Row],[Data de Início]]))</f>
        <v/>
      </c>
      <c r="BC1530" s="270"/>
    </row>
    <row r="1531" spans="2:55" x14ac:dyDescent="0.25">
      <c r="B1531" s="470"/>
      <c r="C1531" s="263"/>
      <c r="D1531" s="477" cm="1">
        <f t="array" ref="D1531">IFERROR(HorasUteisFabrica2Turnos(B1531,C1531), "")</f>
        <v>0</v>
      </c>
      <c r="E1531" s="697" t="str">
        <f t="shared" si="24"/>
        <v/>
      </c>
      <c r="F1531" s="266"/>
      <c r="G1531" s="698"/>
      <c r="H1531" s="266"/>
      <c r="I1531" s="268"/>
      <c r="J1531" s="268"/>
      <c r="K1531" s="268"/>
      <c r="L1531" s="269"/>
      <c r="M1531" s="510" t="str">
        <f>IFERROR(INDEX([1]Produtos!$C:$C,MATCH(L1531,[1]Produtos!$B:$B,0)), "-")</f>
        <v>-</v>
      </c>
      <c r="N1531" s="510" t="str">
        <f>IFERROR(INDEX([1]Produtos!$E:$E,MATCH(L1531,[1]Produtos!$B:$B,0)), "-")</f>
        <v>-</v>
      </c>
      <c r="O1531" s="270" t="str">
        <f>IFERROR(INDEX([1]Produtos!$F:$F,MATCH(L1531,[1]Produtos!$B:$B,0)), "-")</f>
        <v>-</v>
      </c>
      <c r="P1531" s="264" t="str">
        <f>IFERROR(INDEX([1]Produtos!$G:$G,MATCH(L1531,[1]Produtos!$B:$B,0)), "-")</f>
        <v>-</v>
      </c>
      <c r="Q1531" s="270" t="str">
        <f>IFERROR(INDEX([1]Produtos!$H:$H,MATCH(L1531,[1]Produtos!$B:$B,0)), "-")</f>
        <v>-</v>
      </c>
      <c r="R1531" s="270" t="str">
        <f>IFERROR(INDEX([1]Produtos!$I:$I,MATCH(L1531,[1]Produtos!$B:$B,0)), "-")</f>
        <v>-</v>
      </c>
      <c r="S1531" s="270" t="str">
        <f>IFERROR(INDEX([1]Produtos!$J:$J,MATCH(L1531,[1]Produtos!$B:$B,0)), "-")</f>
        <v>-</v>
      </c>
      <c r="T1531" s="475"/>
      <c r="U1531" s="270"/>
      <c r="V1531" s="270"/>
      <c r="W1531" s="270"/>
      <c r="X1531" s="270"/>
      <c r="Y1531" s="270"/>
      <c r="Z1531" s="270"/>
      <c r="AA1531" s="270"/>
      <c r="AB1531" s="270"/>
      <c r="AC1531" s="270"/>
      <c r="AD1531" s="270"/>
      <c r="AE1531" s="270"/>
      <c r="AF1531" s="270"/>
      <c r="AG1531" s="270"/>
      <c r="AH1531" s="270"/>
      <c r="AI1531" s="270"/>
      <c r="AJ1531" s="270"/>
      <c r="AK1531" s="270"/>
      <c r="AL1531" s="270"/>
      <c r="AM1531" s="663"/>
      <c r="AN1531" s="663"/>
      <c r="AO1531" s="708" t="str">
        <f>IF(OR(Table1[[#This Row],[Início Setup Envase]]="",Table1[[#This Row],[Final Setup Envase]]=""),"",Table1[[#This Row],[Final Setup Envase]]-Table1[[#This Row],[Início Setup Envase]])</f>
        <v/>
      </c>
      <c r="AP1531" s="663"/>
      <c r="AQ1531" s="663"/>
      <c r="AR1531" s="270"/>
      <c r="AS1531" s="674"/>
      <c r="AT1531" s="674"/>
      <c r="AU1531" s="270"/>
      <c r="AV1531" s="270"/>
      <c r="AW1531" s="270"/>
      <c r="AX1531" s="270"/>
      <c r="AY1531" s="270"/>
      <c r="AZ1531" s="270"/>
      <c r="BA1531" s="270" t="str">
        <f>IF(Table1[[#This Row],[Data de Início]]="","",YEAR(Table1[[#This Row],[Data de Início]]))</f>
        <v/>
      </c>
      <c r="BB1531" s="270" t="str">
        <f>IF(Table1[[#This Row],[Data de Início]]="","",MONTH(Table1[[#This Row],[Data de Início]]))</f>
        <v/>
      </c>
      <c r="BC1531" s="483"/>
    </row>
    <row r="1532" spans="2:55" x14ac:dyDescent="0.25">
      <c r="B1532" s="470"/>
      <c r="C1532" s="263"/>
      <c r="D1532" s="477" cm="1">
        <f t="array" ref="D1532">IFERROR(HorasUteisFabrica2Turnos(B1532,C1532), "")</f>
        <v>0</v>
      </c>
      <c r="E1532" s="478" t="str">
        <f t="shared" si="24"/>
        <v/>
      </c>
      <c r="F1532" s="266"/>
      <c r="G1532" s="656"/>
      <c r="H1532" s="479"/>
      <c r="I1532" s="268"/>
      <c r="J1532" s="268"/>
      <c r="K1532" s="268"/>
      <c r="L1532" s="269"/>
      <c r="M1532" s="511" t="str">
        <f>IFERROR(INDEX([1]Produtos!$C:$C,MATCH(L1532,[1]Produtos!$B:$B,0)), "-")</f>
        <v>-</v>
      </c>
      <c r="N1532" s="511" t="str">
        <f>IFERROR(INDEX([1]Produtos!$E:$E,MATCH(L1532,[1]Produtos!$B:$B,0)), "-")</f>
        <v>-</v>
      </c>
      <c r="O1532" s="483" t="str">
        <f>IFERROR(INDEX([1]Produtos!$F:$F,MATCH(L1532,[1]Produtos!$B:$B,0)), "-")</f>
        <v>-</v>
      </c>
      <c r="P1532" s="477" t="str">
        <f>IFERROR(INDEX([1]Produtos!$G:$G,MATCH(L1532,[1]Produtos!$B:$B,0)), "-")</f>
        <v>-</v>
      </c>
      <c r="Q1532" s="483" t="str">
        <f>IFERROR(INDEX([1]Produtos!$H:$H,MATCH(L1532,[1]Produtos!$B:$B,0)), "-")</f>
        <v>-</v>
      </c>
      <c r="R1532" s="483" t="str">
        <f>IFERROR(INDEX([1]Produtos!$I:$I,MATCH(L1532,[1]Produtos!$B:$B,0)), "-")</f>
        <v>-</v>
      </c>
      <c r="S1532" s="483" t="str">
        <f>IFERROR(INDEX([1]Produtos!$J:$J,MATCH(L1532,[1]Produtos!$B:$B,0)), "-")</f>
        <v>-</v>
      </c>
      <c r="T1532" s="484"/>
      <c r="U1532" s="483"/>
      <c r="V1532" s="483"/>
      <c r="W1532" s="483"/>
      <c r="X1532" s="483"/>
      <c r="Y1532" s="483"/>
      <c r="Z1532" s="483"/>
      <c r="AA1532" s="483"/>
      <c r="AB1532" s="483"/>
      <c r="AC1532" s="483"/>
      <c r="AD1532" s="483"/>
      <c r="AE1532" s="483"/>
      <c r="AF1532" s="483"/>
      <c r="AG1532" s="483"/>
      <c r="AH1532" s="483"/>
      <c r="AI1532" s="483"/>
      <c r="AJ1532" s="483"/>
      <c r="AK1532" s="483"/>
      <c r="AL1532" s="483"/>
      <c r="AM1532" s="670"/>
      <c r="AN1532" s="670"/>
      <c r="AO1532" s="711" t="str">
        <f>IF(OR(Table1[[#This Row],[Início Setup Envase]]="",Table1[[#This Row],[Final Setup Envase]]=""),"",Table1[[#This Row],[Final Setup Envase]]-Table1[[#This Row],[Início Setup Envase]])</f>
        <v/>
      </c>
      <c r="AP1532" s="670"/>
      <c r="AQ1532" s="670"/>
      <c r="AR1532" s="483"/>
      <c r="AS1532" s="483"/>
      <c r="AT1532" s="483"/>
      <c r="AU1532" s="483"/>
      <c r="AV1532" s="483"/>
      <c r="AW1532" s="483"/>
      <c r="AX1532" s="483"/>
      <c r="AY1532" s="270"/>
      <c r="AZ1532" s="270"/>
      <c r="BA1532" s="270" t="str">
        <f>IF(Table1[[#This Row],[Data de Início]]="","",YEAR(Table1[[#This Row],[Data de Início]]))</f>
        <v/>
      </c>
      <c r="BB1532" s="270" t="str">
        <f>IF(Table1[[#This Row],[Data de Início]]="","",MONTH(Table1[[#This Row],[Data de Início]]))</f>
        <v/>
      </c>
      <c r="BC1532" s="270"/>
    </row>
    <row r="1533" spans="2:55" x14ac:dyDescent="0.25">
      <c r="B1533" s="470"/>
      <c r="C1533" s="263"/>
      <c r="D1533" s="477" cm="1">
        <f t="array" ref="D1533">IFERROR(HorasUteisFabrica2Turnos(B1533,C1533), "")</f>
        <v>0</v>
      </c>
      <c r="E1533" s="697" t="str">
        <f t="shared" si="24"/>
        <v/>
      </c>
      <c r="F1533" s="266"/>
      <c r="G1533" s="698"/>
      <c r="H1533" s="266"/>
      <c r="I1533" s="268"/>
      <c r="J1533" s="268"/>
      <c r="K1533" s="268"/>
      <c r="L1533" s="269"/>
      <c r="M1533" s="510" t="str">
        <f>IFERROR(INDEX([1]Produtos!$C:$C,MATCH(L1533,[1]Produtos!$B:$B,0)), "-")</f>
        <v>-</v>
      </c>
      <c r="N1533" s="510" t="str">
        <f>IFERROR(INDEX([1]Produtos!$E:$E,MATCH(L1533,[1]Produtos!$B:$B,0)), "-")</f>
        <v>-</v>
      </c>
      <c r="O1533" s="270" t="str">
        <f>IFERROR(INDEX([1]Produtos!$F:$F,MATCH(L1533,[1]Produtos!$B:$B,0)), "-")</f>
        <v>-</v>
      </c>
      <c r="P1533" s="264" t="str">
        <f>IFERROR(INDEX([1]Produtos!$G:$G,MATCH(L1533,[1]Produtos!$B:$B,0)), "-")</f>
        <v>-</v>
      </c>
      <c r="Q1533" s="270" t="str">
        <f>IFERROR(INDEX([1]Produtos!$H:$H,MATCH(L1533,[1]Produtos!$B:$B,0)), "-")</f>
        <v>-</v>
      </c>
      <c r="R1533" s="270" t="str">
        <f>IFERROR(INDEX([1]Produtos!$I:$I,MATCH(L1533,[1]Produtos!$B:$B,0)), "-")</f>
        <v>-</v>
      </c>
      <c r="S1533" s="270" t="str">
        <f>IFERROR(INDEX([1]Produtos!$J:$J,MATCH(L1533,[1]Produtos!$B:$B,0)), "-")</f>
        <v>-</v>
      </c>
      <c r="T1533" s="475"/>
      <c r="U1533" s="270"/>
      <c r="V1533" s="270"/>
      <c r="W1533" s="270"/>
      <c r="X1533" s="270"/>
      <c r="Y1533" s="270"/>
      <c r="Z1533" s="270"/>
      <c r="AA1533" s="270"/>
      <c r="AB1533" s="270"/>
      <c r="AC1533" s="270"/>
      <c r="AD1533" s="270"/>
      <c r="AE1533" s="270"/>
      <c r="AF1533" s="270"/>
      <c r="AG1533" s="270"/>
      <c r="AH1533" s="270"/>
      <c r="AI1533" s="270"/>
      <c r="AJ1533" s="270"/>
      <c r="AK1533" s="270"/>
      <c r="AL1533" s="270"/>
      <c r="AM1533" s="663"/>
      <c r="AN1533" s="663"/>
      <c r="AO1533" s="708" t="str">
        <f>IF(OR(Table1[[#This Row],[Início Setup Envase]]="",Table1[[#This Row],[Final Setup Envase]]=""),"",Table1[[#This Row],[Final Setup Envase]]-Table1[[#This Row],[Início Setup Envase]])</f>
        <v/>
      </c>
      <c r="AP1533" s="663"/>
      <c r="AQ1533" s="663"/>
      <c r="AR1533" s="270"/>
      <c r="AS1533" s="674"/>
      <c r="AT1533" s="674"/>
      <c r="AU1533" s="270"/>
      <c r="AV1533" s="270"/>
      <c r="AW1533" s="270"/>
      <c r="AX1533" s="270"/>
      <c r="AY1533" s="270"/>
      <c r="AZ1533" s="270"/>
      <c r="BA1533" s="270" t="str">
        <f>IF(Table1[[#This Row],[Data de Início]]="","",YEAR(Table1[[#This Row],[Data de Início]]))</f>
        <v/>
      </c>
      <c r="BB1533" s="270" t="str">
        <f>IF(Table1[[#This Row],[Data de Início]]="","",MONTH(Table1[[#This Row],[Data de Início]]))</f>
        <v/>
      </c>
      <c r="BC1533" s="483"/>
    </row>
    <row r="1534" spans="2:55" x14ac:dyDescent="0.25">
      <c r="B1534" s="470"/>
      <c r="C1534" s="263"/>
      <c r="D1534" s="477" cm="1">
        <f t="array" ref="D1534">IFERROR(HorasUteisFabrica2Turnos(B1534,C1534), "")</f>
        <v>0</v>
      </c>
      <c r="E1534" s="478" t="str">
        <f t="shared" si="24"/>
        <v/>
      </c>
      <c r="F1534" s="266"/>
      <c r="G1534" s="656"/>
      <c r="H1534" s="479"/>
      <c r="I1534" s="268"/>
      <c r="J1534" s="268"/>
      <c r="K1534" s="268"/>
      <c r="L1534" s="269"/>
      <c r="M1534" s="511" t="str">
        <f>IFERROR(INDEX([1]Produtos!$C:$C,MATCH(L1534,[1]Produtos!$B:$B,0)), "-")</f>
        <v>-</v>
      </c>
      <c r="N1534" s="511" t="str">
        <f>IFERROR(INDEX([1]Produtos!$E:$E,MATCH(L1534,[1]Produtos!$B:$B,0)), "-")</f>
        <v>-</v>
      </c>
      <c r="O1534" s="483" t="str">
        <f>IFERROR(INDEX([1]Produtos!$F:$F,MATCH(L1534,[1]Produtos!$B:$B,0)), "-")</f>
        <v>-</v>
      </c>
      <c r="P1534" s="477" t="str">
        <f>IFERROR(INDEX([1]Produtos!$G:$G,MATCH(L1534,[1]Produtos!$B:$B,0)), "-")</f>
        <v>-</v>
      </c>
      <c r="Q1534" s="483" t="str">
        <f>IFERROR(INDEX([1]Produtos!$H:$H,MATCH(L1534,[1]Produtos!$B:$B,0)), "-")</f>
        <v>-</v>
      </c>
      <c r="R1534" s="483" t="str">
        <f>IFERROR(INDEX([1]Produtos!$I:$I,MATCH(L1534,[1]Produtos!$B:$B,0)), "-")</f>
        <v>-</v>
      </c>
      <c r="S1534" s="483" t="str">
        <f>IFERROR(INDEX([1]Produtos!$J:$J,MATCH(L1534,[1]Produtos!$B:$B,0)), "-")</f>
        <v>-</v>
      </c>
      <c r="T1534" s="484"/>
      <c r="U1534" s="483"/>
      <c r="V1534" s="483"/>
      <c r="W1534" s="483"/>
      <c r="X1534" s="483"/>
      <c r="Y1534" s="483"/>
      <c r="Z1534" s="483"/>
      <c r="AA1534" s="483"/>
      <c r="AB1534" s="483"/>
      <c r="AC1534" s="483"/>
      <c r="AD1534" s="483"/>
      <c r="AE1534" s="483"/>
      <c r="AF1534" s="483"/>
      <c r="AG1534" s="483"/>
      <c r="AH1534" s="483"/>
      <c r="AI1534" s="483"/>
      <c r="AJ1534" s="483"/>
      <c r="AK1534" s="483"/>
      <c r="AL1534" s="483"/>
      <c r="AM1534" s="670"/>
      <c r="AN1534" s="670"/>
      <c r="AO1534" s="711" t="str">
        <f>IF(OR(Table1[[#This Row],[Início Setup Envase]]="",Table1[[#This Row],[Final Setup Envase]]=""),"",Table1[[#This Row],[Final Setup Envase]]-Table1[[#This Row],[Início Setup Envase]])</f>
        <v/>
      </c>
      <c r="AP1534" s="670"/>
      <c r="AQ1534" s="670"/>
      <c r="AR1534" s="483"/>
      <c r="AS1534" s="483"/>
      <c r="AT1534" s="483"/>
      <c r="AU1534" s="483"/>
      <c r="AV1534" s="483"/>
      <c r="AW1534" s="483"/>
      <c r="AX1534" s="483"/>
      <c r="AY1534" s="270"/>
      <c r="AZ1534" s="270"/>
      <c r="BA1534" s="270" t="str">
        <f>IF(Table1[[#This Row],[Data de Início]]="","",YEAR(Table1[[#This Row],[Data de Início]]))</f>
        <v/>
      </c>
      <c r="BB1534" s="270" t="str">
        <f>IF(Table1[[#This Row],[Data de Início]]="","",MONTH(Table1[[#This Row],[Data de Início]]))</f>
        <v/>
      </c>
      <c r="BC1534" s="270"/>
    </row>
    <row r="1535" spans="2:55" x14ac:dyDescent="0.25">
      <c r="B1535" s="470"/>
      <c r="C1535" s="263"/>
      <c r="D1535" s="477" cm="1">
        <f t="array" ref="D1535">IFERROR(HorasUteisFabrica2Turnos(B1535,C1535), "")</f>
        <v>0</v>
      </c>
      <c r="E1535" s="697" t="str">
        <f t="shared" si="24"/>
        <v/>
      </c>
      <c r="F1535" s="266"/>
      <c r="G1535" s="698"/>
      <c r="H1535" s="266"/>
      <c r="I1535" s="268"/>
      <c r="J1535" s="268"/>
      <c r="K1535" s="268"/>
      <c r="L1535" s="269"/>
      <c r="M1535" s="510" t="str">
        <f>IFERROR(INDEX([1]Produtos!$C:$C,MATCH(L1535,[1]Produtos!$B:$B,0)), "-")</f>
        <v>-</v>
      </c>
      <c r="N1535" s="510" t="str">
        <f>IFERROR(INDEX([1]Produtos!$E:$E,MATCH(L1535,[1]Produtos!$B:$B,0)), "-")</f>
        <v>-</v>
      </c>
      <c r="O1535" s="270" t="str">
        <f>IFERROR(INDEX([1]Produtos!$F:$F,MATCH(L1535,[1]Produtos!$B:$B,0)), "-")</f>
        <v>-</v>
      </c>
      <c r="P1535" s="264" t="str">
        <f>IFERROR(INDEX([1]Produtos!$G:$G,MATCH(L1535,[1]Produtos!$B:$B,0)), "-")</f>
        <v>-</v>
      </c>
      <c r="Q1535" s="270" t="str">
        <f>IFERROR(INDEX([1]Produtos!$H:$H,MATCH(L1535,[1]Produtos!$B:$B,0)), "-")</f>
        <v>-</v>
      </c>
      <c r="R1535" s="270" t="str">
        <f>IFERROR(INDEX([1]Produtos!$I:$I,MATCH(L1535,[1]Produtos!$B:$B,0)), "-")</f>
        <v>-</v>
      </c>
      <c r="S1535" s="270" t="str">
        <f>IFERROR(INDEX([1]Produtos!$J:$J,MATCH(L1535,[1]Produtos!$B:$B,0)), "-")</f>
        <v>-</v>
      </c>
      <c r="T1535" s="475"/>
      <c r="U1535" s="270"/>
      <c r="V1535" s="270"/>
      <c r="W1535" s="270"/>
      <c r="X1535" s="270"/>
      <c r="Y1535" s="270"/>
      <c r="Z1535" s="270"/>
      <c r="AA1535" s="270"/>
      <c r="AB1535" s="270"/>
      <c r="AC1535" s="270"/>
      <c r="AD1535" s="270"/>
      <c r="AE1535" s="270"/>
      <c r="AF1535" s="270"/>
      <c r="AG1535" s="270"/>
      <c r="AH1535" s="270"/>
      <c r="AI1535" s="270"/>
      <c r="AJ1535" s="270"/>
      <c r="AK1535" s="270"/>
      <c r="AL1535" s="270"/>
      <c r="AM1535" s="663"/>
      <c r="AN1535" s="663"/>
      <c r="AO1535" s="708" t="str">
        <f>IF(OR(Table1[[#This Row],[Início Setup Envase]]="",Table1[[#This Row],[Final Setup Envase]]=""),"",Table1[[#This Row],[Final Setup Envase]]-Table1[[#This Row],[Início Setup Envase]])</f>
        <v/>
      </c>
      <c r="AP1535" s="663"/>
      <c r="AQ1535" s="663"/>
      <c r="AR1535" s="270"/>
      <c r="AS1535" s="674"/>
      <c r="AT1535" s="674"/>
      <c r="AU1535" s="270"/>
      <c r="AV1535" s="270"/>
      <c r="AW1535" s="270"/>
      <c r="AX1535" s="270"/>
      <c r="AY1535" s="270"/>
      <c r="AZ1535" s="270"/>
      <c r="BA1535" s="270" t="str">
        <f>IF(Table1[[#This Row],[Data de Início]]="","",YEAR(Table1[[#This Row],[Data de Início]]))</f>
        <v/>
      </c>
      <c r="BB1535" s="270" t="str">
        <f>IF(Table1[[#This Row],[Data de Início]]="","",MONTH(Table1[[#This Row],[Data de Início]]))</f>
        <v/>
      </c>
      <c r="BC1535" s="483"/>
    </row>
    <row r="1536" spans="2:55" x14ac:dyDescent="0.25">
      <c r="B1536" s="470"/>
      <c r="C1536" s="263"/>
      <c r="D1536" s="477" cm="1">
        <f t="array" ref="D1536">IFERROR(HorasUteisFabrica2Turnos(B1536,C1536), "")</f>
        <v>0</v>
      </c>
      <c r="E1536" s="478" t="str">
        <f t="shared" si="24"/>
        <v/>
      </c>
      <c r="F1536" s="266"/>
      <c r="G1536" s="656"/>
      <c r="H1536" s="479"/>
      <c r="I1536" s="268"/>
      <c r="J1536" s="268"/>
      <c r="K1536" s="268"/>
      <c r="L1536" s="269"/>
      <c r="M1536" s="511" t="str">
        <f>IFERROR(INDEX([1]Produtos!$C:$C,MATCH(L1536,[1]Produtos!$B:$B,0)), "-")</f>
        <v>-</v>
      </c>
      <c r="N1536" s="511" t="str">
        <f>IFERROR(INDEX([1]Produtos!$E:$E,MATCH(L1536,[1]Produtos!$B:$B,0)), "-")</f>
        <v>-</v>
      </c>
      <c r="O1536" s="483" t="str">
        <f>IFERROR(INDEX([1]Produtos!$F:$F,MATCH(L1536,[1]Produtos!$B:$B,0)), "-")</f>
        <v>-</v>
      </c>
      <c r="P1536" s="477" t="str">
        <f>IFERROR(INDEX([1]Produtos!$G:$G,MATCH(L1536,[1]Produtos!$B:$B,0)), "-")</f>
        <v>-</v>
      </c>
      <c r="Q1536" s="483" t="str">
        <f>IFERROR(INDEX([1]Produtos!$H:$H,MATCH(L1536,[1]Produtos!$B:$B,0)), "-")</f>
        <v>-</v>
      </c>
      <c r="R1536" s="483" t="str">
        <f>IFERROR(INDEX([1]Produtos!$I:$I,MATCH(L1536,[1]Produtos!$B:$B,0)), "-")</f>
        <v>-</v>
      </c>
      <c r="S1536" s="483" t="str">
        <f>IFERROR(INDEX([1]Produtos!$J:$J,MATCH(L1536,[1]Produtos!$B:$B,0)), "-")</f>
        <v>-</v>
      </c>
      <c r="T1536" s="484"/>
      <c r="U1536" s="483"/>
      <c r="V1536" s="483"/>
      <c r="W1536" s="483"/>
      <c r="X1536" s="483"/>
      <c r="Y1536" s="483"/>
      <c r="Z1536" s="483"/>
      <c r="AA1536" s="483"/>
      <c r="AB1536" s="483"/>
      <c r="AC1536" s="483"/>
      <c r="AD1536" s="483"/>
      <c r="AE1536" s="483"/>
      <c r="AF1536" s="483"/>
      <c r="AG1536" s="483"/>
      <c r="AH1536" s="483"/>
      <c r="AI1536" s="483"/>
      <c r="AJ1536" s="483"/>
      <c r="AK1536" s="483"/>
      <c r="AL1536" s="483"/>
      <c r="AM1536" s="670"/>
      <c r="AN1536" s="670"/>
      <c r="AO1536" s="711" t="str">
        <f>IF(OR(Table1[[#This Row],[Início Setup Envase]]="",Table1[[#This Row],[Final Setup Envase]]=""),"",Table1[[#This Row],[Final Setup Envase]]-Table1[[#This Row],[Início Setup Envase]])</f>
        <v/>
      </c>
      <c r="AP1536" s="670"/>
      <c r="AQ1536" s="670"/>
      <c r="AR1536" s="483"/>
      <c r="AS1536" s="483"/>
      <c r="AT1536" s="483"/>
      <c r="AU1536" s="483"/>
      <c r="AV1536" s="483"/>
      <c r="AW1536" s="483"/>
      <c r="AX1536" s="483"/>
      <c r="AY1536" s="270"/>
      <c r="AZ1536" s="270"/>
      <c r="BA1536" s="270" t="str">
        <f>IF(Table1[[#This Row],[Data de Início]]="","",YEAR(Table1[[#This Row],[Data de Início]]))</f>
        <v/>
      </c>
      <c r="BB1536" s="270" t="str">
        <f>IF(Table1[[#This Row],[Data de Início]]="","",MONTH(Table1[[#This Row],[Data de Início]]))</f>
        <v/>
      </c>
      <c r="BC1536" s="270"/>
    </row>
    <row r="1537" spans="2:55" x14ac:dyDescent="0.25">
      <c r="B1537" s="470"/>
      <c r="C1537" s="263"/>
      <c r="D1537" s="477" cm="1">
        <f t="array" ref="D1537">IFERROR(HorasUteisFabrica2Turnos(B1537,C1537), "")</f>
        <v>0</v>
      </c>
      <c r="E1537" s="697" t="str">
        <f t="shared" si="24"/>
        <v/>
      </c>
      <c r="F1537" s="266"/>
      <c r="G1537" s="698"/>
      <c r="H1537" s="266"/>
      <c r="I1537" s="268"/>
      <c r="J1537" s="268"/>
      <c r="K1537" s="268"/>
      <c r="L1537" s="269"/>
      <c r="M1537" s="510" t="str">
        <f>IFERROR(INDEX([1]Produtos!$C:$C,MATCH(L1537,[1]Produtos!$B:$B,0)), "-")</f>
        <v>-</v>
      </c>
      <c r="N1537" s="510" t="str">
        <f>IFERROR(INDEX([1]Produtos!$E:$E,MATCH(L1537,[1]Produtos!$B:$B,0)), "-")</f>
        <v>-</v>
      </c>
      <c r="O1537" s="270" t="str">
        <f>IFERROR(INDEX([1]Produtos!$F:$F,MATCH(L1537,[1]Produtos!$B:$B,0)), "-")</f>
        <v>-</v>
      </c>
      <c r="P1537" s="264" t="str">
        <f>IFERROR(INDEX([1]Produtos!$G:$G,MATCH(L1537,[1]Produtos!$B:$B,0)), "-")</f>
        <v>-</v>
      </c>
      <c r="Q1537" s="270" t="str">
        <f>IFERROR(INDEX([1]Produtos!$H:$H,MATCH(L1537,[1]Produtos!$B:$B,0)), "-")</f>
        <v>-</v>
      </c>
      <c r="R1537" s="270" t="str">
        <f>IFERROR(INDEX([1]Produtos!$I:$I,MATCH(L1537,[1]Produtos!$B:$B,0)), "-")</f>
        <v>-</v>
      </c>
      <c r="S1537" s="270" t="str">
        <f>IFERROR(INDEX([1]Produtos!$J:$J,MATCH(L1537,[1]Produtos!$B:$B,0)), "-")</f>
        <v>-</v>
      </c>
      <c r="T1537" s="475"/>
      <c r="U1537" s="270"/>
      <c r="V1537" s="270"/>
      <c r="W1537" s="270"/>
      <c r="X1537" s="270"/>
      <c r="Y1537" s="270"/>
      <c r="Z1537" s="270"/>
      <c r="AA1537" s="270"/>
      <c r="AB1537" s="270"/>
      <c r="AC1537" s="270"/>
      <c r="AD1537" s="270"/>
      <c r="AE1537" s="270"/>
      <c r="AF1537" s="270"/>
      <c r="AG1537" s="270"/>
      <c r="AH1537" s="270"/>
      <c r="AI1537" s="270"/>
      <c r="AJ1537" s="270"/>
      <c r="AK1537" s="270"/>
      <c r="AL1537" s="270"/>
      <c r="AM1537" s="663"/>
      <c r="AN1537" s="663"/>
      <c r="AO1537" s="708" t="str">
        <f>IF(OR(Table1[[#This Row],[Início Setup Envase]]="",Table1[[#This Row],[Final Setup Envase]]=""),"",Table1[[#This Row],[Final Setup Envase]]-Table1[[#This Row],[Início Setup Envase]])</f>
        <v/>
      </c>
      <c r="AP1537" s="663"/>
      <c r="AQ1537" s="663"/>
      <c r="AR1537" s="270"/>
      <c r="AS1537" s="674"/>
      <c r="AT1537" s="674"/>
      <c r="AU1537" s="270"/>
      <c r="AV1537" s="270"/>
      <c r="AW1537" s="270"/>
      <c r="AX1537" s="270"/>
      <c r="AY1537" s="270"/>
      <c r="AZ1537" s="270"/>
      <c r="BA1537" s="270" t="str">
        <f>IF(Table1[[#This Row],[Data de Início]]="","",YEAR(Table1[[#This Row],[Data de Início]]))</f>
        <v/>
      </c>
      <c r="BB1537" s="270" t="str">
        <f>IF(Table1[[#This Row],[Data de Início]]="","",MONTH(Table1[[#This Row],[Data de Início]]))</f>
        <v/>
      </c>
      <c r="BC1537" s="483"/>
    </row>
    <row r="1538" spans="2:55" x14ac:dyDescent="0.25">
      <c r="B1538" s="470"/>
      <c r="C1538" s="263"/>
      <c r="D1538" s="477" cm="1">
        <f t="array" ref="D1538">IFERROR(HorasUteisFabrica2Turnos(B1538,C1538), "")</f>
        <v>0</v>
      </c>
      <c r="E1538" s="478" t="str">
        <f t="shared" si="24"/>
        <v/>
      </c>
      <c r="F1538" s="266"/>
      <c r="G1538" s="656"/>
      <c r="H1538" s="479"/>
      <c r="I1538" s="268"/>
      <c r="J1538" s="268"/>
      <c r="K1538" s="268"/>
      <c r="L1538" s="269"/>
      <c r="M1538" s="511" t="str">
        <f>IFERROR(INDEX([1]Produtos!$C:$C,MATCH(L1538,[1]Produtos!$B:$B,0)), "-")</f>
        <v>-</v>
      </c>
      <c r="N1538" s="511" t="str">
        <f>IFERROR(INDEX([1]Produtos!$E:$E,MATCH(L1538,[1]Produtos!$B:$B,0)), "-")</f>
        <v>-</v>
      </c>
      <c r="O1538" s="483" t="str">
        <f>IFERROR(INDEX([1]Produtos!$F:$F,MATCH(L1538,[1]Produtos!$B:$B,0)), "-")</f>
        <v>-</v>
      </c>
      <c r="P1538" s="477" t="str">
        <f>IFERROR(INDEX([1]Produtos!$G:$G,MATCH(L1538,[1]Produtos!$B:$B,0)), "-")</f>
        <v>-</v>
      </c>
      <c r="Q1538" s="483" t="str">
        <f>IFERROR(INDEX([1]Produtos!$H:$H,MATCH(L1538,[1]Produtos!$B:$B,0)), "-")</f>
        <v>-</v>
      </c>
      <c r="R1538" s="483" t="str">
        <f>IFERROR(INDEX([1]Produtos!$I:$I,MATCH(L1538,[1]Produtos!$B:$B,0)), "-")</f>
        <v>-</v>
      </c>
      <c r="S1538" s="483" t="str">
        <f>IFERROR(INDEX([1]Produtos!$J:$J,MATCH(L1538,[1]Produtos!$B:$B,0)), "-")</f>
        <v>-</v>
      </c>
      <c r="T1538" s="484"/>
      <c r="U1538" s="483"/>
      <c r="V1538" s="483"/>
      <c r="W1538" s="483"/>
      <c r="X1538" s="483"/>
      <c r="Y1538" s="483"/>
      <c r="Z1538" s="483"/>
      <c r="AA1538" s="483"/>
      <c r="AB1538" s="483"/>
      <c r="AC1538" s="483"/>
      <c r="AD1538" s="483"/>
      <c r="AE1538" s="483"/>
      <c r="AF1538" s="483"/>
      <c r="AG1538" s="483"/>
      <c r="AH1538" s="483"/>
      <c r="AI1538" s="483"/>
      <c r="AJ1538" s="483"/>
      <c r="AK1538" s="483"/>
      <c r="AL1538" s="483"/>
      <c r="AM1538" s="670"/>
      <c r="AN1538" s="670"/>
      <c r="AO1538" s="711" t="str">
        <f>IF(OR(Table1[[#This Row],[Início Setup Envase]]="",Table1[[#This Row],[Final Setup Envase]]=""),"",Table1[[#This Row],[Final Setup Envase]]-Table1[[#This Row],[Início Setup Envase]])</f>
        <v/>
      </c>
      <c r="AP1538" s="670"/>
      <c r="AQ1538" s="670"/>
      <c r="AR1538" s="483"/>
      <c r="AS1538" s="483"/>
      <c r="AT1538" s="483"/>
      <c r="AU1538" s="483"/>
      <c r="AV1538" s="483"/>
      <c r="AW1538" s="483"/>
      <c r="AX1538" s="483"/>
      <c r="AY1538" s="270"/>
      <c r="AZ1538" s="270"/>
      <c r="BA1538" s="270" t="str">
        <f>IF(Table1[[#This Row],[Data de Início]]="","",YEAR(Table1[[#This Row],[Data de Início]]))</f>
        <v/>
      </c>
      <c r="BB1538" s="270" t="str">
        <f>IF(Table1[[#This Row],[Data de Início]]="","",MONTH(Table1[[#This Row],[Data de Início]]))</f>
        <v/>
      </c>
      <c r="BC1538" s="270"/>
    </row>
    <row r="1539" spans="2:55" x14ac:dyDescent="0.25">
      <c r="B1539" s="470"/>
      <c r="C1539" s="263"/>
      <c r="D1539" s="477" cm="1">
        <f t="array" ref="D1539">IFERROR(HorasUteisFabrica2Turnos(B1539,C1539), "")</f>
        <v>0</v>
      </c>
      <c r="E1539" s="697" t="str">
        <f t="shared" si="24"/>
        <v/>
      </c>
      <c r="F1539" s="266"/>
      <c r="G1539" s="698"/>
      <c r="H1539" s="266"/>
      <c r="I1539" s="268"/>
      <c r="J1539" s="268"/>
      <c r="K1539" s="268"/>
      <c r="L1539" s="269"/>
      <c r="M1539" s="510" t="str">
        <f>IFERROR(INDEX([1]Produtos!$C:$C,MATCH(L1539,[1]Produtos!$B:$B,0)), "-")</f>
        <v>-</v>
      </c>
      <c r="N1539" s="510" t="str">
        <f>IFERROR(INDEX([1]Produtos!$E:$E,MATCH(L1539,[1]Produtos!$B:$B,0)), "-")</f>
        <v>-</v>
      </c>
      <c r="O1539" s="270" t="str">
        <f>IFERROR(INDEX([1]Produtos!$F:$F,MATCH(L1539,[1]Produtos!$B:$B,0)), "-")</f>
        <v>-</v>
      </c>
      <c r="P1539" s="264" t="str">
        <f>IFERROR(INDEX([1]Produtos!$G:$G,MATCH(L1539,[1]Produtos!$B:$B,0)), "-")</f>
        <v>-</v>
      </c>
      <c r="Q1539" s="270" t="str">
        <f>IFERROR(INDEX([1]Produtos!$H:$H,MATCH(L1539,[1]Produtos!$B:$B,0)), "-")</f>
        <v>-</v>
      </c>
      <c r="R1539" s="270" t="str">
        <f>IFERROR(INDEX([1]Produtos!$I:$I,MATCH(L1539,[1]Produtos!$B:$B,0)), "-")</f>
        <v>-</v>
      </c>
      <c r="S1539" s="270" t="str">
        <f>IFERROR(INDEX([1]Produtos!$J:$J,MATCH(L1539,[1]Produtos!$B:$B,0)), "-")</f>
        <v>-</v>
      </c>
      <c r="T1539" s="475"/>
      <c r="U1539" s="270"/>
      <c r="V1539" s="270"/>
      <c r="W1539" s="270"/>
      <c r="X1539" s="270"/>
      <c r="Y1539" s="270"/>
      <c r="Z1539" s="270"/>
      <c r="AA1539" s="270"/>
      <c r="AB1539" s="270"/>
      <c r="AC1539" s="270"/>
      <c r="AD1539" s="270"/>
      <c r="AE1539" s="270"/>
      <c r="AF1539" s="270"/>
      <c r="AG1539" s="270"/>
      <c r="AH1539" s="270"/>
      <c r="AI1539" s="270"/>
      <c r="AJ1539" s="270"/>
      <c r="AK1539" s="270"/>
      <c r="AL1539" s="270"/>
      <c r="AM1539" s="663"/>
      <c r="AN1539" s="663"/>
      <c r="AO1539" s="708" t="str">
        <f>IF(OR(Table1[[#This Row],[Início Setup Envase]]="",Table1[[#This Row],[Final Setup Envase]]=""),"",Table1[[#This Row],[Final Setup Envase]]-Table1[[#This Row],[Início Setup Envase]])</f>
        <v/>
      </c>
      <c r="AP1539" s="663"/>
      <c r="AQ1539" s="663"/>
      <c r="AR1539" s="270"/>
      <c r="AS1539" s="674"/>
      <c r="AT1539" s="674"/>
      <c r="AU1539" s="270"/>
      <c r="AV1539" s="270"/>
      <c r="AW1539" s="270"/>
      <c r="AX1539" s="270"/>
      <c r="AY1539" s="270"/>
      <c r="AZ1539" s="270"/>
      <c r="BA1539" s="270" t="str">
        <f>IF(Table1[[#This Row],[Data de Início]]="","",YEAR(Table1[[#This Row],[Data de Início]]))</f>
        <v/>
      </c>
      <c r="BB1539" s="270" t="str">
        <f>IF(Table1[[#This Row],[Data de Início]]="","",MONTH(Table1[[#This Row],[Data de Início]]))</f>
        <v/>
      </c>
      <c r="BC1539" s="483"/>
    </row>
    <row r="1540" spans="2:55" x14ac:dyDescent="0.25">
      <c r="B1540" s="470"/>
      <c r="C1540" s="263"/>
      <c r="D1540" s="477" cm="1">
        <f t="array" ref="D1540">IFERROR(HorasUteisFabrica2Turnos(B1540,C1540), "")</f>
        <v>0</v>
      </c>
      <c r="E1540" s="478" t="str">
        <f t="shared" si="24"/>
        <v/>
      </c>
      <c r="F1540" s="266"/>
      <c r="G1540" s="656"/>
      <c r="H1540" s="479"/>
      <c r="I1540" s="268"/>
      <c r="J1540" s="268"/>
      <c r="K1540" s="268"/>
      <c r="L1540" s="269"/>
      <c r="M1540" s="511" t="str">
        <f>IFERROR(INDEX([1]Produtos!$C:$C,MATCH(L1540,[1]Produtos!$B:$B,0)), "-")</f>
        <v>-</v>
      </c>
      <c r="N1540" s="511" t="str">
        <f>IFERROR(INDEX([1]Produtos!$E:$E,MATCH(L1540,[1]Produtos!$B:$B,0)), "-")</f>
        <v>-</v>
      </c>
      <c r="O1540" s="483" t="str">
        <f>IFERROR(INDEX([1]Produtos!$F:$F,MATCH(L1540,[1]Produtos!$B:$B,0)), "-")</f>
        <v>-</v>
      </c>
      <c r="P1540" s="477" t="str">
        <f>IFERROR(INDEX([1]Produtos!$G:$G,MATCH(L1540,[1]Produtos!$B:$B,0)), "-")</f>
        <v>-</v>
      </c>
      <c r="Q1540" s="483" t="str">
        <f>IFERROR(INDEX([1]Produtos!$H:$H,MATCH(L1540,[1]Produtos!$B:$B,0)), "-")</f>
        <v>-</v>
      </c>
      <c r="R1540" s="483" t="str">
        <f>IFERROR(INDEX([1]Produtos!$I:$I,MATCH(L1540,[1]Produtos!$B:$B,0)), "-")</f>
        <v>-</v>
      </c>
      <c r="S1540" s="483" t="str">
        <f>IFERROR(INDEX([1]Produtos!$J:$J,MATCH(L1540,[1]Produtos!$B:$B,0)), "-")</f>
        <v>-</v>
      </c>
      <c r="T1540" s="484"/>
      <c r="U1540" s="483"/>
      <c r="V1540" s="483"/>
      <c r="W1540" s="483"/>
      <c r="X1540" s="483"/>
      <c r="Y1540" s="483"/>
      <c r="Z1540" s="483"/>
      <c r="AA1540" s="483"/>
      <c r="AB1540" s="483"/>
      <c r="AC1540" s="483"/>
      <c r="AD1540" s="483"/>
      <c r="AE1540" s="483"/>
      <c r="AF1540" s="483"/>
      <c r="AG1540" s="483"/>
      <c r="AH1540" s="483"/>
      <c r="AI1540" s="483"/>
      <c r="AJ1540" s="483"/>
      <c r="AK1540" s="483"/>
      <c r="AL1540" s="483"/>
      <c r="AM1540" s="670"/>
      <c r="AN1540" s="670"/>
      <c r="AO1540" s="711" t="str">
        <f>IF(OR(Table1[[#This Row],[Início Setup Envase]]="",Table1[[#This Row],[Final Setup Envase]]=""),"",Table1[[#This Row],[Final Setup Envase]]-Table1[[#This Row],[Início Setup Envase]])</f>
        <v/>
      </c>
      <c r="AP1540" s="670"/>
      <c r="AQ1540" s="670"/>
      <c r="AR1540" s="483"/>
      <c r="AS1540" s="483"/>
      <c r="AT1540" s="483"/>
      <c r="AU1540" s="483"/>
      <c r="AV1540" s="483"/>
      <c r="AW1540" s="483"/>
      <c r="AX1540" s="483"/>
      <c r="AY1540" s="270"/>
      <c r="AZ1540" s="270"/>
      <c r="BA1540" s="270" t="str">
        <f>IF(Table1[[#This Row],[Data de Início]]="","",YEAR(Table1[[#This Row],[Data de Início]]))</f>
        <v/>
      </c>
      <c r="BB1540" s="270" t="str">
        <f>IF(Table1[[#This Row],[Data de Início]]="","",MONTH(Table1[[#This Row],[Data de Início]]))</f>
        <v/>
      </c>
      <c r="BC1540" s="270"/>
    </row>
    <row r="1541" spans="2:55" x14ac:dyDescent="0.25">
      <c r="B1541" s="470"/>
      <c r="C1541" s="263"/>
      <c r="D1541" s="477" cm="1">
        <f t="array" ref="D1541">IFERROR(HorasUteisFabrica2Turnos(B1541,C1541), "")</f>
        <v>0</v>
      </c>
      <c r="E1541" s="697" t="str">
        <f t="shared" si="24"/>
        <v/>
      </c>
      <c r="F1541" s="266"/>
      <c r="G1541" s="698"/>
      <c r="H1541" s="266"/>
      <c r="I1541" s="268"/>
      <c r="J1541" s="268"/>
      <c r="K1541" s="268"/>
      <c r="L1541" s="269"/>
      <c r="M1541" s="510" t="str">
        <f>IFERROR(INDEX([1]Produtos!$C:$C,MATCH(L1541,[1]Produtos!$B:$B,0)), "-")</f>
        <v>-</v>
      </c>
      <c r="N1541" s="510" t="str">
        <f>IFERROR(INDEX([1]Produtos!$E:$E,MATCH(L1541,[1]Produtos!$B:$B,0)), "-")</f>
        <v>-</v>
      </c>
      <c r="O1541" s="270" t="str">
        <f>IFERROR(INDEX([1]Produtos!$F:$F,MATCH(L1541,[1]Produtos!$B:$B,0)), "-")</f>
        <v>-</v>
      </c>
      <c r="P1541" s="264" t="str">
        <f>IFERROR(INDEX([1]Produtos!$G:$G,MATCH(L1541,[1]Produtos!$B:$B,0)), "-")</f>
        <v>-</v>
      </c>
      <c r="Q1541" s="270" t="str">
        <f>IFERROR(INDEX([1]Produtos!$H:$H,MATCH(L1541,[1]Produtos!$B:$B,0)), "-")</f>
        <v>-</v>
      </c>
      <c r="R1541" s="270" t="str">
        <f>IFERROR(INDEX([1]Produtos!$I:$I,MATCH(L1541,[1]Produtos!$B:$B,0)), "-")</f>
        <v>-</v>
      </c>
      <c r="S1541" s="270" t="str">
        <f>IFERROR(INDEX([1]Produtos!$J:$J,MATCH(L1541,[1]Produtos!$B:$B,0)), "-")</f>
        <v>-</v>
      </c>
      <c r="T1541" s="475"/>
      <c r="U1541" s="270"/>
      <c r="V1541" s="270"/>
      <c r="W1541" s="270"/>
      <c r="X1541" s="270"/>
      <c r="Y1541" s="270"/>
      <c r="Z1541" s="270"/>
      <c r="AA1541" s="270"/>
      <c r="AB1541" s="270"/>
      <c r="AC1541" s="270"/>
      <c r="AD1541" s="270"/>
      <c r="AE1541" s="270"/>
      <c r="AF1541" s="270"/>
      <c r="AG1541" s="270"/>
      <c r="AH1541" s="270"/>
      <c r="AI1541" s="270"/>
      <c r="AJ1541" s="270"/>
      <c r="AK1541" s="270"/>
      <c r="AL1541" s="270"/>
      <c r="AM1541" s="663"/>
      <c r="AN1541" s="663"/>
      <c r="AO1541" s="708" t="str">
        <f>IF(OR(Table1[[#This Row],[Início Setup Envase]]="",Table1[[#This Row],[Final Setup Envase]]=""),"",Table1[[#This Row],[Final Setup Envase]]-Table1[[#This Row],[Início Setup Envase]])</f>
        <v/>
      </c>
      <c r="AP1541" s="663"/>
      <c r="AQ1541" s="663"/>
      <c r="AR1541" s="270"/>
      <c r="AS1541" s="674"/>
      <c r="AT1541" s="674"/>
      <c r="AU1541" s="270"/>
      <c r="AV1541" s="270"/>
      <c r="AW1541" s="270"/>
      <c r="AX1541" s="270"/>
      <c r="AY1541" s="270"/>
      <c r="AZ1541" s="270"/>
      <c r="BA1541" s="270" t="str">
        <f>IF(Table1[[#This Row],[Data de Início]]="","",YEAR(Table1[[#This Row],[Data de Início]]))</f>
        <v/>
      </c>
      <c r="BB1541" s="270" t="str">
        <f>IF(Table1[[#This Row],[Data de Início]]="","",MONTH(Table1[[#This Row],[Data de Início]]))</f>
        <v/>
      </c>
      <c r="BC1541" s="483"/>
    </row>
    <row r="1542" spans="2:55" x14ac:dyDescent="0.25">
      <c r="B1542" s="470"/>
      <c r="C1542" s="263"/>
      <c r="D1542" s="477" cm="1">
        <f t="array" ref="D1542">IFERROR(HorasUteisFabrica2Turnos(B1542,C1542), "")</f>
        <v>0</v>
      </c>
      <c r="E1542" s="478" t="str">
        <f t="shared" si="24"/>
        <v/>
      </c>
      <c r="F1542" s="266"/>
      <c r="G1542" s="656"/>
      <c r="H1542" s="479"/>
      <c r="I1542" s="268"/>
      <c r="J1542" s="268"/>
      <c r="K1542" s="268"/>
      <c r="L1542" s="269"/>
      <c r="M1542" s="511" t="str">
        <f>IFERROR(INDEX([1]Produtos!$C:$C,MATCH(L1542,[1]Produtos!$B:$B,0)), "-")</f>
        <v>-</v>
      </c>
      <c r="N1542" s="511" t="str">
        <f>IFERROR(INDEX([1]Produtos!$E:$E,MATCH(L1542,[1]Produtos!$B:$B,0)), "-")</f>
        <v>-</v>
      </c>
      <c r="O1542" s="483" t="str">
        <f>IFERROR(INDEX([1]Produtos!$F:$F,MATCH(L1542,[1]Produtos!$B:$B,0)), "-")</f>
        <v>-</v>
      </c>
      <c r="P1542" s="477" t="str">
        <f>IFERROR(INDEX([1]Produtos!$G:$G,MATCH(L1542,[1]Produtos!$B:$B,0)), "-")</f>
        <v>-</v>
      </c>
      <c r="Q1542" s="483" t="str">
        <f>IFERROR(INDEX([1]Produtos!$H:$H,MATCH(L1542,[1]Produtos!$B:$B,0)), "-")</f>
        <v>-</v>
      </c>
      <c r="R1542" s="483" t="str">
        <f>IFERROR(INDEX([1]Produtos!$I:$I,MATCH(L1542,[1]Produtos!$B:$B,0)), "-")</f>
        <v>-</v>
      </c>
      <c r="S1542" s="483" t="str">
        <f>IFERROR(INDEX([1]Produtos!$J:$J,MATCH(L1542,[1]Produtos!$B:$B,0)), "-")</f>
        <v>-</v>
      </c>
      <c r="T1542" s="484"/>
      <c r="U1542" s="483"/>
      <c r="V1542" s="483"/>
      <c r="W1542" s="483"/>
      <c r="X1542" s="483"/>
      <c r="Y1542" s="483"/>
      <c r="Z1542" s="483"/>
      <c r="AA1542" s="483"/>
      <c r="AB1542" s="483"/>
      <c r="AC1542" s="483"/>
      <c r="AD1542" s="483"/>
      <c r="AE1542" s="483"/>
      <c r="AF1542" s="483"/>
      <c r="AG1542" s="483"/>
      <c r="AH1542" s="483"/>
      <c r="AI1542" s="483"/>
      <c r="AJ1542" s="483"/>
      <c r="AK1542" s="483"/>
      <c r="AL1542" s="483"/>
      <c r="AM1542" s="670"/>
      <c r="AN1542" s="670"/>
      <c r="AO1542" s="711" t="str">
        <f>IF(OR(Table1[[#This Row],[Início Setup Envase]]="",Table1[[#This Row],[Final Setup Envase]]=""),"",Table1[[#This Row],[Final Setup Envase]]-Table1[[#This Row],[Início Setup Envase]])</f>
        <v/>
      </c>
      <c r="AP1542" s="670"/>
      <c r="AQ1542" s="670"/>
      <c r="AR1542" s="483"/>
      <c r="AS1542" s="483"/>
      <c r="AT1542" s="483"/>
      <c r="AU1542" s="483"/>
      <c r="AV1542" s="483"/>
      <c r="AW1542" s="483"/>
      <c r="AX1542" s="483"/>
      <c r="AY1542" s="270"/>
      <c r="AZ1542" s="270"/>
      <c r="BA1542" s="270" t="str">
        <f>IF(Table1[[#This Row],[Data de Início]]="","",YEAR(Table1[[#This Row],[Data de Início]]))</f>
        <v/>
      </c>
      <c r="BB1542" s="270" t="str">
        <f>IF(Table1[[#This Row],[Data de Início]]="","",MONTH(Table1[[#This Row],[Data de Início]]))</f>
        <v/>
      </c>
      <c r="BC1542" s="270"/>
    </row>
    <row r="1543" spans="2:55" x14ac:dyDescent="0.25">
      <c r="B1543" s="470"/>
      <c r="C1543" s="263"/>
      <c r="D1543" s="477" cm="1">
        <f t="array" ref="D1543">IFERROR(HorasUteisFabrica2Turnos(B1543,C1543), "")</f>
        <v>0</v>
      </c>
      <c r="E1543" s="697" t="str">
        <f t="shared" si="24"/>
        <v/>
      </c>
      <c r="F1543" s="266"/>
      <c r="G1543" s="698"/>
      <c r="H1543" s="266"/>
      <c r="I1543" s="268"/>
      <c r="J1543" s="268"/>
      <c r="K1543" s="268"/>
      <c r="L1543" s="269"/>
      <c r="M1543" s="510" t="str">
        <f>IFERROR(INDEX([1]Produtos!$C:$C,MATCH(L1543,[1]Produtos!$B:$B,0)), "-")</f>
        <v>-</v>
      </c>
      <c r="N1543" s="510" t="str">
        <f>IFERROR(INDEX([1]Produtos!$E:$E,MATCH(L1543,[1]Produtos!$B:$B,0)), "-")</f>
        <v>-</v>
      </c>
      <c r="O1543" s="270" t="str">
        <f>IFERROR(INDEX([1]Produtos!$F:$F,MATCH(L1543,[1]Produtos!$B:$B,0)), "-")</f>
        <v>-</v>
      </c>
      <c r="P1543" s="264" t="str">
        <f>IFERROR(INDEX([1]Produtos!$G:$G,MATCH(L1543,[1]Produtos!$B:$B,0)), "-")</f>
        <v>-</v>
      </c>
      <c r="Q1543" s="270" t="str">
        <f>IFERROR(INDEX([1]Produtos!$H:$H,MATCH(L1543,[1]Produtos!$B:$B,0)), "-")</f>
        <v>-</v>
      </c>
      <c r="R1543" s="270" t="str">
        <f>IFERROR(INDEX([1]Produtos!$I:$I,MATCH(L1543,[1]Produtos!$B:$B,0)), "-")</f>
        <v>-</v>
      </c>
      <c r="S1543" s="270" t="str">
        <f>IFERROR(INDEX([1]Produtos!$J:$J,MATCH(L1543,[1]Produtos!$B:$B,0)), "-")</f>
        <v>-</v>
      </c>
      <c r="T1543" s="475"/>
      <c r="U1543" s="270"/>
      <c r="V1543" s="270"/>
      <c r="W1543" s="270"/>
      <c r="X1543" s="270"/>
      <c r="Y1543" s="270"/>
      <c r="Z1543" s="270"/>
      <c r="AA1543" s="270"/>
      <c r="AB1543" s="270"/>
      <c r="AC1543" s="270"/>
      <c r="AD1543" s="270"/>
      <c r="AE1543" s="270"/>
      <c r="AF1543" s="270"/>
      <c r="AG1543" s="270"/>
      <c r="AH1543" s="270"/>
      <c r="AI1543" s="270"/>
      <c r="AJ1543" s="270"/>
      <c r="AK1543" s="270"/>
      <c r="AL1543" s="270"/>
      <c r="AM1543" s="663"/>
      <c r="AN1543" s="663"/>
      <c r="AO1543" s="708" t="str">
        <f>IF(OR(Table1[[#This Row],[Início Setup Envase]]="",Table1[[#This Row],[Final Setup Envase]]=""),"",Table1[[#This Row],[Final Setup Envase]]-Table1[[#This Row],[Início Setup Envase]])</f>
        <v/>
      </c>
      <c r="AP1543" s="663"/>
      <c r="AQ1543" s="663"/>
      <c r="AR1543" s="270"/>
      <c r="AS1543" s="674"/>
      <c r="AT1543" s="674"/>
      <c r="AU1543" s="270"/>
      <c r="AV1543" s="270"/>
      <c r="AW1543" s="270"/>
      <c r="AX1543" s="270"/>
      <c r="AY1543" s="270"/>
      <c r="AZ1543" s="270"/>
      <c r="BA1543" s="270" t="str">
        <f>IF(Table1[[#This Row],[Data de Início]]="","",YEAR(Table1[[#This Row],[Data de Início]]))</f>
        <v/>
      </c>
      <c r="BB1543" s="270" t="str">
        <f>IF(Table1[[#This Row],[Data de Início]]="","",MONTH(Table1[[#This Row],[Data de Início]]))</f>
        <v/>
      </c>
      <c r="BC1543" s="483"/>
    </row>
    <row r="1544" spans="2:55" x14ac:dyDescent="0.25">
      <c r="B1544" s="470"/>
      <c r="C1544" s="263"/>
      <c r="D1544" s="477" cm="1">
        <f t="array" ref="D1544">IFERROR(HorasUteisFabrica2Turnos(B1544,C1544), "")</f>
        <v>0</v>
      </c>
      <c r="E1544" s="478" t="str">
        <f t="shared" si="24"/>
        <v/>
      </c>
      <c r="F1544" s="266"/>
      <c r="G1544" s="656"/>
      <c r="H1544" s="479"/>
      <c r="I1544" s="268"/>
      <c r="J1544" s="268"/>
      <c r="K1544" s="268"/>
      <c r="L1544" s="269"/>
      <c r="M1544" s="511" t="str">
        <f>IFERROR(INDEX([1]Produtos!$C:$C,MATCH(L1544,[1]Produtos!$B:$B,0)), "-")</f>
        <v>-</v>
      </c>
      <c r="N1544" s="511" t="str">
        <f>IFERROR(INDEX([1]Produtos!$E:$E,MATCH(L1544,[1]Produtos!$B:$B,0)), "-")</f>
        <v>-</v>
      </c>
      <c r="O1544" s="483" t="str">
        <f>IFERROR(INDEX([1]Produtos!$F:$F,MATCH(L1544,[1]Produtos!$B:$B,0)), "-")</f>
        <v>-</v>
      </c>
      <c r="P1544" s="477" t="str">
        <f>IFERROR(INDEX([1]Produtos!$G:$G,MATCH(L1544,[1]Produtos!$B:$B,0)), "-")</f>
        <v>-</v>
      </c>
      <c r="Q1544" s="483" t="str">
        <f>IFERROR(INDEX([1]Produtos!$H:$H,MATCH(L1544,[1]Produtos!$B:$B,0)), "-")</f>
        <v>-</v>
      </c>
      <c r="R1544" s="483" t="str">
        <f>IFERROR(INDEX([1]Produtos!$I:$I,MATCH(L1544,[1]Produtos!$B:$B,0)), "-")</f>
        <v>-</v>
      </c>
      <c r="S1544" s="483" t="str">
        <f>IFERROR(INDEX([1]Produtos!$J:$J,MATCH(L1544,[1]Produtos!$B:$B,0)), "-")</f>
        <v>-</v>
      </c>
      <c r="T1544" s="484"/>
      <c r="U1544" s="483"/>
      <c r="V1544" s="483"/>
      <c r="W1544" s="483"/>
      <c r="X1544" s="483"/>
      <c r="Y1544" s="483"/>
      <c r="Z1544" s="483"/>
      <c r="AA1544" s="483"/>
      <c r="AB1544" s="483"/>
      <c r="AC1544" s="483"/>
      <c r="AD1544" s="483"/>
      <c r="AE1544" s="483"/>
      <c r="AF1544" s="483"/>
      <c r="AG1544" s="483"/>
      <c r="AH1544" s="483"/>
      <c r="AI1544" s="483"/>
      <c r="AJ1544" s="483"/>
      <c r="AK1544" s="483"/>
      <c r="AL1544" s="483"/>
      <c r="AM1544" s="670"/>
      <c r="AN1544" s="670"/>
      <c r="AO1544" s="711" t="str">
        <f>IF(OR(Table1[[#This Row],[Início Setup Envase]]="",Table1[[#This Row],[Final Setup Envase]]=""),"",Table1[[#This Row],[Final Setup Envase]]-Table1[[#This Row],[Início Setup Envase]])</f>
        <v/>
      </c>
      <c r="AP1544" s="670"/>
      <c r="AQ1544" s="670"/>
      <c r="AR1544" s="483"/>
      <c r="AS1544" s="483"/>
      <c r="AT1544" s="483"/>
      <c r="AU1544" s="483"/>
      <c r="AV1544" s="483"/>
      <c r="AW1544" s="483"/>
      <c r="AX1544" s="483"/>
      <c r="AY1544" s="270"/>
      <c r="AZ1544" s="270"/>
      <c r="BA1544" s="270" t="str">
        <f>IF(Table1[[#This Row],[Data de Início]]="","",YEAR(Table1[[#This Row],[Data de Início]]))</f>
        <v/>
      </c>
      <c r="BB1544" s="270" t="str">
        <f>IF(Table1[[#This Row],[Data de Início]]="","",MONTH(Table1[[#This Row],[Data de Início]]))</f>
        <v/>
      </c>
      <c r="BC1544" s="270"/>
    </row>
    <row r="1545" spans="2:55" x14ac:dyDescent="0.25">
      <c r="B1545" s="470"/>
      <c r="C1545" s="263"/>
      <c r="D1545" s="477" cm="1">
        <f t="array" ref="D1545">IFERROR(HorasUteisFabrica2Turnos(B1545,C1545), "")</f>
        <v>0</v>
      </c>
      <c r="E1545" s="697" t="str">
        <f t="shared" si="24"/>
        <v/>
      </c>
      <c r="F1545" s="266"/>
      <c r="G1545" s="698"/>
      <c r="H1545" s="266"/>
      <c r="I1545" s="268"/>
      <c r="J1545" s="268"/>
      <c r="K1545" s="268"/>
      <c r="L1545" s="269"/>
      <c r="M1545" s="510" t="str">
        <f>IFERROR(INDEX([1]Produtos!$C:$C,MATCH(L1545,[1]Produtos!$B:$B,0)), "-")</f>
        <v>-</v>
      </c>
      <c r="N1545" s="510" t="str">
        <f>IFERROR(INDEX([1]Produtos!$E:$E,MATCH(L1545,[1]Produtos!$B:$B,0)), "-")</f>
        <v>-</v>
      </c>
      <c r="O1545" s="270" t="str">
        <f>IFERROR(INDEX([1]Produtos!$F:$F,MATCH(L1545,[1]Produtos!$B:$B,0)), "-")</f>
        <v>-</v>
      </c>
      <c r="P1545" s="264" t="str">
        <f>IFERROR(INDEX([1]Produtos!$G:$G,MATCH(L1545,[1]Produtos!$B:$B,0)), "-")</f>
        <v>-</v>
      </c>
      <c r="Q1545" s="270" t="str">
        <f>IFERROR(INDEX([1]Produtos!$H:$H,MATCH(L1545,[1]Produtos!$B:$B,0)), "-")</f>
        <v>-</v>
      </c>
      <c r="R1545" s="270" t="str">
        <f>IFERROR(INDEX([1]Produtos!$I:$I,MATCH(L1545,[1]Produtos!$B:$B,0)), "-")</f>
        <v>-</v>
      </c>
      <c r="S1545" s="270" t="str">
        <f>IFERROR(INDEX([1]Produtos!$J:$J,MATCH(L1545,[1]Produtos!$B:$B,0)), "-")</f>
        <v>-</v>
      </c>
      <c r="T1545" s="475"/>
      <c r="U1545" s="270"/>
      <c r="V1545" s="270"/>
      <c r="W1545" s="270"/>
      <c r="X1545" s="270"/>
      <c r="Y1545" s="270"/>
      <c r="Z1545" s="270"/>
      <c r="AA1545" s="270"/>
      <c r="AB1545" s="270"/>
      <c r="AC1545" s="270"/>
      <c r="AD1545" s="270"/>
      <c r="AE1545" s="270"/>
      <c r="AF1545" s="270"/>
      <c r="AG1545" s="270"/>
      <c r="AH1545" s="270"/>
      <c r="AI1545" s="270"/>
      <c r="AJ1545" s="270"/>
      <c r="AK1545" s="270"/>
      <c r="AL1545" s="270"/>
      <c r="AM1545" s="663"/>
      <c r="AN1545" s="663"/>
      <c r="AO1545" s="708" t="str">
        <f>IF(OR(Table1[[#This Row],[Início Setup Envase]]="",Table1[[#This Row],[Final Setup Envase]]=""),"",Table1[[#This Row],[Final Setup Envase]]-Table1[[#This Row],[Início Setup Envase]])</f>
        <v/>
      </c>
      <c r="AP1545" s="663"/>
      <c r="AQ1545" s="663"/>
      <c r="AR1545" s="270"/>
      <c r="AS1545" s="674"/>
      <c r="AT1545" s="674"/>
      <c r="AU1545" s="270"/>
      <c r="AV1545" s="270"/>
      <c r="AW1545" s="270"/>
      <c r="AX1545" s="270"/>
      <c r="AY1545" s="270"/>
      <c r="AZ1545" s="270"/>
      <c r="BA1545" s="270" t="str">
        <f>IF(Table1[[#This Row],[Data de Início]]="","",YEAR(Table1[[#This Row],[Data de Início]]))</f>
        <v/>
      </c>
      <c r="BB1545" s="270" t="str">
        <f>IF(Table1[[#This Row],[Data de Início]]="","",MONTH(Table1[[#This Row],[Data de Início]]))</f>
        <v/>
      </c>
      <c r="BC1545" s="483"/>
    </row>
    <row r="1546" spans="2:55" x14ac:dyDescent="0.25">
      <c r="B1546" s="470"/>
      <c r="C1546" s="263"/>
      <c r="D1546" s="477" cm="1">
        <f t="array" ref="D1546">IFERROR(HorasUteisFabrica2Turnos(B1546,C1546), "")</f>
        <v>0</v>
      </c>
      <c r="E1546" s="478" t="str">
        <f t="shared" si="24"/>
        <v/>
      </c>
      <c r="F1546" s="266"/>
      <c r="G1546" s="656"/>
      <c r="H1546" s="479"/>
      <c r="I1546" s="268"/>
      <c r="J1546" s="268"/>
      <c r="K1546" s="268"/>
      <c r="L1546" s="269"/>
      <c r="M1546" s="511" t="str">
        <f>IFERROR(INDEX([1]Produtos!$C:$C,MATCH(L1546,[1]Produtos!$B:$B,0)), "-")</f>
        <v>-</v>
      </c>
      <c r="N1546" s="511" t="str">
        <f>IFERROR(INDEX([1]Produtos!$E:$E,MATCH(L1546,[1]Produtos!$B:$B,0)), "-")</f>
        <v>-</v>
      </c>
      <c r="O1546" s="483" t="str">
        <f>IFERROR(INDEX([1]Produtos!$F:$F,MATCH(L1546,[1]Produtos!$B:$B,0)), "-")</f>
        <v>-</v>
      </c>
      <c r="P1546" s="477" t="str">
        <f>IFERROR(INDEX([1]Produtos!$G:$G,MATCH(L1546,[1]Produtos!$B:$B,0)), "-")</f>
        <v>-</v>
      </c>
      <c r="Q1546" s="483" t="str">
        <f>IFERROR(INDEX([1]Produtos!$H:$H,MATCH(L1546,[1]Produtos!$B:$B,0)), "-")</f>
        <v>-</v>
      </c>
      <c r="R1546" s="483" t="str">
        <f>IFERROR(INDEX([1]Produtos!$I:$I,MATCH(L1546,[1]Produtos!$B:$B,0)), "-")</f>
        <v>-</v>
      </c>
      <c r="S1546" s="483" t="str">
        <f>IFERROR(INDEX([1]Produtos!$J:$J,MATCH(L1546,[1]Produtos!$B:$B,0)), "-")</f>
        <v>-</v>
      </c>
      <c r="T1546" s="484"/>
      <c r="U1546" s="483"/>
      <c r="V1546" s="483"/>
      <c r="W1546" s="483"/>
      <c r="X1546" s="483"/>
      <c r="Y1546" s="483"/>
      <c r="Z1546" s="483"/>
      <c r="AA1546" s="483"/>
      <c r="AB1546" s="483"/>
      <c r="AC1546" s="483"/>
      <c r="AD1546" s="483"/>
      <c r="AE1546" s="483"/>
      <c r="AF1546" s="483"/>
      <c r="AG1546" s="483"/>
      <c r="AH1546" s="483"/>
      <c r="AI1546" s="483"/>
      <c r="AJ1546" s="483"/>
      <c r="AK1546" s="483"/>
      <c r="AL1546" s="483"/>
      <c r="AM1546" s="670"/>
      <c r="AN1546" s="670"/>
      <c r="AO1546" s="711" t="str">
        <f>IF(OR(Table1[[#This Row],[Início Setup Envase]]="",Table1[[#This Row],[Final Setup Envase]]=""),"",Table1[[#This Row],[Final Setup Envase]]-Table1[[#This Row],[Início Setup Envase]])</f>
        <v/>
      </c>
      <c r="AP1546" s="670"/>
      <c r="AQ1546" s="670"/>
      <c r="AR1546" s="483"/>
      <c r="AS1546" s="483"/>
      <c r="AT1546" s="483"/>
      <c r="AU1546" s="483"/>
      <c r="AV1546" s="483"/>
      <c r="AW1546" s="483"/>
      <c r="AX1546" s="483"/>
      <c r="AY1546" s="270"/>
      <c r="AZ1546" s="270"/>
      <c r="BA1546" s="270" t="str">
        <f>IF(Table1[[#This Row],[Data de Início]]="","",YEAR(Table1[[#This Row],[Data de Início]]))</f>
        <v/>
      </c>
      <c r="BB1546" s="270" t="str">
        <f>IF(Table1[[#This Row],[Data de Início]]="","",MONTH(Table1[[#This Row],[Data de Início]]))</f>
        <v/>
      </c>
      <c r="BC1546" s="270"/>
    </row>
    <row r="1547" spans="2:55" x14ac:dyDescent="0.25">
      <c r="B1547" s="470"/>
      <c r="C1547" s="263"/>
      <c r="D1547" s="477" cm="1">
        <f t="array" ref="D1547">IFERROR(HorasUteisFabrica2Turnos(B1547,C1547), "")</f>
        <v>0</v>
      </c>
      <c r="E1547" s="697" t="str">
        <f t="shared" si="24"/>
        <v/>
      </c>
      <c r="F1547" s="266"/>
      <c r="G1547" s="698"/>
      <c r="H1547" s="266"/>
      <c r="I1547" s="268"/>
      <c r="J1547" s="268"/>
      <c r="K1547" s="268"/>
      <c r="L1547" s="269"/>
      <c r="M1547" s="510" t="str">
        <f>IFERROR(INDEX([1]Produtos!$C:$C,MATCH(L1547,[1]Produtos!$B:$B,0)), "-")</f>
        <v>-</v>
      </c>
      <c r="N1547" s="510" t="str">
        <f>IFERROR(INDEX([1]Produtos!$E:$E,MATCH(L1547,[1]Produtos!$B:$B,0)), "-")</f>
        <v>-</v>
      </c>
      <c r="O1547" s="270" t="str">
        <f>IFERROR(INDEX([1]Produtos!$F:$F,MATCH(L1547,[1]Produtos!$B:$B,0)), "-")</f>
        <v>-</v>
      </c>
      <c r="P1547" s="264" t="str">
        <f>IFERROR(INDEX([1]Produtos!$G:$G,MATCH(L1547,[1]Produtos!$B:$B,0)), "-")</f>
        <v>-</v>
      </c>
      <c r="Q1547" s="270" t="str">
        <f>IFERROR(INDEX([1]Produtos!$H:$H,MATCH(L1547,[1]Produtos!$B:$B,0)), "-")</f>
        <v>-</v>
      </c>
      <c r="R1547" s="270" t="str">
        <f>IFERROR(INDEX([1]Produtos!$I:$I,MATCH(L1547,[1]Produtos!$B:$B,0)), "-")</f>
        <v>-</v>
      </c>
      <c r="S1547" s="270" t="str">
        <f>IFERROR(INDEX([1]Produtos!$J:$J,MATCH(L1547,[1]Produtos!$B:$B,0)), "-")</f>
        <v>-</v>
      </c>
      <c r="T1547" s="475"/>
      <c r="U1547" s="270"/>
      <c r="V1547" s="270"/>
      <c r="W1547" s="270"/>
      <c r="X1547" s="270"/>
      <c r="Y1547" s="270"/>
      <c r="Z1547" s="270"/>
      <c r="AA1547" s="270"/>
      <c r="AB1547" s="270"/>
      <c r="AC1547" s="270"/>
      <c r="AD1547" s="270"/>
      <c r="AE1547" s="270"/>
      <c r="AF1547" s="270"/>
      <c r="AG1547" s="270"/>
      <c r="AH1547" s="270"/>
      <c r="AI1547" s="270"/>
      <c r="AJ1547" s="270"/>
      <c r="AK1547" s="270"/>
      <c r="AL1547" s="270"/>
      <c r="AM1547" s="663"/>
      <c r="AN1547" s="663"/>
      <c r="AO1547" s="708" t="str">
        <f>IF(OR(Table1[[#This Row],[Início Setup Envase]]="",Table1[[#This Row],[Final Setup Envase]]=""),"",Table1[[#This Row],[Final Setup Envase]]-Table1[[#This Row],[Início Setup Envase]])</f>
        <v/>
      </c>
      <c r="AP1547" s="663"/>
      <c r="AQ1547" s="663"/>
      <c r="AR1547" s="270"/>
      <c r="AS1547" s="674"/>
      <c r="AT1547" s="674"/>
      <c r="AU1547" s="270"/>
      <c r="AV1547" s="270"/>
      <c r="AW1547" s="270"/>
      <c r="AX1547" s="270"/>
      <c r="AY1547" s="270"/>
      <c r="AZ1547" s="270"/>
      <c r="BA1547" s="270" t="str">
        <f>IF(Table1[[#This Row],[Data de Início]]="","",YEAR(Table1[[#This Row],[Data de Início]]))</f>
        <v/>
      </c>
      <c r="BB1547" s="270" t="str">
        <f>IF(Table1[[#This Row],[Data de Início]]="","",MONTH(Table1[[#This Row],[Data de Início]]))</f>
        <v/>
      </c>
      <c r="BC1547" s="483"/>
    </row>
    <row r="1548" spans="2:55" x14ac:dyDescent="0.25">
      <c r="B1548" s="470"/>
      <c r="C1548" s="263"/>
      <c r="D1548" s="477" cm="1">
        <f t="array" ref="D1548">IFERROR(HorasUteisFabrica2Turnos(B1548,C1548), "")</f>
        <v>0</v>
      </c>
      <c r="E1548" s="478" t="str">
        <f t="shared" si="24"/>
        <v/>
      </c>
      <c r="F1548" s="266"/>
      <c r="G1548" s="656"/>
      <c r="H1548" s="479"/>
      <c r="I1548" s="268"/>
      <c r="J1548" s="268"/>
      <c r="K1548" s="268"/>
      <c r="L1548" s="269"/>
      <c r="M1548" s="511" t="str">
        <f>IFERROR(INDEX([1]Produtos!$C:$C,MATCH(L1548,[1]Produtos!$B:$B,0)), "-")</f>
        <v>-</v>
      </c>
      <c r="N1548" s="511" t="str">
        <f>IFERROR(INDEX([1]Produtos!$E:$E,MATCH(L1548,[1]Produtos!$B:$B,0)), "-")</f>
        <v>-</v>
      </c>
      <c r="O1548" s="483" t="str">
        <f>IFERROR(INDEX([1]Produtos!$F:$F,MATCH(L1548,[1]Produtos!$B:$B,0)), "-")</f>
        <v>-</v>
      </c>
      <c r="P1548" s="477" t="str">
        <f>IFERROR(INDEX([1]Produtos!$G:$G,MATCH(L1548,[1]Produtos!$B:$B,0)), "-")</f>
        <v>-</v>
      </c>
      <c r="Q1548" s="483" t="str">
        <f>IFERROR(INDEX([1]Produtos!$H:$H,MATCH(L1548,[1]Produtos!$B:$B,0)), "-")</f>
        <v>-</v>
      </c>
      <c r="R1548" s="483" t="str">
        <f>IFERROR(INDEX([1]Produtos!$I:$I,MATCH(L1548,[1]Produtos!$B:$B,0)), "-")</f>
        <v>-</v>
      </c>
      <c r="S1548" s="483" t="str">
        <f>IFERROR(INDEX([1]Produtos!$J:$J,MATCH(L1548,[1]Produtos!$B:$B,0)), "-")</f>
        <v>-</v>
      </c>
      <c r="T1548" s="484"/>
      <c r="U1548" s="483"/>
      <c r="V1548" s="483"/>
      <c r="W1548" s="483"/>
      <c r="X1548" s="483"/>
      <c r="Y1548" s="483"/>
      <c r="Z1548" s="483"/>
      <c r="AA1548" s="483"/>
      <c r="AB1548" s="483"/>
      <c r="AC1548" s="483"/>
      <c r="AD1548" s="483"/>
      <c r="AE1548" s="483"/>
      <c r="AF1548" s="483"/>
      <c r="AG1548" s="483"/>
      <c r="AH1548" s="483"/>
      <c r="AI1548" s="483"/>
      <c r="AJ1548" s="483"/>
      <c r="AK1548" s="483"/>
      <c r="AL1548" s="483"/>
      <c r="AM1548" s="670"/>
      <c r="AN1548" s="670"/>
      <c r="AO1548" s="711" t="str">
        <f>IF(OR(Table1[[#This Row],[Início Setup Envase]]="",Table1[[#This Row],[Final Setup Envase]]=""),"",Table1[[#This Row],[Final Setup Envase]]-Table1[[#This Row],[Início Setup Envase]])</f>
        <v/>
      </c>
      <c r="AP1548" s="670"/>
      <c r="AQ1548" s="670"/>
      <c r="AR1548" s="483"/>
      <c r="AS1548" s="483"/>
      <c r="AT1548" s="483"/>
      <c r="AU1548" s="483"/>
      <c r="AV1548" s="483"/>
      <c r="AW1548" s="483"/>
      <c r="AX1548" s="483"/>
      <c r="AY1548" s="270"/>
      <c r="AZ1548" s="270"/>
      <c r="BA1548" s="270" t="str">
        <f>IF(Table1[[#This Row],[Data de Início]]="","",YEAR(Table1[[#This Row],[Data de Início]]))</f>
        <v/>
      </c>
      <c r="BB1548" s="270" t="str">
        <f>IF(Table1[[#This Row],[Data de Início]]="","",MONTH(Table1[[#This Row],[Data de Início]]))</f>
        <v/>
      </c>
      <c r="BC1548" s="270"/>
    </row>
    <row r="1549" spans="2:55" x14ac:dyDescent="0.25">
      <c r="B1549" s="470"/>
      <c r="C1549" s="263"/>
      <c r="D1549" s="477" cm="1">
        <f t="array" ref="D1549">IFERROR(HorasUteisFabrica2Turnos(B1549,C1549), "")</f>
        <v>0</v>
      </c>
      <c r="E1549" s="697" t="str">
        <f t="shared" si="24"/>
        <v/>
      </c>
      <c r="F1549" s="266"/>
      <c r="G1549" s="698"/>
      <c r="H1549" s="266"/>
      <c r="I1549" s="268"/>
      <c r="J1549" s="268"/>
      <c r="K1549" s="268"/>
      <c r="L1549" s="269"/>
      <c r="M1549" s="510" t="str">
        <f>IFERROR(INDEX([1]Produtos!$C:$C,MATCH(L1549,[1]Produtos!$B:$B,0)), "-")</f>
        <v>-</v>
      </c>
      <c r="N1549" s="510" t="str">
        <f>IFERROR(INDEX([1]Produtos!$E:$E,MATCH(L1549,[1]Produtos!$B:$B,0)), "-")</f>
        <v>-</v>
      </c>
      <c r="O1549" s="270" t="str">
        <f>IFERROR(INDEX([1]Produtos!$F:$F,MATCH(L1549,[1]Produtos!$B:$B,0)), "-")</f>
        <v>-</v>
      </c>
      <c r="P1549" s="264" t="str">
        <f>IFERROR(INDEX([1]Produtos!$G:$G,MATCH(L1549,[1]Produtos!$B:$B,0)), "-")</f>
        <v>-</v>
      </c>
      <c r="Q1549" s="270" t="str">
        <f>IFERROR(INDEX([1]Produtos!$H:$H,MATCH(L1549,[1]Produtos!$B:$B,0)), "-")</f>
        <v>-</v>
      </c>
      <c r="R1549" s="270" t="str">
        <f>IFERROR(INDEX([1]Produtos!$I:$I,MATCH(L1549,[1]Produtos!$B:$B,0)), "-")</f>
        <v>-</v>
      </c>
      <c r="S1549" s="270" t="str">
        <f>IFERROR(INDEX([1]Produtos!$J:$J,MATCH(L1549,[1]Produtos!$B:$B,0)), "-")</f>
        <v>-</v>
      </c>
      <c r="T1549" s="475"/>
      <c r="U1549" s="270"/>
      <c r="V1549" s="270"/>
      <c r="W1549" s="270"/>
      <c r="X1549" s="270"/>
      <c r="Y1549" s="270"/>
      <c r="Z1549" s="270"/>
      <c r="AA1549" s="270"/>
      <c r="AB1549" s="270"/>
      <c r="AC1549" s="270"/>
      <c r="AD1549" s="270"/>
      <c r="AE1549" s="270"/>
      <c r="AF1549" s="270"/>
      <c r="AG1549" s="270"/>
      <c r="AH1549" s="270"/>
      <c r="AI1549" s="270"/>
      <c r="AJ1549" s="270"/>
      <c r="AK1549" s="270"/>
      <c r="AL1549" s="270"/>
      <c r="AM1549" s="663"/>
      <c r="AN1549" s="663"/>
      <c r="AO1549" s="708" t="str">
        <f>IF(OR(Table1[[#This Row],[Início Setup Envase]]="",Table1[[#This Row],[Final Setup Envase]]=""),"",Table1[[#This Row],[Final Setup Envase]]-Table1[[#This Row],[Início Setup Envase]])</f>
        <v/>
      </c>
      <c r="AP1549" s="663"/>
      <c r="AQ1549" s="663"/>
      <c r="AR1549" s="270"/>
      <c r="AS1549" s="674"/>
      <c r="AT1549" s="674"/>
      <c r="AU1549" s="270"/>
      <c r="AV1549" s="270"/>
      <c r="AW1549" s="270"/>
      <c r="AX1549" s="270"/>
      <c r="AY1549" s="270"/>
      <c r="AZ1549" s="270"/>
      <c r="BA1549" s="270" t="str">
        <f>IF(Table1[[#This Row],[Data de Início]]="","",YEAR(Table1[[#This Row],[Data de Início]]))</f>
        <v/>
      </c>
      <c r="BB1549" s="270" t="str">
        <f>IF(Table1[[#This Row],[Data de Início]]="","",MONTH(Table1[[#This Row],[Data de Início]]))</f>
        <v/>
      </c>
      <c r="BC1549" s="483"/>
    </row>
    <row r="1550" spans="2:55" x14ac:dyDescent="0.25">
      <c r="B1550" s="470"/>
      <c r="C1550" s="263"/>
      <c r="D1550" s="477" cm="1">
        <f t="array" ref="D1550">IFERROR(HorasUteisFabrica2Turnos(B1550,C1550), "")</f>
        <v>0</v>
      </c>
      <c r="E1550" s="478" t="str">
        <f t="shared" si="24"/>
        <v/>
      </c>
      <c r="F1550" s="266"/>
      <c r="G1550" s="656"/>
      <c r="H1550" s="479"/>
      <c r="I1550" s="268"/>
      <c r="J1550" s="268"/>
      <c r="K1550" s="268"/>
      <c r="L1550" s="269"/>
      <c r="M1550" s="511" t="str">
        <f>IFERROR(INDEX([1]Produtos!$C:$C,MATCH(L1550,[1]Produtos!$B:$B,0)), "-")</f>
        <v>-</v>
      </c>
      <c r="N1550" s="511" t="str">
        <f>IFERROR(INDEX([1]Produtos!$E:$E,MATCH(L1550,[1]Produtos!$B:$B,0)), "-")</f>
        <v>-</v>
      </c>
      <c r="O1550" s="483" t="str">
        <f>IFERROR(INDEX([1]Produtos!$F:$F,MATCH(L1550,[1]Produtos!$B:$B,0)), "-")</f>
        <v>-</v>
      </c>
      <c r="P1550" s="477" t="str">
        <f>IFERROR(INDEX([1]Produtos!$G:$G,MATCH(L1550,[1]Produtos!$B:$B,0)), "-")</f>
        <v>-</v>
      </c>
      <c r="Q1550" s="483" t="str">
        <f>IFERROR(INDEX([1]Produtos!$H:$H,MATCH(L1550,[1]Produtos!$B:$B,0)), "-")</f>
        <v>-</v>
      </c>
      <c r="R1550" s="483" t="str">
        <f>IFERROR(INDEX([1]Produtos!$I:$I,MATCH(L1550,[1]Produtos!$B:$B,0)), "-")</f>
        <v>-</v>
      </c>
      <c r="S1550" s="483" t="str">
        <f>IFERROR(INDEX([1]Produtos!$J:$J,MATCH(L1550,[1]Produtos!$B:$B,0)), "-")</f>
        <v>-</v>
      </c>
      <c r="T1550" s="484"/>
      <c r="U1550" s="483"/>
      <c r="V1550" s="483"/>
      <c r="W1550" s="483"/>
      <c r="X1550" s="483"/>
      <c r="Y1550" s="483"/>
      <c r="Z1550" s="483"/>
      <c r="AA1550" s="483"/>
      <c r="AB1550" s="483"/>
      <c r="AC1550" s="483"/>
      <c r="AD1550" s="483"/>
      <c r="AE1550" s="483"/>
      <c r="AF1550" s="483"/>
      <c r="AG1550" s="483"/>
      <c r="AH1550" s="483"/>
      <c r="AI1550" s="483"/>
      <c r="AJ1550" s="483"/>
      <c r="AK1550" s="483"/>
      <c r="AL1550" s="483"/>
      <c r="AM1550" s="670"/>
      <c r="AN1550" s="670"/>
      <c r="AO1550" s="711" t="str">
        <f>IF(OR(Table1[[#This Row],[Início Setup Envase]]="",Table1[[#This Row],[Final Setup Envase]]=""),"",Table1[[#This Row],[Final Setup Envase]]-Table1[[#This Row],[Início Setup Envase]])</f>
        <v/>
      </c>
      <c r="AP1550" s="670"/>
      <c r="AQ1550" s="670"/>
      <c r="AR1550" s="483"/>
      <c r="AS1550" s="483"/>
      <c r="AT1550" s="483"/>
      <c r="AU1550" s="483"/>
      <c r="AV1550" s="483"/>
      <c r="AW1550" s="483"/>
      <c r="AX1550" s="483"/>
      <c r="AY1550" s="270"/>
      <c r="AZ1550" s="270"/>
      <c r="BA1550" s="270" t="str">
        <f>IF(Table1[[#This Row],[Data de Início]]="","",YEAR(Table1[[#This Row],[Data de Início]]))</f>
        <v/>
      </c>
      <c r="BB1550" s="270" t="str">
        <f>IF(Table1[[#This Row],[Data de Início]]="","",MONTH(Table1[[#This Row],[Data de Início]]))</f>
        <v/>
      </c>
      <c r="BC1550" s="270"/>
    </row>
    <row r="1551" spans="2:55" x14ac:dyDescent="0.25">
      <c r="B1551" s="470"/>
      <c r="C1551" s="263"/>
      <c r="D1551" s="477" cm="1">
        <f t="array" ref="D1551">IFERROR(HorasUteisFabrica2Turnos(B1551,C1551), "")</f>
        <v>0</v>
      </c>
      <c r="E1551" s="697" t="str">
        <f t="shared" si="24"/>
        <v/>
      </c>
      <c r="F1551" s="266"/>
      <c r="G1551" s="698"/>
      <c r="H1551" s="266"/>
      <c r="I1551" s="268"/>
      <c r="J1551" s="268"/>
      <c r="K1551" s="268"/>
      <c r="L1551" s="269"/>
      <c r="M1551" s="510" t="str">
        <f>IFERROR(INDEX([1]Produtos!$C:$C,MATCH(L1551,[1]Produtos!$B:$B,0)), "-")</f>
        <v>-</v>
      </c>
      <c r="N1551" s="510" t="str">
        <f>IFERROR(INDEX([1]Produtos!$E:$E,MATCH(L1551,[1]Produtos!$B:$B,0)), "-")</f>
        <v>-</v>
      </c>
      <c r="O1551" s="270" t="str">
        <f>IFERROR(INDEX([1]Produtos!$F:$F,MATCH(L1551,[1]Produtos!$B:$B,0)), "-")</f>
        <v>-</v>
      </c>
      <c r="P1551" s="264" t="str">
        <f>IFERROR(INDEX([1]Produtos!$G:$G,MATCH(L1551,[1]Produtos!$B:$B,0)), "-")</f>
        <v>-</v>
      </c>
      <c r="Q1551" s="270" t="str">
        <f>IFERROR(INDEX([1]Produtos!$H:$H,MATCH(L1551,[1]Produtos!$B:$B,0)), "-")</f>
        <v>-</v>
      </c>
      <c r="R1551" s="270" t="str">
        <f>IFERROR(INDEX([1]Produtos!$I:$I,MATCH(L1551,[1]Produtos!$B:$B,0)), "-")</f>
        <v>-</v>
      </c>
      <c r="S1551" s="270" t="str">
        <f>IFERROR(INDEX([1]Produtos!$J:$J,MATCH(L1551,[1]Produtos!$B:$B,0)), "-")</f>
        <v>-</v>
      </c>
      <c r="T1551" s="475"/>
      <c r="U1551" s="270"/>
      <c r="V1551" s="270"/>
      <c r="W1551" s="270"/>
      <c r="X1551" s="270"/>
      <c r="Y1551" s="270"/>
      <c r="Z1551" s="270"/>
      <c r="AA1551" s="270"/>
      <c r="AB1551" s="270"/>
      <c r="AC1551" s="270"/>
      <c r="AD1551" s="270"/>
      <c r="AE1551" s="270"/>
      <c r="AF1551" s="270"/>
      <c r="AG1551" s="270"/>
      <c r="AH1551" s="270"/>
      <c r="AI1551" s="270"/>
      <c r="AJ1551" s="270"/>
      <c r="AK1551" s="270"/>
      <c r="AL1551" s="270"/>
      <c r="AM1551" s="663"/>
      <c r="AN1551" s="663"/>
      <c r="AO1551" s="708" t="str">
        <f>IF(OR(Table1[[#This Row],[Início Setup Envase]]="",Table1[[#This Row],[Final Setup Envase]]=""),"",Table1[[#This Row],[Final Setup Envase]]-Table1[[#This Row],[Início Setup Envase]])</f>
        <v/>
      </c>
      <c r="AP1551" s="663"/>
      <c r="AQ1551" s="663"/>
      <c r="AR1551" s="270"/>
      <c r="AS1551" s="674"/>
      <c r="AT1551" s="674"/>
      <c r="AU1551" s="270"/>
      <c r="AV1551" s="270"/>
      <c r="AW1551" s="270"/>
      <c r="AX1551" s="270"/>
      <c r="AY1551" s="270"/>
      <c r="AZ1551" s="270"/>
      <c r="BA1551" s="270" t="str">
        <f>IF(Table1[[#This Row],[Data de Início]]="","",YEAR(Table1[[#This Row],[Data de Início]]))</f>
        <v/>
      </c>
      <c r="BB1551" s="270" t="str">
        <f>IF(Table1[[#This Row],[Data de Início]]="","",MONTH(Table1[[#This Row],[Data de Início]]))</f>
        <v/>
      </c>
      <c r="BC1551" s="483"/>
    </row>
    <row r="1552" spans="2:55" x14ac:dyDescent="0.25">
      <c r="B1552" s="470"/>
      <c r="C1552" s="263"/>
      <c r="D1552" s="477" cm="1">
        <f t="array" ref="D1552">IFERROR(HorasUteisFabrica2Turnos(B1552,C1552), "")</f>
        <v>0</v>
      </c>
      <c r="E1552" s="478" t="str">
        <f t="shared" si="24"/>
        <v/>
      </c>
      <c r="F1552" s="266"/>
      <c r="G1552" s="656"/>
      <c r="H1552" s="479"/>
      <c r="I1552" s="268"/>
      <c r="J1552" s="268"/>
      <c r="K1552" s="268"/>
      <c r="L1552" s="269"/>
      <c r="M1552" s="511" t="str">
        <f>IFERROR(INDEX([1]Produtos!$C:$C,MATCH(L1552,[1]Produtos!$B:$B,0)), "-")</f>
        <v>-</v>
      </c>
      <c r="N1552" s="511" t="str">
        <f>IFERROR(INDEX([1]Produtos!$E:$E,MATCH(L1552,[1]Produtos!$B:$B,0)), "-")</f>
        <v>-</v>
      </c>
      <c r="O1552" s="483" t="str">
        <f>IFERROR(INDEX([1]Produtos!$F:$F,MATCH(L1552,[1]Produtos!$B:$B,0)), "-")</f>
        <v>-</v>
      </c>
      <c r="P1552" s="477" t="str">
        <f>IFERROR(INDEX([1]Produtos!$G:$G,MATCH(L1552,[1]Produtos!$B:$B,0)), "-")</f>
        <v>-</v>
      </c>
      <c r="Q1552" s="483" t="str">
        <f>IFERROR(INDEX([1]Produtos!$H:$H,MATCH(L1552,[1]Produtos!$B:$B,0)), "-")</f>
        <v>-</v>
      </c>
      <c r="R1552" s="483" t="str">
        <f>IFERROR(INDEX([1]Produtos!$I:$I,MATCH(L1552,[1]Produtos!$B:$B,0)), "-")</f>
        <v>-</v>
      </c>
      <c r="S1552" s="483" t="str">
        <f>IFERROR(INDEX([1]Produtos!$J:$J,MATCH(L1552,[1]Produtos!$B:$B,0)), "-")</f>
        <v>-</v>
      </c>
      <c r="T1552" s="484"/>
      <c r="U1552" s="483"/>
      <c r="V1552" s="483"/>
      <c r="W1552" s="483"/>
      <c r="X1552" s="483"/>
      <c r="Y1552" s="483"/>
      <c r="Z1552" s="483"/>
      <c r="AA1552" s="483"/>
      <c r="AB1552" s="483"/>
      <c r="AC1552" s="483"/>
      <c r="AD1552" s="483"/>
      <c r="AE1552" s="483"/>
      <c r="AF1552" s="483"/>
      <c r="AG1552" s="483"/>
      <c r="AH1552" s="483"/>
      <c r="AI1552" s="483"/>
      <c r="AJ1552" s="483"/>
      <c r="AK1552" s="483"/>
      <c r="AL1552" s="483"/>
      <c r="AM1552" s="670"/>
      <c r="AN1552" s="670"/>
      <c r="AO1552" s="711" t="str">
        <f>IF(OR(Table1[[#This Row],[Início Setup Envase]]="",Table1[[#This Row],[Final Setup Envase]]=""),"",Table1[[#This Row],[Final Setup Envase]]-Table1[[#This Row],[Início Setup Envase]])</f>
        <v/>
      </c>
      <c r="AP1552" s="670"/>
      <c r="AQ1552" s="670"/>
      <c r="AR1552" s="483"/>
      <c r="AS1552" s="483"/>
      <c r="AT1552" s="483"/>
      <c r="AU1552" s="483"/>
      <c r="AV1552" s="483"/>
      <c r="AW1552" s="483"/>
      <c r="AX1552" s="483"/>
      <c r="AY1552" s="270"/>
      <c r="AZ1552" s="270"/>
      <c r="BA1552" s="270" t="str">
        <f>IF(Table1[[#This Row],[Data de Início]]="","",YEAR(Table1[[#This Row],[Data de Início]]))</f>
        <v/>
      </c>
      <c r="BB1552" s="270" t="str">
        <f>IF(Table1[[#This Row],[Data de Início]]="","",MONTH(Table1[[#This Row],[Data de Início]]))</f>
        <v/>
      </c>
      <c r="BC1552" s="270"/>
    </row>
    <row r="1553" spans="2:55" x14ac:dyDescent="0.25">
      <c r="B1553" s="470"/>
      <c r="C1553" s="263"/>
      <c r="D1553" s="477" cm="1">
        <f t="array" ref="D1553">IFERROR(HorasUteisFabrica2Turnos(B1553,C1553), "")</f>
        <v>0</v>
      </c>
      <c r="E1553" s="697" t="str">
        <f t="shared" si="24"/>
        <v/>
      </c>
      <c r="F1553" s="266"/>
      <c r="G1553" s="698"/>
      <c r="H1553" s="266"/>
      <c r="I1553" s="268"/>
      <c r="J1553" s="268"/>
      <c r="K1553" s="268"/>
      <c r="L1553" s="269"/>
      <c r="M1553" s="510" t="str">
        <f>IFERROR(INDEX([1]Produtos!$C:$C,MATCH(L1553,[1]Produtos!$B:$B,0)), "-")</f>
        <v>-</v>
      </c>
      <c r="N1553" s="510" t="str">
        <f>IFERROR(INDEX([1]Produtos!$E:$E,MATCH(L1553,[1]Produtos!$B:$B,0)), "-")</f>
        <v>-</v>
      </c>
      <c r="O1553" s="270" t="str">
        <f>IFERROR(INDEX([1]Produtos!$F:$F,MATCH(L1553,[1]Produtos!$B:$B,0)), "-")</f>
        <v>-</v>
      </c>
      <c r="P1553" s="264" t="str">
        <f>IFERROR(INDEX([1]Produtos!$G:$G,MATCH(L1553,[1]Produtos!$B:$B,0)), "-")</f>
        <v>-</v>
      </c>
      <c r="Q1553" s="270" t="str">
        <f>IFERROR(INDEX([1]Produtos!$H:$H,MATCH(L1553,[1]Produtos!$B:$B,0)), "-")</f>
        <v>-</v>
      </c>
      <c r="R1553" s="270" t="str">
        <f>IFERROR(INDEX([1]Produtos!$I:$I,MATCH(L1553,[1]Produtos!$B:$B,0)), "-")</f>
        <v>-</v>
      </c>
      <c r="S1553" s="270" t="str">
        <f>IFERROR(INDEX([1]Produtos!$J:$J,MATCH(L1553,[1]Produtos!$B:$B,0)), "-")</f>
        <v>-</v>
      </c>
      <c r="T1553" s="475"/>
      <c r="U1553" s="270"/>
      <c r="V1553" s="270"/>
      <c r="W1553" s="270"/>
      <c r="X1553" s="270"/>
      <c r="Y1553" s="270"/>
      <c r="Z1553" s="270"/>
      <c r="AA1553" s="270"/>
      <c r="AB1553" s="270"/>
      <c r="AC1553" s="270"/>
      <c r="AD1553" s="270"/>
      <c r="AE1553" s="270"/>
      <c r="AF1553" s="270"/>
      <c r="AG1553" s="270"/>
      <c r="AH1553" s="270"/>
      <c r="AI1553" s="270"/>
      <c r="AJ1553" s="270"/>
      <c r="AK1553" s="270"/>
      <c r="AL1553" s="270"/>
      <c r="AM1553" s="663"/>
      <c r="AN1553" s="663"/>
      <c r="AO1553" s="708" t="str">
        <f>IF(OR(Table1[[#This Row],[Início Setup Envase]]="",Table1[[#This Row],[Final Setup Envase]]=""),"",Table1[[#This Row],[Final Setup Envase]]-Table1[[#This Row],[Início Setup Envase]])</f>
        <v/>
      </c>
      <c r="AP1553" s="663"/>
      <c r="AQ1553" s="663"/>
      <c r="AR1553" s="270"/>
      <c r="AS1553" s="674"/>
      <c r="AT1553" s="674"/>
      <c r="AU1553" s="270"/>
      <c r="AV1553" s="270"/>
      <c r="AW1553" s="270"/>
      <c r="AX1553" s="270"/>
      <c r="AY1553" s="270"/>
      <c r="AZ1553" s="270"/>
      <c r="BA1553" s="270" t="str">
        <f>IF(Table1[[#This Row],[Data de Início]]="","",YEAR(Table1[[#This Row],[Data de Início]]))</f>
        <v/>
      </c>
      <c r="BB1553" s="270" t="str">
        <f>IF(Table1[[#This Row],[Data de Início]]="","",MONTH(Table1[[#This Row],[Data de Início]]))</f>
        <v/>
      </c>
      <c r="BC1553" s="483"/>
    </row>
    <row r="1554" spans="2:55" x14ac:dyDescent="0.25">
      <c r="B1554" s="470"/>
      <c r="C1554" s="263"/>
      <c r="D1554" s="477" cm="1">
        <f t="array" ref="D1554">IFERROR(HorasUteisFabrica2Turnos(B1554,C1554), "")</f>
        <v>0</v>
      </c>
      <c r="E1554" s="478" t="str">
        <f t="shared" si="24"/>
        <v/>
      </c>
      <c r="F1554" s="266"/>
      <c r="G1554" s="656"/>
      <c r="H1554" s="479"/>
      <c r="I1554" s="268"/>
      <c r="J1554" s="268"/>
      <c r="K1554" s="268"/>
      <c r="L1554" s="269"/>
      <c r="M1554" s="511" t="str">
        <f>IFERROR(INDEX([1]Produtos!$C:$C,MATCH(L1554,[1]Produtos!$B:$B,0)), "-")</f>
        <v>-</v>
      </c>
      <c r="N1554" s="511" t="str">
        <f>IFERROR(INDEX([1]Produtos!$E:$E,MATCH(L1554,[1]Produtos!$B:$B,0)), "-")</f>
        <v>-</v>
      </c>
      <c r="O1554" s="483" t="str">
        <f>IFERROR(INDEX([1]Produtos!$F:$F,MATCH(L1554,[1]Produtos!$B:$B,0)), "-")</f>
        <v>-</v>
      </c>
      <c r="P1554" s="477" t="str">
        <f>IFERROR(INDEX([1]Produtos!$G:$G,MATCH(L1554,[1]Produtos!$B:$B,0)), "-")</f>
        <v>-</v>
      </c>
      <c r="Q1554" s="483" t="str">
        <f>IFERROR(INDEX([1]Produtos!$H:$H,MATCH(L1554,[1]Produtos!$B:$B,0)), "-")</f>
        <v>-</v>
      </c>
      <c r="R1554" s="483" t="str">
        <f>IFERROR(INDEX([1]Produtos!$I:$I,MATCH(L1554,[1]Produtos!$B:$B,0)), "-")</f>
        <v>-</v>
      </c>
      <c r="S1554" s="483" t="str">
        <f>IFERROR(INDEX([1]Produtos!$J:$J,MATCH(L1554,[1]Produtos!$B:$B,0)), "-")</f>
        <v>-</v>
      </c>
      <c r="T1554" s="484"/>
      <c r="U1554" s="483"/>
      <c r="V1554" s="483"/>
      <c r="W1554" s="483"/>
      <c r="X1554" s="483"/>
      <c r="Y1554" s="483"/>
      <c r="Z1554" s="483"/>
      <c r="AA1554" s="483"/>
      <c r="AB1554" s="483"/>
      <c r="AC1554" s="483"/>
      <c r="AD1554" s="483"/>
      <c r="AE1554" s="483"/>
      <c r="AF1554" s="483"/>
      <c r="AG1554" s="483"/>
      <c r="AH1554" s="483"/>
      <c r="AI1554" s="483"/>
      <c r="AJ1554" s="483"/>
      <c r="AK1554" s="483"/>
      <c r="AL1554" s="483"/>
      <c r="AM1554" s="670"/>
      <c r="AN1554" s="670"/>
      <c r="AO1554" s="711" t="str">
        <f>IF(OR(Table1[[#This Row],[Início Setup Envase]]="",Table1[[#This Row],[Final Setup Envase]]=""),"",Table1[[#This Row],[Final Setup Envase]]-Table1[[#This Row],[Início Setup Envase]])</f>
        <v/>
      </c>
      <c r="AP1554" s="670"/>
      <c r="AQ1554" s="670"/>
      <c r="AR1554" s="483"/>
      <c r="AS1554" s="483"/>
      <c r="AT1554" s="483"/>
      <c r="AU1554" s="483"/>
      <c r="AV1554" s="483"/>
      <c r="AW1554" s="483"/>
      <c r="AX1554" s="483"/>
      <c r="AY1554" s="270"/>
      <c r="AZ1554" s="270"/>
      <c r="BA1554" s="270" t="str">
        <f>IF(Table1[[#This Row],[Data de Início]]="","",YEAR(Table1[[#This Row],[Data de Início]]))</f>
        <v/>
      </c>
      <c r="BB1554" s="270" t="str">
        <f>IF(Table1[[#This Row],[Data de Início]]="","",MONTH(Table1[[#This Row],[Data de Início]]))</f>
        <v/>
      </c>
      <c r="BC1554" s="270"/>
    </row>
    <row r="1555" spans="2:55" x14ac:dyDescent="0.25">
      <c r="B1555" s="470"/>
      <c r="C1555" s="263"/>
      <c r="D1555" s="477" cm="1">
        <f t="array" ref="D1555">IFERROR(HorasUteisFabrica2Turnos(B1555,C1555), "")</f>
        <v>0</v>
      </c>
      <c r="E1555" s="697" t="str">
        <f t="shared" si="24"/>
        <v/>
      </c>
      <c r="F1555" s="266"/>
      <c r="G1555" s="698"/>
      <c r="H1555" s="266"/>
      <c r="I1555" s="268"/>
      <c r="J1555" s="268"/>
      <c r="K1555" s="268"/>
      <c r="L1555" s="269"/>
      <c r="M1555" s="510" t="str">
        <f>IFERROR(INDEX([1]Produtos!$C:$C,MATCH(L1555,[1]Produtos!$B:$B,0)), "-")</f>
        <v>-</v>
      </c>
      <c r="N1555" s="510" t="str">
        <f>IFERROR(INDEX([1]Produtos!$E:$E,MATCH(L1555,[1]Produtos!$B:$B,0)), "-")</f>
        <v>-</v>
      </c>
      <c r="O1555" s="270" t="str">
        <f>IFERROR(INDEX([1]Produtos!$F:$F,MATCH(L1555,[1]Produtos!$B:$B,0)), "-")</f>
        <v>-</v>
      </c>
      <c r="P1555" s="264" t="str">
        <f>IFERROR(INDEX([1]Produtos!$G:$G,MATCH(L1555,[1]Produtos!$B:$B,0)), "-")</f>
        <v>-</v>
      </c>
      <c r="Q1555" s="270" t="str">
        <f>IFERROR(INDEX([1]Produtos!$H:$H,MATCH(L1555,[1]Produtos!$B:$B,0)), "-")</f>
        <v>-</v>
      </c>
      <c r="R1555" s="270" t="str">
        <f>IFERROR(INDEX([1]Produtos!$I:$I,MATCH(L1555,[1]Produtos!$B:$B,0)), "-")</f>
        <v>-</v>
      </c>
      <c r="S1555" s="270" t="str">
        <f>IFERROR(INDEX([1]Produtos!$J:$J,MATCH(L1555,[1]Produtos!$B:$B,0)), "-")</f>
        <v>-</v>
      </c>
      <c r="T1555" s="475"/>
      <c r="U1555" s="270"/>
      <c r="V1555" s="270"/>
      <c r="W1555" s="270"/>
      <c r="X1555" s="270"/>
      <c r="Y1555" s="270"/>
      <c r="Z1555" s="270"/>
      <c r="AA1555" s="270"/>
      <c r="AB1555" s="270"/>
      <c r="AC1555" s="270"/>
      <c r="AD1555" s="270"/>
      <c r="AE1555" s="270"/>
      <c r="AF1555" s="270"/>
      <c r="AG1555" s="270"/>
      <c r="AH1555" s="270"/>
      <c r="AI1555" s="270"/>
      <c r="AJ1555" s="270"/>
      <c r="AK1555" s="270"/>
      <c r="AL1555" s="270"/>
      <c r="AM1555" s="663"/>
      <c r="AN1555" s="663"/>
      <c r="AO1555" s="708" t="str">
        <f>IF(OR(Table1[[#This Row],[Início Setup Envase]]="",Table1[[#This Row],[Final Setup Envase]]=""),"",Table1[[#This Row],[Final Setup Envase]]-Table1[[#This Row],[Início Setup Envase]])</f>
        <v/>
      </c>
      <c r="AP1555" s="663"/>
      <c r="AQ1555" s="663"/>
      <c r="AR1555" s="270"/>
      <c r="AS1555" s="674"/>
      <c r="AT1555" s="674"/>
      <c r="AU1555" s="270"/>
      <c r="AV1555" s="270"/>
      <c r="AW1555" s="270"/>
      <c r="AX1555" s="270"/>
      <c r="AY1555" s="270"/>
      <c r="AZ1555" s="270"/>
      <c r="BA1555" s="270" t="str">
        <f>IF(Table1[[#This Row],[Data de Início]]="","",YEAR(Table1[[#This Row],[Data de Início]]))</f>
        <v/>
      </c>
      <c r="BB1555" s="270" t="str">
        <f>IF(Table1[[#This Row],[Data de Início]]="","",MONTH(Table1[[#This Row],[Data de Início]]))</f>
        <v/>
      </c>
      <c r="BC1555" s="483"/>
    </row>
    <row r="1556" spans="2:55" x14ac:dyDescent="0.25">
      <c r="B1556" s="470"/>
      <c r="C1556" s="263"/>
      <c r="D1556" s="477" cm="1">
        <f t="array" ref="D1556">IFERROR(HorasUteisFabrica2Turnos(B1556,C1556), "")</f>
        <v>0</v>
      </c>
      <c r="E1556" s="478" t="str">
        <f t="shared" si="24"/>
        <v/>
      </c>
      <c r="F1556" s="266"/>
      <c r="G1556" s="656"/>
      <c r="H1556" s="479"/>
      <c r="I1556" s="268"/>
      <c r="J1556" s="268"/>
      <c r="K1556" s="268"/>
      <c r="L1556" s="269"/>
      <c r="M1556" s="511" t="str">
        <f>IFERROR(INDEX([1]Produtos!$C:$C,MATCH(L1556,[1]Produtos!$B:$B,0)), "-")</f>
        <v>-</v>
      </c>
      <c r="N1556" s="511" t="str">
        <f>IFERROR(INDEX([1]Produtos!$E:$E,MATCH(L1556,[1]Produtos!$B:$B,0)), "-")</f>
        <v>-</v>
      </c>
      <c r="O1556" s="483" t="str">
        <f>IFERROR(INDEX([1]Produtos!$F:$F,MATCH(L1556,[1]Produtos!$B:$B,0)), "-")</f>
        <v>-</v>
      </c>
      <c r="P1556" s="477" t="str">
        <f>IFERROR(INDEX([1]Produtos!$G:$G,MATCH(L1556,[1]Produtos!$B:$B,0)), "-")</f>
        <v>-</v>
      </c>
      <c r="Q1556" s="483" t="str">
        <f>IFERROR(INDEX([1]Produtos!$H:$H,MATCH(L1556,[1]Produtos!$B:$B,0)), "-")</f>
        <v>-</v>
      </c>
      <c r="R1556" s="483" t="str">
        <f>IFERROR(INDEX([1]Produtos!$I:$I,MATCH(L1556,[1]Produtos!$B:$B,0)), "-")</f>
        <v>-</v>
      </c>
      <c r="S1556" s="483" t="str">
        <f>IFERROR(INDEX([1]Produtos!$J:$J,MATCH(L1556,[1]Produtos!$B:$B,0)), "-")</f>
        <v>-</v>
      </c>
      <c r="T1556" s="484"/>
      <c r="U1556" s="483"/>
      <c r="V1556" s="483"/>
      <c r="W1556" s="483"/>
      <c r="X1556" s="483"/>
      <c r="Y1556" s="483"/>
      <c r="Z1556" s="483"/>
      <c r="AA1556" s="483"/>
      <c r="AB1556" s="483"/>
      <c r="AC1556" s="483"/>
      <c r="AD1556" s="483"/>
      <c r="AE1556" s="483"/>
      <c r="AF1556" s="483"/>
      <c r="AG1556" s="483"/>
      <c r="AH1556" s="483"/>
      <c r="AI1556" s="483"/>
      <c r="AJ1556" s="483"/>
      <c r="AK1556" s="483"/>
      <c r="AL1556" s="483"/>
      <c r="AM1556" s="670"/>
      <c r="AN1556" s="670"/>
      <c r="AO1556" s="711" t="str">
        <f>IF(OR(Table1[[#This Row],[Início Setup Envase]]="",Table1[[#This Row],[Final Setup Envase]]=""),"",Table1[[#This Row],[Final Setup Envase]]-Table1[[#This Row],[Início Setup Envase]])</f>
        <v/>
      </c>
      <c r="AP1556" s="670"/>
      <c r="AQ1556" s="670"/>
      <c r="AR1556" s="483"/>
      <c r="AS1556" s="483"/>
      <c r="AT1556" s="483"/>
      <c r="AU1556" s="483"/>
      <c r="AV1556" s="483"/>
      <c r="AW1556" s="483"/>
      <c r="AX1556" s="483"/>
      <c r="AY1556" s="270"/>
      <c r="AZ1556" s="270"/>
      <c r="BA1556" s="270" t="str">
        <f>IF(Table1[[#This Row],[Data de Início]]="","",YEAR(Table1[[#This Row],[Data de Início]]))</f>
        <v/>
      </c>
      <c r="BB1556" s="270" t="str">
        <f>IF(Table1[[#This Row],[Data de Início]]="","",MONTH(Table1[[#This Row],[Data de Início]]))</f>
        <v/>
      </c>
      <c r="BC1556" s="270"/>
    </row>
    <row r="1557" spans="2:55" x14ac:dyDescent="0.25">
      <c r="B1557" s="470"/>
      <c r="C1557" s="263"/>
      <c r="D1557" s="477" cm="1">
        <f t="array" ref="D1557">IFERROR(HorasUteisFabrica2Turnos(B1557,C1557), "")</f>
        <v>0</v>
      </c>
      <c r="E1557" s="697" t="str">
        <f t="shared" si="24"/>
        <v/>
      </c>
      <c r="F1557" s="266"/>
      <c r="G1557" s="698"/>
      <c r="H1557" s="266"/>
      <c r="I1557" s="268"/>
      <c r="J1557" s="268"/>
      <c r="K1557" s="268"/>
      <c r="L1557" s="269"/>
      <c r="M1557" s="510" t="str">
        <f>IFERROR(INDEX([1]Produtos!$C:$C,MATCH(L1557,[1]Produtos!$B:$B,0)), "-")</f>
        <v>-</v>
      </c>
      <c r="N1557" s="510" t="str">
        <f>IFERROR(INDEX([1]Produtos!$E:$E,MATCH(L1557,[1]Produtos!$B:$B,0)), "-")</f>
        <v>-</v>
      </c>
      <c r="O1557" s="270" t="str">
        <f>IFERROR(INDEX([1]Produtos!$F:$F,MATCH(L1557,[1]Produtos!$B:$B,0)), "-")</f>
        <v>-</v>
      </c>
      <c r="P1557" s="264" t="str">
        <f>IFERROR(INDEX([1]Produtos!$G:$G,MATCH(L1557,[1]Produtos!$B:$B,0)), "-")</f>
        <v>-</v>
      </c>
      <c r="Q1557" s="270" t="str">
        <f>IFERROR(INDEX([1]Produtos!$H:$H,MATCH(L1557,[1]Produtos!$B:$B,0)), "-")</f>
        <v>-</v>
      </c>
      <c r="R1557" s="270" t="str">
        <f>IFERROR(INDEX([1]Produtos!$I:$I,MATCH(L1557,[1]Produtos!$B:$B,0)), "-")</f>
        <v>-</v>
      </c>
      <c r="S1557" s="270" t="str">
        <f>IFERROR(INDEX([1]Produtos!$J:$J,MATCH(L1557,[1]Produtos!$B:$B,0)), "-")</f>
        <v>-</v>
      </c>
      <c r="T1557" s="475"/>
      <c r="U1557" s="270"/>
      <c r="V1557" s="270"/>
      <c r="W1557" s="270"/>
      <c r="X1557" s="270"/>
      <c r="Y1557" s="270"/>
      <c r="Z1557" s="270"/>
      <c r="AA1557" s="270"/>
      <c r="AB1557" s="270"/>
      <c r="AC1557" s="270"/>
      <c r="AD1557" s="270"/>
      <c r="AE1557" s="270"/>
      <c r="AF1557" s="270"/>
      <c r="AG1557" s="270"/>
      <c r="AH1557" s="270"/>
      <c r="AI1557" s="270"/>
      <c r="AJ1557" s="270"/>
      <c r="AK1557" s="270"/>
      <c r="AL1557" s="270"/>
      <c r="AM1557" s="663"/>
      <c r="AN1557" s="663"/>
      <c r="AO1557" s="708" t="str">
        <f>IF(OR(Table1[[#This Row],[Início Setup Envase]]="",Table1[[#This Row],[Final Setup Envase]]=""),"",Table1[[#This Row],[Final Setup Envase]]-Table1[[#This Row],[Início Setup Envase]])</f>
        <v/>
      </c>
      <c r="AP1557" s="663"/>
      <c r="AQ1557" s="663"/>
      <c r="AR1557" s="270"/>
      <c r="AS1557" s="674"/>
      <c r="AT1557" s="674"/>
      <c r="AU1557" s="270"/>
      <c r="AV1557" s="270"/>
      <c r="AW1557" s="270"/>
      <c r="AX1557" s="270"/>
      <c r="AY1557" s="270"/>
      <c r="AZ1557" s="270"/>
      <c r="BA1557" s="270" t="str">
        <f>IF(Table1[[#This Row],[Data de Início]]="","",YEAR(Table1[[#This Row],[Data de Início]]))</f>
        <v/>
      </c>
      <c r="BB1557" s="270" t="str">
        <f>IF(Table1[[#This Row],[Data de Início]]="","",MONTH(Table1[[#This Row],[Data de Início]]))</f>
        <v/>
      </c>
      <c r="BC1557" s="483"/>
    </row>
    <row r="1558" spans="2:55" x14ac:dyDescent="0.25">
      <c r="B1558" s="470"/>
      <c r="C1558" s="263"/>
      <c r="D1558" s="477" cm="1">
        <f t="array" ref="D1558">IFERROR(HorasUteisFabrica2Turnos(B1558,C1558), "")</f>
        <v>0</v>
      </c>
      <c r="E1558" s="478" t="str">
        <f t="shared" si="24"/>
        <v/>
      </c>
      <c r="F1558" s="266"/>
      <c r="G1558" s="656"/>
      <c r="H1558" s="479"/>
      <c r="I1558" s="268"/>
      <c r="J1558" s="268"/>
      <c r="K1558" s="268"/>
      <c r="L1558" s="269"/>
      <c r="M1558" s="511" t="str">
        <f>IFERROR(INDEX([1]Produtos!$C:$C,MATCH(L1558,[1]Produtos!$B:$B,0)), "-")</f>
        <v>-</v>
      </c>
      <c r="N1558" s="511" t="str">
        <f>IFERROR(INDEX([1]Produtos!$E:$E,MATCH(L1558,[1]Produtos!$B:$B,0)), "-")</f>
        <v>-</v>
      </c>
      <c r="O1558" s="483" t="str">
        <f>IFERROR(INDEX([1]Produtos!$F:$F,MATCH(L1558,[1]Produtos!$B:$B,0)), "-")</f>
        <v>-</v>
      </c>
      <c r="P1558" s="477" t="str">
        <f>IFERROR(INDEX([1]Produtos!$G:$G,MATCH(L1558,[1]Produtos!$B:$B,0)), "-")</f>
        <v>-</v>
      </c>
      <c r="Q1558" s="483" t="str">
        <f>IFERROR(INDEX([1]Produtos!$H:$H,MATCH(L1558,[1]Produtos!$B:$B,0)), "-")</f>
        <v>-</v>
      </c>
      <c r="R1558" s="483" t="str">
        <f>IFERROR(INDEX([1]Produtos!$I:$I,MATCH(L1558,[1]Produtos!$B:$B,0)), "-")</f>
        <v>-</v>
      </c>
      <c r="S1558" s="483" t="str">
        <f>IFERROR(INDEX([1]Produtos!$J:$J,MATCH(L1558,[1]Produtos!$B:$B,0)), "-")</f>
        <v>-</v>
      </c>
      <c r="T1558" s="484"/>
      <c r="U1558" s="483"/>
      <c r="V1558" s="483"/>
      <c r="W1558" s="483"/>
      <c r="X1558" s="483"/>
      <c r="Y1558" s="483"/>
      <c r="Z1558" s="483"/>
      <c r="AA1558" s="483"/>
      <c r="AB1558" s="483"/>
      <c r="AC1558" s="483"/>
      <c r="AD1558" s="483"/>
      <c r="AE1558" s="483"/>
      <c r="AF1558" s="483"/>
      <c r="AG1558" s="483"/>
      <c r="AH1558" s="483"/>
      <c r="AI1558" s="483"/>
      <c r="AJ1558" s="483"/>
      <c r="AK1558" s="483"/>
      <c r="AL1558" s="483"/>
      <c r="AM1558" s="670"/>
      <c r="AN1558" s="670"/>
      <c r="AO1558" s="711" t="str">
        <f>IF(OR(Table1[[#This Row],[Início Setup Envase]]="",Table1[[#This Row],[Final Setup Envase]]=""),"",Table1[[#This Row],[Final Setup Envase]]-Table1[[#This Row],[Início Setup Envase]])</f>
        <v/>
      </c>
      <c r="AP1558" s="670"/>
      <c r="AQ1558" s="670"/>
      <c r="AR1558" s="483"/>
      <c r="AS1558" s="483"/>
      <c r="AT1558" s="483"/>
      <c r="AU1558" s="483"/>
      <c r="AV1558" s="483"/>
      <c r="AW1558" s="483"/>
      <c r="AX1558" s="483"/>
      <c r="AY1558" s="270"/>
      <c r="AZ1558" s="270"/>
      <c r="BA1558" s="270" t="str">
        <f>IF(Table1[[#This Row],[Data de Início]]="","",YEAR(Table1[[#This Row],[Data de Início]]))</f>
        <v/>
      </c>
      <c r="BB1558" s="270" t="str">
        <f>IF(Table1[[#This Row],[Data de Início]]="","",MONTH(Table1[[#This Row],[Data de Início]]))</f>
        <v/>
      </c>
      <c r="BC1558" s="270"/>
    </row>
    <row r="1559" spans="2:55" x14ac:dyDescent="0.25">
      <c r="B1559" s="470"/>
      <c r="C1559" s="263"/>
      <c r="D1559" s="477" cm="1">
        <f t="array" ref="D1559">IFERROR(HorasUteisFabrica2Turnos(B1559,C1559), "")</f>
        <v>0</v>
      </c>
      <c r="E1559" s="697" t="str">
        <f t="shared" si="24"/>
        <v/>
      </c>
      <c r="F1559" s="266"/>
      <c r="G1559" s="698"/>
      <c r="H1559" s="266"/>
      <c r="I1559" s="268"/>
      <c r="J1559" s="268"/>
      <c r="K1559" s="268"/>
      <c r="L1559" s="269"/>
      <c r="M1559" s="510" t="str">
        <f>IFERROR(INDEX([1]Produtos!$C:$C,MATCH(L1559,[1]Produtos!$B:$B,0)), "-")</f>
        <v>-</v>
      </c>
      <c r="N1559" s="510" t="str">
        <f>IFERROR(INDEX([1]Produtos!$E:$E,MATCH(L1559,[1]Produtos!$B:$B,0)), "-")</f>
        <v>-</v>
      </c>
      <c r="O1559" s="270" t="str">
        <f>IFERROR(INDEX([1]Produtos!$F:$F,MATCH(L1559,[1]Produtos!$B:$B,0)), "-")</f>
        <v>-</v>
      </c>
      <c r="P1559" s="264" t="str">
        <f>IFERROR(INDEX([1]Produtos!$G:$G,MATCH(L1559,[1]Produtos!$B:$B,0)), "-")</f>
        <v>-</v>
      </c>
      <c r="Q1559" s="270" t="str">
        <f>IFERROR(INDEX([1]Produtos!$H:$H,MATCH(L1559,[1]Produtos!$B:$B,0)), "-")</f>
        <v>-</v>
      </c>
      <c r="R1559" s="270" t="str">
        <f>IFERROR(INDEX([1]Produtos!$I:$I,MATCH(L1559,[1]Produtos!$B:$B,0)), "-")</f>
        <v>-</v>
      </c>
      <c r="S1559" s="270" t="str">
        <f>IFERROR(INDEX([1]Produtos!$J:$J,MATCH(L1559,[1]Produtos!$B:$B,0)), "-")</f>
        <v>-</v>
      </c>
      <c r="T1559" s="475"/>
      <c r="U1559" s="270"/>
      <c r="V1559" s="270"/>
      <c r="W1559" s="270"/>
      <c r="X1559" s="270"/>
      <c r="Y1559" s="270"/>
      <c r="Z1559" s="270"/>
      <c r="AA1559" s="270"/>
      <c r="AB1559" s="270"/>
      <c r="AC1559" s="270"/>
      <c r="AD1559" s="270"/>
      <c r="AE1559" s="270"/>
      <c r="AF1559" s="270"/>
      <c r="AG1559" s="270"/>
      <c r="AH1559" s="270"/>
      <c r="AI1559" s="270"/>
      <c r="AJ1559" s="270"/>
      <c r="AK1559" s="270"/>
      <c r="AL1559" s="270"/>
      <c r="AM1559" s="663"/>
      <c r="AN1559" s="663"/>
      <c r="AO1559" s="708" t="str">
        <f>IF(OR(Table1[[#This Row],[Início Setup Envase]]="",Table1[[#This Row],[Final Setup Envase]]=""),"",Table1[[#This Row],[Final Setup Envase]]-Table1[[#This Row],[Início Setup Envase]])</f>
        <v/>
      </c>
      <c r="AP1559" s="663"/>
      <c r="AQ1559" s="663"/>
      <c r="AR1559" s="270"/>
      <c r="AS1559" s="674"/>
      <c r="AT1559" s="674"/>
      <c r="AU1559" s="270"/>
      <c r="AV1559" s="270"/>
      <c r="AW1559" s="270"/>
      <c r="AX1559" s="270"/>
      <c r="AY1559" s="270"/>
      <c r="AZ1559" s="270"/>
      <c r="BA1559" s="270" t="str">
        <f>IF(Table1[[#This Row],[Data de Início]]="","",YEAR(Table1[[#This Row],[Data de Início]]))</f>
        <v/>
      </c>
      <c r="BB1559" s="270" t="str">
        <f>IF(Table1[[#This Row],[Data de Início]]="","",MONTH(Table1[[#This Row],[Data de Início]]))</f>
        <v/>
      </c>
      <c r="BC1559" s="483"/>
    </row>
    <row r="1560" spans="2:55" x14ac:dyDescent="0.25">
      <c r="B1560" s="470"/>
      <c r="C1560" s="263"/>
      <c r="D1560" s="477" cm="1">
        <f t="array" ref="D1560">IFERROR(HorasUteisFabrica2Turnos(B1560,C1560), "")</f>
        <v>0</v>
      </c>
      <c r="E1560" s="478" t="str">
        <f t="shared" si="24"/>
        <v/>
      </c>
      <c r="F1560" s="266"/>
      <c r="G1560" s="656"/>
      <c r="H1560" s="479"/>
      <c r="I1560" s="268"/>
      <c r="J1560" s="268"/>
      <c r="K1560" s="268"/>
      <c r="L1560" s="269"/>
      <c r="M1560" s="511" t="str">
        <f>IFERROR(INDEX([1]Produtos!$C:$C,MATCH(L1560,[1]Produtos!$B:$B,0)), "-")</f>
        <v>-</v>
      </c>
      <c r="N1560" s="511" t="str">
        <f>IFERROR(INDEX([1]Produtos!$E:$E,MATCH(L1560,[1]Produtos!$B:$B,0)), "-")</f>
        <v>-</v>
      </c>
      <c r="O1560" s="483" t="str">
        <f>IFERROR(INDEX([1]Produtos!$F:$F,MATCH(L1560,[1]Produtos!$B:$B,0)), "-")</f>
        <v>-</v>
      </c>
      <c r="P1560" s="477" t="str">
        <f>IFERROR(INDEX([1]Produtos!$G:$G,MATCH(L1560,[1]Produtos!$B:$B,0)), "-")</f>
        <v>-</v>
      </c>
      <c r="Q1560" s="483" t="str">
        <f>IFERROR(INDEX([1]Produtos!$H:$H,MATCH(L1560,[1]Produtos!$B:$B,0)), "-")</f>
        <v>-</v>
      </c>
      <c r="R1560" s="483" t="str">
        <f>IFERROR(INDEX([1]Produtos!$I:$I,MATCH(L1560,[1]Produtos!$B:$B,0)), "-")</f>
        <v>-</v>
      </c>
      <c r="S1560" s="483" t="str">
        <f>IFERROR(INDEX([1]Produtos!$J:$J,MATCH(L1560,[1]Produtos!$B:$B,0)), "-")</f>
        <v>-</v>
      </c>
      <c r="T1560" s="484"/>
      <c r="U1560" s="483"/>
      <c r="V1560" s="483"/>
      <c r="W1560" s="483"/>
      <c r="X1560" s="483"/>
      <c r="Y1560" s="483"/>
      <c r="Z1560" s="483"/>
      <c r="AA1560" s="483"/>
      <c r="AB1560" s="483"/>
      <c r="AC1560" s="483"/>
      <c r="AD1560" s="483"/>
      <c r="AE1560" s="483"/>
      <c r="AF1560" s="483"/>
      <c r="AG1560" s="483"/>
      <c r="AH1560" s="483"/>
      <c r="AI1560" s="483"/>
      <c r="AJ1560" s="483"/>
      <c r="AK1560" s="483"/>
      <c r="AL1560" s="483"/>
      <c r="AM1560" s="670"/>
      <c r="AN1560" s="670"/>
      <c r="AO1560" s="711" t="str">
        <f>IF(OR(Table1[[#This Row],[Início Setup Envase]]="",Table1[[#This Row],[Final Setup Envase]]=""),"",Table1[[#This Row],[Final Setup Envase]]-Table1[[#This Row],[Início Setup Envase]])</f>
        <v/>
      </c>
      <c r="AP1560" s="670"/>
      <c r="AQ1560" s="670"/>
      <c r="AR1560" s="483"/>
      <c r="AS1560" s="483"/>
      <c r="AT1560" s="483"/>
      <c r="AU1560" s="483"/>
      <c r="AV1560" s="483"/>
      <c r="AW1560" s="483"/>
      <c r="AX1560" s="483"/>
      <c r="AY1560" s="270"/>
      <c r="AZ1560" s="270"/>
      <c r="BA1560" s="270" t="str">
        <f>IF(Table1[[#This Row],[Data de Início]]="","",YEAR(Table1[[#This Row],[Data de Início]]))</f>
        <v/>
      </c>
      <c r="BB1560" s="270" t="str">
        <f>IF(Table1[[#This Row],[Data de Início]]="","",MONTH(Table1[[#This Row],[Data de Início]]))</f>
        <v/>
      </c>
      <c r="BC1560" s="270"/>
    </row>
    <row r="1561" spans="2:55" x14ac:dyDescent="0.25">
      <c r="B1561" s="470"/>
      <c r="C1561" s="263"/>
      <c r="D1561" s="477" cm="1">
        <f t="array" ref="D1561">IFERROR(HorasUteisFabrica2Turnos(B1561,C1561), "")</f>
        <v>0</v>
      </c>
      <c r="E1561" s="697" t="str">
        <f t="shared" si="24"/>
        <v/>
      </c>
      <c r="F1561" s="266"/>
      <c r="G1561" s="698"/>
      <c r="H1561" s="266"/>
      <c r="I1561" s="268"/>
      <c r="J1561" s="268"/>
      <c r="K1561" s="268"/>
      <c r="L1561" s="269"/>
      <c r="M1561" s="510" t="str">
        <f>IFERROR(INDEX([1]Produtos!$C:$C,MATCH(L1561,[1]Produtos!$B:$B,0)), "-")</f>
        <v>-</v>
      </c>
      <c r="N1561" s="510" t="str">
        <f>IFERROR(INDEX([1]Produtos!$E:$E,MATCH(L1561,[1]Produtos!$B:$B,0)), "-")</f>
        <v>-</v>
      </c>
      <c r="O1561" s="270" t="str">
        <f>IFERROR(INDEX([1]Produtos!$F:$F,MATCH(L1561,[1]Produtos!$B:$B,0)), "-")</f>
        <v>-</v>
      </c>
      <c r="P1561" s="264" t="str">
        <f>IFERROR(INDEX([1]Produtos!$G:$G,MATCH(L1561,[1]Produtos!$B:$B,0)), "-")</f>
        <v>-</v>
      </c>
      <c r="Q1561" s="270" t="str">
        <f>IFERROR(INDEX([1]Produtos!$H:$H,MATCH(L1561,[1]Produtos!$B:$B,0)), "-")</f>
        <v>-</v>
      </c>
      <c r="R1561" s="270" t="str">
        <f>IFERROR(INDEX([1]Produtos!$I:$I,MATCH(L1561,[1]Produtos!$B:$B,0)), "-")</f>
        <v>-</v>
      </c>
      <c r="S1561" s="270" t="str">
        <f>IFERROR(INDEX([1]Produtos!$J:$J,MATCH(L1561,[1]Produtos!$B:$B,0)), "-")</f>
        <v>-</v>
      </c>
      <c r="T1561" s="475"/>
      <c r="U1561" s="270"/>
      <c r="V1561" s="270"/>
      <c r="W1561" s="270"/>
      <c r="X1561" s="270"/>
      <c r="Y1561" s="270"/>
      <c r="Z1561" s="270"/>
      <c r="AA1561" s="270"/>
      <c r="AB1561" s="270"/>
      <c r="AC1561" s="270"/>
      <c r="AD1561" s="270"/>
      <c r="AE1561" s="270"/>
      <c r="AF1561" s="270"/>
      <c r="AG1561" s="270"/>
      <c r="AH1561" s="270"/>
      <c r="AI1561" s="270"/>
      <c r="AJ1561" s="270"/>
      <c r="AK1561" s="270"/>
      <c r="AL1561" s="270"/>
      <c r="AM1561" s="663"/>
      <c r="AN1561" s="663"/>
      <c r="AO1561" s="708" t="str">
        <f>IF(OR(Table1[[#This Row],[Início Setup Envase]]="",Table1[[#This Row],[Final Setup Envase]]=""),"",Table1[[#This Row],[Final Setup Envase]]-Table1[[#This Row],[Início Setup Envase]])</f>
        <v/>
      </c>
      <c r="AP1561" s="663"/>
      <c r="AQ1561" s="663"/>
      <c r="AR1561" s="270"/>
      <c r="AS1561" s="674"/>
      <c r="AT1561" s="674"/>
      <c r="AU1561" s="270"/>
      <c r="AV1561" s="270"/>
      <c r="AW1561" s="270"/>
      <c r="AX1561" s="270"/>
      <c r="AY1561" s="270"/>
      <c r="AZ1561" s="270"/>
      <c r="BA1561" s="270" t="str">
        <f>IF(Table1[[#This Row],[Data de Início]]="","",YEAR(Table1[[#This Row],[Data de Início]]))</f>
        <v/>
      </c>
      <c r="BB1561" s="270" t="str">
        <f>IF(Table1[[#This Row],[Data de Início]]="","",MONTH(Table1[[#This Row],[Data de Início]]))</f>
        <v/>
      </c>
      <c r="BC1561" s="483"/>
    </row>
    <row r="1562" spans="2:55" x14ac:dyDescent="0.25">
      <c r="B1562" s="470"/>
      <c r="C1562" s="263"/>
      <c r="D1562" s="477" cm="1">
        <f t="array" ref="D1562">IFERROR(HorasUteisFabrica2Turnos(B1562,C1562), "")</f>
        <v>0</v>
      </c>
      <c r="E1562" s="478" t="str">
        <f t="shared" si="24"/>
        <v/>
      </c>
      <c r="F1562" s="266"/>
      <c r="G1562" s="656"/>
      <c r="H1562" s="479"/>
      <c r="I1562" s="268"/>
      <c r="J1562" s="268"/>
      <c r="K1562" s="268"/>
      <c r="L1562" s="269"/>
      <c r="M1562" s="511" t="str">
        <f>IFERROR(INDEX([1]Produtos!$C:$C,MATCH(L1562,[1]Produtos!$B:$B,0)), "-")</f>
        <v>-</v>
      </c>
      <c r="N1562" s="511" t="str">
        <f>IFERROR(INDEX([1]Produtos!$E:$E,MATCH(L1562,[1]Produtos!$B:$B,0)), "-")</f>
        <v>-</v>
      </c>
      <c r="O1562" s="483" t="str">
        <f>IFERROR(INDEX([1]Produtos!$F:$F,MATCH(L1562,[1]Produtos!$B:$B,0)), "-")</f>
        <v>-</v>
      </c>
      <c r="P1562" s="477" t="str">
        <f>IFERROR(INDEX([1]Produtos!$G:$G,MATCH(L1562,[1]Produtos!$B:$B,0)), "-")</f>
        <v>-</v>
      </c>
      <c r="Q1562" s="483" t="str">
        <f>IFERROR(INDEX([1]Produtos!$H:$H,MATCH(L1562,[1]Produtos!$B:$B,0)), "-")</f>
        <v>-</v>
      </c>
      <c r="R1562" s="483" t="str">
        <f>IFERROR(INDEX([1]Produtos!$I:$I,MATCH(L1562,[1]Produtos!$B:$B,0)), "-")</f>
        <v>-</v>
      </c>
      <c r="S1562" s="483" t="str">
        <f>IFERROR(INDEX([1]Produtos!$J:$J,MATCH(L1562,[1]Produtos!$B:$B,0)), "-")</f>
        <v>-</v>
      </c>
      <c r="T1562" s="484"/>
      <c r="U1562" s="483"/>
      <c r="V1562" s="483"/>
      <c r="W1562" s="483"/>
      <c r="X1562" s="483"/>
      <c r="Y1562" s="483"/>
      <c r="Z1562" s="483"/>
      <c r="AA1562" s="483"/>
      <c r="AB1562" s="483"/>
      <c r="AC1562" s="483"/>
      <c r="AD1562" s="483"/>
      <c r="AE1562" s="483"/>
      <c r="AF1562" s="483"/>
      <c r="AG1562" s="483"/>
      <c r="AH1562" s="483"/>
      <c r="AI1562" s="483"/>
      <c r="AJ1562" s="483"/>
      <c r="AK1562" s="483"/>
      <c r="AL1562" s="483"/>
      <c r="AM1562" s="670"/>
      <c r="AN1562" s="670"/>
      <c r="AO1562" s="711" t="str">
        <f>IF(OR(Table1[[#This Row],[Início Setup Envase]]="",Table1[[#This Row],[Final Setup Envase]]=""),"",Table1[[#This Row],[Final Setup Envase]]-Table1[[#This Row],[Início Setup Envase]])</f>
        <v/>
      </c>
      <c r="AP1562" s="670"/>
      <c r="AQ1562" s="670"/>
      <c r="AR1562" s="483"/>
      <c r="AS1562" s="483"/>
      <c r="AT1562" s="483"/>
      <c r="AU1562" s="483"/>
      <c r="AV1562" s="483"/>
      <c r="AW1562" s="483"/>
      <c r="AX1562" s="483"/>
      <c r="AY1562" s="270"/>
      <c r="AZ1562" s="270"/>
      <c r="BA1562" s="270" t="str">
        <f>IF(Table1[[#This Row],[Data de Início]]="","",YEAR(Table1[[#This Row],[Data de Início]]))</f>
        <v/>
      </c>
      <c r="BB1562" s="270" t="str">
        <f>IF(Table1[[#This Row],[Data de Início]]="","",MONTH(Table1[[#This Row],[Data de Início]]))</f>
        <v/>
      </c>
      <c r="BC1562" s="270"/>
    </row>
    <row r="1563" spans="2:55" x14ac:dyDescent="0.25">
      <c r="B1563" s="470"/>
      <c r="C1563" s="263"/>
      <c r="D1563" s="477" cm="1">
        <f t="array" ref="D1563">IFERROR(HorasUteisFabrica2Turnos(B1563,C1563), "")</f>
        <v>0</v>
      </c>
      <c r="E1563" s="697" t="str">
        <f t="shared" si="24"/>
        <v/>
      </c>
      <c r="F1563" s="266"/>
      <c r="G1563" s="698"/>
      <c r="H1563" s="266"/>
      <c r="I1563" s="268"/>
      <c r="J1563" s="268"/>
      <c r="K1563" s="268"/>
      <c r="L1563" s="269"/>
      <c r="M1563" s="510" t="str">
        <f>IFERROR(INDEX([1]Produtos!$C:$C,MATCH(L1563,[1]Produtos!$B:$B,0)), "-")</f>
        <v>-</v>
      </c>
      <c r="N1563" s="510" t="str">
        <f>IFERROR(INDEX([1]Produtos!$E:$E,MATCH(L1563,[1]Produtos!$B:$B,0)), "-")</f>
        <v>-</v>
      </c>
      <c r="O1563" s="270" t="str">
        <f>IFERROR(INDEX([1]Produtos!$F:$F,MATCH(L1563,[1]Produtos!$B:$B,0)), "-")</f>
        <v>-</v>
      </c>
      <c r="P1563" s="264" t="str">
        <f>IFERROR(INDEX([1]Produtos!$G:$G,MATCH(L1563,[1]Produtos!$B:$B,0)), "-")</f>
        <v>-</v>
      </c>
      <c r="Q1563" s="270" t="str">
        <f>IFERROR(INDEX([1]Produtos!$H:$H,MATCH(L1563,[1]Produtos!$B:$B,0)), "-")</f>
        <v>-</v>
      </c>
      <c r="R1563" s="270" t="str">
        <f>IFERROR(INDEX([1]Produtos!$I:$I,MATCH(L1563,[1]Produtos!$B:$B,0)), "-")</f>
        <v>-</v>
      </c>
      <c r="S1563" s="270" t="str">
        <f>IFERROR(INDEX([1]Produtos!$J:$J,MATCH(L1563,[1]Produtos!$B:$B,0)), "-")</f>
        <v>-</v>
      </c>
      <c r="T1563" s="475"/>
      <c r="U1563" s="270"/>
      <c r="V1563" s="270"/>
      <c r="W1563" s="270"/>
      <c r="X1563" s="270"/>
      <c r="Y1563" s="270"/>
      <c r="Z1563" s="270"/>
      <c r="AA1563" s="270"/>
      <c r="AB1563" s="270"/>
      <c r="AC1563" s="270"/>
      <c r="AD1563" s="270"/>
      <c r="AE1563" s="270"/>
      <c r="AF1563" s="270"/>
      <c r="AG1563" s="270"/>
      <c r="AH1563" s="270"/>
      <c r="AI1563" s="270"/>
      <c r="AJ1563" s="270"/>
      <c r="AK1563" s="270"/>
      <c r="AL1563" s="270"/>
      <c r="AM1563" s="663"/>
      <c r="AN1563" s="663"/>
      <c r="AO1563" s="708" t="str">
        <f>IF(OR(Table1[[#This Row],[Início Setup Envase]]="",Table1[[#This Row],[Final Setup Envase]]=""),"",Table1[[#This Row],[Final Setup Envase]]-Table1[[#This Row],[Início Setup Envase]])</f>
        <v/>
      </c>
      <c r="AP1563" s="663"/>
      <c r="AQ1563" s="663"/>
      <c r="AR1563" s="270"/>
      <c r="AS1563" s="674"/>
      <c r="AT1563" s="674"/>
      <c r="AU1563" s="270"/>
      <c r="AV1563" s="270"/>
      <c r="AW1563" s="270"/>
      <c r="AX1563" s="270"/>
      <c r="AY1563" s="270"/>
      <c r="AZ1563" s="270"/>
      <c r="BA1563" s="270" t="str">
        <f>IF(Table1[[#This Row],[Data de Início]]="","",YEAR(Table1[[#This Row],[Data de Início]]))</f>
        <v/>
      </c>
      <c r="BB1563" s="270" t="str">
        <f>IF(Table1[[#This Row],[Data de Início]]="","",MONTH(Table1[[#This Row],[Data de Início]]))</f>
        <v/>
      </c>
      <c r="BC1563" s="483"/>
    </row>
    <row r="1564" spans="2:55" x14ac:dyDescent="0.25">
      <c r="B1564" s="470"/>
      <c r="C1564" s="263"/>
      <c r="D1564" s="477" cm="1">
        <f t="array" ref="D1564">IFERROR(HorasUteisFabrica2Turnos(B1564,C1564), "")</f>
        <v>0</v>
      </c>
      <c r="E1564" s="478" t="str">
        <f t="shared" si="24"/>
        <v/>
      </c>
      <c r="F1564" s="266"/>
      <c r="G1564" s="656"/>
      <c r="H1564" s="479"/>
      <c r="I1564" s="268"/>
      <c r="J1564" s="268"/>
      <c r="K1564" s="268"/>
      <c r="L1564" s="269"/>
      <c r="M1564" s="511" t="str">
        <f>IFERROR(INDEX([1]Produtos!$C:$C,MATCH(L1564,[1]Produtos!$B:$B,0)), "-")</f>
        <v>-</v>
      </c>
      <c r="N1564" s="511" t="str">
        <f>IFERROR(INDEX([1]Produtos!$E:$E,MATCH(L1564,[1]Produtos!$B:$B,0)), "-")</f>
        <v>-</v>
      </c>
      <c r="O1564" s="483" t="str">
        <f>IFERROR(INDEX([1]Produtos!$F:$F,MATCH(L1564,[1]Produtos!$B:$B,0)), "-")</f>
        <v>-</v>
      </c>
      <c r="P1564" s="477" t="str">
        <f>IFERROR(INDEX([1]Produtos!$G:$G,MATCH(L1564,[1]Produtos!$B:$B,0)), "-")</f>
        <v>-</v>
      </c>
      <c r="Q1564" s="483" t="str">
        <f>IFERROR(INDEX([1]Produtos!$H:$H,MATCH(L1564,[1]Produtos!$B:$B,0)), "-")</f>
        <v>-</v>
      </c>
      <c r="R1564" s="483" t="str">
        <f>IFERROR(INDEX([1]Produtos!$I:$I,MATCH(L1564,[1]Produtos!$B:$B,0)), "-")</f>
        <v>-</v>
      </c>
      <c r="S1564" s="483" t="str">
        <f>IFERROR(INDEX([1]Produtos!$J:$J,MATCH(L1564,[1]Produtos!$B:$B,0)), "-")</f>
        <v>-</v>
      </c>
      <c r="T1564" s="484"/>
      <c r="U1564" s="483"/>
      <c r="V1564" s="483"/>
      <c r="W1564" s="483"/>
      <c r="X1564" s="483"/>
      <c r="Y1564" s="483"/>
      <c r="Z1564" s="483"/>
      <c r="AA1564" s="483"/>
      <c r="AB1564" s="483"/>
      <c r="AC1564" s="483"/>
      <c r="AD1564" s="483"/>
      <c r="AE1564" s="483"/>
      <c r="AF1564" s="483"/>
      <c r="AG1564" s="483"/>
      <c r="AH1564" s="483"/>
      <c r="AI1564" s="483"/>
      <c r="AJ1564" s="483"/>
      <c r="AK1564" s="483"/>
      <c r="AL1564" s="483"/>
      <c r="AM1564" s="670"/>
      <c r="AN1564" s="670"/>
      <c r="AO1564" s="711" t="str">
        <f>IF(OR(Table1[[#This Row],[Início Setup Envase]]="",Table1[[#This Row],[Final Setup Envase]]=""),"",Table1[[#This Row],[Final Setup Envase]]-Table1[[#This Row],[Início Setup Envase]])</f>
        <v/>
      </c>
      <c r="AP1564" s="670"/>
      <c r="AQ1564" s="670"/>
      <c r="AR1564" s="483"/>
      <c r="AS1564" s="483"/>
      <c r="AT1564" s="483"/>
      <c r="AU1564" s="483"/>
      <c r="AV1564" s="483"/>
      <c r="AW1564" s="483"/>
      <c r="AX1564" s="483"/>
      <c r="AY1564" s="270"/>
      <c r="AZ1564" s="270"/>
      <c r="BA1564" s="270" t="str">
        <f>IF(Table1[[#This Row],[Data de Início]]="","",YEAR(Table1[[#This Row],[Data de Início]]))</f>
        <v/>
      </c>
      <c r="BB1564" s="270" t="str">
        <f>IF(Table1[[#This Row],[Data de Início]]="","",MONTH(Table1[[#This Row],[Data de Início]]))</f>
        <v/>
      </c>
      <c r="BC1564" s="270"/>
    </row>
    <row r="1565" spans="2:55" x14ac:dyDescent="0.25">
      <c r="B1565" s="470"/>
      <c r="C1565" s="263"/>
      <c r="D1565" s="477" cm="1">
        <f t="array" ref="D1565">IFERROR(HorasUteisFabrica2Turnos(B1565,C1565), "")</f>
        <v>0</v>
      </c>
      <c r="E1565" s="697" t="str">
        <f t="shared" si="24"/>
        <v/>
      </c>
      <c r="F1565" s="266"/>
      <c r="G1565" s="698"/>
      <c r="H1565" s="266"/>
      <c r="I1565" s="268"/>
      <c r="J1565" s="268"/>
      <c r="K1565" s="268"/>
      <c r="L1565" s="269"/>
      <c r="M1565" s="510" t="str">
        <f>IFERROR(INDEX([1]Produtos!$C:$C,MATCH(L1565,[1]Produtos!$B:$B,0)), "-")</f>
        <v>-</v>
      </c>
      <c r="N1565" s="510" t="str">
        <f>IFERROR(INDEX([1]Produtos!$E:$E,MATCH(L1565,[1]Produtos!$B:$B,0)), "-")</f>
        <v>-</v>
      </c>
      <c r="O1565" s="270" t="str">
        <f>IFERROR(INDEX([1]Produtos!$F:$F,MATCH(L1565,[1]Produtos!$B:$B,0)), "-")</f>
        <v>-</v>
      </c>
      <c r="P1565" s="264" t="str">
        <f>IFERROR(INDEX([1]Produtos!$G:$G,MATCH(L1565,[1]Produtos!$B:$B,0)), "-")</f>
        <v>-</v>
      </c>
      <c r="Q1565" s="270" t="str">
        <f>IFERROR(INDEX([1]Produtos!$H:$H,MATCH(L1565,[1]Produtos!$B:$B,0)), "-")</f>
        <v>-</v>
      </c>
      <c r="R1565" s="270" t="str">
        <f>IFERROR(INDEX([1]Produtos!$I:$I,MATCH(L1565,[1]Produtos!$B:$B,0)), "-")</f>
        <v>-</v>
      </c>
      <c r="S1565" s="270" t="str">
        <f>IFERROR(INDEX([1]Produtos!$J:$J,MATCH(L1565,[1]Produtos!$B:$B,0)), "-")</f>
        <v>-</v>
      </c>
      <c r="T1565" s="475"/>
      <c r="U1565" s="270"/>
      <c r="V1565" s="270"/>
      <c r="W1565" s="270"/>
      <c r="X1565" s="270"/>
      <c r="Y1565" s="270"/>
      <c r="Z1565" s="270"/>
      <c r="AA1565" s="270"/>
      <c r="AB1565" s="270"/>
      <c r="AC1565" s="270"/>
      <c r="AD1565" s="270"/>
      <c r="AE1565" s="270"/>
      <c r="AF1565" s="270"/>
      <c r="AG1565" s="270"/>
      <c r="AH1565" s="270"/>
      <c r="AI1565" s="270"/>
      <c r="AJ1565" s="270"/>
      <c r="AK1565" s="270"/>
      <c r="AL1565" s="270"/>
      <c r="AM1565" s="663"/>
      <c r="AN1565" s="663"/>
      <c r="AO1565" s="708" t="str">
        <f>IF(OR(Table1[[#This Row],[Início Setup Envase]]="",Table1[[#This Row],[Final Setup Envase]]=""),"",Table1[[#This Row],[Final Setup Envase]]-Table1[[#This Row],[Início Setup Envase]])</f>
        <v/>
      </c>
      <c r="AP1565" s="663"/>
      <c r="AQ1565" s="663"/>
      <c r="AR1565" s="270"/>
      <c r="AS1565" s="674"/>
      <c r="AT1565" s="674"/>
      <c r="AU1565" s="270"/>
      <c r="AV1565" s="270"/>
      <c r="AW1565" s="270"/>
      <c r="AX1565" s="270"/>
      <c r="AY1565" s="270"/>
      <c r="AZ1565" s="270"/>
      <c r="BA1565" s="270" t="str">
        <f>IF(Table1[[#This Row],[Data de Início]]="","",YEAR(Table1[[#This Row],[Data de Início]]))</f>
        <v/>
      </c>
      <c r="BB1565" s="270" t="str">
        <f>IF(Table1[[#This Row],[Data de Início]]="","",MONTH(Table1[[#This Row],[Data de Início]]))</f>
        <v/>
      </c>
      <c r="BC1565" s="483"/>
    </row>
    <row r="1566" spans="2:55" x14ac:dyDescent="0.25">
      <c r="B1566" s="470"/>
      <c r="C1566" s="263"/>
      <c r="D1566" s="477" cm="1">
        <f t="array" ref="D1566">IFERROR(HorasUteisFabrica2Turnos(B1566,C1566), "")</f>
        <v>0</v>
      </c>
      <c r="E1566" s="478" t="str">
        <f t="shared" si="24"/>
        <v/>
      </c>
      <c r="F1566" s="266"/>
      <c r="G1566" s="656"/>
      <c r="H1566" s="479"/>
      <c r="I1566" s="268"/>
      <c r="J1566" s="268"/>
      <c r="K1566" s="268"/>
      <c r="L1566" s="269"/>
      <c r="M1566" s="511" t="str">
        <f>IFERROR(INDEX([1]Produtos!$C:$C,MATCH(L1566,[1]Produtos!$B:$B,0)), "-")</f>
        <v>-</v>
      </c>
      <c r="N1566" s="511" t="str">
        <f>IFERROR(INDEX([1]Produtos!$E:$E,MATCH(L1566,[1]Produtos!$B:$B,0)), "-")</f>
        <v>-</v>
      </c>
      <c r="O1566" s="483" t="str">
        <f>IFERROR(INDEX([1]Produtos!$F:$F,MATCH(L1566,[1]Produtos!$B:$B,0)), "-")</f>
        <v>-</v>
      </c>
      <c r="P1566" s="477" t="str">
        <f>IFERROR(INDEX([1]Produtos!$G:$G,MATCH(L1566,[1]Produtos!$B:$B,0)), "-")</f>
        <v>-</v>
      </c>
      <c r="Q1566" s="483" t="str">
        <f>IFERROR(INDEX([1]Produtos!$H:$H,MATCH(L1566,[1]Produtos!$B:$B,0)), "-")</f>
        <v>-</v>
      </c>
      <c r="R1566" s="483" t="str">
        <f>IFERROR(INDEX([1]Produtos!$I:$I,MATCH(L1566,[1]Produtos!$B:$B,0)), "-")</f>
        <v>-</v>
      </c>
      <c r="S1566" s="483" t="str">
        <f>IFERROR(INDEX([1]Produtos!$J:$J,MATCH(L1566,[1]Produtos!$B:$B,0)), "-")</f>
        <v>-</v>
      </c>
      <c r="T1566" s="484"/>
      <c r="U1566" s="483"/>
      <c r="V1566" s="483"/>
      <c r="W1566" s="483"/>
      <c r="X1566" s="483"/>
      <c r="Y1566" s="483"/>
      <c r="Z1566" s="483"/>
      <c r="AA1566" s="483"/>
      <c r="AB1566" s="483"/>
      <c r="AC1566" s="483"/>
      <c r="AD1566" s="483"/>
      <c r="AE1566" s="483"/>
      <c r="AF1566" s="483"/>
      <c r="AG1566" s="483"/>
      <c r="AH1566" s="483"/>
      <c r="AI1566" s="483"/>
      <c r="AJ1566" s="483"/>
      <c r="AK1566" s="483"/>
      <c r="AL1566" s="483"/>
      <c r="AM1566" s="670"/>
      <c r="AN1566" s="670"/>
      <c r="AO1566" s="711" t="str">
        <f>IF(OR(Table1[[#This Row],[Início Setup Envase]]="",Table1[[#This Row],[Final Setup Envase]]=""),"",Table1[[#This Row],[Final Setup Envase]]-Table1[[#This Row],[Início Setup Envase]])</f>
        <v/>
      </c>
      <c r="AP1566" s="670"/>
      <c r="AQ1566" s="670"/>
      <c r="AR1566" s="483"/>
      <c r="AS1566" s="483"/>
      <c r="AT1566" s="483"/>
      <c r="AU1566" s="483"/>
      <c r="AV1566" s="483"/>
      <c r="AW1566" s="483"/>
      <c r="AX1566" s="483"/>
      <c r="AY1566" s="270"/>
      <c r="AZ1566" s="270"/>
      <c r="BA1566" s="270" t="str">
        <f>IF(Table1[[#This Row],[Data de Início]]="","",YEAR(Table1[[#This Row],[Data de Início]]))</f>
        <v/>
      </c>
      <c r="BB1566" s="270" t="str">
        <f>IF(Table1[[#This Row],[Data de Início]]="","",MONTH(Table1[[#This Row],[Data de Início]]))</f>
        <v/>
      </c>
      <c r="BC1566" s="270"/>
    </row>
    <row r="1567" spans="2:55" x14ac:dyDescent="0.25">
      <c r="B1567" s="470"/>
      <c r="C1567" s="263"/>
      <c r="D1567" s="477" cm="1">
        <f t="array" ref="D1567">IFERROR(HorasUteisFabrica2Turnos(B1567,C1567), "")</f>
        <v>0</v>
      </c>
      <c r="E1567" s="697" t="str">
        <f t="shared" si="24"/>
        <v/>
      </c>
      <c r="F1567" s="266"/>
      <c r="G1567" s="698"/>
      <c r="H1567" s="266"/>
      <c r="I1567" s="268"/>
      <c r="J1567" s="268"/>
      <c r="K1567" s="268"/>
      <c r="L1567" s="269"/>
      <c r="M1567" s="510" t="str">
        <f>IFERROR(INDEX([1]Produtos!$C:$C,MATCH(L1567,[1]Produtos!$B:$B,0)), "-")</f>
        <v>-</v>
      </c>
      <c r="N1567" s="510" t="str">
        <f>IFERROR(INDEX([1]Produtos!$E:$E,MATCH(L1567,[1]Produtos!$B:$B,0)), "-")</f>
        <v>-</v>
      </c>
      <c r="O1567" s="270" t="str">
        <f>IFERROR(INDEX([1]Produtos!$F:$F,MATCH(L1567,[1]Produtos!$B:$B,0)), "-")</f>
        <v>-</v>
      </c>
      <c r="P1567" s="264" t="str">
        <f>IFERROR(INDEX([1]Produtos!$G:$G,MATCH(L1567,[1]Produtos!$B:$B,0)), "-")</f>
        <v>-</v>
      </c>
      <c r="Q1567" s="270" t="str">
        <f>IFERROR(INDEX([1]Produtos!$H:$H,MATCH(L1567,[1]Produtos!$B:$B,0)), "-")</f>
        <v>-</v>
      </c>
      <c r="R1567" s="270" t="str">
        <f>IFERROR(INDEX([1]Produtos!$I:$I,MATCH(L1567,[1]Produtos!$B:$B,0)), "-")</f>
        <v>-</v>
      </c>
      <c r="S1567" s="270" t="str">
        <f>IFERROR(INDEX([1]Produtos!$J:$J,MATCH(L1567,[1]Produtos!$B:$B,0)), "-")</f>
        <v>-</v>
      </c>
      <c r="T1567" s="475"/>
      <c r="U1567" s="270"/>
      <c r="V1567" s="270"/>
      <c r="W1567" s="270"/>
      <c r="X1567" s="270"/>
      <c r="Y1567" s="270"/>
      <c r="Z1567" s="270"/>
      <c r="AA1567" s="270"/>
      <c r="AB1567" s="270"/>
      <c r="AC1567" s="270"/>
      <c r="AD1567" s="270"/>
      <c r="AE1567" s="270"/>
      <c r="AF1567" s="270"/>
      <c r="AG1567" s="270"/>
      <c r="AH1567" s="270"/>
      <c r="AI1567" s="270"/>
      <c r="AJ1567" s="270"/>
      <c r="AK1567" s="270"/>
      <c r="AL1567" s="270"/>
      <c r="AM1567" s="663"/>
      <c r="AN1567" s="663"/>
      <c r="AO1567" s="708" t="str">
        <f>IF(OR(Table1[[#This Row],[Início Setup Envase]]="",Table1[[#This Row],[Final Setup Envase]]=""),"",Table1[[#This Row],[Final Setup Envase]]-Table1[[#This Row],[Início Setup Envase]])</f>
        <v/>
      </c>
      <c r="AP1567" s="663"/>
      <c r="AQ1567" s="663"/>
      <c r="AR1567" s="270"/>
      <c r="AS1567" s="674"/>
      <c r="AT1567" s="674"/>
      <c r="AU1567" s="270"/>
      <c r="AV1567" s="270"/>
      <c r="AW1567" s="270"/>
      <c r="AX1567" s="270"/>
      <c r="AY1567" s="270"/>
      <c r="AZ1567" s="270"/>
      <c r="BA1567" s="270" t="str">
        <f>IF(Table1[[#This Row],[Data de Início]]="","",YEAR(Table1[[#This Row],[Data de Início]]))</f>
        <v/>
      </c>
      <c r="BB1567" s="270" t="str">
        <f>IF(Table1[[#This Row],[Data de Início]]="","",MONTH(Table1[[#This Row],[Data de Início]]))</f>
        <v/>
      </c>
      <c r="BC1567" s="483"/>
    </row>
    <row r="1568" spans="2:55" x14ac:dyDescent="0.25">
      <c r="B1568" s="470"/>
      <c r="C1568" s="263"/>
      <c r="D1568" s="477" cm="1">
        <f t="array" ref="D1568">IFERROR(HorasUteisFabrica2Turnos(B1568,C1568), "")</f>
        <v>0</v>
      </c>
      <c r="E1568" s="478" t="str">
        <f t="shared" si="24"/>
        <v/>
      </c>
      <c r="F1568" s="266"/>
      <c r="G1568" s="656"/>
      <c r="H1568" s="479"/>
      <c r="I1568" s="268"/>
      <c r="J1568" s="268"/>
      <c r="K1568" s="268"/>
      <c r="L1568" s="269"/>
      <c r="M1568" s="511" t="str">
        <f>IFERROR(INDEX([1]Produtos!$C:$C,MATCH(L1568,[1]Produtos!$B:$B,0)), "-")</f>
        <v>-</v>
      </c>
      <c r="N1568" s="511" t="str">
        <f>IFERROR(INDEX([1]Produtos!$E:$E,MATCH(L1568,[1]Produtos!$B:$B,0)), "-")</f>
        <v>-</v>
      </c>
      <c r="O1568" s="483" t="str">
        <f>IFERROR(INDEX([1]Produtos!$F:$F,MATCH(L1568,[1]Produtos!$B:$B,0)), "-")</f>
        <v>-</v>
      </c>
      <c r="P1568" s="477" t="str">
        <f>IFERROR(INDEX([1]Produtos!$G:$G,MATCH(L1568,[1]Produtos!$B:$B,0)), "-")</f>
        <v>-</v>
      </c>
      <c r="Q1568" s="483" t="str">
        <f>IFERROR(INDEX([1]Produtos!$H:$H,MATCH(L1568,[1]Produtos!$B:$B,0)), "-")</f>
        <v>-</v>
      </c>
      <c r="R1568" s="483" t="str">
        <f>IFERROR(INDEX([1]Produtos!$I:$I,MATCH(L1568,[1]Produtos!$B:$B,0)), "-")</f>
        <v>-</v>
      </c>
      <c r="S1568" s="483" t="str">
        <f>IFERROR(INDEX([1]Produtos!$J:$J,MATCH(L1568,[1]Produtos!$B:$B,0)), "-")</f>
        <v>-</v>
      </c>
      <c r="T1568" s="484"/>
      <c r="U1568" s="483"/>
      <c r="V1568" s="483"/>
      <c r="W1568" s="483"/>
      <c r="X1568" s="483"/>
      <c r="Y1568" s="483"/>
      <c r="Z1568" s="483"/>
      <c r="AA1568" s="483"/>
      <c r="AB1568" s="483"/>
      <c r="AC1568" s="483"/>
      <c r="AD1568" s="483"/>
      <c r="AE1568" s="483"/>
      <c r="AF1568" s="483"/>
      <c r="AG1568" s="483"/>
      <c r="AH1568" s="483"/>
      <c r="AI1568" s="483"/>
      <c r="AJ1568" s="483"/>
      <c r="AK1568" s="483"/>
      <c r="AL1568" s="483"/>
      <c r="AM1568" s="670"/>
      <c r="AN1568" s="670"/>
      <c r="AO1568" s="711" t="str">
        <f>IF(OR(Table1[[#This Row],[Início Setup Envase]]="",Table1[[#This Row],[Final Setup Envase]]=""),"",Table1[[#This Row],[Final Setup Envase]]-Table1[[#This Row],[Início Setup Envase]])</f>
        <v/>
      </c>
      <c r="AP1568" s="670"/>
      <c r="AQ1568" s="670"/>
      <c r="AR1568" s="483"/>
      <c r="AS1568" s="483"/>
      <c r="AT1568" s="483"/>
      <c r="AU1568" s="483"/>
      <c r="AV1568" s="483"/>
      <c r="AW1568" s="483"/>
      <c r="AX1568" s="483"/>
      <c r="AY1568" s="270"/>
      <c r="AZ1568" s="270"/>
      <c r="BA1568" s="270" t="str">
        <f>IF(Table1[[#This Row],[Data de Início]]="","",YEAR(Table1[[#This Row],[Data de Início]]))</f>
        <v/>
      </c>
      <c r="BB1568" s="270" t="str">
        <f>IF(Table1[[#This Row],[Data de Início]]="","",MONTH(Table1[[#This Row],[Data de Início]]))</f>
        <v/>
      </c>
      <c r="BC1568" s="270"/>
    </row>
    <row r="1569" spans="2:55" x14ac:dyDescent="0.25">
      <c r="B1569" s="470"/>
      <c r="C1569" s="263"/>
      <c r="D1569" s="477" cm="1">
        <f t="array" ref="D1569">IFERROR(HorasUteisFabrica2Turnos(B1569,C1569), "")</f>
        <v>0</v>
      </c>
      <c r="E1569" s="697" t="str">
        <f t="shared" si="24"/>
        <v/>
      </c>
      <c r="F1569" s="266"/>
      <c r="G1569" s="698"/>
      <c r="H1569" s="266"/>
      <c r="I1569" s="268"/>
      <c r="J1569" s="268"/>
      <c r="K1569" s="268"/>
      <c r="L1569" s="269"/>
      <c r="M1569" s="510" t="str">
        <f>IFERROR(INDEX([1]Produtos!$C:$C,MATCH(L1569,[1]Produtos!$B:$B,0)), "-")</f>
        <v>-</v>
      </c>
      <c r="N1569" s="510" t="str">
        <f>IFERROR(INDEX([1]Produtos!$E:$E,MATCH(L1569,[1]Produtos!$B:$B,0)), "-")</f>
        <v>-</v>
      </c>
      <c r="O1569" s="270" t="str">
        <f>IFERROR(INDEX([1]Produtos!$F:$F,MATCH(L1569,[1]Produtos!$B:$B,0)), "-")</f>
        <v>-</v>
      </c>
      <c r="P1569" s="264" t="str">
        <f>IFERROR(INDEX([1]Produtos!$G:$G,MATCH(L1569,[1]Produtos!$B:$B,0)), "-")</f>
        <v>-</v>
      </c>
      <c r="Q1569" s="270" t="str">
        <f>IFERROR(INDEX([1]Produtos!$H:$H,MATCH(L1569,[1]Produtos!$B:$B,0)), "-")</f>
        <v>-</v>
      </c>
      <c r="R1569" s="270" t="str">
        <f>IFERROR(INDEX([1]Produtos!$I:$I,MATCH(L1569,[1]Produtos!$B:$B,0)), "-")</f>
        <v>-</v>
      </c>
      <c r="S1569" s="270" t="str">
        <f>IFERROR(INDEX([1]Produtos!$J:$J,MATCH(L1569,[1]Produtos!$B:$B,0)), "-")</f>
        <v>-</v>
      </c>
      <c r="T1569" s="475"/>
      <c r="U1569" s="270"/>
      <c r="V1569" s="270"/>
      <c r="W1569" s="270"/>
      <c r="X1569" s="270"/>
      <c r="Y1569" s="270"/>
      <c r="Z1569" s="270"/>
      <c r="AA1569" s="270"/>
      <c r="AB1569" s="270"/>
      <c r="AC1569" s="270"/>
      <c r="AD1569" s="270"/>
      <c r="AE1569" s="270"/>
      <c r="AF1569" s="270"/>
      <c r="AG1569" s="270"/>
      <c r="AH1569" s="270"/>
      <c r="AI1569" s="270"/>
      <c r="AJ1569" s="270"/>
      <c r="AK1569" s="270"/>
      <c r="AL1569" s="270"/>
      <c r="AM1569" s="663"/>
      <c r="AN1569" s="663"/>
      <c r="AO1569" s="708" t="str">
        <f>IF(OR(Table1[[#This Row],[Início Setup Envase]]="",Table1[[#This Row],[Final Setup Envase]]=""),"",Table1[[#This Row],[Final Setup Envase]]-Table1[[#This Row],[Início Setup Envase]])</f>
        <v/>
      </c>
      <c r="AP1569" s="663"/>
      <c r="AQ1569" s="663"/>
      <c r="AR1569" s="270"/>
      <c r="AS1569" s="674"/>
      <c r="AT1569" s="674"/>
      <c r="AU1569" s="270"/>
      <c r="AV1569" s="270"/>
      <c r="AW1569" s="270"/>
      <c r="AX1569" s="270"/>
      <c r="AY1569" s="270"/>
      <c r="AZ1569" s="270"/>
      <c r="BA1569" s="270" t="str">
        <f>IF(Table1[[#This Row],[Data de Início]]="","",YEAR(Table1[[#This Row],[Data de Início]]))</f>
        <v/>
      </c>
      <c r="BB1569" s="270" t="str">
        <f>IF(Table1[[#This Row],[Data de Início]]="","",MONTH(Table1[[#This Row],[Data de Início]]))</f>
        <v/>
      </c>
      <c r="BC1569" s="483"/>
    </row>
    <row r="1570" spans="2:55" x14ac:dyDescent="0.25">
      <c r="B1570" s="470"/>
      <c r="C1570" s="263"/>
      <c r="D1570" s="477" cm="1">
        <f t="array" ref="D1570">IFERROR(HorasUteisFabrica2Turnos(B1570,C1570), "")</f>
        <v>0</v>
      </c>
      <c r="E1570" s="478" t="str">
        <f t="shared" si="24"/>
        <v/>
      </c>
      <c r="F1570" s="266"/>
      <c r="G1570" s="656"/>
      <c r="H1570" s="479"/>
      <c r="I1570" s="268"/>
      <c r="J1570" s="268"/>
      <c r="K1570" s="268"/>
      <c r="L1570" s="269"/>
      <c r="M1570" s="511" t="str">
        <f>IFERROR(INDEX([1]Produtos!$C:$C,MATCH(L1570,[1]Produtos!$B:$B,0)), "-")</f>
        <v>-</v>
      </c>
      <c r="N1570" s="511" t="str">
        <f>IFERROR(INDEX([1]Produtos!$E:$E,MATCH(L1570,[1]Produtos!$B:$B,0)), "-")</f>
        <v>-</v>
      </c>
      <c r="O1570" s="483" t="str">
        <f>IFERROR(INDEX([1]Produtos!$F:$F,MATCH(L1570,[1]Produtos!$B:$B,0)), "-")</f>
        <v>-</v>
      </c>
      <c r="P1570" s="477" t="str">
        <f>IFERROR(INDEX([1]Produtos!$G:$G,MATCH(L1570,[1]Produtos!$B:$B,0)), "-")</f>
        <v>-</v>
      </c>
      <c r="Q1570" s="483" t="str">
        <f>IFERROR(INDEX([1]Produtos!$H:$H,MATCH(L1570,[1]Produtos!$B:$B,0)), "-")</f>
        <v>-</v>
      </c>
      <c r="R1570" s="483" t="str">
        <f>IFERROR(INDEX([1]Produtos!$I:$I,MATCH(L1570,[1]Produtos!$B:$B,0)), "-")</f>
        <v>-</v>
      </c>
      <c r="S1570" s="483" t="str">
        <f>IFERROR(INDEX([1]Produtos!$J:$J,MATCH(L1570,[1]Produtos!$B:$B,0)), "-")</f>
        <v>-</v>
      </c>
      <c r="T1570" s="484"/>
      <c r="U1570" s="483"/>
      <c r="V1570" s="483"/>
      <c r="W1570" s="483"/>
      <c r="X1570" s="483"/>
      <c r="Y1570" s="483"/>
      <c r="Z1570" s="483"/>
      <c r="AA1570" s="483"/>
      <c r="AB1570" s="483"/>
      <c r="AC1570" s="483"/>
      <c r="AD1570" s="483"/>
      <c r="AE1570" s="483"/>
      <c r="AF1570" s="483"/>
      <c r="AG1570" s="483"/>
      <c r="AH1570" s="483"/>
      <c r="AI1570" s="483"/>
      <c r="AJ1570" s="483"/>
      <c r="AK1570" s="483"/>
      <c r="AL1570" s="483"/>
      <c r="AM1570" s="670"/>
      <c r="AN1570" s="670"/>
      <c r="AO1570" s="711" t="str">
        <f>IF(OR(Table1[[#This Row],[Início Setup Envase]]="",Table1[[#This Row],[Final Setup Envase]]=""),"",Table1[[#This Row],[Final Setup Envase]]-Table1[[#This Row],[Início Setup Envase]])</f>
        <v/>
      </c>
      <c r="AP1570" s="670"/>
      <c r="AQ1570" s="670"/>
      <c r="AR1570" s="483"/>
      <c r="AS1570" s="483"/>
      <c r="AT1570" s="483"/>
      <c r="AU1570" s="483"/>
      <c r="AV1570" s="483"/>
      <c r="AW1570" s="483"/>
      <c r="AX1570" s="483"/>
      <c r="AY1570" s="270"/>
      <c r="AZ1570" s="270"/>
      <c r="BA1570" s="270" t="str">
        <f>IF(Table1[[#This Row],[Data de Início]]="","",YEAR(Table1[[#This Row],[Data de Início]]))</f>
        <v/>
      </c>
      <c r="BB1570" s="270" t="str">
        <f>IF(Table1[[#This Row],[Data de Início]]="","",MONTH(Table1[[#This Row],[Data de Início]]))</f>
        <v/>
      </c>
      <c r="BC1570" s="270"/>
    </row>
    <row r="1571" spans="2:55" x14ac:dyDescent="0.25">
      <c r="B1571" s="470"/>
      <c r="C1571" s="263"/>
      <c r="D1571" s="477" cm="1">
        <f t="array" ref="D1571">IFERROR(HorasUteisFabrica2Turnos(B1571,C1571), "")</f>
        <v>0</v>
      </c>
      <c r="E1571" s="697" t="str">
        <f t="shared" si="24"/>
        <v/>
      </c>
      <c r="F1571" s="266"/>
      <c r="G1571" s="698"/>
      <c r="H1571" s="266"/>
      <c r="I1571" s="268"/>
      <c r="J1571" s="268"/>
      <c r="K1571" s="268"/>
      <c r="L1571" s="269"/>
      <c r="M1571" s="510" t="str">
        <f>IFERROR(INDEX([1]Produtos!$C:$C,MATCH(L1571,[1]Produtos!$B:$B,0)), "-")</f>
        <v>-</v>
      </c>
      <c r="N1571" s="510" t="str">
        <f>IFERROR(INDEX([1]Produtos!$E:$E,MATCH(L1571,[1]Produtos!$B:$B,0)), "-")</f>
        <v>-</v>
      </c>
      <c r="O1571" s="270" t="str">
        <f>IFERROR(INDEX([1]Produtos!$F:$F,MATCH(L1571,[1]Produtos!$B:$B,0)), "-")</f>
        <v>-</v>
      </c>
      <c r="P1571" s="264" t="str">
        <f>IFERROR(INDEX([1]Produtos!$G:$G,MATCH(L1571,[1]Produtos!$B:$B,0)), "-")</f>
        <v>-</v>
      </c>
      <c r="Q1571" s="270" t="str">
        <f>IFERROR(INDEX([1]Produtos!$H:$H,MATCH(L1571,[1]Produtos!$B:$B,0)), "-")</f>
        <v>-</v>
      </c>
      <c r="R1571" s="270" t="str">
        <f>IFERROR(INDEX([1]Produtos!$I:$I,MATCH(L1571,[1]Produtos!$B:$B,0)), "-")</f>
        <v>-</v>
      </c>
      <c r="S1571" s="270" t="str">
        <f>IFERROR(INDEX([1]Produtos!$J:$J,MATCH(L1571,[1]Produtos!$B:$B,0)), "-")</f>
        <v>-</v>
      </c>
      <c r="T1571" s="475"/>
      <c r="U1571" s="270"/>
      <c r="V1571" s="270"/>
      <c r="W1571" s="270"/>
      <c r="X1571" s="270"/>
      <c r="Y1571" s="270"/>
      <c r="Z1571" s="270"/>
      <c r="AA1571" s="270"/>
      <c r="AB1571" s="270"/>
      <c r="AC1571" s="270"/>
      <c r="AD1571" s="270"/>
      <c r="AE1571" s="270"/>
      <c r="AF1571" s="270"/>
      <c r="AG1571" s="270"/>
      <c r="AH1571" s="270"/>
      <c r="AI1571" s="270"/>
      <c r="AJ1571" s="270"/>
      <c r="AK1571" s="270"/>
      <c r="AL1571" s="270"/>
      <c r="AM1571" s="663"/>
      <c r="AN1571" s="663"/>
      <c r="AO1571" s="708" t="str">
        <f>IF(OR(Table1[[#This Row],[Início Setup Envase]]="",Table1[[#This Row],[Final Setup Envase]]=""),"",Table1[[#This Row],[Final Setup Envase]]-Table1[[#This Row],[Início Setup Envase]])</f>
        <v/>
      </c>
      <c r="AP1571" s="663"/>
      <c r="AQ1571" s="663"/>
      <c r="AR1571" s="270"/>
      <c r="AS1571" s="674"/>
      <c r="AT1571" s="674"/>
      <c r="AU1571" s="270"/>
      <c r="AV1571" s="270"/>
      <c r="AW1571" s="270"/>
      <c r="AX1571" s="270"/>
      <c r="AY1571" s="270"/>
      <c r="AZ1571" s="270"/>
      <c r="BA1571" s="270" t="str">
        <f>IF(Table1[[#This Row],[Data de Início]]="","",YEAR(Table1[[#This Row],[Data de Início]]))</f>
        <v/>
      </c>
      <c r="BB1571" s="270" t="str">
        <f>IF(Table1[[#This Row],[Data de Início]]="","",MONTH(Table1[[#This Row],[Data de Início]]))</f>
        <v/>
      </c>
      <c r="BC1571" s="483"/>
    </row>
    <row r="1572" spans="2:55" x14ac:dyDescent="0.25">
      <c r="B1572" s="470"/>
      <c r="C1572" s="263"/>
      <c r="D1572" s="477" cm="1">
        <f t="array" ref="D1572">IFERROR(HorasUteisFabrica2Turnos(B1572,C1572), "")</f>
        <v>0</v>
      </c>
      <c r="E1572" s="478" t="str">
        <f t="shared" si="24"/>
        <v/>
      </c>
      <c r="F1572" s="266"/>
      <c r="G1572" s="656"/>
      <c r="H1572" s="479"/>
      <c r="I1572" s="268"/>
      <c r="J1572" s="268"/>
      <c r="K1572" s="268"/>
      <c r="L1572" s="269"/>
      <c r="M1572" s="511" t="str">
        <f>IFERROR(INDEX([1]Produtos!$C:$C,MATCH(L1572,[1]Produtos!$B:$B,0)), "-")</f>
        <v>-</v>
      </c>
      <c r="N1572" s="511" t="str">
        <f>IFERROR(INDEX([1]Produtos!$E:$E,MATCH(L1572,[1]Produtos!$B:$B,0)), "-")</f>
        <v>-</v>
      </c>
      <c r="O1572" s="483" t="str">
        <f>IFERROR(INDEX([1]Produtos!$F:$F,MATCH(L1572,[1]Produtos!$B:$B,0)), "-")</f>
        <v>-</v>
      </c>
      <c r="P1572" s="477" t="str">
        <f>IFERROR(INDEX([1]Produtos!$G:$G,MATCH(L1572,[1]Produtos!$B:$B,0)), "-")</f>
        <v>-</v>
      </c>
      <c r="Q1572" s="483" t="str">
        <f>IFERROR(INDEX([1]Produtos!$H:$H,MATCH(L1572,[1]Produtos!$B:$B,0)), "-")</f>
        <v>-</v>
      </c>
      <c r="R1572" s="483" t="str">
        <f>IFERROR(INDEX([1]Produtos!$I:$I,MATCH(L1572,[1]Produtos!$B:$B,0)), "-")</f>
        <v>-</v>
      </c>
      <c r="S1572" s="483" t="str">
        <f>IFERROR(INDEX([1]Produtos!$J:$J,MATCH(L1572,[1]Produtos!$B:$B,0)), "-")</f>
        <v>-</v>
      </c>
      <c r="T1572" s="484"/>
      <c r="U1572" s="483"/>
      <c r="V1572" s="483"/>
      <c r="W1572" s="483"/>
      <c r="X1572" s="483"/>
      <c r="Y1572" s="483"/>
      <c r="Z1572" s="483"/>
      <c r="AA1572" s="483"/>
      <c r="AB1572" s="483"/>
      <c r="AC1572" s="483"/>
      <c r="AD1572" s="483"/>
      <c r="AE1572" s="483"/>
      <c r="AF1572" s="483"/>
      <c r="AG1572" s="483"/>
      <c r="AH1572" s="483"/>
      <c r="AI1572" s="483"/>
      <c r="AJ1572" s="483"/>
      <c r="AK1572" s="483"/>
      <c r="AL1572" s="483"/>
      <c r="AM1572" s="670"/>
      <c r="AN1572" s="670"/>
      <c r="AO1572" s="711" t="str">
        <f>IF(OR(Table1[[#This Row],[Início Setup Envase]]="",Table1[[#This Row],[Final Setup Envase]]=""),"",Table1[[#This Row],[Final Setup Envase]]-Table1[[#This Row],[Início Setup Envase]])</f>
        <v/>
      </c>
      <c r="AP1572" s="670"/>
      <c r="AQ1572" s="670"/>
      <c r="AR1572" s="483"/>
      <c r="AS1572" s="483"/>
      <c r="AT1572" s="483"/>
      <c r="AU1572" s="483"/>
      <c r="AV1572" s="483"/>
      <c r="AW1572" s="483"/>
      <c r="AX1572" s="483"/>
      <c r="AY1572" s="270"/>
      <c r="AZ1572" s="270"/>
      <c r="BA1572" s="270" t="str">
        <f>IF(Table1[[#This Row],[Data de Início]]="","",YEAR(Table1[[#This Row],[Data de Início]]))</f>
        <v/>
      </c>
      <c r="BB1572" s="270" t="str">
        <f>IF(Table1[[#This Row],[Data de Início]]="","",MONTH(Table1[[#This Row],[Data de Início]]))</f>
        <v/>
      </c>
      <c r="BC1572" s="270"/>
    </row>
    <row r="1573" spans="2:55" x14ac:dyDescent="0.25">
      <c r="B1573" s="470"/>
      <c r="C1573" s="263"/>
      <c r="D1573" s="477" cm="1">
        <f t="array" ref="D1573">IFERROR(HorasUteisFabrica2Turnos(B1573,C1573), "")</f>
        <v>0</v>
      </c>
      <c r="E1573" s="697" t="str">
        <f t="shared" ref="E1573:E1636" si="25">IFERROR(K1573/D1573, "")</f>
        <v/>
      </c>
      <c r="F1573" s="266"/>
      <c r="G1573" s="698"/>
      <c r="H1573" s="266"/>
      <c r="I1573" s="268"/>
      <c r="J1573" s="268"/>
      <c r="K1573" s="268"/>
      <c r="L1573" s="269"/>
      <c r="M1573" s="510" t="str">
        <f>IFERROR(INDEX([1]Produtos!$C:$C,MATCH(L1573,[1]Produtos!$B:$B,0)), "-")</f>
        <v>-</v>
      </c>
      <c r="N1573" s="510" t="str">
        <f>IFERROR(INDEX([1]Produtos!$E:$E,MATCH(L1573,[1]Produtos!$B:$B,0)), "-")</f>
        <v>-</v>
      </c>
      <c r="O1573" s="270" t="str">
        <f>IFERROR(INDEX([1]Produtos!$F:$F,MATCH(L1573,[1]Produtos!$B:$B,0)), "-")</f>
        <v>-</v>
      </c>
      <c r="P1573" s="264" t="str">
        <f>IFERROR(INDEX([1]Produtos!$G:$G,MATCH(L1573,[1]Produtos!$B:$B,0)), "-")</f>
        <v>-</v>
      </c>
      <c r="Q1573" s="270" t="str">
        <f>IFERROR(INDEX([1]Produtos!$H:$H,MATCH(L1573,[1]Produtos!$B:$B,0)), "-")</f>
        <v>-</v>
      </c>
      <c r="R1573" s="270" t="str">
        <f>IFERROR(INDEX([1]Produtos!$I:$I,MATCH(L1573,[1]Produtos!$B:$B,0)), "-")</f>
        <v>-</v>
      </c>
      <c r="S1573" s="270" t="str">
        <f>IFERROR(INDEX([1]Produtos!$J:$J,MATCH(L1573,[1]Produtos!$B:$B,0)), "-")</f>
        <v>-</v>
      </c>
      <c r="T1573" s="475"/>
      <c r="U1573" s="270"/>
      <c r="V1573" s="270"/>
      <c r="W1573" s="270"/>
      <c r="X1573" s="270"/>
      <c r="Y1573" s="270"/>
      <c r="Z1573" s="270"/>
      <c r="AA1573" s="270"/>
      <c r="AB1573" s="270"/>
      <c r="AC1573" s="270"/>
      <c r="AD1573" s="270"/>
      <c r="AE1573" s="270"/>
      <c r="AF1573" s="270"/>
      <c r="AG1573" s="270"/>
      <c r="AH1573" s="270"/>
      <c r="AI1573" s="270"/>
      <c r="AJ1573" s="270"/>
      <c r="AK1573" s="270"/>
      <c r="AL1573" s="270"/>
      <c r="AM1573" s="663"/>
      <c r="AN1573" s="663"/>
      <c r="AO1573" s="708" t="str">
        <f>IF(OR(Table1[[#This Row],[Início Setup Envase]]="",Table1[[#This Row],[Final Setup Envase]]=""),"",Table1[[#This Row],[Final Setup Envase]]-Table1[[#This Row],[Início Setup Envase]])</f>
        <v/>
      </c>
      <c r="AP1573" s="663"/>
      <c r="AQ1573" s="663"/>
      <c r="AR1573" s="270"/>
      <c r="AS1573" s="674"/>
      <c r="AT1573" s="674"/>
      <c r="AU1573" s="270"/>
      <c r="AV1573" s="270"/>
      <c r="AW1573" s="270"/>
      <c r="AX1573" s="270"/>
      <c r="AY1573" s="270"/>
      <c r="AZ1573" s="270"/>
      <c r="BA1573" s="270" t="str">
        <f>IF(Table1[[#This Row],[Data de Início]]="","",YEAR(Table1[[#This Row],[Data de Início]]))</f>
        <v/>
      </c>
      <c r="BB1573" s="270" t="str">
        <f>IF(Table1[[#This Row],[Data de Início]]="","",MONTH(Table1[[#This Row],[Data de Início]]))</f>
        <v/>
      </c>
      <c r="BC1573" s="483"/>
    </row>
    <row r="1574" spans="2:55" x14ac:dyDescent="0.25">
      <c r="B1574" s="470"/>
      <c r="C1574" s="263"/>
      <c r="D1574" s="477" cm="1">
        <f t="array" ref="D1574">IFERROR(HorasUteisFabrica2Turnos(B1574,C1574), "")</f>
        <v>0</v>
      </c>
      <c r="E1574" s="478" t="str">
        <f t="shared" si="25"/>
        <v/>
      </c>
      <c r="F1574" s="266"/>
      <c r="G1574" s="656"/>
      <c r="H1574" s="479"/>
      <c r="I1574" s="268"/>
      <c r="J1574" s="268"/>
      <c r="K1574" s="268"/>
      <c r="L1574" s="269"/>
      <c r="M1574" s="511" t="str">
        <f>IFERROR(INDEX([1]Produtos!$C:$C,MATCH(L1574,[1]Produtos!$B:$B,0)), "-")</f>
        <v>-</v>
      </c>
      <c r="N1574" s="511" t="str">
        <f>IFERROR(INDEX([1]Produtos!$E:$E,MATCH(L1574,[1]Produtos!$B:$B,0)), "-")</f>
        <v>-</v>
      </c>
      <c r="O1574" s="483" t="str">
        <f>IFERROR(INDEX([1]Produtos!$F:$F,MATCH(L1574,[1]Produtos!$B:$B,0)), "-")</f>
        <v>-</v>
      </c>
      <c r="P1574" s="477" t="str">
        <f>IFERROR(INDEX([1]Produtos!$G:$G,MATCH(L1574,[1]Produtos!$B:$B,0)), "-")</f>
        <v>-</v>
      </c>
      <c r="Q1574" s="483" t="str">
        <f>IFERROR(INDEX([1]Produtos!$H:$H,MATCH(L1574,[1]Produtos!$B:$B,0)), "-")</f>
        <v>-</v>
      </c>
      <c r="R1574" s="483" t="str">
        <f>IFERROR(INDEX([1]Produtos!$I:$I,MATCH(L1574,[1]Produtos!$B:$B,0)), "-")</f>
        <v>-</v>
      </c>
      <c r="S1574" s="483" t="str">
        <f>IFERROR(INDEX([1]Produtos!$J:$J,MATCH(L1574,[1]Produtos!$B:$B,0)), "-")</f>
        <v>-</v>
      </c>
      <c r="T1574" s="484"/>
      <c r="U1574" s="483"/>
      <c r="V1574" s="483"/>
      <c r="W1574" s="483"/>
      <c r="X1574" s="483"/>
      <c r="Y1574" s="483"/>
      <c r="Z1574" s="483"/>
      <c r="AA1574" s="483"/>
      <c r="AB1574" s="483"/>
      <c r="AC1574" s="483"/>
      <c r="AD1574" s="483"/>
      <c r="AE1574" s="483"/>
      <c r="AF1574" s="483"/>
      <c r="AG1574" s="483"/>
      <c r="AH1574" s="483"/>
      <c r="AI1574" s="483"/>
      <c r="AJ1574" s="483"/>
      <c r="AK1574" s="483"/>
      <c r="AL1574" s="483"/>
      <c r="AM1574" s="670"/>
      <c r="AN1574" s="670"/>
      <c r="AO1574" s="711" t="str">
        <f>IF(OR(Table1[[#This Row],[Início Setup Envase]]="",Table1[[#This Row],[Final Setup Envase]]=""),"",Table1[[#This Row],[Final Setup Envase]]-Table1[[#This Row],[Início Setup Envase]])</f>
        <v/>
      </c>
      <c r="AP1574" s="670"/>
      <c r="AQ1574" s="670"/>
      <c r="AR1574" s="483"/>
      <c r="AS1574" s="483"/>
      <c r="AT1574" s="483"/>
      <c r="AU1574" s="483"/>
      <c r="AV1574" s="483"/>
      <c r="AW1574" s="483"/>
      <c r="AX1574" s="483"/>
      <c r="AY1574" s="270"/>
      <c r="AZ1574" s="270"/>
      <c r="BA1574" s="270" t="str">
        <f>IF(Table1[[#This Row],[Data de Início]]="","",YEAR(Table1[[#This Row],[Data de Início]]))</f>
        <v/>
      </c>
      <c r="BB1574" s="270" t="str">
        <f>IF(Table1[[#This Row],[Data de Início]]="","",MONTH(Table1[[#This Row],[Data de Início]]))</f>
        <v/>
      </c>
      <c r="BC1574" s="270"/>
    </row>
    <row r="1575" spans="2:55" x14ac:dyDescent="0.25">
      <c r="B1575" s="470"/>
      <c r="C1575" s="263"/>
      <c r="D1575" s="477" cm="1">
        <f t="array" ref="D1575">IFERROR(HorasUteisFabrica2Turnos(B1575,C1575), "")</f>
        <v>0</v>
      </c>
      <c r="E1575" s="697" t="str">
        <f t="shared" si="25"/>
        <v/>
      </c>
      <c r="F1575" s="266"/>
      <c r="G1575" s="698"/>
      <c r="H1575" s="266"/>
      <c r="I1575" s="268"/>
      <c r="J1575" s="268"/>
      <c r="K1575" s="268"/>
      <c r="L1575" s="269"/>
      <c r="M1575" s="510" t="str">
        <f>IFERROR(INDEX([1]Produtos!$C:$C,MATCH(L1575,[1]Produtos!$B:$B,0)), "-")</f>
        <v>-</v>
      </c>
      <c r="N1575" s="510" t="str">
        <f>IFERROR(INDEX([1]Produtos!$E:$E,MATCH(L1575,[1]Produtos!$B:$B,0)), "-")</f>
        <v>-</v>
      </c>
      <c r="O1575" s="270" t="str">
        <f>IFERROR(INDEX([1]Produtos!$F:$F,MATCH(L1575,[1]Produtos!$B:$B,0)), "-")</f>
        <v>-</v>
      </c>
      <c r="P1575" s="264" t="str">
        <f>IFERROR(INDEX([1]Produtos!$G:$G,MATCH(L1575,[1]Produtos!$B:$B,0)), "-")</f>
        <v>-</v>
      </c>
      <c r="Q1575" s="270" t="str">
        <f>IFERROR(INDEX([1]Produtos!$H:$H,MATCH(L1575,[1]Produtos!$B:$B,0)), "-")</f>
        <v>-</v>
      </c>
      <c r="R1575" s="270" t="str">
        <f>IFERROR(INDEX([1]Produtos!$I:$I,MATCH(L1575,[1]Produtos!$B:$B,0)), "-")</f>
        <v>-</v>
      </c>
      <c r="S1575" s="270" t="str">
        <f>IFERROR(INDEX([1]Produtos!$J:$J,MATCH(L1575,[1]Produtos!$B:$B,0)), "-")</f>
        <v>-</v>
      </c>
      <c r="T1575" s="475"/>
      <c r="U1575" s="270"/>
      <c r="V1575" s="270"/>
      <c r="W1575" s="270"/>
      <c r="X1575" s="270"/>
      <c r="Y1575" s="270"/>
      <c r="Z1575" s="270"/>
      <c r="AA1575" s="270"/>
      <c r="AB1575" s="270"/>
      <c r="AC1575" s="270"/>
      <c r="AD1575" s="270"/>
      <c r="AE1575" s="270"/>
      <c r="AF1575" s="270"/>
      <c r="AG1575" s="270"/>
      <c r="AH1575" s="270"/>
      <c r="AI1575" s="270"/>
      <c r="AJ1575" s="270"/>
      <c r="AK1575" s="270"/>
      <c r="AL1575" s="270"/>
      <c r="AM1575" s="663"/>
      <c r="AN1575" s="663"/>
      <c r="AO1575" s="708" t="str">
        <f>IF(OR(Table1[[#This Row],[Início Setup Envase]]="",Table1[[#This Row],[Final Setup Envase]]=""),"",Table1[[#This Row],[Final Setup Envase]]-Table1[[#This Row],[Início Setup Envase]])</f>
        <v/>
      </c>
      <c r="AP1575" s="663"/>
      <c r="AQ1575" s="663"/>
      <c r="AR1575" s="270"/>
      <c r="AS1575" s="674"/>
      <c r="AT1575" s="674"/>
      <c r="AU1575" s="270"/>
      <c r="AV1575" s="270"/>
      <c r="AW1575" s="270"/>
      <c r="AX1575" s="270"/>
      <c r="AY1575" s="270"/>
      <c r="AZ1575" s="270"/>
      <c r="BA1575" s="270" t="str">
        <f>IF(Table1[[#This Row],[Data de Início]]="","",YEAR(Table1[[#This Row],[Data de Início]]))</f>
        <v/>
      </c>
      <c r="BB1575" s="270" t="str">
        <f>IF(Table1[[#This Row],[Data de Início]]="","",MONTH(Table1[[#This Row],[Data de Início]]))</f>
        <v/>
      </c>
      <c r="BC1575" s="483"/>
    </row>
    <row r="1576" spans="2:55" x14ac:dyDescent="0.25">
      <c r="B1576" s="470"/>
      <c r="C1576" s="263"/>
      <c r="D1576" s="477" cm="1">
        <f t="array" ref="D1576">IFERROR(HorasUteisFabrica2Turnos(B1576,C1576), "")</f>
        <v>0</v>
      </c>
      <c r="E1576" s="478" t="str">
        <f t="shared" si="25"/>
        <v/>
      </c>
      <c r="F1576" s="266"/>
      <c r="G1576" s="656"/>
      <c r="H1576" s="479"/>
      <c r="I1576" s="268"/>
      <c r="J1576" s="268"/>
      <c r="K1576" s="268"/>
      <c r="L1576" s="269"/>
      <c r="M1576" s="511" t="str">
        <f>IFERROR(INDEX([1]Produtos!$C:$C,MATCH(L1576,[1]Produtos!$B:$B,0)), "-")</f>
        <v>-</v>
      </c>
      <c r="N1576" s="511" t="str">
        <f>IFERROR(INDEX([1]Produtos!$E:$E,MATCH(L1576,[1]Produtos!$B:$B,0)), "-")</f>
        <v>-</v>
      </c>
      <c r="O1576" s="483" t="str">
        <f>IFERROR(INDEX([1]Produtos!$F:$F,MATCH(L1576,[1]Produtos!$B:$B,0)), "-")</f>
        <v>-</v>
      </c>
      <c r="P1576" s="477" t="str">
        <f>IFERROR(INDEX([1]Produtos!$G:$G,MATCH(L1576,[1]Produtos!$B:$B,0)), "-")</f>
        <v>-</v>
      </c>
      <c r="Q1576" s="483" t="str">
        <f>IFERROR(INDEX([1]Produtos!$H:$H,MATCH(L1576,[1]Produtos!$B:$B,0)), "-")</f>
        <v>-</v>
      </c>
      <c r="R1576" s="483" t="str">
        <f>IFERROR(INDEX([1]Produtos!$I:$I,MATCH(L1576,[1]Produtos!$B:$B,0)), "-")</f>
        <v>-</v>
      </c>
      <c r="S1576" s="483" t="str">
        <f>IFERROR(INDEX([1]Produtos!$J:$J,MATCH(L1576,[1]Produtos!$B:$B,0)), "-")</f>
        <v>-</v>
      </c>
      <c r="T1576" s="484"/>
      <c r="U1576" s="483"/>
      <c r="V1576" s="483"/>
      <c r="W1576" s="483"/>
      <c r="X1576" s="483"/>
      <c r="Y1576" s="483"/>
      <c r="Z1576" s="483"/>
      <c r="AA1576" s="483"/>
      <c r="AB1576" s="483"/>
      <c r="AC1576" s="483"/>
      <c r="AD1576" s="483"/>
      <c r="AE1576" s="483"/>
      <c r="AF1576" s="483"/>
      <c r="AG1576" s="483"/>
      <c r="AH1576" s="483"/>
      <c r="AI1576" s="483"/>
      <c r="AJ1576" s="483"/>
      <c r="AK1576" s="483"/>
      <c r="AL1576" s="483"/>
      <c r="AM1576" s="670"/>
      <c r="AN1576" s="670"/>
      <c r="AO1576" s="711" t="str">
        <f>IF(OR(Table1[[#This Row],[Início Setup Envase]]="",Table1[[#This Row],[Final Setup Envase]]=""),"",Table1[[#This Row],[Final Setup Envase]]-Table1[[#This Row],[Início Setup Envase]])</f>
        <v/>
      </c>
      <c r="AP1576" s="670"/>
      <c r="AQ1576" s="670"/>
      <c r="AR1576" s="483"/>
      <c r="AS1576" s="483"/>
      <c r="AT1576" s="483"/>
      <c r="AU1576" s="483"/>
      <c r="AV1576" s="483"/>
      <c r="AW1576" s="483"/>
      <c r="AX1576" s="483"/>
      <c r="AY1576" s="270"/>
      <c r="AZ1576" s="270"/>
      <c r="BA1576" s="270" t="str">
        <f>IF(Table1[[#This Row],[Data de Início]]="","",YEAR(Table1[[#This Row],[Data de Início]]))</f>
        <v/>
      </c>
      <c r="BB1576" s="270" t="str">
        <f>IF(Table1[[#This Row],[Data de Início]]="","",MONTH(Table1[[#This Row],[Data de Início]]))</f>
        <v/>
      </c>
      <c r="BC1576" s="270"/>
    </row>
    <row r="1577" spans="2:55" x14ac:dyDescent="0.25">
      <c r="B1577" s="470"/>
      <c r="C1577" s="263"/>
      <c r="D1577" s="477" cm="1">
        <f t="array" ref="D1577">IFERROR(HorasUteisFabrica2Turnos(B1577,C1577), "")</f>
        <v>0</v>
      </c>
      <c r="E1577" s="697" t="str">
        <f t="shared" si="25"/>
        <v/>
      </c>
      <c r="F1577" s="266"/>
      <c r="G1577" s="698"/>
      <c r="H1577" s="266"/>
      <c r="I1577" s="268"/>
      <c r="J1577" s="268"/>
      <c r="K1577" s="268"/>
      <c r="L1577" s="269"/>
      <c r="M1577" s="510" t="str">
        <f>IFERROR(INDEX([1]Produtos!$C:$C,MATCH(L1577,[1]Produtos!$B:$B,0)), "-")</f>
        <v>-</v>
      </c>
      <c r="N1577" s="510" t="str">
        <f>IFERROR(INDEX([1]Produtos!$E:$E,MATCH(L1577,[1]Produtos!$B:$B,0)), "-")</f>
        <v>-</v>
      </c>
      <c r="O1577" s="270" t="str">
        <f>IFERROR(INDEX([1]Produtos!$F:$F,MATCH(L1577,[1]Produtos!$B:$B,0)), "-")</f>
        <v>-</v>
      </c>
      <c r="P1577" s="264" t="str">
        <f>IFERROR(INDEX([1]Produtos!$G:$G,MATCH(L1577,[1]Produtos!$B:$B,0)), "-")</f>
        <v>-</v>
      </c>
      <c r="Q1577" s="270" t="str">
        <f>IFERROR(INDEX([1]Produtos!$H:$H,MATCH(L1577,[1]Produtos!$B:$B,0)), "-")</f>
        <v>-</v>
      </c>
      <c r="R1577" s="270" t="str">
        <f>IFERROR(INDEX([1]Produtos!$I:$I,MATCH(L1577,[1]Produtos!$B:$B,0)), "-")</f>
        <v>-</v>
      </c>
      <c r="S1577" s="270" t="str">
        <f>IFERROR(INDEX([1]Produtos!$J:$J,MATCH(L1577,[1]Produtos!$B:$B,0)), "-")</f>
        <v>-</v>
      </c>
      <c r="T1577" s="475"/>
      <c r="U1577" s="270"/>
      <c r="V1577" s="270"/>
      <c r="W1577" s="270"/>
      <c r="X1577" s="270"/>
      <c r="Y1577" s="270"/>
      <c r="Z1577" s="270"/>
      <c r="AA1577" s="270"/>
      <c r="AB1577" s="270"/>
      <c r="AC1577" s="270"/>
      <c r="AD1577" s="270"/>
      <c r="AE1577" s="270"/>
      <c r="AF1577" s="270"/>
      <c r="AG1577" s="270"/>
      <c r="AH1577" s="270"/>
      <c r="AI1577" s="270"/>
      <c r="AJ1577" s="270"/>
      <c r="AK1577" s="270"/>
      <c r="AL1577" s="270"/>
      <c r="AM1577" s="663"/>
      <c r="AN1577" s="663"/>
      <c r="AO1577" s="708" t="str">
        <f>IF(OR(Table1[[#This Row],[Início Setup Envase]]="",Table1[[#This Row],[Final Setup Envase]]=""),"",Table1[[#This Row],[Final Setup Envase]]-Table1[[#This Row],[Início Setup Envase]])</f>
        <v/>
      </c>
      <c r="AP1577" s="663"/>
      <c r="AQ1577" s="663"/>
      <c r="AR1577" s="270"/>
      <c r="AS1577" s="674"/>
      <c r="AT1577" s="674"/>
      <c r="AU1577" s="270"/>
      <c r="AV1577" s="270"/>
      <c r="AW1577" s="270"/>
      <c r="AX1577" s="270"/>
      <c r="AY1577" s="270"/>
      <c r="AZ1577" s="270"/>
      <c r="BA1577" s="270" t="str">
        <f>IF(Table1[[#This Row],[Data de Início]]="","",YEAR(Table1[[#This Row],[Data de Início]]))</f>
        <v/>
      </c>
      <c r="BB1577" s="270" t="str">
        <f>IF(Table1[[#This Row],[Data de Início]]="","",MONTH(Table1[[#This Row],[Data de Início]]))</f>
        <v/>
      </c>
      <c r="BC1577" s="483"/>
    </row>
    <row r="1578" spans="2:55" x14ac:dyDescent="0.25">
      <c r="B1578" s="470"/>
      <c r="C1578" s="263"/>
      <c r="D1578" s="477" cm="1">
        <f t="array" ref="D1578">IFERROR(HorasUteisFabrica2Turnos(B1578,C1578), "")</f>
        <v>0</v>
      </c>
      <c r="E1578" s="478" t="str">
        <f t="shared" si="25"/>
        <v/>
      </c>
      <c r="F1578" s="266"/>
      <c r="G1578" s="656"/>
      <c r="H1578" s="479"/>
      <c r="I1578" s="268"/>
      <c r="J1578" s="268"/>
      <c r="K1578" s="268"/>
      <c r="L1578" s="269"/>
      <c r="M1578" s="511" t="str">
        <f>IFERROR(INDEX([1]Produtos!$C:$C,MATCH(L1578,[1]Produtos!$B:$B,0)), "-")</f>
        <v>-</v>
      </c>
      <c r="N1578" s="511" t="str">
        <f>IFERROR(INDEX([1]Produtos!$E:$E,MATCH(L1578,[1]Produtos!$B:$B,0)), "-")</f>
        <v>-</v>
      </c>
      <c r="O1578" s="483" t="str">
        <f>IFERROR(INDEX([1]Produtos!$F:$F,MATCH(L1578,[1]Produtos!$B:$B,0)), "-")</f>
        <v>-</v>
      </c>
      <c r="P1578" s="477" t="str">
        <f>IFERROR(INDEX([1]Produtos!$G:$G,MATCH(L1578,[1]Produtos!$B:$B,0)), "-")</f>
        <v>-</v>
      </c>
      <c r="Q1578" s="483" t="str">
        <f>IFERROR(INDEX([1]Produtos!$H:$H,MATCH(L1578,[1]Produtos!$B:$B,0)), "-")</f>
        <v>-</v>
      </c>
      <c r="R1578" s="483" t="str">
        <f>IFERROR(INDEX([1]Produtos!$I:$I,MATCH(L1578,[1]Produtos!$B:$B,0)), "-")</f>
        <v>-</v>
      </c>
      <c r="S1578" s="483" t="str">
        <f>IFERROR(INDEX([1]Produtos!$J:$J,MATCH(L1578,[1]Produtos!$B:$B,0)), "-")</f>
        <v>-</v>
      </c>
      <c r="T1578" s="484"/>
      <c r="U1578" s="483"/>
      <c r="V1578" s="483"/>
      <c r="W1578" s="483"/>
      <c r="X1578" s="483"/>
      <c r="Y1578" s="483"/>
      <c r="Z1578" s="483"/>
      <c r="AA1578" s="483"/>
      <c r="AB1578" s="483"/>
      <c r="AC1578" s="483"/>
      <c r="AD1578" s="483"/>
      <c r="AE1578" s="483"/>
      <c r="AF1578" s="483"/>
      <c r="AG1578" s="483"/>
      <c r="AH1578" s="483"/>
      <c r="AI1578" s="483"/>
      <c r="AJ1578" s="483"/>
      <c r="AK1578" s="483"/>
      <c r="AL1578" s="483"/>
      <c r="AM1578" s="670"/>
      <c r="AN1578" s="670"/>
      <c r="AO1578" s="711" t="str">
        <f>IF(OR(Table1[[#This Row],[Início Setup Envase]]="",Table1[[#This Row],[Final Setup Envase]]=""),"",Table1[[#This Row],[Final Setup Envase]]-Table1[[#This Row],[Início Setup Envase]])</f>
        <v/>
      </c>
      <c r="AP1578" s="670"/>
      <c r="AQ1578" s="670"/>
      <c r="AR1578" s="483"/>
      <c r="AS1578" s="483"/>
      <c r="AT1578" s="483"/>
      <c r="AU1578" s="483"/>
      <c r="AV1578" s="483"/>
      <c r="AW1578" s="483"/>
      <c r="AX1578" s="483"/>
      <c r="AY1578" s="270"/>
      <c r="AZ1578" s="270"/>
      <c r="BA1578" s="270" t="str">
        <f>IF(Table1[[#This Row],[Data de Início]]="","",YEAR(Table1[[#This Row],[Data de Início]]))</f>
        <v/>
      </c>
      <c r="BB1578" s="270" t="str">
        <f>IF(Table1[[#This Row],[Data de Início]]="","",MONTH(Table1[[#This Row],[Data de Início]]))</f>
        <v/>
      </c>
      <c r="BC1578" s="270"/>
    </row>
    <row r="1579" spans="2:55" x14ac:dyDescent="0.25">
      <c r="B1579" s="470"/>
      <c r="C1579" s="263"/>
      <c r="D1579" s="477" cm="1">
        <f t="array" ref="D1579">IFERROR(HorasUteisFabrica2Turnos(B1579,C1579), "")</f>
        <v>0</v>
      </c>
      <c r="E1579" s="697" t="str">
        <f t="shared" si="25"/>
        <v/>
      </c>
      <c r="F1579" s="266"/>
      <c r="G1579" s="698"/>
      <c r="H1579" s="266"/>
      <c r="I1579" s="268"/>
      <c r="J1579" s="268"/>
      <c r="K1579" s="268"/>
      <c r="L1579" s="269"/>
      <c r="M1579" s="510" t="str">
        <f>IFERROR(INDEX([1]Produtos!$C:$C,MATCH(L1579,[1]Produtos!$B:$B,0)), "-")</f>
        <v>-</v>
      </c>
      <c r="N1579" s="510" t="str">
        <f>IFERROR(INDEX([1]Produtos!$E:$E,MATCH(L1579,[1]Produtos!$B:$B,0)), "-")</f>
        <v>-</v>
      </c>
      <c r="O1579" s="270" t="str">
        <f>IFERROR(INDEX([1]Produtos!$F:$F,MATCH(L1579,[1]Produtos!$B:$B,0)), "-")</f>
        <v>-</v>
      </c>
      <c r="P1579" s="264" t="str">
        <f>IFERROR(INDEX([1]Produtos!$G:$G,MATCH(L1579,[1]Produtos!$B:$B,0)), "-")</f>
        <v>-</v>
      </c>
      <c r="Q1579" s="270" t="str">
        <f>IFERROR(INDEX([1]Produtos!$H:$H,MATCH(L1579,[1]Produtos!$B:$B,0)), "-")</f>
        <v>-</v>
      </c>
      <c r="R1579" s="270" t="str">
        <f>IFERROR(INDEX([1]Produtos!$I:$I,MATCH(L1579,[1]Produtos!$B:$B,0)), "-")</f>
        <v>-</v>
      </c>
      <c r="S1579" s="270" t="str">
        <f>IFERROR(INDEX([1]Produtos!$J:$J,MATCH(L1579,[1]Produtos!$B:$B,0)), "-")</f>
        <v>-</v>
      </c>
      <c r="T1579" s="475"/>
      <c r="U1579" s="270"/>
      <c r="V1579" s="270"/>
      <c r="W1579" s="270"/>
      <c r="X1579" s="270"/>
      <c r="Y1579" s="270"/>
      <c r="Z1579" s="270"/>
      <c r="AA1579" s="270"/>
      <c r="AB1579" s="270"/>
      <c r="AC1579" s="270"/>
      <c r="AD1579" s="270"/>
      <c r="AE1579" s="270"/>
      <c r="AF1579" s="270"/>
      <c r="AG1579" s="270"/>
      <c r="AH1579" s="270"/>
      <c r="AI1579" s="270"/>
      <c r="AJ1579" s="270"/>
      <c r="AK1579" s="270"/>
      <c r="AL1579" s="270"/>
      <c r="AM1579" s="663"/>
      <c r="AN1579" s="663"/>
      <c r="AO1579" s="708" t="str">
        <f>IF(OR(Table1[[#This Row],[Início Setup Envase]]="",Table1[[#This Row],[Final Setup Envase]]=""),"",Table1[[#This Row],[Final Setup Envase]]-Table1[[#This Row],[Início Setup Envase]])</f>
        <v/>
      </c>
      <c r="AP1579" s="663"/>
      <c r="AQ1579" s="663"/>
      <c r="AR1579" s="270"/>
      <c r="AS1579" s="674"/>
      <c r="AT1579" s="674"/>
      <c r="AU1579" s="270"/>
      <c r="AV1579" s="270"/>
      <c r="AW1579" s="270"/>
      <c r="AX1579" s="270"/>
      <c r="AY1579" s="270"/>
      <c r="AZ1579" s="270"/>
      <c r="BA1579" s="270" t="str">
        <f>IF(Table1[[#This Row],[Data de Início]]="","",YEAR(Table1[[#This Row],[Data de Início]]))</f>
        <v/>
      </c>
      <c r="BB1579" s="270" t="str">
        <f>IF(Table1[[#This Row],[Data de Início]]="","",MONTH(Table1[[#This Row],[Data de Início]]))</f>
        <v/>
      </c>
      <c r="BC1579" s="483"/>
    </row>
    <row r="1580" spans="2:55" x14ac:dyDescent="0.25">
      <c r="B1580" s="470"/>
      <c r="C1580" s="263"/>
      <c r="D1580" s="477" cm="1">
        <f t="array" ref="D1580">IFERROR(HorasUteisFabrica2Turnos(B1580,C1580), "")</f>
        <v>0</v>
      </c>
      <c r="E1580" s="478" t="str">
        <f t="shared" si="25"/>
        <v/>
      </c>
      <c r="F1580" s="266"/>
      <c r="G1580" s="656"/>
      <c r="H1580" s="479"/>
      <c r="I1580" s="268"/>
      <c r="J1580" s="268"/>
      <c r="K1580" s="268"/>
      <c r="L1580" s="269"/>
      <c r="M1580" s="511" t="str">
        <f>IFERROR(INDEX([1]Produtos!$C:$C,MATCH(L1580,[1]Produtos!$B:$B,0)), "-")</f>
        <v>-</v>
      </c>
      <c r="N1580" s="511" t="str">
        <f>IFERROR(INDEX([1]Produtos!$E:$E,MATCH(L1580,[1]Produtos!$B:$B,0)), "-")</f>
        <v>-</v>
      </c>
      <c r="O1580" s="483" t="str">
        <f>IFERROR(INDEX([1]Produtos!$F:$F,MATCH(L1580,[1]Produtos!$B:$B,0)), "-")</f>
        <v>-</v>
      </c>
      <c r="P1580" s="477" t="str">
        <f>IFERROR(INDEX([1]Produtos!$G:$G,MATCH(L1580,[1]Produtos!$B:$B,0)), "-")</f>
        <v>-</v>
      </c>
      <c r="Q1580" s="483" t="str">
        <f>IFERROR(INDEX([1]Produtos!$H:$H,MATCH(L1580,[1]Produtos!$B:$B,0)), "-")</f>
        <v>-</v>
      </c>
      <c r="R1580" s="483" t="str">
        <f>IFERROR(INDEX([1]Produtos!$I:$I,MATCH(L1580,[1]Produtos!$B:$B,0)), "-")</f>
        <v>-</v>
      </c>
      <c r="S1580" s="483" t="str">
        <f>IFERROR(INDEX([1]Produtos!$J:$J,MATCH(L1580,[1]Produtos!$B:$B,0)), "-")</f>
        <v>-</v>
      </c>
      <c r="T1580" s="484"/>
      <c r="U1580" s="483"/>
      <c r="V1580" s="483"/>
      <c r="W1580" s="483"/>
      <c r="X1580" s="483"/>
      <c r="Y1580" s="483"/>
      <c r="Z1580" s="483"/>
      <c r="AA1580" s="483"/>
      <c r="AB1580" s="483"/>
      <c r="AC1580" s="483"/>
      <c r="AD1580" s="483"/>
      <c r="AE1580" s="483"/>
      <c r="AF1580" s="483"/>
      <c r="AG1580" s="483"/>
      <c r="AH1580" s="483"/>
      <c r="AI1580" s="483"/>
      <c r="AJ1580" s="483"/>
      <c r="AK1580" s="483"/>
      <c r="AL1580" s="483"/>
      <c r="AM1580" s="670"/>
      <c r="AN1580" s="670"/>
      <c r="AO1580" s="711" t="str">
        <f>IF(OR(Table1[[#This Row],[Início Setup Envase]]="",Table1[[#This Row],[Final Setup Envase]]=""),"",Table1[[#This Row],[Final Setup Envase]]-Table1[[#This Row],[Início Setup Envase]])</f>
        <v/>
      </c>
      <c r="AP1580" s="670"/>
      <c r="AQ1580" s="670"/>
      <c r="AR1580" s="483"/>
      <c r="AS1580" s="483"/>
      <c r="AT1580" s="483"/>
      <c r="AU1580" s="483"/>
      <c r="AV1580" s="483"/>
      <c r="AW1580" s="483"/>
      <c r="AX1580" s="483"/>
      <c r="AY1580" s="270"/>
      <c r="AZ1580" s="270"/>
      <c r="BA1580" s="270" t="str">
        <f>IF(Table1[[#This Row],[Data de Início]]="","",YEAR(Table1[[#This Row],[Data de Início]]))</f>
        <v/>
      </c>
      <c r="BB1580" s="270" t="str">
        <f>IF(Table1[[#This Row],[Data de Início]]="","",MONTH(Table1[[#This Row],[Data de Início]]))</f>
        <v/>
      </c>
      <c r="BC1580" s="270"/>
    </row>
    <row r="1581" spans="2:55" x14ac:dyDescent="0.25">
      <c r="B1581" s="470"/>
      <c r="C1581" s="263"/>
      <c r="D1581" s="477" cm="1">
        <f t="array" ref="D1581">IFERROR(HorasUteisFabrica2Turnos(B1581,C1581), "")</f>
        <v>0</v>
      </c>
      <c r="E1581" s="697" t="str">
        <f t="shared" si="25"/>
        <v/>
      </c>
      <c r="F1581" s="266"/>
      <c r="G1581" s="698"/>
      <c r="H1581" s="266"/>
      <c r="I1581" s="268"/>
      <c r="J1581" s="268"/>
      <c r="K1581" s="268"/>
      <c r="L1581" s="269"/>
      <c r="M1581" s="510" t="str">
        <f>IFERROR(INDEX([1]Produtos!$C:$C,MATCH(L1581,[1]Produtos!$B:$B,0)), "-")</f>
        <v>-</v>
      </c>
      <c r="N1581" s="510" t="str">
        <f>IFERROR(INDEX([1]Produtos!$E:$E,MATCH(L1581,[1]Produtos!$B:$B,0)), "-")</f>
        <v>-</v>
      </c>
      <c r="O1581" s="270" t="str">
        <f>IFERROR(INDEX([1]Produtos!$F:$F,MATCH(L1581,[1]Produtos!$B:$B,0)), "-")</f>
        <v>-</v>
      </c>
      <c r="P1581" s="264" t="str">
        <f>IFERROR(INDEX([1]Produtos!$G:$G,MATCH(L1581,[1]Produtos!$B:$B,0)), "-")</f>
        <v>-</v>
      </c>
      <c r="Q1581" s="270" t="str">
        <f>IFERROR(INDEX([1]Produtos!$H:$H,MATCH(L1581,[1]Produtos!$B:$B,0)), "-")</f>
        <v>-</v>
      </c>
      <c r="R1581" s="270" t="str">
        <f>IFERROR(INDEX([1]Produtos!$I:$I,MATCH(L1581,[1]Produtos!$B:$B,0)), "-")</f>
        <v>-</v>
      </c>
      <c r="S1581" s="270" t="str">
        <f>IFERROR(INDEX([1]Produtos!$J:$J,MATCH(L1581,[1]Produtos!$B:$B,0)), "-")</f>
        <v>-</v>
      </c>
      <c r="T1581" s="475"/>
      <c r="U1581" s="270"/>
      <c r="V1581" s="270"/>
      <c r="W1581" s="270"/>
      <c r="X1581" s="270"/>
      <c r="Y1581" s="270"/>
      <c r="Z1581" s="270"/>
      <c r="AA1581" s="270"/>
      <c r="AB1581" s="270"/>
      <c r="AC1581" s="270"/>
      <c r="AD1581" s="270"/>
      <c r="AE1581" s="270"/>
      <c r="AF1581" s="270"/>
      <c r="AG1581" s="270"/>
      <c r="AH1581" s="270"/>
      <c r="AI1581" s="270"/>
      <c r="AJ1581" s="270"/>
      <c r="AK1581" s="270"/>
      <c r="AL1581" s="270"/>
      <c r="AM1581" s="663"/>
      <c r="AN1581" s="663"/>
      <c r="AO1581" s="708" t="str">
        <f>IF(OR(Table1[[#This Row],[Início Setup Envase]]="",Table1[[#This Row],[Final Setup Envase]]=""),"",Table1[[#This Row],[Final Setup Envase]]-Table1[[#This Row],[Início Setup Envase]])</f>
        <v/>
      </c>
      <c r="AP1581" s="663"/>
      <c r="AQ1581" s="663"/>
      <c r="AR1581" s="270"/>
      <c r="AS1581" s="674"/>
      <c r="AT1581" s="674"/>
      <c r="AU1581" s="270"/>
      <c r="AV1581" s="270"/>
      <c r="AW1581" s="270"/>
      <c r="AX1581" s="270"/>
      <c r="AY1581" s="270"/>
      <c r="AZ1581" s="270"/>
      <c r="BA1581" s="270" t="str">
        <f>IF(Table1[[#This Row],[Data de Início]]="","",YEAR(Table1[[#This Row],[Data de Início]]))</f>
        <v/>
      </c>
      <c r="BB1581" s="270" t="str">
        <f>IF(Table1[[#This Row],[Data de Início]]="","",MONTH(Table1[[#This Row],[Data de Início]]))</f>
        <v/>
      </c>
      <c r="BC1581" s="483"/>
    </row>
    <row r="1582" spans="2:55" x14ac:dyDescent="0.25">
      <c r="B1582" s="470"/>
      <c r="C1582" s="263"/>
      <c r="D1582" s="477" cm="1">
        <f t="array" ref="D1582">IFERROR(HorasUteisFabrica2Turnos(B1582,C1582), "")</f>
        <v>0</v>
      </c>
      <c r="E1582" s="478" t="str">
        <f t="shared" si="25"/>
        <v/>
      </c>
      <c r="F1582" s="266"/>
      <c r="G1582" s="656"/>
      <c r="H1582" s="479"/>
      <c r="I1582" s="268"/>
      <c r="J1582" s="268"/>
      <c r="K1582" s="268"/>
      <c r="L1582" s="269"/>
      <c r="M1582" s="511" t="str">
        <f>IFERROR(INDEX([1]Produtos!$C:$C,MATCH(L1582,[1]Produtos!$B:$B,0)), "-")</f>
        <v>-</v>
      </c>
      <c r="N1582" s="511" t="str">
        <f>IFERROR(INDEX([1]Produtos!$E:$E,MATCH(L1582,[1]Produtos!$B:$B,0)), "-")</f>
        <v>-</v>
      </c>
      <c r="O1582" s="483" t="str">
        <f>IFERROR(INDEX([1]Produtos!$F:$F,MATCH(L1582,[1]Produtos!$B:$B,0)), "-")</f>
        <v>-</v>
      </c>
      <c r="P1582" s="477" t="str">
        <f>IFERROR(INDEX([1]Produtos!$G:$G,MATCH(L1582,[1]Produtos!$B:$B,0)), "-")</f>
        <v>-</v>
      </c>
      <c r="Q1582" s="483" t="str">
        <f>IFERROR(INDEX([1]Produtos!$H:$H,MATCH(L1582,[1]Produtos!$B:$B,0)), "-")</f>
        <v>-</v>
      </c>
      <c r="R1582" s="483" t="str">
        <f>IFERROR(INDEX([1]Produtos!$I:$I,MATCH(L1582,[1]Produtos!$B:$B,0)), "-")</f>
        <v>-</v>
      </c>
      <c r="S1582" s="483" t="str">
        <f>IFERROR(INDEX([1]Produtos!$J:$J,MATCH(L1582,[1]Produtos!$B:$B,0)), "-")</f>
        <v>-</v>
      </c>
      <c r="T1582" s="484"/>
      <c r="U1582" s="483"/>
      <c r="V1582" s="483"/>
      <c r="W1582" s="483"/>
      <c r="X1582" s="483"/>
      <c r="Y1582" s="483"/>
      <c r="Z1582" s="483"/>
      <c r="AA1582" s="483"/>
      <c r="AB1582" s="483"/>
      <c r="AC1582" s="483"/>
      <c r="AD1582" s="483"/>
      <c r="AE1582" s="483"/>
      <c r="AF1582" s="483"/>
      <c r="AG1582" s="483"/>
      <c r="AH1582" s="483"/>
      <c r="AI1582" s="483"/>
      <c r="AJ1582" s="483"/>
      <c r="AK1582" s="483"/>
      <c r="AL1582" s="483"/>
      <c r="AM1582" s="670"/>
      <c r="AN1582" s="670"/>
      <c r="AO1582" s="711" t="str">
        <f>IF(OR(Table1[[#This Row],[Início Setup Envase]]="",Table1[[#This Row],[Final Setup Envase]]=""),"",Table1[[#This Row],[Final Setup Envase]]-Table1[[#This Row],[Início Setup Envase]])</f>
        <v/>
      </c>
      <c r="AP1582" s="670"/>
      <c r="AQ1582" s="670"/>
      <c r="AR1582" s="483"/>
      <c r="AS1582" s="483"/>
      <c r="AT1582" s="483"/>
      <c r="AU1582" s="483"/>
      <c r="AV1582" s="483"/>
      <c r="AW1582" s="483"/>
      <c r="AX1582" s="483"/>
      <c r="AY1582" s="270"/>
      <c r="AZ1582" s="270"/>
      <c r="BA1582" s="270" t="str">
        <f>IF(Table1[[#This Row],[Data de Início]]="","",YEAR(Table1[[#This Row],[Data de Início]]))</f>
        <v/>
      </c>
      <c r="BB1582" s="270" t="str">
        <f>IF(Table1[[#This Row],[Data de Início]]="","",MONTH(Table1[[#This Row],[Data de Início]]))</f>
        <v/>
      </c>
      <c r="BC1582" s="270"/>
    </row>
    <row r="1583" spans="2:55" x14ac:dyDescent="0.25">
      <c r="B1583" s="470"/>
      <c r="C1583" s="263"/>
      <c r="D1583" s="477" cm="1">
        <f t="array" ref="D1583">IFERROR(HorasUteisFabrica2Turnos(B1583,C1583), "")</f>
        <v>0</v>
      </c>
      <c r="E1583" s="697" t="str">
        <f t="shared" si="25"/>
        <v/>
      </c>
      <c r="F1583" s="266"/>
      <c r="G1583" s="698"/>
      <c r="H1583" s="266"/>
      <c r="I1583" s="268"/>
      <c r="J1583" s="268"/>
      <c r="K1583" s="268"/>
      <c r="L1583" s="269"/>
      <c r="M1583" s="510" t="str">
        <f>IFERROR(INDEX([1]Produtos!$C:$C,MATCH(L1583,[1]Produtos!$B:$B,0)), "-")</f>
        <v>-</v>
      </c>
      <c r="N1583" s="510" t="str">
        <f>IFERROR(INDEX([1]Produtos!$E:$E,MATCH(L1583,[1]Produtos!$B:$B,0)), "-")</f>
        <v>-</v>
      </c>
      <c r="O1583" s="270" t="str">
        <f>IFERROR(INDEX([1]Produtos!$F:$F,MATCH(L1583,[1]Produtos!$B:$B,0)), "-")</f>
        <v>-</v>
      </c>
      <c r="P1583" s="264" t="str">
        <f>IFERROR(INDEX([1]Produtos!$G:$G,MATCH(L1583,[1]Produtos!$B:$B,0)), "-")</f>
        <v>-</v>
      </c>
      <c r="Q1583" s="270" t="str">
        <f>IFERROR(INDEX([1]Produtos!$H:$H,MATCH(L1583,[1]Produtos!$B:$B,0)), "-")</f>
        <v>-</v>
      </c>
      <c r="R1583" s="270" t="str">
        <f>IFERROR(INDEX([1]Produtos!$I:$I,MATCH(L1583,[1]Produtos!$B:$B,0)), "-")</f>
        <v>-</v>
      </c>
      <c r="S1583" s="270" t="str">
        <f>IFERROR(INDEX([1]Produtos!$J:$J,MATCH(L1583,[1]Produtos!$B:$B,0)), "-")</f>
        <v>-</v>
      </c>
      <c r="T1583" s="475"/>
      <c r="U1583" s="270"/>
      <c r="V1583" s="270"/>
      <c r="W1583" s="270"/>
      <c r="X1583" s="270"/>
      <c r="Y1583" s="270"/>
      <c r="Z1583" s="270"/>
      <c r="AA1583" s="270"/>
      <c r="AB1583" s="270"/>
      <c r="AC1583" s="270"/>
      <c r="AD1583" s="270"/>
      <c r="AE1583" s="270"/>
      <c r="AF1583" s="270"/>
      <c r="AG1583" s="270"/>
      <c r="AH1583" s="270"/>
      <c r="AI1583" s="270"/>
      <c r="AJ1583" s="270"/>
      <c r="AK1583" s="270"/>
      <c r="AL1583" s="270"/>
      <c r="AM1583" s="663"/>
      <c r="AN1583" s="663"/>
      <c r="AO1583" s="708" t="str">
        <f>IF(OR(Table1[[#This Row],[Início Setup Envase]]="",Table1[[#This Row],[Final Setup Envase]]=""),"",Table1[[#This Row],[Final Setup Envase]]-Table1[[#This Row],[Início Setup Envase]])</f>
        <v/>
      </c>
      <c r="AP1583" s="663"/>
      <c r="AQ1583" s="663"/>
      <c r="AR1583" s="270"/>
      <c r="AS1583" s="674"/>
      <c r="AT1583" s="674"/>
      <c r="AU1583" s="270"/>
      <c r="AV1583" s="270"/>
      <c r="AW1583" s="270"/>
      <c r="AX1583" s="270"/>
      <c r="AY1583" s="270"/>
      <c r="AZ1583" s="270"/>
      <c r="BA1583" s="270" t="str">
        <f>IF(Table1[[#This Row],[Data de Início]]="","",YEAR(Table1[[#This Row],[Data de Início]]))</f>
        <v/>
      </c>
      <c r="BB1583" s="270" t="str">
        <f>IF(Table1[[#This Row],[Data de Início]]="","",MONTH(Table1[[#This Row],[Data de Início]]))</f>
        <v/>
      </c>
      <c r="BC1583" s="483"/>
    </row>
    <row r="1584" spans="2:55" x14ac:dyDescent="0.25">
      <c r="B1584" s="470"/>
      <c r="C1584" s="263"/>
      <c r="D1584" s="477" cm="1">
        <f t="array" ref="D1584">IFERROR(HorasUteisFabrica2Turnos(B1584,C1584), "")</f>
        <v>0</v>
      </c>
      <c r="E1584" s="478" t="str">
        <f t="shared" si="25"/>
        <v/>
      </c>
      <c r="F1584" s="266"/>
      <c r="G1584" s="656"/>
      <c r="H1584" s="479"/>
      <c r="I1584" s="268"/>
      <c r="J1584" s="268"/>
      <c r="K1584" s="268"/>
      <c r="L1584" s="269"/>
      <c r="M1584" s="511" t="str">
        <f>IFERROR(INDEX([1]Produtos!$C:$C,MATCH(L1584,[1]Produtos!$B:$B,0)), "-")</f>
        <v>-</v>
      </c>
      <c r="N1584" s="511" t="str">
        <f>IFERROR(INDEX([1]Produtos!$E:$E,MATCH(L1584,[1]Produtos!$B:$B,0)), "-")</f>
        <v>-</v>
      </c>
      <c r="O1584" s="483" t="str">
        <f>IFERROR(INDEX([1]Produtos!$F:$F,MATCH(L1584,[1]Produtos!$B:$B,0)), "-")</f>
        <v>-</v>
      </c>
      <c r="P1584" s="477" t="str">
        <f>IFERROR(INDEX([1]Produtos!$G:$G,MATCH(L1584,[1]Produtos!$B:$B,0)), "-")</f>
        <v>-</v>
      </c>
      <c r="Q1584" s="483" t="str">
        <f>IFERROR(INDEX([1]Produtos!$H:$H,MATCH(L1584,[1]Produtos!$B:$B,0)), "-")</f>
        <v>-</v>
      </c>
      <c r="R1584" s="483" t="str">
        <f>IFERROR(INDEX([1]Produtos!$I:$I,MATCH(L1584,[1]Produtos!$B:$B,0)), "-")</f>
        <v>-</v>
      </c>
      <c r="S1584" s="483" t="str">
        <f>IFERROR(INDEX([1]Produtos!$J:$J,MATCH(L1584,[1]Produtos!$B:$B,0)), "-")</f>
        <v>-</v>
      </c>
      <c r="T1584" s="484"/>
      <c r="U1584" s="483"/>
      <c r="V1584" s="483"/>
      <c r="W1584" s="483"/>
      <c r="X1584" s="483"/>
      <c r="Y1584" s="483"/>
      <c r="Z1584" s="483"/>
      <c r="AA1584" s="483"/>
      <c r="AB1584" s="483"/>
      <c r="AC1584" s="483"/>
      <c r="AD1584" s="483"/>
      <c r="AE1584" s="483"/>
      <c r="AF1584" s="483"/>
      <c r="AG1584" s="483"/>
      <c r="AH1584" s="483"/>
      <c r="AI1584" s="483"/>
      <c r="AJ1584" s="483"/>
      <c r="AK1584" s="483"/>
      <c r="AL1584" s="483"/>
      <c r="AM1584" s="670"/>
      <c r="AN1584" s="670"/>
      <c r="AO1584" s="711" t="str">
        <f>IF(OR(Table1[[#This Row],[Início Setup Envase]]="",Table1[[#This Row],[Final Setup Envase]]=""),"",Table1[[#This Row],[Final Setup Envase]]-Table1[[#This Row],[Início Setup Envase]])</f>
        <v/>
      </c>
      <c r="AP1584" s="670"/>
      <c r="AQ1584" s="670"/>
      <c r="AR1584" s="483"/>
      <c r="AS1584" s="483"/>
      <c r="AT1584" s="483"/>
      <c r="AU1584" s="483"/>
      <c r="AV1584" s="483"/>
      <c r="AW1584" s="483"/>
      <c r="AX1584" s="483"/>
      <c r="AY1584" s="270"/>
      <c r="AZ1584" s="270"/>
      <c r="BA1584" s="270" t="str">
        <f>IF(Table1[[#This Row],[Data de Início]]="","",YEAR(Table1[[#This Row],[Data de Início]]))</f>
        <v/>
      </c>
      <c r="BB1584" s="270" t="str">
        <f>IF(Table1[[#This Row],[Data de Início]]="","",MONTH(Table1[[#This Row],[Data de Início]]))</f>
        <v/>
      </c>
      <c r="BC1584" s="270"/>
    </row>
    <row r="1585" spans="2:55" x14ac:dyDescent="0.25">
      <c r="B1585" s="470"/>
      <c r="C1585" s="263"/>
      <c r="D1585" s="477" cm="1">
        <f t="array" ref="D1585">IFERROR(HorasUteisFabrica2Turnos(B1585,C1585), "")</f>
        <v>0</v>
      </c>
      <c r="E1585" s="697" t="str">
        <f t="shared" si="25"/>
        <v/>
      </c>
      <c r="F1585" s="266"/>
      <c r="G1585" s="698"/>
      <c r="H1585" s="266"/>
      <c r="I1585" s="268"/>
      <c r="J1585" s="268"/>
      <c r="K1585" s="268"/>
      <c r="L1585" s="269"/>
      <c r="M1585" s="510" t="str">
        <f>IFERROR(INDEX([1]Produtos!$C:$C,MATCH(L1585,[1]Produtos!$B:$B,0)), "-")</f>
        <v>-</v>
      </c>
      <c r="N1585" s="510" t="str">
        <f>IFERROR(INDEX([1]Produtos!$E:$E,MATCH(L1585,[1]Produtos!$B:$B,0)), "-")</f>
        <v>-</v>
      </c>
      <c r="O1585" s="270" t="str">
        <f>IFERROR(INDEX([1]Produtos!$F:$F,MATCH(L1585,[1]Produtos!$B:$B,0)), "-")</f>
        <v>-</v>
      </c>
      <c r="P1585" s="264" t="str">
        <f>IFERROR(INDEX([1]Produtos!$G:$G,MATCH(L1585,[1]Produtos!$B:$B,0)), "-")</f>
        <v>-</v>
      </c>
      <c r="Q1585" s="270" t="str">
        <f>IFERROR(INDEX([1]Produtos!$H:$H,MATCH(L1585,[1]Produtos!$B:$B,0)), "-")</f>
        <v>-</v>
      </c>
      <c r="R1585" s="270" t="str">
        <f>IFERROR(INDEX([1]Produtos!$I:$I,MATCH(L1585,[1]Produtos!$B:$B,0)), "-")</f>
        <v>-</v>
      </c>
      <c r="S1585" s="270" t="str">
        <f>IFERROR(INDEX([1]Produtos!$J:$J,MATCH(L1585,[1]Produtos!$B:$B,0)), "-")</f>
        <v>-</v>
      </c>
      <c r="T1585" s="475"/>
      <c r="U1585" s="270"/>
      <c r="V1585" s="270"/>
      <c r="W1585" s="270"/>
      <c r="X1585" s="270"/>
      <c r="Y1585" s="270"/>
      <c r="Z1585" s="270"/>
      <c r="AA1585" s="270"/>
      <c r="AB1585" s="270"/>
      <c r="AC1585" s="270"/>
      <c r="AD1585" s="270"/>
      <c r="AE1585" s="270"/>
      <c r="AF1585" s="270"/>
      <c r="AG1585" s="270"/>
      <c r="AH1585" s="270"/>
      <c r="AI1585" s="270"/>
      <c r="AJ1585" s="270"/>
      <c r="AK1585" s="270"/>
      <c r="AL1585" s="270"/>
      <c r="AM1585" s="663"/>
      <c r="AN1585" s="663"/>
      <c r="AO1585" s="708" t="str">
        <f>IF(OR(Table1[[#This Row],[Início Setup Envase]]="",Table1[[#This Row],[Final Setup Envase]]=""),"",Table1[[#This Row],[Final Setup Envase]]-Table1[[#This Row],[Início Setup Envase]])</f>
        <v/>
      </c>
      <c r="AP1585" s="663"/>
      <c r="AQ1585" s="663"/>
      <c r="AR1585" s="270"/>
      <c r="AS1585" s="674"/>
      <c r="AT1585" s="674"/>
      <c r="AU1585" s="270"/>
      <c r="AV1585" s="270"/>
      <c r="AW1585" s="270"/>
      <c r="AX1585" s="270"/>
      <c r="AY1585" s="270"/>
      <c r="AZ1585" s="270"/>
      <c r="BA1585" s="270" t="str">
        <f>IF(Table1[[#This Row],[Data de Início]]="","",YEAR(Table1[[#This Row],[Data de Início]]))</f>
        <v/>
      </c>
      <c r="BB1585" s="270" t="str">
        <f>IF(Table1[[#This Row],[Data de Início]]="","",MONTH(Table1[[#This Row],[Data de Início]]))</f>
        <v/>
      </c>
      <c r="BC1585" s="483"/>
    </row>
    <row r="1586" spans="2:55" x14ac:dyDescent="0.25">
      <c r="B1586" s="470"/>
      <c r="C1586" s="263"/>
      <c r="D1586" s="477" cm="1">
        <f t="array" ref="D1586">IFERROR(HorasUteisFabrica2Turnos(B1586,C1586), "")</f>
        <v>0</v>
      </c>
      <c r="E1586" s="478" t="str">
        <f t="shared" si="25"/>
        <v/>
      </c>
      <c r="F1586" s="266"/>
      <c r="G1586" s="656"/>
      <c r="H1586" s="479"/>
      <c r="I1586" s="268"/>
      <c r="J1586" s="268"/>
      <c r="K1586" s="268"/>
      <c r="L1586" s="269"/>
      <c r="M1586" s="511" t="str">
        <f>IFERROR(INDEX([1]Produtos!$C:$C,MATCH(L1586,[1]Produtos!$B:$B,0)), "-")</f>
        <v>-</v>
      </c>
      <c r="N1586" s="511" t="str">
        <f>IFERROR(INDEX([1]Produtos!$E:$E,MATCH(L1586,[1]Produtos!$B:$B,0)), "-")</f>
        <v>-</v>
      </c>
      <c r="O1586" s="483" t="str">
        <f>IFERROR(INDEX([1]Produtos!$F:$F,MATCH(L1586,[1]Produtos!$B:$B,0)), "-")</f>
        <v>-</v>
      </c>
      <c r="P1586" s="477" t="str">
        <f>IFERROR(INDEX([1]Produtos!$G:$G,MATCH(L1586,[1]Produtos!$B:$B,0)), "-")</f>
        <v>-</v>
      </c>
      <c r="Q1586" s="483" t="str">
        <f>IFERROR(INDEX([1]Produtos!$H:$H,MATCH(L1586,[1]Produtos!$B:$B,0)), "-")</f>
        <v>-</v>
      </c>
      <c r="R1586" s="483" t="str">
        <f>IFERROR(INDEX([1]Produtos!$I:$I,MATCH(L1586,[1]Produtos!$B:$B,0)), "-")</f>
        <v>-</v>
      </c>
      <c r="S1586" s="483" t="str">
        <f>IFERROR(INDEX([1]Produtos!$J:$J,MATCH(L1586,[1]Produtos!$B:$B,0)), "-")</f>
        <v>-</v>
      </c>
      <c r="T1586" s="484"/>
      <c r="U1586" s="483"/>
      <c r="V1586" s="483"/>
      <c r="W1586" s="483"/>
      <c r="X1586" s="483"/>
      <c r="Y1586" s="483"/>
      <c r="Z1586" s="483"/>
      <c r="AA1586" s="483"/>
      <c r="AB1586" s="483"/>
      <c r="AC1586" s="483"/>
      <c r="AD1586" s="483"/>
      <c r="AE1586" s="483"/>
      <c r="AF1586" s="483"/>
      <c r="AG1586" s="483"/>
      <c r="AH1586" s="483"/>
      <c r="AI1586" s="483"/>
      <c r="AJ1586" s="483"/>
      <c r="AK1586" s="483"/>
      <c r="AL1586" s="483"/>
      <c r="AM1586" s="670"/>
      <c r="AN1586" s="670"/>
      <c r="AO1586" s="711" t="str">
        <f>IF(OR(Table1[[#This Row],[Início Setup Envase]]="",Table1[[#This Row],[Final Setup Envase]]=""),"",Table1[[#This Row],[Final Setup Envase]]-Table1[[#This Row],[Início Setup Envase]])</f>
        <v/>
      </c>
      <c r="AP1586" s="670"/>
      <c r="AQ1586" s="670"/>
      <c r="AR1586" s="483"/>
      <c r="AS1586" s="483"/>
      <c r="AT1586" s="483"/>
      <c r="AU1586" s="483"/>
      <c r="AV1586" s="483"/>
      <c r="AW1586" s="483"/>
      <c r="AX1586" s="483"/>
      <c r="AY1586" s="270"/>
      <c r="AZ1586" s="270"/>
      <c r="BA1586" s="270" t="str">
        <f>IF(Table1[[#This Row],[Data de Início]]="","",YEAR(Table1[[#This Row],[Data de Início]]))</f>
        <v/>
      </c>
      <c r="BB1586" s="270" t="str">
        <f>IF(Table1[[#This Row],[Data de Início]]="","",MONTH(Table1[[#This Row],[Data de Início]]))</f>
        <v/>
      </c>
      <c r="BC1586" s="270"/>
    </row>
    <row r="1587" spans="2:55" x14ac:dyDescent="0.25">
      <c r="B1587" s="470"/>
      <c r="C1587" s="263"/>
      <c r="D1587" s="477" cm="1">
        <f t="array" ref="D1587">IFERROR(HorasUteisFabrica2Turnos(B1587,C1587), "")</f>
        <v>0</v>
      </c>
      <c r="E1587" s="697" t="str">
        <f t="shared" si="25"/>
        <v/>
      </c>
      <c r="F1587" s="266"/>
      <c r="G1587" s="698"/>
      <c r="H1587" s="266"/>
      <c r="I1587" s="268"/>
      <c r="J1587" s="268"/>
      <c r="K1587" s="268"/>
      <c r="L1587" s="269"/>
      <c r="M1587" s="510" t="str">
        <f>IFERROR(INDEX([1]Produtos!$C:$C,MATCH(L1587,[1]Produtos!$B:$B,0)), "-")</f>
        <v>-</v>
      </c>
      <c r="N1587" s="510" t="str">
        <f>IFERROR(INDEX([1]Produtos!$E:$E,MATCH(L1587,[1]Produtos!$B:$B,0)), "-")</f>
        <v>-</v>
      </c>
      <c r="O1587" s="270" t="str">
        <f>IFERROR(INDEX([1]Produtos!$F:$F,MATCH(L1587,[1]Produtos!$B:$B,0)), "-")</f>
        <v>-</v>
      </c>
      <c r="P1587" s="264" t="str">
        <f>IFERROR(INDEX([1]Produtos!$G:$G,MATCH(L1587,[1]Produtos!$B:$B,0)), "-")</f>
        <v>-</v>
      </c>
      <c r="Q1587" s="270" t="str">
        <f>IFERROR(INDEX([1]Produtos!$H:$H,MATCH(L1587,[1]Produtos!$B:$B,0)), "-")</f>
        <v>-</v>
      </c>
      <c r="R1587" s="270" t="str">
        <f>IFERROR(INDEX([1]Produtos!$I:$I,MATCH(L1587,[1]Produtos!$B:$B,0)), "-")</f>
        <v>-</v>
      </c>
      <c r="S1587" s="270" t="str">
        <f>IFERROR(INDEX([1]Produtos!$J:$J,MATCH(L1587,[1]Produtos!$B:$B,0)), "-")</f>
        <v>-</v>
      </c>
      <c r="T1587" s="475"/>
      <c r="U1587" s="270"/>
      <c r="V1587" s="270"/>
      <c r="W1587" s="270"/>
      <c r="X1587" s="270"/>
      <c r="Y1587" s="270"/>
      <c r="Z1587" s="270"/>
      <c r="AA1587" s="270"/>
      <c r="AB1587" s="270"/>
      <c r="AC1587" s="270"/>
      <c r="AD1587" s="270"/>
      <c r="AE1587" s="270"/>
      <c r="AF1587" s="270"/>
      <c r="AG1587" s="270"/>
      <c r="AH1587" s="270"/>
      <c r="AI1587" s="270"/>
      <c r="AJ1587" s="270"/>
      <c r="AK1587" s="270"/>
      <c r="AL1587" s="270"/>
      <c r="AM1587" s="663"/>
      <c r="AN1587" s="663"/>
      <c r="AO1587" s="708" t="str">
        <f>IF(OR(Table1[[#This Row],[Início Setup Envase]]="",Table1[[#This Row],[Final Setup Envase]]=""),"",Table1[[#This Row],[Final Setup Envase]]-Table1[[#This Row],[Início Setup Envase]])</f>
        <v/>
      </c>
      <c r="AP1587" s="663"/>
      <c r="AQ1587" s="663"/>
      <c r="AR1587" s="270"/>
      <c r="AS1587" s="674"/>
      <c r="AT1587" s="674"/>
      <c r="AU1587" s="270"/>
      <c r="AV1587" s="270"/>
      <c r="AW1587" s="270"/>
      <c r="AX1587" s="270"/>
      <c r="AY1587" s="270"/>
      <c r="AZ1587" s="270"/>
      <c r="BA1587" s="270" t="str">
        <f>IF(Table1[[#This Row],[Data de Início]]="","",YEAR(Table1[[#This Row],[Data de Início]]))</f>
        <v/>
      </c>
      <c r="BB1587" s="270" t="str">
        <f>IF(Table1[[#This Row],[Data de Início]]="","",MONTH(Table1[[#This Row],[Data de Início]]))</f>
        <v/>
      </c>
      <c r="BC1587" s="483"/>
    </row>
    <row r="1588" spans="2:55" x14ac:dyDescent="0.25">
      <c r="B1588" s="470"/>
      <c r="C1588" s="263"/>
      <c r="D1588" s="477" cm="1">
        <f t="array" ref="D1588">IFERROR(HorasUteisFabrica2Turnos(B1588,C1588), "")</f>
        <v>0</v>
      </c>
      <c r="E1588" s="478" t="str">
        <f t="shared" si="25"/>
        <v/>
      </c>
      <c r="F1588" s="266"/>
      <c r="G1588" s="656"/>
      <c r="H1588" s="479"/>
      <c r="I1588" s="268"/>
      <c r="J1588" s="268"/>
      <c r="K1588" s="268"/>
      <c r="L1588" s="269"/>
      <c r="M1588" s="511" t="str">
        <f>IFERROR(INDEX([1]Produtos!$C:$C,MATCH(L1588,[1]Produtos!$B:$B,0)), "-")</f>
        <v>-</v>
      </c>
      <c r="N1588" s="511" t="str">
        <f>IFERROR(INDEX([1]Produtos!$E:$E,MATCH(L1588,[1]Produtos!$B:$B,0)), "-")</f>
        <v>-</v>
      </c>
      <c r="O1588" s="483" t="str">
        <f>IFERROR(INDEX([1]Produtos!$F:$F,MATCH(L1588,[1]Produtos!$B:$B,0)), "-")</f>
        <v>-</v>
      </c>
      <c r="P1588" s="477" t="str">
        <f>IFERROR(INDEX([1]Produtos!$G:$G,MATCH(L1588,[1]Produtos!$B:$B,0)), "-")</f>
        <v>-</v>
      </c>
      <c r="Q1588" s="483" t="str">
        <f>IFERROR(INDEX([1]Produtos!$H:$H,MATCH(L1588,[1]Produtos!$B:$B,0)), "-")</f>
        <v>-</v>
      </c>
      <c r="R1588" s="483" t="str">
        <f>IFERROR(INDEX([1]Produtos!$I:$I,MATCH(L1588,[1]Produtos!$B:$B,0)), "-")</f>
        <v>-</v>
      </c>
      <c r="S1588" s="483" t="str">
        <f>IFERROR(INDEX([1]Produtos!$J:$J,MATCH(L1588,[1]Produtos!$B:$B,0)), "-")</f>
        <v>-</v>
      </c>
      <c r="T1588" s="484"/>
      <c r="U1588" s="483"/>
      <c r="V1588" s="483"/>
      <c r="W1588" s="483"/>
      <c r="X1588" s="483"/>
      <c r="Y1588" s="483"/>
      <c r="Z1588" s="483"/>
      <c r="AA1588" s="483"/>
      <c r="AB1588" s="483"/>
      <c r="AC1588" s="483"/>
      <c r="AD1588" s="483"/>
      <c r="AE1588" s="483"/>
      <c r="AF1588" s="483"/>
      <c r="AG1588" s="483"/>
      <c r="AH1588" s="483"/>
      <c r="AI1588" s="483"/>
      <c r="AJ1588" s="483"/>
      <c r="AK1588" s="483"/>
      <c r="AL1588" s="483"/>
      <c r="AM1588" s="670"/>
      <c r="AN1588" s="670"/>
      <c r="AO1588" s="711" t="str">
        <f>IF(OR(Table1[[#This Row],[Início Setup Envase]]="",Table1[[#This Row],[Final Setup Envase]]=""),"",Table1[[#This Row],[Final Setup Envase]]-Table1[[#This Row],[Início Setup Envase]])</f>
        <v/>
      </c>
      <c r="AP1588" s="670"/>
      <c r="AQ1588" s="670"/>
      <c r="AR1588" s="483"/>
      <c r="AS1588" s="483"/>
      <c r="AT1588" s="483"/>
      <c r="AU1588" s="483"/>
      <c r="AV1588" s="483"/>
      <c r="AW1588" s="483"/>
      <c r="AX1588" s="483"/>
      <c r="AY1588" s="270"/>
      <c r="AZ1588" s="270"/>
      <c r="BA1588" s="270" t="str">
        <f>IF(Table1[[#This Row],[Data de Início]]="","",YEAR(Table1[[#This Row],[Data de Início]]))</f>
        <v/>
      </c>
      <c r="BB1588" s="270" t="str">
        <f>IF(Table1[[#This Row],[Data de Início]]="","",MONTH(Table1[[#This Row],[Data de Início]]))</f>
        <v/>
      </c>
      <c r="BC1588" s="270"/>
    </row>
    <row r="1589" spans="2:55" x14ac:dyDescent="0.25">
      <c r="B1589" s="470"/>
      <c r="C1589" s="263"/>
      <c r="D1589" s="477" cm="1">
        <f t="array" ref="D1589">IFERROR(HorasUteisFabrica2Turnos(B1589,C1589), "")</f>
        <v>0</v>
      </c>
      <c r="E1589" s="697" t="str">
        <f t="shared" si="25"/>
        <v/>
      </c>
      <c r="F1589" s="266"/>
      <c r="G1589" s="698"/>
      <c r="H1589" s="266"/>
      <c r="I1589" s="268"/>
      <c r="J1589" s="268"/>
      <c r="K1589" s="268"/>
      <c r="L1589" s="269"/>
      <c r="M1589" s="510" t="str">
        <f>IFERROR(INDEX([1]Produtos!$C:$C,MATCH(L1589,[1]Produtos!$B:$B,0)), "-")</f>
        <v>-</v>
      </c>
      <c r="N1589" s="510" t="str">
        <f>IFERROR(INDEX([1]Produtos!$E:$E,MATCH(L1589,[1]Produtos!$B:$B,0)), "-")</f>
        <v>-</v>
      </c>
      <c r="O1589" s="270" t="str">
        <f>IFERROR(INDEX([1]Produtos!$F:$F,MATCH(L1589,[1]Produtos!$B:$B,0)), "-")</f>
        <v>-</v>
      </c>
      <c r="P1589" s="264" t="str">
        <f>IFERROR(INDEX([1]Produtos!$G:$G,MATCH(L1589,[1]Produtos!$B:$B,0)), "-")</f>
        <v>-</v>
      </c>
      <c r="Q1589" s="270" t="str">
        <f>IFERROR(INDEX([1]Produtos!$H:$H,MATCH(L1589,[1]Produtos!$B:$B,0)), "-")</f>
        <v>-</v>
      </c>
      <c r="R1589" s="270" t="str">
        <f>IFERROR(INDEX([1]Produtos!$I:$I,MATCH(L1589,[1]Produtos!$B:$B,0)), "-")</f>
        <v>-</v>
      </c>
      <c r="S1589" s="270" t="str">
        <f>IFERROR(INDEX([1]Produtos!$J:$J,MATCH(L1589,[1]Produtos!$B:$B,0)), "-")</f>
        <v>-</v>
      </c>
      <c r="T1589" s="475"/>
      <c r="U1589" s="270"/>
      <c r="V1589" s="270"/>
      <c r="W1589" s="270"/>
      <c r="X1589" s="270"/>
      <c r="Y1589" s="270"/>
      <c r="Z1589" s="270"/>
      <c r="AA1589" s="270"/>
      <c r="AB1589" s="270"/>
      <c r="AC1589" s="270"/>
      <c r="AD1589" s="270"/>
      <c r="AE1589" s="270"/>
      <c r="AF1589" s="270"/>
      <c r="AG1589" s="270"/>
      <c r="AH1589" s="270"/>
      <c r="AI1589" s="270"/>
      <c r="AJ1589" s="270"/>
      <c r="AK1589" s="270"/>
      <c r="AL1589" s="270"/>
      <c r="AM1589" s="663"/>
      <c r="AN1589" s="663"/>
      <c r="AO1589" s="708" t="str">
        <f>IF(OR(Table1[[#This Row],[Início Setup Envase]]="",Table1[[#This Row],[Final Setup Envase]]=""),"",Table1[[#This Row],[Final Setup Envase]]-Table1[[#This Row],[Início Setup Envase]])</f>
        <v/>
      </c>
      <c r="AP1589" s="663"/>
      <c r="AQ1589" s="663"/>
      <c r="AR1589" s="270"/>
      <c r="AS1589" s="674"/>
      <c r="AT1589" s="674"/>
      <c r="AU1589" s="270"/>
      <c r="AV1589" s="270"/>
      <c r="AW1589" s="270"/>
      <c r="AX1589" s="270"/>
      <c r="AY1589" s="270"/>
      <c r="AZ1589" s="270"/>
      <c r="BA1589" s="270" t="str">
        <f>IF(Table1[[#This Row],[Data de Início]]="","",YEAR(Table1[[#This Row],[Data de Início]]))</f>
        <v/>
      </c>
      <c r="BB1589" s="270" t="str">
        <f>IF(Table1[[#This Row],[Data de Início]]="","",MONTH(Table1[[#This Row],[Data de Início]]))</f>
        <v/>
      </c>
      <c r="BC1589" s="483"/>
    </row>
    <row r="1590" spans="2:55" x14ac:dyDescent="0.25">
      <c r="B1590" s="470"/>
      <c r="C1590" s="263"/>
      <c r="D1590" s="477" cm="1">
        <f t="array" ref="D1590">IFERROR(HorasUteisFabrica2Turnos(B1590,C1590), "")</f>
        <v>0</v>
      </c>
      <c r="E1590" s="478" t="str">
        <f t="shared" si="25"/>
        <v/>
      </c>
      <c r="F1590" s="266"/>
      <c r="G1590" s="656"/>
      <c r="H1590" s="479"/>
      <c r="I1590" s="268"/>
      <c r="J1590" s="268"/>
      <c r="K1590" s="268"/>
      <c r="L1590" s="269"/>
      <c r="M1590" s="511" t="str">
        <f>IFERROR(INDEX([1]Produtos!$C:$C,MATCH(L1590,[1]Produtos!$B:$B,0)), "-")</f>
        <v>-</v>
      </c>
      <c r="N1590" s="511" t="str">
        <f>IFERROR(INDEX([1]Produtos!$E:$E,MATCH(L1590,[1]Produtos!$B:$B,0)), "-")</f>
        <v>-</v>
      </c>
      <c r="O1590" s="483" t="str">
        <f>IFERROR(INDEX([1]Produtos!$F:$F,MATCH(L1590,[1]Produtos!$B:$B,0)), "-")</f>
        <v>-</v>
      </c>
      <c r="P1590" s="477" t="str">
        <f>IFERROR(INDEX([1]Produtos!$G:$G,MATCH(L1590,[1]Produtos!$B:$B,0)), "-")</f>
        <v>-</v>
      </c>
      <c r="Q1590" s="483" t="str">
        <f>IFERROR(INDEX([1]Produtos!$H:$H,MATCH(L1590,[1]Produtos!$B:$B,0)), "-")</f>
        <v>-</v>
      </c>
      <c r="R1590" s="483" t="str">
        <f>IFERROR(INDEX([1]Produtos!$I:$I,MATCH(L1590,[1]Produtos!$B:$B,0)), "-")</f>
        <v>-</v>
      </c>
      <c r="S1590" s="483" t="str">
        <f>IFERROR(INDEX([1]Produtos!$J:$J,MATCH(L1590,[1]Produtos!$B:$B,0)), "-")</f>
        <v>-</v>
      </c>
      <c r="T1590" s="484"/>
      <c r="U1590" s="483"/>
      <c r="V1590" s="483"/>
      <c r="W1590" s="483"/>
      <c r="X1590" s="483"/>
      <c r="Y1590" s="483"/>
      <c r="Z1590" s="483"/>
      <c r="AA1590" s="483"/>
      <c r="AB1590" s="483"/>
      <c r="AC1590" s="483"/>
      <c r="AD1590" s="483"/>
      <c r="AE1590" s="483"/>
      <c r="AF1590" s="483"/>
      <c r="AG1590" s="483"/>
      <c r="AH1590" s="483"/>
      <c r="AI1590" s="483"/>
      <c r="AJ1590" s="483"/>
      <c r="AK1590" s="483"/>
      <c r="AL1590" s="483"/>
      <c r="AM1590" s="670"/>
      <c r="AN1590" s="670"/>
      <c r="AO1590" s="711" t="str">
        <f>IF(OR(Table1[[#This Row],[Início Setup Envase]]="",Table1[[#This Row],[Final Setup Envase]]=""),"",Table1[[#This Row],[Final Setup Envase]]-Table1[[#This Row],[Início Setup Envase]])</f>
        <v/>
      </c>
      <c r="AP1590" s="670"/>
      <c r="AQ1590" s="670"/>
      <c r="AR1590" s="483"/>
      <c r="AS1590" s="483"/>
      <c r="AT1590" s="483"/>
      <c r="AU1590" s="483"/>
      <c r="AV1590" s="483"/>
      <c r="AW1590" s="483"/>
      <c r="AX1590" s="483"/>
      <c r="AY1590" s="270"/>
      <c r="AZ1590" s="270"/>
      <c r="BA1590" s="270" t="str">
        <f>IF(Table1[[#This Row],[Data de Início]]="","",YEAR(Table1[[#This Row],[Data de Início]]))</f>
        <v/>
      </c>
      <c r="BB1590" s="270" t="str">
        <f>IF(Table1[[#This Row],[Data de Início]]="","",MONTH(Table1[[#This Row],[Data de Início]]))</f>
        <v/>
      </c>
      <c r="BC1590" s="270"/>
    </row>
    <row r="1591" spans="2:55" x14ac:dyDescent="0.25">
      <c r="B1591" s="470"/>
      <c r="C1591" s="263"/>
      <c r="D1591" s="477" cm="1">
        <f t="array" ref="D1591">IFERROR(HorasUteisFabrica2Turnos(B1591,C1591), "")</f>
        <v>0</v>
      </c>
      <c r="E1591" s="697" t="str">
        <f t="shared" si="25"/>
        <v/>
      </c>
      <c r="F1591" s="266"/>
      <c r="G1591" s="698"/>
      <c r="H1591" s="266"/>
      <c r="I1591" s="268"/>
      <c r="J1591" s="268"/>
      <c r="K1591" s="268"/>
      <c r="L1591" s="269"/>
      <c r="M1591" s="510" t="str">
        <f>IFERROR(INDEX([1]Produtos!$C:$C,MATCH(L1591,[1]Produtos!$B:$B,0)), "-")</f>
        <v>-</v>
      </c>
      <c r="N1591" s="510" t="str">
        <f>IFERROR(INDEX([1]Produtos!$E:$E,MATCH(L1591,[1]Produtos!$B:$B,0)), "-")</f>
        <v>-</v>
      </c>
      <c r="O1591" s="270" t="str">
        <f>IFERROR(INDEX([1]Produtos!$F:$F,MATCH(L1591,[1]Produtos!$B:$B,0)), "-")</f>
        <v>-</v>
      </c>
      <c r="P1591" s="264" t="str">
        <f>IFERROR(INDEX([1]Produtos!$G:$G,MATCH(L1591,[1]Produtos!$B:$B,0)), "-")</f>
        <v>-</v>
      </c>
      <c r="Q1591" s="270" t="str">
        <f>IFERROR(INDEX([1]Produtos!$H:$H,MATCH(L1591,[1]Produtos!$B:$B,0)), "-")</f>
        <v>-</v>
      </c>
      <c r="R1591" s="270" t="str">
        <f>IFERROR(INDEX([1]Produtos!$I:$I,MATCH(L1591,[1]Produtos!$B:$B,0)), "-")</f>
        <v>-</v>
      </c>
      <c r="S1591" s="270" t="str">
        <f>IFERROR(INDEX([1]Produtos!$J:$J,MATCH(L1591,[1]Produtos!$B:$B,0)), "-")</f>
        <v>-</v>
      </c>
      <c r="T1591" s="475"/>
      <c r="U1591" s="270"/>
      <c r="V1591" s="270"/>
      <c r="W1591" s="270"/>
      <c r="X1591" s="270"/>
      <c r="Y1591" s="270"/>
      <c r="Z1591" s="270"/>
      <c r="AA1591" s="270"/>
      <c r="AB1591" s="270"/>
      <c r="AC1591" s="270"/>
      <c r="AD1591" s="270"/>
      <c r="AE1591" s="270"/>
      <c r="AF1591" s="270"/>
      <c r="AG1591" s="270"/>
      <c r="AH1591" s="270"/>
      <c r="AI1591" s="270"/>
      <c r="AJ1591" s="270"/>
      <c r="AK1591" s="270"/>
      <c r="AL1591" s="270"/>
      <c r="AM1591" s="663"/>
      <c r="AN1591" s="663"/>
      <c r="AO1591" s="708" t="str">
        <f>IF(OR(Table1[[#This Row],[Início Setup Envase]]="",Table1[[#This Row],[Final Setup Envase]]=""),"",Table1[[#This Row],[Final Setup Envase]]-Table1[[#This Row],[Início Setup Envase]])</f>
        <v/>
      </c>
      <c r="AP1591" s="663"/>
      <c r="AQ1591" s="663"/>
      <c r="AR1591" s="270"/>
      <c r="AS1591" s="674"/>
      <c r="AT1591" s="674"/>
      <c r="AU1591" s="270"/>
      <c r="AV1591" s="270"/>
      <c r="AW1591" s="270"/>
      <c r="AX1591" s="270"/>
      <c r="AY1591" s="270"/>
      <c r="AZ1591" s="270"/>
      <c r="BA1591" s="270" t="str">
        <f>IF(Table1[[#This Row],[Data de Início]]="","",YEAR(Table1[[#This Row],[Data de Início]]))</f>
        <v/>
      </c>
      <c r="BB1591" s="270" t="str">
        <f>IF(Table1[[#This Row],[Data de Início]]="","",MONTH(Table1[[#This Row],[Data de Início]]))</f>
        <v/>
      </c>
      <c r="BC1591" s="483"/>
    </row>
    <row r="1592" spans="2:55" x14ac:dyDescent="0.25">
      <c r="B1592" s="470"/>
      <c r="C1592" s="263"/>
      <c r="D1592" s="477" cm="1">
        <f t="array" ref="D1592">IFERROR(HorasUteisFabrica2Turnos(B1592,C1592), "")</f>
        <v>0</v>
      </c>
      <c r="E1592" s="478" t="str">
        <f t="shared" si="25"/>
        <v/>
      </c>
      <c r="F1592" s="266"/>
      <c r="G1592" s="656"/>
      <c r="H1592" s="479"/>
      <c r="I1592" s="268"/>
      <c r="J1592" s="268"/>
      <c r="K1592" s="268"/>
      <c r="L1592" s="269"/>
      <c r="M1592" s="511" t="str">
        <f>IFERROR(INDEX([1]Produtos!$C:$C,MATCH(L1592,[1]Produtos!$B:$B,0)), "-")</f>
        <v>-</v>
      </c>
      <c r="N1592" s="511" t="str">
        <f>IFERROR(INDEX([1]Produtos!$E:$E,MATCH(L1592,[1]Produtos!$B:$B,0)), "-")</f>
        <v>-</v>
      </c>
      <c r="O1592" s="483" t="str">
        <f>IFERROR(INDEX([1]Produtos!$F:$F,MATCH(L1592,[1]Produtos!$B:$B,0)), "-")</f>
        <v>-</v>
      </c>
      <c r="P1592" s="477" t="str">
        <f>IFERROR(INDEX([1]Produtos!$G:$G,MATCH(L1592,[1]Produtos!$B:$B,0)), "-")</f>
        <v>-</v>
      </c>
      <c r="Q1592" s="483" t="str">
        <f>IFERROR(INDEX([1]Produtos!$H:$H,MATCH(L1592,[1]Produtos!$B:$B,0)), "-")</f>
        <v>-</v>
      </c>
      <c r="R1592" s="483" t="str">
        <f>IFERROR(INDEX([1]Produtos!$I:$I,MATCH(L1592,[1]Produtos!$B:$B,0)), "-")</f>
        <v>-</v>
      </c>
      <c r="S1592" s="483" t="str">
        <f>IFERROR(INDEX([1]Produtos!$J:$J,MATCH(L1592,[1]Produtos!$B:$B,0)), "-")</f>
        <v>-</v>
      </c>
      <c r="T1592" s="484"/>
      <c r="U1592" s="483"/>
      <c r="V1592" s="483"/>
      <c r="W1592" s="483"/>
      <c r="X1592" s="483"/>
      <c r="Y1592" s="483"/>
      <c r="Z1592" s="483"/>
      <c r="AA1592" s="483"/>
      <c r="AB1592" s="483"/>
      <c r="AC1592" s="483"/>
      <c r="AD1592" s="483"/>
      <c r="AE1592" s="483"/>
      <c r="AF1592" s="483"/>
      <c r="AG1592" s="483"/>
      <c r="AH1592" s="483"/>
      <c r="AI1592" s="483"/>
      <c r="AJ1592" s="483"/>
      <c r="AK1592" s="483"/>
      <c r="AL1592" s="483"/>
      <c r="AM1592" s="670"/>
      <c r="AN1592" s="670"/>
      <c r="AO1592" s="711" t="str">
        <f>IF(OR(Table1[[#This Row],[Início Setup Envase]]="",Table1[[#This Row],[Final Setup Envase]]=""),"",Table1[[#This Row],[Final Setup Envase]]-Table1[[#This Row],[Início Setup Envase]])</f>
        <v/>
      </c>
      <c r="AP1592" s="670"/>
      <c r="AQ1592" s="670"/>
      <c r="AR1592" s="483"/>
      <c r="AS1592" s="483"/>
      <c r="AT1592" s="483"/>
      <c r="AU1592" s="483"/>
      <c r="AV1592" s="483"/>
      <c r="AW1592" s="483"/>
      <c r="AX1592" s="483"/>
      <c r="AY1592" s="270"/>
      <c r="AZ1592" s="270"/>
      <c r="BA1592" s="270" t="str">
        <f>IF(Table1[[#This Row],[Data de Início]]="","",YEAR(Table1[[#This Row],[Data de Início]]))</f>
        <v/>
      </c>
      <c r="BB1592" s="270" t="str">
        <f>IF(Table1[[#This Row],[Data de Início]]="","",MONTH(Table1[[#This Row],[Data de Início]]))</f>
        <v/>
      </c>
      <c r="BC1592" s="270"/>
    </row>
    <row r="1593" spans="2:55" x14ac:dyDescent="0.25">
      <c r="B1593" s="470"/>
      <c r="C1593" s="263"/>
      <c r="D1593" s="477" cm="1">
        <f t="array" ref="D1593">IFERROR(HorasUteisFabrica2Turnos(B1593,C1593), "")</f>
        <v>0</v>
      </c>
      <c r="E1593" s="697" t="str">
        <f t="shared" si="25"/>
        <v/>
      </c>
      <c r="F1593" s="266"/>
      <c r="G1593" s="698"/>
      <c r="H1593" s="266"/>
      <c r="I1593" s="268"/>
      <c r="J1593" s="268"/>
      <c r="K1593" s="268"/>
      <c r="L1593" s="269"/>
      <c r="M1593" s="510" t="str">
        <f>IFERROR(INDEX([1]Produtos!$C:$C,MATCH(L1593,[1]Produtos!$B:$B,0)), "-")</f>
        <v>-</v>
      </c>
      <c r="N1593" s="510" t="str">
        <f>IFERROR(INDEX([1]Produtos!$E:$E,MATCH(L1593,[1]Produtos!$B:$B,0)), "-")</f>
        <v>-</v>
      </c>
      <c r="O1593" s="270" t="str">
        <f>IFERROR(INDEX([1]Produtos!$F:$F,MATCH(L1593,[1]Produtos!$B:$B,0)), "-")</f>
        <v>-</v>
      </c>
      <c r="P1593" s="264" t="str">
        <f>IFERROR(INDEX([1]Produtos!$G:$G,MATCH(L1593,[1]Produtos!$B:$B,0)), "-")</f>
        <v>-</v>
      </c>
      <c r="Q1593" s="270" t="str">
        <f>IFERROR(INDEX([1]Produtos!$H:$H,MATCH(L1593,[1]Produtos!$B:$B,0)), "-")</f>
        <v>-</v>
      </c>
      <c r="R1593" s="270" t="str">
        <f>IFERROR(INDEX([1]Produtos!$I:$I,MATCH(L1593,[1]Produtos!$B:$B,0)), "-")</f>
        <v>-</v>
      </c>
      <c r="S1593" s="270" t="str">
        <f>IFERROR(INDEX([1]Produtos!$J:$J,MATCH(L1593,[1]Produtos!$B:$B,0)), "-")</f>
        <v>-</v>
      </c>
      <c r="T1593" s="475"/>
      <c r="U1593" s="270"/>
      <c r="V1593" s="270"/>
      <c r="W1593" s="270"/>
      <c r="X1593" s="270"/>
      <c r="Y1593" s="270"/>
      <c r="Z1593" s="270"/>
      <c r="AA1593" s="270"/>
      <c r="AB1593" s="270"/>
      <c r="AC1593" s="270"/>
      <c r="AD1593" s="270"/>
      <c r="AE1593" s="270"/>
      <c r="AF1593" s="270"/>
      <c r="AG1593" s="270"/>
      <c r="AH1593" s="270"/>
      <c r="AI1593" s="270"/>
      <c r="AJ1593" s="270"/>
      <c r="AK1593" s="270"/>
      <c r="AL1593" s="270"/>
      <c r="AM1593" s="663"/>
      <c r="AN1593" s="663"/>
      <c r="AO1593" s="708" t="str">
        <f>IF(OR(Table1[[#This Row],[Início Setup Envase]]="",Table1[[#This Row],[Final Setup Envase]]=""),"",Table1[[#This Row],[Final Setup Envase]]-Table1[[#This Row],[Início Setup Envase]])</f>
        <v/>
      </c>
      <c r="AP1593" s="663"/>
      <c r="AQ1593" s="663"/>
      <c r="AR1593" s="270"/>
      <c r="AS1593" s="674"/>
      <c r="AT1593" s="674"/>
      <c r="AU1593" s="270"/>
      <c r="AV1593" s="270"/>
      <c r="AW1593" s="270"/>
      <c r="AX1593" s="270"/>
      <c r="AY1593" s="270"/>
      <c r="AZ1593" s="270"/>
      <c r="BA1593" s="270" t="str">
        <f>IF(Table1[[#This Row],[Data de Início]]="","",YEAR(Table1[[#This Row],[Data de Início]]))</f>
        <v/>
      </c>
      <c r="BB1593" s="270" t="str">
        <f>IF(Table1[[#This Row],[Data de Início]]="","",MONTH(Table1[[#This Row],[Data de Início]]))</f>
        <v/>
      </c>
      <c r="BC1593" s="483"/>
    </row>
    <row r="1594" spans="2:55" x14ac:dyDescent="0.25">
      <c r="B1594" s="470"/>
      <c r="C1594" s="263"/>
      <c r="D1594" s="477" cm="1">
        <f t="array" ref="D1594">IFERROR(HorasUteisFabrica2Turnos(B1594,C1594), "")</f>
        <v>0</v>
      </c>
      <c r="E1594" s="478" t="str">
        <f t="shared" si="25"/>
        <v/>
      </c>
      <c r="F1594" s="266"/>
      <c r="G1594" s="656"/>
      <c r="H1594" s="479"/>
      <c r="I1594" s="268"/>
      <c r="J1594" s="268"/>
      <c r="K1594" s="268"/>
      <c r="L1594" s="269"/>
      <c r="M1594" s="511" t="str">
        <f>IFERROR(INDEX([1]Produtos!$C:$C,MATCH(L1594,[1]Produtos!$B:$B,0)), "-")</f>
        <v>-</v>
      </c>
      <c r="N1594" s="511" t="str">
        <f>IFERROR(INDEX([1]Produtos!$E:$E,MATCH(L1594,[1]Produtos!$B:$B,0)), "-")</f>
        <v>-</v>
      </c>
      <c r="O1594" s="483" t="str">
        <f>IFERROR(INDEX([1]Produtos!$F:$F,MATCH(L1594,[1]Produtos!$B:$B,0)), "-")</f>
        <v>-</v>
      </c>
      <c r="P1594" s="477" t="str">
        <f>IFERROR(INDEX([1]Produtos!$G:$G,MATCH(L1594,[1]Produtos!$B:$B,0)), "-")</f>
        <v>-</v>
      </c>
      <c r="Q1594" s="483" t="str">
        <f>IFERROR(INDEX([1]Produtos!$H:$H,MATCH(L1594,[1]Produtos!$B:$B,0)), "-")</f>
        <v>-</v>
      </c>
      <c r="R1594" s="483" t="str">
        <f>IFERROR(INDEX([1]Produtos!$I:$I,MATCH(L1594,[1]Produtos!$B:$B,0)), "-")</f>
        <v>-</v>
      </c>
      <c r="S1594" s="483" t="str">
        <f>IFERROR(INDEX([1]Produtos!$J:$J,MATCH(L1594,[1]Produtos!$B:$B,0)), "-")</f>
        <v>-</v>
      </c>
      <c r="T1594" s="484"/>
      <c r="U1594" s="483"/>
      <c r="V1594" s="483"/>
      <c r="W1594" s="483"/>
      <c r="X1594" s="483"/>
      <c r="Y1594" s="483"/>
      <c r="Z1594" s="483"/>
      <c r="AA1594" s="483"/>
      <c r="AB1594" s="483"/>
      <c r="AC1594" s="483"/>
      <c r="AD1594" s="483"/>
      <c r="AE1594" s="483"/>
      <c r="AF1594" s="483"/>
      <c r="AG1594" s="483"/>
      <c r="AH1594" s="483"/>
      <c r="AI1594" s="483"/>
      <c r="AJ1594" s="483"/>
      <c r="AK1594" s="483"/>
      <c r="AL1594" s="483"/>
      <c r="AM1594" s="670"/>
      <c r="AN1594" s="670"/>
      <c r="AO1594" s="711" t="str">
        <f>IF(OR(Table1[[#This Row],[Início Setup Envase]]="",Table1[[#This Row],[Final Setup Envase]]=""),"",Table1[[#This Row],[Final Setup Envase]]-Table1[[#This Row],[Início Setup Envase]])</f>
        <v/>
      </c>
      <c r="AP1594" s="670"/>
      <c r="AQ1594" s="670"/>
      <c r="AR1594" s="483"/>
      <c r="AS1594" s="483"/>
      <c r="AT1594" s="483"/>
      <c r="AU1594" s="483"/>
      <c r="AV1594" s="483"/>
      <c r="AW1594" s="483"/>
      <c r="AX1594" s="483"/>
      <c r="AY1594" s="270"/>
      <c r="AZ1594" s="270"/>
      <c r="BA1594" s="270" t="str">
        <f>IF(Table1[[#This Row],[Data de Início]]="","",YEAR(Table1[[#This Row],[Data de Início]]))</f>
        <v/>
      </c>
      <c r="BB1594" s="270" t="str">
        <f>IF(Table1[[#This Row],[Data de Início]]="","",MONTH(Table1[[#This Row],[Data de Início]]))</f>
        <v/>
      </c>
      <c r="BC1594" s="270"/>
    </row>
    <row r="1595" spans="2:55" x14ac:dyDescent="0.25">
      <c r="B1595" s="470"/>
      <c r="C1595" s="263"/>
      <c r="D1595" s="477" cm="1">
        <f t="array" ref="D1595">IFERROR(HorasUteisFabrica2Turnos(B1595,C1595), "")</f>
        <v>0</v>
      </c>
      <c r="E1595" s="697" t="str">
        <f t="shared" si="25"/>
        <v/>
      </c>
      <c r="F1595" s="266"/>
      <c r="G1595" s="698"/>
      <c r="H1595" s="266"/>
      <c r="I1595" s="268"/>
      <c r="J1595" s="268"/>
      <c r="K1595" s="268"/>
      <c r="L1595" s="269"/>
      <c r="M1595" s="510" t="str">
        <f>IFERROR(INDEX([1]Produtos!$C:$C,MATCH(L1595,[1]Produtos!$B:$B,0)), "-")</f>
        <v>-</v>
      </c>
      <c r="N1595" s="510" t="str">
        <f>IFERROR(INDEX([1]Produtos!$E:$E,MATCH(L1595,[1]Produtos!$B:$B,0)), "-")</f>
        <v>-</v>
      </c>
      <c r="O1595" s="270" t="str">
        <f>IFERROR(INDEX([1]Produtos!$F:$F,MATCH(L1595,[1]Produtos!$B:$B,0)), "-")</f>
        <v>-</v>
      </c>
      <c r="P1595" s="264" t="str">
        <f>IFERROR(INDEX([1]Produtos!$G:$G,MATCH(L1595,[1]Produtos!$B:$B,0)), "-")</f>
        <v>-</v>
      </c>
      <c r="Q1595" s="270" t="str">
        <f>IFERROR(INDEX([1]Produtos!$H:$H,MATCH(L1595,[1]Produtos!$B:$B,0)), "-")</f>
        <v>-</v>
      </c>
      <c r="R1595" s="270" t="str">
        <f>IFERROR(INDEX([1]Produtos!$I:$I,MATCH(L1595,[1]Produtos!$B:$B,0)), "-")</f>
        <v>-</v>
      </c>
      <c r="S1595" s="270" t="str">
        <f>IFERROR(INDEX([1]Produtos!$J:$J,MATCH(L1595,[1]Produtos!$B:$B,0)), "-")</f>
        <v>-</v>
      </c>
      <c r="T1595" s="475"/>
      <c r="U1595" s="270"/>
      <c r="V1595" s="270"/>
      <c r="W1595" s="270"/>
      <c r="X1595" s="270"/>
      <c r="Y1595" s="270"/>
      <c r="Z1595" s="270"/>
      <c r="AA1595" s="270"/>
      <c r="AB1595" s="270"/>
      <c r="AC1595" s="270"/>
      <c r="AD1595" s="270"/>
      <c r="AE1595" s="270"/>
      <c r="AF1595" s="270"/>
      <c r="AG1595" s="270"/>
      <c r="AH1595" s="270"/>
      <c r="AI1595" s="270"/>
      <c r="AJ1595" s="270"/>
      <c r="AK1595" s="270"/>
      <c r="AL1595" s="270"/>
      <c r="AM1595" s="663"/>
      <c r="AN1595" s="663"/>
      <c r="AO1595" s="708" t="str">
        <f>IF(OR(Table1[[#This Row],[Início Setup Envase]]="",Table1[[#This Row],[Final Setup Envase]]=""),"",Table1[[#This Row],[Final Setup Envase]]-Table1[[#This Row],[Início Setup Envase]])</f>
        <v/>
      </c>
      <c r="AP1595" s="663"/>
      <c r="AQ1595" s="663"/>
      <c r="AR1595" s="270"/>
      <c r="AS1595" s="674"/>
      <c r="AT1595" s="674"/>
      <c r="AU1595" s="270"/>
      <c r="AV1595" s="270"/>
      <c r="AW1595" s="270"/>
      <c r="AX1595" s="270"/>
      <c r="AY1595" s="270"/>
      <c r="AZ1595" s="270"/>
      <c r="BA1595" s="270" t="str">
        <f>IF(Table1[[#This Row],[Data de Início]]="","",YEAR(Table1[[#This Row],[Data de Início]]))</f>
        <v/>
      </c>
      <c r="BB1595" s="270" t="str">
        <f>IF(Table1[[#This Row],[Data de Início]]="","",MONTH(Table1[[#This Row],[Data de Início]]))</f>
        <v/>
      </c>
      <c r="BC1595" s="483"/>
    </row>
    <row r="1596" spans="2:55" x14ac:dyDescent="0.25">
      <c r="B1596" s="470"/>
      <c r="C1596" s="263"/>
      <c r="D1596" s="477" cm="1">
        <f t="array" ref="D1596">IFERROR(HorasUteisFabrica2Turnos(B1596,C1596), "")</f>
        <v>0</v>
      </c>
      <c r="E1596" s="478" t="str">
        <f t="shared" si="25"/>
        <v/>
      </c>
      <c r="F1596" s="266"/>
      <c r="G1596" s="656"/>
      <c r="H1596" s="479"/>
      <c r="I1596" s="268"/>
      <c r="J1596" s="268"/>
      <c r="K1596" s="268"/>
      <c r="L1596" s="269"/>
      <c r="M1596" s="511" t="str">
        <f>IFERROR(INDEX([1]Produtos!$C:$C,MATCH(L1596,[1]Produtos!$B:$B,0)), "-")</f>
        <v>-</v>
      </c>
      <c r="N1596" s="511" t="str">
        <f>IFERROR(INDEX([1]Produtos!$E:$E,MATCH(L1596,[1]Produtos!$B:$B,0)), "-")</f>
        <v>-</v>
      </c>
      <c r="O1596" s="483" t="str">
        <f>IFERROR(INDEX([1]Produtos!$F:$F,MATCH(L1596,[1]Produtos!$B:$B,0)), "-")</f>
        <v>-</v>
      </c>
      <c r="P1596" s="477" t="str">
        <f>IFERROR(INDEX([1]Produtos!$G:$G,MATCH(L1596,[1]Produtos!$B:$B,0)), "-")</f>
        <v>-</v>
      </c>
      <c r="Q1596" s="483" t="str">
        <f>IFERROR(INDEX([1]Produtos!$H:$H,MATCH(L1596,[1]Produtos!$B:$B,0)), "-")</f>
        <v>-</v>
      </c>
      <c r="R1596" s="483" t="str">
        <f>IFERROR(INDEX([1]Produtos!$I:$I,MATCH(L1596,[1]Produtos!$B:$B,0)), "-")</f>
        <v>-</v>
      </c>
      <c r="S1596" s="483" t="str">
        <f>IFERROR(INDEX([1]Produtos!$J:$J,MATCH(L1596,[1]Produtos!$B:$B,0)), "-")</f>
        <v>-</v>
      </c>
      <c r="T1596" s="484"/>
      <c r="U1596" s="483"/>
      <c r="V1596" s="483"/>
      <c r="W1596" s="483"/>
      <c r="X1596" s="483"/>
      <c r="Y1596" s="483"/>
      <c r="Z1596" s="483"/>
      <c r="AA1596" s="483"/>
      <c r="AB1596" s="483"/>
      <c r="AC1596" s="483"/>
      <c r="AD1596" s="483"/>
      <c r="AE1596" s="483"/>
      <c r="AF1596" s="483"/>
      <c r="AG1596" s="483"/>
      <c r="AH1596" s="483"/>
      <c r="AI1596" s="483"/>
      <c r="AJ1596" s="483"/>
      <c r="AK1596" s="483"/>
      <c r="AL1596" s="483"/>
      <c r="AM1596" s="670"/>
      <c r="AN1596" s="670"/>
      <c r="AO1596" s="711" t="str">
        <f>IF(OR(Table1[[#This Row],[Início Setup Envase]]="",Table1[[#This Row],[Final Setup Envase]]=""),"",Table1[[#This Row],[Final Setup Envase]]-Table1[[#This Row],[Início Setup Envase]])</f>
        <v/>
      </c>
      <c r="AP1596" s="670"/>
      <c r="AQ1596" s="670"/>
      <c r="AR1596" s="483"/>
      <c r="AS1596" s="483"/>
      <c r="AT1596" s="483"/>
      <c r="AU1596" s="483"/>
      <c r="AV1596" s="483"/>
      <c r="AW1596" s="483"/>
      <c r="AX1596" s="483"/>
      <c r="AY1596" s="270"/>
      <c r="AZ1596" s="270"/>
      <c r="BA1596" s="270" t="str">
        <f>IF(Table1[[#This Row],[Data de Início]]="","",YEAR(Table1[[#This Row],[Data de Início]]))</f>
        <v/>
      </c>
      <c r="BB1596" s="270" t="str">
        <f>IF(Table1[[#This Row],[Data de Início]]="","",MONTH(Table1[[#This Row],[Data de Início]]))</f>
        <v/>
      </c>
      <c r="BC1596" s="270"/>
    </row>
    <row r="1597" spans="2:55" x14ac:dyDescent="0.25">
      <c r="B1597" s="470"/>
      <c r="C1597" s="263"/>
      <c r="D1597" s="477" cm="1">
        <f t="array" ref="D1597">IFERROR(HorasUteisFabrica2Turnos(B1597,C1597), "")</f>
        <v>0</v>
      </c>
      <c r="E1597" s="697" t="str">
        <f t="shared" si="25"/>
        <v/>
      </c>
      <c r="F1597" s="266"/>
      <c r="G1597" s="698"/>
      <c r="H1597" s="266"/>
      <c r="I1597" s="268"/>
      <c r="J1597" s="268"/>
      <c r="K1597" s="268"/>
      <c r="L1597" s="269"/>
      <c r="M1597" s="510" t="str">
        <f>IFERROR(INDEX([1]Produtos!$C:$C,MATCH(L1597,[1]Produtos!$B:$B,0)), "-")</f>
        <v>-</v>
      </c>
      <c r="N1597" s="510" t="str">
        <f>IFERROR(INDEX([1]Produtos!$E:$E,MATCH(L1597,[1]Produtos!$B:$B,0)), "-")</f>
        <v>-</v>
      </c>
      <c r="O1597" s="270" t="str">
        <f>IFERROR(INDEX([1]Produtos!$F:$F,MATCH(L1597,[1]Produtos!$B:$B,0)), "-")</f>
        <v>-</v>
      </c>
      <c r="P1597" s="264" t="str">
        <f>IFERROR(INDEX([1]Produtos!$G:$G,MATCH(L1597,[1]Produtos!$B:$B,0)), "-")</f>
        <v>-</v>
      </c>
      <c r="Q1597" s="270" t="str">
        <f>IFERROR(INDEX([1]Produtos!$H:$H,MATCH(L1597,[1]Produtos!$B:$B,0)), "-")</f>
        <v>-</v>
      </c>
      <c r="R1597" s="270" t="str">
        <f>IFERROR(INDEX([1]Produtos!$I:$I,MATCH(L1597,[1]Produtos!$B:$B,0)), "-")</f>
        <v>-</v>
      </c>
      <c r="S1597" s="270" t="str">
        <f>IFERROR(INDEX([1]Produtos!$J:$J,MATCH(L1597,[1]Produtos!$B:$B,0)), "-")</f>
        <v>-</v>
      </c>
      <c r="T1597" s="475"/>
      <c r="U1597" s="270"/>
      <c r="V1597" s="270"/>
      <c r="W1597" s="270"/>
      <c r="X1597" s="270"/>
      <c r="Y1597" s="270"/>
      <c r="Z1597" s="270"/>
      <c r="AA1597" s="270"/>
      <c r="AB1597" s="270"/>
      <c r="AC1597" s="270"/>
      <c r="AD1597" s="270"/>
      <c r="AE1597" s="270"/>
      <c r="AF1597" s="270"/>
      <c r="AG1597" s="270"/>
      <c r="AH1597" s="270"/>
      <c r="AI1597" s="270"/>
      <c r="AJ1597" s="270"/>
      <c r="AK1597" s="270"/>
      <c r="AL1597" s="270"/>
      <c r="AM1597" s="663"/>
      <c r="AN1597" s="663"/>
      <c r="AO1597" s="708" t="str">
        <f>IF(OR(Table1[[#This Row],[Início Setup Envase]]="",Table1[[#This Row],[Final Setup Envase]]=""),"",Table1[[#This Row],[Final Setup Envase]]-Table1[[#This Row],[Início Setup Envase]])</f>
        <v/>
      </c>
      <c r="AP1597" s="663"/>
      <c r="AQ1597" s="663"/>
      <c r="AR1597" s="270"/>
      <c r="AS1597" s="674"/>
      <c r="AT1597" s="674"/>
      <c r="AU1597" s="270"/>
      <c r="AV1597" s="270"/>
      <c r="AW1597" s="270"/>
      <c r="AX1597" s="270"/>
      <c r="AY1597" s="270"/>
      <c r="AZ1597" s="270"/>
      <c r="BA1597" s="270" t="str">
        <f>IF(Table1[[#This Row],[Data de Início]]="","",YEAR(Table1[[#This Row],[Data de Início]]))</f>
        <v/>
      </c>
      <c r="BB1597" s="270" t="str">
        <f>IF(Table1[[#This Row],[Data de Início]]="","",MONTH(Table1[[#This Row],[Data de Início]]))</f>
        <v/>
      </c>
      <c r="BC1597" s="483"/>
    </row>
    <row r="1598" spans="2:55" x14ac:dyDescent="0.25">
      <c r="B1598" s="470"/>
      <c r="C1598" s="263"/>
      <c r="D1598" s="477" cm="1">
        <f t="array" ref="D1598">IFERROR(HorasUteisFabrica2Turnos(B1598,C1598), "")</f>
        <v>0</v>
      </c>
      <c r="E1598" s="478" t="str">
        <f t="shared" si="25"/>
        <v/>
      </c>
      <c r="F1598" s="266"/>
      <c r="G1598" s="656"/>
      <c r="H1598" s="479"/>
      <c r="I1598" s="268"/>
      <c r="J1598" s="268"/>
      <c r="K1598" s="268"/>
      <c r="L1598" s="269"/>
      <c r="M1598" s="511" t="str">
        <f>IFERROR(INDEX([1]Produtos!$C:$C,MATCH(L1598,[1]Produtos!$B:$B,0)), "-")</f>
        <v>-</v>
      </c>
      <c r="N1598" s="511" t="str">
        <f>IFERROR(INDEX([1]Produtos!$E:$E,MATCH(L1598,[1]Produtos!$B:$B,0)), "-")</f>
        <v>-</v>
      </c>
      <c r="O1598" s="483" t="str">
        <f>IFERROR(INDEX([1]Produtos!$F:$F,MATCH(L1598,[1]Produtos!$B:$B,0)), "-")</f>
        <v>-</v>
      </c>
      <c r="P1598" s="477" t="str">
        <f>IFERROR(INDEX([1]Produtos!$G:$G,MATCH(L1598,[1]Produtos!$B:$B,0)), "-")</f>
        <v>-</v>
      </c>
      <c r="Q1598" s="483" t="str">
        <f>IFERROR(INDEX([1]Produtos!$H:$H,MATCH(L1598,[1]Produtos!$B:$B,0)), "-")</f>
        <v>-</v>
      </c>
      <c r="R1598" s="483" t="str">
        <f>IFERROR(INDEX([1]Produtos!$I:$I,MATCH(L1598,[1]Produtos!$B:$B,0)), "-")</f>
        <v>-</v>
      </c>
      <c r="S1598" s="483" t="str">
        <f>IFERROR(INDEX([1]Produtos!$J:$J,MATCH(L1598,[1]Produtos!$B:$B,0)), "-")</f>
        <v>-</v>
      </c>
      <c r="T1598" s="484"/>
      <c r="U1598" s="483"/>
      <c r="V1598" s="483"/>
      <c r="W1598" s="483"/>
      <c r="X1598" s="483"/>
      <c r="Y1598" s="483"/>
      <c r="Z1598" s="483"/>
      <c r="AA1598" s="483"/>
      <c r="AB1598" s="483"/>
      <c r="AC1598" s="483"/>
      <c r="AD1598" s="483"/>
      <c r="AE1598" s="483"/>
      <c r="AF1598" s="483"/>
      <c r="AG1598" s="483"/>
      <c r="AH1598" s="483"/>
      <c r="AI1598" s="483"/>
      <c r="AJ1598" s="483"/>
      <c r="AK1598" s="483"/>
      <c r="AL1598" s="483"/>
      <c r="AM1598" s="670"/>
      <c r="AN1598" s="670"/>
      <c r="AO1598" s="711" t="str">
        <f>IF(OR(Table1[[#This Row],[Início Setup Envase]]="",Table1[[#This Row],[Final Setup Envase]]=""),"",Table1[[#This Row],[Final Setup Envase]]-Table1[[#This Row],[Início Setup Envase]])</f>
        <v/>
      </c>
      <c r="AP1598" s="670"/>
      <c r="AQ1598" s="670"/>
      <c r="AR1598" s="483"/>
      <c r="AS1598" s="483"/>
      <c r="AT1598" s="483"/>
      <c r="AU1598" s="483"/>
      <c r="AV1598" s="483"/>
      <c r="AW1598" s="483"/>
      <c r="AX1598" s="483"/>
      <c r="AY1598" s="270"/>
      <c r="AZ1598" s="270"/>
      <c r="BA1598" s="270" t="str">
        <f>IF(Table1[[#This Row],[Data de Início]]="","",YEAR(Table1[[#This Row],[Data de Início]]))</f>
        <v/>
      </c>
      <c r="BB1598" s="270" t="str">
        <f>IF(Table1[[#This Row],[Data de Início]]="","",MONTH(Table1[[#This Row],[Data de Início]]))</f>
        <v/>
      </c>
      <c r="BC1598" s="270"/>
    </row>
    <row r="1599" spans="2:55" x14ac:dyDescent="0.25">
      <c r="B1599" s="470"/>
      <c r="C1599" s="263"/>
      <c r="D1599" s="477" cm="1">
        <f t="array" ref="D1599">IFERROR(HorasUteisFabrica2Turnos(B1599,C1599), "")</f>
        <v>0</v>
      </c>
      <c r="E1599" s="697" t="str">
        <f t="shared" si="25"/>
        <v/>
      </c>
      <c r="F1599" s="266"/>
      <c r="G1599" s="698"/>
      <c r="H1599" s="266"/>
      <c r="I1599" s="268"/>
      <c r="J1599" s="268"/>
      <c r="K1599" s="268"/>
      <c r="L1599" s="269"/>
      <c r="M1599" s="510" t="str">
        <f>IFERROR(INDEX([1]Produtos!$C:$C,MATCH(L1599,[1]Produtos!$B:$B,0)), "-")</f>
        <v>-</v>
      </c>
      <c r="N1599" s="510" t="str">
        <f>IFERROR(INDEX([1]Produtos!$E:$E,MATCH(L1599,[1]Produtos!$B:$B,0)), "-")</f>
        <v>-</v>
      </c>
      <c r="O1599" s="270" t="str">
        <f>IFERROR(INDEX([1]Produtos!$F:$F,MATCH(L1599,[1]Produtos!$B:$B,0)), "-")</f>
        <v>-</v>
      </c>
      <c r="P1599" s="264" t="str">
        <f>IFERROR(INDEX([1]Produtos!$G:$G,MATCH(L1599,[1]Produtos!$B:$B,0)), "-")</f>
        <v>-</v>
      </c>
      <c r="Q1599" s="270" t="str">
        <f>IFERROR(INDEX([1]Produtos!$H:$H,MATCH(L1599,[1]Produtos!$B:$B,0)), "-")</f>
        <v>-</v>
      </c>
      <c r="R1599" s="270" t="str">
        <f>IFERROR(INDEX([1]Produtos!$I:$I,MATCH(L1599,[1]Produtos!$B:$B,0)), "-")</f>
        <v>-</v>
      </c>
      <c r="S1599" s="270" t="str">
        <f>IFERROR(INDEX([1]Produtos!$J:$J,MATCH(L1599,[1]Produtos!$B:$B,0)), "-")</f>
        <v>-</v>
      </c>
      <c r="T1599" s="475"/>
      <c r="U1599" s="270"/>
      <c r="V1599" s="270"/>
      <c r="W1599" s="270"/>
      <c r="X1599" s="270"/>
      <c r="Y1599" s="270"/>
      <c r="Z1599" s="270"/>
      <c r="AA1599" s="270"/>
      <c r="AB1599" s="270"/>
      <c r="AC1599" s="270"/>
      <c r="AD1599" s="270"/>
      <c r="AE1599" s="270"/>
      <c r="AF1599" s="270"/>
      <c r="AG1599" s="270"/>
      <c r="AH1599" s="270"/>
      <c r="AI1599" s="270"/>
      <c r="AJ1599" s="270"/>
      <c r="AK1599" s="270"/>
      <c r="AL1599" s="270"/>
      <c r="AM1599" s="663"/>
      <c r="AN1599" s="663"/>
      <c r="AO1599" s="708" t="str">
        <f>IF(OR(Table1[[#This Row],[Início Setup Envase]]="",Table1[[#This Row],[Final Setup Envase]]=""),"",Table1[[#This Row],[Final Setup Envase]]-Table1[[#This Row],[Início Setup Envase]])</f>
        <v/>
      </c>
      <c r="AP1599" s="663"/>
      <c r="AQ1599" s="663"/>
      <c r="AR1599" s="270"/>
      <c r="AS1599" s="674"/>
      <c r="AT1599" s="674"/>
      <c r="AU1599" s="270"/>
      <c r="AV1599" s="270"/>
      <c r="AW1599" s="270"/>
      <c r="AX1599" s="270"/>
      <c r="AY1599" s="270"/>
      <c r="AZ1599" s="270"/>
      <c r="BA1599" s="270" t="str">
        <f>IF(Table1[[#This Row],[Data de Início]]="","",YEAR(Table1[[#This Row],[Data de Início]]))</f>
        <v/>
      </c>
      <c r="BB1599" s="270" t="str">
        <f>IF(Table1[[#This Row],[Data de Início]]="","",MONTH(Table1[[#This Row],[Data de Início]]))</f>
        <v/>
      </c>
      <c r="BC1599" s="483"/>
    </row>
    <row r="1600" spans="2:55" x14ac:dyDescent="0.25">
      <c r="B1600" s="470"/>
      <c r="C1600" s="263"/>
      <c r="D1600" s="477" cm="1">
        <f t="array" ref="D1600">IFERROR(HorasUteisFabrica2Turnos(B1600,C1600), "")</f>
        <v>0</v>
      </c>
      <c r="E1600" s="478" t="str">
        <f t="shared" si="25"/>
        <v/>
      </c>
      <c r="F1600" s="266"/>
      <c r="G1600" s="656"/>
      <c r="H1600" s="479"/>
      <c r="I1600" s="268"/>
      <c r="J1600" s="268"/>
      <c r="K1600" s="268"/>
      <c r="L1600" s="269"/>
      <c r="M1600" s="511" t="str">
        <f>IFERROR(INDEX([1]Produtos!$C:$C,MATCH(L1600,[1]Produtos!$B:$B,0)), "-")</f>
        <v>-</v>
      </c>
      <c r="N1600" s="511" t="str">
        <f>IFERROR(INDEX([1]Produtos!$E:$E,MATCH(L1600,[1]Produtos!$B:$B,0)), "-")</f>
        <v>-</v>
      </c>
      <c r="O1600" s="483" t="str">
        <f>IFERROR(INDEX([1]Produtos!$F:$F,MATCH(L1600,[1]Produtos!$B:$B,0)), "-")</f>
        <v>-</v>
      </c>
      <c r="P1600" s="477" t="str">
        <f>IFERROR(INDEX([1]Produtos!$G:$G,MATCH(L1600,[1]Produtos!$B:$B,0)), "-")</f>
        <v>-</v>
      </c>
      <c r="Q1600" s="483" t="str">
        <f>IFERROR(INDEX([1]Produtos!$H:$H,MATCH(L1600,[1]Produtos!$B:$B,0)), "-")</f>
        <v>-</v>
      </c>
      <c r="R1600" s="483" t="str">
        <f>IFERROR(INDEX([1]Produtos!$I:$I,MATCH(L1600,[1]Produtos!$B:$B,0)), "-")</f>
        <v>-</v>
      </c>
      <c r="S1600" s="483" t="str">
        <f>IFERROR(INDEX([1]Produtos!$J:$J,MATCH(L1600,[1]Produtos!$B:$B,0)), "-")</f>
        <v>-</v>
      </c>
      <c r="T1600" s="484"/>
      <c r="U1600" s="483"/>
      <c r="V1600" s="483"/>
      <c r="W1600" s="483"/>
      <c r="X1600" s="483"/>
      <c r="Y1600" s="483"/>
      <c r="Z1600" s="483"/>
      <c r="AA1600" s="483"/>
      <c r="AB1600" s="483"/>
      <c r="AC1600" s="483"/>
      <c r="AD1600" s="483"/>
      <c r="AE1600" s="483"/>
      <c r="AF1600" s="483"/>
      <c r="AG1600" s="483"/>
      <c r="AH1600" s="483"/>
      <c r="AI1600" s="483"/>
      <c r="AJ1600" s="483"/>
      <c r="AK1600" s="483"/>
      <c r="AL1600" s="483"/>
      <c r="AM1600" s="670"/>
      <c r="AN1600" s="670"/>
      <c r="AO1600" s="711" t="str">
        <f>IF(OR(Table1[[#This Row],[Início Setup Envase]]="",Table1[[#This Row],[Final Setup Envase]]=""),"",Table1[[#This Row],[Final Setup Envase]]-Table1[[#This Row],[Início Setup Envase]])</f>
        <v/>
      </c>
      <c r="AP1600" s="670"/>
      <c r="AQ1600" s="670"/>
      <c r="AR1600" s="483"/>
      <c r="AS1600" s="483"/>
      <c r="AT1600" s="483"/>
      <c r="AU1600" s="483"/>
      <c r="AV1600" s="483"/>
      <c r="AW1600" s="483"/>
      <c r="AX1600" s="483"/>
      <c r="AY1600" s="270"/>
      <c r="AZ1600" s="270"/>
      <c r="BA1600" s="270" t="str">
        <f>IF(Table1[[#This Row],[Data de Início]]="","",YEAR(Table1[[#This Row],[Data de Início]]))</f>
        <v/>
      </c>
      <c r="BB1600" s="270" t="str">
        <f>IF(Table1[[#This Row],[Data de Início]]="","",MONTH(Table1[[#This Row],[Data de Início]]))</f>
        <v/>
      </c>
      <c r="BC1600" s="270"/>
    </row>
    <row r="1601" spans="2:55" x14ac:dyDescent="0.25">
      <c r="B1601" s="470"/>
      <c r="C1601" s="263"/>
      <c r="D1601" s="477" cm="1">
        <f t="array" ref="D1601">IFERROR(HorasUteisFabrica2Turnos(B1601,C1601), "")</f>
        <v>0</v>
      </c>
      <c r="E1601" s="697" t="str">
        <f t="shared" si="25"/>
        <v/>
      </c>
      <c r="F1601" s="266"/>
      <c r="G1601" s="698"/>
      <c r="H1601" s="266"/>
      <c r="I1601" s="268"/>
      <c r="J1601" s="268"/>
      <c r="K1601" s="268"/>
      <c r="L1601" s="269"/>
      <c r="M1601" s="510" t="str">
        <f>IFERROR(INDEX([1]Produtos!$C:$C,MATCH(L1601,[1]Produtos!$B:$B,0)), "-")</f>
        <v>-</v>
      </c>
      <c r="N1601" s="510" t="str">
        <f>IFERROR(INDEX([1]Produtos!$E:$E,MATCH(L1601,[1]Produtos!$B:$B,0)), "-")</f>
        <v>-</v>
      </c>
      <c r="O1601" s="270" t="str">
        <f>IFERROR(INDEX([1]Produtos!$F:$F,MATCH(L1601,[1]Produtos!$B:$B,0)), "-")</f>
        <v>-</v>
      </c>
      <c r="P1601" s="264" t="str">
        <f>IFERROR(INDEX([1]Produtos!$G:$G,MATCH(L1601,[1]Produtos!$B:$B,0)), "-")</f>
        <v>-</v>
      </c>
      <c r="Q1601" s="270" t="str">
        <f>IFERROR(INDEX([1]Produtos!$H:$H,MATCH(L1601,[1]Produtos!$B:$B,0)), "-")</f>
        <v>-</v>
      </c>
      <c r="R1601" s="270" t="str">
        <f>IFERROR(INDEX([1]Produtos!$I:$I,MATCH(L1601,[1]Produtos!$B:$B,0)), "-")</f>
        <v>-</v>
      </c>
      <c r="S1601" s="270" t="str">
        <f>IFERROR(INDEX([1]Produtos!$J:$J,MATCH(L1601,[1]Produtos!$B:$B,0)), "-")</f>
        <v>-</v>
      </c>
      <c r="T1601" s="475"/>
      <c r="U1601" s="270"/>
      <c r="V1601" s="270"/>
      <c r="W1601" s="270"/>
      <c r="X1601" s="270"/>
      <c r="Y1601" s="270"/>
      <c r="Z1601" s="270"/>
      <c r="AA1601" s="270"/>
      <c r="AB1601" s="270"/>
      <c r="AC1601" s="270"/>
      <c r="AD1601" s="270"/>
      <c r="AE1601" s="270"/>
      <c r="AF1601" s="270"/>
      <c r="AG1601" s="270"/>
      <c r="AH1601" s="270"/>
      <c r="AI1601" s="270"/>
      <c r="AJ1601" s="270"/>
      <c r="AK1601" s="270"/>
      <c r="AL1601" s="270"/>
      <c r="AM1601" s="663"/>
      <c r="AN1601" s="663"/>
      <c r="AO1601" s="708" t="str">
        <f>IF(OR(Table1[[#This Row],[Início Setup Envase]]="",Table1[[#This Row],[Final Setup Envase]]=""),"",Table1[[#This Row],[Final Setup Envase]]-Table1[[#This Row],[Início Setup Envase]])</f>
        <v/>
      </c>
      <c r="AP1601" s="663"/>
      <c r="AQ1601" s="663"/>
      <c r="AR1601" s="270"/>
      <c r="AS1601" s="674"/>
      <c r="AT1601" s="674"/>
      <c r="AU1601" s="270"/>
      <c r="AV1601" s="270"/>
      <c r="AW1601" s="270"/>
      <c r="AX1601" s="270"/>
      <c r="AY1601" s="270"/>
      <c r="AZ1601" s="270"/>
      <c r="BA1601" s="270" t="str">
        <f>IF(Table1[[#This Row],[Data de Início]]="","",YEAR(Table1[[#This Row],[Data de Início]]))</f>
        <v/>
      </c>
      <c r="BB1601" s="270" t="str">
        <f>IF(Table1[[#This Row],[Data de Início]]="","",MONTH(Table1[[#This Row],[Data de Início]]))</f>
        <v/>
      </c>
      <c r="BC1601" s="483"/>
    </row>
    <row r="1602" spans="2:55" x14ac:dyDescent="0.25">
      <c r="B1602" s="470"/>
      <c r="C1602" s="263"/>
      <c r="D1602" s="477" cm="1">
        <f t="array" ref="D1602">IFERROR(HorasUteisFabrica2Turnos(B1602,C1602), "")</f>
        <v>0</v>
      </c>
      <c r="E1602" s="478" t="str">
        <f t="shared" si="25"/>
        <v/>
      </c>
      <c r="F1602" s="266"/>
      <c r="G1602" s="656"/>
      <c r="H1602" s="479"/>
      <c r="I1602" s="268"/>
      <c r="J1602" s="268"/>
      <c r="K1602" s="268"/>
      <c r="L1602" s="269"/>
      <c r="M1602" s="511" t="str">
        <f>IFERROR(INDEX([1]Produtos!$C:$C,MATCH(L1602,[1]Produtos!$B:$B,0)), "-")</f>
        <v>-</v>
      </c>
      <c r="N1602" s="511" t="str">
        <f>IFERROR(INDEX([1]Produtos!$E:$E,MATCH(L1602,[1]Produtos!$B:$B,0)), "-")</f>
        <v>-</v>
      </c>
      <c r="O1602" s="483" t="str">
        <f>IFERROR(INDEX([1]Produtos!$F:$F,MATCH(L1602,[1]Produtos!$B:$B,0)), "-")</f>
        <v>-</v>
      </c>
      <c r="P1602" s="477" t="str">
        <f>IFERROR(INDEX([1]Produtos!$G:$G,MATCH(L1602,[1]Produtos!$B:$B,0)), "-")</f>
        <v>-</v>
      </c>
      <c r="Q1602" s="483" t="str">
        <f>IFERROR(INDEX([1]Produtos!$H:$H,MATCH(L1602,[1]Produtos!$B:$B,0)), "-")</f>
        <v>-</v>
      </c>
      <c r="R1602" s="483" t="str">
        <f>IFERROR(INDEX([1]Produtos!$I:$I,MATCH(L1602,[1]Produtos!$B:$B,0)), "-")</f>
        <v>-</v>
      </c>
      <c r="S1602" s="483" t="str">
        <f>IFERROR(INDEX([1]Produtos!$J:$J,MATCH(L1602,[1]Produtos!$B:$B,0)), "-")</f>
        <v>-</v>
      </c>
      <c r="T1602" s="484"/>
      <c r="U1602" s="483"/>
      <c r="V1602" s="483"/>
      <c r="W1602" s="483"/>
      <c r="X1602" s="483"/>
      <c r="Y1602" s="483"/>
      <c r="Z1602" s="483"/>
      <c r="AA1602" s="483"/>
      <c r="AB1602" s="483"/>
      <c r="AC1602" s="483"/>
      <c r="AD1602" s="483"/>
      <c r="AE1602" s="483"/>
      <c r="AF1602" s="483"/>
      <c r="AG1602" s="483"/>
      <c r="AH1602" s="483"/>
      <c r="AI1602" s="483"/>
      <c r="AJ1602" s="483"/>
      <c r="AK1602" s="483"/>
      <c r="AL1602" s="483"/>
      <c r="AM1602" s="670"/>
      <c r="AN1602" s="670"/>
      <c r="AO1602" s="711" t="str">
        <f>IF(OR(Table1[[#This Row],[Início Setup Envase]]="",Table1[[#This Row],[Final Setup Envase]]=""),"",Table1[[#This Row],[Final Setup Envase]]-Table1[[#This Row],[Início Setup Envase]])</f>
        <v/>
      </c>
      <c r="AP1602" s="670"/>
      <c r="AQ1602" s="670"/>
      <c r="AR1602" s="483"/>
      <c r="AS1602" s="483"/>
      <c r="AT1602" s="483"/>
      <c r="AU1602" s="483"/>
      <c r="AV1602" s="483"/>
      <c r="AW1602" s="483"/>
      <c r="AX1602" s="483"/>
      <c r="AY1602" s="270"/>
      <c r="AZ1602" s="270"/>
      <c r="BA1602" s="270" t="str">
        <f>IF(Table1[[#This Row],[Data de Início]]="","",YEAR(Table1[[#This Row],[Data de Início]]))</f>
        <v/>
      </c>
      <c r="BB1602" s="270" t="str">
        <f>IF(Table1[[#This Row],[Data de Início]]="","",MONTH(Table1[[#This Row],[Data de Início]]))</f>
        <v/>
      </c>
      <c r="BC1602" s="270"/>
    </row>
    <row r="1603" spans="2:55" x14ac:dyDescent="0.25">
      <c r="B1603" s="470"/>
      <c r="C1603" s="263"/>
      <c r="D1603" s="477" cm="1">
        <f t="array" ref="D1603">IFERROR(HorasUteisFabrica2Turnos(B1603,C1603), "")</f>
        <v>0</v>
      </c>
      <c r="E1603" s="697" t="str">
        <f t="shared" si="25"/>
        <v/>
      </c>
      <c r="F1603" s="266"/>
      <c r="G1603" s="698"/>
      <c r="H1603" s="266"/>
      <c r="I1603" s="268"/>
      <c r="J1603" s="268"/>
      <c r="K1603" s="268"/>
      <c r="L1603" s="269"/>
      <c r="M1603" s="510" t="str">
        <f>IFERROR(INDEX([1]Produtos!$C:$C,MATCH(L1603,[1]Produtos!$B:$B,0)), "-")</f>
        <v>-</v>
      </c>
      <c r="N1603" s="510" t="str">
        <f>IFERROR(INDEX([1]Produtos!$E:$E,MATCH(L1603,[1]Produtos!$B:$B,0)), "-")</f>
        <v>-</v>
      </c>
      <c r="O1603" s="270" t="str">
        <f>IFERROR(INDEX([1]Produtos!$F:$F,MATCH(L1603,[1]Produtos!$B:$B,0)), "-")</f>
        <v>-</v>
      </c>
      <c r="P1603" s="264" t="str">
        <f>IFERROR(INDEX([1]Produtos!$G:$G,MATCH(L1603,[1]Produtos!$B:$B,0)), "-")</f>
        <v>-</v>
      </c>
      <c r="Q1603" s="270" t="str">
        <f>IFERROR(INDEX([1]Produtos!$H:$H,MATCH(L1603,[1]Produtos!$B:$B,0)), "-")</f>
        <v>-</v>
      </c>
      <c r="R1603" s="270" t="str">
        <f>IFERROR(INDEX([1]Produtos!$I:$I,MATCH(L1603,[1]Produtos!$B:$B,0)), "-")</f>
        <v>-</v>
      </c>
      <c r="S1603" s="270" t="str">
        <f>IFERROR(INDEX([1]Produtos!$J:$J,MATCH(L1603,[1]Produtos!$B:$B,0)), "-")</f>
        <v>-</v>
      </c>
      <c r="T1603" s="475"/>
      <c r="U1603" s="270"/>
      <c r="V1603" s="270"/>
      <c r="W1603" s="270"/>
      <c r="X1603" s="270"/>
      <c r="Y1603" s="270"/>
      <c r="Z1603" s="270"/>
      <c r="AA1603" s="270"/>
      <c r="AB1603" s="270"/>
      <c r="AC1603" s="270"/>
      <c r="AD1603" s="270"/>
      <c r="AE1603" s="270"/>
      <c r="AF1603" s="270"/>
      <c r="AG1603" s="270"/>
      <c r="AH1603" s="270"/>
      <c r="AI1603" s="270"/>
      <c r="AJ1603" s="270"/>
      <c r="AK1603" s="270"/>
      <c r="AL1603" s="270"/>
      <c r="AM1603" s="663"/>
      <c r="AN1603" s="663"/>
      <c r="AO1603" s="708" t="str">
        <f>IF(OR(Table1[[#This Row],[Início Setup Envase]]="",Table1[[#This Row],[Final Setup Envase]]=""),"",Table1[[#This Row],[Final Setup Envase]]-Table1[[#This Row],[Início Setup Envase]])</f>
        <v/>
      </c>
      <c r="AP1603" s="663"/>
      <c r="AQ1603" s="663"/>
      <c r="AR1603" s="270"/>
      <c r="AS1603" s="674"/>
      <c r="AT1603" s="674"/>
      <c r="AU1603" s="270"/>
      <c r="AV1603" s="270"/>
      <c r="AW1603" s="270"/>
      <c r="AX1603" s="270"/>
      <c r="AY1603" s="270"/>
      <c r="AZ1603" s="270"/>
      <c r="BA1603" s="270" t="str">
        <f>IF(Table1[[#This Row],[Data de Início]]="","",YEAR(Table1[[#This Row],[Data de Início]]))</f>
        <v/>
      </c>
      <c r="BB1603" s="270" t="str">
        <f>IF(Table1[[#This Row],[Data de Início]]="","",MONTH(Table1[[#This Row],[Data de Início]]))</f>
        <v/>
      </c>
      <c r="BC1603" s="483"/>
    </row>
    <row r="1604" spans="2:55" x14ac:dyDescent="0.25">
      <c r="B1604" s="470"/>
      <c r="C1604" s="263"/>
      <c r="D1604" s="477" cm="1">
        <f t="array" ref="D1604">IFERROR(HorasUteisFabrica2Turnos(B1604,C1604), "")</f>
        <v>0</v>
      </c>
      <c r="E1604" s="478" t="str">
        <f t="shared" si="25"/>
        <v/>
      </c>
      <c r="F1604" s="266"/>
      <c r="G1604" s="656"/>
      <c r="H1604" s="479"/>
      <c r="I1604" s="268"/>
      <c r="J1604" s="268"/>
      <c r="K1604" s="268"/>
      <c r="L1604" s="269"/>
      <c r="M1604" s="511" t="str">
        <f>IFERROR(INDEX([1]Produtos!$C:$C,MATCH(L1604,[1]Produtos!$B:$B,0)), "-")</f>
        <v>-</v>
      </c>
      <c r="N1604" s="511" t="str">
        <f>IFERROR(INDEX([1]Produtos!$E:$E,MATCH(L1604,[1]Produtos!$B:$B,0)), "-")</f>
        <v>-</v>
      </c>
      <c r="O1604" s="483" t="str">
        <f>IFERROR(INDEX([1]Produtos!$F:$F,MATCH(L1604,[1]Produtos!$B:$B,0)), "-")</f>
        <v>-</v>
      </c>
      <c r="P1604" s="477" t="str">
        <f>IFERROR(INDEX([1]Produtos!$G:$G,MATCH(L1604,[1]Produtos!$B:$B,0)), "-")</f>
        <v>-</v>
      </c>
      <c r="Q1604" s="483" t="str">
        <f>IFERROR(INDEX([1]Produtos!$H:$H,MATCH(L1604,[1]Produtos!$B:$B,0)), "-")</f>
        <v>-</v>
      </c>
      <c r="R1604" s="483" t="str">
        <f>IFERROR(INDEX([1]Produtos!$I:$I,MATCH(L1604,[1]Produtos!$B:$B,0)), "-")</f>
        <v>-</v>
      </c>
      <c r="S1604" s="483" t="str">
        <f>IFERROR(INDEX([1]Produtos!$J:$J,MATCH(L1604,[1]Produtos!$B:$B,0)), "-")</f>
        <v>-</v>
      </c>
      <c r="T1604" s="484"/>
      <c r="U1604" s="483"/>
      <c r="V1604" s="483"/>
      <c r="W1604" s="483"/>
      <c r="X1604" s="483"/>
      <c r="Y1604" s="483"/>
      <c r="Z1604" s="483"/>
      <c r="AA1604" s="483"/>
      <c r="AB1604" s="483"/>
      <c r="AC1604" s="483"/>
      <c r="AD1604" s="483"/>
      <c r="AE1604" s="483"/>
      <c r="AF1604" s="483"/>
      <c r="AG1604" s="483"/>
      <c r="AH1604" s="483"/>
      <c r="AI1604" s="483"/>
      <c r="AJ1604" s="483"/>
      <c r="AK1604" s="483"/>
      <c r="AL1604" s="483"/>
      <c r="AM1604" s="670"/>
      <c r="AN1604" s="670"/>
      <c r="AO1604" s="711" t="str">
        <f>IF(OR(Table1[[#This Row],[Início Setup Envase]]="",Table1[[#This Row],[Final Setup Envase]]=""),"",Table1[[#This Row],[Final Setup Envase]]-Table1[[#This Row],[Início Setup Envase]])</f>
        <v/>
      </c>
      <c r="AP1604" s="670"/>
      <c r="AQ1604" s="670"/>
      <c r="AR1604" s="483"/>
      <c r="AS1604" s="483"/>
      <c r="AT1604" s="483"/>
      <c r="AU1604" s="483"/>
      <c r="AV1604" s="483"/>
      <c r="AW1604" s="483"/>
      <c r="AX1604" s="483"/>
      <c r="AY1604" s="270"/>
      <c r="AZ1604" s="270"/>
      <c r="BA1604" s="270" t="str">
        <f>IF(Table1[[#This Row],[Data de Início]]="","",YEAR(Table1[[#This Row],[Data de Início]]))</f>
        <v/>
      </c>
      <c r="BB1604" s="270" t="str">
        <f>IF(Table1[[#This Row],[Data de Início]]="","",MONTH(Table1[[#This Row],[Data de Início]]))</f>
        <v/>
      </c>
      <c r="BC1604" s="270"/>
    </row>
    <row r="1605" spans="2:55" x14ac:dyDescent="0.25">
      <c r="B1605" s="470"/>
      <c r="C1605" s="263"/>
      <c r="D1605" s="477" cm="1">
        <f t="array" ref="D1605">IFERROR(HorasUteisFabrica2Turnos(B1605,C1605), "")</f>
        <v>0</v>
      </c>
      <c r="E1605" s="697" t="str">
        <f t="shared" si="25"/>
        <v/>
      </c>
      <c r="F1605" s="266"/>
      <c r="G1605" s="698"/>
      <c r="H1605" s="266"/>
      <c r="I1605" s="268"/>
      <c r="J1605" s="268"/>
      <c r="K1605" s="268"/>
      <c r="L1605" s="269"/>
      <c r="M1605" s="510" t="str">
        <f>IFERROR(INDEX([1]Produtos!$C:$C,MATCH(L1605,[1]Produtos!$B:$B,0)), "-")</f>
        <v>-</v>
      </c>
      <c r="N1605" s="510" t="str">
        <f>IFERROR(INDEX([1]Produtos!$E:$E,MATCH(L1605,[1]Produtos!$B:$B,0)), "-")</f>
        <v>-</v>
      </c>
      <c r="O1605" s="270" t="str">
        <f>IFERROR(INDEX([1]Produtos!$F:$F,MATCH(L1605,[1]Produtos!$B:$B,0)), "-")</f>
        <v>-</v>
      </c>
      <c r="P1605" s="264" t="str">
        <f>IFERROR(INDEX([1]Produtos!$G:$G,MATCH(L1605,[1]Produtos!$B:$B,0)), "-")</f>
        <v>-</v>
      </c>
      <c r="Q1605" s="270" t="str">
        <f>IFERROR(INDEX([1]Produtos!$H:$H,MATCH(L1605,[1]Produtos!$B:$B,0)), "-")</f>
        <v>-</v>
      </c>
      <c r="R1605" s="270" t="str">
        <f>IFERROR(INDEX([1]Produtos!$I:$I,MATCH(L1605,[1]Produtos!$B:$B,0)), "-")</f>
        <v>-</v>
      </c>
      <c r="S1605" s="270" t="str">
        <f>IFERROR(INDEX([1]Produtos!$J:$J,MATCH(L1605,[1]Produtos!$B:$B,0)), "-")</f>
        <v>-</v>
      </c>
      <c r="T1605" s="475"/>
      <c r="U1605" s="270"/>
      <c r="V1605" s="270"/>
      <c r="W1605" s="270"/>
      <c r="X1605" s="270"/>
      <c r="Y1605" s="270"/>
      <c r="Z1605" s="270"/>
      <c r="AA1605" s="270"/>
      <c r="AB1605" s="270"/>
      <c r="AC1605" s="270"/>
      <c r="AD1605" s="270"/>
      <c r="AE1605" s="270"/>
      <c r="AF1605" s="270"/>
      <c r="AG1605" s="270"/>
      <c r="AH1605" s="270"/>
      <c r="AI1605" s="270"/>
      <c r="AJ1605" s="270"/>
      <c r="AK1605" s="270"/>
      <c r="AL1605" s="270"/>
      <c r="AM1605" s="663"/>
      <c r="AN1605" s="663"/>
      <c r="AO1605" s="708" t="str">
        <f>IF(OR(Table1[[#This Row],[Início Setup Envase]]="",Table1[[#This Row],[Final Setup Envase]]=""),"",Table1[[#This Row],[Final Setup Envase]]-Table1[[#This Row],[Início Setup Envase]])</f>
        <v/>
      </c>
      <c r="AP1605" s="663"/>
      <c r="AQ1605" s="663"/>
      <c r="AR1605" s="270"/>
      <c r="AS1605" s="674"/>
      <c r="AT1605" s="674"/>
      <c r="AU1605" s="270"/>
      <c r="AV1605" s="270"/>
      <c r="AW1605" s="270"/>
      <c r="AX1605" s="270"/>
      <c r="AY1605" s="270"/>
      <c r="AZ1605" s="270"/>
      <c r="BA1605" s="270" t="str">
        <f>IF(Table1[[#This Row],[Data de Início]]="","",YEAR(Table1[[#This Row],[Data de Início]]))</f>
        <v/>
      </c>
      <c r="BB1605" s="270" t="str">
        <f>IF(Table1[[#This Row],[Data de Início]]="","",MONTH(Table1[[#This Row],[Data de Início]]))</f>
        <v/>
      </c>
      <c r="BC1605" s="483"/>
    </row>
    <row r="1606" spans="2:55" x14ac:dyDescent="0.25">
      <c r="B1606" s="470"/>
      <c r="C1606" s="263"/>
      <c r="D1606" s="477" cm="1">
        <f t="array" ref="D1606">IFERROR(HorasUteisFabrica2Turnos(B1606,C1606), "")</f>
        <v>0</v>
      </c>
      <c r="E1606" s="478" t="str">
        <f t="shared" si="25"/>
        <v/>
      </c>
      <c r="F1606" s="266"/>
      <c r="G1606" s="656"/>
      <c r="H1606" s="479"/>
      <c r="I1606" s="268"/>
      <c r="J1606" s="268"/>
      <c r="K1606" s="268"/>
      <c r="L1606" s="269"/>
      <c r="M1606" s="511" t="str">
        <f>IFERROR(INDEX([1]Produtos!$C:$C,MATCH(L1606,[1]Produtos!$B:$B,0)), "-")</f>
        <v>-</v>
      </c>
      <c r="N1606" s="511" t="str">
        <f>IFERROR(INDEX([1]Produtos!$E:$E,MATCH(L1606,[1]Produtos!$B:$B,0)), "-")</f>
        <v>-</v>
      </c>
      <c r="O1606" s="483" t="str">
        <f>IFERROR(INDEX([1]Produtos!$F:$F,MATCH(L1606,[1]Produtos!$B:$B,0)), "-")</f>
        <v>-</v>
      </c>
      <c r="P1606" s="477" t="str">
        <f>IFERROR(INDEX([1]Produtos!$G:$G,MATCH(L1606,[1]Produtos!$B:$B,0)), "-")</f>
        <v>-</v>
      </c>
      <c r="Q1606" s="483" t="str">
        <f>IFERROR(INDEX([1]Produtos!$H:$H,MATCH(L1606,[1]Produtos!$B:$B,0)), "-")</f>
        <v>-</v>
      </c>
      <c r="R1606" s="483" t="str">
        <f>IFERROR(INDEX([1]Produtos!$I:$I,MATCH(L1606,[1]Produtos!$B:$B,0)), "-")</f>
        <v>-</v>
      </c>
      <c r="S1606" s="483" t="str">
        <f>IFERROR(INDEX([1]Produtos!$J:$J,MATCH(L1606,[1]Produtos!$B:$B,0)), "-")</f>
        <v>-</v>
      </c>
      <c r="T1606" s="484"/>
      <c r="U1606" s="483"/>
      <c r="V1606" s="483"/>
      <c r="W1606" s="483"/>
      <c r="X1606" s="483"/>
      <c r="Y1606" s="483"/>
      <c r="Z1606" s="483"/>
      <c r="AA1606" s="483"/>
      <c r="AB1606" s="483"/>
      <c r="AC1606" s="483"/>
      <c r="AD1606" s="483"/>
      <c r="AE1606" s="483"/>
      <c r="AF1606" s="483"/>
      <c r="AG1606" s="483"/>
      <c r="AH1606" s="483"/>
      <c r="AI1606" s="483"/>
      <c r="AJ1606" s="483"/>
      <c r="AK1606" s="483"/>
      <c r="AL1606" s="483"/>
      <c r="AM1606" s="670"/>
      <c r="AN1606" s="670"/>
      <c r="AO1606" s="711" t="str">
        <f>IF(OR(Table1[[#This Row],[Início Setup Envase]]="",Table1[[#This Row],[Final Setup Envase]]=""),"",Table1[[#This Row],[Final Setup Envase]]-Table1[[#This Row],[Início Setup Envase]])</f>
        <v/>
      </c>
      <c r="AP1606" s="670"/>
      <c r="AQ1606" s="670"/>
      <c r="AR1606" s="483"/>
      <c r="AS1606" s="483"/>
      <c r="AT1606" s="483"/>
      <c r="AU1606" s="483"/>
      <c r="AV1606" s="483"/>
      <c r="AW1606" s="483"/>
      <c r="AX1606" s="483"/>
      <c r="AY1606" s="270"/>
      <c r="AZ1606" s="270"/>
      <c r="BA1606" s="270" t="str">
        <f>IF(Table1[[#This Row],[Data de Início]]="","",YEAR(Table1[[#This Row],[Data de Início]]))</f>
        <v/>
      </c>
      <c r="BB1606" s="270" t="str">
        <f>IF(Table1[[#This Row],[Data de Início]]="","",MONTH(Table1[[#This Row],[Data de Início]]))</f>
        <v/>
      </c>
      <c r="BC1606" s="270"/>
    </row>
    <row r="1607" spans="2:55" x14ac:dyDescent="0.25">
      <c r="B1607" s="470"/>
      <c r="C1607" s="263"/>
      <c r="D1607" s="477" cm="1">
        <f t="array" ref="D1607">IFERROR(HorasUteisFabrica2Turnos(B1607,C1607), "")</f>
        <v>0</v>
      </c>
      <c r="E1607" s="697" t="str">
        <f t="shared" si="25"/>
        <v/>
      </c>
      <c r="F1607" s="266"/>
      <c r="G1607" s="698"/>
      <c r="H1607" s="266"/>
      <c r="I1607" s="268"/>
      <c r="J1607" s="268"/>
      <c r="K1607" s="268"/>
      <c r="L1607" s="269"/>
      <c r="M1607" s="510" t="str">
        <f>IFERROR(INDEX([1]Produtos!$C:$C,MATCH(L1607,[1]Produtos!$B:$B,0)), "-")</f>
        <v>-</v>
      </c>
      <c r="N1607" s="510" t="str">
        <f>IFERROR(INDEX([1]Produtos!$E:$E,MATCH(L1607,[1]Produtos!$B:$B,0)), "-")</f>
        <v>-</v>
      </c>
      <c r="O1607" s="270" t="str">
        <f>IFERROR(INDEX([1]Produtos!$F:$F,MATCH(L1607,[1]Produtos!$B:$B,0)), "-")</f>
        <v>-</v>
      </c>
      <c r="P1607" s="264" t="str">
        <f>IFERROR(INDEX([1]Produtos!$G:$G,MATCH(L1607,[1]Produtos!$B:$B,0)), "-")</f>
        <v>-</v>
      </c>
      <c r="Q1607" s="270" t="str">
        <f>IFERROR(INDEX([1]Produtos!$H:$H,MATCH(L1607,[1]Produtos!$B:$B,0)), "-")</f>
        <v>-</v>
      </c>
      <c r="R1607" s="270" t="str">
        <f>IFERROR(INDEX([1]Produtos!$I:$I,MATCH(L1607,[1]Produtos!$B:$B,0)), "-")</f>
        <v>-</v>
      </c>
      <c r="S1607" s="270" t="str">
        <f>IFERROR(INDEX([1]Produtos!$J:$J,MATCH(L1607,[1]Produtos!$B:$B,0)), "-")</f>
        <v>-</v>
      </c>
      <c r="T1607" s="475"/>
      <c r="U1607" s="270"/>
      <c r="V1607" s="270"/>
      <c r="W1607" s="270"/>
      <c r="X1607" s="270"/>
      <c r="Y1607" s="270"/>
      <c r="Z1607" s="270"/>
      <c r="AA1607" s="270"/>
      <c r="AB1607" s="270"/>
      <c r="AC1607" s="270"/>
      <c r="AD1607" s="270"/>
      <c r="AE1607" s="270"/>
      <c r="AF1607" s="270"/>
      <c r="AG1607" s="270"/>
      <c r="AH1607" s="270"/>
      <c r="AI1607" s="270"/>
      <c r="AJ1607" s="270"/>
      <c r="AK1607" s="270"/>
      <c r="AL1607" s="270"/>
      <c r="AM1607" s="663"/>
      <c r="AN1607" s="663"/>
      <c r="AO1607" s="708" t="str">
        <f>IF(OR(Table1[[#This Row],[Início Setup Envase]]="",Table1[[#This Row],[Final Setup Envase]]=""),"",Table1[[#This Row],[Final Setup Envase]]-Table1[[#This Row],[Início Setup Envase]])</f>
        <v/>
      </c>
      <c r="AP1607" s="663"/>
      <c r="AQ1607" s="663"/>
      <c r="AR1607" s="270"/>
      <c r="AS1607" s="674"/>
      <c r="AT1607" s="674"/>
      <c r="AU1607" s="270"/>
      <c r="AV1607" s="270"/>
      <c r="AW1607" s="270"/>
      <c r="AX1607" s="270"/>
      <c r="AY1607" s="270"/>
      <c r="AZ1607" s="270"/>
      <c r="BA1607" s="270" t="str">
        <f>IF(Table1[[#This Row],[Data de Início]]="","",YEAR(Table1[[#This Row],[Data de Início]]))</f>
        <v/>
      </c>
      <c r="BB1607" s="270" t="str">
        <f>IF(Table1[[#This Row],[Data de Início]]="","",MONTH(Table1[[#This Row],[Data de Início]]))</f>
        <v/>
      </c>
      <c r="BC1607" s="483"/>
    </row>
    <row r="1608" spans="2:55" x14ac:dyDescent="0.25">
      <c r="B1608" s="470"/>
      <c r="C1608" s="263"/>
      <c r="D1608" s="477" cm="1">
        <f t="array" ref="D1608">IFERROR(HorasUteisFabrica2Turnos(B1608,C1608), "")</f>
        <v>0</v>
      </c>
      <c r="E1608" s="478" t="str">
        <f t="shared" si="25"/>
        <v/>
      </c>
      <c r="F1608" s="266"/>
      <c r="G1608" s="656"/>
      <c r="H1608" s="479"/>
      <c r="I1608" s="268"/>
      <c r="J1608" s="268"/>
      <c r="K1608" s="268"/>
      <c r="L1608" s="269"/>
      <c r="M1608" s="511" t="str">
        <f>IFERROR(INDEX([1]Produtos!$C:$C,MATCH(L1608,[1]Produtos!$B:$B,0)), "-")</f>
        <v>-</v>
      </c>
      <c r="N1608" s="511" t="str">
        <f>IFERROR(INDEX([1]Produtos!$E:$E,MATCH(L1608,[1]Produtos!$B:$B,0)), "-")</f>
        <v>-</v>
      </c>
      <c r="O1608" s="483" t="str">
        <f>IFERROR(INDEX([1]Produtos!$F:$F,MATCH(L1608,[1]Produtos!$B:$B,0)), "-")</f>
        <v>-</v>
      </c>
      <c r="P1608" s="477" t="str">
        <f>IFERROR(INDEX([1]Produtos!$G:$G,MATCH(L1608,[1]Produtos!$B:$B,0)), "-")</f>
        <v>-</v>
      </c>
      <c r="Q1608" s="483" t="str">
        <f>IFERROR(INDEX([1]Produtos!$H:$H,MATCH(L1608,[1]Produtos!$B:$B,0)), "-")</f>
        <v>-</v>
      </c>
      <c r="R1608" s="483" t="str">
        <f>IFERROR(INDEX([1]Produtos!$I:$I,MATCH(L1608,[1]Produtos!$B:$B,0)), "-")</f>
        <v>-</v>
      </c>
      <c r="S1608" s="483" t="str">
        <f>IFERROR(INDEX([1]Produtos!$J:$J,MATCH(L1608,[1]Produtos!$B:$B,0)), "-")</f>
        <v>-</v>
      </c>
      <c r="T1608" s="484"/>
      <c r="U1608" s="483"/>
      <c r="V1608" s="483"/>
      <c r="W1608" s="483"/>
      <c r="X1608" s="483"/>
      <c r="Y1608" s="483"/>
      <c r="Z1608" s="483"/>
      <c r="AA1608" s="483"/>
      <c r="AB1608" s="483"/>
      <c r="AC1608" s="483"/>
      <c r="AD1608" s="483"/>
      <c r="AE1608" s="483"/>
      <c r="AF1608" s="483"/>
      <c r="AG1608" s="483"/>
      <c r="AH1608" s="483"/>
      <c r="AI1608" s="483"/>
      <c r="AJ1608" s="483"/>
      <c r="AK1608" s="483"/>
      <c r="AL1608" s="483"/>
      <c r="AM1608" s="670"/>
      <c r="AN1608" s="670"/>
      <c r="AO1608" s="711" t="str">
        <f>IF(OR(Table1[[#This Row],[Início Setup Envase]]="",Table1[[#This Row],[Final Setup Envase]]=""),"",Table1[[#This Row],[Final Setup Envase]]-Table1[[#This Row],[Início Setup Envase]])</f>
        <v/>
      </c>
      <c r="AP1608" s="670"/>
      <c r="AQ1608" s="670"/>
      <c r="AR1608" s="483"/>
      <c r="AS1608" s="483"/>
      <c r="AT1608" s="483"/>
      <c r="AU1608" s="483"/>
      <c r="AV1608" s="483"/>
      <c r="AW1608" s="483"/>
      <c r="AX1608" s="483"/>
      <c r="AY1608" s="270"/>
      <c r="AZ1608" s="270"/>
      <c r="BA1608" s="270" t="str">
        <f>IF(Table1[[#This Row],[Data de Início]]="","",YEAR(Table1[[#This Row],[Data de Início]]))</f>
        <v/>
      </c>
      <c r="BB1608" s="270" t="str">
        <f>IF(Table1[[#This Row],[Data de Início]]="","",MONTH(Table1[[#This Row],[Data de Início]]))</f>
        <v/>
      </c>
      <c r="BC1608" s="270"/>
    </row>
    <row r="1609" spans="2:55" x14ac:dyDescent="0.25">
      <c r="B1609" s="470"/>
      <c r="C1609" s="263"/>
      <c r="D1609" s="477" cm="1">
        <f t="array" ref="D1609">IFERROR(HorasUteisFabrica2Turnos(B1609,C1609), "")</f>
        <v>0</v>
      </c>
      <c r="E1609" s="697" t="str">
        <f t="shared" si="25"/>
        <v/>
      </c>
      <c r="F1609" s="266"/>
      <c r="G1609" s="698"/>
      <c r="H1609" s="266"/>
      <c r="I1609" s="268"/>
      <c r="J1609" s="268"/>
      <c r="K1609" s="268"/>
      <c r="L1609" s="269"/>
      <c r="M1609" s="510" t="str">
        <f>IFERROR(INDEX([1]Produtos!$C:$C,MATCH(L1609,[1]Produtos!$B:$B,0)), "-")</f>
        <v>-</v>
      </c>
      <c r="N1609" s="510" t="str">
        <f>IFERROR(INDEX([1]Produtos!$E:$E,MATCH(L1609,[1]Produtos!$B:$B,0)), "-")</f>
        <v>-</v>
      </c>
      <c r="O1609" s="270" t="str">
        <f>IFERROR(INDEX([1]Produtos!$F:$F,MATCH(L1609,[1]Produtos!$B:$B,0)), "-")</f>
        <v>-</v>
      </c>
      <c r="P1609" s="264" t="str">
        <f>IFERROR(INDEX([1]Produtos!$G:$G,MATCH(L1609,[1]Produtos!$B:$B,0)), "-")</f>
        <v>-</v>
      </c>
      <c r="Q1609" s="270" t="str">
        <f>IFERROR(INDEX([1]Produtos!$H:$H,MATCH(L1609,[1]Produtos!$B:$B,0)), "-")</f>
        <v>-</v>
      </c>
      <c r="R1609" s="270" t="str">
        <f>IFERROR(INDEX([1]Produtos!$I:$I,MATCH(L1609,[1]Produtos!$B:$B,0)), "-")</f>
        <v>-</v>
      </c>
      <c r="S1609" s="270" t="str">
        <f>IFERROR(INDEX([1]Produtos!$J:$J,MATCH(L1609,[1]Produtos!$B:$B,0)), "-")</f>
        <v>-</v>
      </c>
      <c r="T1609" s="475"/>
      <c r="U1609" s="270"/>
      <c r="V1609" s="270"/>
      <c r="W1609" s="270"/>
      <c r="X1609" s="270"/>
      <c r="Y1609" s="270"/>
      <c r="Z1609" s="270"/>
      <c r="AA1609" s="270"/>
      <c r="AB1609" s="270"/>
      <c r="AC1609" s="270"/>
      <c r="AD1609" s="270"/>
      <c r="AE1609" s="270"/>
      <c r="AF1609" s="270"/>
      <c r="AG1609" s="270"/>
      <c r="AH1609" s="270"/>
      <c r="AI1609" s="270"/>
      <c r="AJ1609" s="270"/>
      <c r="AK1609" s="270"/>
      <c r="AL1609" s="270"/>
      <c r="AM1609" s="663"/>
      <c r="AN1609" s="663"/>
      <c r="AO1609" s="708" t="str">
        <f>IF(OR(Table1[[#This Row],[Início Setup Envase]]="",Table1[[#This Row],[Final Setup Envase]]=""),"",Table1[[#This Row],[Final Setup Envase]]-Table1[[#This Row],[Início Setup Envase]])</f>
        <v/>
      </c>
      <c r="AP1609" s="663"/>
      <c r="AQ1609" s="663"/>
      <c r="AR1609" s="270"/>
      <c r="AS1609" s="674"/>
      <c r="AT1609" s="674"/>
      <c r="AU1609" s="270"/>
      <c r="AV1609" s="270"/>
      <c r="AW1609" s="270"/>
      <c r="AX1609" s="270"/>
      <c r="AY1609" s="270"/>
      <c r="AZ1609" s="270"/>
      <c r="BA1609" s="270" t="str">
        <f>IF(Table1[[#This Row],[Data de Início]]="","",YEAR(Table1[[#This Row],[Data de Início]]))</f>
        <v/>
      </c>
      <c r="BB1609" s="270" t="str">
        <f>IF(Table1[[#This Row],[Data de Início]]="","",MONTH(Table1[[#This Row],[Data de Início]]))</f>
        <v/>
      </c>
      <c r="BC1609" s="483"/>
    </row>
    <row r="1610" spans="2:55" x14ac:dyDescent="0.25">
      <c r="B1610" s="470"/>
      <c r="C1610" s="263"/>
      <c r="D1610" s="477" cm="1">
        <f t="array" ref="D1610">IFERROR(HorasUteisFabrica2Turnos(B1610,C1610), "")</f>
        <v>0</v>
      </c>
      <c r="E1610" s="478" t="str">
        <f t="shared" si="25"/>
        <v/>
      </c>
      <c r="F1610" s="266"/>
      <c r="G1610" s="656"/>
      <c r="H1610" s="479"/>
      <c r="I1610" s="268"/>
      <c r="J1610" s="268"/>
      <c r="K1610" s="268"/>
      <c r="L1610" s="269"/>
      <c r="M1610" s="511" t="str">
        <f>IFERROR(INDEX([1]Produtos!$C:$C,MATCH(L1610,[1]Produtos!$B:$B,0)), "-")</f>
        <v>-</v>
      </c>
      <c r="N1610" s="511" t="str">
        <f>IFERROR(INDEX([1]Produtos!$E:$E,MATCH(L1610,[1]Produtos!$B:$B,0)), "-")</f>
        <v>-</v>
      </c>
      <c r="O1610" s="483" t="str">
        <f>IFERROR(INDEX([1]Produtos!$F:$F,MATCH(L1610,[1]Produtos!$B:$B,0)), "-")</f>
        <v>-</v>
      </c>
      <c r="P1610" s="477" t="str">
        <f>IFERROR(INDEX([1]Produtos!$G:$G,MATCH(L1610,[1]Produtos!$B:$B,0)), "-")</f>
        <v>-</v>
      </c>
      <c r="Q1610" s="483" t="str">
        <f>IFERROR(INDEX([1]Produtos!$H:$H,MATCH(L1610,[1]Produtos!$B:$B,0)), "-")</f>
        <v>-</v>
      </c>
      <c r="R1610" s="483" t="str">
        <f>IFERROR(INDEX([1]Produtos!$I:$I,MATCH(L1610,[1]Produtos!$B:$B,0)), "-")</f>
        <v>-</v>
      </c>
      <c r="S1610" s="483" t="str">
        <f>IFERROR(INDEX([1]Produtos!$J:$J,MATCH(L1610,[1]Produtos!$B:$B,0)), "-")</f>
        <v>-</v>
      </c>
      <c r="T1610" s="484"/>
      <c r="U1610" s="483"/>
      <c r="V1610" s="483"/>
      <c r="W1610" s="483"/>
      <c r="X1610" s="483"/>
      <c r="Y1610" s="483"/>
      <c r="Z1610" s="483"/>
      <c r="AA1610" s="483"/>
      <c r="AB1610" s="483"/>
      <c r="AC1610" s="483"/>
      <c r="AD1610" s="483"/>
      <c r="AE1610" s="483"/>
      <c r="AF1610" s="483"/>
      <c r="AG1610" s="483"/>
      <c r="AH1610" s="483"/>
      <c r="AI1610" s="483"/>
      <c r="AJ1610" s="483"/>
      <c r="AK1610" s="483"/>
      <c r="AL1610" s="483"/>
      <c r="AM1610" s="670"/>
      <c r="AN1610" s="670"/>
      <c r="AO1610" s="711" t="str">
        <f>IF(OR(Table1[[#This Row],[Início Setup Envase]]="",Table1[[#This Row],[Final Setup Envase]]=""),"",Table1[[#This Row],[Final Setup Envase]]-Table1[[#This Row],[Início Setup Envase]])</f>
        <v/>
      </c>
      <c r="AP1610" s="670"/>
      <c r="AQ1610" s="670"/>
      <c r="AR1610" s="483"/>
      <c r="AS1610" s="483"/>
      <c r="AT1610" s="483"/>
      <c r="AU1610" s="483"/>
      <c r="AV1610" s="483"/>
      <c r="AW1610" s="483"/>
      <c r="AX1610" s="483"/>
      <c r="AY1610" s="270"/>
      <c r="AZ1610" s="270"/>
      <c r="BA1610" s="270" t="str">
        <f>IF(Table1[[#This Row],[Data de Início]]="","",YEAR(Table1[[#This Row],[Data de Início]]))</f>
        <v/>
      </c>
      <c r="BB1610" s="270" t="str">
        <f>IF(Table1[[#This Row],[Data de Início]]="","",MONTH(Table1[[#This Row],[Data de Início]]))</f>
        <v/>
      </c>
      <c r="BC1610" s="270"/>
    </row>
    <row r="1611" spans="2:55" x14ac:dyDescent="0.25">
      <c r="B1611" s="470"/>
      <c r="C1611" s="263"/>
      <c r="D1611" s="477" cm="1">
        <f t="array" ref="D1611">IFERROR(HorasUteisFabrica2Turnos(B1611,C1611), "")</f>
        <v>0</v>
      </c>
      <c r="E1611" s="697" t="str">
        <f t="shared" si="25"/>
        <v/>
      </c>
      <c r="F1611" s="266"/>
      <c r="G1611" s="698"/>
      <c r="H1611" s="266"/>
      <c r="I1611" s="268"/>
      <c r="J1611" s="268"/>
      <c r="K1611" s="268"/>
      <c r="L1611" s="269"/>
      <c r="M1611" s="510" t="str">
        <f>IFERROR(INDEX([1]Produtos!$C:$C,MATCH(L1611,[1]Produtos!$B:$B,0)), "-")</f>
        <v>-</v>
      </c>
      <c r="N1611" s="510" t="str">
        <f>IFERROR(INDEX([1]Produtos!$E:$E,MATCH(L1611,[1]Produtos!$B:$B,0)), "-")</f>
        <v>-</v>
      </c>
      <c r="O1611" s="270" t="str">
        <f>IFERROR(INDEX([1]Produtos!$F:$F,MATCH(L1611,[1]Produtos!$B:$B,0)), "-")</f>
        <v>-</v>
      </c>
      <c r="P1611" s="264" t="str">
        <f>IFERROR(INDEX([1]Produtos!$G:$G,MATCH(L1611,[1]Produtos!$B:$B,0)), "-")</f>
        <v>-</v>
      </c>
      <c r="Q1611" s="270" t="str">
        <f>IFERROR(INDEX([1]Produtos!$H:$H,MATCH(L1611,[1]Produtos!$B:$B,0)), "-")</f>
        <v>-</v>
      </c>
      <c r="R1611" s="270" t="str">
        <f>IFERROR(INDEX([1]Produtos!$I:$I,MATCH(L1611,[1]Produtos!$B:$B,0)), "-")</f>
        <v>-</v>
      </c>
      <c r="S1611" s="270" t="str">
        <f>IFERROR(INDEX([1]Produtos!$J:$J,MATCH(L1611,[1]Produtos!$B:$B,0)), "-")</f>
        <v>-</v>
      </c>
      <c r="T1611" s="475"/>
      <c r="U1611" s="270"/>
      <c r="V1611" s="270"/>
      <c r="W1611" s="270"/>
      <c r="X1611" s="270"/>
      <c r="Y1611" s="270"/>
      <c r="Z1611" s="270"/>
      <c r="AA1611" s="270"/>
      <c r="AB1611" s="270"/>
      <c r="AC1611" s="270"/>
      <c r="AD1611" s="270"/>
      <c r="AE1611" s="270"/>
      <c r="AF1611" s="270"/>
      <c r="AG1611" s="270"/>
      <c r="AH1611" s="270"/>
      <c r="AI1611" s="270"/>
      <c r="AJ1611" s="270"/>
      <c r="AK1611" s="270"/>
      <c r="AL1611" s="270"/>
      <c r="AM1611" s="663"/>
      <c r="AN1611" s="663"/>
      <c r="AO1611" s="708" t="str">
        <f>IF(OR(Table1[[#This Row],[Início Setup Envase]]="",Table1[[#This Row],[Final Setup Envase]]=""),"",Table1[[#This Row],[Final Setup Envase]]-Table1[[#This Row],[Início Setup Envase]])</f>
        <v/>
      </c>
      <c r="AP1611" s="663"/>
      <c r="AQ1611" s="663"/>
      <c r="AR1611" s="270"/>
      <c r="AS1611" s="674"/>
      <c r="AT1611" s="674"/>
      <c r="AU1611" s="270"/>
      <c r="AV1611" s="270"/>
      <c r="AW1611" s="270"/>
      <c r="AX1611" s="270"/>
      <c r="AY1611" s="270"/>
      <c r="AZ1611" s="270"/>
      <c r="BA1611" s="270" t="str">
        <f>IF(Table1[[#This Row],[Data de Início]]="","",YEAR(Table1[[#This Row],[Data de Início]]))</f>
        <v/>
      </c>
      <c r="BB1611" s="270" t="str">
        <f>IF(Table1[[#This Row],[Data de Início]]="","",MONTH(Table1[[#This Row],[Data de Início]]))</f>
        <v/>
      </c>
      <c r="BC1611" s="483"/>
    </row>
    <row r="1612" spans="2:55" x14ac:dyDescent="0.25">
      <c r="B1612" s="470"/>
      <c r="C1612" s="263"/>
      <c r="D1612" s="477" cm="1">
        <f t="array" ref="D1612">IFERROR(HorasUteisFabrica2Turnos(B1612,C1612), "")</f>
        <v>0</v>
      </c>
      <c r="E1612" s="478" t="str">
        <f t="shared" si="25"/>
        <v/>
      </c>
      <c r="F1612" s="266"/>
      <c r="G1612" s="656"/>
      <c r="H1612" s="479"/>
      <c r="I1612" s="268"/>
      <c r="J1612" s="268"/>
      <c r="K1612" s="268"/>
      <c r="L1612" s="269"/>
      <c r="M1612" s="511" t="str">
        <f>IFERROR(INDEX([1]Produtos!$C:$C,MATCH(L1612,[1]Produtos!$B:$B,0)), "-")</f>
        <v>-</v>
      </c>
      <c r="N1612" s="511" t="str">
        <f>IFERROR(INDEX([1]Produtos!$E:$E,MATCH(L1612,[1]Produtos!$B:$B,0)), "-")</f>
        <v>-</v>
      </c>
      <c r="O1612" s="483" t="str">
        <f>IFERROR(INDEX([1]Produtos!$F:$F,MATCH(L1612,[1]Produtos!$B:$B,0)), "-")</f>
        <v>-</v>
      </c>
      <c r="P1612" s="477" t="str">
        <f>IFERROR(INDEX([1]Produtos!$G:$G,MATCH(L1612,[1]Produtos!$B:$B,0)), "-")</f>
        <v>-</v>
      </c>
      <c r="Q1612" s="483" t="str">
        <f>IFERROR(INDEX([1]Produtos!$H:$H,MATCH(L1612,[1]Produtos!$B:$B,0)), "-")</f>
        <v>-</v>
      </c>
      <c r="R1612" s="483" t="str">
        <f>IFERROR(INDEX([1]Produtos!$I:$I,MATCH(L1612,[1]Produtos!$B:$B,0)), "-")</f>
        <v>-</v>
      </c>
      <c r="S1612" s="483" t="str">
        <f>IFERROR(INDEX([1]Produtos!$J:$J,MATCH(L1612,[1]Produtos!$B:$B,0)), "-")</f>
        <v>-</v>
      </c>
      <c r="T1612" s="484"/>
      <c r="U1612" s="483"/>
      <c r="V1612" s="483"/>
      <c r="W1612" s="483"/>
      <c r="X1612" s="483"/>
      <c r="Y1612" s="483"/>
      <c r="Z1612" s="483"/>
      <c r="AA1612" s="483"/>
      <c r="AB1612" s="483"/>
      <c r="AC1612" s="483"/>
      <c r="AD1612" s="483"/>
      <c r="AE1612" s="483"/>
      <c r="AF1612" s="483"/>
      <c r="AG1612" s="483"/>
      <c r="AH1612" s="483"/>
      <c r="AI1612" s="483"/>
      <c r="AJ1612" s="483"/>
      <c r="AK1612" s="483"/>
      <c r="AL1612" s="483"/>
      <c r="AM1612" s="670"/>
      <c r="AN1612" s="670"/>
      <c r="AO1612" s="711" t="str">
        <f>IF(OR(Table1[[#This Row],[Início Setup Envase]]="",Table1[[#This Row],[Final Setup Envase]]=""),"",Table1[[#This Row],[Final Setup Envase]]-Table1[[#This Row],[Início Setup Envase]])</f>
        <v/>
      </c>
      <c r="AP1612" s="670"/>
      <c r="AQ1612" s="670"/>
      <c r="AR1612" s="483"/>
      <c r="AS1612" s="483"/>
      <c r="AT1612" s="483"/>
      <c r="AU1612" s="483"/>
      <c r="AV1612" s="483"/>
      <c r="AW1612" s="483"/>
      <c r="AX1612" s="483"/>
      <c r="AY1612" s="270"/>
      <c r="AZ1612" s="270"/>
      <c r="BA1612" s="270" t="str">
        <f>IF(Table1[[#This Row],[Data de Início]]="","",YEAR(Table1[[#This Row],[Data de Início]]))</f>
        <v/>
      </c>
      <c r="BB1612" s="270" t="str">
        <f>IF(Table1[[#This Row],[Data de Início]]="","",MONTH(Table1[[#This Row],[Data de Início]]))</f>
        <v/>
      </c>
      <c r="BC1612" s="270"/>
    </row>
    <row r="1613" spans="2:55" x14ac:dyDescent="0.25">
      <c r="B1613" s="470"/>
      <c r="C1613" s="263"/>
      <c r="D1613" s="477" cm="1">
        <f t="array" ref="D1613">IFERROR(HorasUteisFabrica2Turnos(B1613,C1613), "")</f>
        <v>0</v>
      </c>
      <c r="E1613" s="697" t="str">
        <f t="shared" si="25"/>
        <v/>
      </c>
      <c r="F1613" s="266"/>
      <c r="G1613" s="698"/>
      <c r="H1613" s="266"/>
      <c r="I1613" s="268"/>
      <c r="J1613" s="268"/>
      <c r="K1613" s="268"/>
      <c r="L1613" s="269"/>
      <c r="M1613" s="510" t="str">
        <f>IFERROR(INDEX([1]Produtos!$C:$C,MATCH(L1613,[1]Produtos!$B:$B,0)), "-")</f>
        <v>-</v>
      </c>
      <c r="N1613" s="510" t="str">
        <f>IFERROR(INDEX([1]Produtos!$E:$E,MATCH(L1613,[1]Produtos!$B:$B,0)), "-")</f>
        <v>-</v>
      </c>
      <c r="O1613" s="270" t="str">
        <f>IFERROR(INDEX([1]Produtos!$F:$F,MATCH(L1613,[1]Produtos!$B:$B,0)), "-")</f>
        <v>-</v>
      </c>
      <c r="P1613" s="264" t="str">
        <f>IFERROR(INDEX([1]Produtos!$G:$G,MATCH(L1613,[1]Produtos!$B:$B,0)), "-")</f>
        <v>-</v>
      </c>
      <c r="Q1613" s="270" t="str">
        <f>IFERROR(INDEX([1]Produtos!$H:$H,MATCH(L1613,[1]Produtos!$B:$B,0)), "-")</f>
        <v>-</v>
      </c>
      <c r="R1613" s="270" t="str">
        <f>IFERROR(INDEX([1]Produtos!$I:$I,MATCH(L1613,[1]Produtos!$B:$B,0)), "-")</f>
        <v>-</v>
      </c>
      <c r="S1613" s="270" t="str">
        <f>IFERROR(INDEX([1]Produtos!$J:$J,MATCH(L1613,[1]Produtos!$B:$B,0)), "-")</f>
        <v>-</v>
      </c>
      <c r="T1613" s="475"/>
      <c r="U1613" s="270"/>
      <c r="V1613" s="270"/>
      <c r="W1613" s="270"/>
      <c r="X1613" s="270"/>
      <c r="Y1613" s="270"/>
      <c r="Z1613" s="270"/>
      <c r="AA1613" s="270"/>
      <c r="AB1613" s="270"/>
      <c r="AC1613" s="270"/>
      <c r="AD1613" s="270"/>
      <c r="AE1613" s="270"/>
      <c r="AF1613" s="270"/>
      <c r="AG1613" s="270"/>
      <c r="AH1613" s="270"/>
      <c r="AI1613" s="270"/>
      <c r="AJ1613" s="270"/>
      <c r="AK1613" s="270"/>
      <c r="AL1613" s="270"/>
      <c r="AM1613" s="663"/>
      <c r="AN1613" s="663"/>
      <c r="AO1613" s="708" t="str">
        <f>IF(OR(Table1[[#This Row],[Início Setup Envase]]="",Table1[[#This Row],[Final Setup Envase]]=""),"",Table1[[#This Row],[Final Setup Envase]]-Table1[[#This Row],[Início Setup Envase]])</f>
        <v/>
      </c>
      <c r="AP1613" s="663"/>
      <c r="AQ1613" s="663"/>
      <c r="AR1613" s="270"/>
      <c r="AS1613" s="674"/>
      <c r="AT1613" s="674"/>
      <c r="AU1613" s="270"/>
      <c r="AV1613" s="270"/>
      <c r="AW1613" s="270"/>
      <c r="AX1613" s="270"/>
      <c r="AY1613" s="270"/>
      <c r="AZ1613" s="270"/>
      <c r="BA1613" s="270" t="str">
        <f>IF(Table1[[#This Row],[Data de Início]]="","",YEAR(Table1[[#This Row],[Data de Início]]))</f>
        <v/>
      </c>
      <c r="BB1613" s="270" t="str">
        <f>IF(Table1[[#This Row],[Data de Início]]="","",MONTH(Table1[[#This Row],[Data de Início]]))</f>
        <v/>
      </c>
      <c r="BC1613" s="483"/>
    </row>
    <row r="1614" spans="2:55" x14ac:dyDescent="0.25">
      <c r="B1614" s="470"/>
      <c r="C1614" s="263"/>
      <c r="D1614" s="477" cm="1">
        <f t="array" ref="D1614">IFERROR(HorasUteisFabrica2Turnos(B1614,C1614), "")</f>
        <v>0</v>
      </c>
      <c r="E1614" s="478" t="str">
        <f t="shared" si="25"/>
        <v/>
      </c>
      <c r="F1614" s="266"/>
      <c r="G1614" s="656"/>
      <c r="H1614" s="479"/>
      <c r="I1614" s="268"/>
      <c r="J1614" s="268"/>
      <c r="K1614" s="268"/>
      <c r="L1614" s="269"/>
      <c r="M1614" s="511" t="str">
        <f>IFERROR(INDEX([1]Produtos!$C:$C,MATCH(L1614,[1]Produtos!$B:$B,0)), "-")</f>
        <v>-</v>
      </c>
      <c r="N1614" s="511" t="str">
        <f>IFERROR(INDEX([1]Produtos!$E:$E,MATCH(L1614,[1]Produtos!$B:$B,0)), "-")</f>
        <v>-</v>
      </c>
      <c r="O1614" s="483" t="str">
        <f>IFERROR(INDEX([1]Produtos!$F:$F,MATCH(L1614,[1]Produtos!$B:$B,0)), "-")</f>
        <v>-</v>
      </c>
      <c r="P1614" s="477" t="str">
        <f>IFERROR(INDEX([1]Produtos!$G:$G,MATCH(L1614,[1]Produtos!$B:$B,0)), "-")</f>
        <v>-</v>
      </c>
      <c r="Q1614" s="483" t="str">
        <f>IFERROR(INDEX([1]Produtos!$H:$H,MATCH(L1614,[1]Produtos!$B:$B,0)), "-")</f>
        <v>-</v>
      </c>
      <c r="R1614" s="483" t="str">
        <f>IFERROR(INDEX([1]Produtos!$I:$I,MATCH(L1614,[1]Produtos!$B:$B,0)), "-")</f>
        <v>-</v>
      </c>
      <c r="S1614" s="483" t="str">
        <f>IFERROR(INDEX([1]Produtos!$J:$J,MATCH(L1614,[1]Produtos!$B:$B,0)), "-")</f>
        <v>-</v>
      </c>
      <c r="T1614" s="484"/>
      <c r="U1614" s="483"/>
      <c r="V1614" s="483"/>
      <c r="W1614" s="483"/>
      <c r="X1614" s="483"/>
      <c r="Y1614" s="483"/>
      <c r="Z1614" s="483"/>
      <c r="AA1614" s="483"/>
      <c r="AB1614" s="483"/>
      <c r="AC1614" s="483"/>
      <c r="AD1614" s="483"/>
      <c r="AE1614" s="483"/>
      <c r="AF1614" s="483"/>
      <c r="AG1614" s="483"/>
      <c r="AH1614" s="483"/>
      <c r="AI1614" s="483"/>
      <c r="AJ1614" s="483"/>
      <c r="AK1614" s="483"/>
      <c r="AL1614" s="483"/>
      <c r="AM1614" s="670"/>
      <c r="AN1614" s="670"/>
      <c r="AO1614" s="711" t="str">
        <f>IF(OR(Table1[[#This Row],[Início Setup Envase]]="",Table1[[#This Row],[Final Setup Envase]]=""),"",Table1[[#This Row],[Final Setup Envase]]-Table1[[#This Row],[Início Setup Envase]])</f>
        <v/>
      </c>
      <c r="AP1614" s="670"/>
      <c r="AQ1614" s="670"/>
      <c r="AR1614" s="483"/>
      <c r="AS1614" s="483"/>
      <c r="AT1614" s="483"/>
      <c r="AU1614" s="483"/>
      <c r="AV1614" s="483"/>
      <c r="AW1614" s="483"/>
      <c r="AX1614" s="483"/>
      <c r="AY1614" s="270"/>
      <c r="AZ1614" s="270"/>
      <c r="BA1614" s="270" t="str">
        <f>IF(Table1[[#This Row],[Data de Início]]="","",YEAR(Table1[[#This Row],[Data de Início]]))</f>
        <v/>
      </c>
      <c r="BB1614" s="270" t="str">
        <f>IF(Table1[[#This Row],[Data de Início]]="","",MONTH(Table1[[#This Row],[Data de Início]]))</f>
        <v/>
      </c>
      <c r="BC1614" s="270"/>
    </row>
    <row r="1615" spans="2:55" x14ac:dyDescent="0.25">
      <c r="B1615" s="470"/>
      <c r="C1615" s="263"/>
      <c r="D1615" s="477" cm="1">
        <f t="array" ref="D1615">IFERROR(HorasUteisFabrica2Turnos(B1615,C1615), "")</f>
        <v>0</v>
      </c>
      <c r="E1615" s="697" t="str">
        <f t="shared" si="25"/>
        <v/>
      </c>
      <c r="F1615" s="266"/>
      <c r="G1615" s="698"/>
      <c r="H1615" s="266"/>
      <c r="I1615" s="268"/>
      <c r="J1615" s="268"/>
      <c r="K1615" s="268"/>
      <c r="L1615" s="269"/>
      <c r="M1615" s="510" t="str">
        <f>IFERROR(INDEX([1]Produtos!$C:$C,MATCH(L1615,[1]Produtos!$B:$B,0)), "-")</f>
        <v>-</v>
      </c>
      <c r="N1615" s="510" t="str">
        <f>IFERROR(INDEX([1]Produtos!$E:$E,MATCH(L1615,[1]Produtos!$B:$B,0)), "-")</f>
        <v>-</v>
      </c>
      <c r="O1615" s="270" t="str">
        <f>IFERROR(INDEX([1]Produtos!$F:$F,MATCH(L1615,[1]Produtos!$B:$B,0)), "-")</f>
        <v>-</v>
      </c>
      <c r="P1615" s="264" t="str">
        <f>IFERROR(INDEX([1]Produtos!$G:$G,MATCH(L1615,[1]Produtos!$B:$B,0)), "-")</f>
        <v>-</v>
      </c>
      <c r="Q1615" s="270" t="str">
        <f>IFERROR(INDEX([1]Produtos!$H:$H,MATCH(L1615,[1]Produtos!$B:$B,0)), "-")</f>
        <v>-</v>
      </c>
      <c r="R1615" s="270" t="str">
        <f>IFERROR(INDEX([1]Produtos!$I:$I,MATCH(L1615,[1]Produtos!$B:$B,0)), "-")</f>
        <v>-</v>
      </c>
      <c r="S1615" s="270" t="str">
        <f>IFERROR(INDEX([1]Produtos!$J:$J,MATCH(L1615,[1]Produtos!$B:$B,0)), "-")</f>
        <v>-</v>
      </c>
      <c r="T1615" s="475"/>
      <c r="U1615" s="270"/>
      <c r="V1615" s="270"/>
      <c r="W1615" s="270"/>
      <c r="X1615" s="270"/>
      <c r="Y1615" s="270"/>
      <c r="Z1615" s="270"/>
      <c r="AA1615" s="270"/>
      <c r="AB1615" s="270"/>
      <c r="AC1615" s="270"/>
      <c r="AD1615" s="270"/>
      <c r="AE1615" s="270"/>
      <c r="AF1615" s="270"/>
      <c r="AG1615" s="270"/>
      <c r="AH1615" s="270"/>
      <c r="AI1615" s="270"/>
      <c r="AJ1615" s="270"/>
      <c r="AK1615" s="270"/>
      <c r="AL1615" s="270"/>
      <c r="AM1615" s="663"/>
      <c r="AN1615" s="663"/>
      <c r="AO1615" s="708" t="str">
        <f>IF(OR(Table1[[#This Row],[Início Setup Envase]]="",Table1[[#This Row],[Final Setup Envase]]=""),"",Table1[[#This Row],[Final Setup Envase]]-Table1[[#This Row],[Início Setup Envase]])</f>
        <v/>
      </c>
      <c r="AP1615" s="663"/>
      <c r="AQ1615" s="663"/>
      <c r="AR1615" s="270"/>
      <c r="AS1615" s="674"/>
      <c r="AT1615" s="674"/>
      <c r="AU1615" s="270"/>
      <c r="AV1615" s="270"/>
      <c r="AW1615" s="270"/>
      <c r="AX1615" s="270"/>
      <c r="AY1615" s="270"/>
      <c r="AZ1615" s="270"/>
      <c r="BA1615" s="270" t="str">
        <f>IF(Table1[[#This Row],[Data de Início]]="","",YEAR(Table1[[#This Row],[Data de Início]]))</f>
        <v/>
      </c>
      <c r="BB1615" s="270" t="str">
        <f>IF(Table1[[#This Row],[Data de Início]]="","",MONTH(Table1[[#This Row],[Data de Início]]))</f>
        <v/>
      </c>
      <c r="BC1615" s="483"/>
    </row>
    <row r="1616" spans="2:55" x14ac:dyDescent="0.25">
      <c r="B1616" s="470"/>
      <c r="C1616" s="263"/>
      <c r="D1616" s="477" cm="1">
        <f t="array" ref="D1616">IFERROR(HorasUteisFabrica2Turnos(B1616,C1616), "")</f>
        <v>0</v>
      </c>
      <c r="E1616" s="478" t="str">
        <f t="shared" si="25"/>
        <v/>
      </c>
      <c r="F1616" s="266"/>
      <c r="G1616" s="656"/>
      <c r="H1616" s="479"/>
      <c r="I1616" s="268"/>
      <c r="J1616" s="268"/>
      <c r="K1616" s="268"/>
      <c r="L1616" s="269"/>
      <c r="M1616" s="511" t="str">
        <f>IFERROR(INDEX([1]Produtos!$C:$C,MATCH(L1616,[1]Produtos!$B:$B,0)), "-")</f>
        <v>-</v>
      </c>
      <c r="N1616" s="511" t="str">
        <f>IFERROR(INDEX([1]Produtos!$E:$E,MATCH(L1616,[1]Produtos!$B:$B,0)), "-")</f>
        <v>-</v>
      </c>
      <c r="O1616" s="483" t="str">
        <f>IFERROR(INDEX([1]Produtos!$F:$F,MATCH(L1616,[1]Produtos!$B:$B,0)), "-")</f>
        <v>-</v>
      </c>
      <c r="P1616" s="477" t="str">
        <f>IFERROR(INDEX([1]Produtos!$G:$G,MATCH(L1616,[1]Produtos!$B:$B,0)), "-")</f>
        <v>-</v>
      </c>
      <c r="Q1616" s="483" t="str">
        <f>IFERROR(INDEX([1]Produtos!$H:$H,MATCH(L1616,[1]Produtos!$B:$B,0)), "-")</f>
        <v>-</v>
      </c>
      <c r="R1616" s="483" t="str">
        <f>IFERROR(INDEX([1]Produtos!$I:$I,MATCH(L1616,[1]Produtos!$B:$B,0)), "-")</f>
        <v>-</v>
      </c>
      <c r="S1616" s="483" t="str">
        <f>IFERROR(INDEX([1]Produtos!$J:$J,MATCH(L1616,[1]Produtos!$B:$B,0)), "-")</f>
        <v>-</v>
      </c>
      <c r="T1616" s="484"/>
      <c r="U1616" s="483"/>
      <c r="V1616" s="483"/>
      <c r="W1616" s="483"/>
      <c r="X1616" s="483"/>
      <c r="Y1616" s="483"/>
      <c r="Z1616" s="483"/>
      <c r="AA1616" s="483"/>
      <c r="AB1616" s="483"/>
      <c r="AC1616" s="483"/>
      <c r="AD1616" s="483"/>
      <c r="AE1616" s="483"/>
      <c r="AF1616" s="483"/>
      <c r="AG1616" s="483"/>
      <c r="AH1616" s="483"/>
      <c r="AI1616" s="483"/>
      <c r="AJ1616" s="483"/>
      <c r="AK1616" s="483"/>
      <c r="AL1616" s="483"/>
      <c r="AM1616" s="670"/>
      <c r="AN1616" s="670"/>
      <c r="AO1616" s="711" t="str">
        <f>IF(OR(Table1[[#This Row],[Início Setup Envase]]="",Table1[[#This Row],[Final Setup Envase]]=""),"",Table1[[#This Row],[Final Setup Envase]]-Table1[[#This Row],[Início Setup Envase]])</f>
        <v/>
      </c>
      <c r="AP1616" s="670"/>
      <c r="AQ1616" s="670"/>
      <c r="AR1616" s="483"/>
      <c r="AS1616" s="483"/>
      <c r="AT1616" s="483"/>
      <c r="AU1616" s="483"/>
      <c r="AV1616" s="483"/>
      <c r="AW1616" s="483"/>
      <c r="AX1616" s="483"/>
      <c r="AY1616" s="270"/>
      <c r="AZ1616" s="270"/>
      <c r="BA1616" s="270" t="str">
        <f>IF(Table1[[#This Row],[Data de Início]]="","",YEAR(Table1[[#This Row],[Data de Início]]))</f>
        <v/>
      </c>
      <c r="BB1616" s="270" t="str">
        <f>IF(Table1[[#This Row],[Data de Início]]="","",MONTH(Table1[[#This Row],[Data de Início]]))</f>
        <v/>
      </c>
      <c r="BC1616" s="270"/>
    </row>
    <row r="1617" spans="2:55" x14ac:dyDescent="0.25">
      <c r="B1617" s="470"/>
      <c r="C1617" s="263"/>
      <c r="D1617" s="477" cm="1">
        <f t="array" ref="D1617">IFERROR(HorasUteisFabrica2Turnos(B1617,C1617), "")</f>
        <v>0</v>
      </c>
      <c r="E1617" s="697" t="str">
        <f t="shared" si="25"/>
        <v/>
      </c>
      <c r="F1617" s="266"/>
      <c r="G1617" s="698"/>
      <c r="H1617" s="266"/>
      <c r="I1617" s="268"/>
      <c r="J1617" s="268"/>
      <c r="K1617" s="268"/>
      <c r="L1617" s="269"/>
      <c r="M1617" s="510" t="str">
        <f>IFERROR(INDEX([1]Produtos!$C:$C,MATCH(L1617,[1]Produtos!$B:$B,0)), "-")</f>
        <v>-</v>
      </c>
      <c r="N1617" s="510" t="str">
        <f>IFERROR(INDEX([1]Produtos!$E:$E,MATCH(L1617,[1]Produtos!$B:$B,0)), "-")</f>
        <v>-</v>
      </c>
      <c r="O1617" s="270" t="str">
        <f>IFERROR(INDEX([1]Produtos!$F:$F,MATCH(L1617,[1]Produtos!$B:$B,0)), "-")</f>
        <v>-</v>
      </c>
      <c r="P1617" s="264" t="str">
        <f>IFERROR(INDEX([1]Produtos!$G:$G,MATCH(L1617,[1]Produtos!$B:$B,0)), "-")</f>
        <v>-</v>
      </c>
      <c r="Q1617" s="270" t="str">
        <f>IFERROR(INDEX([1]Produtos!$H:$H,MATCH(L1617,[1]Produtos!$B:$B,0)), "-")</f>
        <v>-</v>
      </c>
      <c r="R1617" s="270" t="str">
        <f>IFERROR(INDEX([1]Produtos!$I:$I,MATCH(L1617,[1]Produtos!$B:$B,0)), "-")</f>
        <v>-</v>
      </c>
      <c r="S1617" s="270" t="str">
        <f>IFERROR(INDEX([1]Produtos!$J:$J,MATCH(L1617,[1]Produtos!$B:$B,0)), "-")</f>
        <v>-</v>
      </c>
      <c r="T1617" s="475"/>
      <c r="U1617" s="270"/>
      <c r="V1617" s="270"/>
      <c r="W1617" s="270"/>
      <c r="X1617" s="270"/>
      <c r="Y1617" s="270"/>
      <c r="Z1617" s="270"/>
      <c r="AA1617" s="270"/>
      <c r="AB1617" s="270"/>
      <c r="AC1617" s="270"/>
      <c r="AD1617" s="270"/>
      <c r="AE1617" s="270"/>
      <c r="AF1617" s="270"/>
      <c r="AG1617" s="270"/>
      <c r="AH1617" s="270"/>
      <c r="AI1617" s="270"/>
      <c r="AJ1617" s="270"/>
      <c r="AK1617" s="270"/>
      <c r="AL1617" s="270"/>
      <c r="AM1617" s="663"/>
      <c r="AN1617" s="663"/>
      <c r="AO1617" s="708" t="str">
        <f>IF(OR(Table1[[#This Row],[Início Setup Envase]]="",Table1[[#This Row],[Final Setup Envase]]=""),"",Table1[[#This Row],[Final Setup Envase]]-Table1[[#This Row],[Início Setup Envase]])</f>
        <v/>
      </c>
      <c r="AP1617" s="663"/>
      <c r="AQ1617" s="663"/>
      <c r="AR1617" s="270"/>
      <c r="AS1617" s="674"/>
      <c r="AT1617" s="674"/>
      <c r="AU1617" s="270"/>
      <c r="AV1617" s="270"/>
      <c r="AW1617" s="270"/>
      <c r="AX1617" s="270"/>
      <c r="AY1617" s="270"/>
      <c r="AZ1617" s="270"/>
      <c r="BA1617" s="270" t="str">
        <f>IF(Table1[[#This Row],[Data de Início]]="","",YEAR(Table1[[#This Row],[Data de Início]]))</f>
        <v/>
      </c>
      <c r="BB1617" s="270" t="str">
        <f>IF(Table1[[#This Row],[Data de Início]]="","",MONTH(Table1[[#This Row],[Data de Início]]))</f>
        <v/>
      </c>
      <c r="BC1617" s="483"/>
    </row>
    <row r="1618" spans="2:55" x14ac:dyDescent="0.25">
      <c r="B1618" s="470"/>
      <c r="C1618" s="263"/>
      <c r="D1618" s="477" cm="1">
        <f t="array" ref="D1618">IFERROR(HorasUteisFabrica2Turnos(B1618,C1618), "")</f>
        <v>0</v>
      </c>
      <c r="E1618" s="478" t="str">
        <f t="shared" si="25"/>
        <v/>
      </c>
      <c r="F1618" s="266"/>
      <c r="G1618" s="656"/>
      <c r="H1618" s="479"/>
      <c r="I1618" s="268"/>
      <c r="J1618" s="268"/>
      <c r="K1618" s="268"/>
      <c r="L1618" s="269"/>
      <c r="M1618" s="511" t="str">
        <f>IFERROR(INDEX([1]Produtos!$C:$C,MATCH(L1618,[1]Produtos!$B:$B,0)), "-")</f>
        <v>-</v>
      </c>
      <c r="N1618" s="511" t="str">
        <f>IFERROR(INDEX([1]Produtos!$E:$E,MATCH(L1618,[1]Produtos!$B:$B,0)), "-")</f>
        <v>-</v>
      </c>
      <c r="O1618" s="483" t="str">
        <f>IFERROR(INDEX([1]Produtos!$F:$F,MATCH(L1618,[1]Produtos!$B:$B,0)), "-")</f>
        <v>-</v>
      </c>
      <c r="P1618" s="477" t="str">
        <f>IFERROR(INDEX([1]Produtos!$G:$G,MATCH(L1618,[1]Produtos!$B:$B,0)), "-")</f>
        <v>-</v>
      </c>
      <c r="Q1618" s="483" t="str">
        <f>IFERROR(INDEX([1]Produtos!$H:$H,MATCH(L1618,[1]Produtos!$B:$B,0)), "-")</f>
        <v>-</v>
      </c>
      <c r="R1618" s="483" t="str">
        <f>IFERROR(INDEX([1]Produtos!$I:$I,MATCH(L1618,[1]Produtos!$B:$B,0)), "-")</f>
        <v>-</v>
      </c>
      <c r="S1618" s="483" t="str">
        <f>IFERROR(INDEX([1]Produtos!$J:$J,MATCH(L1618,[1]Produtos!$B:$B,0)), "-")</f>
        <v>-</v>
      </c>
      <c r="T1618" s="484"/>
      <c r="U1618" s="483"/>
      <c r="V1618" s="483"/>
      <c r="W1618" s="483"/>
      <c r="X1618" s="483"/>
      <c r="Y1618" s="483"/>
      <c r="Z1618" s="483"/>
      <c r="AA1618" s="483"/>
      <c r="AB1618" s="483"/>
      <c r="AC1618" s="483"/>
      <c r="AD1618" s="483"/>
      <c r="AE1618" s="483"/>
      <c r="AF1618" s="483"/>
      <c r="AG1618" s="483"/>
      <c r="AH1618" s="483"/>
      <c r="AI1618" s="483"/>
      <c r="AJ1618" s="483"/>
      <c r="AK1618" s="483"/>
      <c r="AL1618" s="483"/>
      <c r="AM1618" s="670"/>
      <c r="AN1618" s="670"/>
      <c r="AO1618" s="711" t="str">
        <f>IF(OR(Table1[[#This Row],[Início Setup Envase]]="",Table1[[#This Row],[Final Setup Envase]]=""),"",Table1[[#This Row],[Final Setup Envase]]-Table1[[#This Row],[Início Setup Envase]])</f>
        <v/>
      </c>
      <c r="AP1618" s="670"/>
      <c r="AQ1618" s="670"/>
      <c r="AR1618" s="483"/>
      <c r="AS1618" s="483"/>
      <c r="AT1618" s="483"/>
      <c r="AU1618" s="483"/>
      <c r="AV1618" s="483"/>
      <c r="AW1618" s="483"/>
      <c r="AX1618" s="483"/>
      <c r="AY1618" s="270"/>
      <c r="AZ1618" s="270"/>
      <c r="BA1618" s="270" t="str">
        <f>IF(Table1[[#This Row],[Data de Início]]="","",YEAR(Table1[[#This Row],[Data de Início]]))</f>
        <v/>
      </c>
      <c r="BB1618" s="270" t="str">
        <f>IF(Table1[[#This Row],[Data de Início]]="","",MONTH(Table1[[#This Row],[Data de Início]]))</f>
        <v/>
      </c>
      <c r="BC1618" s="270"/>
    </row>
    <row r="1619" spans="2:55" x14ac:dyDescent="0.25">
      <c r="B1619" s="470"/>
      <c r="C1619" s="263"/>
      <c r="D1619" s="477" cm="1">
        <f t="array" ref="D1619">IFERROR(HorasUteisFabrica2Turnos(B1619,C1619), "")</f>
        <v>0</v>
      </c>
      <c r="E1619" s="697" t="str">
        <f t="shared" si="25"/>
        <v/>
      </c>
      <c r="F1619" s="266"/>
      <c r="G1619" s="698"/>
      <c r="H1619" s="266"/>
      <c r="I1619" s="268"/>
      <c r="J1619" s="268"/>
      <c r="K1619" s="268"/>
      <c r="L1619" s="269"/>
      <c r="M1619" s="510" t="str">
        <f>IFERROR(INDEX([1]Produtos!$C:$C,MATCH(L1619,[1]Produtos!$B:$B,0)), "-")</f>
        <v>-</v>
      </c>
      <c r="N1619" s="510" t="str">
        <f>IFERROR(INDEX([1]Produtos!$E:$E,MATCH(L1619,[1]Produtos!$B:$B,0)), "-")</f>
        <v>-</v>
      </c>
      <c r="O1619" s="270" t="str">
        <f>IFERROR(INDEX([1]Produtos!$F:$F,MATCH(L1619,[1]Produtos!$B:$B,0)), "-")</f>
        <v>-</v>
      </c>
      <c r="P1619" s="264" t="str">
        <f>IFERROR(INDEX([1]Produtos!$G:$G,MATCH(L1619,[1]Produtos!$B:$B,0)), "-")</f>
        <v>-</v>
      </c>
      <c r="Q1619" s="270" t="str">
        <f>IFERROR(INDEX([1]Produtos!$H:$H,MATCH(L1619,[1]Produtos!$B:$B,0)), "-")</f>
        <v>-</v>
      </c>
      <c r="R1619" s="270" t="str">
        <f>IFERROR(INDEX([1]Produtos!$I:$I,MATCH(L1619,[1]Produtos!$B:$B,0)), "-")</f>
        <v>-</v>
      </c>
      <c r="S1619" s="270" t="str">
        <f>IFERROR(INDEX([1]Produtos!$J:$J,MATCH(L1619,[1]Produtos!$B:$B,0)), "-")</f>
        <v>-</v>
      </c>
      <c r="T1619" s="475"/>
      <c r="U1619" s="270"/>
      <c r="V1619" s="270"/>
      <c r="W1619" s="270"/>
      <c r="X1619" s="270"/>
      <c r="Y1619" s="270"/>
      <c r="Z1619" s="270"/>
      <c r="AA1619" s="270"/>
      <c r="AB1619" s="270"/>
      <c r="AC1619" s="270"/>
      <c r="AD1619" s="270"/>
      <c r="AE1619" s="270"/>
      <c r="AF1619" s="270"/>
      <c r="AG1619" s="270"/>
      <c r="AH1619" s="270"/>
      <c r="AI1619" s="270"/>
      <c r="AJ1619" s="270"/>
      <c r="AK1619" s="270"/>
      <c r="AL1619" s="270"/>
      <c r="AM1619" s="663"/>
      <c r="AN1619" s="663"/>
      <c r="AO1619" s="708" t="str">
        <f>IF(OR(Table1[[#This Row],[Início Setup Envase]]="",Table1[[#This Row],[Final Setup Envase]]=""),"",Table1[[#This Row],[Final Setup Envase]]-Table1[[#This Row],[Início Setup Envase]])</f>
        <v/>
      </c>
      <c r="AP1619" s="663"/>
      <c r="AQ1619" s="663"/>
      <c r="AR1619" s="270"/>
      <c r="AS1619" s="674"/>
      <c r="AT1619" s="674"/>
      <c r="AU1619" s="270"/>
      <c r="AV1619" s="270"/>
      <c r="AW1619" s="270"/>
      <c r="AX1619" s="270"/>
      <c r="AY1619" s="270"/>
      <c r="AZ1619" s="270"/>
      <c r="BA1619" s="270" t="str">
        <f>IF(Table1[[#This Row],[Data de Início]]="","",YEAR(Table1[[#This Row],[Data de Início]]))</f>
        <v/>
      </c>
      <c r="BB1619" s="270" t="str">
        <f>IF(Table1[[#This Row],[Data de Início]]="","",MONTH(Table1[[#This Row],[Data de Início]]))</f>
        <v/>
      </c>
      <c r="BC1619" s="483"/>
    </row>
    <row r="1620" spans="2:55" x14ac:dyDescent="0.25">
      <c r="B1620" s="470"/>
      <c r="C1620" s="263"/>
      <c r="D1620" s="477" cm="1">
        <f t="array" ref="D1620">IFERROR(HorasUteisFabrica2Turnos(B1620,C1620), "")</f>
        <v>0</v>
      </c>
      <c r="E1620" s="478" t="str">
        <f t="shared" si="25"/>
        <v/>
      </c>
      <c r="F1620" s="266"/>
      <c r="G1620" s="656"/>
      <c r="H1620" s="479"/>
      <c r="I1620" s="268"/>
      <c r="J1620" s="268"/>
      <c r="K1620" s="268"/>
      <c r="L1620" s="269"/>
      <c r="M1620" s="511" t="str">
        <f>IFERROR(INDEX([1]Produtos!$C:$C,MATCH(L1620,[1]Produtos!$B:$B,0)), "-")</f>
        <v>-</v>
      </c>
      <c r="N1620" s="511" t="str">
        <f>IFERROR(INDEX([1]Produtos!$E:$E,MATCH(L1620,[1]Produtos!$B:$B,0)), "-")</f>
        <v>-</v>
      </c>
      <c r="O1620" s="483" t="str">
        <f>IFERROR(INDEX([1]Produtos!$F:$F,MATCH(L1620,[1]Produtos!$B:$B,0)), "-")</f>
        <v>-</v>
      </c>
      <c r="P1620" s="477" t="str">
        <f>IFERROR(INDEX([1]Produtos!$G:$G,MATCH(L1620,[1]Produtos!$B:$B,0)), "-")</f>
        <v>-</v>
      </c>
      <c r="Q1620" s="483" t="str">
        <f>IFERROR(INDEX([1]Produtos!$H:$H,MATCH(L1620,[1]Produtos!$B:$B,0)), "-")</f>
        <v>-</v>
      </c>
      <c r="R1620" s="483" t="str">
        <f>IFERROR(INDEX([1]Produtos!$I:$I,MATCH(L1620,[1]Produtos!$B:$B,0)), "-")</f>
        <v>-</v>
      </c>
      <c r="S1620" s="483" t="str">
        <f>IFERROR(INDEX([1]Produtos!$J:$J,MATCH(L1620,[1]Produtos!$B:$B,0)), "-")</f>
        <v>-</v>
      </c>
      <c r="T1620" s="484"/>
      <c r="U1620" s="483"/>
      <c r="V1620" s="483"/>
      <c r="W1620" s="483"/>
      <c r="X1620" s="483"/>
      <c r="Y1620" s="483"/>
      <c r="Z1620" s="483"/>
      <c r="AA1620" s="483"/>
      <c r="AB1620" s="483"/>
      <c r="AC1620" s="483"/>
      <c r="AD1620" s="483"/>
      <c r="AE1620" s="483"/>
      <c r="AF1620" s="483"/>
      <c r="AG1620" s="483"/>
      <c r="AH1620" s="483"/>
      <c r="AI1620" s="483"/>
      <c r="AJ1620" s="483"/>
      <c r="AK1620" s="483"/>
      <c r="AL1620" s="483"/>
      <c r="AM1620" s="670"/>
      <c r="AN1620" s="670"/>
      <c r="AO1620" s="711" t="str">
        <f>IF(OR(Table1[[#This Row],[Início Setup Envase]]="",Table1[[#This Row],[Final Setup Envase]]=""),"",Table1[[#This Row],[Final Setup Envase]]-Table1[[#This Row],[Início Setup Envase]])</f>
        <v/>
      </c>
      <c r="AP1620" s="670"/>
      <c r="AQ1620" s="670"/>
      <c r="AR1620" s="483"/>
      <c r="AS1620" s="483"/>
      <c r="AT1620" s="483"/>
      <c r="AU1620" s="483"/>
      <c r="AV1620" s="483"/>
      <c r="AW1620" s="483"/>
      <c r="AX1620" s="483"/>
      <c r="AY1620" s="270"/>
      <c r="AZ1620" s="270"/>
      <c r="BA1620" s="270" t="str">
        <f>IF(Table1[[#This Row],[Data de Início]]="","",YEAR(Table1[[#This Row],[Data de Início]]))</f>
        <v/>
      </c>
      <c r="BB1620" s="270" t="str">
        <f>IF(Table1[[#This Row],[Data de Início]]="","",MONTH(Table1[[#This Row],[Data de Início]]))</f>
        <v/>
      </c>
      <c r="BC1620" s="270"/>
    </row>
    <row r="1621" spans="2:55" x14ac:dyDescent="0.25">
      <c r="B1621" s="470"/>
      <c r="C1621" s="263"/>
      <c r="D1621" s="477" cm="1">
        <f t="array" ref="D1621">IFERROR(HorasUteisFabrica2Turnos(B1621,C1621), "")</f>
        <v>0</v>
      </c>
      <c r="E1621" s="697" t="str">
        <f t="shared" si="25"/>
        <v/>
      </c>
      <c r="F1621" s="266"/>
      <c r="G1621" s="698"/>
      <c r="H1621" s="266"/>
      <c r="I1621" s="268"/>
      <c r="J1621" s="268"/>
      <c r="K1621" s="268"/>
      <c r="L1621" s="269"/>
      <c r="M1621" s="510" t="str">
        <f>IFERROR(INDEX([1]Produtos!$C:$C,MATCH(L1621,[1]Produtos!$B:$B,0)), "-")</f>
        <v>-</v>
      </c>
      <c r="N1621" s="510" t="str">
        <f>IFERROR(INDEX([1]Produtos!$E:$E,MATCH(L1621,[1]Produtos!$B:$B,0)), "-")</f>
        <v>-</v>
      </c>
      <c r="O1621" s="270" t="str">
        <f>IFERROR(INDEX([1]Produtos!$F:$F,MATCH(L1621,[1]Produtos!$B:$B,0)), "-")</f>
        <v>-</v>
      </c>
      <c r="P1621" s="264" t="str">
        <f>IFERROR(INDEX([1]Produtos!$G:$G,MATCH(L1621,[1]Produtos!$B:$B,0)), "-")</f>
        <v>-</v>
      </c>
      <c r="Q1621" s="270" t="str">
        <f>IFERROR(INDEX([1]Produtos!$H:$H,MATCH(L1621,[1]Produtos!$B:$B,0)), "-")</f>
        <v>-</v>
      </c>
      <c r="R1621" s="270" t="str">
        <f>IFERROR(INDEX([1]Produtos!$I:$I,MATCH(L1621,[1]Produtos!$B:$B,0)), "-")</f>
        <v>-</v>
      </c>
      <c r="S1621" s="270" t="str">
        <f>IFERROR(INDEX([1]Produtos!$J:$J,MATCH(L1621,[1]Produtos!$B:$B,0)), "-")</f>
        <v>-</v>
      </c>
      <c r="T1621" s="475"/>
      <c r="U1621" s="270"/>
      <c r="V1621" s="270"/>
      <c r="W1621" s="270"/>
      <c r="X1621" s="270"/>
      <c r="Y1621" s="270"/>
      <c r="Z1621" s="270"/>
      <c r="AA1621" s="270"/>
      <c r="AB1621" s="270"/>
      <c r="AC1621" s="270"/>
      <c r="AD1621" s="270"/>
      <c r="AE1621" s="270"/>
      <c r="AF1621" s="270"/>
      <c r="AG1621" s="270"/>
      <c r="AH1621" s="270"/>
      <c r="AI1621" s="270"/>
      <c r="AJ1621" s="270"/>
      <c r="AK1621" s="270"/>
      <c r="AL1621" s="270"/>
      <c r="AM1621" s="663"/>
      <c r="AN1621" s="663"/>
      <c r="AO1621" s="708" t="str">
        <f>IF(OR(Table1[[#This Row],[Início Setup Envase]]="",Table1[[#This Row],[Final Setup Envase]]=""),"",Table1[[#This Row],[Final Setup Envase]]-Table1[[#This Row],[Início Setup Envase]])</f>
        <v/>
      </c>
      <c r="AP1621" s="663"/>
      <c r="AQ1621" s="663"/>
      <c r="AR1621" s="270"/>
      <c r="AS1621" s="674"/>
      <c r="AT1621" s="674"/>
      <c r="AU1621" s="270"/>
      <c r="AV1621" s="270"/>
      <c r="AW1621" s="270"/>
      <c r="AX1621" s="270"/>
      <c r="AY1621" s="270"/>
      <c r="AZ1621" s="270"/>
      <c r="BA1621" s="270" t="str">
        <f>IF(Table1[[#This Row],[Data de Início]]="","",YEAR(Table1[[#This Row],[Data de Início]]))</f>
        <v/>
      </c>
      <c r="BB1621" s="270" t="str">
        <f>IF(Table1[[#This Row],[Data de Início]]="","",MONTH(Table1[[#This Row],[Data de Início]]))</f>
        <v/>
      </c>
      <c r="BC1621" s="483"/>
    </row>
    <row r="1622" spans="2:55" x14ac:dyDescent="0.25">
      <c r="B1622" s="470"/>
      <c r="C1622" s="263"/>
      <c r="D1622" s="477" cm="1">
        <f t="array" ref="D1622">IFERROR(HorasUteisFabrica2Turnos(B1622,C1622), "")</f>
        <v>0</v>
      </c>
      <c r="E1622" s="478" t="str">
        <f t="shared" si="25"/>
        <v/>
      </c>
      <c r="F1622" s="266"/>
      <c r="G1622" s="656"/>
      <c r="H1622" s="479"/>
      <c r="I1622" s="268"/>
      <c r="J1622" s="268"/>
      <c r="K1622" s="268"/>
      <c r="L1622" s="269"/>
      <c r="M1622" s="511" t="str">
        <f>IFERROR(INDEX([1]Produtos!$C:$C,MATCH(L1622,[1]Produtos!$B:$B,0)), "-")</f>
        <v>-</v>
      </c>
      <c r="N1622" s="511" t="str">
        <f>IFERROR(INDEX([1]Produtos!$E:$E,MATCH(L1622,[1]Produtos!$B:$B,0)), "-")</f>
        <v>-</v>
      </c>
      <c r="O1622" s="483" t="str">
        <f>IFERROR(INDEX([1]Produtos!$F:$F,MATCH(L1622,[1]Produtos!$B:$B,0)), "-")</f>
        <v>-</v>
      </c>
      <c r="P1622" s="477" t="str">
        <f>IFERROR(INDEX([1]Produtos!$G:$G,MATCH(L1622,[1]Produtos!$B:$B,0)), "-")</f>
        <v>-</v>
      </c>
      <c r="Q1622" s="483" t="str">
        <f>IFERROR(INDEX([1]Produtos!$H:$H,MATCH(L1622,[1]Produtos!$B:$B,0)), "-")</f>
        <v>-</v>
      </c>
      <c r="R1622" s="483" t="str">
        <f>IFERROR(INDEX([1]Produtos!$I:$I,MATCH(L1622,[1]Produtos!$B:$B,0)), "-")</f>
        <v>-</v>
      </c>
      <c r="S1622" s="483" t="str">
        <f>IFERROR(INDEX([1]Produtos!$J:$J,MATCH(L1622,[1]Produtos!$B:$B,0)), "-")</f>
        <v>-</v>
      </c>
      <c r="T1622" s="484"/>
      <c r="U1622" s="483"/>
      <c r="V1622" s="483"/>
      <c r="W1622" s="483"/>
      <c r="X1622" s="483"/>
      <c r="Y1622" s="483"/>
      <c r="Z1622" s="483"/>
      <c r="AA1622" s="483"/>
      <c r="AB1622" s="483"/>
      <c r="AC1622" s="483"/>
      <c r="AD1622" s="483"/>
      <c r="AE1622" s="483"/>
      <c r="AF1622" s="483"/>
      <c r="AG1622" s="483"/>
      <c r="AH1622" s="483"/>
      <c r="AI1622" s="483"/>
      <c r="AJ1622" s="483"/>
      <c r="AK1622" s="483"/>
      <c r="AL1622" s="483"/>
      <c r="AM1622" s="670"/>
      <c r="AN1622" s="670"/>
      <c r="AO1622" s="711" t="str">
        <f>IF(OR(Table1[[#This Row],[Início Setup Envase]]="",Table1[[#This Row],[Final Setup Envase]]=""),"",Table1[[#This Row],[Final Setup Envase]]-Table1[[#This Row],[Início Setup Envase]])</f>
        <v/>
      </c>
      <c r="AP1622" s="670"/>
      <c r="AQ1622" s="670"/>
      <c r="AR1622" s="483"/>
      <c r="AS1622" s="483"/>
      <c r="AT1622" s="483"/>
      <c r="AU1622" s="483"/>
      <c r="AV1622" s="483"/>
      <c r="AW1622" s="483"/>
      <c r="AX1622" s="483"/>
      <c r="AY1622" s="270"/>
      <c r="AZ1622" s="270"/>
      <c r="BA1622" s="270" t="str">
        <f>IF(Table1[[#This Row],[Data de Início]]="","",YEAR(Table1[[#This Row],[Data de Início]]))</f>
        <v/>
      </c>
      <c r="BB1622" s="270" t="str">
        <f>IF(Table1[[#This Row],[Data de Início]]="","",MONTH(Table1[[#This Row],[Data de Início]]))</f>
        <v/>
      </c>
      <c r="BC1622" s="270"/>
    </row>
    <row r="1623" spans="2:55" x14ac:dyDescent="0.25">
      <c r="B1623" s="470"/>
      <c r="C1623" s="263"/>
      <c r="D1623" s="477" cm="1">
        <f t="array" ref="D1623">IFERROR(HorasUteisFabrica2Turnos(B1623,C1623), "")</f>
        <v>0</v>
      </c>
      <c r="E1623" s="697" t="str">
        <f t="shared" si="25"/>
        <v/>
      </c>
      <c r="F1623" s="266"/>
      <c r="G1623" s="698"/>
      <c r="H1623" s="266"/>
      <c r="I1623" s="268"/>
      <c r="J1623" s="268"/>
      <c r="K1623" s="268"/>
      <c r="L1623" s="269"/>
      <c r="M1623" s="510" t="str">
        <f>IFERROR(INDEX([1]Produtos!$C:$C,MATCH(L1623,[1]Produtos!$B:$B,0)), "-")</f>
        <v>-</v>
      </c>
      <c r="N1623" s="510" t="str">
        <f>IFERROR(INDEX([1]Produtos!$E:$E,MATCH(L1623,[1]Produtos!$B:$B,0)), "-")</f>
        <v>-</v>
      </c>
      <c r="O1623" s="270" t="str">
        <f>IFERROR(INDEX([1]Produtos!$F:$F,MATCH(L1623,[1]Produtos!$B:$B,0)), "-")</f>
        <v>-</v>
      </c>
      <c r="P1623" s="264" t="str">
        <f>IFERROR(INDEX([1]Produtos!$G:$G,MATCH(L1623,[1]Produtos!$B:$B,0)), "-")</f>
        <v>-</v>
      </c>
      <c r="Q1623" s="270" t="str">
        <f>IFERROR(INDEX([1]Produtos!$H:$H,MATCH(L1623,[1]Produtos!$B:$B,0)), "-")</f>
        <v>-</v>
      </c>
      <c r="R1623" s="270" t="str">
        <f>IFERROR(INDEX([1]Produtos!$I:$I,MATCH(L1623,[1]Produtos!$B:$B,0)), "-")</f>
        <v>-</v>
      </c>
      <c r="S1623" s="270" t="str">
        <f>IFERROR(INDEX([1]Produtos!$J:$J,MATCH(L1623,[1]Produtos!$B:$B,0)), "-")</f>
        <v>-</v>
      </c>
      <c r="T1623" s="475"/>
      <c r="U1623" s="270"/>
      <c r="V1623" s="270"/>
      <c r="W1623" s="270"/>
      <c r="X1623" s="270"/>
      <c r="Y1623" s="270"/>
      <c r="Z1623" s="270"/>
      <c r="AA1623" s="270"/>
      <c r="AB1623" s="270"/>
      <c r="AC1623" s="270"/>
      <c r="AD1623" s="270"/>
      <c r="AE1623" s="270"/>
      <c r="AF1623" s="270"/>
      <c r="AG1623" s="270"/>
      <c r="AH1623" s="270"/>
      <c r="AI1623" s="270"/>
      <c r="AJ1623" s="270"/>
      <c r="AK1623" s="270"/>
      <c r="AL1623" s="270"/>
      <c r="AM1623" s="663"/>
      <c r="AN1623" s="663"/>
      <c r="AO1623" s="708" t="str">
        <f>IF(OR(Table1[[#This Row],[Início Setup Envase]]="",Table1[[#This Row],[Final Setup Envase]]=""),"",Table1[[#This Row],[Final Setup Envase]]-Table1[[#This Row],[Início Setup Envase]])</f>
        <v/>
      </c>
      <c r="AP1623" s="663"/>
      <c r="AQ1623" s="663"/>
      <c r="AR1623" s="270"/>
      <c r="AS1623" s="674"/>
      <c r="AT1623" s="674"/>
      <c r="AU1623" s="270"/>
      <c r="AV1623" s="270"/>
      <c r="AW1623" s="270"/>
      <c r="AX1623" s="270"/>
      <c r="AY1623" s="270"/>
      <c r="AZ1623" s="270"/>
      <c r="BA1623" s="270" t="str">
        <f>IF(Table1[[#This Row],[Data de Início]]="","",YEAR(Table1[[#This Row],[Data de Início]]))</f>
        <v/>
      </c>
      <c r="BB1623" s="270" t="str">
        <f>IF(Table1[[#This Row],[Data de Início]]="","",MONTH(Table1[[#This Row],[Data de Início]]))</f>
        <v/>
      </c>
      <c r="BC1623" s="483"/>
    </row>
    <row r="1624" spans="2:55" x14ac:dyDescent="0.25">
      <c r="B1624" s="470"/>
      <c r="C1624" s="263"/>
      <c r="D1624" s="477" cm="1">
        <f t="array" ref="D1624">IFERROR(HorasUteisFabrica2Turnos(B1624,C1624), "")</f>
        <v>0</v>
      </c>
      <c r="E1624" s="478" t="str">
        <f t="shared" si="25"/>
        <v/>
      </c>
      <c r="F1624" s="266"/>
      <c r="G1624" s="656"/>
      <c r="H1624" s="479"/>
      <c r="I1624" s="268"/>
      <c r="J1624" s="268"/>
      <c r="K1624" s="268"/>
      <c r="L1624" s="269"/>
      <c r="M1624" s="511" t="str">
        <f>IFERROR(INDEX([1]Produtos!$C:$C,MATCH(L1624,[1]Produtos!$B:$B,0)), "-")</f>
        <v>-</v>
      </c>
      <c r="N1624" s="511" t="str">
        <f>IFERROR(INDEX([1]Produtos!$E:$E,MATCH(L1624,[1]Produtos!$B:$B,0)), "-")</f>
        <v>-</v>
      </c>
      <c r="O1624" s="483" t="str">
        <f>IFERROR(INDEX([1]Produtos!$F:$F,MATCH(L1624,[1]Produtos!$B:$B,0)), "-")</f>
        <v>-</v>
      </c>
      <c r="P1624" s="477" t="str">
        <f>IFERROR(INDEX([1]Produtos!$G:$G,MATCH(L1624,[1]Produtos!$B:$B,0)), "-")</f>
        <v>-</v>
      </c>
      <c r="Q1624" s="483" t="str">
        <f>IFERROR(INDEX([1]Produtos!$H:$H,MATCH(L1624,[1]Produtos!$B:$B,0)), "-")</f>
        <v>-</v>
      </c>
      <c r="R1624" s="483" t="str">
        <f>IFERROR(INDEX([1]Produtos!$I:$I,MATCH(L1624,[1]Produtos!$B:$B,0)), "-")</f>
        <v>-</v>
      </c>
      <c r="S1624" s="483" t="str">
        <f>IFERROR(INDEX([1]Produtos!$J:$J,MATCH(L1624,[1]Produtos!$B:$B,0)), "-")</f>
        <v>-</v>
      </c>
      <c r="T1624" s="484"/>
      <c r="U1624" s="483"/>
      <c r="V1624" s="483"/>
      <c r="W1624" s="483"/>
      <c r="X1624" s="483"/>
      <c r="Y1624" s="483"/>
      <c r="Z1624" s="483"/>
      <c r="AA1624" s="483"/>
      <c r="AB1624" s="483"/>
      <c r="AC1624" s="483"/>
      <c r="AD1624" s="483"/>
      <c r="AE1624" s="483"/>
      <c r="AF1624" s="483"/>
      <c r="AG1624" s="483"/>
      <c r="AH1624" s="483"/>
      <c r="AI1624" s="483"/>
      <c r="AJ1624" s="483"/>
      <c r="AK1624" s="483"/>
      <c r="AL1624" s="483"/>
      <c r="AM1624" s="670"/>
      <c r="AN1624" s="670"/>
      <c r="AO1624" s="711" t="str">
        <f>IF(OR(Table1[[#This Row],[Início Setup Envase]]="",Table1[[#This Row],[Final Setup Envase]]=""),"",Table1[[#This Row],[Final Setup Envase]]-Table1[[#This Row],[Início Setup Envase]])</f>
        <v/>
      </c>
      <c r="AP1624" s="670"/>
      <c r="AQ1624" s="670"/>
      <c r="AR1624" s="483"/>
      <c r="AS1624" s="483"/>
      <c r="AT1624" s="483"/>
      <c r="AU1624" s="483"/>
      <c r="AV1624" s="483"/>
      <c r="AW1624" s="483"/>
      <c r="AX1624" s="483"/>
      <c r="AY1624" s="270"/>
      <c r="AZ1624" s="270"/>
      <c r="BA1624" s="270" t="str">
        <f>IF(Table1[[#This Row],[Data de Início]]="","",YEAR(Table1[[#This Row],[Data de Início]]))</f>
        <v/>
      </c>
      <c r="BB1624" s="270" t="str">
        <f>IF(Table1[[#This Row],[Data de Início]]="","",MONTH(Table1[[#This Row],[Data de Início]]))</f>
        <v/>
      </c>
      <c r="BC1624" s="270"/>
    </row>
    <row r="1625" spans="2:55" x14ac:dyDescent="0.25">
      <c r="B1625" s="470"/>
      <c r="C1625" s="263"/>
      <c r="D1625" s="477" cm="1">
        <f t="array" ref="D1625">IFERROR(HorasUteisFabrica2Turnos(B1625,C1625), "")</f>
        <v>0</v>
      </c>
      <c r="E1625" s="697" t="str">
        <f t="shared" si="25"/>
        <v/>
      </c>
      <c r="F1625" s="266"/>
      <c r="G1625" s="698"/>
      <c r="H1625" s="266"/>
      <c r="I1625" s="268"/>
      <c r="J1625" s="268"/>
      <c r="K1625" s="268"/>
      <c r="L1625" s="269"/>
      <c r="M1625" s="510" t="str">
        <f>IFERROR(INDEX([1]Produtos!$C:$C,MATCH(L1625,[1]Produtos!$B:$B,0)), "-")</f>
        <v>-</v>
      </c>
      <c r="N1625" s="510" t="str">
        <f>IFERROR(INDEX([1]Produtos!$E:$E,MATCH(L1625,[1]Produtos!$B:$B,0)), "-")</f>
        <v>-</v>
      </c>
      <c r="O1625" s="270" t="str">
        <f>IFERROR(INDEX([1]Produtos!$F:$F,MATCH(L1625,[1]Produtos!$B:$B,0)), "-")</f>
        <v>-</v>
      </c>
      <c r="P1625" s="264" t="str">
        <f>IFERROR(INDEX([1]Produtos!$G:$G,MATCH(L1625,[1]Produtos!$B:$B,0)), "-")</f>
        <v>-</v>
      </c>
      <c r="Q1625" s="270" t="str">
        <f>IFERROR(INDEX([1]Produtos!$H:$H,MATCH(L1625,[1]Produtos!$B:$B,0)), "-")</f>
        <v>-</v>
      </c>
      <c r="R1625" s="270" t="str">
        <f>IFERROR(INDEX([1]Produtos!$I:$I,MATCH(L1625,[1]Produtos!$B:$B,0)), "-")</f>
        <v>-</v>
      </c>
      <c r="S1625" s="270" t="str">
        <f>IFERROR(INDEX([1]Produtos!$J:$J,MATCH(L1625,[1]Produtos!$B:$B,0)), "-")</f>
        <v>-</v>
      </c>
      <c r="T1625" s="475"/>
      <c r="U1625" s="270"/>
      <c r="V1625" s="270"/>
      <c r="W1625" s="270"/>
      <c r="X1625" s="270"/>
      <c r="Y1625" s="270"/>
      <c r="Z1625" s="270"/>
      <c r="AA1625" s="270"/>
      <c r="AB1625" s="270"/>
      <c r="AC1625" s="270"/>
      <c r="AD1625" s="270"/>
      <c r="AE1625" s="270"/>
      <c r="AF1625" s="270"/>
      <c r="AG1625" s="270"/>
      <c r="AH1625" s="270"/>
      <c r="AI1625" s="270"/>
      <c r="AJ1625" s="270"/>
      <c r="AK1625" s="270"/>
      <c r="AL1625" s="270"/>
      <c r="AM1625" s="663"/>
      <c r="AN1625" s="663"/>
      <c r="AO1625" s="708" t="str">
        <f>IF(OR(Table1[[#This Row],[Início Setup Envase]]="",Table1[[#This Row],[Final Setup Envase]]=""),"",Table1[[#This Row],[Final Setup Envase]]-Table1[[#This Row],[Início Setup Envase]])</f>
        <v/>
      </c>
      <c r="AP1625" s="663"/>
      <c r="AQ1625" s="663"/>
      <c r="AR1625" s="270"/>
      <c r="AS1625" s="674"/>
      <c r="AT1625" s="674"/>
      <c r="AU1625" s="270"/>
      <c r="AV1625" s="270"/>
      <c r="AW1625" s="270"/>
      <c r="AX1625" s="270"/>
      <c r="AY1625" s="270"/>
      <c r="AZ1625" s="270"/>
      <c r="BA1625" s="270" t="str">
        <f>IF(Table1[[#This Row],[Data de Início]]="","",YEAR(Table1[[#This Row],[Data de Início]]))</f>
        <v/>
      </c>
      <c r="BB1625" s="270" t="str">
        <f>IF(Table1[[#This Row],[Data de Início]]="","",MONTH(Table1[[#This Row],[Data de Início]]))</f>
        <v/>
      </c>
      <c r="BC1625" s="483"/>
    </row>
    <row r="1626" spans="2:55" x14ac:dyDescent="0.25">
      <c r="B1626" s="470"/>
      <c r="C1626" s="263"/>
      <c r="D1626" s="477" cm="1">
        <f t="array" ref="D1626">IFERROR(HorasUteisFabrica2Turnos(B1626,C1626), "")</f>
        <v>0</v>
      </c>
      <c r="E1626" s="478" t="str">
        <f t="shared" si="25"/>
        <v/>
      </c>
      <c r="F1626" s="266"/>
      <c r="G1626" s="656"/>
      <c r="H1626" s="479"/>
      <c r="I1626" s="268"/>
      <c r="J1626" s="268"/>
      <c r="K1626" s="268"/>
      <c r="L1626" s="269"/>
      <c r="M1626" s="511" t="str">
        <f>IFERROR(INDEX([1]Produtos!$C:$C,MATCH(L1626,[1]Produtos!$B:$B,0)), "-")</f>
        <v>-</v>
      </c>
      <c r="N1626" s="511" t="str">
        <f>IFERROR(INDEX([1]Produtos!$E:$E,MATCH(L1626,[1]Produtos!$B:$B,0)), "-")</f>
        <v>-</v>
      </c>
      <c r="O1626" s="483" t="str">
        <f>IFERROR(INDEX([1]Produtos!$F:$F,MATCH(L1626,[1]Produtos!$B:$B,0)), "-")</f>
        <v>-</v>
      </c>
      <c r="P1626" s="477" t="str">
        <f>IFERROR(INDEX([1]Produtos!$G:$G,MATCH(L1626,[1]Produtos!$B:$B,0)), "-")</f>
        <v>-</v>
      </c>
      <c r="Q1626" s="483" t="str">
        <f>IFERROR(INDEX([1]Produtos!$H:$H,MATCH(L1626,[1]Produtos!$B:$B,0)), "-")</f>
        <v>-</v>
      </c>
      <c r="R1626" s="483" t="str">
        <f>IFERROR(INDEX([1]Produtos!$I:$I,MATCH(L1626,[1]Produtos!$B:$B,0)), "-")</f>
        <v>-</v>
      </c>
      <c r="S1626" s="483" t="str">
        <f>IFERROR(INDEX([1]Produtos!$J:$J,MATCH(L1626,[1]Produtos!$B:$B,0)), "-")</f>
        <v>-</v>
      </c>
      <c r="T1626" s="484"/>
      <c r="U1626" s="483"/>
      <c r="V1626" s="483"/>
      <c r="W1626" s="483"/>
      <c r="X1626" s="483"/>
      <c r="Y1626" s="483"/>
      <c r="Z1626" s="483"/>
      <c r="AA1626" s="483"/>
      <c r="AB1626" s="483"/>
      <c r="AC1626" s="483"/>
      <c r="AD1626" s="483"/>
      <c r="AE1626" s="483"/>
      <c r="AF1626" s="483"/>
      <c r="AG1626" s="483"/>
      <c r="AH1626" s="483"/>
      <c r="AI1626" s="483"/>
      <c r="AJ1626" s="483"/>
      <c r="AK1626" s="483"/>
      <c r="AL1626" s="483"/>
      <c r="AM1626" s="670"/>
      <c r="AN1626" s="670"/>
      <c r="AO1626" s="711" t="str">
        <f>IF(OR(Table1[[#This Row],[Início Setup Envase]]="",Table1[[#This Row],[Final Setup Envase]]=""),"",Table1[[#This Row],[Final Setup Envase]]-Table1[[#This Row],[Início Setup Envase]])</f>
        <v/>
      </c>
      <c r="AP1626" s="670"/>
      <c r="AQ1626" s="670"/>
      <c r="AR1626" s="483"/>
      <c r="AS1626" s="483"/>
      <c r="AT1626" s="483"/>
      <c r="AU1626" s="483"/>
      <c r="AV1626" s="483"/>
      <c r="AW1626" s="483"/>
      <c r="AX1626" s="483"/>
      <c r="AY1626" s="270"/>
      <c r="AZ1626" s="270"/>
      <c r="BA1626" s="270" t="str">
        <f>IF(Table1[[#This Row],[Data de Início]]="","",YEAR(Table1[[#This Row],[Data de Início]]))</f>
        <v/>
      </c>
      <c r="BB1626" s="270" t="str">
        <f>IF(Table1[[#This Row],[Data de Início]]="","",MONTH(Table1[[#This Row],[Data de Início]]))</f>
        <v/>
      </c>
      <c r="BC1626" s="270"/>
    </row>
    <row r="1627" spans="2:55" x14ac:dyDescent="0.25">
      <c r="B1627" s="470"/>
      <c r="C1627" s="263"/>
      <c r="D1627" s="477" cm="1">
        <f t="array" ref="D1627">IFERROR(HorasUteisFabrica2Turnos(B1627,C1627), "")</f>
        <v>0</v>
      </c>
      <c r="E1627" s="697" t="str">
        <f t="shared" si="25"/>
        <v/>
      </c>
      <c r="F1627" s="266"/>
      <c r="G1627" s="698"/>
      <c r="H1627" s="266"/>
      <c r="I1627" s="268"/>
      <c r="J1627" s="268"/>
      <c r="K1627" s="268"/>
      <c r="L1627" s="269"/>
      <c r="M1627" s="510" t="str">
        <f>IFERROR(INDEX([1]Produtos!$C:$C,MATCH(L1627,[1]Produtos!$B:$B,0)), "-")</f>
        <v>-</v>
      </c>
      <c r="N1627" s="510" t="str">
        <f>IFERROR(INDEX([1]Produtos!$E:$E,MATCH(L1627,[1]Produtos!$B:$B,0)), "-")</f>
        <v>-</v>
      </c>
      <c r="O1627" s="270" t="str">
        <f>IFERROR(INDEX([1]Produtos!$F:$F,MATCH(L1627,[1]Produtos!$B:$B,0)), "-")</f>
        <v>-</v>
      </c>
      <c r="P1627" s="264" t="str">
        <f>IFERROR(INDEX([1]Produtos!$G:$G,MATCH(L1627,[1]Produtos!$B:$B,0)), "-")</f>
        <v>-</v>
      </c>
      <c r="Q1627" s="270" t="str">
        <f>IFERROR(INDEX([1]Produtos!$H:$H,MATCH(L1627,[1]Produtos!$B:$B,0)), "-")</f>
        <v>-</v>
      </c>
      <c r="R1627" s="270" t="str">
        <f>IFERROR(INDEX([1]Produtos!$I:$I,MATCH(L1627,[1]Produtos!$B:$B,0)), "-")</f>
        <v>-</v>
      </c>
      <c r="S1627" s="270" t="str">
        <f>IFERROR(INDEX([1]Produtos!$J:$J,MATCH(L1627,[1]Produtos!$B:$B,0)), "-")</f>
        <v>-</v>
      </c>
      <c r="T1627" s="475"/>
      <c r="U1627" s="270"/>
      <c r="V1627" s="270"/>
      <c r="W1627" s="270"/>
      <c r="X1627" s="270"/>
      <c r="Y1627" s="270"/>
      <c r="Z1627" s="270"/>
      <c r="AA1627" s="270"/>
      <c r="AB1627" s="270"/>
      <c r="AC1627" s="270"/>
      <c r="AD1627" s="270"/>
      <c r="AE1627" s="270"/>
      <c r="AF1627" s="270"/>
      <c r="AG1627" s="270"/>
      <c r="AH1627" s="270"/>
      <c r="AI1627" s="270"/>
      <c r="AJ1627" s="270"/>
      <c r="AK1627" s="270"/>
      <c r="AL1627" s="270"/>
      <c r="AM1627" s="663"/>
      <c r="AN1627" s="663"/>
      <c r="AO1627" s="708" t="str">
        <f>IF(OR(Table1[[#This Row],[Início Setup Envase]]="",Table1[[#This Row],[Final Setup Envase]]=""),"",Table1[[#This Row],[Final Setup Envase]]-Table1[[#This Row],[Início Setup Envase]])</f>
        <v/>
      </c>
      <c r="AP1627" s="663"/>
      <c r="AQ1627" s="663"/>
      <c r="AR1627" s="270"/>
      <c r="AS1627" s="674"/>
      <c r="AT1627" s="674"/>
      <c r="AU1627" s="270"/>
      <c r="AV1627" s="270"/>
      <c r="AW1627" s="270"/>
      <c r="AX1627" s="270"/>
      <c r="AY1627" s="270"/>
      <c r="AZ1627" s="270"/>
      <c r="BA1627" s="270" t="str">
        <f>IF(Table1[[#This Row],[Data de Início]]="","",YEAR(Table1[[#This Row],[Data de Início]]))</f>
        <v/>
      </c>
      <c r="BB1627" s="270" t="str">
        <f>IF(Table1[[#This Row],[Data de Início]]="","",MONTH(Table1[[#This Row],[Data de Início]]))</f>
        <v/>
      </c>
      <c r="BC1627" s="483"/>
    </row>
    <row r="1628" spans="2:55" x14ac:dyDescent="0.25">
      <c r="B1628" s="470"/>
      <c r="C1628" s="263"/>
      <c r="D1628" s="477" cm="1">
        <f t="array" ref="D1628">IFERROR(HorasUteisFabrica2Turnos(B1628,C1628), "")</f>
        <v>0</v>
      </c>
      <c r="E1628" s="478" t="str">
        <f t="shared" si="25"/>
        <v/>
      </c>
      <c r="F1628" s="266"/>
      <c r="G1628" s="656"/>
      <c r="H1628" s="479"/>
      <c r="I1628" s="268"/>
      <c r="J1628" s="268"/>
      <c r="K1628" s="268"/>
      <c r="L1628" s="269"/>
      <c r="M1628" s="511" t="str">
        <f>IFERROR(INDEX([1]Produtos!$C:$C,MATCH(L1628,[1]Produtos!$B:$B,0)), "-")</f>
        <v>-</v>
      </c>
      <c r="N1628" s="511" t="str">
        <f>IFERROR(INDEX([1]Produtos!$E:$E,MATCH(L1628,[1]Produtos!$B:$B,0)), "-")</f>
        <v>-</v>
      </c>
      <c r="O1628" s="483" t="str">
        <f>IFERROR(INDEX([1]Produtos!$F:$F,MATCH(L1628,[1]Produtos!$B:$B,0)), "-")</f>
        <v>-</v>
      </c>
      <c r="P1628" s="477" t="str">
        <f>IFERROR(INDEX([1]Produtos!$G:$G,MATCH(L1628,[1]Produtos!$B:$B,0)), "-")</f>
        <v>-</v>
      </c>
      <c r="Q1628" s="483" t="str">
        <f>IFERROR(INDEX([1]Produtos!$H:$H,MATCH(L1628,[1]Produtos!$B:$B,0)), "-")</f>
        <v>-</v>
      </c>
      <c r="R1628" s="483" t="str">
        <f>IFERROR(INDEX([1]Produtos!$I:$I,MATCH(L1628,[1]Produtos!$B:$B,0)), "-")</f>
        <v>-</v>
      </c>
      <c r="S1628" s="483" t="str">
        <f>IFERROR(INDEX([1]Produtos!$J:$J,MATCH(L1628,[1]Produtos!$B:$B,0)), "-")</f>
        <v>-</v>
      </c>
      <c r="T1628" s="484"/>
      <c r="U1628" s="483"/>
      <c r="V1628" s="483"/>
      <c r="W1628" s="483"/>
      <c r="X1628" s="483"/>
      <c r="Y1628" s="483"/>
      <c r="Z1628" s="483"/>
      <c r="AA1628" s="483"/>
      <c r="AB1628" s="483"/>
      <c r="AC1628" s="483"/>
      <c r="AD1628" s="483"/>
      <c r="AE1628" s="483"/>
      <c r="AF1628" s="483"/>
      <c r="AG1628" s="483"/>
      <c r="AH1628" s="483"/>
      <c r="AI1628" s="483"/>
      <c r="AJ1628" s="483"/>
      <c r="AK1628" s="483"/>
      <c r="AL1628" s="483"/>
      <c r="AM1628" s="670"/>
      <c r="AN1628" s="670"/>
      <c r="AO1628" s="711" t="str">
        <f>IF(OR(Table1[[#This Row],[Início Setup Envase]]="",Table1[[#This Row],[Final Setup Envase]]=""),"",Table1[[#This Row],[Final Setup Envase]]-Table1[[#This Row],[Início Setup Envase]])</f>
        <v/>
      </c>
      <c r="AP1628" s="670"/>
      <c r="AQ1628" s="670"/>
      <c r="AR1628" s="483"/>
      <c r="AS1628" s="483"/>
      <c r="AT1628" s="483"/>
      <c r="AU1628" s="483"/>
      <c r="AV1628" s="483"/>
      <c r="AW1628" s="483"/>
      <c r="AX1628" s="483"/>
      <c r="AY1628" s="270"/>
      <c r="AZ1628" s="270"/>
      <c r="BA1628" s="270" t="str">
        <f>IF(Table1[[#This Row],[Data de Início]]="","",YEAR(Table1[[#This Row],[Data de Início]]))</f>
        <v/>
      </c>
      <c r="BB1628" s="270" t="str">
        <f>IF(Table1[[#This Row],[Data de Início]]="","",MONTH(Table1[[#This Row],[Data de Início]]))</f>
        <v/>
      </c>
      <c r="BC1628" s="270"/>
    </row>
    <row r="1629" spans="2:55" x14ac:dyDescent="0.25">
      <c r="B1629" s="470"/>
      <c r="C1629" s="263"/>
      <c r="D1629" s="477" cm="1">
        <f t="array" ref="D1629">IFERROR(HorasUteisFabrica2Turnos(B1629,C1629), "")</f>
        <v>0</v>
      </c>
      <c r="E1629" s="697" t="str">
        <f t="shared" si="25"/>
        <v/>
      </c>
      <c r="F1629" s="266"/>
      <c r="G1629" s="698"/>
      <c r="H1629" s="266"/>
      <c r="I1629" s="268"/>
      <c r="J1629" s="268"/>
      <c r="K1629" s="268"/>
      <c r="L1629" s="269"/>
      <c r="M1629" s="510" t="str">
        <f>IFERROR(INDEX([1]Produtos!$C:$C,MATCH(L1629,[1]Produtos!$B:$B,0)), "-")</f>
        <v>-</v>
      </c>
      <c r="N1629" s="510" t="str">
        <f>IFERROR(INDEX([1]Produtos!$E:$E,MATCH(L1629,[1]Produtos!$B:$B,0)), "-")</f>
        <v>-</v>
      </c>
      <c r="O1629" s="270" t="str">
        <f>IFERROR(INDEX([1]Produtos!$F:$F,MATCH(L1629,[1]Produtos!$B:$B,0)), "-")</f>
        <v>-</v>
      </c>
      <c r="P1629" s="264" t="str">
        <f>IFERROR(INDEX([1]Produtos!$G:$G,MATCH(L1629,[1]Produtos!$B:$B,0)), "-")</f>
        <v>-</v>
      </c>
      <c r="Q1629" s="270" t="str">
        <f>IFERROR(INDEX([1]Produtos!$H:$H,MATCH(L1629,[1]Produtos!$B:$B,0)), "-")</f>
        <v>-</v>
      </c>
      <c r="R1629" s="270" t="str">
        <f>IFERROR(INDEX([1]Produtos!$I:$I,MATCH(L1629,[1]Produtos!$B:$B,0)), "-")</f>
        <v>-</v>
      </c>
      <c r="S1629" s="270" t="str">
        <f>IFERROR(INDEX([1]Produtos!$J:$J,MATCH(L1629,[1]Produtos!$B:$B,0)), "-")</f>
        <v>-</v>
      </c>
      <c r="T1629" s="475"/>
      <c r="U1629" s="270"/>
      <c r="V1629" s="270"/>
      <c r="W1629" s="270"/>
      <c r="X1629" s="270"/>
      <c r="Y1629" s="270"/>
      <c r="Z1629" s="270"/>
      <c r="AA1629" s="270"/>
      <c r="AB1629" s="270"/>
      <c r="AC1629" s="270"/>
      <c r="AD1629" s="270"/>
      <c r="AE1629" s="270"/>
      <c r="AF1629" s="270"/>
      <c r="AG1629" s="270"/>
      <c r="AH1629" s="270"/>
      <c r="AI1629" s="270"/>
      <c r="AJ1629" s="270"/>
      <c r="AK1629" s="270"/>
      <c r="AL1629" s="270"/>
      <c r="AM1629" s="663"/>
      <c r="AN1629" s="663"/>
      <c r="AO1629" s="708" t="str">
        <f>IF(OR(Table1[[#This Row],[Início Setup Envase]]="",Table1[[#This Row],[Final Setup Envase]]=""),"",Table1[[#This Row],[Final Setup Envase]]-Table1[[#This Row],[Início Setup Envase]])</f>
        <v/>
      </c>
      <c r="AP1629" s="663"/>
      <c r="AQ1629" s="663"/>
      <c r="AR1629" s="270"/>
      <c r="AS1629" s="674"/>
      <c r="AT1629" s="674"/>
      <c r="AU1629" s="270"/>
      <c r="AV1629" s="270"/>
      <c r="AW1629" s="270"/>
      <c r="AX1629" s="270"/>
      <c r="AY1629" s="270"/>
      <c r="AZ1629" s="270"/>
      <c r="BA1629" s="270" t="str">
        <f>IF(Table1[[#This Row],[Data de Início]]="","",YEAR(Table1[[#This Row],[Data de Início]]))</f>
        <v/>
      </c>
      <c r="BB1629" s="270" t="str">
        <f>IF(Table1[[#This Row],[Data de Início]]="","",MONTH(Table1[[#This Row],[Data de Início]]))</f>
        <v/>
      </c>
      <c r="BC1629" s="483"/>
    </row>
    <row r="1630" spans="2:55" x14ac:dyDescent="0.25">
      <c r="B1630" s="470"/>
      <c r="C1630" s="263"/>
      <c r="D1630" s="477" cm="1">
        <f t="array" ref="D1630">IFERROR(HorasUteisFabrica2Turnos(B1630,C1630), "")</f>
        <v>0</v>
      </c>
      <c r="E1630" s="478" t="str">
        <f t="shared" si="25"/>
        <v/>
      </c>
      <c r="F1630" s="266"/>
      <c r="G1630" s="656"/>
      <c r="H1630" s="479"/>
      <c r="I1630" s="268"/>
      <c r="J1630" s="268"/>
      <c r="K1630" s="268"/>
      <c r="L1630" s="269"/>
      <c r="M1630" s="511" t="str">
        <f>IFERROR(INDEX([1]Produtos!$C:$C,MATCH(L1630,[1]Produtos!$B:$B,0)), "-")</f>
        <v>-</v>
      </c>
      <c r="N1630" s="511" t="str">
        <f>IFERROR(INDEX([1]Produtos!$E:$E,MATCH(L1630,[1]Produtos!$B:$B,0)), "-")</f>
        <v>-</v>
      </c>
      <c r="O1630" s="483" t="str">
        <f>IFERROR(INDEX([1]Produtos!$F:$F,MATCH(L1630,[1]Produtos!$B:$B,0)), "-")</f>
        <v>-</v>
      </c>
      <c r="P1630" s="477" t="str">
        <f>IFERROR(INDEX([1]Produtos!$G:$G,MATCH(L1630,[1]Produtos!$B:$B,0)), "-")</f>
        <v>-</v>
      </c>
      <c r="Q1630" s="483" t="str">
        <f>IFERROR(INDEX([1]Produtos!$H:$H,MATCH(L1630,[1]Produtos!$B:$B,0)), "-")</f>
        <v>-</v>
      </c>
      <c r="R1630" s="483" t="str">
        <f>IFERROR(INDEX([1]Produtos!$I:$I,MATCH(L1630,[1]Produtos!$B:$B,0)), "-")</f>
        <v>-</v>
      </c>
      <c r="S1630" s="483" t="str">
        <f>IFERROR(INDEX([1]Produtos!$J:$J,MATCH(L1630,[1]Produtos!$B:$B,0)), "-")</f>
        <v>-</v>
      </c>
      <c r="T1630" s="484"/>
      <c r="U1630" s="483"/>
      <c r="V1630" s="483"/>
      <c r="W1630" s="483"/>
      <c r="X1630" s="483"/>
      <c r="Y1630" s="483"/>
      <c r="Z1630" s="483"/>
      <c r="AA1630" s="483"/>
      <c r="AB1630" s="483"/>
      <c r="AC1630" s="483"/>
      <c r="AD1630" s="483"/>
      <c r="AE1630" s="483"/>
      <c r="AF1630" s="483"/>
      <c r="AG1630" s="483"/>
      <c r="AH1630" s="483"/>
      <c r="AI1630" s="483"/>
      <c r="AJ1630" s="483"/>
      <c r="AK1630" s="483"/>
      <c r="AL1630" s="483"/>
      <c r="AM1630" s="670"/>
      <c r="AN1630" s="670"/>
      <c r="AO1630" s="711" t="str">
        <f>IF(OR(Table1[[#This Row],[Início Setup Envase]]="",Table1[[#This Row],[Final Setup Envase]]=""),"",Table1[[#This Row],[Final Setup Envase]]-Table1[[#This Row],[Início Setup Envase]])</f>
        <v/>
      </c>
      <c r="AP1630" s="670"/>
      <c r="AQ1630" s="670"/>
      <c r="AR1630" s="483"/>
      <c r="AS1630" s="483"/>
      <c r="AT1630" s="483"/>
      <c r="AU1630" s="483"/>
      <c r="AV1630" s="483"/>
      <c r="AW1630" s="483"/>
      <c r="AX1630" s="483"/>
      <c r="AY1630" s="270"/>
      <c r="AZ1630" s="270"/>
      <c r="BA1630" s="270" t="str">
        <f>IF(Table1[[#This Row],[Data de Início]]="","",YEAR(Table1[[#This Row],[Data de Início]]))</f>
        <v/>
      </c>
      <c r="BB1630" s="270" t="str">
        <f>IF(Table1[[#This Row],[Data de Início]]="","",MONTH(Table1[[#This Row],[Data de Início]]))</f>
        <v/>
      </c>
      <c r="BC1630" s="270"/>
    </row>
    <row r="1631" spans="2:55" x14ac:dyDescent="0.25">
      <c r="B1631" s="470"/>
      <c r="C1631" s="263"/>
      <c r="D1631" s="477" cm="1">
        <f t="array" ref="D1631">IFERROR(HorasUteisFabrica2Turnos(B1631,C1631), "")</f>
        <v>0</v>
      </c>
      <c r="E1631" s="697" t="str">
        <f t="shared" si="25"/>
        <v/>
      </c>
      <c r="F1631" s="266"/>
      <c r="G1631" s="698"/>
      <c r="H1631" s="266"/>
      <c r="I1631" s="268"/>
      <c r="J1631" s="268"/>
      <c r="K1631" s="268"/>
      <c r="L1631" s="269"/>
      <c r="M1631" s="510" t="str">
        <f>IFERROR(INDEX([1]Produtos!$C:$C,MATCH(L1631,[1]Produtos!$B:$B,0)), "-")</f>
        <v>-</v>
      </c>
      <c r="N1631" s="510" t="str">
        <f>IFERROR(INDEX([1]Produtos!$E:$E,MATCH(L1631,[1]Produtos!$B:$B,0)), "-")</f>
        <v>-</v>
      </c>
      <c r="O1631" s="270" t="str">
        <f>IFERROR(INDEX([1]Produtos!$F:$F,MATCH(L1631,[1]Produtos!$B:$B,0)), "-")</f>
        <v>-</v>
      </c>
      <c r="P1631" s="264" t="str">
        <f>IFERROR(INDEX([1]Produtos!$G:$G,MATCH(L1631,[1]Produtos!$B:$B,0)), "-")</f>
        <v>-</v>
      </c>
      <c r="Q1631" s="270" t="str">
        <f>IFERROR(INDEX([1]Produtos!$H:$H,MATCH(L1631,[1]Produtos!$B:$B,0)), "-")</f>
        <v>-</v>
      </c>
      <c r="R1631" s="270" t="str">
        <f>IFERROR(INDEX([1]Produtos!$I:$I,MATCH(L1631,[1]Produtos!$B:$B,0)), "-")</f>
        <v>-</v>
      </c>
      <c r="S1631" s="270" t="str">
        <f>IFERROR(INDEX([1]Produtos!$J:$J,MATCH(L1631,[1]Produtos!$B:$B,0)), "-")</f>
        <v>-</v>
      </c>
      <c r="T1631" s="475"/>
      <c r="U1631" s="270"/>
      <c r="V1631" s="270"/>
      <c r="W1631" s="270"/>
      <c r="X1631" s="270"/>
      <c r="Y1631" s="270"/>
      <c r="Z1631" s="270"/>
      <c r="AA1631" s="270"/>
      <c r="AB1631" s="270"/>
      <c r="AC1631" s="270"/>
      <c r="AD1631" s="270"/>
      <c r="AE1631" s="270"/>
      <c r="AF1631" s="270"/>
      <c r="AG1631" s="270"/>
      <c r="AH1631" s="270"/>
      <c r="AI1631" s="270"/>
      <c r="AJ1631" s="270"/>
      <c r="AK1631" s="270"/>
      <c r="AL1631" s="270"/>
      <c r="AM1631" s="663"/>
      <c r="AN1631" s="663"/>
      <c r="AO1631" s="708" t="str">
        <f>IF(OR(Table1[[#This Row],[Início Setup Envase]]="",Table1[[#This Row],[Final Setup Envase]]=""),"",Table1[[#This Row],[Final Setup Envase]]-Table1[[#This Row],[Início Setup Envase]])</f>
        <v/>
      </c>
      <c r="AP1631" s="663"/>
      <c r="AQ1631" s="663"/>
      <c r="AR1631" s="270"/>
      <c r="AS1631" s="674"/>
      <c r="AT1631" s="674"/>
      <c r="AU1631" s="270"/>
      <c r="AV1631" s="270"/>
      <c r="AW1631" s="270"/>
      <c r="AX1631" s="270"/>
      <c r="AY1631" s="270"/>
      <c r="AZ1631" s="270"/>
      <c r="BA1631" s="270" t="str">
        <f>IF(Table1[[#This Row],[Data de Início]]="","",YEAR(Table1[[#This Row],[Data de Início]]))</f>
        <v/>
      </c>
      <c r="BB1631" s="270" t="str">
        <f>IF(Table1[[#This Row],[Data de Início]]="","",MONTH(Table1[[#This Row],[Data de Início]]))</f>
        <v/>
      </c>
      <c r="BC1631" s="483"/>
    </row>
    <row r="1632" spans="2:55" x14ac:dyDescent="0.25">
      <c r="B1632" s="470"/>
      <c r="C1632" s="263"/>
      <c r="D1632" s="477" cm="1">
        <f t="array" ref="D1632">IFERROR(HorasUteisFabrica2Turnos(B1632,C1632), "")</f>
        <v>0</v>
      </c>
      <c r="E1632" s="478" t="str">
        <f t="shared" si="25"/>
        <v/>
      </c>
      <c r="F1632" s="266"/>
      <c r="G1632" s="656"/>
      <c r="H1632" s="479"/>
      <c r="I1632" s="268"/>
      <c r="J1632" s="268"/>
      <c r="K1632" s="268"/>
      <c r="L1632" s="269"/>
      <c r="M1632" s="511" t="str">
        <f>IFERROR(INDEX([1]Produtos!$C:$C,MATCH(L1632,[1]Produtos!$B:$B,0)), "-")</f>
        <v>-</v>
      </c>
      <c r="N1632" s="511" t="str">
        <f>IFERROR(INDEX([1]Produtos!$E:$E,MATCH(L1632,[1]Produtos!$B:$B,0)), "-")</f>
        <v>-</v>
      </c>
      <c r="O1632" s="483" t="str">
        <f>IFERROR(INDEX([1]Produtos!$F:$F,MATCH(L1632,[1]Produtos!$B:$B,0)), "-")</f>
        <v>-</v>
      </c>
      <c r="P1632" s="477" t="str">
        <f>IFERROR(INDEX([1]Produtos!$G:$G,MATCH(L1632,[1]Produtos!$B:$B,0)), "-")</f>
        <v>-</v>
      </c>
      <c r="Q1632" s="483" t="str">
        <f>IFERROR(INDEX([1]Produtos!$H:$H,MATCH(L1632,[1]Produtos!$B:$B,0)), "-")</f>
        <v>-</v>
      </c>
      <c r="R1632" s="483" t="str">
        <f>IFERROR(INDEX([1]Produtos!$I:$I,MATCH(L1632,[1]Produtos!$B:$B,0)), "-")</f>
        <v>-</v>
      </c>
      <c r="S1632" s="483" t="str">
        <f>IFERROR(INDEX([1]Produtos!$J:$J,MATCH(L1632,[1]Produtos!$B:$B,0)), "-")</f>
        <v>-</v>
      </c>
      <c r="T1632" s="484"/>
      <c r="U1632" s="483"/>
      <c r="V1632" s="483"/>
      <c r="W1632" s="483"/>
      <c r="X1632" s="483"/>
      <c r="Y1632" s="483"/>
      <c r="Z1632" s="483"/>
      <c r="AA1632" s="483"/>
      <c r="AB1632" s="483"/>
      <c r="AC1632" s="483"/>
      <c r="AD1632" s="483"/>
      <c r="AE1632" s="483"/>
      <c r="AF1632" s="483"/>
      <c r="AG1632" s="483"/>
      <c r="AH1632" s="483"/>
      <c r="AI1632" s="483"/>
      <c r="AJ1632" s="483"/>
      <c r="AK1632" s="483"/>
      <c r="AL1632" s="483"/>
      <c r="AM1632" s="670"/>
      <c r="AN1632" s="670"/>
      <c r="AO1632" s="711" t="str">
        <f>IF(OR(Table1[[#This Row],[Início Setup Envase]]="",Table1[[#This Row],[Final Setup Envase]]=""),"",Table1[[#This Row],[Final Setup Envase]]-Table1[[#This Row],[Início Setup Envase]])</f>
        <v/>
      </c>
      <c r="AP1632" s="670"/>
      <c r="AQ1632" s="670"/>
      <c r="AR1632" s="483"/>
      <c r="AS1632" s="483"/>
      <c r="AT1632" s="483"/>
      <c r="AU1632" s="483"/>
      <c r="AV1632" s="483"/>
      <c r="AW1632" s="483"/>
      <c r="AX1632" s="483"/>
      <c r="AY1632" s="270"/>
      <c r="AZ1632" s="270"/>
      <c r="BA1632" s="270" t="str">
        <f>IF(Table1[[#This Row],[Data de Início]]="","",YEAR(Table1[[#This Row],[Data de Início]]))</f>
        <v/>
      </c>
      <c r="BB1632" s="270" t="str">
        <f>IF(Table1[[#This Row],[Data de Início]]="","",MONTH(Table1[[#This Row],[Data de Início]]))</f>
        <v/>
      </c>
      <c r="BC1632" s="270"/>
    </row>
    <row r="1633" spans="2:55" x14ac:dyDescent="0.25">
      <c r="B1633" s="470"/>
      <c r="C1633" s="263"/>
      <c r="D1633" s="477" cm="1">
        <f t="array" ref="D1633">IFERROR(HorasUteisFabrica2Turnos(B1633,C1633), "")</f>
        <v>0</v>
      </c>
      <c r="E1633" s="697" t="str">
        <f t="shared" si="25"/>
        <v/>
      </c>
      <c r="F1633" s="266"/>
      <c r="G1633" s="698"/>
      <c r="H1633" s="266"/>
      <c r="I1633" s="268"/>
      <c r="J1633" s="268"/>
      <c r="K1633" s="268"/>
      <c r="L1633" s="269"/>
      <c r="M1633" s="510" t="str">
        <f>IFERROR(INDEX([1]Produtos!$C:$C,MATCH(L1633,[1]Produtos!$B:$B,0)), "-")</f>
        <v>-</v>
      </c>
      <c r="N1633" s="510" t="str">
        <f>IFERROR(INDEX([1]Produtos!$E:$E,MATCH(L1633,[1]Produtos!$B:$B,0)), "-")</f>
        <v>-</v>
      </c>
      <c r="O1633" s="270" t="str">
        <f>IFERROR(INDEX([1]Produtos!$F:$F,MATCH(L1633,[1]Produtos!$B:$B,0)), "-")</f>
        <v>-</v>
      </c>
      <c r="P1633" s="264" t="str">
        <f>IFERROR(INDEX([1]Produtos!$G:$G,MATCH(L1633,[1]Produtos!$B:$B,0)), "-")</f>
        <v>-</v>
      </c>
      <c r="Q1633" s="270" t="str">
        <f>IFERROR(INDEX([1]Produtos!$H:$H,MATCH(L1633,[1]Produtos!$B:$B,0)), "-")</f>
        <v>-</v>
      </c>
      <c r="R1633" s="270" t="str">
        <f>IFERROR(INDEX([1]Produtos!$I:$I,MATCH(L1633,[1]Produtos!$B:$B,0)), "-")</f>
        <v>-</v>
      </c>
      <c r="S1633" s="270" t="str">
        <f>IFERROR(INDEX([1]Produtos!$J:$J,MATCH(L1633,[1]Produtos!$B:$B,0)), "-")</f>
        <v>-</v>
      </c>
      <c r="T1633" s="475"/>
      <c r="U1633" s="270"/>
      <c r="V1633" s="270"/>
      <c r="W1633" s="270"/>
      <c r="X1633" s="270"/>
      <c r="Y1633" s="270"/>
      <c r="Z1633" s="270"/>
      <c r="AA1633" s="270"/>
      <c r="AB1633" s="270"/>
      <c r="AC1633" s="270"/>
      <c r="AD1633" s="270"/>
      <c r="AE1633" s="270"/>
      <c r="AF1633" s="270"/>
      <c r="AG1633" s="270"/>
      <c r="AH1633" s="270"/>
      <c r="AI1633" s="270"/>
      <c r="AJ1633" s="270"/>
      <c r="AK1633" s="270"/>
      <c r="AL1633" s="270"/>
      <c r="AM1633" s="663"/>
      <c r="AN1633" s="663"/>
      <c r="AO1633" s="708" t="str">
        <f>IF(OR(Table1[[#This Row],[Início Setup Envase]]="",Table1[[#This Row],[Final Setup Envase]]=""),"",Table1[[#This Row],[Final Setup Envase]]-Table1[[#This Row],[Início Setup Envase]])</f>
        <v/>
      </c>
      <c r="AP1633" s="663"/>
      <c r="AQ1633" s="663"/>
      <c r="AR1633" s="270"/>
      <c r="AS1633" s="674"/>
      <c r="AT1633" s="674"/>
      <c r="AU1633" s="270"/>
      <c r="AV1633" s="270"/>
      <c r="AW1633" s="270"/>
      <c r="AX1633" s="270"/>
      <c r="AY1633" s="270"/>
      <c r="AZ1633" s="270"/>
      <c r="BA1633" s="270" t="str">
        <f>IF(Table1[[#This Row],[Data de Início]]="","",YEAR(Table1[[#This Row],[Data de Início]]))</f>
        <v/>
      </c>
      <c r="BB1633" s="270" t="str">
        <f>IF(Table1[[#This Row],[Data de Início]]="","",MONTH(Table1[[#This Row],[Data de Início]]))</f>
        <v/>
      </c>
      <c r="BC1633" s="483"/>
    </row>
    <row r="1634" spans="2:55" x14ac:dyDescent="0.25">
      <c r="B1634" s="470"/>
      <c r="C1634" s="263"/>
      <c r="D1634" s="477" cm="1">
        <f t="array" ref="D1634">IFERROR(HorasUteisFabrica2Turnos(B1634,C1634), "")</f>
        <v>0</v>
      </c>
      <c r="E1634" s="478" t="str">
        <f t="shared" si="25"/>
        <v/>
      </c>
      <c r="F1634" s="266"/>
      <c r="G1634" s="656"/>
      <c r="H1634" s="479"/>
      <c r="I1634" s="268"/>
      <c r="J1634" s="268"/>
      <c r="K1634" s="268"/>
      <c r="L1634" s="269"/>
      <c r="M1634" s="511" t="str">
        <f>IFERROR(INDEX([1]Produtos!$C:$C,MATCH(L1634,[1]Produtos!$B:$B,0)), "-")</f>
        <v>-</v>
      </c>
      <c r="N1634" s="511" t="str">
        <f>IFERROR(INDEX([1]Produtos!$E:$E,MATCH(L1634,[1]Produtos!$B:$B,0)), "-")</f>
        <v>-</v>
      </c>
      <c r="O1634" s="483" t="str">
        <f>IFERROR(INDEX([1]Produtos!$F:$F,MATCH(L1634,[1]Produtos!$B:$B,0)), "-")</f>
        <v>-</v>
      </c>
      <c r="P1634" s="477" t="str">
        <f>IFERROR(INDEX([1]Produtos!$G:$G,MATCH(L1634,[1]Produtos!$B:$B,0)), "-")</f>
        <v>-</v>
      </c>
      <c r="Q1634" s="483" t="str">
        <f>IFERROR(INDEX([1]Produtos!$H:$H,MATCH(L1634,[1]Produtos!$B:$B,0)), "-")</f>
        <v>-</v>
      </c>
      <c r="R1634" s="483" t="str">
        <f>IFERROR(INDEX([1]Produtos!$I:$I,MATCH(L1634,[1]Produtos!$B:$B,0)), "-")</f>
        <v>-</v>
      </c>
      <c r="S1634" s="483" t="str">
        <f>IFERROR(INDEX([1]Produtos!$J:$J,MATCH(L1634,[1]Produtos!$B:$B,0)), "-")</f>
        <v>-</v>
      </c>
      <c r="T1634" s="484"/>
      <c r="U1634" s="483"/>
      <c r="V1634" s="483"/>
      <c r="W1634" s="483"/>
      <c r="X1634" s="483"/>
      <c r="Y1634" s="483"/>
      <c r="Z1634" s="483"/>
      <c r="AA1634" s="483"/>
      <c r="AB1634" s="483"/>
      <c r="AC1634" s="483"/>
      <c r="AD1634" s="483"/>
      <c r="AE1634" s="483"/>
      <c r="AF1634" s="483"/>
      <c r="AG1634" s="483"/>
      <c r="AH1634" s="483"/>
      <c r="AI1634" s="483"/>
      <c r="AJ1634" s="483"/>
      <c r="AK1634" s="483"/>
      <c r="AL1634" s="483"/>
      <c r="AM1634" s="670"/>
      <c r="AN1634" s="670"/>
      <c r="AO1634" s="711" t="str">
        <f>IF(OR(Table1[[#This Row],[Início Setup Envase]]="",Table1[[#This Row],[Final Setup Envase]]=""),"",Table1[[#This Row],[Final Setup Envase]]-Table1[[#This Row],[Início Setup Envase]])</f>
        <v/>
      </c>
      <c r="AP1634" s="670"/>
      <c r="AQ1634" s="670"/>
      <c r="AR1634" s="483"/>
      <c r="AS1634" s="483"/>
      <c r="AT1634" s="483"/>
      <c r="AU1634" s="483"/>
      <c r="AV1634" s="483"/>
      <c r="AW1634" s="483"/>
      <c r="AX1634" s="483"/>
      <c r="AY1634" s="270"/>
      <c r="AZ1634" s="270"/>
      <c r="BA1634" s="270" t="str">
        <f>IF(Table1[[#This Row],[Data de Início]]="","",YEAR(Table1[[#This Row],[Data de Início]]))</f>
        <v/>
      </c>
      <c r="BB1634" s="270" t="str">
        <f>IF(Table1[[#This Row],[Data de Início]]="","",MONTH(Table1[[#This Row],[Data de Início]]))</f>
        <v/>
      </c>
      <c r="BC1634" s="270"/>
    </row>
    <row r="1635" spans="2:55" x14ac:dyDescent="0.25">
      <c r="B1635" s="470"/>
      <c r="C1635" s="263"/>
      <c r="D1635" s="477" cm="1">
        <f t="array" ref="D1635">IFERROR(HorasUteisFabrica2Turnos(B1635,C1635), "")</f>
        <v>0</v>
      </c>
      <c r="E1635" s="697" t="str">
        <f t="shared" si="25"/>
        <v/>
      </c>
      <c r="F1635" s="266"/>
      <c r="G1635" s="698"/>
      <c r="H1635" s="266"/>
      <c r="I1635" s="268"/>
      <c r="J1635" s="268"/>
      <c r="K1635" s="268"/>
      <c r="L1635" s="269"/>
      <c r="M1635" s="510" t="str">
        <f>IFERROR(INDEX([1]Produtos!$C:$C,MATCH(L1635,[1]Produtos!$B:$B,0)), "-")</f>
        <v>-</v>
      </c>
      <c r="N1635" s="510" t="str">
        <f>IFERROR(INDEX([1]Produtos!$E:$E,MATCH(L1635,[1]Produtos!$B:$B,0)), "-")</f>
        <v>-</v>
      </c>
      <c r="O1635" s="270" t="str">
        <f>IFERROR(INDEX([1]Produtos!$F:$F,MATCH(L1635,[1]Produtos!$B:$B,0)), "-")</f>
        <v>-</v>
      </c>
      <c r="P1635" s="264" t="str">
        <f>IFERROR(INDEX([1]Produtos!$G:$G,MATCH(L1635,[1]Produtos!$B:$B,0)), "-")</f>
        <v>-</v>
      </c>
      <c r="Q1635" s="270" t="str">
        <f>IFERROR(INDEX([1]Produtos!$H:$H,MATCH(L1635,[1]Produtos!$B:$B,0)), "-")</f>
        <v>-</v>
      </c>
      <c r="R1635" s="270" t="str">
        <f>IFERROR(INDEX([1]Produtos!$I:$I,MATCH(L1635,[1]Produtos!$B:$B,0)), "-")</f>
        <v>-</v>
      </c>
      <c r="S1635" s="270" t="str">
        <f>IFERROR(INDEX([1]Produtos!$J:$J,MATCH(L1635,[1]Produtos!$B:$B,0)), "-")</f>
        <v>-</v>
      </c>
      <c r="T1635" s="475"/>
      <c r="U1635" s="270"/>
      <c r="V1635" s="270"/>
      <c r="W1635" s="270"/>
      <c r="X1635" s="270"/>
      <c r="Y1635" s="270"/>
      <c r="Z1635" s="270"/>
      <c r="AA1635" s="270"/>
      <c r="AB1635" s="270"/>
      <c r="AC1635" s="270"/>
      <c r="AD1635" s="270"/>
      <c r="AE1635" s="270"/>
      <c r="AF1635" s="270"/>
      <c r="AG1635" s="270"/>
      <c r="AH1635" s="270"/>
      <c r="AI1635" s="270"/>
      <c r="AJ1635" s="270"/>
      <c r="AK1635" s="270"/>
      <c r="AL1635" s="270"/>
      <c r="AM1635" s="663"/>
      <c r="AN1635" s="663"/>
      <c r="AO1635" s="708" t="str">
        <f>IF(OR(Table1[[#This Row],[Início Setup Envase]]="",Table1[[#This Row],[Final Setup Envase]]=""),"",Table1[[#This Row],[Final Setup Envase]]-Table1[[#This Row],[Início Setup Envase]])</f>
        <v/>
      </c>
      <c r="AP1635" s="663"/>
      <c r="AQ1635" s="663"/>
      <c r="AR1635" s="270"/>
      <c r="AS1635" s="674"/>
      <c r="AT1635" s="674"/>
      <c r="AU1635" s="270"/>
      <c r="AV1635" s="270"/>
      <c r="AW1635" s="270"/>
      <c r="AX1635" s="270"/>
      <c r="AY1635" s="270"/>
      <c r="AZ1635" s="270"/>
      <c r="BA1635" s="270" t="str">
        <f>IF(Table1[[#This Row],[Data de Início]]="","",YEAR(Table1[[#This Row],[Data de Início]]))</f>
        <v/>
      </c>
      <c r="BB1635" s="270" t="str">
        <f>IF(Table1[[#This Row],[Data de Início]]="","",MONTH(Table1[[#This Row],[Data de Início]]))</f>
        <v/>
      </c>
      <c r="BC1635" s="483"/>
    </row>
    <row r="1636" spans="2:55" x14ac:dyDescent="0.25">
      <c r="B1636" s="470"/>
      <c r="C1636" s="263"/>
      <c r="D1636" s="477" cm="1">
        <f t="array" ref="D1636">IFERROR(HorasUteisFabrica2Turnos(B1636,C1636), "")</f>
        <v>0</v>
      </c>
      <c r="E1636" s="478" t="str">
        <f t="shared" si="25"/>
        <v/>
      </c>
      <c r="F1636" s="266"/>
      <c r="G1636" s="656"/>
      <c r="H1636" s="479"/>
      <c r="I1636" s="268"/>
      <c r="J1636" s="268"/>
      <c r="K1636" s="268"/>
      <c r="L1636" s="269"/>
      <c r="M1636" s="511" t="str">
        <f>IFERROR(INDEX([1]Produtos!$C:$C,MATCH(L1636,[1]Produtos!$B:$B,0)), "-")</f>
        <v>-</v>
      </c>
      <c r="N1636" s="511" t="str">
        <f>IFERROR(INDEX([1]Produtos!$E:$E,MATCH(L1636,[1]Produtos!$B:$B,0)), "-")</f>
        <v>-</v>
      </c>
      <c r="O1636" s="483" t="str">
        <f>IFERROR(INDEX([1]Produtos!$F:$F,MATCH(L1636,[1]Produtos!$B:$B,0)), "-")</f>
        <v>-</v>
      </c>
      <c r="P1636" s="477" t="str">
        <f>IFERROR(INDEX([1]Produtos!$G:$G,MATCH(L1636,[1]Produtos!$B:$B,0)), "-")</f>
        <v>-</v>
      </c>
      <c r="Q1636" s="483" t="str">
        <f>IFERROR(INDEX([1]Produtos!$H:$H,MATCH(L1636,[1]Produtos!$B:$B,0)), "-")</f>
        <v>-</v>
      </c>
      <c r="R1636" s="483" t="str">
        <f>IFERROR(INDEX([1]Produtos!$I:$I,MATCH(L1636,[1]Produtos!$B:$B,0)), "-")</f>
        <v>-</v>
      </c>
      <c r="S1636" s="483" t="str">
        <f>IFERROR(INDEX([1]Produtos!$J:$J,MATCH(L1636,[1]Produtos!$B:$B,0)), "-")</f>
        <v>-</v>
      </c>
      <c r="T1636" s="484"/>
      <c r="U1636" s="483"/>
      <c r="V1636" s="483"/>
      <c r="W1636" s="483"/>
      <c r="X1636" s="483"/>
      <c r="Y1636" s="483"/>
      <c r="Z1636" s="483"/>
      <c r="AA1636" s="483"/>
      <c r="AB1636" s="483"/>
      <c r="AC1636" s="483"/>
      <c r="AD1636" s="483"/>
      <c r="AE1636" s="483"/>
      <c r="AF1636" s="483"/>
      <c r="AG1636" s="483"/>
      <c r="AH1636" s="483"/>
      <c r="AI1636" s="483"/>
      <c r="AJ1636" s="483"/>
      <c r="AK1636" s="483"/>
      <c r="AL1636" s="483"/>
      <c r="AM1636" s="670"/>
      <c r="AN1636" s="670"/>
      <c r="AO1636" s="711" t="str">
        <f>IF(OR(Table1[[#This Row],[Início Setup Envase]]="",Table1[[#This Row],[Final Setup Envase]]=""),"",Table1[[#This Row],[Final Setup Envase]]-Table1[[#This Row],[Início Setup Envase]])</f>
        <v/>
      </c>
      <c r="AP1636" s="670"/>
      <c r="AQ1636" s="670"/>
      <c r="AR1636" s="483"/>
      <c r="AS1636" s="483"/>
      <c r="AT1636" s="483"/>
      <c r="AU1636" s="483"/>
      <c r="AV1636" s="483"/>
      <c r="AW1636" s="483"/>
      <c r="AX1636" s="483"/>
      <c r="AY1636" s="270"/>
      <c r="AZ1636" s="270"/>
      <c r="BA1636" s="270" t="str">
        <f>IF(Table1[[#This Row],[Data de Início]]="","",YEAR(Table1[[#This Row],[Data de Início]]))</f>
        <v/>
      </c>
      <c r="BB1636" s="270" t="str">
        <f>IF(Table1[[#This Row],[Data de Início]]="","",MONTH(Table1[[#This Row],[Data de Início]]))</f>
        <v/>
      </c>
      <c r="BC1636" s="270"/>
    </row>
    <row r="1637" spans="2:55" x14ac:dyDescent="0.25">
      <c r="B1637" s="470"/>
      <c r="C1637" s="263"/>
      <c r="D1637" s="477" cm="1">
        <f t="array" ref="D1637">IFERROR(HorasUteisFabrica2Turnos(B1637,C1637), "")</f>
        <v>0</v>
      </c>
      <c r="E1637" s="697" t="str">
        <f t="shared" ref="E1637:E1700" si="26">IFERROR(K1637/D1637, "")</f>
        <v/>
      </c>
      <c r="F1637" s="266"/>
      <c r="G1637" s="698"/>
      <c r="H1637" s="266"/>
      <c r="I1637" s="268"/>
      <c r="J1637" s="268"/>
      <c r="K1637" s="268"/>
      <c r="L1637" s="269"/>
      <c r="M1637" s="510" t="str">
        <f>IFERROR(INDEX([1]Produtos!$C:$C,MATCH(L1637,[1]Produtos!$B:$B,0)), "-")</f>
        <v>-</v>
      </c>
      <c r="N1637" s="510" t="str">
        <f>IFERROR(INDEX([1]Produtos!$E:$E,MATCH(L1637,[1]Produtos!$B:$B,0)), "-")</f>
        <v>-</v>
      </c>
      <c r="O1637" s="270" t="str">
        <f>IFERROR(INDEX([1]Produtos!$F:$F,MATCH(L1637,[1]Produtos!$B:$B,0)), "-")</f>
        <v>-</v>
      </c>
      <c r="P1637" s="264" t="str">
        <f>IFERROR(INDEX([1]Produtos!$G:$G,MATCH(L1637,[1]Produtos!$B:$B,0)), "-")</f>
        <v>-</v>
      </c>
      <c r="Q1637" s="270" t="str">
        <f>IFERROR(INDEX([1]Produtos!$H:$H,MATCH(L1637,[1]Produtos!$B:$B,0)), "-")</f>
        <v>-</v>
      </c>
      <c r="R1637" s="270" t="str">
        <f>IFERROR(INDEX([1]Produtos!$I:$I,MATCH(L1637,[1]Produtos!$B:$B,0)), "-")</f>
        <v>-</v>
      </c>
      <c r="S1637" s="270" t="str">
        <f>IFERROR(INDEX([1]Produtos!$J:$J,MATCH(L1637,[1]Produtos!$B:$B,0)), "-")</f>
        <v>-</v>
      </c>
      <c r="T1637" s="475"/>
      <c r="U1637" s="270"/>
      <c r="V1637" s="270"/>
      <c r="W1637" s="270"/>
      <c r="X1637" s="270"/>
      <c r="Y1637" s="270"/>
      <c r="Z1637" s="270"/>
      <c r="AA1637" s="270"/>
      <c r="AB1637" s="270"/>
      <c r="AC1637" s="270"/>
      <c r="AD1637" s="270"/>
      <c r="AE1637" s="270"/>
      <c r="AF1637" s="270"/>
      <c r="AG1637" s="270"/>
      <c r="AH1637" s="270"/>
      <c r="AI1637" s="270"/>
      <c r="AJ1637" s="270"/>
      <c r="AK1637" s="270"/>
      <c r="AL1637" s="270"/>
      <c r="AM1637" s="663"/>
      <c r="AN1637" s="663"/>
      <c r="AO1637" s="708" t="str">
        <f>IF(OR(Table1[[#This Row],[Início Setup Envase]]="",Table1[[#This Row],[Final Setup Envase]]=""),"",Table1[[#This Row],[Final Setup Envase]]-Table1[[#This Row],[Início Setup Envase]])</f>
        <v/>
      </c>
      <c r="AP1637" s="663"/>
      <c r="AQ1637" s="663"/>
      <c r="AR1637" s="270"/>
      <c r="AS1637" s="674"/>
      <c r="AT1637" s="674"/>
      <c r="AU1637" s="270"/>
      <c r="AV1637" s="270"/>
      <c r="AW1637" s="270"/>
      <c r="AX1637" s="270"/>
      <c r="AY1637" s="270"/>
      <c r="AZ1637" s="270"/>
      <c r="BA1637" s="270" t="str">
        <f>IF(Table1[[#This Row],[Data de Início]]="","",YEAR(Table1[[#This Row],[Data de Início]]))</f>
        <v/>
      </c>
      <c r="BB1637" s="270" t="str">
        <f>IF(Table1[[#This Row],[Data de Início]]="","",MONTH(Table1[[#This Row],[Data de Início]]))</f>
        <v/>
      </c>
      <c r="BC1637" s="483"/>
    </row>
    <row r="1638" spans="2:55" x14ac:dyDescent="0.25">
      <c r="B1638" s="470"/>
      <c r="C1638" s="263"/>
      <c r="D1638" s="477" cm="1">
        <f t="array" ref="D1638">IFERROR(HorasUteisFabrica2Turnos(B1638,C1638), "")</f>
        <v>0</v>
      </c>
      <c r="E1638" s="478" t="str">
        <f t="shared" si="26"/>
        <v/>
      </c>
      <c r="F1638" s="266"/>
      <c r="G1638" s="656"/>
      <c r="H1638" s="479"/>
      <c r="I1638" s="268"/>
      <c r="J1638" s="268"/>
      <c r="K1638" s="268"/>
      <c r="L1638" s="269"/>
      <c r="M1638" s="511" t="str">
        <f>IFERROR(INDEX([1]Produtos!$C:$C,MATCH(L1638,[1]Produtos!$B:$B,0)), "-")</f>
        <v>-</v>
      </c>
      <c r="N1638" s="511" t="str">
        <f>IFERROR(INDEX([1]Produtos!$E:$E,MATCH(L1638,[1]Produtos!$B:$B,0)), "-")</f>
        <v>-</v>
      </c>
      <c r="O1638" s="483" t="str">
        <f>IFERROR(INDEX([1]Produtos!$F:$F,MATCH(L1638,[1]Produtos!$B:$B,0)), "-")</f>
        <v>-</v>
      </c>
      <c r="P1638" s="477" t="str">
        <f>IFERROR(INDEX([1]Produtos!$G:$G,MATCH(L1638,[1]Produtos!$B:$B,0)), "-")</f>
        <v>-</v>
      </c>
      <c r="Q1638" s="483" t="str">
        <f>IFERROR(INDEX([1]Produtos!$H:$H,MATCH(L1638,[1]Produtos!$B:$B,0)), "-")</f>
        <v>-</v>
      </c>
      <c r="R1638" s="483" t="str">
        <f>IFERROR(INDEX([1]Produtos!$I:$I,MATCH(L1638,[1]Produtos!$B:$B,0)), "-")</f>
        <v>-</v>
      </c>
      <c r="S1638" s="483" t="str">
        <f>IFERROR(INDEX([1]Produtos!$J:$J,MATCH(L1638,[1]Produtos!$B:$B,0)), "-")</f>
        <v>-</v>
      </c>
      <c r="T1638" s="484"/>
      <c r="U1638" s="483"/>
      <c r="V1638" s="483"/>
      <c r="W1638" s="483"/>
      <c r="X1638" s="483"/>
      <c r="Y1638" s="483"/>
      <c r="Z1638" s="483"/>
      <c r="AA1638" s="483"/>
      <c r="AB1638" s="483"/>
      <c r="AC1638" s="483"/>
      <c r="AD1638" s="483"/>
      <c r="AE1638" s="483"/>
      <c r="AF1638" s="483"/>
      <c r="AG1638" s="483"/>
      <c r="AH1638" s="483"/>
      <c r="AI1638" s="483"/>
      <c r="AJ1638" s="483"/>
      <c r="AK1638" s="483"/>
      <c r="AL1638" s="483"/>
      <c r="AM1638" s="670"/>
      <c r="AN1638" s="670"/>
      <c r="AO1638" s="711" t="str">
        <f>IF(OR(Table1[[#This Row],[Início Setup Envase]]="",Table1[[#This Row],[Final Setup Envase]]=""),"",Table1[[#This Row],[Final Setup Envase]]-Table1[[#This Row],[Início Setup Envase]])</f>
        <v/>
      </c>
      <c r="AP1638" s="670"/>
      <c r="AQ1638" s="670"/>
      <c r="AR1638" s="483"/>
      <c r="AS1638" s="483"/>
      <c r="AT1638" s="483"/>
      <c r="AU1638" s="483"/>
      <c r="AV1638" s="483"/>
      <c r="AW1638" s="483"/>
      <c r="AX1638" s="483"/>
      <c r="AY1638" s="270"/>
      <c r="AZ1638" s="270"/>
      <c r="BA1638" s="270" t="str">
        <f>IF(Table1[[#This Row],[Data de Início]]="","",YEAR(Table1[[#This Row],[Data de Início]]))</f>
        <v/>
      </c>
      <c r="BB1638" s="270" t="str">
        <f>IF(Table1[[#This Row],[Data de Início]]="","",MONTH(Table1[[#This Row],[Data de Início]]))</f>
        <v/>
      </c>
      <c r="BC1638" s="270"/>
    </row>
    <row r="1639" spans="2:55" x14ac:dyDescent="0.25">
      <c r="B1639" s="470"/>
      <c r="C1639" s="263"/>
      <c r="D1639" s="477" cm="1">
        <f t="array" ref="D1639">IFERROR(HorasUteisFabrica2Turnos(B1639,C1639), "")</f>
        <v>0</v>
      </c>
      <c r="E1639" s="697" t="str">
        <f t="shared" si="26"/>
        <v/>
      </c>
      <c r="F1639" s="266"/>
      <c r="G1639" s="698"/>
      <c r="H1639" s="266"/>
      <c r="I1639" s="268"/>
      <c r="J1639" s="268"/>
      <c r="K1639" s="268"/>
      <c r="L1639" s="269"/>
      <c r="M1639" s="510" t="str">
        <f>IFERROR(INDEX([1]Produtos!$C:$C,MATCH(L1639,[1]Produtos!$B:$B,0)), "-")</f>
        <v>-</v>
      </c>
      <c r="N1639" s="510" t="str">
        <f>IFERROR(INDEX([1]Produtos!$E:$E,MATCH(L1639,[1]Produtos!$B:$B,0)), "-")</f>
        <v>-</v>
      </c>
      <c r="O1639" s="270" t="str">
        <f>IFERROR(INDEX([1]Produtos!$F:$F,MATCH(L1639,[1]Produtos!$B:$B,0)), "-")</f>
        <v>-</v>
      </c>
      <c r="P1639" s="264" t="str">
        <f>IFERROR(INDEX([1]Produtos!$G:$G,MATCH(L1639,[1]Produtos!$B:$B,0)), "-")</f>
        <v>-</v>
      </c>
      <c r="Q1639" s="270" t="str">
        <f>IFERROR(INDEX([1]Produtos!$H:$H,MATCH(L1639,[1]Produtos!$B:$B,0)), "-")</f>
        <v>-</v>
      </c>
      <c r="R1639" s="270" t="str">
        <f>IFERROR(INDEX([1]Produtos!$I:$I,MATCH(L1639,[1]Produtos!$B:$B,0)), "-")</f>
        <v>-</v>
      </c>
      <c r="S1639" s="270" t="str">
        <f>IFERROR(INDEX([1]Produtos!$J:$J,MATCH(L1639,[1]Produtos!$B:$B,0)), "-")</f>
        <v>-</v>
      </c>
      <c r="T1639" s="475"/>
      <c r="U1639" s="270"/>
      <c r="V1639" s="270"/>
      <c r="W1639" s="270"/>
      <c r="X1639" s="270"/>
      <c r="Y1639" s="270"/>
      <c r="Z1639" s="270"/>
      <c r="AA1639" s="270"/>
      <c r="AB1639" s="270"/>
      <c r="AC1639" s="270"/>
      <c r="AD1639" s="270"/>
      <c r="AE1639" s="270"/>
      <c r="AF1639" s="270"/>
      <c r="AG1639" s="270"/>
      <c r="AH1639" s="270"/>
      <c r="AI1639" s="270"/>
      <c r="AJ1639" s="270"/>
      <c r="AK1639" s="270"/>
      <c r="AL1639" s="270"/>
      <c r="AM1639" s="663"/>
      <c r="AN1639" s="663"/>
      <c r="AO1639" s="708" t="str">
        <f>IF(OR(Table1[[#This Row],[Início Setup Envase]]="",Table1[[#This Row],[Final Setup Envase]]=""),"",Table1[[#This Row],[Final Setup Envase]]-Table1[[#This Row],[Início Setup Envase]])</f>
        <v/>
      </c>
      <c r="AP1639" s="663"/>
      <c r="AQ1639" s="663"/>
      <c r="AR1639" s="270"/>
      <c r="AS1639" s="674"/>
      <c r="AT1639" s="674"/>
      <c r="AU1639" s="270"/>
      <c r="AV1639" s="270"/>
      <c r="AW1639" s="270"/>
      <c r="AX1639" s="270"/>
      <c r="AY1639" s="270"/>
      <c r="AZ1639" s="270"/>
      <c r="BA1639" s="270" t="str">
        <f>IF(Table1[[#This Row],[Data de Início]]="","",YEAR(Table1[[#This Row],[Data de Início]]))</f>
        <v/>
      </c>
      <c r="BB1639" s="270" t="str">
        <f>IF(Table1[[#This Row],[Data de Início]]="","",MONTH(Table1[[#This Row],[Data de Início]]))</f>
        <v/>
      </c>
      <c r="BC1639" s="483"/>
    </row>
    <row r="1640" spans="2:55" x14ac:dyDescent="0.25">
      <c r="B1640" s="470"/>
      <c r="C1640" s="263"/>
      <c r="D1640" s="477" cm="1">
        <f t="array" ref="D1640">IFERROR(HorasUteisFabrica2Turnos(B1640,C1640), "")</f>
        <v>0</v>
      </c>
      <c r="E1640" s="478" t="str">
        <f t="shared" si="26"/>
        <v/>
      </c>
      <c r="F1640" s="266"/>
      <c r="G1640" s="656"/>
      <c r="H1640" s="479"/>
      <c r="I1640" s="268"/>
      <c r="J1640" s="268"/>
      <c r="K1640" s="268"/>
      <c r="L1640" s="269"/>
      <c r="M1640" s="511" t="str">
        <f>IFERROR(INDEX([1]Produtos!$C:$C,MATCH(L1640,[1]Produtos!$B:$B,0)), "-")</f>
        <v>-</v>
      </c>
      <c r="N1640" s="511" t="str">
        <f>IFERROR(INDEX([1]Produtos!$E:$E,MATCH(L1640,[1]Produtos!$B:$B,0)), "-")</f>
        <v>-</v>
      </c>
      <c r="O1640" s="483" t="str">
        <f>IFERROR(INDEX([1]Produtos!$F:$F,MATCH(L1640,[1]Produtos!$B:$B,0)), "-")</f>
        <v>-</v>
      </c>
      <c r="P1640" s="477" t="str">
        <f>IFERROR(INDEX([1]Produtos!$G:$G,MATCH(L1640,[1]Produtos!$B:$B,0)), "-")</f>
        <v>-</v>
      </c>
      <c r="Q1640" s="483" t="str">
        <f>IFERROR(INDEX([1]Produtos!$H:$H,MATCH(L1640,[1]Produtos!$B:$B,0)), "-")</f>
        <v>-</v>
      </c>
      <c r="R1640" s="483" t="str">
        <f>IFERROR(INDEX([1]Produtos!$I:$I,MATCH(L1640,[1]Produtos!$B:$B,0)), "-")</f>
        <v>-</v>
      </c>
      <c r="S1640" s="483" t="str">
        <f>IFERROR(INDEX([1]Produtos!$J:$J,MATCH(L1640,[1]Produtos!$B:$B,0)), "-")</f>
        <v>-</v>
      </c>
      <c r="T1640" s="484"/>
      <c r="U1640" s="483"/>
      <c r="V1640" s="483"/>
      <c r="W1640" s="483"/>
      <c r="X1640" s="483"/>
      <c r="Y1640" s="483"/>
      <c r="Z1640" s="483"/>
      <c r="AA1640" s="483"/>
      <c r="AB1640" s="483"/>
      <c r="AC1640" s="483"/>
      <c r="AD1640" s="483"/>
      <c r="AE1640" s="483"/>
      <c r="AF1640" s="483"/>
      <c r="AG1640" s="483"/>
      <c r="AH1640" s="483"/>
      <c r="AI1640" s="483"/>
      <c r="AJ1640" s="483"/>
      <c r="AK1640" s="483"/>
      <c r="AL1640" s="483"/>
      <c r="AM1640" s="670"/>
      <c r="AN1640" s="670"/>
      <c r="AO1640" s="711" t="str">
        <f>IF(OR(Table1[[#This Row],[Início Setup Envase]]="",Table1[[#This Row],[Final Setup Envase]]=""),"",Table1[[#This Row],[Final Setup Envase]]-Table1[[#This Row],[Início Setup Envase]])</f>
        <v/>
      </c>
      <c r="AP1640" s="670"/>
      <c r="AQ1640" s="670"/>
      <c r="AR1640" s="483"/>
      <c r="AS1640" s="483"/>
      <c r="AT1640" s="483"/>
      <c r="AU1640" s="483"/>
      <c r="AV1640" s="483"/>
      <c r="AW1640" s="483"/>
      <c r="AX1640" s="483"/>
      <c r="AY1640" s="270"/>
      <c r="AZ1640" s="270"/>
      <c r="BA1640" s="270" t="str">
        <f>IF(Table1[[#This Row],[Data de Início]]="","",YEAR(Table1[[#This Row],[Data de Início]]))</f>
        <v/>
      </c>
      <c r="BB1640" s="270" t="str">
        <f>IF(Table1[[#This Row],[Data de Início]]="","",MONTH(Table1[[#This Row],[Data de Início]]))</f>
        <v/>
      </c>
      <c r="BC1640" s="270"/>
    </row>
    <row r="1641" spans="2:55" x14ac:dyDescent="0.25">
      <c r="B1641" s="470"/>
      <c r="C1641" s="263"/>
      <c r="D1641" s="477" cm="1">
        <f t="array" ref="D1641">IFERROR(HorasUteisFabrica2Turnos(B1641,C1641), "")</f>
        <v>0</v>
      </c>
      <c r="E1641" s="697" t="str">
        <f t="shared" si="26"/>
        <v/>
      </c>
      <c r="F1641" s="266"/>
      <c r="G1641" s="698"/>
      <c r="H1641" s="266"/>
      <c r="I1641" s="268"/>
      <c r="J1641" s="268"/>
      <c r="K1641" s="268"/>
      <c r="L1641" s="269"/>
      <c r="M1641" s="510" t="str">
        <f>IFERROR(INDEX([1]Produtos!$C:$C,MATCH(L1641,[1]Produtos!$B:$B,0)), "-")</f>
        <v>-</v>
      </c>
      <c r="N1641" s="510" t="str">
        <f>IFERROR(INDEX([1]Produtos!$E:$E,MATCH(L1641,[1]Produtos!$B:$B,0)), "-")</f>
        <v>-</v>
      </c>
      <c r="O1641" s="270" t="str">
        <f>IFERROR(INDEX([1]Produtos!$F:$F,MATCH(L1641,[1]Produtos!$B:$B,0)), "-")</f>
        <v>-</v>
      </c>
      <c r="P1641" s="264" t="str">
        <f>IFERROR(INDEX([1]Produtos!$G:$G,MATCH(L1641,[1]Produtos!$B:$B,0)), "-")</f>
        <v>-</v>
      </c>
      <c r="Q1641" s="270" t="str">
        <f>IFERROR(INDEX([1]Produtos!$H:$H,MATCH(L1641,[1]Produtos!$B:$B,0)), "-")</f>
        <v>-</v>
      </c>
      <c r="R1641" s="270" t="str">
        <f>IFERROR(INDEX([1]Produtos!$I:$I,MATCH(L1641,[1]Produtos!$B:$B,0)), "-")</f>
        <v>-</v>
      </c>
      <c r="S1641" s="270" t="str">
        <f>IFERROR(INDEX([1]Produtos!$J:$J,MATCH(L1641,[1]Produtos!$B:$B,0)), "-")</f>
        <v>-</v>
      </c>
      <c r="T1641" s="475"/>
      <c r="U1641" s="270"/>
      <c r="V1641" s="270"/>
      <c r="W1641" s="270"/>
      <c r="X1641" s="270"/>
      <c r="Y1641" s="270"/>
      <c r="Z1641" s="270"/>
      <c r="AA1641" s="270"/>
      <c r="AB1641" s="270"/>
      <c r="AC1641" s="270"/>
      <c r="AD1641" s="270"/>
      <c r="AE1641" s="270"/>
      <c r="AF1641" s="270"/>
      <c r="AG1641" s="270"/>
      <c r="AH1641" s="270"/>
      <c r="AI1641" s="270"/>
      <c r="AJ1641" s="270"/>
      <c r="AK1641" s="270"/>
      <c r="AL1641" s="270"/>
      <c r="AM1641" s="663"/>
      <c r="AN1641" s="663"/>
      <c r="AO1641" s="708" t="str">
        <f>IF(OR(Table1[[#This Row],[Início Setup Envase]]="",Table1[[#This Row],[Final Setup Envase]]=""),"",Table1[[#This Row],[Final Setup Envase]]-Table1[[#This Row],[Início Setup Envase]])</f>
        <v/>
      </c>
      <c r="AP1641" s="663"/>
      <c r="AQ1641" s="663"/>
      <c r="AR1641" s="270"/>
      <c r="AS1641" s="674"/>
      <c r="AT1641" s="674"/>
      <c r="AU1641" s="270"/>
      <c r="AV1641" s="270"/>
      <c r="AW1641" s="270"/>
      <c r="AX1641" s="270"/>
      <c r="AY1641" s="270"/>
      <c r="AZ1641" s="270"/>
      <c r="BA1641" s="270" t="str">
        <f>IF(Table1[[#This Row],[Data de Início]]="","",YEAR(Table1[[#This Row],[Data de Início]]))</f>
        <v/>
      </c>
      <c r="BB1641" s="270" t="str">
        <f>IF(Table1[[#This Row],[Data de Início]]="","",MONTH(Table1[[#This Row],[Data de Início]]))</f>
        <v/>
      </c>
      <c r="BC1641" s="483"/>
    </row>
    <row r="1642" spans="2:55" x14ac:dyDescent="0.25">
      <c r="B1642" s="470"/>
      <c r="C1642" s="263"/>
      <c r="D1642" s="477" cm="1">
        <f t="array" ref="D1642">IFERROR(HorasUteisFabrica2Turnos(B1642,C1642), "")</f>
        <v>0</v>
      </c>
      <c r="E1642" s="478" t="str">
        <f t="shared" si="26"/>
        <v/>
      </c>
      <c r="F1642" s="266"/>
      <c r="G1642" s="656"/>
      <c r="H1642" s="479"/>
      <c r="I1642" s="268"/>
      <c r="J1642" s="268"/>
      <c r="K1642" s="268"/>
      <c r="L1642" s="269"/>
      <c r="M1642" s="511" t="str">
        <f>IFERROR(INDEX([1]Produtos!$C:$C,MATCH(L1642,[1]Produtos!$B:$B,0)), "-")</f>
        <v>-</v>
      </c>
      <c r="N1642" s="511" t="str">
        <f>IFERROR(INDEX([1]Produtos!$E:$E,MATCH(L1642,[1]Produtos!$B:$B,0)), "-")</f>
        <v>-</v>
      </c>
      <c r="O1642" s="483" t="str">
        <f>IFERROR(INDEX([1]Produtos!$F:$F,MATCH(L1642,[1]Produtos!$B:$B,0)), "-")</f>
        <v>-</v>
      </c>
      <c r="P1642" s="477" t="str">
        <f>IFERROR(INDEX([1]Produtos!$G:$G,MATCH(L1642,[1]Produtos!$B:$B,0)), "-")</f>
        <v>-</v>
      </c>
      <c r="Q1642" s="483" t="str">
        <f>IFERROR(INDEX([1]Produtos!$H:$H,MATCH(L1642,[1]Produtos!$B:$B,0)), "-")</f>
        <v>-</v>
      </c>
      <c r="R1642" s="483" t="str">
        <f>IFERROR(INDEX([1]Produtos!$I:$I,MATCH(L1642,[1]Produtos!$B:$B,0)), "-")</f>
        <v>-</v>
      </c>
      <c r="S1642" s="483" t="str">
        <f>IFERROR(INDEX([1]Produtos!$J:$J,MATCH(L1642,[1]Produtos!$B:$B,0)), "-")</f>
        <v>-</v>
      </c>
      <c r="T1642" s="484"/>
      <c r="U1642" s="483"/>
      <c r="V1642" s="483"/>
      <c r="W1642" s="483"/>
      <c r="X1642" s="483"/>
      <c r="Y1642" s="483"/>
      <c r="Z1642" s="483"/>
      <c r="AA1642" s="483"/>
      <c r="AB1642" s="483"/>
      <c r="AC1642" s="483"/>
      <c r="AD1642" s="483"/>
      <c r="AE1642" s="483"/>
      <c r="AF1642" s="483"/>
      <c r="AG1642" s="483"/>
      <c r="AH1642" s="483"/>
      <c r="AI1642" s="483"/>
      <c r="AJ1642" s="483"/>
      <c r="AK1642" s="483"/>
      <c r="AL1642" s="483"/>
      <c r="AM1642" s="670"/>
      <c r="AN1642" s="670"/>
      <c r="AO1642" s="711" t="str">
        <f>IF(OR(Table1[[#This Row],[Início Setup Envase]]="",Table1[[#This Row],[Final Setup Envase]]=""),"",Table1[[#This Row],[Final Setup Envase]]-Table1[[#This Row],[Início Setup Envase]])</f>
        <v/>
      </c>
      <c r="AP1642" s="670"/>
      <c r="AQ1642" s="670"/>
      <c r="AR1642" s="483"/>
      <c r="AS1642" s="483"/>
      <c r="AT1642" s="483"/>
      <c r="AU1642" s="483"/>
      <c r="AV1642" s="483"/>
      <c r="AW1642" s="483"/>
      <c r="AX1642" s="483"/>
      <c r="AY1642" s="270"/>
      <c r="AZ1642" s="270"/>
      <c r="BA1642" s="270" t="str">
        <f>IF(Table1[[#This Row],[Data de Início]]="","",YEAR(Table1[[#This Row],[Data de Início]]))</f>
        <v/>
      </c>
      <c r="BB1642" s="270" t="str">
        <f>IF(Table1[[#This Row],[Data de Início]]="","",MONTH(Table1[[#This Row],[Data de Início]]))</f>
        <v/>
      </c>
      <c r="BC1642" s="270"/>
    </row>
    <row r="1643" spans="2:55" x14ac:dyDescent="0.25">
      <c r="B1643" s="470"/>
      <c r="C1643" s="263"/>
      <c r="D1643" s="477" cm="1">
        <f t="array" ref="D1643">IFERROR(HorasUteisFabrica2Turnos(B1643,C1643), "")</f>
        <v>0</v>
      </c>
      <c r="E1643" s="697" t="str">
        <f t="shared" si="26"/>
        <v/>
      </c>
      <c r="F1643" s="266"/>
      <c r="G1643" s="698"/>
      <c r="H1643" s="266"/>
      <c r="I1643" s="268"/>
      <c r="J1643" s="268"/>
      <c r="K1643" s="268"/>
      <c r="L1643" s="269"/>
      <c r="M1643" s="510" t="str">
        <f>IFERROR(INDEX([1]Produtos!$C:$C,MATCH(L1643,[1]Produtos!$B:$B,0)), "-")</f>
        <v>-</v>
      </c>
      <c r="N1643" s="510" t="str">
        <f>IFERROR(INDEX([1]Produtos!$E:$E,MATCH(L1643,[1]Produtos!$B:$B,0)), "-")</f>
        <v>-</v>
      </c>
      <c r="O1643" s="270" t="str">
        <f>IFERROR(INDEX([1]Produtos!$F:$F,MATCH(L1643,[1]Produtos!$B:$B,0)), "-")</f>
        <v>-</v>
      </c>
      <c r="P1643" s="264" t="str">
        <f>IFERROR(INDEX([1]Produtos!$G:$G,MATCH(L1643,[1]Produtos!$B:$B,0)), "-")</f>
        <v>-</v>
      </c>
      <c r="Q1643" s="270" t="str">
        <f>IFERROR(INDEX([1]Produtos!$H:$H,MATCH(L1643,[1]Produtos!$B:$B,0)), "-")</f>
        <v>-</v>
      </c>
      <c r="R1643" s="270" t="str">
        <f>IFERROR(INDEX([1]Produtos!$I:$I,MATCH(L1643,[1]Produtos!$B:$B,0)), "-")</f>
        <v>-</v>
      </c>
      <c r="S1643" s="270" t="str">
        <f>IFERROR(INDEX([1]Produtos!$J:$J,MATCH(L1643,[1]Produtos!$B:$B,0)), "-")</f>
        <v>-</v>
      </c>
      <c r="T1643" s="475"/>
      <c r="U1643" s="270"/>
      <c r="V1643" s="270"/>
      <c r="W1643" s="270"/>
      <c r="X1643" s="270"/>
      <c r="Y1643" s="270"/>
      <c r="Z1643" s="270"/>
      <c r="AA1643" s="270"/>
      <c r="AB1643" s="270"/>
      <c r="AC1643" s="270"/>
      <c r="AD1643" s="270"/>
      <c r="AE1643" s="270"/>
      <c r="AF1643" s="270"/>
      <c r="AG1643" s="270"/>
      <c r="AH1643" s="270"/>
      <c r="AI1643" s="270"/>
      <c r="AJ1643" s="270"/>
      <c r="AK1643" s="270"/>
      <c r="AL1643" s="270"/>
      <c r="AM1643" s="663"/>
      <c r="AN1643" s="663"/>
      <c r="AO1643" s="708" t="str">
        <f>IF(OR(Table1[[#This Row],[Início Setup Envase]]="",Table1[[#This Row],[Final Setup Envase]]=""),"",Table1[[#This Row],[Final Setup Envase]]-Table1[[#This Row],[Início Setup Envase]])</f>
        <v/>
      </c>
      <c r="AP1643" s="663"/>
      <c r="AQ1643" s="663"/>
      <c r="AR1643" s="270"/>
      <c r="AS1643" s="674"/>
      <c r="AT1643" s="674"/>
      <c r="AU1643" s="270"/>
      <c r="AV1643" s="270"/>
      <c r="AW1643" s="270"/>
      <c r="AX1643" s="270"/>
      <c r="AY1643" s="270"/>
      <c r="AZ1643" s="270"/>
      <c r="BA1643" s="270" t="str">
        <f>IF(Table1[[#This Row],[Data de Início]]="","",YEAR(Table1[[#This Row],[Data de Início]]))</f>
        <v/>
      </c>
      <c r="BB1643" s="270" t="str">
        <f>IF(Table1[[#This Row],[Data de Início]]="","",MONTH(Table1[[#This Row],[Data de Início]]))</f>
        <v/>
      </c>
      <c r="BC1643" s="483"/>
    </row>
    <row r="1644" spans="2:55" x14ac:dyDescent="0.25">
      <c r="B1644" s="470"/>
      <c r="C1644" s="263"/>
      <c r="D1644" s="477" cm="1">
        <f t="array" ref="D1644">IFERROR(HorasUteisFabrica2Turnos(B1644,C1644), "")</f>
        <v>0</v>
      </c>
      <c r="E1644" s="478" t="str">
        <f t="shared" si="26"/>
        <v/>
      </c>
      <c r="F1644" s="266"/>
      <c r="G1644" s="656"/>
      <c r="H1644" s="479"/>
      <c r="I1644" s="268"/>
      <c r="J1644" s="268"/>
      <c r="K1644" s="268"/>
      <c r="L1644" s="269"/>
      <c r="M1644" s="511" t="str">
        <f>IFERROR(INDEX([1]Produtos!$C:$C,MATCH(L1644,[1]Produtos!$B:$B,0)), "-")</f>
        <v>-</v>
      </c>
      <c r="N1644" s="511" t="str">
        <f>IFERROR(INDEX([1]Produtos!$E:$E,MATCH(L1644,[1]Produtos!$B:$B,0)), "-")</f>
        <v>-</v>
      </c>
      <c r="O1644" s="483" t="str">
        <f>IFERROR(INDEX([1]Produtos!$F:$F,MATCH(L1644,[1]Produtos!$B:$B,0)), "-")</f>
        <v>-</v>
      </c>
      <c r="P1644" s="477" t="str">
        <f>IFERROR(INDEX([1]Produtos!$G:$G,MATCH(L1644,[1]Produtos!$B:$B,0)), "-")</f>
        <v>-</v>
      </c>
      <c r="Q1644" s="483" t="str">
        <f>IFERROR(INDEX([1]Produtos!$H:$H,MATCH(L1644,[1]Produtos!$B:$B,0)), "-")</f>
        <v>-</v>
      </c>
      <c r="R1644" s="483" t="str">
        <f>IFERROR(INDEX([1]Produtos!$I:$I,MATCH(L1644,[1]Produtos!$B:$B,0)), "-")</f>
        <v>-</v>
      </c>
      <c r="S1644" s="483" t="str">
        <f>IFERROR(INDEX([1]Produtos!$J:$J,MATCH(L1644,[1]Produtos!$B:$B,0)), "-")</f>
        <v>-</v>
      </c>
      <c r="T1644" s="484"/>
      <c r="U1644" s="483"/>
      <c r="V1644" s="483"/>
      <c r="W1644" s="483"/>
      <c r="X1644" s="483"/>
      <c r="Y1644" s="483"/>
      <c r="Z1644" s="483"/>
      <c r="AA1644" s="483"/>
      <c r="AB1644" s="483"/>
      <c r="AC1644" s="483"/>
      <c r="AD1644" s="483"/>
      <c r="AE1644" s="483"/>
      <c r="AF1644" s="483"/>
      <c r="AG1644" s="483"/>
      <c r="AH1644" s="483"/>
      <c r="AI1644" s="483"/>
      <c r="AJ1644" s="483"/>
      <c r="AK1644" s="483"/>
      <c r="AL1644" s="483"/>
      <c r="AM1644" s="670"/>
      <c r="AN1644" s="670"/>
      <c r="AO1644" s="711" t="str">
        <f>IF(OR(Table1[[#This Row],[Início Setup Envase]]="",Table1[[#This Row],[Final Setup Envase]]=""),"",Table1[[#This Row],[Final Setup Envase]]-Table1[[#This Row],[Início Setup Envase]])</f>
        <v/>
      </c>
      <c r="AP1644" s="670"/>
      <c r="AQ1644" s="670"/>
      <c r="AR1644" s="483"/>
      <c r="AS1644" s="483"/>
      <c r="AT1644" s="483"/>
      <c r="AU1644" s="483"/>
      <c r="AV1644" s="483"/>
      <c r="AW1644" s="483"/>
      <c r="AX1644" s="483"/>
      <c r="AY1644" s="270"/>
      <c r="AZ1644" s="270"/>
      <c r="BA1644" s="270" t="str">
        <f>IF(Table1[[#This Row],[Data de Início]]="","",YEAR(Table1[[#This Row],[Data de Início]]))</f>
        <v/>
      </c>
      <c r="BB1644" s="270" t="str">
        <f>IF(Table1[[#This Row],[Data de Início]]="","",MONTH(Table1[[#This Row],[Data de Início]]))</f>
        <v/>
      </c>
      <c r="BC1644" s="270"/>
    </row>
    <row r="1645" spans="2:55" x14ac:dyDescent="0.25">
      <c r="B1645" s="470"/>
      <c r="C1645" s="263"/>
      <c r="D1645" s="477" cm="1">
        <f t="array" ref="D1645">IFERROR(HorasUteisFabrica2Turnos(B1645,C1645), "")</f>
        <v>0</v>
      </c>
      <c r="E1645" s="697" t="str">
        <f t="shared" si="26"/>
        <v/>
      </c>
      <c r="F1645" s="266"/>
      <c r="G1645" s="698"/>
      <c r="H1645" s="266"/>
      <c r="I1645" s="268"/>
      <c r="J1645" s="268"/>
      <c r="K1645" s="268"/>
      <c r="L1645" s="269"/>
      <c r="M1645" s="510" t="str">
        <f>IFERROR(INDEX([1]Produtos!$C:$C,MATCH(L1645,[1]Produtos!$B:$B,0)), "-")</f>
        <v>-</v>
      </c>
      <c r="N1645" s="510" t="str">
        <f>IFERROR(INDEX([1]Produtos!$E:$E,MATCH(L1645,[1]Produtos!$B:$B,0)), "-")</f>
        <v>-</v>
      </c>
      <c r="O1645" s="270" t="str">
        <f>IFERROR(INDEX([1]Produtos!$F:$F,MATCH(L1645,[1]Produtos!$B:$B,0)), "-")</f>
        <v>-</v>
      </c>
      <c r="P1645" s="264" t="str">
        <f>IFERROR(INDEX([1]Produtos!$G:$G,MATCH(L1645,[1]Produtos!$B:$B,0)), "-")</f>
        <v>-</v>
      </c>
      <c r="Q1645" s="270" t="str">
        <f>IFERROR(INDEX([1]Produtos!$H:$H,MATCH(L1645,[1]Produtos!$B:$B,0)), "-")</f>
        <v>-</v>
      </c>
      <c r="R1645" s="270" t="str">
        <f>IFERROR(INDEX([1]Produtos!$I:$I,MATCH(L1645,[1]Produtos!$B:$B,0)), "-")</f>
        <v>-</v>
      </c>
      <c r="S1645" s="270" t="str">
        <f>IFERROR(INDEX([1]Produtos!$J:$J,MATCH(L1645,[1]Produtos!$B:$B,0)), "-")</f>
        <v>-</v>
      </c>
      <c r="T1645" s="475"/>
      <c r="U1645" s="270"/>
      <c r="V1645" s="270"/>
      <c r="W1645" s="270"/>
      <c r="X1645" s="270"/>
      <c r="Y1645" s="270"/>
      <c r="Z1645" s="270"/>
      <c r="AA1645" s="270"/>
      <c r="AB1645" s="270"/>
      <c r="AC1645" s="270"/>
      <c r="AD1645" s="270"/>
      <c r="AE1645" s="270"/>
      <c r="AF1645" s="270"/>
      <c r="AG1645" s="270"/>
      <c r="AH1645" s="270"/>
      <c r="AI1645" s="270"/>
      <c r="AJ1645" s="270"/>
      <c r="AK1645" s="270"/>
      <c r="AL1645" s="270"/>
      <c r="AM1645" s="663"/>
      <c r="AN1645" s="663"/>
      <c r="AO1645" s="708" t="str">
        <f>IF(OR(Table1[[#This Row],[Início Setup Envase]]="",Table1[[#This Row],[Final Setup Envase]]=""),"",Table1[[#This Row],[Final Setup Envase]]-Table1[[#This Row],[Início Setup Envase]])</f>
        <v/>
      </c>
      <c r="AP1645" s="663"/>
      <c r="AQ1645" s="663"/>
      <c r="AR1645" s="270"/>
      <c r="AS1645" s="674"/>
      <c r="AT1645" s="674"/>
      <c r="AU1645" s="270"/>
      <c r="AV1645" s="270"/>
      <c r="AW1645" s="270"/>
      <c r="AX1645" s="270"/>
      <c r="AY1645" s="270"/>
      <c r="AZ1645" s="270"/>
      <c r="BA1645" s="270" t="str">
        <f>IF(Table1[[#This Row],[Data de Início]]="","",YEAR(Table1[[#This Row],[Data de Início]]))</f>
        <v/>
      </c>
      <c r="BB1645" s="270" t="str">
        <f>IF(Table1[[#This Row],[Data de Início]]="","",MONTH(Table1[[#This Row],[Data de Início]]))</f>
        <v/>
      </c>
      <c r="BC1645" s="483"/>
    </row>
    <row r="1646" spans="2:55" x14ac:dyDescent="0.25">
      <c r="B1646" s="470"/>
      <c r="C1646" s="263"/>
      <c r="D1646" s="477" cm="1">
        <f t="array" ref="D1646">IFERROR(HorasUteisFabrica2Turnos(B1646,C1646), "")</f>
        <v>0</v>
      </c>
      <c r="E1646" s="478" t="str">
        <f t="shared" si="26"/>
        <v/>
      </c>
      <c r="F1646" s="266"/>
      <c r="G1646" s="656"/>
      <c r="H1646" s="479"/>
      <c r="I1646" s="268"/>
      <c r="J1646" s="268"/>
      <c r="K1646" s="268"/>
      <c r="L1646" s="269"/>
      <c r="M1646" s="511" t="str">
        <f>IFERROR(INDEX([1]Produtos!$C:$C,MATCH(L1646,[1]Produtos!$B:$B,0)), "-")</f>
        <v>-</v>
      </c>
      <c r="N1646" s="511" t="str">
        <f>IFERROR(INDEX([1]Produtos!$E:$E,MATCH(L1646,[1]Produtos!$B:$B,0)), "-")</f>
        <v>-</v>
      </c>
      <c r="O1646" s="483" t="str">
        <f>IFERROR(INDEX([1]Produtos!$F:$F,MATCH(L1646,[1]Produtos!$B:$B,0)), "-")</f>
        <v>-</v>
      </c>
      <c r="P1646" s="477" t="str">
        <f>IFERROR(INDEX([1]Produtos!$G:$G,MATCH(L1646,[1]Produtos!$B:$B,0)), "-")</f>
        <v>-</v>
      </c>
      <c r="Q1646" s="483" t="str">
        <f>IFERROR(INDEX([1]Produtos!$H:$H,MATCH(L1646,[1]Produtos!$B:$B,0)), "-")</f>
        <v>-</v>
      </c>
      <c r="R1646" s="483" t="str">
        <f>IFERROR(INDEX([1]Produtos!$I:$I,MATCH(L1646,[1]Produtos!$B:$B,0)), "-")</f>
        <v>-</v>
      </c>
      <c r="S1646" s="483" t="str">
        <f>IFERROR(INDEX([1]Produtos!$J:$J,MATCH(L1646,[1]Produtos!$B:$B,0)), "-")</f>
        <v>-</v>
      </c>
      <c r="T1646" s="484"/>
      <c r="U1646" s="483"/>
      <c r="V1646" s="483"/>
      <c r="W1646" s="483"/>
      <c r="X1646" s="483"/>
      <c r="Y1646" s="483"/>
      <c r="Z1646" s="483"/>
      <c r="AA1646" s="483"/>
      <c r="AB1646" s="483"/>
      <c r="AC1646" s="483"/>
      <c r="AD1646" s="483"/>
      <c r="AE1646" s="483"/>
      <c r="AF1646" s="483"/>
      <c r="AG1646" s="483"/>
      <c r="AH1646" s="483"/>
      <c r="AI1646" s="483"/>
      <c r="AJ1646" s="483"/>
      <c r="AK1646" s="483"/>
      <c r="AL1646" s="483"/>
      <c r="AM1646" s="670"/>
      <c r="AN1646" s="670"/>
      <c r="AO1646" s="711" t="str">
        <f>IF(OR(Table1[[#This Row],[Início Setup Envase]]="",Table1[[#This Row],[Final Setup Envase]]=""),"",Table1[[#This Row],[Final Setup Envase]]-Table1[[#This Row],[Início Setup Envase]])</f>
        <v/>
      </c>
      <c r="AP1646" s="670"/>
      <c r="AQ1646" s="670"/>
      <c r="AR1646" s="483"/>
      <c r="AS1646" s="483"/>
      <c r="AT1646" s="483"/>
      <c r="AU1646" s="483"/>
      <c r="AV1646" s="483"/>
      <c r="AW1646" s="483"/>
      <c r="AX1646" s="483"/>
      <c r="AY1646" s="270"/>
      <c r="AZ1646" s="270"/>
      <c r="BA1646" s="270" t="str">
        <f>IF(Table1[[#This Row],[Data de Início]]="","",YEAR(Table1[[#This Row],[Data de Início]]))</f>
        <v/>
      </c>
      <c r="BB1646" s="270" t="str">
        <f>IF(Table1[[#This Row],[Data de Início]]="","",MONTH(Table1[[#This Row],[Data de Início]]))</f>
        <v/>
      </c>
      <c r="BC1646" s="270"/>
    </row>
    <row r="1647" spans="2:55" x14ac:dyDescent="0.25">
      <c r="B1647" s="470"/>
      <c r="C1647" s="263"/>
      <c r="D1647" s="477" cm="1">
        <f t="array" ref="D1647">IFERROR(HorasUteisFabrica2Turnos(B1647,C1647), "")</f>
        <v>0</v>
      </c>
      <c r="E1647" s="697" t="str">
        <f t="shared" si="26"/>
        <v/>
      </c>
      <c r="F1647" s="266"/>
      <c r="G1647" s="698"/>
      <c r="H1647" s="266"/>
      <c r="I1647" s="268"/>
      <c r="J1647" s="268"/>
      <c r="K1647" s="268"/>
      <c r="L1647" s="269"/>
      <c r="M1647" s="510" t="str">
        <f>IFERROR(INDEX([1]Produtos!$C:$C,MATCH(L1647,[1]Produtos!$B:$B,0)), "-")</f>
        <v>-</v>
      </c>
      <c r="N1647" s="510" t="str">
        <f>IFERROR(INDEX([1]Produtos!$E:$E,MATCH(L1647,[1]Produtos!$B:$B,0)), "-")</f>
        <v>-</v>
      </c>
      <c r="O1647" s="270" t="str">
        <f>IFERROR(INDEX([1]Produtos!$F:$F,MATCH(L1647,[1]Produtos!$B:$B,0)), "-")</f>
        <v>-</v>
      </c>
      <c r="P1647" s="264" t="str">
        <f>IFERROR(INDEX([1]Produtos!$G:$G,MATCH(L1647,[1]Produtos!$B:$B,0)), "-")</f>
        <v>-</v>
      </c>
      <c r="Q1647" s="270" t="str">
        <f>IFERROR(INDEX([1]Produtos!$H:$H,MATCH(L1647,[1]Produtos!$B:$B,0)), "-")</f>
        <v>-</v>
      </c>
      <c r="R1647" s="270" t="str">
        <f>IFERROR(INDEX([1]Produtos!$I:$I,MATCH(L1647,[1]Produtos!$B:$B,0)), "-")</f>
        <v>-</v>
      </c>
      <c r="S1647" s="270" t="str">
        <f>IFERROR(INDEX([1]Produtos!$J:$J,MATCH(L1647,[1]Produtos!$B:$B,0)), "-")</f>
        <v>-</v>
      </c>
      <c r="T1647" s="475"/>
      <c r="U1647" s="270"/>
      <c r="V1647" s="270"/>
      <c r="W1647" s="270"/>
      <c r="X1647" s="270"/>
      <c r="Y1647" s="270"/>
      <c r="Z1647" s="270"/>
      <c r="AA1647" s="270"/>
      <c r="AB1647" s="270"/>
      <c r="AC1647" s="270"/>
      <c r="AD1647" s="270"/>
      <c r="AE1647" s="270"/>
      <c r="AF1647" s="270"/>
      <c r="AG1647" s="270"/>
      <c r="AH1647" s="270"/>
      <c r="AI1647" s="270"/>
      <c r="AJ1647" s="270"/>
      <c r="AK1647" s="270"/>
      <c r="AL1647" s="270"/>
      <c r="AM1647" s="663"/>
      <c r="AN1647" s="663"/>
      <c r="AO1647" s="708" t="str">
        <f>IF(OR(Table1[[#This Row],[Início Setup Envase]]="",Table1[[#This Row],[Final Setup Envase]]=""),"",Table1[[#This Row],[Final Setup Envase]]-Table1[[#This Row],[Início Setup Envase]])</f>
        <v/>
      </c>
      <c r="AP1647" s="663"/>
      <c r="AQ1647" s="663"/>
      <c r="AR1647" s="270"/>
      <c r="AS1647" s="674"/>
      <c r="AT1647" s="674"/>
      <c r="AU1647" s="270"/>
      <c r="AV1647" s="270"/>
      <c r="AW1647" s="270"/>
      <c r="AX1647" s="270"/>
      <c r="AY1647" s="270"/>
      <c r="AZ1647" s="270"/>
      <c r="BA1647" s="270" t="str">
        <f>IF(Table1[[#This Row],[Data de Início]]="","",YEAR(Table1[[#This Row],[Data de Início]]))</f>
        <v/>
      </c>
      <c r="BB1647" s="270" t="str">
        <f>IF(Table1[[#This Row],[Data de Início]]="","",MONTH(Table1[[#This Row],[Data de Início]]))</f>
        <v/>
      </c>
      <c r="BC1647" s="483"/>
    </row>
    <row r="1648" spans="2:55" x14ac:dyDescent="0.25">
      <c r="B1648" s="470"/>
      <c r="C1648" s="263"/>
      <c r="D1648" s="477" cm="1">
        <f t="array" ref="D1648">IFERROR(HorasUteisFabrica2Turnos(B1648,C1648), "")</f>
        <v>0</v>
      </c>
      <c r="E1648" s="478" t="str">
        <f t="shared" si="26"/>
        <v/>
      </c>
      <c r="F1648" s="266"/>
      <c r="G1648" s="656"/>
      <c r="H1648" s="479"/>
      <c r="I1648" s="268"/>
      <c r="J1648" s="268"/>
      <c r="K1648" s="268"/>
      <c r="L1648" s="269"/>
      <c r="M1648" s="511" t="str">
        <f>IFERROR(INDEX([1]Produtos!$C:$C,MATCH(L1648,[1]Produtos!$B:$B,0)), "-")</f>
        <v>-</v>
      </c>
      <c r="N1648" s="511" t="str">
        <f>IFERROR(INDEX([1]Produtos!$E:$E,MATCH(L1648,[1]Produtos!$B:$B,0)), "-")</f>
        <v>-</v>
      </c>
      <c r="O1648" s="483" t="str">
        <f>IFERROR(INDEX([1]Produtos!$F:$F,MATCH(L1648,[1]Produtos!$B:$B,0)), "-")</f>
        <v>-</v>
      </c>
      <c r="P1648" s="477" t="str">
        <f>IFERROR(INDEX([1]Produtos!$G:$G,MATCH(L1648,[1]Produtos!$B:$B,0)), "-")</f>
        <v>-</v>
      </c>
      <c r="Q1648" s="483" t="str">
        <f>IFERROR(INDEX([1]Produtos!$H:$H,MATCH(L1648,[1]Produtos!$B:$B,0)), "-")</f>
        <v>-</v>
      </c>
      <c r="R1648" s="483" t="str">
        <f>IFERROR(INDEX([1]Produtos!$I:$I,MATCH(L1648,[1]Produtos!$B:$B,0)), "-")</f>
        <v>-</v>
      </c>
      <c r="S1648" s="483" t="str">
        <f>IFERROR(INDEX([1]Produtos!$J:$J,MATCH(L1648,[1]Produtos!$B:$B,0)), "-")</f>
        <v>-</v>
      </c>
      <c r="T1648" s="484"/>
      <c r="U1648" s="483"/>
      <c r="V1648" s="483"/>
      <c r="W1648" s="483"/>
      <c r="X1648" s="483"/>
      <c r="Y1648" s="483"/>
      <c r="Z1648" s="483"/>
      <c r="AA1648" s="483"/>
      <c r="AB1648" s="483"/>
      <c r="AC1648" s="483"/>
      <c r="AD1648" s="483"/>
      <c r="AE1648" s="483"/>
      <c r="AF1648" s="483"/>
      <c r="AG1648" s="483"/>
      <c r="AH1648" s="483"/>
      <c r="AI1648" s="483"/>
      <c r="AJ1648" s="483"/>
      <c r="AK1648" s="483"/>
      <c r="AL1648" s="483"/>
      <c r="AM1648" s="670"/>
      <c r="AN1648" s="670"/>
      <c r="AO1648" s="711" t="str">
        <f>IF(OR(Table1[[#This Row],[Início Setup Envase]]="",Table1[[#This Row],[Final Setup Envase]]=""),"",Table1[[#This Row],[Final Setup Envase]]-Table1[[#This Row],[Início Setup Envase]])</f>
        <v/>
      </c>
      <c r="AP1648" s="670"/>
      <c r="AQ1648" s="670"/>
      <c r="AR1648" s="483"/>
      <c r="AS1648" s="483"/>
      <c r="AT1648" s="483"/>
      <c r="AU1648" s="483"/>
      <c r="AV1648" s="483"/>
      <c r="AW1648" s="483"/>
      <c r="AX1648" s="483"/>
      <c r="AY1648" s="270"/>
      <c r="AZ1648" s="270"/>
      <c r="BA1648" s="270" t="str">
        <f>IF(Table1[[#This Row],[Data de Início]]="","",YEAR(Table1[[#This Row],[Data de Início]]))</f>
        <v/>
      </c>
      <c r="BB1648" s="270" t="str">
        <f>IF(Table1[[#This Row],[Data de Início]]="","",MONTH(Table1[[#This Row],[Data de Início]]))</f>
        <v/>
      </c>
      <c r="BC1648" s="270"/>
    </row>
    <row r="1649" spans="2:55" x14ac:dyDescent="0.25">
      <c r="B1649" s="470"/>
      <c r="C1649" s="263"/>
      <c r="D1649" s="477" cm="1">
        <f t="array" ref="D1649">IFERROR(HorasUteisFabrica2Turnos(B1649,C1649), "")</f>
        <v>0</v>
      </c>
      <c r="E1649" s="697" t="str">
        <f t="shared" si="26"/>
        <v/>
      </c>
      <c r="F1649" s="266"/>
      <c r="G1649" s="698"/>
      <c r="H1649" s="266"/>
      <c r="I1649" s="268"/>
      <c r="J1649" s="268"/>
      <c r="K1649" s="268"/>
      <c r="L1649" s="269"/>
      <c r="M1649" s="510" t="str">
        <f>IFERROR(INDEX([1]Produtos!$C:$C,MATCH(L1649,[1]Produtos!$B:$B,0)), "-")</f>
        <v>-</v>
      </c>
      <c r="N1649" s="510" t="str">
        <f>IFERROR(INDEX([1]Produtos!$E:$E,MATCH(L1649,[1]Produtos!$B:$B,0)), "-")</f>
        <v>-</v>
      </c>
      <c r="O1649" s="270" t="str">
        <f>IFERROR(INDEX([1]Produtos!$F:$F,MATCH(L1649,[1]Produtos!$B:$B,0)), "-")</f>
        <v>-</v>
      </c>
      <c r="P1649" s="264" t="str">
        <f>IFERROR(INDEX([1]Produtos!$G:$G,MATCH(L1649,[1]Produtos!$B:$B,0)), "-")</f>
        <v>-</v>
      </c>
      <c r="Q1649" s="270" t="str">
        <f>IFERROR(INDEX([1]Produtos!$H:$H,MATCH(L1649,[1]Produtos!$B:$B,0)), "-")</f>
        <v>-</v>
      </c>
      <c r="R1649" s="270" t="str">
        <f>IFERROR(INDEX([1]Produtos!$I:$I,MATCH(L1649,[1]Produtos!$B:$B,0)), "-")</f>
        <v>-</v>
      </c>
      <c r="S1649" s="270" t="str">
        <f>IFERROR(INDEX([1]Produtos!$J:$J,MATCH(L1649,[1]Produtos!$B:$B,0)), "-")</f>
        <v>-</v>
      </c>
      <c r="T1649" s="475"/>
      <c r="U1649" s="270"/>
      <c r="V1649" s="270"/>
      <c r="W1649" s="270"/>
      <c r="X1649" s="270"/>
      <c r="Y1649" s="270"/>
      <c r="Z1649" s="270"/>
      <c r="AA1649" s="270"/>
      <c r="AB1649" s="270"/>
      <c r="AC1649" s="270"/>
      <c r="AD1649" s="270"/>
      <c r="AE1649" s="270"/>
      <c r="AF1649" s="270"/>
      <c r="AG1649" s="270"/>
      <c r="AH1649" s="270"/>
      <c r="AI1649" s="270"/>
      <c r="AJ1649" s="270"/>
      <c r="AK1649" s="270"/>
      <c r="AL1649" s="270"/>
      <c r="AM1649" s="663"/>
      <c r="AN1649" s="663"/>
      <c r="AO1649" s="708" t="str">
        <f>IF(OR(Table1[[#This Row],[Início Setup Envase]]="",Table1[[#This Row],[Final Setup Envase]]=""),"",Table1[[#This Row],[Final Setup Envase]]-Table1[[#This Row],[Início Setup Envase]])</f>
        <v/>
      </c>
      <c r="AP1649" s="663"/>
      <c r="AQ1649" s="663"/>
      <c r="AR1649" s="270"/>
      <c r="AS1649" s="674"/>
      <c r="AT1649" s="674"/>
      <c r="AU1649" s="270"/>
      <c r="AV1649" s="270"/>
      <c r="AW1649" s="270"/>
      <c r="AX1649" s="270"/>
      <c r="AY1649" s="270"/>
      <c r="AZ1649" s="270"/>
      <c r="BA1649" s="270" t="str">
        <f>IF(Table1[[#This Row],[Data de Início]]="","",YEAR(Table1[[#This Row],[Data de Início]]))</f>
        <v/>
      </c>
      <c r="BB1649" s="270" t="str">
        <f>IF(Table1[[#This Row],[Data de Início]]="","",MONTH(Table1[[#This Row],[Data de Início]]))</f>
        <v/>
      </c>
      <c r="BC1649" s="483"/>
    </row>
    <row r="1650" spans="2:55" x14ac:dyDescent="0.25">
      <c r="B1650" s="470"/>
      <c r="C1650" s="263"/>
      <c r="D1650" s="477" cm="1">
        <f t="array" ref="D1650">IFERROR(HorasUteisFabrica2Turnos(B1650,C1650), "")</f>
        <v>0</v>
      </c>
      <c r="E1650" s="478" t="str">
        <f t="shared" si="26"/>
        <v/>
      </c>
      <c r="F1650" s="266"/>
      <c r="G1650" s="656"/>
      <c r="H1650" s="479"/>
      <c r="I1650" s="268"/>
      <c r="J1650" s="268"/>
      <c r="K1650" s="268"/>
      <c r="L1650" s="269"/>
      <c r="M1650" s="511" t="str">
        <f>IFERROR(INDEX([1]Produtos!$C:$C,MATCH(L1650,[1]Produtos!$B:$B,0)), "-")</f>
        <v>-</v>
      </c>
      <c r="N1650" s="511" t="str">
        <f>IFERROR(INDEX([1]Produtos!$E:$E,MATCH(L1650,[1]Produtos!$B:$B,0)), "-")</f>
        <v>-</v>
      </c>
      <c r="O1650" s="483" t="str">
        <f>IFERROR(INDEX([1]Produtos!$F:$F,MATCH(L1650,[1]Produtos!$B:$B,0)), "-")</f>
        <v>-</v>
      </c>
      <c r="P1650" s="477" t="str">
        <f>IFERROR(INDEX([1]Produtos!$G:$G,MATCH(L1650,[1]Produtos!$B:$B,0)), "-")</f>
        <v>-</v>
      </c>
      <c r="Q1650" s="483" t="str">
        <f>IFERROR(INDEX([1]Produtos!$H:$H,MATCH(L1650,[1]Produtos!$B:$B,0)), "-")</f>
        <v>-</v>
      </c>
      <c r="R1650" s="483" t="str">
        <f>IFERROR(INDEX([1]Produtos!$I:$I,MATCH(L1650,[1]Produtos!$B:$B,0)), "-")</f>
        <v>-</v>
      </c>
      <c r="S1650" s="483" t="str">
        <f>IFERROR(INDEX([1]Produtos!$J:$J,MATCH(L1650,[1]Produtos!$B:$B,0)), "-")</f>
        <v>-</v>
      </c>
      <c r="T1650" s="484"/>
      <c r="U1650" s="483"/>
      <c r="V1650" s="483"/>
      <c r="W1650" s="483"/>
      <c r="X1650" s="483"/>
      <c r="Y1650" s="483"/>
      <c r="Z1650" s="483"/>
      <c r="AA1650" s="483"/>
      <c r="AB1650" s="483"/>
      <c r="AC1650" s="483"/>
      <c r="AD1650" s="483"/>
      <c r="AE1650" s="483"/>
      <c r="AF1650" s="483"/>
      <c r="AG1650" s="483"/>
      <c r="AH1650" s="483"/>
      <c r="AI1650" s="483"/>
      <c r="AJ1650" s="483"/>
      <c r="AK1650" s="483"/>
      <c r="AL1650" s="483"/>
      <c r="AM1650" s="670"/>
      <c r="AN1650" s="670"/>
      <c r="AO1650" s="711" t="str">
        <f>IF(OR(Table1[[#This Row],[Início Setup Envase]]="",Table1[[#This Row],[Final Setup Envase]]=""),"",Table1[[#This Row],[Final Setup Envase]]-Table1[[#This Row],[Início Setup Envase]])</f>
        <v/>
      </c>
      <c r="AP1650" s="670"/>
      <c r="AQ1650" s="670"/>
      <c r="AR1650" s="483"/>
      <c r="AS1650" s="483"/>
      <c r="AT1650" s="483"/>
      <c r="AU1650" s="483"/>
      <c r="AV1650" s="483"/>
      <c r="AW1650" s="483"/>
      <c r="AX1650" s="483"/>
      <c r="AY1650" s="270"/>
      <c r="AZ1650" s="270"/>
      <c r="BA1650" s="270" t="str">
        <f>IF(Table1[[#This Row],[Data de Início]]="","",YEAR(Table1[[#This Row],[Data de Início]]))</f>
        <v/>
      </c>
      <c r="BB1650" s="270" t="str">
        <f>IF(Table1[[#This Row],[Data de Início]]="","",MONTH(Table1[[#This Row],[Data de Início]]))</f>
        <v/>
      </c>
      <c r="BC1650" s="270"/>
    </row>
    <row r="1651" spans="2:55" x14ac:dyDescent="0.25">
      <c r="B1651" s="470"/>
      <c r="C1651" s="263"/>
      <c r="D1651" s="477" cm="1">
        <f t="array" ref="D1651">IFERROR(HorasUteisFabrica2Turnos(B1651,C1651), "")</f>
        <v>0</v>
      </c>
      <c r="E1651" s="697" t="str">
        <f t="shared" si="26"/>
        <v/>
      </c>
      <c r="F1651" s="266"/>
      <c r="G1651" s="698"/>
      <c r="H1651" s="266"/>
      <c r="I1651" s="268"/>
      <c r="J1651" s="268"/>
      <c r="K1651" s="268"/>
      <c r="L1651" s="269"/>
      <c r="M1651" s="510" t="str">
        <f>IFERROR(INDEX([1]Produtos!$C:$C,MATCH(L1651,[1]Produtos!$B:$B,0)), "-")</f>
        <v>-</v>
      </c>
      <c r="N1651" s="510" t="str">
        <f>IFERROR(INDEX([1]Produtos!$E:$E,MATCH(L1651,[1]Produtos!$B:$B,0)), "-")</f>
        <v>-</v>
      </c>
      <c r="O1651" s="270" t="str">
        <f>IFERROR(INDEX([1]Produtos!$F:$F,MATCH(L1651,[1]Produtos!$B:$B,0)), "-")</f>
        <v>-</v>
      </c>
      <c r="P1651" s="264" t="str">
        <f>IFERROR(INDEX([1]Produtos!$G:$G,MATCH(L1651,[1]Produtos!$B:$B,0)), "-")</f>
        <v>-</v>
      </c>
      <c r="Q1651" s="270" t="str">
        <f>IFERROR(INDEX([1]Produtos!$H:$H,MATCH(L1651,[1]Produtos!$B:$B,0)), "-")</f>
        <v>-</v>
      </c>
      <c r="R1651" s="270" t="str">
        <f>IFERROR(INDEX([1]Produtos!$I:$I,MATCH(L1651,[1]Produtos!$B:$B,0)), "-")</f>
        <v>-</v>
      </c>
      <c r="S1651" s="270" t="str">
        <f>IFERROR(INDEX([1]Produtos!$J:$J,MATCH(L1651,[1]Produtos!$B:$B,0)), "-")</f>
        <v>-</v>
      </c>
      <c r="T1651" s="475"/>
      <c r="U1651" s="270"/>
      <c r="V1651" s="270"/>
      <c r="W1651" s="270"/>
      <c r="X1651" s="270"/>
      <c r="Y1651" s="270"/>
      <c r="Z1651" s="270"/>
      <c r="AA1651" s="270"/>
      <c r="AB1651" s="270"/>
      <c r="AC1651" s="270"/>
      <c r="AD1651" s="270"/>
      <c r="AE1651" s="270"/>
      <c r="AF1651" s="270"/>
      <c r="AG1651" s="270"/>
      <c r="AH1651" s="270"/>
      <c r="AI1651" s="270"/>
      <c r="AJ1651" s="270"/>
      <c r="AK1651" s="270"/>
      <c r="AL1651" s="270"/>
      <c r="AM1651" s="663"/>
      <c r="AN1651" s="663"/>
      <c r="AO1651" s="708" t="str">
        <f>IF(OR(Table1[[#This Row],[Início Setup Envase]]="",Table1[[#This Row],[Final Setup Envase]]=""),"",Table1[[#This Row],[Final Setup Envase]]-Table1[[#This Row],[Início Setup Envase]])</f>
        <v/>
      </c>
      <c r="AP1651" s="663"/>
      <c r="AQ1651" s="663"/>
      <c r="AR1651" s="270"/>
      <c r="AS1651" s="674"/>
      <c r="AT1651" s="674"/>
      <c r="AU1651" s="270"/>
      <c r="AV1651" s="270"/>
      <c r="AW1651" s="270"/>
      <c r="AX1651" s="270"/>
      <c r="AY1651" s="270"/>
      <c r="AZ1651" s="270"/>
      <c r="BA1651" s="270" t="str">
        <f>IF(Table1[[#This Row],[Data de Início]]="","",YEAR(Table1[[#This Row],[Data de Início]]))</f>
        <v/>
      </c>
      <c r="BB1651" s="270" t="str">
        <f>IF(Table1[[#This Row],[Data de Início]]="","",MONTH(Table1[[#This Row],[Data de Início]]))</f>
        <v/>
      </c>
      <c r="BC1651" s="483"/>
    </row>
    <row r="1652" spans="2:55" x14ac:dyDescent="0.25">
      <c r="B1652" s="470"/>
      <c r="C1652" s="263"/>
      <c r="D1652" s="477" cm="1">
        <f t="array" ref="D1652">IFERROR(HorasUteisFabrica2Turnos(B1652,C1652), "")</f>
        <v>0</v>
      </c>
      <c r="E1652" s="478" t="str">
        <f t="shared" si="26"/>
        <v/>
      </c>
      <c r="F1652" s="266"/>
      <c r="G1652" s="656"/>
      <c r="H1652" s="479"/>
      <c r="I1652" s="268"/>
      <c r="J1652" s="268"/>
      <c r="K1652" s="268"/>
      <c r="L1652" s="269"/>
      <c r="M1652" s="511" t="str">
        <f>IFERROR(INDEX([1]Produtos!$C:$C,MATCH(L1652,[1]Produtos!$B:$B,0)), "-")</f>
        <v>-</v>
      </c>
      <c r="N1652" s="511" t="str">
        <f>IFERROR(INDEX([1]Produtos!$E:$E,MATCH(L1652,[1]Produtos!$B:$B,0)), "-")</f>
        <v>-</v>
      </c>
      <c r="O1652" s="483" t="str">
        <f>IFERROR(INDEX([1]Produtos!$F:$F,MATCH(L1652,[1]Produtos!$B:$B,0)), "-")</f>
        <v>-</v>
      </c>
      <c r="P1652" s="477" t="str">
        <f>IFERROR(INDEX([1]Produtos!$G:$G,MATCH(L1652,[1]Produtos!$B:$B,0)), "-")</f>
        <v>-</v>
      </c>
      <c r="Q1652" s="483" t="str">
        <f>IFERROR(INDEX([1]Produtos!$H:$H,MATCH(L1652,[1]Produtos!$B:$B,0)), "-")</f>
        <v>-</v>
      </c>
      <c r="R1652" s="483" t="str">
        <f>IFERROR(INDEX([1]Produtos!$I:$I,MATCH(L1652,[1]Produtos!$B:$B,0)), "-")</f>
        <v>-</v>
      </c>
      <c r="S1652" s="483" t="str">
        <f>IFERROR(INDEX([1]Produtos!$J:$J,MATCH(L1652,[1]Produtos!$B:$B,0)), "-")</f>
        <v>-</v>
      </c>
      <c r="T1652" s="484"/>
      <c r="U1652" s="483"/>
      <c r="V1652" s="483"/>
      <c r="W1652" s="483"/>
      <c r="X1652" s="483"/>
      <c r="Y1652" s="483"/>
      <c r="Z1652" s="483"/>
      <c r="AA1652" s="483"/>
      <c r="AB1652" s="483"/>
      <c r="AC1652" s="483"/>
      <c r="AD1652" s="483"/>
      <c r="AE1652" s="483"/>
      <c r="AF1652" s="483"/>
      <c r="AG1652" s="483"/>
      <c r="AH1652" s="483"/>
      <c r="AI1652" s="483"/>
      <c r="AJ1652" s="483"/>
      <c r="AK1652" s="483"/>
      <c r="AL1652" s="483"/>
      <c r="AM1652" s="670"/>
      <c r="AN1652" s="670"/>
      <c r="AO1652" s="711" t="str">
        <f>IF(OR(Table1[[#This Row],[Início Setup Envase]]="",Table1[[#This Row],[Final Setup Envase]]=""),"",Table1[[#This Row],[Final Setup Envase]]-Table1[[#This Row],[Início Setup Envase]])</f>
        <v/>
      </c>
      <c r="AP1652" s="670"/>
      <c r="AQ1652" s="670"/>
      <c r="AR1652" s="483"/>
      <c r="AS1652" s="483"/>
      <c r="AT1652" s="483"/>
      <c r="AU1652" s="483"/>
      <c r="AV1652" s="483"/>
      <c r="AW1652" s="483"/>
      <c r="AX1652" s="483"/>
      <c r="AY1652" s="270"/>
      <c r="AZ1652" s="270"/>
      <c r="BA1652" s="270" t="str">
        <f>IF(Table1[[#This Row],[Data de Início]]="","",YEAR(Table1[[#This Row],[Data de Início]]))</f>
        <v/>
      </c>
      <c r="BB1652" s="270" t="str">
        <f>IF(Table1[[#This Row],[Data de Início]]="","",MONTH(Table1[[#This Row],[Data de Início]]))</f>
        <v/>
      </c>
      <c r="BC1652" s="270"/>
    </row>
    <row r="1653" spans="2:55" x14ac:dyDescent="0.25">
      <c r="B1653" s="470"/>
      <c r="C1653" s="263"/>
      <c r="D1653" s="477" cm="1">
        <f t="array" ref="D1653">IFERROR(HorasUteisFabrica2Turnos(B1653,C1653), "")</f>
        <v>0</v>
      </c>
      <c r="E1653" s="697" t="str">
        <f t="shared" si="26"/>
        <v/>
      </c>
      <c r="F1653" s="266"/>
      <c r="G1653" s="698"/>
      <c r="H1653" s="266"/>
      <c r="I1653" s="268"/>
      <c r="J1653" s="268"/>
      <c r="K1653" s="268"/>
      <c r="L1653" s="269"/>
      <c r="M1653" s="510" t="str">
        <f>IFERROR(INDEX([1]Produtos!$C:$C,MATCH(L1653,[1]Produtos!$B:$B,0)), "-")</f>
        <v>-</v>
      </c>
      <c r="N1653" s="510" t="str">
        <f>IFERROR(INDEX([1]Produtos!$E:$E,MATCH(L1653,[1]Produtos!$B:$B,0)), "-")</f>
        <v>-</v>
      </c>
      <c r="O1653" s="270" t="str">
        <f>IFERROR(INDEX([1]Produtos!$F:$F,MATCH(L1653,[1]Produtos!$B:$B,0)), "-")</f>
        <v>-</v>
      </c>
      <c r="P1653" s="264" t="str">
        <f>IFERROR(INDEX([1]Produtos!$G:$G,MATCH(L1653,[1]Produtos!$B:$B,0)), "-")</f>
        <v>-</v>
      </c>
      <c r="Q1653" s="270" t="str">
        <f>IFERROR(INDEX([1]Produtos!$H:$H,MATCH(L1653,[1]Produtos!$B:$B,0)), "-")</f>
        <v>-</v>
      </c>
      <c r="R1653" s="270" t="str">
        <f>IFERROR(INDEX([1]Produtos!$I:$I,MATCH(L1653,[1]Produtos!$B:$B,0)), "-")</f>
        <v>-</v>
      </c>
      <c r="S1653" s="270" t="str">
        <f>IFERROR(INDEX([1]Produtos!$J:$J,MATCH(L1653,[1]Produtos!$B:$B,0)), "-")</f>
        <v>-</v>
      </c>
      <c r="T1653" s="475"/>
      <c r="U1653" s="270"/>
      <c r="V1653" s="270"/>
      <c r="W1653" s="270"/>
      <c r="X1653" s="270"/>
      <c r="Y1653" s="270"/>
      <c r="Z1653" s="270"/>
      <c r="AA1653" s="270"/>
      <c r="AB1653" s="270"/>
      <c r="AC1653" s="270"/>
      <c r="AD1653" s="270"/>
      <c r="AE1653" s="270"/>
      <c r="AF1653" s="270"/>
      <c r="AG1653" s="270"/>
      <c r="AH1653" s="270"/>
      <c r="AI1653" s="270"/>
      <c r="AJ1653" s="270"/>
      <c r="AK1653" s="270"/>
      <c r="AL1653" s="270"/>
      <c r="AM1653" s="663"/>
      <c r="AN1653" s="663"/>
      <c r="AO1653" s="708" t="str">
        <f>IF(OR(Table1[[#This Row],[Início Setup Envase]]="",Table1[[#This Row],[Final Setup Envase]]=""),"",Table1[[#This Row],[Final Setup Envase]]-Table1[[#This Row],[Início Setup Envase]])</f>
        <v/>
      </c>
      <c r="AP1653" s="663"/>
      <c r="AQ1653" s="663"/>
      <c r="AR1653" s="270"/>
      <c r="AS1653" s="674"/>
      <c r="AT1653" s="674"/>
      <c r="AU1653" s="270"/>
      <c r="AV1653" s="270"/>
      <c r="AW1653" s="270"/>
      <c r="AX1653" s="270"/>
      <c r="AY1653" s="270"/>
      <c r="AZ1653" s="270"/>
      <c r="BA1653" s="270" t="str">
        <f>IF(Table1[[#This Row],[Data de Início]]="","",YEAR(Table1[[#This Row],[Data de Início]]))</f>
        <v/>
      </c>
      <c r="BB1653" s="270" t="str">
        <f>IF(Table1[[#This Row],[Data de Início]]="","",MONTH(Table1[[#This Row],[Data de Início]]))</f>
        <v/>
      </c>
      <c r="BC1653" s="483"/>
    </row>
    <row r="1654" spans="2:55" x14ac:dyDescent="0.25">
      <c r="B1654" s="470"/>
      <c r="C1654" s="263"/>
      <c r="D1654" s="477" cm="1">
        <f t="array" ref="D1654">IFERROR(HorasUteisFabrica2Turnos(B1654,C1654), "")</f>
        <v>0</v>
      </c>
      <c r="E1654" s="478" t="str">
        <f t="shared" si="26"/>
        <v/>
      </c>
      <c r="F1654" s="266"/>
      <c r="G1654" s="656"/>
      <c r="H1654" s="479"/>
      <c r="I1654" s="268"/>
      <c r="J1654" s="268"/>
      <c r="K1654" s="268"/>
      <c r="L1654" s="269"/>
      <c r="M1654" s="511" t="str">
        <f>IFERROR(INDEX([1]Produtos!$C:$C,MATCH(L1654,[1]Produtos!$B:$B,0)), "-")</f>
        <v>-</v>
      </c>
      <c r="N1654" s="511" t="str">
        <f>IFERROR(INDEX([1]Produtos!$E:$E,MATCH(L1654,[1]Produtos!$B:$B,0)), "-")</f>
        <v>-</v>
      </c>
      <c r="O1654" s="483" t="str">
        <f>IFERROR(INDEX([1]Produtos!$F:$F,MATCH(L1654,[1]Produtos!$B:$B,0)), "-")</f>
        <v>-</v>
      </c>
      <c r="P1654" s="477" t="str">
        <f>IFERROR(INDEX([1]Produtos!$G:$G,MATCH(L1654,[1]Produtos!$B:$B,0)), "-")</f>
        <v>-</v>
      </c>
      <c r="Q1654" s="483" t="str">
        <f>IFERROR(INDEX([1]Produtos!$H:$H,MATCH(L1654,[1]Produtos!$B:$B,0)), "-")</f>
        <v>-</v>
      </c>
      <c r="R1654" s="483" t="str">
        <f>IFERROR(INDEX([1]Produtos!$I:$I,MATCH(L1654,[1]Produtos!$B:$B,0)), "-")</f>
        <v>-</v>
      </c>
      <c r="S1654" s="483" t="str">
        <f>IFERROR(INDEX([1]Produtos!$J:$J,MATCH(L1654,[1]Produtos!$B:$B,0)), "-")</f>
        <v>-</v>
      </c>
      <c r="T1654" s="484"/>
      <c r="U1654" s="483"/>
      <c r="V1654" s="483"/>
      <c r="W1654" s="483"/>
      <c r="X1654" s="483"/>
      <c r="Y1654" s="483"/>
      <c r="Z1654" s="483"/>
      <c r="AA1654" s="483"/>
      <c r="AB1654" s="483"/>
      <c r="AC1654" s="483"/>
      <c r="AD1654" s="483"/>
      <c r="AE1654" s="483"/>
      <c r="AF1654" s="483"/>
      <c r="AG1654" s="483"/>
      <c r="AH1654" s="483"/>
      <c r="AI1654" s="483"/>
      <c r="AJ1654" s="483"/>
      <c r="AK1654" s="483"/>
      <c r="AL1654" s="483"/>
      <c r="AM1654" s="670"/>
      <c r="AN1654" s="670"/>
      <c r="AO1654" s="711" t="str">
        <f>IF(OR(Table1[[#This Row],[Início Setup Envase]]="",Table1[[#This Row],[Final Setup Envase]]=""),"",Table1[[#This Row],[Final Setup Envase]]-Table1[[#This Row],[Início Setup Envase]])</f>
        <v/>
      </c>
      <c r="AP1654" s="670"/>
      <c r="AQ1654" s="670"/>
      <c r="AR1654" s="483"/>
      <c r="AS1654" s="483"/>
      <c r="AT1654" s="483"/>
      <c r="AU1654" s="483"/>
      <c r="AV1654" s="483"/>
      <c r="AW1654" s="483"/>
      <c r="AX1654" s="483"/>
      <c r="AY1654" s="270"/>
      <c r="AZ1654" s="270"/>
      <c r="BA1654" s="270" t="str">
        <f>IF(Table1[[#This Row],[Data de Início]]="","",YEAR(Table1[[#This Row],[Data de Início]]))</f>
        <v/>
      </c>
      <c r="BB1654" s="270" t="str">
        <f>IF(Table1[[#This Row],[Data de Início]]="","",MONTH(Table1[[#This Row],[Data de Início]]))</f>
        <v/>
      </c>
      <c r="BC1654" s="270"/>
    </row>
    <row r="1655" spans="2:55" x14ac:dyDescent="0.25">
      <c r="B1655" s="470"/>
      <c r="C1655" s="263"/>
      <c r="D1655" s="477" cm="1">
        <f t="array" ref="D1655">IFERROR(HorasUteisFabrica2Turnos(B1655,C1655), "")</f>
        <v>0</v>
      </c>
      <c r="E1655" s="697" t="str">
        <f t="shared" si="26"/>
        <v/>
      </c>
      <c r="F1655" s="266"/>
      <c r="G1655" s="698"/>
      <c r="H1655" s="266"/>
      <c r="I1655" s="268"/>
      <c r="J1655" s="268"/>
      <c r="K1655" s="268"/>
      <c r="L1655" s="269"/>
      <c r="M1655" s="510" t="str">
        <f>IFERROR(INDEX([1]Produtos!$C:$C,MATCH(L1655,[1]Produtos!$B:$B,0)), "-")</f>
        <v>-</v>
      </c>
      <c r="N1655" s="510" t="str">
        <f>IFERROR(INDEX([1]Produtos!$E:$E,MATCH(L1655,[1]Produtos!$B:$B,0)), "-")</f>
        <v>-</v>
      </c>
      <c r="O1655" s="270" t="str">
        <f>IFERROR(INDEX([1]Produtos!$F:$F,MATCH(L1655,[1]Produtos!$B:$B,0)), "-")</f>
        <v>-</v>
      </c>
      <c r="P1655" s="264" t="str">
        <f>IFERROR(INDEX([1]Produtos!$G:$G,MATCH(L1655,[1]Produtos!$B:$B,0)), "-")</f>
        <v>-</v>
      </c>
      <c r="Q1655" s="270" t="str">
        <f>IFERROR(INDEX([1]Produtos!$H:$H,MATCH(L1655,[1]Produtos!$B:$B,0)), "-")</f>
        <v>-</v>
      </c>
      <c r="R1655" s="270" t="str">
        <f>IFERROR(INDEX([1]Produtos!$I:$I,MATCH(L1655,[1]Produtos!$B:$B,0)), "-")</f>
        <v>-</v>
      </c>
      <c r="S1655" s="270" t="str">
        <f>IFERROR(INDEX([1]Produtos!$J:$J,MATCH(L1655,[1]Produtos!$B:$B,0)), "-")</f>
        <v>-</v>
      </c>
      <c r="T1655" s="475"/>
      <c r="U1655" s="270"/>
      <c r="V1655" s="270"/>
      <c r="W1655" s="270"/>
      <c r="X1655" s="270"/>
      <c r="Y1655" s="270"/>
      <c r="Z1655" s="270"/>
      <c r="AA1655" s="270"/>
      <c r="AB1655" s="270"/>
      <c r="AC1655" s="270"/>
      <c r="AD1655" s="270"/>
      <c r="AE1655" s="270"/>
      <c r="AF1655" s="270"/>
      <c r="AG1655" s="270"/>
      <c r="AH1655" s="270"/>
      <c r="AI1655" s="270"/>
      <c r="AJ1655" s="270"/>
      <c r="AK1655" s="270"/>
      <c r="AL1655" s="270"/>
      <c r="AM1655" s="663"/>
      <c r="AN1655" s="663"/>
      <c r="AO1655" s="708" t="str">
        <f>IF(OR(Table1[[#This Row],[Início Setup Envase]]="",Table1[[#This Row],[Final Setup Envase]]=""),"",Table1[[#This Row],[Final Setup Envase]]-Table1[[#This Row],[Início Setup Envase]])</f>
        <v/>
      </c>
      <c r="AP1655" s="663"/>
      <c r="AQ1655" s="663"/>
      <c r="AR1655" s="270"/>
      <c r="AS1655" s="674"/>
      <c r="AT1655" s="674"/>
      <c r="AU1655" s="270"/>
      <c r="AV1655" s="270"/>
      <c r="AW1655" s="270"/>
      <c r="AX1655" s="270"/>
      <c r="AY1655" s="270"/>
      <c r="AZ1655" s="270"/>
      <c r="BA1655" s="270" t="str">
        <f>IF(Table1[[#This Row],[Data de Início]]="","",YEAR(Table1[[#This Row],[Data de Início]]))</f>
        <v/>
      </c>
      <c r="BB1655" s="270" t="str">
        <f>IF(Table1[[#This Row],[Data de Início]]="","",MONTH(Table1[[#This Row],[Data de Início]]))</f>
        <v/>
      </c>
      <c r="BC1655" s="483"/>
    </row>
    <row r="1656" spans="2:55" x14ac:dyDescent="0.25">
      <c r="B1656" s="470"/>
      <c r="C1656" s="263"/>
      <c r="D1656" s="477" cm="1">
        <f t="array" ref="D1656">IFERROR(HorasUteisFabrica2Turnos(B1656,C1656), "")</f>
        <v>0</v>
      </c>
      <c r="E1656" s="478" t="str">
        <f t="shared" si="26"/>
        <v/>
      </c>
      <c r="F1656" s="266"/>
      <c r="G1656" s="656"/>
      <c r="H1656" s="479"/>
      <c r="I1656" s="268"/>
      <c r="J1656" s="268"/>
      <c r="K1656" s="268"/>
      <c r="L1656" s="269"/>
      <c r="M1656" s="511" t="str">
        <f>IFERROR(INDEX([1]Produtos!$C:$C,MATCH(L1656,[1]Produtos!$B:$B,0)), "-")</f>
        <v>-</v>
      </c>
      <c r="N1656" s="511" t="str">
        <f>IFERROR(INDEX([1]Produtos!$E:$E,MATCH(L1656,[1]Produtos!$B:$B,0)), "-")</f>
        <v>-</v>
      </c>
      <c r="O1656" s="483" t="str">
        <f>IFERROR(INDEX([1]Produtos!$F:$F,MATCH(L1656,[1]Produtos!$B:$B,0)), "-")</f>
        <v>-</v>
      </c>
      <c r="P1656" s="477" t="str">
        <f>IFERROR(INDEX([1]Produtos!$G:$G,MATCH(L1656,[1]Produtos!$B:$B,0)), "-")</f>
        <v>-</v>
      </c>
      <c r="Q1656" s="483" t="str">
        <f>IFERROR(INDEX([1]Produtos!$H:$H,MATCH(L1656,[1]Produtos!$B:$B,0)), "-")</f>
        <v>-</v>
      </c>
      <c r="R1656" s="483" t="str">
        <f>IFERROR(INDEX([1]Produtos!$I:$I,MATCH(L1656,[1]Produtos!$B:$B,0)), "-")</f>
        <v>-</v>
      </c>
      <c r="S1656" s="483" t="str">
        <f>IFERROR(INDEX([1]Produtos!$J:$J,MATCH(L1656,[1]Produtos!$B:$B,0)), "-")</f>
        <v>-</v>
      </c>
      <c r="T1656" s="484"/>
      <c r="U1656" s="483"/>
      <c r="V1656" s="483"/>
      <c r="W1656" s="483"/>
      <c r="X1656" s="483"/>
      <c r="Y1656" s="483"/>
      <c r="Z1656" s="483"/>
      <c r="AA1656" s="483"/>
      <c r="AB1656" s="483"/>
      <c r="AC1656" s="483"/>
      <c r="AD1656" s="483"/>
      <c r="AE1656" s="483"/>
      <c r="AF1656" s="483"/>
      <c r="AG1656" s="483"/>
      <c r="AH1656" s="483"/>
      <c r="AI1656" s="483"/>
      <c r="AJ1656" s="483"/>
      <c r="AK1656" s="483"/>
      <c r="AL1656" s="483"/>
      <c r="AM1656" s="670"/>
      <c r="AN1656" s="670"/>
      <c r="AO1656" s="711" t="str">
        <f>IF(OR(Table1[[#This Row],[Início Setup Envase]]="",Table1[[#This Row],[Final Setup Envase]]=""),"",Table1[[#This Row],[Final Setup Envase]]-Table1[[#This Row],[Início Setup Envase]])</f>
        <v/>
      </c>
      <c r="AP1656" s="670"/>
      <c r="AQ1656" s="670"/>
      <c r="AR1656" s="483"/>
      <c r="AS1656" s="483"/>
      <c r="AT1656" s="483"/>
      <c r="AU1656" s="483"/>
      <c r="AV1656" s="483"/>
      <c r="AW1656" s="483"/>
      <c r="AX1656" s="483"/>
      <c r="AY1656" s="270"/>
      <c r="AZ1656" s="270"/>
      <c r="BA1656" s="270" t="str">
        <f>IF(Table1[[#This Row],[Data de Início]]="","",YEAR(Table1[[#This Row],[Data de Início]]))</f>
        <v/>
      </c>
      <c r="BB1656" s="270" t="str">
        <f>IF(Table1[[#This Row],[Data de Início]]="","",MONTH(Table1[[#This Row],[Data de Início]]))</f>
        <v/>
      </c>
      <c r="BC1656" s="270"/>
    </row>
    <row r="1657" spans="2:55" x14ac:dyDescent="0.25">
      <c r="B1657" s="470"/>
      <c r="C1657" s="263"/>
      <c r="D1657" s="477" cm="1">
        <f t="array" ref="D1657">IFERROR(HorasUteisFabrica2Turnos(B1657,C1657), "")</f>
        <v>0</v>
      </c>
      <c r="E1657" s="697" t="str">
        <f t="shared" si="26"/>
        <v/>
      </c>
      <c r="F1657" s="266"/>
      <c r="G1657" s="698"/>
      <c r="H1657" s="266"/>
      <c r="I1657" s="268"/>
      <c r="J1657" s="268"/>
      <c r="K1657" s="268"/>
      <c r="L1657" s="269"/>
      <c r="M1657" s="510" t="str">
        <f>IFERROR(INDEX([1]Produtos!$C:$C,MATCH(L1657,[1]Produtos!$B:$B,0)), "-")</f>
        <v>-</v>
      </c>
      <c r="N1657" s="510" t="str">
        <f>IFERROR(INDEX([1]Produtos!$E:$E,MATCH(L1657,[1]Produtos!$B:$B,0)), "-")</f>
        <v>-</v>
      </c>
      <c r="O1657" s="270" t="str">
        <f>IFERROR(INDEX([1]Produtos!$F:$F,MATCH(L1657,[1]Produtos!$B:$B,0)), "-")</f>
        <v>-</v>
      </c>
      <c r="P1657" s="264" t="str">
        <f>IFERROR(INDEX([1]Produtos!$G:$G,MATCH(L1657,[1]Produtos!$B:$B,0)), "-")</f>
        <v>-</v>
      </c>
      <c r="Q1657" s="270" t="str">
        <f>IFERROR(INDEX([1]Produtos!$H:$H,MATCH(L1657,[1]Produtos!$B:$B,0)), "-")</f>
        <v>-</v>
      </c>
      <c r="R1657" s="270" t="str">
        <f>IFERROR(INDEX([1]Produtos!$I:$I,MATCH(L1657,[1]Produtos!$B:$B,0)), "-")</f>
        <v>-</v>
      </c>
      <c r="S1657" s="270" t="str">
        <f>IFERROR(INDEX([1]Produtos!$J:$J,MATCH(L1657,[1]Produtos!$B:$B,0)), "-")</f>
        <v>-</v>
      </c>
      <c r="T1657" s="475"/>
      <c r="U1657" s="270"/>
      <c r="V1657" s="270"/>
      <c r="W1657" s="270"/>
      <c r="X1657" s="270"/>
      <c r="Y1657" s="270"/>
      <c r="Z1657" s="270"/>
      <c r="AA1657" s="270"/>
      <c r="AB1657" s="270"/>
      <c r="AC1657" s="270"/>
      <c r="AD1657" s="270"/>
      <c r="AE1657" s="270"/>
      <c r="AF1657" s="270"/>
      <c r="AG1657" s="270"/>
      <c r="AH1657" s="270"/>
      <c r="AI1657" s="270"/>
      <c r="AJ1657" s="270"/>
      <c r="AK1657" s="270"/>
      <c r="AL1657" s="270"/>
      <c r="AM1657" s="663"/>
      <c r="AN1657" s="663"/>
      <c r="AO1657" s="708" t="str">
        <f>IF(OR(Table1[[#This Row],[Início Setup Envase]]="",Table1[[#This Row],[Final Setup Envase]]=""),"",Table1[[#This Row],[Final Setup Envase]]-Table1[[#This Row],[Início Setup Envase]])</f>
        <v/>
      </c>
      <c r="AP1657" s="663"/>
      <c r="AQ1657" s="663"/>
      <c r="AR1657" s="270"/>
      <c r="AS1657" s="674"/>
      <c r="AT1657" s="674"/>
      <c r="AU1657" s="270"/>
      <c r="AV1657" s="270"/>
      <c r="AW1657" s="270"/>
      <c r="AX1657" s="270"/>
      <c r="AY1657" s="270"/>
      <c r="AZ1657" s="270"/>
      <c r="BA1657" s="270" t="str">
        <f>IF(Table1[[#This Row],[Data de Início]]="","",YEAR(Table1[[#This Row],[Data de Início]]))</f>
        <v/>
      </c>
      <c r="BB1657" s="270" t="str">
        <f>IF(Table1[[#This Row],[Data de Início]]="","",MONTH(Table1[[#This Row],[Data de Início]]))</f>
        <v/>
      </c>
      <c r="BC1657" s="483"/>
    </row>
    <row r="1658" spans="2:55" x14ac:dyDescent="0.25">
      <c r="B1658" s="470"/>
      <c r="C1658" s="263"/>
      <c r="D1658" s="477" cm="1">
        <f t="array" ref="D1658">IFERROR(HorasUteisFabrica2Turnos(B1658,C1658), "")</f>
        <v>0</v>
      </c>
      <c r="E1658" s="478" t="str">
        <f t="shared" si="26"/>
        <v/>
      </c>
      <c r="F1658" s="266"/>
      <c r="G1658" s="656"/>
      <c r="H1658" s="479"/>
      <c r="I1658" s="268"/>
      <c r="J1658" s="268"/>
      <c r="K1658" s="268"/>
      <c r="L1658" s="269"/>
      <c r="M1658" s="511" t="str">
        <f>IFERROR(INDEX([1]Produtos!$C:$C,MATCH(L1658,[1]Produtos!$B:$B,0)), "-")</f>
        <v>-</v>
      </c>
      <c r="N1658" s="511" t="str">
        <f>IFERROR(INDEX([1]Produtos!$E:$E,MATCH(L1658,[1]Produtos!$B:$B,0)), "-")</f>
        <v>-</v>
      </c>
      <c r="O1658" s="483" t="str">
        <f>IFERROR(INDEX([1]Produtos!$F:$F,MATCH(L1658,[1]Produtos!$B:$B,0)), "-")</f>
        <v>-</v>
      </c>
      <c r="P1658" s="477" t="str">
        <f>IFERROR(INDEX([1]Produtos!$G:$G,MATCH(L1658,[1]Produtos!$B:$B,0)), "-")</f>
        <v>-</v>
      </c>
      <c r="Q1658" s="483" t="str">
        <f>IFERROR(INDEX([1]Produtos!$H:$H,MATCH(L1658,[1]Produtos!$B:$B,0)), "-")</f>
        <v>-</v>
      </c>
      <c r="R1658" s="483" t="str">
        <f>IFERROR(INDEX([1]Produtos!$I:$I,MATCH(L1658,[1]Produtos!$B:$B,0)), "-")</f>
        <v>-</v>
      </c>
      <c r="S1658" s="483" t="str">
        <f>IFERROR(INDEX([1]Produtos!$J:$J,MATCH(L1658,[1]Produtos!$B:$B,0)), "-")</f>
        <v>-</v>
      </c>
      <c r="T1658" s="484"/>
      <c r="U1658" s="483"/>
      <c r="V1658" s="483"/>
      <c r="W1658" s="483"/>
      <c r="X1658" s="483"/>
      <c r="Y1658" s="483"/>
      <c r="Z1658" s="483"/>
      <c r="AA1658" s="483"/>
      <c r="AB1658" s="483"/>
      <c r="AC1658" s="483"/>
      <c r="AD1658" s="483"/>
      <c r="AE1658" s="483"/>
      <c r="AF1658" s="483"/>
      <c r="AG1658" s="483"/>
      <c r="AH1658" s="483"/>
      <c r="AI1658" s="483"/>
      <c r="AJ1658" s="483"/>
      <c r="AK1658" s="483"/>
      <c r="AL1658" s="483"/>
      <c r="AM1658" s="670"/>
      <c r="AN1658" s="670"/>
      <c r="AO1658" s="711" t="str">
        <f>IF(OR(Table1[[#This Row],[Início Setup Envase]]="",Table1[[#This Row],[Final Setup Envase]]=""),"",Table1[[#This Row],[Final Setup Envase]]-Table1[[#This Row],[Início Setup Envase]])</f>
        <v/>
      </c>
      <c r="AP1658" s="670"/>
      <c r="AQ1658" s="670"/>
      <c r="AR1658" s="483"/>
      <c r="AS1658" s="483"/>
      <c r="AT1658" s="483"/>
      <c r="AU1658" s="483"/>
      <c r="AV1658" s="483"/>
      <c r="AW1658" s="483"/>
      <c r="AX1658" s="483"/>
      <c r="AY1658" s="270"/>
      <c r="AZ1658" s="270"/>
      <c r="BA1658" s="270" t="str">
        <f>IF(Table1[[#This Row],[Data de Início]]="","",YEAR(Table1[[#This Row],[Data de Início]]))</f>
        <v/>
      </c>
      <c r="BB1658" s="270" t="str">
        <f>IF(Table1[[#This Row],[Data de Início]]="","",MONTH(Table1[[#This Row],[Data de Início]]))</f>
        <v/>
      </c>
      <c r="BC1658" s="270"/>
    </row>
    <row r="1659" spans="2:55" x14ac:dyDescent="0.25">
      <c r="B1659" s="470"/>
      <c r="C1659" s="263"/>
      <c r="D1659" s="477" cm="1">
        <f t="array" ref="D1659">IFERROR(HorasUteisFabrica2Turnos(B1659,C1659), "")</f>
        <v>0</v>
      </c>
      <c r="E1659" s="697" t="str">
        <f t="shared" si="26"/>
        <v/>
      </c>
      <c r="F1659" s="266"/>
      <c r="G1659" s="698"/>
      <c r="H1659" s="266"/>
      <c r="I1659" s="268"/>
      <c r="J1659" s="268"/>
      <c r="K1659" s="268"/>
      <c r="L1659" s="269"/>
      <c r="M1659" s="510" t="str">
        <f>IFERROR(INDEX([1]Produtos!$C:$C,MATCH(L1659,[1]Produtos!$B:$B,0)), "-")</f>
        <v>-</v>
      </c>
      <c r="N1659" s="510" t="str">
        <f>IFERROR(INDEX([1]Produtos!$E:$E,MATCH(L1659,[1]Produtos!$B:$B,0)), "-")</f>
        <v>-</v>
      </c>
      <c r="O1659" s="270" t="str">
        <f>IFERROR(INDEX([1]Produtos!$F:$F,MATCH(L1659,[1]Produtos!$B:$B,0)), "-")</f>
        <v>-</v>
      </c>
      <c r="P1659" s="264" t="str">
        <f>IFERROR(INDEX([1]Produtos!$G:$G,MATCH(L1659,[1]Produtos!$B:$B,0)), "-")</f>
        <v>-</v>
      </c>
      <c r="Q1659" s="270" t="str">
        <f>IFERROR(INDEX([1]Produtos!$H:$H,MATCH(L1659,[1]Produtos!$B:$B,0)), "-")</f>
        <v>-</v>
      </c>
      <c r="R1659" s="270" t="str">
        <f>IFERROR(INDEX([1]Produtos!$I:$I,MATCH(L1659,[1]Produtos!$B:$B,0)), "-")</f>
        <v>-</v>
      </c>
      <c r="S1659" s="270" t="str">
        <f>IFERROR(INDEX([1]Produtos!$J:$J,MATCH(L1659,[1]Produtos!$B:$B,0)), "-")</f>
        <v>-</v>
      </c>
      <c r="T1659" s="475"/>
      <c r="U1659" s="270"/>
      <c r="V1659" s="270"/>
      <c r="W1659" s="270"/>
      <c r="X1659" s="270"/>
      <c r="Y1659" s="270"/>
      <c r="Z1659" s="270"/>
      <c r="AA1659" s="270"/>
      <c r="AB1659" s="270"/>
      <c r="AC1659" s="270"/>
      <c r="AD1659" s="270"/>
      <c r="AE1659" s="270"/>
      <c r="AF1659" s="270"/>
      <c r="AG1659" s="270"/>
      <c r="AH1659" s="270"/>
      <c r="AI1659" s="270"/>
      <c r="AJ1659" s="270"/>
      <c r="AK1659" s="270"/>
      <c r="AL1659" s="270"/>
      <c r="AM1659" s="663"/>
      <c r="AN1659" s="663"/>
      <c r="AO1659" s="708" t="str">
        <f>IF(OR(Table1[[#This Row],[Início Setup Envase]]="",Table1[[#This Row],[Final Setup Envase]]=""),"",Table1[[#This Row],[Final Setup Envase]]-Table1[[#This Row],[Início Setup Envase]])</f>
        <v/>
      </c>
      <c r="AP1659" s="663"/>
      <c r="AQ1659" s="663"/>
      <c r="AR1659" s="270"/>
      <c r="AS1659" s="674"/>
      <c r="AT1659" s="674"/>
      <c r="AU1659" s="270"/>
      <c r="AV1659" s="270"/>
      <c r="AW1659" s="270"/>
      <c r="AX1659" s="270"/>
      <c r="AY1659" s="270"/>
      <c r="AZ1659" s="270"/>
      <c r="BA1659" s="270" t="str">
        <f>IF(Table1[[#This Row],[Data de Início]]="","",YEAR(Table1[[#This Row],[Data de Início]]))</f>
        <v/>
      </c>
      <c r="BB1659" s="270" t="str">
        <f>IF(Table1[[#This Row],[Data de Início]]="","",MONTH(Table1[[#This Row],[Data de Início]]))</f>
        <v/>
      </c>
      <c r="BC1659" s="483"/>
    </row>
    <row r="1660" spans="2:55" x14ac:dyDescent="0.25">
      <c r="B1660" s="470"/>
      <c r="C1660" s="263"/>
      <c r="D1660" s="477" cm="1">
        <f t="array" ref="D1660">IFERROR(HorasUteisFabrica2Turnos(B1660,C1660), "")</f>
        <v>0</v>
      </c>
      <c r="E1660" s="478" t="str">
        <f t="shared" si="26"/>
        <v/>
      </c>
      <c r="F1660" s="266"/>
      <c r="G1660" s="656"/>
      <c r="H1660" s="479"/>
      <c r="I1660" s="268"/>
      <c r="J1660" s="268"/>
      <c r="K1660" s="268"/>
      <c r="L1660" s="269"/>
      <c r="M1660" s="511" t="str">
        <f>IFERROR(INDEX([1]Produtos!$C:$C,MATCH(L1660,[1]Produtos!$B:$B,0)), "-")</f>
        <v>-</v>
      </c>
      <c r="N1660" s="511" t="str">
        <f>IFERROR(INDEX([1]Produtos!$E:$E,MATCH(L1660,[1]Produtos!$B:$B,0)), "-")</f>
        <v>-</v>
      </c>
      <c r="O1660" s="483" t="str">
        <f>IFERROR(INDEX([1]Produtos!$F:$F,MATCH(L1660,[1]Produtos!$B:$B,0)), "-")</f>
        <v>-</v>
      </c>
      <c r="P1660" s="477" t="str">
        <f>IFERROR(INDEX([1]Produtos!$G:$G,MATCH(L1660,[1]Produtos!$B:$B,0)), "-")</f>
        <v>-</v>
      </c>
      <c r="Q1660" s="483" t="str">
        <f>IFERROR(INDEX([1]Produtos!$H:$H,MATCH(L1660,[1]Produtos!$B:$B,0)), "-")</f>
        <v>-</v>
      </c>
      <c r="R1660" s="483" t="str">
        <f>IFERROR(INDEX([1]Produtos!$I:$I,MATCH(L1660,[1]Produtos!$B:$B,0)), "-")</f>
        <v>-</v>
      </c>
      <c r="S1660" s="483" t="str">
        <f>IFERROR(INDEX([1]Produtos!$J:$J,MATCH(L1660,[1]Produtos!$B:$B,0)), "-")</f>
        <v>-</v>
      </c>
      <c r="T1660" s="484"/>
      <c r="U1660" s="483"/>
      <c r="V1660" s="483"/>
      <c r="W1660" s="483"/>
      <c r="X1660" s="483"/>
      <c r="Y1660" s="483"/>
      <c r="Z1660" s="483"/>
      <c r="AA1660" s="483"/>
      <c r="AB1660" s="483"/>
      <c r="AC1660" s="483"/>
      <c r="AD1660" s="483"/>
      <c r="AE1660" s="483"/>
      <c r="AF1660" s="483"/>
      <c r="AG1660" s="483"/>
      <c r="AH1660" s="483"/>
      <c r="AI1660" s="483"/>
      <c r="AJ1660" s="483"/>
      <c r="AK1660" s="483"/>
      <c r="AL1660" s="483"/>
      <c r="AM1660" s="670"/>
      <c r="AN1660" s="670"/>
      <c r="AO1660" s="711" t="str">
        <f>IF(OR(Table1[[#This Row],[Início Setup Envase]]="",Table1[[#This Row],[Final Setup Envase]]=""),"",Table1[[#This Row],[Final Setup Envase]]-Table1[[#This Row],[Início Setup Envase]])</f>
        <v/>
      </c>
      <c r="AP1660" s="670"/>
      <c r="AQ1660" s="670"/>
      <c r="AR1660" s="483"/>
      <c r="AS1660" s="483"/>
      <c r="AT1660" s="483"/>
      <c r="AU1660" s="483"/>
      <c r="AV1660" s="483"/>
      <c r="AW1660" s="483"/>
      <c r="AX1660" s="483"/>
      <c r="AY1660" s="270"/>
      <c r="AZ1660" s="270"/>
      <c r="BA1660" s="270" t="str">
        <f>IF(Table1[[#This Row],[Data de Início]]="","",YEAR(Table1[[#This Row],[Data de Início]]))</f>
        <v/>
      </c>
      <c r="BB1660" s="270" t="str">
        <f>IF(Table1[[#This Row],[Data de Início]]="","",MONTH(Table1[[#This Row],[Data de Início]]))</f>
        <v/>
      </c>
      <c r="BC1660" s="270"/>
    </row>
    <row r="1661" spans="2:55" x14ac:dyDescent="0.25">
      <c r="B1661" s="470"/>
      <c r="C1661" s="263"/>
      <c r="D1661" s="477" cm="1">
        <f t="array" ref="D1661">IFERROR(HorasUteisFabrica2Turnos(B1661,C1661), "")</f>
        <v>0</v>
      </c>
      <c r="E1661" s="697" t="str">
        <f t="shared" si="26"/>
        <v/>
      </c>
      <c r="F1661" s="266"/>
      <c r="G1661" s="698"/>
      <c r="H1661" s="266"/>
      <c r="I1661" s="268"/>
      <c r="J1661" s="268"/>
      <c r="K1661" s="268"/>
      <c r="L1661" s="269"/>
      <c r="M1661" s="510" t="str">
        <f>IFERROR(INDEX([1]Produtos!$C:$C,MATCH(L1661,[1]Produtos!$B:$B,0)), "-")</f>
        <v>-</v>
      </c>
      <c r="N1661" s="510" t="str">
        <f>IFERROR(INDEX([1]Produtos!$E:$E,MATCH(L1661,[1]Produtos!$B:$B,0)), "-")</f>
        <v>-</v>
      </c>
      <c r="O1661" s="270" t="str">
        <f>IFERROR(INDEX([1]Produtos!$F:$F,MATCH(L1661,[1]Produtos!$B:$B,0)), "-")</f>
        <v>-</v>
      </c>
      <c r="P1661" s="264" t="str">
        <f>IFERROR(INDEX([1]Produtos!$G:$G,MATCH(L1661,[1]Produtos!$B:$B,0)), "-")</f>
        <v>-</v>
      </c>
      <c r="Q1661" s="270" t="str">
        <f>IFERROR(INDEX([1]Produtos!$H:$H,MATCH(L1661,[1]Produtos!$B:$B,0)), "-")</f>
        <v>-</v>
      </c>
      <c r="R1661" s="270" t="str">
        <f>IFERROR(INDEX([1]Produtos!$I:$I,MATCH(L1661,[1]Produtos!$B:$B,0)), "-")</f>
        <v>-</v>
      </c>
      <c r="S1661" s="270" t="str">
        <f>IFERROR(INDEX([1]Produtos!$J:$J,MATCH(L1661,[1]Produtos!$B:$B,0)), "-")</f>
        <v>-</v>
      </c>
      <c r="T1661" s="475"/>
      <c r="U1661" s="270"/>
      <c r="V1661" s="270"/>
      <c r="W1661" s="270"/>
      <c r="X1661" s="270"/>
      <c r="Y1661" s="270"/>
      <c r="Z1661" s="270"/>
      <c r="AA1661" s="270"/>
      <c r="AB1661" s="270"/>
      <c r="AC1661" s="270"/>
      <c r="AD1661" s="270"/>
      <c r="AE1661" s="270"/>
      <c r="AF1661" s="270"/>
      <c r="AG1661" s="270"/>
      <c r="AH1661" s="270"/>
      <c r="AI1661" s="270"/>
      <c r="AJ1661" s="270"/>
      <c r="AK1661" s="270"/>
      <c r="AL1661" s="270"/>
      <c r="AM1661" s="663"/>
      <c r="AN1661" s="663"/>
      <c r="AO1661" s="708" t="str">
        <f>IF(OR(Table1[[#This Row],[Início Setup Envase]]="",Table1[[#This Row],[Final Setup Envase]]=""),"",Table1[[#This Row],[Final Setup Envase]]-Table1[[#This Row],[Início Setup Envase]])</f>
        <v/>
      </c>
      <c r="AP1661" s="663"/>
      <c r="AQ1661" s="663"/>
      <c r="AR1661" s="270"/>
      <c r="AS1661" s="674"/>
      <c r="AT1661" s="674"/>
      <c r="AU1661" s="270"/>
      <c r="AV1661" s="270"/>
      <c r="AW1661" s="270"/>
      <c r="AX1661" s="270"/>
      <c r="AY1661" s="270"/>
      <c r="AZ1661" s="270"/>
      <c r="BA1661" s="270" t="str">
        <f>IF(Table1[[#This Row],[Data de Início]]="","",YEAR(Table1[[#This Row],[Data de Início]]))</f>
        <v/>
      </c>
      <c r="BB1661" s="270" t="str">
        <f>IF(Table1[[#This Row],[Data de Início]]="","",MONTH(Table1[[#This Row],[Data de Início]]))</f>
        <v/>
      </c>
      <c r="BC1661" s="483"/>
    </row>
    <row r="1662" spans="2:55" x14ac:dyDescent="0.25">
      <c r="B1662" s="470"/>
      <c r="C1662" s="263"/>
      <c r="D1662" s="477" cm="1">
        <f t="array" ref="D1662">IFERROR(HorasUteisFabrica2Turnos(B1662,C1662), "")</f>
        <v>0</v>
      </c>
      <c r="E1662" s="478" t="str">
        <f t="shared" si="26"/>
        <v/>
      </c>
      <c r="F1662" s="266"/>
      <c r="G1662" s="656"/>
      <c r="H1662" s="479"/>
      <c r="I1662" s="268"/>
      <c r="J1662" s="268"/>
      <c r="K1662" s="268"/>
      <c r="L1662" s="269"/>
      <c r="M1662" s="511" t="str">
        <f>IFERROR(INDEX([1]Produtos!$C:$C,MATCH(L1662,[1]Produtos!$B:$B,0)), "-")</f>
        <v>-</v>
      </c>
      <c r="N1662" s="511" t="str">
        <f>IFERROR(INDEX([1]Produtos!$E:$E,MATCH(L1662,[1]Produtos!$B:$B,0)), "-")</f>
        <v>-</v>
      </c>
      <c r="O1662" s="483" t="str">
        <f>IFERROR(INDEX([1]Produtos!$F:$F,MATCH(L1662,[1]Produtos!$B:$B,0)), "-")</f>
        <v>-</v>
      </c>
      <c r="P1662" s="477" t="str">
        <f>IFERROR(INDEX([1]Produtos!$G:$G,MATCH(L1662,[1]Produtos!$B:$B,0)), "-")</f>
        <v>-</v>
      </c>
      <c r="Q1662" s="483" t="str">
        <f>IFERROR(INDEX([1]Produtos!$H:$H,MATCH(L1662,[1]Produtos!$B:$B,0)), "-")</f>
        <v>-</v>
      </c>
      <c r="R1662" s="483" t="str">
        <f>IFERROR(INDEX([1]Produtos!$I:$I,MATCH(L1662,[1]Produtos!$B:$B,0)), "-")</f>
        <v>-</v>
      </c>
      <c r="S1662" s="483" t="str">
        <f>IFERROR(INDEX([1]Produtos!$J:$J,MATCH(L1662,[1]Produtos!$B:$B,0)), "-")</f>
        <v>-</v>
      </c>
      <c r="T1662" s="484"/>
      <c r="U1662" s="483"/>
      <c r="V1662" s="483"/>
      <c r="W1662" s="483"/>
      <c r="X1662" s="483"/>
      <c r="Y1662" s="483"/>
      <c r="Z1662" s="483"/>
      <c r="AA1662" s="483"/>
      <c r="AB1662" s="483"/>
      <c r="AC1662" s="483"/>
      <c r="AD1662" s="483"/>
      <c r="AE1662" s="483"/>
      <c r="AF1662" s="483"/>
      <c r="AG1662" s="483"/>
      <c r="AH1662" s="483"/>
      <c r="AI1662" s="483"/>
      <c r="AJ1662" s="483"/>
      <c r="AK1662" s="483"/>
      <c r="AL1662" s="483"/>
      <c r="AM1662" s="670"/>
      <c r="AN1662" s="670"/>
      <c r="AO1662" s="711" t="str">
        <f>IF(OR(Table1[[#This Row],[Início Setup Envase]]="",Table1[[#This Row],[Final Setup Envase]]=""),"",Table1[[#This Row],[Final Setup Envase]]-Table1[[#This Row],[Início Setup Envase]])</f>
        <v/>
      </c>
      <c r="AP1662" s="670"/>
      <c r="AQ1662" s="670"/>
      <c r="AR1662" s="483"/>
      <c r="AS1662" s="483"/>
      <c r="AT1662" s="483"/>
      <c r="AU1662" s="483"/>
      <c r="AV1662" s="483"/>
      <c r="AW1662" s="483"/>
      <c r="AX1662" s="483"/>
      <c r="AY1662" s="270"/>
      <c r="AZ1662" s="270"/>
      <c r="BA1662" s="270" t="str">
        <f>IF(Table1[[#This Row],[Data de Início]]="","",YEAR(Table1[[#This Row],[Data de Início]]))</f>
        <v/>
      </c>
      <c r="BB1662" s="270" t="str">
        <f>IF(Table1[[#This Row],[Data de Início]]="","",MONTH(Table1[[#This Row],[Data de Início]]))</f>
        <v/>
      </c>
      <c r="BC1662" s="270"/>
    </row>
    <row r="1663" spans="2:55" x14ac:dyDescent="0.25">
      <c r="B1663" s="470"/>
      <c r="C1663" s="263"/>
      <c r="D1663" s="477" cm="1">
        <f t="array" ref="D1663">IFERROR(HorasUteisFabrica2Turnos(B1663,C1663), "")</f>
        <v>0</v>
      </c>
      <c r="E1663" s="697" t="str">
        <f t="shared" si="26"/>
        <v/>
      </c>
      <c r="F1663" s="266"/>
      <c r="G1663" s="698"/>
      <c r="H1663" s="266"/>
      <c r="I1663" s="268"/>
      <c r="J1663" s="268"/>
      <c r="K1663" s="268"/>
      <c r="L1663" s="269"/>
      <c r="M1663" s="510" t="str">
        <f>IFERROR(INDEX([1]Produtos!$C:$C,MATCH(L1663,[1]Produtos!$B:$B,0)), "-")</f>
        <v>-</v>
      </c>
      <c r="N1663" s="510" t="str">
        <f>IFERROR(INDEX([1]Produtos!$E:$E,MATCH(L1663,[1]Produtos!$B:$B,0)), "-")</f>
        <v>-</v>
      </c>
      <c r="O1663" s="270" t="str">
        <f>IFERROR(INDEX([1]Produtos!$F:$F,MATCH(L1663,[1]Produtos!$B:$B,0)), "-")</f>
        <v>-</v>
      </c>
      <c r="P1663" s="264" t="str">
        <f>IFERROR(INDEX([1]Produtos!$G:$G,MATCH(L1663,[1]Produtos!$B:$B,0)), "-")</f>
        <v>-</v>
      </c>
      <c r="Q1663" s="270" t="str">
        <f>IFERROR(INDEX([1]Produtos!$H:$H,MATCH(L1663,[1]Produtos!$B:$B,0)), "-")</f>
        <v>-</v>
      </c>
      <c r="R1663" s="270" t="str">
        <f>IFERROR(INDEX([1]Produtos!$I:$I,MATCH(L1663,[1]Produtos!$B:$B,0)), "-")</f>
        <v>-</v>
      </c>
      <c r="S1663" s="270" t="str">
        <f>IFERROR(INDEX([1]Produtos!$J:$J,MATCH(L1663,[1]Produtos!$B:$B,0)), "-")</f>
        <v>-</v>
      </c>
      <c r="T1663" s="475"/>
      <c r="U1663" s="270"/>
      <c r="V1663" s="270"/>
      <c r="W1663" s="270"/>
      <c r="X1663" s="270"/>
      <c r="Y1663" s="270"/>
      <c r="Z1663" s="270"/>
      <c r="AA1663" s="270"/>
      <c r="AB1663" s="270"/>
      <c r="AC1663" s="270"/>
      <c r="AD1663" s="270"/>
      <c r="AE1663" s="270"/>
      <c r="AF1663" s="270"/>
      <c r="AG1663" s="270"/>
      <c r="AH1663" s="270"/>
      <c r="AI1663" s="270"/>
      <c r="AJ1663" s="270"/>
      <c r="AK1663" s="270"/>
      <c r="AL1663" s="270"/>
      <c r="AM1663" s="663"/>
      <c r="AN1663" s="663"/>
      <c r="AO1663" s="708" t="str">
        <f>IF(OR(Table1[[#This Row],[Início Setup Envase]]="",Table1[[#This Row],[Final Setup Envase]]=""),"",Table1[[#This Row],[Final Setup Envase]]-Table1[[#This Row],[Início Setup Envase]])</f>
        <v/>
      </c>
      <c r="AP1663" s="663"/>
      <c r="AQ1663" s="663"/>
      <c r="AR1663" s="270"/>
      <c r="AS1663" s="674"/>
      <c r="AT1663" s="674"/>
      <c r="AU1663" s="270"/>
      <c r="AV1663" s="270"/>
      <c r="AW1663" s="270"/>
      <c r="AX1663" s="270"/>
      <c r="AY1663" s="270"/>
      <c r="AZ1663" s="270"/>
      <c r="BA1663" s="270" t="str">
        <f>IF(Table1[[#This Row],[Data de Início]]="","",YEAR(Table1[[#This Row],[Data de Início]]))</f>
        <v/>
      </c>
      <c r="BB1663" s="270" t="str">
        <f>IF(Table1[[#This Row],[Data de Início]]="","",MONTH(Table1[[#This Row],[Data de Início]]))</f>
        <v/>
      </c>
      <c r="BC1663" s="483"/>
    </row>
    <row r="1664" spans="2:55" x14ac:dyDescent="0.25">
      <c r="B1664" s="470"/>
      <c r="C1664" s="263"/>
      <c r="D1664" s="477" cm="1">
        <f t="array" ref="D1664">IFERROR(HorasUteisFabrica2Turnos(B1664,C1664), "")</f>
        <v>0</v>
      </c>
      <c r="E1664" s="478" t="str">
        <f t="shared" si="26"/>
        <v/>
      </c>
      <c r="F1664" s="266"/>
      <c r="G1664" s="656"/>
      <c r="H1664" s="479"/>
      <c r="I1664" s="268"/>
      <c r="J1664" s="268"/>
      <c r="K1664" s="268"/>
      <c r="L1664" s="269"/>
      <c r="M1664" s="511" t="str">
        <f>IFERROR(INDEX([1]Produtos!$C:$C,MATCH(L1664,[1]Produtos!$B:$B,0)), "-")</f>
        <v>-</v>
      </c>
      <c r="N1664" s="511" t="str">
        <f>IFERROR(INDEX([1]Produtos!$E:$E,MATCH(L1664,[1]Produtos!$B:$B,0)), "-")</f>
        <v>-</v>
      </c>
      <c r="O1664" s="483" t="str">
        <f>IFERROR(INDEX([1]Produtos!$F:$F,MATCH(L1664,[1]Produtos!$B:$B,0)), "-")</f>
        <v>-</v>
      </c>
      <c r="P1664" s="477" t="str">
        <f>IFERROR(INDEX([1]Produtos!$G:$G,MATCH(L1664,[1]Produtos!$B:$B,0)), "-")</f>
        <v>-</v>
      </c>
      <c r="Q1664" s="483" t="str">
        <f>IFERROR(INDEX([1]Produtos!$H:$H,MATCH(L1664,[1]Produtos!$B:$B,0)), "-")</f>
        <v>-</v>
      </c>
      <c r="R1664" s="483" t="str">
        <f>IFERROR(INDEX([1]Produtos!$I:$I,MATCH(L1664,[1]Produtos!$B:$B,0)), "-")</f>
        <v>-</v>
      </c>
      <c r="S1664" s="483" t="str">
        <f>IFERROR(INDEX([1]Produtos!$J:$J,MATCH(L1664,[1]Produtos!$B:$B,0)), "-")</f>
        <v>-</v>
      </c>
      <c r="T1664" s="484"/>
      <c r="U1664" s="483"/>
      <c r="V1664" s="483"/>
      <c r="W1664" s="483"/>
      <c r="X1664" s="483"/>
      <c r="Y1664" s="483"/>
      <c r="Z1664" s="483"/>
      <c r="AA1664" s="483"/>
      <c r="AB1664" s="483"/>
      <c r="AC1664" s="483"/>
      <c r="AD1664" s="483"/>
      <c r="AE1664" s="483"/>
      <c r="AF1664" s="483"/>
      <c r="AG1664" s="483"/>
      <c r="AH1664" s="483"/>
      <c r="AI1664" s="483"/>
      <c r="AJ1664" s="483"/>
      <c r="AK1664" s="483"/>
      <c r="AL1664" s="483"/>
      <c r="AM1664" s="670"/>
      <c r="AN1664" s="670"/>
      <c r="AO1664" s="711" t="str">
        <f>IF(OR(Table1[[#This Row],[Início Setup Envase]]="",Table1[[#This Row],[Final Setup Envase]]=""),"",Table1[[#This Row],[Final Setup Envase]]-Table1[[#This Row],[Início Setup Envase]])</f>
        <v/>
      </c>
      <c r="AP1664" s="670"/>
      <c r="AQ1664" s="670"/>
      <c r="AR1664" s="483"/>
      <c r="AS1664" s="483"/>
      <c r="AT1664" s="483"/>
      <c r="AU1664" s="483"/>
      <c r="AV1664" s="483"/>
      <c r="AW1664" s="483"/>
      <c r="AX1664" s="483"/>
      <c r="AY1664" s="270"/>
      <c r="AZ1664" s="270"/>
      <c r="BA1664" s="270" t="str">
        <f>IF(Table1[[#This Row],[Data de Início]]="","",YEAR(Table1[[#This Row],[Data de Início]]))</f>
        <v/>
      </c>
      <c r="BB1664" s="270" t="str">
        <f>IF(Table1[[#This Row],[Data de Início]]="","",MONTH(Table1[[#This Row],[Data de Início]]))</f>
        <v/>
      </c>
      <c r="BC1664" s="270"/>
    </row>
    <row r="1665" spans="2:55" x14ac:dyDescent="0.25">
      <c r="B1665" s="470"/>
      <c r="C1665" s="263"/>
      <c r="D1665" s="477" cm="1">
        <f t="array" ref="D1665">IFERROR(HorasUteisFabrica2Turnos(B1665,C1665), "")</f>
        <v>0</v>
      </c>
      <c r="E1665" s="697" t="str">
        <f t="shared" si="26"/>
        <v/>
      </c>
      <c r="F1665" s="266"/>
      <c r="G1665" s="698"/>
      <c r="H1665" s="266"/>
      <c r="I1665" s="268"/>
      <c r="J1665" s="268"/>
      <c r="K1665" s="268"/>
      <c r="L1665" s="269"/>
      <c r="M1665" s="510" t="str">
        <f>IFERROR(INDEX([1]Produtos!$C:$C,MATCH(L1665,[1]Produtos!$B:$B,0)), "-")</f>
        <v>-</v>
      </c>
      <c r="N1665" s="510" t="str">
        <f>IFERROR(INDEX([1]Produtos!$E:$E,MATCH(L1665,[1]Produtos!$B:$B,0)), "-")</f>
        <v>-</v>
      </c>
      <c r="O1665" s="270" t="str">
        <f>IFERROR(INDEX([1]Produtos!$F:$F,MATCH(L1665,[1]Produtos!$B:$B,0)), "-")</f>
        <v>-</v>
      </c>
      <c r="P1665" s="264" t="str">
        <f>IFERROR(INDEX([1]Produtos!$G:$G,MATCH(L1665,[1]Produtos!$B:$B,0)), "-")</f>
        <v>-</v>
      </c>
      <c r="Q1665" s="270" t="str">
        <f>IFERROR(INDEX([1]Produtos!$H:$H,MATCH(L1665,[1]Produtos!$B:$B,0)), "-")</f>
        <v>-</v>
      </c>
      <c r="R1665" s="270" t="str">
        <f>IFERROR(INDEX([1]Produtos!$I:$I,MATCH(L1665,[1]Produtos!$B:$B,0)), "-")</f>
        <v>-</v>
      </c>
      <c r="S1665" s="270" t="str">
        <f>IFERROR(INDEX([1]Produtos!$J:$J,MATCH(L1665,[1]Produtos!$B:$B,0)), "-")</f>
        <v>-</v>
      </c>
      <c r="T1665" s="475"/>
      <c r="U1665" s="270"/>
      <c r="V1665" s="270"/>
      <c r="W1665" s="270"/>
      <c r="X1665" s="270"/>
      <c r="Y1665" s="270"/>
      <c r="Z1665" s="270"/>
      <c r="AA1665" s="270"/>
      <c r="AB1665" s="270"/>
      <c r="AC1665" s="270"/>
      <c r="AD1665" s="270"/>
      <c r="AE1665" s="270"/>
      <c r="AF1665" s="270"/>
      <c r="AG1665" s="270"/>
      <c r="AH1665" s="270"/>
      <c r="AI1665" s="270"/>
      <c r="AJ1665" s="270"/>
      <c r="AK1665" s="270"/>
      <c r="AL1665" s="270"/>
      <c r="AM1665" s="663"/>
      <c r="AN1665" s="663"/>
      <c r="AO1665" s="708" t="str">
        <f>IF(OR(Table1[[#This Row],[Início Setup Envase]]="",Table1[[#This Row],[Final Setup Envase]]=""),"",Table1[[#This Row],[Final Setup Envase]]-Table1[[#This Row],[Início Setup Envase]])</f>
        <v/>
      </c>
      <c r="AP1665" s="663"/>
      <c r="AQ1665" s="663"/>
      <c r="AR1665" s="270"/>
      <c r="AS1665" s="674"/>
      <c r="AT1665" s="674"/>
      <c r="AU1665" s="270"/>
      <c r="AV1665" s="270"/>
      <c r="AW1665" s="270"/>
      <c r="AX1665" s="270"/>
      <c r="AY1665" s="270"/>
      <c r="AZ1665" s="270"/>
      <c r="BA1665" s="270" t="str">
        <f>IF(Table1[[#This Row],[Data de Início]]="","",YEAR(Table1[[#This Row],[Data de Início]]))</f>
        <v/>
      </c>
      <c r="BB1665" s="270" t="str">
        <f>IF(Table1[[#This Row],[Data de Início]]="","",MONTH(Table1[[#This Row],[Data de Início]]))</f>
        <v/>
      </c>
      <c r="BC1665" s="483"/>
    </row>
    <row r="1666" spans="2:55" x14ac:dyDescent="0.25">
      <c r="B1666" s="470"/>
      <c r="C1666" s="263"/>
      <c r="D1666" s="477" cm="1">
        <f t="array" ref="D1666">IFERROR(HorasUteisFabrica2Turnos(B1666,C1666), "")</f>
        <v>0</v>
      </c>
      <c r="E1666" s="478" t="str">
        <f t="shared" si="26"/>
        <v/>
      </c>
      <c r="F1666" s="266"/>
      <c r="G1666" s="656"/>
      <c r="H1666" s="479"/>
      <c r="I1666" s="268"/>
      <c r="J1666" s="268"/>
      <c r="K1666" s="268"/>
      <c r="L1666" s="269"/>
      <c r="M1666" s="511" t="str">
        <f>IFERROR(INDEX([1]Produtos!$C:$C,MATCH(L1666,[1]Produtos!$B:$B,0)), "-")</f>
        <v>-</v>
      </c>
      <c r="N1666" s="511" t="str">
        <f>IFERROR(INDEX([1]Produtos!$E:$E,MATCH(L1666,[1]Produtos!$B:$B,0)), "-")</f>
        <v>-</v>
      </c>
      <c r="O1666" s="483" t="str">
        <f>IFERROR(INDEX([1]Produtos!$F:$F,MATCH(L1666,[1]Produtos!$B:$B,0)), "-")</f>
        <v>-</v>
      </c>
      <c r="P1666" s="477" t="str">
        <f>IFERROR(INDEX([1]Produtos!$G:$G,MATCH(L1666,[1]Produtos!$B:$B,0)), "-")</f>
        <v>-</v>
      </c>
      <c r="Q1666" s="483" t="str">
        <f>IFERROR(INDEX([1]Produtos!$H:$H,MATCH(L1666,[1]Produtos!$B:$B,0)), "-")</f>
        <v>-</v>
      </c>
      <c r="R1666" s="483" t="str">
        <f>IFERROR(INDEX([1]Produtos!$I:$I,MATCH(L1666,[1]Produtos!$B:$B,0)), "-")</f>
        <v>-</v>
      </c>
      <c r="S1666" s="483" t="str">
        <f>IFERROR(INDEX([1]Produtos!$J:$J,MATCH(L1666,[1]Produtos!$B:$B,0)), "-")</f>
        <v>-</v>
      </c>
      <c r="T1666" s="484"/>
      <c r="U1666" s="483"/>
      <c r="V1666" s="483"/>
      <c r="W1666" s="483"/>
      <c r="X1666" s="483"/>
      <c r="Y1666" s="483"/>
      <c r="Z1666" s="483"/>
      <c r="AA1666" s="483"/>
      <c r="AB1666" s="483"/>
      <c r="AC1666" s="483"/>
      <c r="AD1666" s="483"/>
      <c r="AE1666" s="483"/>
      <c r="AF1666" s="483"/>
      <c r="AG1666" s="483"/>
      <c r="AH1666" s="483"/>
      <c r="AI1666" s="483"/>
      <c r="AJ1666" s="483"/>
      <c r="AK1666" s="483"/>
      <c r="AL1666" s="483"/>
      <c r="AM1666" s="670"/>
      <c r="AN1666" s="670"/>
      <c r="AO1666" s="711" t="str">
        <f>IF(OR(Table1[[#This Row],[Início Setup Envase]]="",Table1[[#This Row],[Final Setup Envase]]=""),"",Table1[[#This Row],[Final Setup Envase]]-Table1[[#This Row],[Início Setup Envase]])</f>
        <v/>
      </c>
      <c r="AP1666" s="670"/>
      <c r="AQ1666" s="670"/>
      <c r="AR1666" s="483"/>
      <c r="AS1666" s="483"/>
      <c r="AT1666" s="483"/>
      <c r="AU1666" s="483"/>
      <c r="AV1666" s="483"/>
      <c r="AW1666" s="483"/>
      <c r="AX1666" s="483"/>
      <c r="AY1666" s="270"/>
      <c r="AZ1666" s="270"/>
      <c r="BA1666" s="270" t="str">
        <f>IF(Table1[[#This Row],[Data de Início]]="","",YEAR(Table1[[#This Row],[Data de Início]]))</f>
        <v/>
      </c>
      <c r="BB1666" s="270" t="str">
        <f>IF(Table1[[#This Row],[Data de Início]]="","",MONTH(Table1[[#This Row],[Data de Início]]))</f>
        <v/>
      </c>
      <c r="BC1666" s="270"/>
    </row>
    <row r="1667" spans="2:55" x14ac:dyDescent="0.25">
      <c r="B1667" s="470"/>
      <c r="C1667" s="263"/>
      <c r="D1667" s="477" cm="1">
        <f t="array" ref="D1667">IFERROR(HorasUteisFabrica2Turnos(B1667,C1667), "")</f>
        <v>0</v>
      </c>
      <c r="E1667" s="697" t="str">
        <f t="shared" si="26"/>
        <v/>
      </c>
      <c r="F1667" s="266"/>
      <c r="G1667" s="698"/>
      <c r="H1667" s="266"/>
      <c r="I1667" s="268"/>
      <c r="J1667" s="268"/>
      <c r="K1667" s="268"/>
      <c r="L1667" s="269"/>
      <c r="M1667" s="510" t="str">
        <f>IFERROR(INDEX([1]Produtos!$C:$C,MATCH(L1667,[1]Produtos!$B:$B,0)), "-")</f>
        <v>-</v>
      </c>
      <c r="N1667" s="510" t="str">
        <f>IFERROR(INDEX([1]Produtos!$E:$E,MATCH(L1667,[1]Produtos!$B:$B,0)), "-")</f>
        <v>-</v>
      </c>
      <c r="O1667" s="270" t="str">
        <f>IFERROR(INDEX([1]Produtos!$F:$F,MATCH(L1667,[1]Produtos!$B:$B,0)), "-")</f>
        <v>-</v>
      </c>
      <c r="P1667" s="264" t="str">
        <f>IFERROR(INDEX([1]Produtos!$G:$G,MATCH(L1667,[1]Produtos!$B:$B,0)), "-")</f>
        <v>-</v>
      </c>
      <c r="Q1667" s="270" t="str">
        <f>IFERROR(INDEX([1]Produtos!$H:$H,MATCH(L1667,[1]Produtos!$B:$B,0)), "-")</f>
        <v>-</v>
      </c>
      <c r="R1667" s="270" t="str">
        <f>IFERROR(INDEX([1]Produtos!$I:$I,MATCH(L1667,[1]Produtos!$B:$B,0)), "-")</f>
        <v>-</v>
      </c>
      <c r="S1667" s="270" t="str">
        <f>IFERROR(INDEX([1]Produtos!$J:$J,MATCH(L1667,[1]Produtos!$B:$B,0)), "-")</f>
        <v>-</v>
      </c>
      <c r="T1667" s="475"/>
      <c r="U1667" s="270"/>
      <c r="V1667" s="270"/>
      <c r="W1667" s="270"/>
      <c r="X1667" s="270"/>
      <c r="Y1667" s="270"/>
      <c r="Z1667" s="270"/>
      <c r="AA1667" s="270"/>
      <c r="AB1667" s="270"/>
      <c r="AC1667" s="270"/>
      <c r="AD1667" s="270"/>
      <c r="AE1667" s="270"/>
      <c r="AF1667" s="270"/>
      <c r="AG1667" s="270"/>
      <c r="AH1667" s="270"/>
      <c r="AI1667" s="270"/>
      <c r="AJ1667" s="270"/>
      <c r="AK1667" s="270"/>
      <c r="AL1667" s="270"/>
      <c r="AM1667" s="663"/>
      <c r="AN1667" s="663"/>
      <c r="AO1667" s="708" t="str">
        <f>IF(OR(Table1[[#This Row],[Início Setup Envase]]="",Table1[[#This Row],[Final Setup Envase]]=""),"",Table1[[#This Row],[Final Setup Envase]]-Table1[[#This Row],[Início Setup Envase]])</f>
        <v/>
      </c>
      <c r="AP1667" s="663"/>
      <c r="AQ1667" s="663"/>
      <c r="AR1667" s="270"/>
      <c r="AS1667" s="674"/>
      <c r="AT1667" s="674"/>
      <c r="AU1667" s="270"/>
      <c r="AV1667" s="270"/>
      <c r="AW1667" s="270"/>
      <c r="AX1667" s="270"/>
      <c r="AY1667" s="270"/>
      <c r="AZ1667" s="270"/>
      <c r="BA1667" s="270" t="str">
        <f>IF(Table1[[#This Row],[Data de Início]]="","",YEAR(Table1[[#This Row],[Data de Início]]))</f>
        <v/>
      </c>
      <c r="BB1667" s="270" t="str">
        <f>IF(Table1[[#This Row],[Data de Início]]="","",MONTH(Table1[[#This Row],[Data de Início]]))</f>
        <v/>
      </c>
      <c r="BC1667" s="483"/>
    </row>
    <row r="1668" spans="2:55" x14ac:dyDescent="0.25">
      <c r="B1668" s="470"/>
      <c r="C1668" s="263"/>
      <c r="D1668" s="477" cm="1">
        <f t="array" ref="D1668">IFERROR(HorasUteisFabrica2Turnos(B1668,C1668), "")</f>
        <v>0</v>
      </c>
      <c r="E1668" s="478" t="str">
        <f t="shared" si="26"/>
        <v/>
      </c>
      <c r="F1668" s="266"/>
      <c r="G1668" s="656"/>
      <c r="H1668" s="479"/>
      <c r="I1668" s="268"/>
      <c r="J1668" s="268"/>
      <c r="K1668" s="268"/>
      <c r="L1668" s="269"/>
      <c r="M1668" s="511" t="str">
        <f>IFERROR(INDEX([1]Produtos!$C:$C,MATCH(L1668,[1]Produtos!$B:$B,0)), "-")</f>
        <v>-</v>
      </c>
      <c r="N1668" s="511" t="str">
        <f>IFERROR(INDEX([1]Produtos!$E:$E,MATCH(L1668,[1]Produtos!$B:$B,0)), "-")</f>
        <v>-</v>
      </c>
      <c r="O1668" s="483" t="str">
        <f>IFERROR(INDEX([1]Produtos!$F:$F,MATCH(L1668,[1]Produtos!$B:$B,0)), "-")</f>
        <v>-</v>
      </c>
      <c r="P1668" s="477" t="str">
        <f>IFERROR(INDEX([1]Produtos!$G:$G,MATCH(L1668,[1]Produtos!$B:$B,0)), "-")</f>
        <v>-</v>
      </c>
      <c r="Q1668" s="483" t="str">
        <f>IFERROR(INDEX([1]Produtos!$H:$H,MATCH(L1668,[1]Produtos!$B:$B,0)), "-")</f>
        <v>-</v>
      </c>
      <c r="R1668" s="483" t="str">
        <f>IFERROR(INDEX([1]Produtos!$I:$I,MATCH(L1668,[1]Produtos!$B:$B,0)), "-")</f>
        <v>-</v>
      </c>
      <c r="S1668" s="483" t="str">
        <f>IFERROR(INDEX([1]Produtos!$J:$J,MATCH(L1668,[1]Produtos!$B:$B,0)), "-")</f>
        <v>-</v>
      </c>
      <c r="T1668" s="484"/>
      <c r="U1668" s="483"/>
      <c r="V1668" s="483"/>
      <c r="W1668" s="483"/>
      <c r="X1668" s="483"/>
      <c r="Y1668" s="483"/>
      <c r="Z1668" s="483"/>
      <c r="AA1668" s="483"/>
      <c r="AB1668" s="483"/>
      <c r="AC1668" s="483"/>
      <c r="AD1668" s="483"/>
      <c r="AE1668" s="483"/>
      <c r="AF1668" s="483"/>
      <c r="AG1668" s="483"/>
      <c r="AH1668" s="483"/>
      <c r="AI1668" s="483"/>
      <c r="AJ1668" s="483"/>
      <c r="AK1668" s="483"/>
      <c r="AL1668" s="483"/>
      <c r="AM1668" s="670"/>
      <c r="AN1668" s="670"/>
      <c r="AO1668" s="711" t="str">
        <f>IF(OR(Table1[[#This Row],[Início Setup Envase]]="",Table1[[#This Row],[Final Setup Envase]]=""),"",Table1[[#This Row],[Final Setup Envase]]-Table1[[#This Row],[Início Setup Envase]])</f>
        <v/>
      </c>
      <c r="AP1668" s="670"/>
      <c r="AQ1668" s="670"/>
      <c r="AR1668" s="483"/>
      <c r="AS1668" s="483"/>
      <c r="AT1668" s="483"/>
      <c r="AU1668" s="483"/>
      <c r="AV1668" s="483"/>
      <c r="AW1668" s="483"/>
      <c r="AX1668" s="483"/>
      <c r="AY1668" s="270"/>
      <c r="AZ1668" s="270"/>
      <c r="BA1668" s="270" t="str">
        <f>IF(Table1[[#This Row],[Data de Início]]="","",YEAR(Table1[[#This Row],[Data de Início]]))</f>
        <v/>
      </c>
      <c r="BB1668" s="270" t="str">
        <f>IF(Table1[[#This Row],[Data de Início]]="","",MONTH(Table1[[#This Row],[Data de Início]]))</f>
        <v/>
      </c>
      <c r="BC1668" s="270"/>
    </row>
    <row r="1669" spans="2:55" x14ac:dyDescent="0.25">
      <c r="B1669" s="470"/>
      <c r="C1669" s="263"/>
      <c r="D1669" s="477" cm="1">
        <f t="array" ref="D1669">IFERROR(HorasUteisFabrica2Turnos(B1669,C1669), "")</f>
        <v>0</v>
      </c>
      <c r="E1669" s="697" t="str">
        <f t="shared" si="26"/>
        <v/>
      </c>
      <c r="F1669" s="266"/>
      <c r="G1669" s="698"/>
      <c r="H1669" s="266"/>
      <c r="I1669" s="268"/>
      <c r="J1669" s="268"/>
      <c r="K1669" s="268"/>
      <c r="L1669" s="269"/>
      <c r="M1669" s="510" t="str">
        <f>IFERROR(INDEX([1]Produtos!$C:$C,MATCH(L1669,[1]Produtos!$B:$B,0)), "-")</f>
        <v>-</v>
      </c>
      <c r="N1669" s="510" t="str">
        <f>IFERROR(INDEX([1]Produtos!$E:$E,MATCH(L1669,[1]Produtos!$B:$B,0)), "-")</f>
        <v>-</v>
      </c>
      <c r="O1669" s="270" t="str">
        <f>IFERROR(INDEX([1]Produtos!$F:$F,MATCH(L1669,[1]Produtos!$B:$B,0)), "-")</f>
        <v>-</v>
      </c>
      <c r="P1669" s="264" t="str">
        <f>IFERROR(INDEX([1]Produtos!$G:$G,MATCH(L1669,[1]Produtos!$B:$B,0)), "-")</f>
        <v>-</v>
      </c>
      <c r="Q1669" s="270" t="str">
        <f>IFERROR(INDEX([1]Produtos!$H:$H,MATCH(L1669,[1]Produtos!$B:$B,0)), "-")</f>
        <v>-</v>
      </c>
      <c r="R1669" s="270" t="str">
        <f>IFERROR(INDEX([1]Produtos!$I:$I,MATCH(L1669,[1]Produtos!$B:$B,0)), "-")</f>
        <v>-</v>
      </c>
      <c r="S1669" s="270" t="str">
        <f>IFERROR(INDEX([1]Produtos!$J:$J,MATCH(L1669,[1]Produtos!$B:$B,0)), "-")</f>
        <v>-</v>
      </c>
      <c r="T1669" s="475"/>
      <c r="U1669" s="270"/>
      <c r="V1669" s="270"/>
      <c r="W1669" s="270"/>
      <c r="X1669" s="270"/>
      <c r="Y1669" s="270"/>
      <c r="Z1669" s="270"/>
      <c r="AA1669" s="270"/>
      <c r="AB1669" s="270"/>
      <c r="AC1669" s="270"/>
      <c r="AD1669" s="270"/>
      <c r="AE1669" s="270"/>
      <c r="AF1669" s="270"/>
      <c r="AG1669" s="270"/>
      <c r="AH1669" s="270"/>
      <c r="AI1669" s="270"/>
      <c r="AJ1669" s="270"/>
      <c r="AK1669" s="270"/>
      <c r="AL1669" s="270"/>
      <c r="AM1669" s="663"/>
      <c r="AN1669" s="663"/>
      <c r="AO1669" s="708" t="str">
        <f>IF(OR(Table1[[#This Row],[Início Setup Envase]]="",Table1[[#This Row],[Final Setup Envase]]=""),"",Table1[[#This Row],[Final Setup Envase]]-Table1[[#This Row],[Início Setup Envase]])</f>
        <v/>
      </c>
      <c r="AP1669" s="663"/>
      <c r="AQ1669" s="663"/>
      <c r="AR1669" s="270"/>
      <c r="AS1669" s="674"/>
      <c r="AT1669" s="674"/>
      <c r="AU1669" s="270"/>
      <c r="AV1669" s="270"/>
      <c r="AW1669" s="270"/>
      <c r="AX1669" s="270"/>
      <c r="AY1669" s="270"/>
      <c r="AZ1669" s="270"/>
      <c r="BA1669" s="270" t="str">
        <f>IF(Table1[[#This Row],[Data de Início]]="","",YEAR(Table1[[#This Row],[Data de Início]]))</f>
        <v/>
      </c>
      <c r="BB1669" s="270" t="str">
        <f>IF(Table1[[#This Row],[Data de Início]]="","",MONTH(Table1[[#This Row],[Data de Início]]))</f>
        <v/>
      </c>
      <c r="BC1669" s="483"/>
    </row>
    <row r="1670" spans="2:55" x14ac:dyDescent="0.25">
      <c r="B1670" s="470"/>
      <c r="C1670" s="263"/>
      <c r="D1670" s="477" cm="1">
        <f t="array" ref="D1670">IFERROR(HorasUteisFabrica2Turnos(B1670,C1670), "")</f>
        <v>0</v>
      </c>
      <c r="E1670" s="478" t="str">
        <f t="shared" si="26"/>
        <v/>
      </c>
      <c r="F1670" s="266"/>
      <c r="G1670" s="656"/>
      <c r="H1670" s="479"/>
      <c r="I1670" s="268"/>
      <c r="J1670" s="268"/>
      <c r="K1670" s="268"/>
      <c r="L1670" s="269"/>
      <c r="M1670" s="511" t="str">
        <f>IFERROR(INDEX([1]Produtos!$C:$C,MATCH(L1670,[1]Produtos!$B:$B,0)), "-")</f>
        <v>-</v>
      </c>
      <c r="N1670" s="511" t="str">
        <f>IFERROR(INDEX([1]Produtos!$E:$E,MATCH(L1670,[1]Produtos!$B:$B,0)), "-")</f>
        <v>-</v>
      </c>
      <c r="O1670" s="483" t="str">
        <f>IFERROR(INDEX([1]Produtos!$F:$F,MATCH(L1670,[1]Produtos!$B:$B,0)), "-")</f>
        <v>-</v>
      </c>
      <c r="P1670" s="477" t="str">
        <f>IFERROR(INDEX([1]Produtos!$G:$G,MATCH(L1670,[1]Produtos!$B:$B,0)), "-")</f>
        <v>-</v>
      </c>
      <c r="Q1670" s="483" t="str">
        <f>IFERROR(INDEX([1]Produtos!$H:$H,MATCH(L1670,[1]Produtos!$B:$B,0)), "-")</f>
        <v>-</v>
      </c>
      <c r="R1670" s="483" t="str">
        <f>IFERROR(INDEX([1]Produtos!$I:$I,MATCH(L1670,[1]Produtos!$B:$B,0)), "-")</f>
        <v>-</v>
      </c>
      <c r="S1670" s="483" t="str">
        <f>IFERROR(INDEX([1]Produtos!$J:$J,MATCH(L1670,[1]Produtos!$B:$B,0)), "-")</f>
        <v>-</v>
      </c>
      <c r="T1670" s="484"/>
      <c r="U1670" s="483"/>
      <c r="V1670" s="483"/>
      <c r="W1670" s="483"/>
      <c r="X1670" s="483"/>
      <c r="Y1670" s="483"/>
      <c r="Z1670" s="483"/>
      <c r="AA1670" s="483"/>
      <c r="AB1670" s="483"/>
      <c r="AC1670" s="483"/>
      <c r="AD1670" s="483"/>
      <c r="AE1670" s="483"/>
      <c r="AF1670" s="483"/>
      <c r="AG1670" s="483"/>
      <c r="AH1670" s="483"/>
      <c r="AI1670" s="483"/>
      <c r="AJ1670" s="483"/>
      <c r="AK1670" s="483"/>
      <c r="AL1670" s="483"/>
      <c r="AM1670" s="670"/>
      <c r="AN1670" s="670"/>
      <c r="AO1670" s="711" t="str">
        <f>IF(OR(Table1[[#This Row],[Início Setup Envase]]="",Table1[[#This Row],[Final Setup Envase]]=""),"",Table1[[#This Row],[Final Setup Envase]]-Table1[[#This Row],[Início Setup Envase]])</f>
        <v/>
      </c>
      <c r="AP1670" s="670"/>
      <c r="AQ1670" s="670"/>
      <c r="AR1670" s="483"/>
      <c r="AS1670" s="483"/>
      <c r="AT1670" s="483"/>
      <c r="AU1670" s="483"/>
      <c r="AV1670" s="483"/>
      <c r="AW1670" s="483"/>
      <c r="AX1670" s="483"/>
      <c r="AY1670" s="270"/>
      <c r="AZ1670" s="270"/>
      <c r="BA1670" s="270" t="str">
        <f>IF(Table1[[#This Row],[Data de Início]]="","",YEAR(Table1[[#This Row],[Data de Início]]))</f>
        <v/>
      </c>
      <c r="BB1670" s="270" t="str">
        <f>IF(Table1[[#This Row],[Data de Início]]="","",MONTH(Table1[[#This Row],[Data de Início]]))</f>
        <v/>
      </c>
      <c r="BC1670" s="270"/>
    </row>
    <row r="1671" spans="2:55" x14ac:dyDescent="0.25">
      <c r="B1671" s="470"/>
      <c r="C1671" s="263"/>
      <c r="D1671" s="477" cm="1">
        <f t="array" ref="D1671">IFERROR(HorasUteisFabrica2Turnos(B1671,C1671), "")</f>
        <v>0</v>
      </c>
      <c r="E1671" s="697" t="str">
        <f t="shared" si="26"/>
        <v/>
      </c>
      <c r="F1671" s="266"/>
      <c r="G1671" s="698"/>
      <c r="H1671" s="266"/>
      <c r="I1671" s="268"/>
      <c r="J1671" s="268"/>
      <c r="K1671" s="268"/>
      <c r="L1671" s="269"/>
      <c r="M1671" s="510" t="str">
        <f>IFERROR(INDEX([1]Produtos!$C:$C,MATCH(L1671,[1]Produtos!$B:$B,0)), "-")</f>
        <v>-</v>
      </c>
      <c r="N1671" s="510" t="str">
        <f>IFERROR(INDEX([1]Produtos!$E:$E,MATCH(L1671,[1]Produtos!$B:$B,0)), "-")</f>
        <v>-</v>
      </c>
      <c r="O1671" s="270" t="str">
        <f>IFERROR(INDEX([1]Produtos!$F:$F,MATCH(L1671,[1]Produtos!$B:$B,0)), "-")</f>
        <v>-</v>
      </c>
      <c r="P1671" s="264" t="str">
        <f>IFERROR(INDEX([1]Produtos!$G:$G,MATCH(L1671,[1]Produtos!$B:$B,0)), "-")</f>
        <v>-</v>
      </c>
      <c r="Q1671" s="270" t="str">
        <f>IFERROR(INDEX([1]Produtos!$H:$H,MATCH(L1671,[1]Produtos!$B:$B,0)), "-")</f>
        <v>-</v>
      </c>
      <c r="R1671" s="270" t="str">
        <f>IFERROR(INDEX([1]Produtos!$I:$I,MATCH(L1671,[1]Produtos!$B:$B,0)), "-")</f>
        <v>-</v>
      </c>
      <c r="S1671" s="270" t="str">
        <f>IFERROR(INDEX([1]Produtos!$J:$J,MATCH(L1671,[1]Produtos!$B:$B,0)), "-")</f>
        <v>-</v>
      </c>
      <c r="T1671" s="475"/>
      <c r="U1671" s="270"/>
      <c r="V1671" s="270"/>
      <c r="W1671" s="270"/>
      <c r="X1671" s="270"/>
      <c r="Y1671" s="270"/>
      <c r="Z1671" s="270"/>
      <c r="AA1671" s="270"/>
      <c r="AB1671" s="270"/>
      <c r="AC1671" s="270"/>
      <c r="AD1671" s="270"/>
      <c r="AE1671" s="270"/>
      <c r="AF1671" s="270"/>
      <c r="AG1671" s="270"/>
      <c r="AH1671" s="270"/>
      <c r="AI1671" s="270"/>
      <c r="AJ1671" s="270"/>
      <c r="AK1671" s="270"/>
      <c r="AL1671" s="270"/>
      <c r="AM1671" s="663"/>
      <c r="AN1671" s="663"/>
      <c r="AO1671" s="708" t="str">
        <f>IF(OR(Table1[[#This Row],[Início Setup Envase]]="",Table1[[#This Row],[Final Setup Envase]]=""),"",Table1[[#This Row],[Final Setup Envase]]-Table1[[#This Row],[Início Setup Envase]])</f>
        <v/>
      </c>
      <c r="AP1671" s="663"/>
      <c r="AQ1671" s="663"/>
      <c r="AR1671" s="270"/>
      <c r="AS1671" s="674"/>
      <c r="AT1671" s="674"/>
      <c r="AU1671" s="270"/>
      <c r="AV1671" s="270"/>
      <c r="AW1671" s="270"/>
      <c r="AX1671" s="270"/>
      <c r="AY1671" s="270"/>
      <c r="AZ1671" s="270"/>
      <c r="BA1671" s="270" t="str">
        <f>IF(Table1[[#This Row],[Data de Início]]="","",YEAR(Table1[[#This Row],[Data de Início]]))</f>
        <v/>
      </c>
      <c r="BB1671" s="270" t="str">
        <f>IF(Table1[[#This Row],[Data de Início]]="","",MONTH(Table1[[#This Row],[Data de Início]]))</f>
        <v/>
      </c>
      <c r="BC1671" s="483"/>
    </row>
    <row r="1672" spans="2:55" x14ac:dyDescent="0.25">
      <c r="B1672" s="470"/>
      <c r="C1672" s="263"/>
      <c r="D1672" s="477" cm="1">
        <f t="array" ref="D1672">IFERROR(HorasUteisFabrica2Turnos(B1672,C1672), "")</f>
        <v>0</v>
      </c>
      <c r="E1672" s="478" t="str">
        <f t="shared" si="26"/>
        <v/>
      </c>
      <c r="F1672" s="266"/>
      <c r="G1672" s="656"/>
      <c r="H1672" s="479"/>
      <c r="I1672" s="268"/>
      <c r="J1672" s="268"/>
      <c r="K1672" s="268"/>
      <c r="L1672" s="269"/>
      <c r="M1672" s="511" t="str">
        <f>IFERROR(INDEX([1]Produtos!$C:$C,MATCH(L1672,[1]Produtos!$B:$B,0)), "-")</f>
        <v>-</v>
      </c>
      <c r="N1672" s="511" t="str">
        <f>IFERROR(INDEX([1]Produtos!$E:$E,MATCH(L1672,[1]Produtos!$B:$B,0)), "-")</f>
        <v>-</v>
      </c>
      <c r="O1672" s="483" t="str">
        <f>IFERROR(INDEX([1]Produtos!$F:$F,MATCH(L1672,[1]Produtos!$B:$B,0)), "-")</f>
        <v>-</v>
      </c>
      <c r="P1672" s="477" t="str">
        <f>IFERROR(INDEX([1]Produtos!$G:$G,MATCH(L1672,[1]Produtos!$B:$B,0)), "-")</f>
        <v>-</v>
      </c>
      <c r="Q1672" s="483" t="str">
        <f>IFERROR(INDEX([1]Produtos!$H:$H,MATCH(L1672,[1]Produtos!$B:$B,0)), "-")</f>
        <v>-</v>
      </c>
      <c r="R1672" s="483" t="str">
        <f>IFERROR(INDEX([1]Produtos!$I:$I,MATCH(L1672,[1]Produtos!$B:$B,0)), "-")</f>
        <v>-</v>
      </c>
      <c r="S1672" s="483" t="str">
        <f>IFERROR(INDEX([1]Produtos!$J:$J,MATCH(L1672,[1]Produtos!$B:$B,0)), "-")</f>
        <v>-</v>
      </c>
      <c r="T1672" s="484"/>
      <c r="U1672" s="483"/>
      <c r="V1672" s="483"/>
      <c r="W1672" s="483"/>
      <c r="X1672" s="483"/>
      <c r="Y1672" s="483"/>
      <c r="Z1672" s="483"/>
      <c r="AA1672" s="483"/>
      <c r="AB1672" s="483"/>
      <c r="AC1672" s="483"/>
      <c r="AD1672" s="483"/>
      <c r="AE1672" s="483"/>
      <c r="AF1672" s="483"/>
      <c r="AG1672" s="483"/>
      <c r="AH1672" s="483"/>
      <c r="AI1672" s="483"/>
      <c r="AJ1672" s="483"/>
      <c r="AK1672" s="483"/>
      <c r="AL1672" s="483"/>
      <c r="AM1672" s="670"/>
      <c r="AN1672" s="670"/>
      <c r="AO1672" s="711" t="str">
        <f>IF(OR(Table1[[#This Row],[Início Setup Envase]]="",Table1[[#This Row],[Final Setup Envase]]=""),"",Table1[[#This Row],[Final Setup Envase]]-Table1[[#This Row],[Início Setup Envase]])</f>
        <v/>
      </c>
      <c r="AP1672" s="670"/>
      <c r="AQ1672" s="670"/>
      <c r="AR1672" s="483"/>
      <c r="AS1672" s="483"/>
      <c r="AT1672" s="483"/>
      <c r="AU1672" s="483"/>
      <c r="AV1672" s="483"/>
      <c r="AW1672" s="483"/>
      <c r="AX1672" s="483"/>
      <c r="AY1672" s="270"/>
      <c r="AZ1672" s="270"/>
      <c r="BA1672" s="270" t="str">
        <f>IF(Table1[[#This Row],[Data de Início]]="","",YEAR(Table1[[#This Row],[Data de Início]]))</f>
        <v/>
      </c>
      <c r="BB1672" s="270" t="str">
        <f>IF(Table1[[#This Row],[Data de Início]]="","",MONTH(Table1[[#This Row],[Data de Início]]))</f>
        <v/>
      </c>
      <c r="BC1672" s="270"/>
    </row>
    <row r="1673" spans="2:55" x14ac:dyDescent="0.25">
      <c r="B1673" s="470"/>
      <c r="C1673" s="263"/>
      <c r="D1673" s="477" cm="1">
        <f t="array" ref="D1673">IFERROR(HorasUteisFabrica2Turnos(B1673,C1673), "")</f>
        <v>0</v>
      </c>
      <c r="E1673" s="697" t="str">
        <f t="shared" si="26"/>
        <v/>
      </c>
      <c r="F1673" s="266"/>
      <c r="G1673" s="698"/>
      <c r="H1673" s="266"/>
      <c r="I1673" s="268"/>
      <c r="J1673" s="268"/>
      <c r="K1673" s="268"/>
      <c r="L1673" s="269"/>
      <c r="M1673" s="510" t="str">
        <f>IFERROR(INDEX([1]Produtos!$C:$C,MATCH(L1673,[1]Produtos!$B:$B,0)), "-")</f>
        <v>-</v>
      </c>
      <c r="N1673" s="510" t="str">
        <f>IFERROR(INDEX([1]Produtos!$E:$E,MATCH(L1673,[1]Produtos!$B:$B,0)), "-")</f>
        <v>-</v>
      </c>
      <c r="O1673" s="270" t="str">
        <f>IFERROR(INDEX([1]Produtos!$F:$F,MATCH(L1673,[1]Produtos!$B:$B,0)), "-")</f>
        <v>-</v>
      </c>
      <c r="P1673" s="264" t="str">
        <f>IFERROR(INDEX([1]Produtos!$G:$G,MATCH(L1673,[1]Produtos!$B:$B,0)), "-")</f>
        <v>-</v>
      </c>
      <c r="Q1673" s="270" t="str">
        <f>IFERROR(INDEX([1]Produtos!$H:$H,MATCH(L1673,[1]Produtos!$B:$B,0)), "-")</f>
        <v>-</v>
      </c>
      <c r="R1673" s="270" t="str">
        <f>IFERROR(INDEX([1]Produtos!$I:$I,MATCH(L1673,[1]Produtos!$B:$B,0)), "-")</f>
        <v>-</v>
      </c>
      <c r="S1673" s="270" t="str">
        <f>IFERROR(INDEX([1]Produtos!$J:$J,MATCH(L1673,[1]Produtos!$B:$B,0)), "-")</f>
        <v>-</v>
      </c>
      <c r="T1673" s="475"/>
      <c r="U1673" s="270"/>
      <c r="V1673" s="270"/>
      <c r="W1673" s="270"/>
      <c r="X1673" s="270"/>
      <c r="Y1673" s="270"/>
      <c r="Z1673" s="270"/>
      <c r="AA1673" s="270"/>
      <c r="AB1673" s="270"/>
      <c r="AC1673" s="270"/>
      <c r="AD1673" s="270"/>
      <c r="AE1673" s="270"/>
      <c r="AF1673" s="270"/>
      <c r="AG1673" s="270"/>
      <c r="AH1673" s="270"/>
      <c r="AI1673" s="270"/>
      <c r="AJ1673" s="270"/>
      <c r="AK1673" s="270"/>
      <c r="AL1673" s="270"/>
      <c r="AM1673" s="663"/>
      <c r="AN1673" s="663"/>
      <c r="AO1673" s="708" t="str">
        <f>IF(OR(Table1[[#This Row],[Início Setup Envase]]="",Table1[[#This Row],[Final Setup Envase]]=""),"",Table1[[#This Row],[Final Setup Envase]]-Table1[[#This Row],[Início Setup Envase]])</f>
        <v/>
      </c>
      <c r="AP1673" s="663"/>
      <c r="AQ1673" s="663"/>
      <c r="AR1673" s="270"/>
      <c r="AS1673" s="674"/>
      <c r="AT1673" s="674"/>
      <c r="AU1673" s="270"/>
      <c r="AV1673" s="270"/>
      <c r="AW1673" s="270"/>
      <c r="AX1673" s="270"/>
      <c r="AY1673" s="270"/>
      <c r="AZ1673" s="270"/>
      <c r="BA1673" s="270" t="str">
        <f>IF(Table1[[#This Row],[Data de Início]]="","",YEAR(Table1[[#This Row],[Data de Início]]))</f>
        <v/>
      </c>
      <c r="BB1673" s="270" t="str">
        <f>IF(Table1[[#This Row],[Data de Início]]="","",MONTH(Table1[[#This Row],[Data de Início]]))</f>
        <v/>
      </c>
      <c r="BC1673" s="483"/>
    </row>
    <row r="1674" spans="2:55" x14ac:dyDescent="0.25">
      <c r="B1674" s="470"/>
      <c r="C1674" s="263"/>
      <c r="D1674" s="477" cm="1">
        <f t="array" ref="D1674">IFERROR(HorasUteisFabrica2Turnos(B1674,C1674), "")</f>
        <v>0</v>
      </c>
      <c r="E1674" s="478" t="str">
        <f t="shared" si="26"/>
        <v/>
      </c>
      <c r="F1674" s="266"/>
      <c r="G1674" s="656"/>
      <c r="H1674" s="479"/>
      <c r="I1674" s="268"/>
      <c r="J1674" s="268"/>
      <c r="K1674" s="268"/>
      <c r="L1674" s="269"/>
      <c r="M1674" s="511" t="str">
        <f>IFERROR(INDEX([1]Produtos!$C:$C,MATCH(L1674,[1]Produtos!$B:$B,0)), "-")</f>
        <v>-</v>
      </c>
      <c r="N1674" s="511" t="str">
        <f>IFERROR(INDEX([1]Produtos!$E:$E,MATCH(L1674,[1]Produtos!$B:$B,0)), "-")</f>
        <v>-</v>
      </c>
      <c r="O1674" s="483" t="str">
        <f>IFERROR(INDEX([1]Produtos!$F:$F,MATCH(L1674,[1]Produtos!$B:$B,0)), "-")</f>
        <v>-</v>
      </c>
      <c r="P1674" s="477" t="str">
        <f>IFERROR(INDEX([1]Produtos!$G:$G,MATCH(L1674,[1]Produtos!$B:$B,0)), "-")</f>
        <v>-</v>
      </c>
      <c r="Q1674" s="483" t="str">
        <f>IFERROR(INDEX([1]Produtos!$H:$H,MATCH(L1674,[1]Produtos!$B:$B,0)), "-")</f>
        <v>-</v>
      </c>
      <c r="R1674" s="483" t="str">
        <f>IFERROR(INDEX([1]Produtos!$I:$I,MATCH(L1674,[1]Produtos!$B:$B,0)), "-")</f>
        <v>-</v>
      </c>
      <c r="S1674" s="483" t="str">
        <f>IFERROR(INDEX([1]Produtos!$J:$J,MATCH(L1674,[1]Produtos!$B:$B,0)), "-")</f>
        <v>-</v>
      </c>
      <c r="T1674" s="484"/>
      <c r="U1674" s="483"/>
      <c r="V1674" s="483"/>
      <c r="W1674" s="483"/>
      <c r="X1674" s="483"/>
      <c r="Y1674" s="483"/>
      <c r="Z1674" s="483"/>
      <c r="AA1674" s="483"/>
      <c r="AB1674" s="483"/>
      <c r="AC1674" s="483"/>
      <c r="AD1674" s="483"/>
      <c r="AE1674" s="483"/>
      <c r="AF1674" s="483"/>
      <c r="AG1674" s="483"/>
      <c r="AH1674" s="483"/>
      <c r="AI1674" s="483"/>
      <c r="AJ1674" s="483"/>
      <c r="AK1674" s="483"/>
      <c r="AL1674" s="483"/>
      <c r="AM1674" s="670"/>
      <c r="AN1674" s="670"/>
      <c r="AO1674" s="711" t="str">
        <f>IF(OR(Table1[[#This Row],[Início Setup Envase]]="",Table1[[#This Row],[Final Setup Envase]]=""),"",Table1[[#This Row],[Final Setup Envase]]-Table1[[#This Row],[Início Setup Envase]])</f>
        <v/>
      </c>
      <c r="AP1674" s="670"/>
      <c r="AQ1674" s="670"/>
      <c r="AR1674" s="483"/>
      <c r="AS1674" s="483"/>
      <c r="AT1674" s="483"/>
      <c r="AU1674" s="483"/>
      <c r="AV1674" s="483"/>
      <c r="AW1674" s="483"/>
      <c r="AX1674" s="483"/>
      <c r="AY1674" s="270"/>
      <c r="AZ1674" s="270"/>
      <c r="BA1674" s="270" t="str">
        <f>IF(Table1[[#This Row],[Data de Início]]="","",YEAR(Table1[[#This Row],[Data de Início]]))</f>
        <v/>
      </c>
      <c r="BB1674" s="270" t="str">
        <f>IF(Table1[[#This Row],[Data de Início]]="","",MONTH(Table1[[#This Row],[Data de Início]]))</f>
        <v/>
      </c>
      <c r="BC1674" s="270"/>
    </row>
    <row r="1675" spans="2:55" x14ac:dyDescent="0.25">
      <c r="B1675" s="470"/>
      <c r="C1675" s="263"/>
      <c r="D1675" s="477" cm="1">
        <f t="array" ref="D1675">IFERROR(HorasUteisFabrica2Turnos(B1675,C1675), "")</f>
        <v>0</v>
      </c>
      <c r="E1675" s="697" t="str">
        <f t="shared" si="26"/>
        <v/>
      </c>
      <c r="F1675" s="266"/>
      <c r="G1675" s="698"/>
      <c r="H1675" s="266"/>
      <c r="I1675" s="268"/>
      <c r="J1675" s="268"/>
      <c r="K1675" s="268"/>
      <c r="L1675" s="269"/>
      <c r="M1675" s="510" t="str">
        <f>IFERROR(INDEX([1]Produtos!$C:$C,MATCH(L1675,[1]Produtos!$B:$B,0)), "-")</f>
        <v>-</v>
      </c>
      <c r="N1675" s="510" t="str">
        <f>IFERROR(INDEX([1]Produtos!$E:$E,MATCH(L1675,[1]Produtos!$B:$B,0)), "-")</f>
        <v>-</v>
      </c>
      <c r="O1675" s="270" t="str">
        <f>IFERROR(INDEX([1]Produtos!$F:$F,MATCH(L1675,[1]Produtos!$B:$B,0)), "-")</f>
        <v>-</v>
      </c>
      <c r="P1675" s="264" t="str">
        <f>IFERROR(INDEX([1]Produtos!$G:$G,MATCH(L1675,[1]Produtos!$B:$B,0)), "-")</f>
        <v>-</v>
      </c>
      <c r="Q1675" s="270" t="str">
        <f>IFERROR(INDEX([1]Produtos!$H:$H,MATCH(L1675,[1]Produtos!$B:$B,0)), "-")</f>
        <v>-</v>
      </c>
      <c r="R1675" s="270" t="str">
        <f>IFERROR(INDEX([1]Produtos!$I:$I,MATCH(L1675,[1]Produtos!$B:$B,0)), "-")</f>
        <v>-</v>
      </c>
      <c r="S1675" s="270" t="str">
        <f>IFERROR(INDEX([1]Produtos!$J:$J,MATCH(L1675,[1]Produtos!$B:$B,0)), "-")</f>
        <v>-</v>
      </c>
      <c r="T1675" s="475"/>
      <c r="U1675" s="270"/>
      <c r="V1675" s="270"/>
      <c r="W1675" s="270"/>
      <c r="X1675" s="270"/>
      <c r="Y1675" s="270"/>
      <c r="Z1675" s="270"/>
      <c r="AA1675" s="270"/>
      <c r="AB1675" s="270"/>
      <c r="AC1675" s="270"/>
      <c r="AD1675" s="270"/>
      <c r="AE1675" s="270"/>
      <c r="AF1675" s="270"/>
      <c r="AG1675" s="270"/>
      <c r="AH1675" s="270"/>
      <c r="AI1675" s="270"/>
      <c r="AJ1675" s="270"/>
      <c r="AK1675" s="270"/>
      <c r="AL1675" s="270"/>
      <c r="AM1675" s="663"/>
      <c r="AN1675" s="663"/>
      <c r="AO1675" s="708" t="str">
        <f>IF(OR(Table1[[#This Row],[Início Setup Envase]]="",Table1[[#This Row],[Final Setup Envase]]=""),"",Table1[[#This Row],[Final Setup Envase]]-Table1[[#This Row],[Início Setup Envase]])</f>
        <v/>
      </c>
      <c r="AP1675" s="663"/>
      <c r="AQ1675" s="663"/>
      <c r="AR1675" s="270"/>
      <c r="AS1675" s="674"/>
      <c r="AT1675" s="674"/>
      <c r="AU1675" s="270"/>
      <c r="AV1675" s="270"/>
      <c r="AW1675" s="270"/>
      <c r="AX1675" s="270"/>
      <c r="AY1675" s="270"/>
      <c r="AZ1675" s="270"/>
      <c r="BA1675" s="270" t="str">
        <f>IF(Table1[[#This Row],[Data de Início]]="","",YEAR(Table1[[#This Row],[Data de Início]]))</f>
        <v/>
      </c>
      <c r="BB1675" s="270" t="str">
        <f>IF(Table1[[#This Row],[Data de Início]]="","",MONTH(Table1[[#This Row],[Data de Início]]))</f>
        <v/>
      </c>
      <c r="BC1675" s="483"/>
    </row>
    <row r="1676" spans="2:55" x14ac:dyDescent="0.25">
      <c r="B1676" s="470"/>
      <c r="C1676" s="263"/>
      <c r="D1676" s="477" cm="1">
        <f t="array" ref="D1676">IFERROR(HorasUteisFabrica2Turnos(B1676,C1676), "")</f>
        <v>0</v>
      </c>
      <c r="E1676" s="478" t="str">
        <f t="shared" si="26"/>
        <v/>
      </c>
      <c r="F1676" s="266"/>
      <c r="G1676" s="656"/>
      <c r="H1676" s="479"/>
      <c r="I1676" s="268"/>
      <c r="J1676" s="268"/>
      <c r="K1676" s="268"/>
      <c r="L1676" s="269"/>
      <c r="M1676" s="511" t="str">
        <f>IFERROR(INDEX([1]Produtos!$C:$C,MATCH(L1676,[1]Produtos!$B:$B,0)), "-")</f>
        <v>-</v>
      </c>
      <c r="N1676" s="511" t="str">
        <f>IFERROR(INDEX([1]Produtos!$E:$E,MATCH(L1676,[1]Produtos!$B:$B,0)), "-")</f>
        <v>-</v>
      </c>
      <c r="O1676" s="483" t="str">
        <f>IFERROR(INDEX([1]Produtos!$F:$F,MATCH(L1676,[1]Produtos!$B:$B,0)), "-")</f>
        <v>-</v>
      </c>
      <c r="P1676" s="477" t="str">
        <f>IFERROR(INDEX([1]Produtos!$G:$G,MATCH(L1676,[1]Produtos!$B:$B,0)), "-")</f>
        <v>-</v>
      </c>
      <c r="Q1676" s="483" t="str">
        <f>IFERROR(INDEX([1]Produtos!$H:$H,MATCH(L1676,[1]Produtos!$B:$B,0)), "-")</f>
        <v>-</v>
      </c>
      <c r="R1676" s="483" t="str">
        <f>IFERROR(INDEX([1]Produtos!$I:$I,MATCH(L1676,[1]Produtos!$B:$B,0)), "-")</f>
        <v>-</v>
      </c>
      <c r="S1676" s="483" t="str">
        <f>IFERROR(INDEX([1]Produtos!$J:$J,MATCH(L1676,[1]Produtos!$B:$B,0)), "-")</f>
        <v>-</v>
      </c>
      <c r="T1676" s="484"/>
      <c r="U1676" s="483"/>
      <c r="V1676" s="483"/>
      <c r="W1676" s="483"/>
      <c r="X1676" s="483"/>
      <c r="Y1676" s="483"/>
      <c r="Z1676" s="483"/>
      <c r="AA1676" s="483"/>
      <c r="AB1676" s="483"/>
      <c r="AC1676" s="483"/>
      <c r="AD1676" s="483"/>
      <c r="AE1676" s="483"/>
      <c r="AF1676" s="483"/>
      <c r="AG1676" s="483"/>
      <c r="AH1676" s="483"/>
      <c r="AI1676" s="483"/>
      <c r="AJ1676" s="483"/>
      <c r="AK1676" s="483"/>
      <c r="AL1676" s="483"/>
      <c r="AM1676" s="670"/>
      <c r="AN1676" s="670"/>
      <c r="AO1676" s="711" t="str">
        <f>IF(OR(Table1[[#This Row],[Início Setup Envase]]="",Table1[[#This Row],[Final Setup Envase]]=""),"",Table1[[#This Row],[Final Setup Envase]]-Table1[[#This Row],[Início Setup Envase]])</f>
        <v/>
      </c>
      <c r="AP1676" s="670"/>
      <c r="AQ1676" s="670"/>
      <c r="AR1676" s="483"/>
      <c r="AS1676" s="483"/>
      <c r="AT1676" s="483"/>
      <c r="AU1676" s="483"/>
      <c r="AV1676" s="483"/>
      <c r="AW1676" s="483"/>
      <c r="AX1676" s="483"/>
      <c r="AY1676" s="270"/>
      <c r="AZ1676" s="270"/>
      <c r="BA1676" s="270" t="str">
        <f>IF(Table1[[#This Row],[Data de Início]]="","",YEAR(Table1[[#This Row],[Data de Início]]))</f>
        <v/>
      </c>
      <c r="BB1676" s="270" t="str">
        <f>IF(Table1[[#This Row],[Data de Início]]="","",MONTH(Table1[[#This Row],[Data de Início]]))</f>
        <v/>
      </c>
      <c r="BC1676" s="270"/>
    </row>
    <row r="1677" spans="2:55" x14ac:dyDescent="0.25">
      <c r="B1677" s="470"/>
      <c r="C1677" s="263"/>
      <c r="D1677" s="477" cm="1">
        <f t="array" ref="D1677">IFERROR(HorasUteisFabrica2Turnos(B1677,C1677), "")</f>
        <v>0</v>
      </c>
      <c r="E1677" s="697" t="str">
        <f t="shared" si="26"/>
        <v/>
      </c>
      <c r="F1677" s="266"/>
      <c r="G1677" s="698"/>
      <c r="H1677" s="266"/>
      <c r="I1677" s="268"/>
      <c r="J1677" s="268"/>
      <c r="K1677" s="268"/>
      <c r="L1677" s="269"/>
      <c r="M1677" s="510" t="str">
        <f>IFERROR(INDEX([1]Produtos!$C:$C,MATCH(L1677,[1]Produtos!$B:$B,0)), "-")</f>
        <v>-</v>
      </c>
      <c r="N1677" s="510" t="str">
        <f>IFERROR(INDEX([1]Produtos!$E:$E,MATCH(L1677,[1]Produtos!$B:$B,0)), "-")</f>
        <v>-</v>
      </c>
      <c r="O1677" s="270" t="str">
        <f>IFERROR(INDEX([1]Produtos!$F:$F,MATCH(L1677,[1]Produtos!$B:$B,0)), "-")</f>
        <v>-</v>
      </c>
      <c r="P1677" s="264" t="str">
        <f>IFERROR(INDEX([1]Produtos!$G:$G,MATCH(L1677,[1]Produtos!$B:$B,0)), "-")</f>
        <v>-</v>
      </c>
      <c r="Q1677" s="270" t="str">
        <f>IFERROR(INDEX([1]Produtos!$H:$H,MATCH(L1677,[1]Produtos!$B:$B,0)), "-")</f>
        <v>-</v>
      </c>
      <c r="R1677" s="270" t="str">
        <f>IFERROR(INDEX([1]Produtos!$I:$I,MATCH(L1677,[1]Produtos!$B:$B,0)), "-")</f>
        <v>-</v>
      </c>
      <c r="S1677" s="270" t="str">
        <f>IFERROR(INDEX([1]Produtos!$J:$J,MATCH(L1677,[1]Produtos!$B:$B,0)), "-")</f>
        <v>-</v>
      </c>
      <c r="T1677" s="475"/>
      <c r="U1677" s="270"/>
      <c r="V1677" s="270"/>
      <c r="W1677" s="270"/>
      <c r="X1677" s="270"/>
      <c r="Y1677" s="270"/>
      <c r="Z1677" s="270"/>
      <c r="AA1677" s="270"/>
      <c r="AB1677" s="270"/>
      <c r="AC1677" s="270"/>
      <c r="AD1677" s="270"/>
      <c r="AE1677" s="270"/>
      <c r="AF1677" s="270"/>
      <c r="AG1677" s="270"/>
      <c r="AH1677" s="270"/>
      <c r="AI1677" s="270"/>
      <c r="AJ1677" s="270"/>
      <c r="AK1677" s="270"/>
      <c r="AL1677" s="270"/>
      <c r="AM1677" s="663"/>
      <c r="AN1677" s="663"/>
      <c r="AO1677" s="708" t="str">
        <f>IF(OR(Table1[[#This Row],[Início Setup Envase]]="",Table1[[#This Row],[Final Setup Envase]]=""),"",Table1[[#This Row],[Final Setup Envase]]-Table1[[#This Row],[Início Setup Envase]])</f>
        <v/>
      </c>
      <c r="AP1677" s="663"/>
      <c r="AQ1677" s="663"/>
      <c r="AR1677" s="270"/>
      <c r="AS1677" s="674"/>
      <c r="AT1677" s="674"/>
      <c r="AU1677" s="270"/>
      <c r="AV1677" s="270"/>
      <c r="AW1677" s="270"/>
      <c r="AX1677" s="270"/>
      <c r="AY1677" s="270"/>
      <c r="AZ1677" s="270"/>
      <c r="BA1677" s="270" t="str">
        <f>IF(Table1[[#This Row],[Data de Início]]="","",YEAR(Table1[[#This Row],[Data de Início]]))</f>
        <v/>
      </c>
      <c r="BB1677" s="270" t="str">
        <f>IF(Table1[[#This Row],[Data de Início]]="","",MONTH(Table1[[#This Row],[Data de Início]]))</f>
        <v/>
      </c>
      <c r="BC1677" s="483"/>
    </row>
    <row r="1678" spans="2:55" x14ac:dyDescent="0.25">
      <c r="B1678" s="470"/>
      <c r="C1678" s="263"/>
      <c r="D1678" s="477" cm="1">
        <f t="array" ref="D1678">IFERROR(HorasUteisFabrica2Turnos(B1678,C1678), "")</f>
        <v>0</v>
      </c>
      <c r="E1678" s="478" t="str">
        <f t="shared" si="26"/>
        <v/>
      </c>
      <c r="F1678" s="266"/>
      <c r="G1678" s="656"/>
      <c r="H1678" s="479"/>
      <c r="I1678" s="268"/>
      <c r="J1678" s="268"/>
      <c r="K1678" s="268"/>
      <c r="L1678" s="269"/>
      <c r="M1678" s="511" t="str">
        <f>IFERROR(INDEX([1]Produtos!$C:$C,MATCH(L1678,[1]Produtos!$B:$B,0)), "-")</f>
        <v>-</v>
      </c>
      <c r="N1678" s="511" t="str">
        <f>IFERROR(INDEX([1]Produtos!$E:$E,MATCH(L1678,[1]Produtos!$B:$B,0)), "-")</f>
        <v>-</v>
      </c>
      <c r="O1678" s="483" t="str">
        <f>IFERROR(INDEX([1]Produtos!$F:$F,MATCH(L1678,[1]Produtos!$B:$B,0)), "-")</f>
        <v>-</v>
      </c>
      <c r="P1678" s="477" t="str">
        <f>IFERROR(INDEX([1]Produtos!$G:$G,MATCH(L1678,[1]Produtos!$B:$B,0)), "-")</f>
        <v>-</v>
      </c>
      <c r="Q1678" s="483" t="str">
        <f>IFERROR(INDEX([1]Produtos!$H:$H,MATCH(L1678,[1]Produtos!$B:$B,0)), "-")</f>
        <v>-</v>
      </c>
      <c r="R1678" s="483" t="str">
        <f>IFERROR(INDEX([1]Produtos!$I:$I,MATCH(L1678,[1]Produtos!$B:$B,0)), "-")</f>
        <v>-</v>
      </c>
      <c r="S1678" s="483" t="str">
        <f>IFERROR(INDEX([1]Produtos!$J:$J,MATCH(L1678,[1]Produtos!$B:$B,0)), "-")</f>
        <v>-</v>
      </c>
      <c r="T1678" s="484"/>
      <c r="U1678" s="483"/>
      <c r="V1678" s="483"/>
      <c r="W1678" s="483"/>
      <c r="X1678" s="483"/>
      <c r="Y1678" s="483"/>
      <c r="Z1678" s="483"/>
      <c r="AA1678" s="483"/>
      <c r="AB1678" s="483"/>
      <c r="AC1678" s="483"/>
      <c r="AD1678" s="483"/>
      <c r="AE1678" s="483"/>
      <c r="AF1678" s="483"/>
      <c r="AG1678" s="483"/>
      <c r="AH1678" s="483"/>
      <c r="AI1678" s="483"/>
      <c r="AJ1678" s="483"/>
      <c r="AK1678" s="483"/>
      <c r="AL1678" s="483"/>
      <c r="AM1678" s="670"/>
      <c r="AN1678" s="670"/>
      <c r="AO1678" s="711" t="str">
        <f>IF(OR(Table1[[#This Row],[Início Setup Envase]]="",Table1[[#This Row],[Final Setup Envase]]=""),"",Table1[[#This Row],[Final Setup Envase]]-Table1[[#This Row],[Início Setup Envase]])</f>
        <v/>
      </c>
      <c r="AP1678" s="670"/>
      <c r="AQ1678" s="670"/>
      <c r="AR1678" s="483"/>
      <c r="AS1678" s="483"/>
      <c r="AT1678" s="483"/>
      <c r="AU1678" s="483"/>
      <c r="AV1678" s="483"/>
      <c r="AW1678" s="483"/>
      <c r="AX1678" s="483"/>
      <c r="AY1678" s="270"/>
      <c r="AZ1678" s="270"/>
      <c r="BA1678" s="270" t="str">
        <f>IF(Table1[[#This Row],[Data de Início]]="","",YEAR(Table1[[#This Row],[Data de Início]]))</f>
        <v/>
      </c>
      <c r="BB1678" s="270" t="str">
        <f>IF(Table1[[#This Row],[Data de Início]]="","",MONTH(Table1[[#This Row],[Data de Início]]))</f>
        <v/>
      </c>
      <c r="BC1678" s="270"/>
    </row>
    <row r="1679" spans="2:55" x14ac:dyDescent="0.25">
      <c r="B1679" s="470"/>
      <c r="C1679" s="263"/>
      <c r="D1679" s="477" cm="1">
        <f t="array" ref="D1679">IFERROR(HorasUteisFabrica2Turnos(B1679,C1679), "")</f>
        <v>0</v>
      </c>
      <c r="E1679" s="697" t="str">
        <f t="shared" si="26"/>
        <v/>
      </c>
      <c r="F1679" s="266"/>
      <c r="G1679" s="698"/>
      <c r="H1679" s="266"/>
      <c r="I1679" s="268"/>
      <c r="J1679" s="268"/>
      <c r="K1679" s="268"/>
      <c r="L1679" s="269"/>
      <c r="M1679" s="510" t="str">
        <f>IFERROR(INDEX([1]Produtos!$C:$C,MATCH(L1679,[1]Produtos!$B:$B,0)), "-")</f>
        <v>-</v>
      </c>
      <c r="N1679" s="510" t="str">
        <f>IFERROR(INDEX([1]Produtos!$E:$E,MATCH(L1679,[1]Produtos!$B:$B,0)), "-")</f>
        <v>-</v>
      </c>
      <c r="O1679" s="270" t="str">
        <f>IFERROR(INDEX([1]Produtos!$F:$F,MATCH(L1679,[1]Produtos!$B:$B,0)), "-")</f>
        <v>-</v>
      </c>
      <c r="P1679" s="264" t="str">
        <f>IFERROR(INDEX([1]Produtos!$G:$G,MATCH(L1679,[1]Produtos!$B:$B,0)), "-")</f>
        <v>-</v>
      </c>
      <c r="Q1679" s="270" t="str">
        <f>IFERROR(INDEX([1]Produtos!$H:$H,MATCH(L1679,[1]Produtos!$B:$B,0)), "-")</f>
        <v>-</v>
      </c>
      <c r="R1679" s="270" t="str">
        <f>IFERROR(INDEX([1]Produtos!$I:$I,MATCH(L1679,[1]Produtos!$B:$B,0)), "-")</f>
        <v>-</v>
      </c>
      <c r="S1679" s="270" t="str">
        <f>IFERROR(INDEX([1]Produtos!$J:$J,MATCH(L1679,[1]Produtos!$B:$B,0)), "-")</f>
        <v>-</v>
      </c>
      <c r="T1679" s="475"/>
      <c r="U1679" s="270"/>
      <c r="V1679" s="270"/>
      <c r="W1679" s="270"/>
      <c r="X1679" s="270"/>
      <c r="Y1679" s="270"/>
      <c r="Z1679" s="270"/>
      <c r="AA1679" s="270"/>
      <c r="AB1679" s="270"/>
      <c r="AC1679" s="270"/>
      <c r="AD1679" s="270"/>
      <c r="AE1679" s="270"/>
      <c r="AF1679" s="270"/>
      <c r="AG1679" s="270"/>
      <c r="AH1679" s="270"/>
      <c r="AI1679" s="270"/>
      <c r="AJ1679" s="270"/>
      <c r="AK1679" s="270"/>
      <c r="AL1679" s="270"/>
      <c r="AM1679" s="663"/>
      <c r="AN1679" s="663"/>
      <c r="AO1679" s="708" t="str">
        <f>IF(OR(Table1[[#This Row],[Início Setup Envase]]="",Table1[[#This Row],[Final Setup Envase]]=""),"",Table1[[#This Row],[Final Setup Envase]]-Table1[[#This Row],[Início Setup Envase]])</f>
        <v/>
      </c>
      <c r="AP1679" s="663"/>
      <c r="AQ1679" s="663"/>
      <c r="AR1679" s="270"/>
      <c r="AS1679" s="674"/>
      <c r="AT1679" s="674"/>
      <c r="AU1679" s="270"/>
      <c r="AV1679" s="270"/>
      <c r="AW1679" s="270"/>
      <c r="AX1679" s="270"/>
      <c r="AY1679" s="270"/>
      <c r="AZ1679" s="270"/>
      <c r="BA1679" s="270" t="str">
        <f>IF(Table1[[#This Row],[Data de Início]]="","",YEAR(Table1[[#This Row],[Data de Início]]))</f>
        <v/>
      </c>
      <c r="BB1679" s="270" t="str">
        <f>IF(Table1[[#This Row],[Data de Início]]="","",MONTH(Table1[[#This Row],[Data de Início]]))</f>
        <v/>
      </c>
      <c r="BC1679" s="483"/>
    </row>
    <row r="1680" spans="2:55" x14ac:dyDescent="0.25">
      <c r="B1680" s="470"/>
      <c r="C1680" s="263"/>
      <c r="D1680" s="477" cm="1">
        <f t="array" ref="D1680">IFERROR(HorasUteisFabrica2Turnos(B1680,C1680), "")</f>
        <v>0</v>
      </c>
      <c r="E1680" s="478" t="str">
        <f t="shared" si="26"/>
        <v/>
      </c>
      <c r="F1680" s="266"/>
      <c r="G1680" s="656"/>
      <c r="H1680" s="479"/>
      <c r="I1680" s="268"/>
      <c r="J1680" s="268"/>
      <c r="K1680" s="268"/>
      <c r="L1680" s="269"/>
      <c r="M1680" s="511" t="str">
        <f>IFERROR(INDEX([1]Produtos!$C:$C,MATCH(L1680,[1]Produtos!$B:$B,0)), "-")</f>
        <v>-</v>
      </c>
      <c r="N1680" s="511" t="str">
        <f>IFERROR(INDEX([1]Produtos!$E:$E,MATCH(L1680,[1]Produtos!$B:$B,0)), "-")</f>
        <v>-</v>
      </c>
      <c r="O1680" s="483" t="str">
        <f>IFERROR(INDEX([1]Produtos!$F:$F,MATCH(L1680,[1]Produtos!$B:$B,0)), "-")</f>
        <v>-</v>
      </c>
      <c r="P1680" s="477" t="str">
        <f>IFERROR(INDEX([1]Produtos!$G:$G,MATCH(L1680,[1]Produtos!$B:$B,0)), "-")</f>
        <v>-</v>
      </c>
      <c r="Q1680" s="483" t="str">
        <f>IFERROR(INDEX([1]Produtos!$H:$H,MATCH(L1680,[1]Produtos!$B:$B,0)), "-")</f>
        <v>-</v>
      </c>
      <c r="R1680" s="483" t="str">
        <f>IFERROR(INDEX([1]Produtos!$I:$I,MATCH(L1680,[1]Produtos!$B:$B,0)), "-")</f>
        <v>-</v>
      </c>
      <c r="S1680" s="483" t="str">
        <f>IFERROR(INDEX([1]Produtos!$J:$J,MATCH(L1680,[1]Produtos!$B:$B,0)), "-")</f>
        <v>-</v>
      </c>
      <c r="T1680" s="484"/>
      <c r="U1680" s="483"/>
      <c r="V1680" s="483"/>
      <c r="W1680" s="483"/>
      <c r="X1680" s="483"/>
      <c r="Y1680" s="483"/>
      <c r="Z1680" s="483"/>
      <c r="AA1680" s="483"/>
      <c r="AB1680" s="483"/>
      <c r="AC1680" s="483"/>
      <c r="AD1680" s="483"/>
      <c r="AE1680" s="483"/>
      <c r="AF1680" s="483"/>
      <c r="AG1680" s="483"/>
      <c r="AH1680" s="483"/>
      <c r="AI1680" s="483"/>
      <c r="AJ1680" s="483"/>
      <c r="AK1680" s="483"/>
      <c r="AL1680" s="483"/>
      <c r="AM1680" s="670"/>
      <c r="AN1680" s="670"/>
      <c r="AO1680" s="711" t="str">
        <f>IF(OR(Table1[[#This Row],[Início Setup Envase]]="",Table1[[#This Row],[Final Setup Envase]]=""),"",Table1[[#This Row],[Final Setup Envase]]-Table1[[#This Row],[Início Setup Envase]])</f>
        <v/>
      </c>
      <c r="AP1680" s="670"/>
      <c r="AQ1680" s="670"/>
      <c r="AR1680" s="483"/>
      <c r="AS1680" s="483"/>
      <c r="AT1680" s="483"/>
      <c r="AU1680" s="483"/>
      <c r="AV1680" s="483"/>
      <c r="AW1680" s="483"/>
      <c r="AX1680" s="483"/>
      <c r="AY1680" s="270"/>
      <c r="AZ1680" s="270"/>
      <c r="BA1680" s="270" t="str">
        <f>IF(Table1[[#This Row],[Data de Início]]="","",YEAR(Table1[[#This Row],[Data de Início]]))</f>
        <v/>
      </c>
      <c r="BB1680" s="270" t="str">
        <f>IF(Table1[[#This Row],[Data de Início]]="","",MONTH(Table1[[#This Row],[Data de Início]]))</f>
        <v/>
      </c>
      <c r="BC1680" s="270"/>
    </row>
    <row r="1681" spans="2:55" x14ac:dyDescent="0.25">
      <c r="B1681" s="470"/>
      <c r="C1681" s="263"/>
      <c r="D1681" s="477" cm="1">
        <f t="array" ref="D1681">IFERROR(HorasUteisFabrica2Turnos(B1681,C1681), "")</f>
        <v>0</v>
      </c>
      <c r="E1681" s="697" t="str">
        <f t="shared" si="26"/>
        <v/>
      </c>
      <c r="F1681" s="266"/>
      <c r="G1681" s="698"/>
      <c r="H1681" s="266"/>
      <c r="I1681" s="268"/>
      <c r="J1681" s="268"/>
      <c r="K1681" s="268"/>
      <c r="L1681" s="269"/>
      <c r="M1681" s="510" t="str">
        <f>IFERROR(INDEX([1]Produtos!$C:$C,MATCH(L1681,[1]Produtos!$B:$B,0)), "-")</f>
        <v>-</v>
      </c>
      <c r="N1681" s="510" t="str">
        <f>IFERROR(INDEX([1]Produtos!$E:$E,MATCH(L1681,[1]Produtos!$B:$B,0)), "-")</f>
        <v>-</v>
      </c>
      <c r="O1681" s="270" t="str">
        <f>IFERROR(INDEX([1]Produtos!$F:$F,MATCH(L1681,[1]Produtos!$B:$B,0)), "-")</f>
        <v>-</v>
      </c>
      <c r="P1681" s="264" t="str">
        <f>IFERROR(INDEX([1]Produtos!$G:$G,MATCH(L1681,[1]Produtos!$B:$B,0)), "-")</f>
        <v>-</v>
      </c>
      <c r="Q1681" s="270" t="str">
        <f>IFERROR(INDEX([1]Produtos!$H:$H,MATCH(L1681,[1]Produtos!$B:$B,0)), "-")</f>
        <v>-</v>
      </c>
      <c r="R1681" s="270" t="str">
        <f>IFERROR(INDEX([1]Produtos!$I:$I,MATCH(L1681,[1]Produtos!$B:$B,0)), "-")</f>
        <v>-</v>
      </c>
      <c r="S1681" s="270" t="str">
        <f>IFERROR(INDEX([1]Produtos!$J:$J,MATCH(L1681,[1]Produtos!$B:$B,0)), "-")</f>
        <v>-</v>
      </c>
      <c r="T1681" s="475"/>
      <c r="U1681" s="270"/>
      <c r="V1681" s="270"/>
      <c r="W1681" s="270"/>
      <c r="X1681" s="270"/>
      <c r="Y1681" s="270"/>
      <c r="Z1681" s="270"/>
      <c r="AA1681" s="270"/>
      <c r="AB1681" s="270"/>
      <c r="AC1681" s="270"/>
      <c r="AD1681" s="270"/>
      <c r="AE1681" s="270"/>
      <c r="AF1681" s="270"/>
      <c r="AG1681" s="270"/>
      <c r="AH1681" s="270"/>
      <c r="AI1681" s="270"/>
      <c r="AJ1681" s="270"/>
      <c r="AK1681" s="270"/>
      <c r="AL1681" s="270"/>
      <c r="AM1681" s="663"/>
      <c r="AN1681" s="663"/>
      <c r="AO1681" s="708" t="str">
        <f>IF(OR(Table1[[#This Row],[Início Setup Envase]]="",Table1[[#This Row],[Final Setup Envase]]=""),"",Table1[[#This Row],[Final Setup Envase]]-Table1[[#This Row],[Início Setup Envase]])</f>
        <v/>
      </c>
      <c r="AP1681" s="663"/>
      <c r="AQ1681" s="663"/>
      <c r="AR1681" s="270"/>
      <c r="AS1681" s="674"/>
      <c r="AT1681" s="674"/>
      <c r="AU1681" s="270"/>
      <c r="AV1681" s="270"/>
      <c r="AW1681" s="270"/>
      <c r="AX1681" s="270"/>
      <c r="AY1681" s="270"/>
      <c r="AZ1681" s="270"/>
      <c r="BA1681" s="270" t="str">
        <f>IF(Table1[[#This Row],[Data de Início]]="","",YEAR(Table1[[#This Row],[Data de Início]]))</f>
        <v/>
      </c>
      <c r="BB1681" s="270" t="str">
        <f>IF(Table1[[#This Row],[Data de Início]]="","",MONTH(Table1[[#This Row],[Data de Início]]))</f>
        <v/>
      </c>
      <c r="BC1681" s="483"/>
    </row>
    <row r="1682" spans="2:55" x14ac:dyDescent="0.25">
      <c r="B1682" s="470"/>
      <c r="C1682" s="263"/>
      <c r="D1682" s="477" cm="1">
        <f t="array" ref="D1682">IFERROR(HorasUteisFabrica2Turnos(B1682,C1682), "")</f>
        <v>0</v>
      </c>
      <c r="E1682" s="478" t="str">
        <f t="shared" si="26"/>
        <v/>
      </c>
      <c r="F1682" s="266"/>
      <c r="G1682" s="656"/>
      <c r="H1682" s="479"/>
      <c r="I1682" s="268"/>
      <c r="J1682" s="268"/>
      <c r="K1682" s="268"/>
      <c r="L1682" s="269"/>
      <c r="M1682" s="511" t="str">
        <f>IFERROR(INDEX([1]Produtos!$C:$C,MATCH(L1682,[1]Produtos!$B:$B,0)), "-")</f>
        <v>-</v>
      </c>
      <c r="N1682" s="511" t="str">
        <f>IFERROR(INDEX([1]Produtos!$E:$E,MATCH(L1682,[1]Produtos!$B:$B,0)), "-")</f>
        <v>-</v>
      </c>
      <c r="O1682" s="483" t="str">
        <f>IFERROR(INDEX([1]Produtos!$F:$F,MATCH(L1682,[1]Produtos!$B:$B,0)), "-")</f>
        <v>-</v>
      </c>
      <c r="P1682" s="477" t="str">
        <f>IFERROR(INDEX([1]Produtos!$G:$G,MATCH(L1682,[1]Produtos!$B:$B,0)), "-")</f>
        <v>-</v>
      </c>
      <c r="Q1682" s="483" t="str">
        <f>IFERROR(INDEX([1]Produtos!$H:$H,MATCH(L1682,[1]Produtos!$B:$B,0)), "-")</f>
        <v>-</v>
      </c>
      <c r="R1682" s="483" t="str">
        <f>IFERROR(INDEX([1]Produtos!$I:$I,MATCH(L1682,[1]Produtos!$B:$B,0)), "-")</f>
        <v>-</v>
      </c>
      <c r="S1682" s="483" t="str">
        <f>IFERROR(INDEX([1]Produtos!$J:$J,MATCH(L1682,[1]Produtos!$B:$B,0)), "-")</f>
        <v>-</v>
      </c>
      <c r="T1682" s="484"/>
      <c r="U1682" s="483"/>
      <c r="V1682" s="483"/>
      <c r="W1682" s="483"/>
      <c r="X1682" s="483"/>
      <c r="Y1682" s="483"/>
      <c r="Z1682" s="483"/>
      <c r="AA1682" s="483"/>
      <c r="AB1682" s="483"/>
      <c r="AC1682" s="483"/>
      <c r="AD1682" s="483"/>
      <c r="AE1682" s="483"/>
      <c r="AF1682" s="483"/>
      <c r="AG1682" s="483"/>
      <c r="AH1682" s="483"/>
      <c r="AI1682" s="483"/>
      <c r="AJ1682" s="483"/>
      <c r="AK1682" s="483"/>
      <c r="AL1682" s="483"/>
      <c r="AM1682" s="670"/>
      <c r="AN1682" s="670"/>
      <c r="AO1682" s="711" t="str">
        <f>IF(OR(Table1[[#This Row],[Início Setup Envase]]="",Table1[[#This Row],[Final Setup Envase]]=""),"",Table1[[#This Row],[Final Setup Envase]]-Table1[[#This Row],[Início Setup Envase]])</f>
        <v/>
      </c>
      <c r="AP1682" s="670"/>
      <c r="AQ1682" s="670"/>
      <c r="AR1682" s="483"/>
      <c r="AS1682" s="483"/>
      <c r="AT1682" s="483"/>
      <c r="AU1682" s="483"/>
      <c r="AV1682" s="483"/>
      <c r="AW1682" s="483"/>
      <c r="AX1682" s="483"/>
      <c r="AY1682" s="270"/>
      <c r="AZ1682" s="270"/>
      <c r="BA1682" s="270" t="str">
        <f>IF(Table1[[#This Row],[Data de Início]]="","",YEAR(Table1[[#This Row],[Data de Início]]))</f>
        <v/>
      </c>
      <c r="BB1682" s="270" t="str">
        <f>IF(Table1[[#This Row],[Data de Início]]="","",MONTH(Table1[[#This Row],[Data de Início]]))</f>
        <v/>
      </c>
      <c r="BC1682" s="270"/>
    </row>
    <row r="1683" spans="2:55" x14ac:dyDescent="0.25">
      <c r="B1683" s="470"/>
      <c r="C1683" s="263"/>
      <c r="D1683" s="477" cm="1">
        <f t="array" ref="D1683">IFERROR(HorasUteisFabrica2Turnos(B1683,C1683), "")</f>
        <v>0</v>
      </c>
      <c r="E1683" s="697" t="str">
        <f t="shared" si="26"/>
        <v/>
      </c>
      <c r="F1683" s="266"/>
      <c r="G1683" s="698"/>
      <c r="H1683" s="266"/>
      <c r="I1683" s="268"/>
      <c r="J1683" s="268"/>
      <c r="K1683" s="268"/>
      <c r="L1683" s="269"/>
      <c r="M1683" s="510" t="str">
        <f>IFERROR(INDEX([1]Produtos!$C:$C,MATCH(L1683,[1]Produtos!$B:$B,0)), "-")</f>
        <v>-</v>
      </c>
      <c r="N1683" s="510" t="str">
        <f>IFERROR(INDEX([1]Produtos!$E:$E,MATCH(L1683,[1]Produtos!$B:$B,0)), "-")</f>
        <v>-</v>
      </c>
      <c r="O1683" s="270" t="str">
        <f>IFERROR(INDEX([1]Produtos!$F:$F,MATCH(L1683,[1]Produtos!$B:$B,0)), "-")</f>
        <v>-</v>
      </c>
      <c r="P1683" s="264" t="str">
        <f>IFERROR(INDEX([1]Produtos!$G:$G,MATCH(L1683,[1]Produtos!$B:$B,0)), "-")</f>
        <v>-</v>
      </c>
      <c r="Q1683" s="270" t="str">
        <f>IFERROR(INDEX([1]Produtos!$H:$H,MATCH(L1683,[1]Produtos!$B:$B,0)), "-")</f>
        <v>-</v>
      </c>
      <c r="R1683" s="270" t="str">
        <f>IFERROR(INDEX([1]Produtos!$I:$I,MATCH(L1683,[1]Produtos!$B:$B,0)), "-")</f>
        <v>-</v>
      </c>
      <c r="S1683" s="270" t="str">
        <f>IFERROR(INDEX([1]Produtos!$J:$J,MATCH(L1683,[1]Produtos!$B:$B,0)), "-")</f>
        <v>-</v>
      </c>
      <c r="T1683" s="475"/>
      <c r="U1683" s="270"/>
      <c r="V1683" s="270"/>
      <c r="W1683" s="270"/>
      <c r="X1683" s="270"/>
      <c r="Y1683" s="270"/>
      <c r="Z1683" s="270"/>
      <c r="AA1683" s="270"/>
      <c r="AB1683" s="270"/>
      <c r="AC1683" s="270"/>
      <c r="AD1683" s="270"/>
      <c r="AE1683" s="270"/>
      <c r="AF1683" s="270"/>
      <c r="AG1683" s="270"/>
      <c r="AH1683" s="270"/>
      <c r="AI1683" s="270"/>
      <c r="AJ1683" s="270"/>
      <c r="AK1683" s="270"/>
      <c r="AL1683" s="270"/>
      <c r="AM1683" s="663"/>
      <c r="AN1683" s="663"/>
      <c r="AO1683" s="708" t="str">
        <f>IF(OR(Table1[[#This Row],[Início Setup Envase]]="",Table1[[#This Row],[Final Setup Envase]]=""),"",Table1[[#This Row],[Final Setup Envase]]-Table1[[#This Row],[Início Setup Envase]])</f>
        <v/>
      </c>
      <c r="AP1683" s="663"/>
      <c r="AQ1683" s="663"/>
      <c r="AR1683" s="270"/>
      <c r="AS1683" s="674"/>
      <c r="AT1683" s="674"/>
      <c r="AU1683" s="270"/>
      <c r="AV1683" s="270"/>
      <c r="AW1683" s="270"/>
      <c r="AX1683" s="270"/>
      <c r="AY1683" s="270"/>
      <c r="AZ1683" s="270"/>
      <c r="BA1683" s="270" t="str">
        <f>IF(Table1[[#This Row],[Data de Início]]="","",YEAR(Table1[[#This Row],[Data de Início]]))</f>
        <v/>
      </c>
      <c r="BB1683" s="270" t="str">
        <f>IF(Table1[[#This Row],[Data de Início]]="","",MONTH(Table1[[#This Row],[Data de Início]]))</f>
        <v/>
      </c>
      <c r="BC1683" s="483"/>
    </row>
    <row r="1684" spans="2:55" x14ac:dyDescent="0.25">
      <c r="B1684" s="470"/>
      <c r="C1684" s="263"/>
      <c r="D1684" s="477" cm="1">
        <f t="array" ref="D1684">IFERROR(HorasUteisFabrica2Turnos(B1684,C1684), "")</f>
        <v>0</v>
      </c>
      <c r="E1684" s="478" t="str">
        <f t="shared" si="26"/>
        <v/>
      </c>
      <c r="F1684" s="266"/>
      <c r="G1684" s="656"/>
      <c r="H1684" s="479"/>
      <c r="I1684" s="268"/>
      <c r="J1684" s="268"/>
      <c r="K1684" s="268"/>
      <c r="L1684" s="269"/>
      <c r="M1684" s="511" t="str">
        <f>IFERROR(INDEX([1]Produtos!$C:$C,MATCH(L1684,[1]Produtos!$B:$B,0)), "-")</f>
        <v>-</v>
      </c>
      <c r="N1684" s="511" t="str">
        <f>IFERROR(INDEX([1]Produtos!$E:$E,MATCH(L1684,[1]Produtos!$B:$B,0)), "-")</f>
        <v>-</v>
      </c>
      <c r="O1684" s="483" t="str">
        <f>IFERROR(INDEX([1]Produtos!$F:$F,MATCH(L1684,[1]Produtos!$B:$B,0)), "-")</f>
        <v>-</v>
      </c>
      <c r="P1684" s="477" t="str">
        <f>IFERROR(INDEX([1]Produtos!$G:$G,MATCH(L1684,[1]Produtos!$B:$B,0)), "-")</f>
        <v>-</v>
      </c>
      <c r="Q1684" s="483" t="str">
        <f>IFERROR(INDEX([1]Produtos!$H:$H,MATCH(L1684,[1]Produtos!$B:$B,0)), "-")</f>
        <v>-</v>
      </c>
      <c r="R1684" s="483" t="str">
        <f>IFERROR(INDEX([1]Produtos!$I:$I,MATCH(L1684,[1]Produtos!$B:$B,0)), "-")</f>
        <v>-</v>
      </c>
      <c r="S1684" s="483" t="str">
        <f>IFERROR(INDEX([1]Produtos!$J:$J,MATCH(L1684,[1]Produtos!$B:$B,0)), "-")</f>
        <v>-</v>
      </c>
      <c r="T1684" s="484"/>
      <c r="U1684" s="483"/>
      <c r="V1684" s="483"/>
      <c r="W1684" s="483"/>
      <c r="X1684" s="483"/>
      <c r="Y1684" s="483"/>
      <c r="Z1684" s="483"/>
      <c r="AA1684" s="483"/>
      <c r="AB1684" s="483"/>
      <c r="AC1684" s="483"/>
      <c r="AD1684" s="483"/>
      <c r="AE1684" s="483"/>
      <c r="AF1684" s="483"/>
      <c r="AG1684" s="483"/>
      <c r="AH1684" s="483"/>
      <c r="AI1684" s="483"/>
      <c r="AJ1684" s="483"/>
      <c r="AK1684" s="483"/>
      <c r="AL1684" s="483"/>
      <c r="AM1684" s="670"/>
      <c r="AN1684" s="670"/>
      <c r="AO1684" s="711" t="str">
        <f>IF(OR(Table1[[#This Row],[Início Setup Envase]]="",Table1[[#This Row],[Final Setup Envase]]=""),"",Table1[[#This Row],[Final Setup Envase]]-Table1[[#This Row],[Início Setup Envase]])</f>
        <v/>
      </c>
      <c r="AP1684" s="670"/>
      <c r="AQ1684" s="670"/>
      <c r="AR1684" s="483"/>
      <c r="AS1684" s="483"/>
      <c r="AT1684" s="483"/>
      <c r="AU1684" s="483"/>
      <c r="AV1684" s="483"/>
      <c r="AW1684" s="483"/>
      <c r="AX1684" s="483"/>
      <c r="AY1684" s="270"/>
      <c r="AZ1684" s="270"/>
      <c r="BA1684" s="270" t="str">
        <f>IF(Table1[[#This Row],[Data de Início]]="","",YEAR(Table1[[#This Row],[Data de Início]]))</f>
        <v/>
      </c>
      <c r="BB1684" s="270" t="str">
        <f>IF(Table1[[#This Row],[Data de Início]]="","",MONTH(Table1[[#This Row],[Data de Início]]))</f>
        <v/>
      </c>
      <c r="BC1684" s="270"/>
    </row>
    <row r="1685" spans="2:55" x14ac:dyDescent="0.25">
      <c r="B1685" s="470"/>
      <c r="C1685" s="263"/>
      <c r="D1685" s="477" cm="1">
        <f t="array" ref="D1685">IFERROR(HorasUteisFabrica2Turnos(B1685,C1685), "")</f>
        <v>0</v>
      </c>
      <c r="E1685" s="697" t="str">
        <f t="shared" si="26"/>
        <v/>
      </c>
      <c r="F1685" s="266"/>
      <c r="G1685" s="698"/>
      <c r="H1685" s="266"/>
      <c r="I1685" s="268"/>
      <c r="J1685" s="268"/>
      <c r="K1685" s="268"/>
      <c r="L1685" s="269"/>
      <c r="M1685" s="510" t="str">
        <f>IFERROR(INDEX([1]Produtos!$C:$C,MATCH(L1685,[1]Produtos!$B:$B,0)), "-")</f>
        <v>-</v>
      </c>
      <c r="N1685" s="510" t="str">
        <f>IFERROR(INDEX([1]Produtos!$E:$E,MATCH(L1685,[1]Produtos!$B:$B,0)), "-")</f>
        <v>-</v>
      </c>
      <c r="O1685" s="270" t="str">
        <f>IFERROR(INDEX([1]Produtos!$F:$F,MATCH(L1685,[1]Produtos!$B:$B,0)), "-")</f>
        <v>-</v>
      </c>
      <c r="P1685" s="264" t="str">
        <f>IFERROR(INDEX([1]Produtos!$G:$G,MATCH(L1685,[1]Produtos!$B:$B,0)), "-")</f>
        <v>-</v>
      </c>
      <c r="Q1685" s="270" t="str">
        <f>IFERROR(INDEX([1]Produtos!$H:$H,MATCH(L1685,[1]Produtos!$B:$B,0)), "-")</f>
        <v>-</v>
      </c>
      <c r="R1685" s="270" t="str">
        <f>IFERROR(INDEX([1]Produtos!$I:$I,MATCH(L1685,[1]Produtos!$B:$B,0)), "-")</f>
        <v>-</v>
      </c>
      <c r="S1685" s="270" t="str">
        <f>IFERROR(INDEX([1]Produtos!$J:$J,MATCH(L1685,[1]Produtos!$B:$B,0)), "-")</f>
        <v>-</v>
      </c>
      <c r="T1685" s="475"/>
      <c r="U1685" s="270"/>
      <c r="V1685" s="270"/>
      <c r="W1685" s="270"/>
      <c r="X1685" s="270"/>
      <c r="Y1685" s="270"/>
      <c r="Z1685" s="270"/>
      <c r="AA1685" s="270"/>
      <c r="AB1685" s="270"/>
      <c r="AC1685" s="270"/>
      <c r="AD1685" s="270"/>
      <c r="AE1685" s="270"/>
      <c r="AF1685" s="270"/>
      <c r="AG1685" s="270"/>
      <c r="AH1685" s="270"/>
      <c r="AI1685" s="270"/>
      <c r="AJ1685" s="270"/>
      <c r="AK1685" s="270"/>
      <c r="AL1685" s="270"/>
      <c r="AM1685" s="663"/>
      <c r="AN1685" s="663"/>
      <c r="AO1685" s="708" t="str">
        <f>IF(OR(Table1[[#This Row],[Início Setup Envase]]="",Table1[[#This Row],[Final Setup Envase]]=""),"",Table1[[#This Row],[Final Setup Envase]]-Table1[[#This Row],[Início Setup Envase]])</f>
        <v/>
      </c>
      <c r="AP1685" s="663"/>
      <c r="AQ1685" s="663"/>
      <c r="AR1685" s="270"/>
      <c r="AS1685" s="674"/>
      <c r="AT1685" s="674"/>
      <c r="AU1685" s="270"/>
      <c r="AV1685" s="270"/>
      <c r="AW1685" s="270"/>
      <c r="AX1685" s="270"/>
      <c r="AY1685" s="270"/>
      <c r="AZ1685" s="270"/>
      <c r="BA1685" s="270" t="str">
        <f>IF(Table1[[#This Row],[Data de Início]]="","",YEAR(Table1[[#This Row],[Data de Início]]))</f>
        <v/>
      </c>
      <c r="BB1685" s="270" t="str">
        <f>IF(Table1[[#This Row],[Data de Início]]="","",MONTH(Table1[[#This Row],[Data de Início]]))</f>
        <v/>
      </c>
      <c r="BC1685" s="483"/>
    </row>
    <row r="1686" spans="2:55" x14ac:dyDescent="0.25">
      <c r="B1686" s="470"/>
      <c r="C1686" s="263"/>
      <c r="D1686" s="477" cm="1">
        <f t="array" ref="D1686">IFERROR(HorasUteisFabrica2Turnos(B1686,C1686), "")</f>
        <v>0</v>
      </c>
      <c r="E1686" s="478" t="str">
        <f t="shared" si="26"/>
        <v/>
      </c>
      <c r="F1686" s="266"/>
      <c r="G1686" s="656"/>
      <c r="H1686" s="479"/>
      <c r="I1686" s="268"/>
      <c r="J1686" s="268"/>
      <c r="K1686" s="268"/>
      <c r="L1686" s="269"/>
      <c r="M1686" s="511" t="str">
        <f>IFERROR(INDEX([1]Produtos!$C:$C,MATCH(L1686,[1]Produtos!$B:$B,0)), "-")</f>
        <v>-</v>
      </c>
      <c r="N1686" s="511" t="str">
        <f>IFERROR(INDEX([1]Produtos!$E:$E,MATCH(L1686,[1]Produtos!$B:$B,0)), "-")</f>
        <v>-</v>
      </c>
      <c r="O1686" s="483" t="str">
        <f>IFERROR(INDEX([1]Produtos!$F:$F,MATCH(L1686,[1]Produtos!$B:$B,0)), "-")</f>
        <v>-</v>
      </c>
      <c r="P1686" s="477" t="str">
        <f>IFERROR(INDEX([1]Produtos!$G:$G,MATCH(L1686,[1]Produtos!$B:$B,0)), "-")</f>
        <v>-</v>
      </c>
      <c r="Q1686" s="483" t="str">
        <f>IFERROR(INDEX([1]Produtos!$H:$H,MATCH(L1686,[1]Produtos!$B:$B,0)), "-")</f>
        <v>-</v>
      </c>
      <c r="R1686" s="483" t="str">
        <f>IFERROR(INDEX([1]Produtos!$I:$I,MATCH(L1686,[1]Produtos!$B:$B,0)), "-")</f>
        <v>-</v>
      </c>
      <c r="S1686" s="483" t="str">
        <f>IFERROR(INDEX([1]Produtos!$J:$J,MATCH(L1686,[1]Produtos!$B:$B,0)), "-")</f>
        <v>-</v>
      </c>
      <c r="T1686" s="484"/>
      <c r="U1686" s="483"/>
      <c r="V1686" s="483"/>
      <c r="W1686" s="483"/>
      <c r="X1686" s="483"/>
      <c r="Y1686" s="483"/>
      <c r="Z1686" s="483"/>
      <c r="AA1686" s="483"/>
      <c r="AB1686" s="483"/>
      <c r="AC1686" s="483"/>
      <c r="AD1686" s="483"/>
      <c r="AE1686" s="483"/>
      <c r="AF1686" s="483"/>
      <c r="AG1686" s="483"/>
      <c r="AH1686" s="483"/>
      <c r="AI1686" s="483"/>
      <c r="AJ1686" s="483"/>
      <c r="AK1686" s="483"/>
      <c r="AL1686" s="483"/>
      <c r="AM1686" s="670"/>
      <c r="AN1686" s="670"/>
      <c r="AO1686" s="711" t="str">
        <f>IF(OR(Table1[[#This Row],[Início Setup Envase]]="",Table1[[#This Row],[Final Setup Envase]]=""),"",Table1[[#This Row],[Final Setup Envase]]-Table1[[#This Row],[Início Setup Envase]])</f>
        <v/>
      </c>
      <c r="AP1686" s="670"/>
      <c r="AQ1686" s="670"/>
      <c r="AR1686" s="483"/>
      <c r="AS1686" s="483"/>
      <c r="AT1686" s="483"/>
      <c r="AU1686" s="483"/>
      <c r="AV1686" s="483"/>
      <c r="AW1686" s="483"/>
      <c r="AX1686" s="483"/>
      <c r="AY1686" s="270"/>
      <c r="AZ1686" s="270"/>
      <c r="BA1686" s="270" t="str">
        <f>IF(Table1[[#This Row],[Data de Início]]="","",YEAR(Table1[[#This Row],[Data de Início]]))</f>
        <v/>
      </c>
      <c r="BB1686" s="270" t="str">
        <f>IF(Table1[[#This Row],[Data de Início]]="","",MONTH(Table1[[#This Row],[Data de Início]]))</f>
        <v/>
      </c>
      <c r="BC1686" s="270"/>
    </row>
    <row r="1687" spans="2:55" x14ac:dyDescent="0.25">
      <c r="B1687" s="470"/>
      <c r="C1687" s="263"/>
      <c r="D1687" s="477" cm="1">
        <f t="array" ref="D1687">IFERROR(HorasUteisFabrica2Turnos(B1687,C1687), "")</f>
        <v>0</v>
      </c>
      <c r="E1687" s="697" t="str">
        <f t="shared" si="26"/>
        <v/>
      </c>
      <c r="F1687" s="266"/>
      <c r="G1687" s="698"/>
      <c r="H1687" s="266"/>
      <c r="I1687" s="268"/>
      <c r="J1687" s="268"/>
      <c r="K1687" s="268"/>
      <c r="L1687" s="269"/>
      <c r="M1687" s="510" t="str">
        <f>IFERROR(INDEX([1]Produtos!$C:$C,MATCH(L1687,[1]Produtos!$B:$B,0)), "-")</f>
        <v>-</v>
      </c>
      <c r="N1687" s="510" t="str">
        <f>IFERROR(INDEX([1]Produtos!$E:$E,MATCH(L1687,[1]Produtos!$B:$B,0)), "-")</f>
        <v>-</v>
      </c>
      <c r="O1687" s="270" t="str">
        <f>IFERROR(INDEX([1]Produtos!$F:$F,MATCH(L1687,[1]Produtos!$B:$B,0)), "-")</f>
        <v>-</v>
      </c>
      <c r="P1687" s="264" t="str">
        <f>IFERROR(INDEX([1]Produtos!$G:$G,MATCH(L1687,[1]Produtos!$B:$B,0)), "-")</f>
        <v>-</v>
      </c>
      <c r="Q1687" s="270" t="str">
        <f>IFERROR(INDEX([1]Produtos!$H:$H,MATCH(L1687,[1]Produtos!$B:$B,0)), "-")</f>
        <v>-</v>
      </c>
      <c r="R1687" s="270" t="str">
        <f>IFERROR(INDEX([1]Produtos!$I:$I,MATCH(L1687,[1]Produtos!$B:$B,0)), "-")</f>
        <v>-</v>
      </c>
      <c r="S1687" s="270" t="str">
        <f>IFERROR(INDEX([1]Produtos!$J:$J,MATCH(L1687,[1]Produtos!$B:$B,0)), "-")</f>
        <v>-</v>
      </c>
      <c r="T1687" s="475"/>
      <c r="U1687" s="270"/>
      <c r="V1687" s="270"/>
      <c r="W1687" s="270"/>
      <c r="X1687" s="270"/>
      <c r="Y1687" s="270"/>
      <c r="Z1687" s="270"/>
      <c r="AA1687" s="270"/>
      <c r="AB1687" s="270"/>
      <c r="AC1687" s="270"/>
      <c r="AD1687" s="270"/>
      <c r="AE1687" s="270"/>
      <c r="AF1687" s="270"/>
      <c r="AG1687" s="270"/>
      <c r="AH1687" s="270"/>
      <c r="AI1687" s="270"/>
      <c r="AJ1687" s="270"/>
      <c r="AK1687" s="270"/>
      <c r="AL1687" s="270"/>
      <c r="AM1687" s="663"/>
      <c r="AN1687" s="663"/>
      <c r="AO1687" s="708" t="str">
        <f>IF(OR(Table1[[#This Row],[Início Setup Envase]]="",Table1[[#This Row],[Final Setup Envase]]=""),"",Table1[[#This Row],[Final Setup Envase]]-Table1[[#This Row],[Início Setup Envase]])</f>
        <v/>
      </c>
      <c r="AP1687" s="663"/>
      <c r="AQ1687" s="663"/>
      <c r="AR1687" s="270"/>
      <c r="AS1687" s="674"/>
      <c r="AT1687" s="674"/>
      <c r="AU1687" s="270"/>
      <c r="AV1687" s="270"/>
      <c r="AW1687" s="270"/>
      <c r="AX1687" s="270"/>
      <c r="AY1687" s="270"/>
      <c r="AZ1687" s="270"/>
      <c r="BA1687" s="270" t="str">
        <f>IF(Table1[[#This Row],[Data de Início]]="","",YEAR(Table1[[#This Row],[Data de Início]]))</f>
        <v/>
      </c>
      <c r="BB1687" s="270" t="str">
        <f>IF(Table1[[#This Row],[Data de Início]]="","",MONTH(Table1[[#This Row],[Data de Início]]))</f>
        <v/>
      </c>
      <c r="BC1687" s="483"/>
    </row>
    <row r="1688" spans="2:55" x14ac:dyDescent="0.25">
      <c r="B1688" s="470"/>
      <c r="C1688" s="263"/>
      <c r="D1688" s="477" cm="1">
        <f t="array" ref="D1688">IFERROR(HorasUteisFabrica2Turnos(B1688,C1688), "")</f>
        <v>0</v>
      </c>
      <c r="E1688" s="478" t="str">
        <f t="shared" si="26"/>
        <v/>
      </c>
      <c r="F1688" s="266"/>
      <c r="G1688" s="656"/>
      <c r="H1688" s="479"/>
      <c r="I1688" s="268"/>
      <c r="J1688" s="268"/>
      <c r="K1688" s="268"/>
      <c r="L1688" s="269"/>
      <c r="M1688" s="511" t="str">
        <f>IFERROR(INDEX([1]Produtos!$C:$C,MATCH(L1688,[1]Produtos!$B:$B,0)), "-")</f>
        <v>-</v>
      </c>
      <c r="N1688" s="511" t="str">
        <f>IFERROR(INDEX([1]Produtos!$E:$E,MATCH(L1688,[1]Produtos!$B:$B,0)), "-")</f>
        <v>-</v>
      </c>
      <c r="O1688" s="483" t="str">
        <f>IFERROR(INDEX([1]Produtos!$F:$F,MATCH(L1688,[1]Produtos!$B:$B,0)), "-")</f>
        <v>-</v>
      </c>
      <c r="P1688" s="477" t="str">
        <f>IFERROR(INDEX([1]Produtos!$G:$G,MATCH(L1688,[1]Produtos!$B:$B,0)), "-")</f>
        <v>-</v>
      </c>
      <c r="Q1688" s="483" t="str">
        <f>IFERROR(INDEX([1]Produtos!$H:$H,MATCH(L1688,[1]Produtos!$B:$B,0)), "-")</f>
        <v>-</v>
      </c>
      <c r="R1688" s="483" t="str">
        <f>IFERROR(INDEX([1]Produtos!$I:$I,MATCH(L1688,[1]Produtos!$B:$B,0)), "-")</f>
        <v>-</v>
      </c>
      <c r="S1688" s="483" t="str">
        <f>IFERROR(INDEX([1]Produtos!$J:$J,MATCH(L1688,[1]Produtos!$B:$B,0)), "-")</f>
        <v>-</v>
      </c>
      <c r="T1688" s="484"/>
      <c r="U1688" s="483"/>
      <c r="V1688" s="483"/>
      <c r="W1688" s="483"/>
      <c r="X1688" s="483"/>
      <c r="Y1688" s="483"/>
      <c r="Z1688" s="483"/>
      <c r="AA1688" s="483"/>
      <c r="AB1688" s="483"/>
      <c r="AC1688" s="483"/>
      <c r="AD1688" s="483"/>
      <c r="AE1688" s="483"/>
      <c r="AF1688" s="483"/>
      <c r="AG1688" s="483"/>
      <c r="AH1688" s="483"/>
      <c r="AI1688" s="483"/>
      <c r="AJ1688" s="483"/>
      <c r="AK1688" s="483"/>
      <c r="AL1688" s="483"/>
      <c r="AM1688" s="670"/>
      <c r="AN1688" s="670"/>
      <c r="AO1688" s="711" t="str">
        <f>IF(OR(Table1[[#This Row],[Início Setup Envase]]="",Table1[[#This Row],[Final Setup Envase]]=""),"",Table1[[#This Row],[Final Setup Envase]]-Table1[[#This Row],[Início Setup Envase]])</f>
        <v/>
      </c>
      <c r="AP1688" s="670"/>
      <c r="AQ1688" s="670"/>
      <c r="AR1688" s="483"/>
      <c r="AS1688" s="483"/>
      <c r="AT1688" s="483"/>
      <c r="AU1688" s="483"/>
      <c r="AV1688" s="483"/>
      <c r="AW1688" s="483"/>
      <c r="AX1688" s="483"/>
      <c r="AY1688" s="270"/>
      <c r="AZ1688" s="270"/>
      <c r="BA1688" s="270" t="str">
        <f>IF(Table1[[#This Row],[Data de Início]]="","",YEAR(Table1[[#This Row],[Data de Início]]))</f>
        <v/>
      </c>
      <c r="BB1688" s="270" t="str">
        <f>IF(Table1[[#This Row],[Data de Início]]="","",MONTH(Table1[[#This Row],[Data de Início]]))</f>
        <v/>
      </c>
      <c r="BC1688" s="270"/>
    </row>
    <row r="1689" spans="2:55" x14ac:dyDescent="0.25">
      <c r="B1689" s="470"/>
      <c r="C1689" s="263"/>
      <c r="D1689" s="477" cm="1">
        <f t="array" ref="D1689">IFERROR(HorasUteisFabrica2Turnos(B1689,C1689), "")</f>
        <v>0</v>
      </c>
      <c r="E1689" s="697" t="str">
        <f t="shared" si="26"/>
        <v/>
      </c>
      <c r="F1689" s="266"/>
      <c r="G1689" s="698"/>
      <c r="H1689" s="266"/>
      <c r="I1689" s="268"/>
      <c r="J1689" s="268"/>
      <c r="K1689" s="268"/>
      <c r="L1689" s="269"/>
      <c r="M1689" s="510" t="str">
        <f>IFERROR(INDEX([1]Produtos!$C:$C,MATCH(L1689,[1]Produtos!$B:$B,0)), "-")</f>
        <v>-</v>
      </c>
      <c r="N1689" s="510" t="str">
        <f>IFERROR(INDEX([1]Produtos!$E:$E,MATCH(L1689,[1]Produtos!$B:$B,0)), "-")</f>
        <v>-</v>
      </c>
      <c r="O1689" s="270" t="str">
        <f>IFERROR(INDEX([1]Produtos!$F:$F,MATCH(L1689,[1]Produtos!$B:$B,0)), "-")</f>
        <v>-</v>
      </c>
      <c r="P1689" s="264" t="str">
        <f>IFERROR(INDEX([1]Produtos!$G:$G,MATCH(L1689,[1]Produtos!$B:$B,0)), "-")</f>
        <v>-</v>
      </c>
      <c r="Q1689" s="270" t="str">
        <f>IFERROR(INDEX([1]Produtos!$H:$H,MATCH(L1689,[1]Produtos!$B:$B,0)), "-")</f>
        <v>-</v>
      </c>
      <c r="R1689" s="270" t="str">
        <f>IFERROR(INDEX([1]Produtos!$I:$I,MATCH(L1689,[1]Produtos!$B:$B,0)), "-")</f>
        <v>-</v>
      </c>
      <c r="S1689" s="270" t="str">
        <f>IFERROR(INDEX([1]Produtos!$J:$J,MATCH(L1689,[1]Produtos!$B:$B,0)), "-")</f>
        <v>-</v>
      </c>
      <c r="T1689" s="475"/>
      <c r="U1689" s="270"/>
      <c r="V1689" s="270"/>
      <c r="W1689" s="270"/>
      <c r="X1689" s="270"/>
      <c r="Y1689" s="270"/>
      <c r="Z1689" s="270"/>
      <c r="AA1689" s="270"/>
      <c r="AB1689" s="270"/>
      <c r="AC1689" s="270"/>
      <c r="AD1689" s="270"/>
      <c r="AE1689" s="270"/>
      <c r="AF1689" s="270"/>
      <c r="AG1689" s="270"/>
      <c r="AH1689" s="270"/>
      <c r="AI1689" s="270"/>
      <c r="AJ1689" s="270"/>
      <c r="AK1689" s="270"/>
      <c r="AL1689" s="270"/>
      <c r="AM1689" s="663"/>
      <c r="AN1689" s="663"/>
      <c r="AO1689" s="708" t="str">
        <f>IF(OR(Table1[[#This Row],[Início Setup Envase]]="",Table1[[#This Row],[Final Setup Envase]]=""),"",Table1[[#This Row],[Final Setup Envase]]-Table1[[#This Row],[Início Setup Envase]])</f>
        <v/>
      </c>
      <c r="AP1689" s="663"/>
      <c r="AQ1689" s="663"/>
      <c r="AR1689" s="270"/>
      <c r="AS1689" s="674"/>
      <c r="AT1689" s="674"/>
      <c r="AU1689" s="270"/>
      <c r="AV1689" s="270"/>
      <c r="AW1689" s="270"/>
      <c r="AX1689" s="270"/>
      <c r="AY1689" s="270"/>
      <c r="AZ1689" s="270"/>
      <c r="BA1689" s="270" t="str">
        <f>IF(Table1[[#This Row],[Data de Início]]="","",YEAR(Table1[[#This Row],[Data de Início]]))</f>
        <v/>
      </c>
      <c r="BB1689" s="270" t="str">
        <f>IF(Table1[[#This Row],[Data de Início]]="","",MONTH(Table1[[#This Row],[Data de Início]]))</f>
        <v/>
      </c>
      <c r="BC1689" s="483"/>
    </row>
    <row r="1690" spans="2:55" x14ac:dyDescent="0.25">
      <c r="B1690" s="470"/>
      <c r="C1690" s="263"/>
      <c r="D1690" s="477" cm="1">
        <f t="array" ref="D1690">IFERROR(HorasUteisFabrica2Turnos(B1690,C1690), "")</f>
        <v>0</v>
      </c>
      <c r="E1690" s="478" t="str">
        <f t="shared" si="26"/>
        <v/>
      </c>
      <c r="F1690" s="266"/>
      <c r="G1690" s="656"/>
      <c r="H1690" s="479"/>
      <c r="I1690" s="268"/>
      <c r="J1690" s="268"/>
      <c r="K1690" s="268"/>
      <c r="L1690" s="269"/>
      <c r="M1690" s="511" t="str">
        <f>IFERROR(INDEX([1]Produtos!$C:$C,MATCH(L1690,[1]Produtos!$B:$B,0)), "-")</f>
        <v>-</v>
      </c>
      <c r="N1690" s="511" t="str">
        <f>IFERROR(INDEX([1]Produtos!$E:$E,MATCH(L1690,[1]Produtos!$B:$B,0)), "-")</f>
        <v>-</v>
      </c>
      <c r="O1690" s="483" t="str">
        <f>IFERROR(INDEX([1]Produtos!$F:$F,MATCH(L1690,[1]Produtos!$B:$B,0)), "-")</f>
        <v>-</v>
      </c>
      <c r="P1690" s="477" t="str">
        <f>IFERROR(INDEX([1]Produtos!$G:$G,MATCH(L1690,[1]Produtos!$B:$B,0)), "-")</f>
        <v>-</v>
      </c>
      <c r="Q1690" s="483" t="str">
        <f>IFERROR(INDEX([1]Produtos!$H:$H,MATCH(L1690,[1]Produtos!$B:$B,0)), "-")</f>
        <v>-</v>
      </c>
      <c r="R1690" s="483" t="str">
        <f>IFERROR(INDEX([1]Produtos!$I:$I,MATCH(L1690,[1]Produtos!$B:$B,0)), "-")</f>
        <v>-</v>
      </c>
      <c r="S1690" s="483" t="str">
        <f>IFERROR(INDEX([1]Produtos!$J:$J,MATCH(L1690,[1]Produtos!$B:$B,0)), "-")</f>
        <v>-</v>
      </c>
      <c r="T1690" s="484"/>
      <c r="U1690" s="483"/>
      <c r="V1690" s="483"/>
      <c r="W1690" s="483"/>
      <c r="X1690" s="483"/>
      <c r="Y1690" s="483"/>
      <c r="Z1690" s="483"/>
      <c r="AA1690" s="483"/>
      <c r="AB1690" s="483"/>
      <c r="AC1690" s="483"/>
      <c r="AD1690" s="483"/>
      <c r="AE1690" s="483"/>
      <c r="AF1690" s="483"/>
      <c r="AG1690" s="483"/>
      <c r="AH1690" s="483"/>
      <c r="AI1690" s="483"/>
      <c r="AJ1690" s="483"/>
      <c r="AK1690" s="483"/>
      <c r="AL1690" s="483"/>
      <c r="AM1690" s="670"/>
      <c r="AN1690" s="670"/>
      <c r="AO1690" s="711" t="str">
        <f>IF(OR(Table1[[#This Row],[Início Setup Envase]]="",Table1[[#This Row],[Final Setup Envase]]=""),"",Table1[[#This Row],[Final Setup Envase]]-Table1[[#This Row],[Início Setup Envase]])</f>
        <v/>
      </c>
      <c r="AP1690" s="670"/>
      <c r="AQ1690" s="670"/>
      <c r="AR1690" s="483"/>
      <c r="AS1690" s="483"/>
      <c r="AT1690" s="483"/>
      <c r="AU1690" s="483"/>
      <c r="AV1690" s="483"/>
      <c r="AW1690" s="483"/>
      <c r="AX1690" s="483"/>
      <c r="AY1690" s="270"/>
      <c r="AZ1690" s="270"/>
      <c r="BA1690" s="270" t="str">
        <f>IF(Table1[[#This Row],[Data de Início]]="","",YEAR(Table1[[#This Row],[Data de Início]]))</f>
        <v/>
      </c>
      <c r="BB1690" s="270" t="str">
        <f>IF(Table1[[#This Row],[Data de Início]]="","",MONTH(Table1[[#This Row],[Data de Início]]))</f>
        <v/>
      </c>
      <c r="BC1690" s="270"/>
    </row>
    <row r="1691" spans="2:55" x14ac:dyDescent="0.25">
      <c r="B1691" s="470"/>
      <c r="C1691" s="263"/>
      <c r="D1691" s="477" cm="1">
        <f t="array" ref="D1691">IFERROR(HorasUteisFabrica2Turnos(B1691,C1691), "")</f>
        <v>0</v>
      </c>
      <c r="E1691" s="697" t="str">
        <f t="shared" si="26"/>
        <v/>
      </c>
      <c r="F1691" s="266"/>
      <c r="G1691" s="698"/>
      <c r="H1691" s="266"/>
      <c r="I1691" s="268"/>
      <c r="J1691" s="268"/>
      <c r="K1691" s="268"/>
      <c r="L1691" s="269"/>
      <c r="M1691" s="510" t="str">
        <f>IFERROR(INDEX([1]Produtos!$C:$C,MATCH(L1691,[1]Produtos!$B:$B,0)), "-")</f>
        <v>-</v>
      </c>
      <c r="N1691" s="510" t="str">
        <f>IFERROR(INDEX([1]Produtos!$E:$E,MATCH(L1691,[1]Produtos!$B:$B,0)), "-")</f>
        <v>-</v>
      </c>
      <c r="O1691" s="270" t="str">
        <f>IFERROR(INDEX([1]Produtos!$F:$F,MATCH(L1691,[1]Produtos!$B:$B,0)), "-")</f>
        <v>-</v>
      </c>
      <c r="P1691" s="264" t="str">
        <f>IFERROR(INDEX([1]Produtos!$G:$G,MATCH(L1691,[1]Produtos!$B:$B,0)), "-")</f>
        <v>-</v>
      </c>
      <c r="Q1691" s="270" t="str">
        <f>IFERROR(INDEX([1]Produtos!$H:$H,MATCH(L1691,[1]Produtos!$B:$B,0)), "-")</f>
        <v>-</v>
      </c>
      <c r="R1691" s="270" t="str">
        <f>IFERROR(INDEX([1]Produtos!$I:$I,MATCH(L1691,[1]Produtos!$B:$B,0)), "-")</f>
        <v>-</v>
      </c>
      <c r="S1691" s="270" t="str">
        <f>IFERROR(INDEX([1]Produtos!$J:$J,MATCH(L1691,[1]Produtos!$B:$B,0)), "-")</f>
        <v>-</v>
      </c>
      <c r="T1691" s="475"/>
      <c r="U1691" s="270"/>
      <c r="V1691" s="270"/>
      <c r="W1691" s="270"/>
      <c r="X1691" s="270"/>
      <c r="Y1691" s="270"/>
      <c r="Z1691" s="270"/>
      <c r="AA1691" s="270"/>
      <c r="AB1691" s="270"/>
      <c r="AC1691" s="270"/>
      <c r="AD1691" s="270"/>
      <c r="AE1691" s="270"/>
      <c r="AF1691" s="270"/>
      <c r="AG1691" s="270"/>
      <c r="AH1691" s="270"/>
      <c r="AI1691" s="270"/>
      <c r="AJ1691" s="270"/>
      <c r="AK1691" s="270"/>
      <c r="AL1691" s="270"/>
      <c r="AM1691" s="663"/>
      <c r="AN1691" s="663"/>
      <c r="AO1691" s="708" t="str">
        <f>IF(OR(Table1[[#This Row],[Início Setup Envase]]="",Table1[[#This Row],[Final Setup Envase]]=""),"",Table1[[#This Row],[Final Setup Envase]]-Table1[[#This Row],[Início Setup Envase]])</f>
        <v/>
      </c>
      <c r="AP1691" s="663"/>
      <c r="AQ1691" s="663"/>
      <c r="AR1691" s="270"/>
      <c r="AS1691" s="674"/>
      <c r="AT1691" s="674"/>
      <c r="AU1691" s="270"/>
      <c r="AV1691" s="270"/>
      <c r="AW1691" s="270"/>
      <c r="AX1691" s="270"/>
      <c r="AY1691" s="270"/>
      <c r="AZ1691" s="270"/>
      <c r="BA1691" s="270" t="str">
        <f>IF(Table1[[#This Row],[Data de Início]]="","",YEAR(Table1[[#This Row],[Data de Início]]))</f>
        <v/>
      </c>
      <c r="BB1691" s="270" t="str">
        <f>IF(Table1[[#This Row],[Data de Início]]="","",MONTH(Table1[[#This Row],[Data de Início]]))</f>
        <v/>
      </c>
      <c r="BC1691" s="483"/>
    </row>
    <row r="1692" spans="2:55" x14ac:dyDescent="0.25">
      <c r="B1692" s="470"/>
      <c r="C1692" s="263"/>
      <c r="D1692" s="477" cm="1">
        <f t="array" ref="D1692">IFERROR(HorasUteisFabrica2Turnos(B1692,C1692), "")</f>
        <v>0</v>
      </c>
      <c r="E1692" s="478" t="str">
        <f t="shared" si="26"/>
        <v/>
      </c>
      <c r="F1692" s="266"/>
      <c r="G1692" s="656"/>
      <c r="H1692" s="479"/>
      <c r="I1692" s="268"/>
      <c r="J1692" s="268"/>
      <c r="K1692" s="268"/>
      <c r="L1692" s="269"/>
      <c r="M1692" s="511" t="str">
        <f>IFERROR(INDEX([1]Produtos!$C:$C,MATCH(L1692,[1]Produtos!$B:$B,0)), "-")</f>
        <v>-</v>
      </c>
      <c r="N1692" s="511" t="str">
        <f>IFERROR(INDEX([1]Produtos!$E:$E,MATCH(L1692,[1]Produtos!$B:$B,0)), "-")</f>
        <v>-</v>
      </c>
      <c r="O1692" s="483" t="str">
        <f>IFERROR(INDEX([1]Produtos!$F:$F,MATCH(L1692,[1]Produtos!$B:$B,0)), "-")</f>
        <v>-</v>
      </c>
      <c r="P1692" s="477" t="str">
        <f>IFERROR(INDEX([1]Produtos!$G:$G,MATCH(L1692,[1]Produtos!$B:$B,0)), "-")</f>
        <v>-</v>
      </c>
      <c r="Q1692" s="483" t="str">
        <f>IFERROR(INDEX([1]Produtos!$H:$H,MATCH(L1692,[1]Produtos!$B:$B,0)), "-")</f>
        <v>-</v>
      </c>
      <c r="R1692" s="483" t="str">
        <f>IFERROR(INDEX([1]Produtos!$I:$I,MATCH(L1692,[1]Produtos!$B:$B,0)), "-")</f>
        <v>-</v>
      </c>
      <c r="S1692" s="483" t="str">
        <f>IFERROR(INDEX([1]Produtos!$J:$J,MATCH(L1692,[1]Produtos!$B:$B,0)), "-")</f>
        <v>-</v>
      </c>
      <c r="T1692" s="484"/>
      <c r="U1692" s="483"/>
      <c r="V1692" s="483"/>
      <c r="W1692" s="483"/>
      <c r="X1692" s="483"/>
      <c r="Y1692" s="483"/>
      <c r="Z1692" s="483"/>
      <c r="AA1692" s="483"/>
      <c r="AB1692" s="483"/>
      <c r="AC1692" s="483"/>
      <c r="AD1692" s="483"/>
      <c r="AE1692" s="483"/>
      <c r="AF1692" s="483"/>
      <c r="AG1692" s="483"/>
      <c r="AH1692" s="483"/>
      <c r="AI1692" s="483"/>
      <c r="AJ1692" s="483"/>
      <c r="AK1692" s="483"/>
      <c r="AL1692" s="483"/>
      <c r="AM1692" s="670"/>
      <c r="AN1692" s="670"/>
      <c r="AO1692" s="711" t="str">
        <f>IF(OR(Table1[[#This Row],[Início Setup Envase]]="",Table1[[#This Row],[Final Setup Envase]]=""),"",Table1[[#This Row],[Final Setup Envase]]-Table1[[#This Row],[Início Setup Envase]])</f>
        <v/>
      </c>
      <c r="AP1692" s="670"/>
      <c r="AQ1692" s="670"/>
      <c r="AR1692" s="483"/>
      <c r="AS1692" s="483"/>
      <c r="AT1692" s="483"/>
      <c r="AU1692" s="483"/>
      <c r="AV1692" s="483"/>
      <c r="AW1692" s="483"/>
      <c r="AX1692" s="483"/>
      <c r="AY1692" s="270"/>
      <c r="AZ1692" s="270"/>
      <c r="BA1692" s="270" t="str">
        <f>IF(Table1[[#This Row],[Data de Início]]="","",YEAR(Table1[[#This Row],[Data de Início]]))</f>
        <v/>
      </c>
      <c r="BB1692" s="270" t="str">
        <f>IF(Table1[[#This Row],[Data de Início]]="","",MONTH(Table1[[#This Row],[Data de Início]]))</f>
        <v/>
      </c>
      <c r="BC1692" s="270"/>
    </row>
    <row r="1693" spans="2:55" x14ac:dyDescent="0.25">
      <c r="B1693" s="470"/>
      <c r="C1693" s="263"/>
      <c r="D1693" s="477" cm="1">
        <f t="array" ref="D1693">IFERROR(HorasUteisFabrica2Turnos(B1693,C1693), "")</f>
        <v>0</v>
      </c>
      <c r="E1693" s="697" t="str">
        <f t="shared" si="26"/>
        <v/>
      </c>
      <c r="F1693" s="266"/>
      <c r="G1693" s="698"/>
      <c r="H1693" s="266"/>
      <c r="I1693" s="268"/>
      <c r="J1693" s="268"/>
      <c r="K1693" s="268"/>
      <c r="L1693" s="269"/>
      <c r="M1693" s="510" t="str">
        <f>IFERROR(INDEX([1]Produtos!$C:$C,MATCH(L1693,[1]Produtos!$B:$B,0)), "-")</f>
        <v>-</v>
      </c>
      <c r="N1693" s="510" t="str">
        <f>IFERROR(INDEX([1]Produtos!$E:$E,MATCH(L1693,[1]Produtos!$B:$B,0)), "-")</f>
        <v>-</v>
      </c>
      <c r="O1693" s="270" t="str">
        <f>IFERROR(INDEX([1]Produtos!$F:$F,MATCH(L1693,[1]Produtos!$B:$B,0)), "-")</f>
        <v>-</v>
      </c>
      <c r="P1693" s="264" t="str">
        <f>IFERROR(INDEX([1]Produtos!$G:$G,MATCH(L1693,[1]Produtos!$B:$B,0)), "-")</f>
        <v>-</v>
      </c>
      <c r="Q1693" s="270" t="str">
        <f>IFERROR(INDEX([1]Produtos!$H:$H,MATCH(L1693,[1]Produtos!$B:$B,0)), "-")</f>
        <v>-</v>
      </c>
      <c r="R1693" s="270" t="str">
        <f>IFERROR(INDEX([1]Produtos!$I:$I,MATCH(L1693,[1]Produtos!$B:$B,0)), "-")</f>
        <v>-</v>
      </c>
      <c r="S1693" s="270" t="str">
        <f>IFERROR(INDEX([1]Produtos!$J:$J,MATCH(L1693,[1]Produtos!$B:$B,0)), "-")</f>
        <v>-</v>
      </c>
      <c r="T1693" s="475"/>
      <c r="U1693" s="270"/>
      <c r="V1693" s="270"/>
      <c r="W1693" s="270"/>
      <c r="X1693" s="270"/>
      <c r="Y1693" s="270"/>
      <c r="Z1693" s="270"/>
      <c r="AA1693" s="270"/>
      <c r="AB1693" s="270"/>
      <c r="AC1693" s="270"/>
      <c r="AD1693" s="270"/>
      <c r="AE1693" s="270"/>
      <c r="AF1693" s="270"/>
      <c r="AG1693" s="270"/>
      <c r="AH1693" s="270"/>
      <c r="AI1693" s="270"/>
      <c r="AJ1693" s="270"/>
      <c r="AK1693" s="270"/>
      <c r="AL1693" s="270"/>
      <c r="AM1693" s="663"/>
      <c r="AN1693" s="663"/>
      <c r="AO1693" s="708" t="str">
        <f>IF(OR(Table1[[#This Row],[Início Setup Envase]]="",Table1[[#This Row],[Final Setup Envase]]=""),"",Table1[[#This Row],[Final Setup Envase]]-Table1[[#This Row],[Início Setup Envase]])</f>
        <v/>
      </c>
      <c r="AP1693" s="663"/>
      <c r="AQ1693" s="663"/>
      <c r="AR1693" s="270"/>
      <c r="AS1693" s="674"/>
      <c r="AT1693" s="674"/>
      <c r="AU1693" s="270"/>
      <c r="AV1693" s="270"/>
      <c r="AW1693" s="270"/>
      <c r="AX1693" s="270"/>
      <c r="AY1693" s="270"/>
      <c r="AZ1693" s="270"/>
      <c r="BA1693" s="270" t="str">
        <f>IF(Table1[[#This Row],[Data de Início]]="","",YEAR(Table1[[#This Row],[Data de Início]]))</f>
        <v/>
      </c>
      <c r="BB1693" s="270" t="str">
        <f>IF(Table1[[#This Row],[Data de Início]]="","",MONTH(Table1[[#This Row],[Data de Início]]))</f>
        <v/>
      </c>
      <c r="BC1693" s="483"/>
    </row>
    <row r="1694" spans="2:55" x14ac:dyDescent="0.25">
      <c r="B1694" s="470"/>
      <c r="C1694" s="263"/>
      <c r="D1694" s="477" cm="1">
        <f t="array" ref="D1694">IFERROR(HorasUteisFabrica2Turnos(B1694,C1694), "")</f>
        <v>0</v>
      </c>
      <c r="E1694" s="478" t="str">
        <f t="shared" si="26"/>
        <v/>
      </c>
      <c r="F1694" s="266"/>
      <c r="G1694" s="656"/>
      <c r="H1694" s="479"/>
      <c r="I1694" s="268"/>
      <c r="J1694" s="268"/>
      <c r="K1694" s="268"/>
      <c r="L1694" s="269"/>
      <c r="M1694" s="511" t="str">
        <f>IFERROR(INDEX([1]Produtos!$C:$C,MATCH(L1694,[1]Produtos!$B:$B,0)), "-")</f>
        <v>-</v>
      </c>
      <c r="N1694" s="511" t="str">
        <f>IFERROR(INDEX([1]Produtos!$E:$E,MATCH(L1694,[1]Produtos!$B:$B,0)), "-")</f>
        <v>-</v>
      </c>
      <c r="O1694" s="483" t="str">
        <f>IFERROR(INDEX([1]Produtos!$F:$F,MATCH(L1694,[1]Produtos!$B:$B,0)), "-")</f>
        <v>-</v>
      </c>
      <c r="P1694" s="477" t="str">
        <f>IFERROR(INDEX([1]Produtos!$G:$G,MATCH(L1694,[1]Produtos!$B:$B,0)), "-")</f>
        <v>-</v>
      </c>
      <c r="Q1694" s="483" t="str">
        <f>IFERROR(INDEX([1]Produtos!$H:$H,MATCH(L1694,[1]Produtos!$B:$B,0)), "-")</f>
        <v>-</v>
      </c>
      <c r="R1694" s="483" t="str">
        <f>IFERROR(INDEX([1]Produtos!$I:$I,MATCH(L1694,[1]Produtos!$B:$B,0)), "-")</f>
        <v>-</v>
      </c>
      <c r="S1694" s="483" t="str">
        <f>IFERROR(INDEX([1]Produtos!$J:$J,MATCH(L1694,[1]Produtos!$B:$B,0)), "-")</f>
        <v>-</v>
      </c>
      <c r="T1694" s="484"/>
      <c r="U1694" s="483"/>
      <c r="V1694" s="483"/>
      <c r="W1694" s="483"/>
      <c r="X1694" s="483"/>
      <c r="Y1694" s="483"/>
      <c r="Z1694" s="483"/>
      <c r="AA1694" s="483"/>
      <c r="AB1694" s="483"/>
      <c r="AC1694" s="483"/>
      <c r="AD1694" s="483"/>
      <c r="AE1694" s="483"/>
      <c r="AF1694" s="483"/>
      <c r="AG1694" s="483"/>
      <c r="AH1694" s="483"/>
      <c r="AI1694" s="483"/>
      <c r="AJ1694" s="483"/>
      <c r="AK1694" s="483"/>
      <c r="AL1694" s="483"/>
      <c r="AM1694" s="670"/>
      <c r="AN1694" s="670"/>
      <c r="AO1694" s="711" t="str">
        <f>IF(OR(Table1[[#This Row],[Início Setup Envase]]="",Table1[[#This Row],[Final Setup Envase]]=""),"",Table1[[#This Row],[Final Setup Envase]]-Table1[[#This Row],[Início Setup Envase]])</f>
        <v/>
      </c>
      <c r="AP1694" s="670"/>
      <c r="AQ1694" s="670"/>
      <c r="AR1694" s="483"/>
      <c r="AS1694" s="483"/>
      <c r="AT1694" s="483"/>
      <c r="AU1694" s="483"/>
      <c r="AV1694" s="483"/>
      <c r="AW1694" s="483"/>
      <c r="AX1694" s="483"/>
      <c r="AY1694" s="270"/>
      <c r="AZ1694" s="270"/>
      <c r="BA1694" s="270" t="str">
        <f>IF(Table1[[#This Row],[Data de Início]]="","",YEAR(Table1[[#This Row],[Data de Início]]))</f>
        <v/>
      </c>
      <c r="BB1694" s="270" t="str">
        <f>IF(Table1[[#This Row],[Data de Início]]="","",MONTH(Table1[[#This Row],[Data de Início]]))</f>
        <v/>
      </c>
      <c r="BC1694" s="270"/>
    </row>
    <row r="1695" spans="2:55" x14ac:dyDescent="0.25">
      <c r="B1695" s="470"/>
      <c r="C1695" s="263"/>
      <c r="D1695" s="477" cm="1">
        <f t="array" ref="D1695">IFERROR(HorasUteisFabrica2Turnos(B1695,C1695), "")</f>
        <v>0</v>
      </c>
      <c r="E1695" s="697" t="str">
        <f t="shared" si="26"/>
        <v/>
      </c>
      <c r="F1695" s="266"/>
      <c r="G1695" s="698"/>
      <c r="H1695" s="266"/>
      <c r="I1695" s="268"/>
      <c r="J1695" s="268"/>
      <c r="K1695" s="268"/>
      <c r="L1695" s="269"/>
      <c r="M1695" s="510" t="str">
        <f>IFERROR(INDEX([1]Produtos!$C:$C,MATCH(L1695,[1]Produtos!$B:$B,0)), "-")</f>
        <v>-</v>
      </c>
      <c r="N1695" s="510" t="str">
        <f>IFERROR(INDEX([1]Produtos!$E:$E,MATCH(L1695,[1]Produtos!$B:$B,0)), "-")</f>
        <v>-</v>
      </c>
      <c r="O1695" s="270" t="str">
        <f>IFERROR(INDEX([1]Produtos!$F:$F,MATCH(L1695,[1]Produtos!$B:$B,0)), "-")</f>
        <v>-</v>
      </c>
      <c r="P1695" s="264" t="str">
        <f>IFERROR(INDEX([1]Produtos!$G:$G,MATCH(L1695,[1]Produtos!$B:$B,0)), "-")</f>
        <v>-</v>
      </c>
      <c r="Q1695" s="270" t="str">
        <f>IFERROR(INDEX([1]Produtos!$H:$H,MATCH(L1695,[1]Produtos!$B:$B,0)), "-")</f>
        <v>-</v>
      </c>
      <c r="R1695" s="270" t="str">
        <f>IFERROR(INDEX([1]Produtos!$I:$I,MATCH(L1695,[1]Produtos!$B:$B,0)), "-")</f>
        <v>-</v>
      </c>
      <c r="S1695" s="270" t="str">
        <f>IFERROR(INDEX([1]Produtos!$J:$J,MATCH(L1695,[1]Produtos!$B:$B,0)), "-")</f>
        <v>-</v>
      </c>
      <c r="T1695" s="475"/>
      <c r="U1695" s="270"/>
      <c r="V1695" s="270"/>
      <c r="W1695" s="270"/>
      <c r="X1695" s="270"/>
      <c r="Y1695" s="270"/>
      <c r="Z1695" s="270"/>
      <c r="AA1695" s="270"/>
      <c r="AB1695" s="270"/>
      <c r="AC1695" s="270"/>
      <c r="AD1695" s="270"/>
      <c r="AE1695" s="270"/>
      <c r="AF1695" s="270"/>
      <c r="AG1695" s="270"/>
      <c r="AH1695" s="270"/>
      <c r="AI1695" s="270"/>
      <c r="AJ1695" s="270"/>
      <c r="AK1695" s="270"/>
      <c r="AL1695" s="270"/>
      <c r="AM1695" s="663"/>
      <c r="AN1695" s="663"/>
      <c r="AO1695" s="708" t="str">
        <f>IF(OR(Table1[[#This Row],[Início Setup Envase]]="",Table1[[#This Row],[Final Setup Envase]]=""),"",Table1[[#This Row],[Final Setup Envase]]-Table1[[#This Row],[Início Setup Envase]])</f>
        <v/>
      </c>
      <c r="AP1695" s="663"/>
      <c r="AQ1695" s="663"/>
      <c r="AR1695" s="270"/>
      <c r="AS1695" s="674"/>
      <c r="AT1695" s="674"/>
      <c r="AU1695" s="270"/>
      <c r="AV1695" s="270"/>
      <c r="AW1695" s="270"/>
      <c r="AX1695" s="270"/>
      <c r="AY1695" s="270"/>
      <c r="AZ1695" s="270"/>
      <c r="BA1695" s="270" t="str">
        <f>IF(Table1[[#This Row],[Data de Início]]="","",YEAR(Table1[[#This Row],[Data de Início]]))</f>
        <v/>
      </c>
      <c r="BB1695" s="270" t="str">
        <f>IF(Table1[[#This Row],[Data de Início]]="","",MONTH(Table1[[#This Row],[Data de Início]]))</f>
        <v/>
      </c>
      <c r="BC1695" s="483"/>
    </row>
    <row r="1696" spans="2:55" x14ac:dyDescent="0.25">
      <c r="B1696" s="470"/>
      <c r="C1696" s="263"/>
      <c r="D1696" s="477" cm="1">
        <f t="array" ref="D1696">IFERROR(HorasUteisFabrica2Turnos(B1696,C1696), "")</f>
        <v>0</v>
      </c>
      <c r="E1696" s="478" t="str">
        <f t="shared" si="26"/>
        <v/>
      </c>
      <c r="F1696" s="266"/>
      <c r="G1696" s="656"/>
      <c r="H1696" s="479"/>
      <c r="I1696" s="268"/>
      <c r="J1696" s="268"/>
      <c r="K1696" s="268"/>
      <c r="L1696" s="269"/>
      <c r="M1696" s="511" t="str">
        <f>IFERROR(INDEX([1]Produtos!$C:$C,MATCH(L1696,[1]Produtos!$B:$B,0)), "-")</f>
        <v>-</v>
      </c>
      <c r="N1696" s="511" t="str">
        <f>IFERROR(INDEX([1]Produtos!$E:$E,MATCH(L1696,[1]Produtos!$B:$B,0)), "-")</f>
        <v>-</v>
      </c>
      <c r="O1696" s="483" t="str">
        <f>IFERROR(INDEX([1]Produtos!$F:$F,MATCH(L1696,[1]Produtos!$B:$B,0)), "-")</f>
        <v>-</v>
      </c>
      <c r="P1696" s="477" t="str">
        <f>IFERROR(INDEX([1]Produtos!$G:$G,MATCH(L1696,[1]Produtos!$B:$B,0)), "-")</f>
        <v>-</v>
      </c>
      <c r="Q1696" s="483" t="str">
        <f>IFERROR(INDEX([1]Produtos!$H:$H,MATCH(L1696,[1]Produtos!$B:$B,0)), "-")</f>
        <v>-</v>
      </c>
      <c r="R1696" s="483" t="str">
        <f>IFERROR(INDEX([1]Produtos!$I:$I,MATCH(L1696,[1]Produtos!$B:$B,0)), "-")</f>
        <v>-</v>
      </c>
      <c r="S1696" s="483" t="str">
        <f>IFERROR(INDEX([1]Produtos!$J:$J,MATCH(L1696,[1]Produtos!$B:$B,0)), "-")</f>
        <v>-</v>
      </c>
      <c r="T1696" s="484"/>
      <c r="U1696" s="483"/>
      <c r="V1696" s="483"/>
      <c r="W1696" s="483"/>
      <c r="X1696" s="483"/>
      <c r="Y1696" s="483"/>
      <c r="Z1696" s="483"/>
      <c r="AA1696" s="483"/>
      <c r="AB1696" s="483"/>
      <c r="AC1696" s="483"/>
      <c r="AD1696" s="483"/>
      <c r="AE1696" s="483"/>
      <c r="AF1696" s="483"/>
      <c r="AG1696" s="483"/>
      <c r="AH1696" s="483"/>
      <c r="AI1696" s="483"/>
      <c r="AJ1696" s="483"/>
      <c r="AK1696" s="483"/>
      <c r="AL1696" s="483"/>
      <c r="AM1696" s="670"/>
      <c r="AN1696" s="670"/>
      <c r="AO1696" s="711" t="str">
        <f>IF(OR(Table1[[#This Row],[Início Setup Envase]]="",Table1[[#This Row],[Final Setup Envase]]=""),"",Table1[[#This Row],[Final Setup Envase]]-Table1[[#This Row],[Início Setup Envase]])</f>
        <v/>
      </c>
      <c r="AP1696" s="670"/>
      <c r="AQ1696" s="670"/>
      <c r="AR1696" s="483"/>
      <c r="AS1696" s="483"/>
      <c r="AT1696" s="483"/>
      <c r="AU1696" s="483"/>
      <c r="AV1696" s="483"/>
      <c r="AW1696" s="483"/>
      <c r="AX1696" s="483"/>
      <c r="AY1696" s="270"/>
      <c r="AZ1696" s="270"/>
      <c r="BA1696" s="270" t="str">
        <f>IF(Table1[[#This Row],[Data de Início]]="","",YEAR(Table1[[#This Row],[Data de Início]]))</f>
        <v/>
      </c>
      <c r="BB1696" s="270" t="str">
        <f>IF(Table1[[#This Row],[Data de Início]]="","",MONTH(Table1[[#This Row],[Data de Início]]))</f>
        <v/>
      </c>
      <c r="BC1696" s="270"/>
    </row>
    <row r="1697" spans="2:55" x14ac:dyDescent="0.25">
      <c r="B1697" s="470"/>
      <c r="C1697" s="263"/>
      <c r="D1697" s="477" cm="1">
        <f t="array" ref="D1697">IFERROR(HorasUteisFabrica2Turnos(B1697,C1697), "")</f>
        <v>0</v>
      </c>
      <c r="E1697" s="697" t="str">
        <f t="shared" si="26"/>
        <v/>
      </c>
      <c r="F1697" s="266"/>
      <c r="G1697" s="698"/>
      <c r="H1697" s="266"/>
      <c r="I1697" s="268"/>
      <c r="J1697" s="268"/>
      <c r="K1697" s="268"/>
      <c r="L1697" s="269"/>
      <c r="M1697" s="510" t="str">
        <f>IFERROR(INDEX([1]Produtos!$C:$C,MATCH(L1697,[1]Produtos!$B:$B,0)), "-")</f>
        <v>-</v>
      </c>
      <c r="N1697" s="510" t="str">
        <f>IFERROR(INDEX([1]Produtos!$E:$E,MATCH(L1697,[1]Produtos!$B:$B,0)), "-")</f>
        <v>-</v>
      </c>
      <c r="O1697" s="270" t="str">
        <f>IFERROR(INDEX([1]Produtos!$F:$F,MATCH(L1697,[1]Produtos!$B:$B,0)), "-")</f>
        <v>-</v>
      </c>
      <c r="P1697" s="264" t="str">
        <f>IFERROR(INDEX([1]Produtos!$G:$G,MATCH(L1697,[1]Produtos!$B:$B,0)), "-")</f>
        <v>-</v>
      </c>
      <c r="Q1697" s="270" t="str">
        <f>IFERROR(INDEX([1]Produtos!$H:$H,MATCH(L1697,[1]Produtos!$B:$B,0)), "-")</f>
        <v>-</v>
      </c>
      <c r="R1697" s="270" t="str">
        <f>IFERROR(INDEX([1]Produtos!$I:$I,MATCH(L1697,[1]Produtos!$B:$B,0)), "-")</f>
        <v>-</v>
      </c>
      <c r="S1697" s="270" t="str">
        <f>IFERROR(INDEX([1]Produtos!$J:$J,MATCH(L1697,[1]Produtos!$B:$B,0)), "-")</f>
        <v>-</v>
      </c>
      <c r="T1697" s="475"/>
      <c r="U1697" s="270"/>
      <c r="V1697" s="270"/>
      <c r="W1697" s="270"/>
      <c r="X1697" s="270"/>
      <c r="Y1697" s="270"/>
      <c r="Z1697" s="270"/>
      <c r="AA1697" s="270"/>
      <c r="AB1697" s="270"/>
      <c r="AC1697" s="270"/>
      <c r="AD1697" s="270"/>
      <c r="AE1697" s="270"/>
      <c r="AF1697" s="270"/>
      <c r="AG1697" s="270"/>
      <c r="AH1697" s="270"/>
      <c r="AI1697" s="270"/>
      <c r="AJ1697" s="270"/>
      <c r="AK1697" s="270"/>
      <c r="AL1697" s="270"/>
      <c r="AM1697" s="663"/>
      <c r="AN1697" s="663"/>
      <c r="AO1697" s="708" t="str">
        <f>IF(OR(Table1[[#This Row],[Início Setup Envase]]="",Table1[[#This Row],[Final Setup Envase]]=""),"",Table1[[#This Row],[Final Setup Envase]]-Table1[[#This Row],[Início Setup Envase]])</f>
        <v/>
      </c>
      <c r="AP1697" s="663"/>
      <c r="AQ1697" s="663"/>
      <c r="AR1697" s="270"/>
      <c r="AS1697" s="674"/>
      <c r="AT1697" s="674"/>
      <c r="AU1697" s="270"/>
      <c r="AV1697" s="270"/>
      <c r="AW1697" s="270"/>
      <c r="AX1697" s="270"/>
      <c r="AY1697" s="270"/>
      <c r="AZ1697" s="270"/>
      <c r="BA1697" s="270" t="str">
        <f>IF(Table1[[#This Row],[Data de Início]]="","",YEAR(Table1[[#This Row],[Data de Início]]))</f>
        <v/>
      </c>
      <c r="BB1697" s="270" t="str">
        <f>IF(Table1[[#This Row],[Data de Início]]="","",MONTH(Table1[[#This Row],[Data de Início]]))</f>
        <v/>
      </c>
      <c r="BC1697" s="483"/>
    </row>
    <row r="1698" spans="2:55" x14ac:dyDescent="0.25">
      <c r="B1698" s="470"/>
      <c r="C1698" s="263"/>
      <c r="D1698" s="477" cm="1">
        <f t="array" ref="D1698">IFERROR(HorasUteisFabrica2Turnos(B1698,C1698), "")</f>
        <v>0</v>
      </c>
      <c r="E1698" s="478" t="str">
        <f t="shared" si="26"/>
        <v/>
      </c>
      <c r="F1698" s="266"/>
      <c r="G1698" s="656"/>
      <c r="H1698" s="479"/>
      <c r="I1698" s="268"/>
      <c r="J1698" s="268"/>
      <c r="K1698" s="268"/>
      <c r="L1698" s="269"/>
      <c r="M1698" s="511" t="str">
        <f>IFERROR(INDEX([1]Produtos!$C:$C,MATCH(L1698,[1]Produtos!$B:$B,0)), "-")</f>
        <v>-</v>
      </c>
      <c r="N1698" s="511" t="str">
        <f>IFERROR(INDEX([1]Produtos!$E:$E,MATCH(L1698,[1]Produtos!$B:$B,0)), "-")</f>
        <v>-</v>
      </c>
      <c r="O1698" s="483" t="str">
        <f>IFERROR(INDEX([1]Produtos!$F:$F,MATCH(L1698,[1]Produtos!$B:$B,0)), "-")</f>
        <v>-</v>
      </c>
      <c r="P1698" s="477" t="str">
        <f>IFERROR(INDEX([1]Produtos!$G:$G,MATCH(L1698,[1]Produtos!$B:$B,0)), "-")</f>
        <v>-</v>
      </c>
      <c r="Q1698" s="483" t="str">
        <f>IFERROR(INDEX([1]Produtos!$H:$H,MATCH(L1698,[1]Produtos!$B:$B,0)), "-")</f>
        <v>-</v>
      </c>
      <c r="R1698" s="483" t="str">
        <f>IFERROR(INDEX([1]Produtos!$I:$I,MATCH(L1698,[1]Produtos!$B:$B,0)), "-")</f>
        <v>-</v>
      </c>
      <c r="S1698" s="483" t="str">
        <f>IFERROR(INDEX([1]Produtos!$J:$J,MATCH(L1698,[1]Produtos!$B:$B,0)), "-")</f>
        <v>-</v>
      </c>
      <c r="T1698" s="484"/>
      <c r="U1698" s="483"/>
      <c r="V1698" s="483"/>
      <c r="W1698" s="483"/>
      <c r="X1698" s="483"/>
      <c r="Y1698" s="483"/>
      <c r="Z1698" s="483"/>
      <c r="AA1698" s="483"/>
      <c r="AB1698" s="483"/>
      <c r="AC1698" s="483"/>
      <c r="AD1698" s="483"/>
      <c r="AE1698" s="483"/>
      <c r="AF1698" s="483"/>
      <c r="AG1698" s="483"/>
      <c r="AH1698" s="483"/>
      <c r="AI1698" s="483"/>
      <c r="AJ1698" s="483"/>
      <c r="AK1698" s="483"/>
      <c r="AL1698" s="483"/>
      <c r="AM1698" s="670"/>
      <c r="AN1698" s="670"/>
      <c r="AO1698" s="711" t="str">
        <f>IF(OR(Table1[[#This Row],[Início Setup Envase]]="",Table1[[#This Row],[Final Setup Envase]]=""),"",Table1[[#This Row],[Final Setup Envase]]-Table1[[#This Row],[Início Setup Envase]])</f>
        <v/>
      </c>
      <c r="AP1698" s="670"/>
      <c r="AQ1698" s="670"/>
      <c r="AR1698" s="483"/>
      <c r="AS1698" s="483"/>
      <c r="AT1698" s="483"/>
      <c r="AU1698" s="483"/>
      <c r="AV1698" s="483"/>
      <c r="AW1698" s="483"/>
      <c r="AX1698" s="483"/>
      <c r="AY1698" s="270"/>
      <c r="AZ1698" s="270"/>
      <c r="BA1698" s="270" t="str">
        <f>IF(Table1[[#This Row],[Data de Início]]="","",YEAR(Table1[[#This Row],[Data de Início]]))</f>
        <v/>
      </c>
      <c r="BB1698" s="270" t="str">
        <f>IF(Table1[[#This Row],[Data de Início]]="","",MONTH(Table1[[#This Row],[Data de Início]]))</f>
        <v/>
      </c>
      <c r="BC1698" s="270"/>
    </row>
    <row r="1699" spans="2:55" x14ac:dyDescent="0.25">
      <c r="B1699" s="470"/>
      <c r="C1699" s="263"/>
      <c r="D1699" s="477" cm="1">
        <f t="array" ref="D1699">IFERROR(HorasUteisFabrica2Turnos(B1699,C1699), "")</f>
        <v>0</v>
      </c>
      <c r="E1699" s="697" t="str">
        <f t="shared" si="26"/>
        <v/>
      </c>
      <c r="F1699" s="266"/>
      <c r="G1699" s="698"/>
      <c r="H1699" s="266"/>
      <c r="I1699" s="268"/>
      <c r="J1699" s="268"/>
      <c r="K1699" s="268"/>
      <c r="L1699" s="269"/>
      <c r="M1699" s="510" t="str">
        <f>IFERROR(INDEX([1]Produtos!$C:$C,MATCH(L1699,[1]Produtos!$B:$B,0)), "-")</f>
        <v>-</v>
      </c>
      <c r="N1699" s="510" t="str">
        <f>IFERROR(INDEX([1]Produtos!$E:$E,MATCH(L1699,[1]Produtos!$B:$B,0)), "-")</f>
        <v>-</v>
      </c>
      <c r="O1699" s="270" t="str">
        <f>IFERROR(INDEX([1]Produtos!$F:$F,MATCH(L1699,[1]Produtos!$B:$B,0)), "-")</f>
        <v>-</v>
      </c>
      <c r="P1699" s="264" t="str">
        <f>IFERROR(INDEX([1]Produtos!$G:$G,MATCH(L1699,[1]Produtos!$B:$B,0)), "-")</f>
        <v>-</v>
      </c>
      <c r="Q1699" s="270" t="str">
        <f>IFERROR(INDEX([1]Produtos!$H:$H,MATCH(L1699,[1]Produtos!$B:$B,0)), "-")</f>
        <v>-</v>
      </c>
      <c r="R1699" s="270" t="str">
        <f>IFERROR(INDEX([1]Produtos!$I:$I,MATCH(L1699,[1]Produtos!$B:$B,0)), "-")</f>
        <v>-</v>
      </c>
      <c r="S1699" s="270" t="str">
        <f>IFERROR(INDEX([1]Produtos!$J:$J,MATCH(L1699,[1]Produtos!$B:$B,0)), "-")</f>
        <v>-</v>
      </c>
      <c r="T1699" s="475"/>
      <c r="U1699" s="270"/>
      <c r="V1699" s="270"/>
      <c r="W1699" s="270"/>
      <c r="X1699" s="270"/>
      <c r="Y1699" s="270"/>
      <c r="Z1699" s="270"/>
      <c r="AA1699" s="270"/>
      <c r="AB1699" s="270"/>
      <c r="AC1699" s="270"/>
      <c r="AD1699" s="270"/>
      <c r="AE1699" s="270"/>
      <c r="AF1699" s="270"/>
      <c r="AG1699" s="270"/>
      <c r="AH1699" s="270"/>
      <c r="AI1699" s="270"/>
      <c r="AJ1699" s="270"/>
      <c r="AK1699" s="270"/>
      <c r="AL1699" s="270"/>
      <c r="AM1699" s="663"/>
      <c r="AN1699" s="663"/>
      <c r="AO1699" s="708" t="str">
        <f>IF(OR(Table1[[#This Row],[Início Setup Envase]]="",Table1[[#This Row],[Final Setup Envase]]=""),"",Table1[[#This Row],[Final Setup Envase]]-Table1[[#This Row],[Início Setup Envase]])</f>
        <v/>
      </c>
      <c r="AP1699" s="663"/>
      <c r="AQ1699" s="663"/>
      <c r="AR1699" s="270"/>
      <c r="AS1699" s="674"/>
      <c r="AT1699" s="674"/>
      <c r="AU1699" s="270"/>
      <c r="AV1699" s="270"/>
      <c r="AW1699" s="270"/>
      <c r="AX1699" s="270"/>
      <c r="AY1699" s="270"/>
      <c r="AZ1699" s="270"/>
      <c r="BA1699" s="270" t="str">
        <f>IF(Table1[[#This Row],[Data de Início]]="","",YEAR(Table1[[#This Row],[Data de Início]]))</f>
        <v/>
      </c>
      <c r="BB1699" s="270" t="str">
        <f>IF(Table1[[#This Row],[Data de Início]]="","",MONTH(Table1[[#This Row],[Data de Início]]))</f>
        <v/>
      </c>
      <c r="BC1699" s="483"/>
    </row>
    <row r="1700" spans="2:55" x14ac:dyDescent="0.25">
      <c r="B1700" s="470"/>
      <c r="C1700" s="263"/>
      <c r="D1700" s="477" cm="1">
        <f t="array" ref="D1700">IFERROR(HorasUteisFabrica2Turnos(B1700,C1700), "")</f>
        <v>0</v>
      </c>
      <c r="E1700" s="478" t="str">
        <f t="shared" si="26"/>
        <v/>
      </c>
      <c r="F1700" s="266"/>
      <c r="G1700" s="656"/>
      <c r="H1700" s="479"/>
      <c r="I1700" s="268"/>
      <c r="J1700" s="268"/>
      <c r="K1700" s="268"/>
      <c r="L1700" s="269"/>
      <c r="M1700" s="511" t="str">
        <f>IFERROR(INDEX([1]Produtos!$C:$C,MATCH(L1700,[1]Produtos!$B:$B,0)), "-")</f>
        <v>-</v>
      </c>
      <c r="N1700" s="511" t="str">
        <f>IFERROR(INDEX([1]Produtos!$E:$E,MATCH(L1700,[1]Produtos!$B:$B,0)), "-")</f>
        <v>-</v>
      </c>
      <c r="O1700" s="483" t="str">
        <f>IFERROR(INDEX([1]Produtos!$F:$F,MATCH(L1700,[1]Produtos!$B:$B,0)), "-")</f>
        <v>-</v>
      </c>
      <c r="P1700" s="477" t="str">
        <f>IFERROR(INDEX([1]Produtos!$G:$G,MATCH(L1700,[1]Produtos!$B:$B,0)), "-")</f>
        <v>-</v>
      </c>
      <c r="Q1700" s="483" t="str">
        <f>IFERROR(INDEX([1]Produtos!$H:$H,MATCH(L1700,[1]Produtos!$B:$B,0)), "-")</f>
        <v>-</v>
      </c>
      <c r="R1700" s="483" t="str">
        <f>IFERROR(INDEX([1]Produtos!$I:$I,MATCH(L1700,[1]Produtos!$B:$B,0)), "-")</f>
        <v>-</v>
      </c>
      <c r="S1700" s="483" t="str">
        <f>IFERROR(INDEX([1]Produtos!$J:$J,MATCH(L1700,[1]Produtos!$B:$B,0)), "-")</f>
        <v>-</v>
      </c>
      <c r="T1700" s="484"/>
      <c r="U1700" s="483"/>
      <c r="V1700" s="483"/>
      <c r="W1700" s="483"/>
      <c r="X1700" s="483"/>
      <c r="Y1700" s="483"/>
      <c r="Z1700" s="483"/>
      <c r="AA1700" s="483"/>
      <c r="AB1700" s="483"/>
      <c r="AC1700" s="483"/>
      <c r="AD1700" s="483"/>
      <c r="AE1700" s="483"/>
      <c r="AF1700" s="483"/>
      <c r="AG1700" s="483"/>
      <c r="AH1700" s="483"/>
      <c r="AI1700" s="483"/>
      <c r="AJ1700" s="483"/>
      <c r="AK1700" s="483"/>
      <c r="AL1700" s="483"/>
      <c r="AM1700" s="670"/>
      <c r="AN1700" s="670"/>
      <c r="AO1700" s="711" t="str">
        <f>IF(OR(Table1[[#This Row],[Início Setup Envase]]="",Table1[[#This Row],[Final Setup Envase]]=""),"",Table1[[#This Row],[Final Setup Envase]]-Table1[[#This Row],[Início Setup Envase]])</f>
        <v/>
      </c>
      <c r="AP1700" s="670"/>
      <c r="AQ1700" s="670"/>
      <c r="AR1700" s="483"/>
      <c r="AS1700" s="483"/>
      <c r="AT1700" s="483"/>
      <c r="AU1700" s="483"/>
      <c r="AV1700" s="483"/>
      <c r="AW1700" s="483"/>
      <c r="AX1700" s="483"/>
      <c r="AY1700" s="270"/>
      <c r="AZ1700" s="270"/>
      <c r="BA1700" s="270" t="str">
        <f>IF(Table1[[#This Row],[Data de Início]]="","",YEAR(Table1[[#This Row],[Data de Início]]))</f>
        <v/>
      </c>
      <c r="BB1700" s="270" t="str">
        <f>IF(Table1[[#This Row],[Data de Início]]="","",MONTH(Table1[[#This Row],[Data de Início]]))</f>
        <v/>
      </c>
      <c r="BC1700" s="270"/>
    </row>
    <row r="1701" spans="2:55" x14ac:dyDescent="0.25">
      <c r="B1701" s="470"/>
      <c r="C1701" s="263"/>
      <c r="D1701" s="477" cm="1">
        <f t="array" ref="D1701">IFERROR(HorasUteisFabrica2Turnos(B1701,C1701), "")</f>
        <v>0</v>
      </c>
      <c r="E1701" s="697" t="str">
        <f t="shared" ref="E1701:E1764" si="27">IFERROR(K1701/D1701, "")</f>
        <v/>
      </c>
      <c r="F1701" s="266"/>
      <c r="G1701" s="698"/>
      <c r="H1701" s="266"/>
      <c r="I1701" s="268"/>
      <c r="J1701" s="268"/>
      <c r="K1701" s="268"/>
      <c r="L1701" s="269"/>
      <c r="M1701" s="510" t="str">
        <f>IFERROR(INDEX([1]Produtos!$C:$C,MATCH(L1701,[1]Produtos!$B:$B,0)), "-")</f>
        <v>-</v>
      </c>
      <c r="N1701" s="510" t="str">
        <f>IFERROR(INDEX([1]Produtos!$E:$E,MATCH(L1701,[1]Produtos!$B:$B,0)), "-")</f>
        <v>-</v>
      </c>
      <c r="O1701" s="270" t="str">
        <f>IFERROR(INDEX([1]Produtos!$F:$F,MATCH(L1701,[1]Produtos!$B:$B,0)), "-")</f>
        <v>-</v>
      </c>
      <c r="P1701" s="264" t="str">
        <f>IFERROR(INDEX([1]Produtos!$G:$G,MATCH(L1701,[1]Produtos!$B:$B,0)), "-")</f>
        <v>-</v>
      </c>
      <c r="Q1701" s="270" t="str">
        <f>IFERROR(INDEX([1]Produtos!$H:$H,MATCH(L1701,[1]Produtos!$B:$B,0)), "-")</f>
        <v>-</v>
      </c>
      <c r="R1701" s="270" t="str">
        <f>IFERROR(INDEX([1]Produtos!$I:$I,MATCH(L1701,[1]Produtos!$B:$B,0)), "-")</f>
        <v>-</v>
      </c>
      <c r="S1701" s="270" t="str">
        <f>IFERROR(INDEX([1]Produtos!$J:$J,MATCH(L1701,[1]Produtos!$B:$B,0)), "-")</f>
        <v>-</v>
      </c>
      <c r="T1701" s="475"/>
      <c r="U1701" s="270"/>
      <c r="V1701" s="270"/>
      <c r="W1701" s="270"/>
      <c r="X1701" s="270"/>
      <c r="Y1701" s="270"/>
      <c r="Z1701" s="270"/>
      <c r="AA1701" s="270"/>
      <c r="AB1701" s="270"/>
      <c r="AC1701" s="270"/>
      <c r="AD1701" s="270"/>
      <c r="AE1701" s="270"/>
      <c r="AF1701" s="270"/>
      <c r="AG1701" s="270"/>
      <c r="AH1701" s="270"/>
      <c r="AI1701" s="270"/>
      <c r="AJ1701" s="270"/>
      <c r="AK1701" s="270"/>
      <c r="AL1701" s="270"/>
      <c r="AM1701" s="663"/>
      <c r="AN1701" s="663"/>
      <c r="AO1701" s="708" t="str">
        <f>IF(OR(Table1[[#This Row],[Início Setup Envase]]="",Table1[[#This Row],[Final Setup Envase]]=""),"",Table1[[#This Row],[Final Setup Envase]]-Table1[[#This Row],[Início Setup Envase]])</f>
        <v/>
      </c>
      <c r="AP1701" s="663"/>
      <c r="AQ1701" s="663"/>
      <c r="AR1701" s="270"/>
      <c r="AS1701" s="674"/>
      <c r="AT1701" s="674"/>
      <c r="AU1701" s="270"/>
      <c r="AV1701" s="270"/>
      <c r="AW1701" s="270"/>
      <c r="AX1701" s="270"/>
      <c r="AY1701" s="270"/>
      <c r="AZ1701" s="270"/>
      <c r="BA1701" s="270" t="str">
        <f>IF(Table1[[#This Row],[Data de Início]]="","",YEAR(Table1[[#This Row],[Data de Início]]))</f>
        <v/>
      </c>
      <c r="BB1701" s="270" t="str">
        <f>IF(Table1[[#This Row],[Data de Início]]="","",MONTH(Table1[[#This Row],[Data de Início]]))</f>
        <v/>
      </c>
      <c r="BC1701" s="483"/>
    </row>
    <row r="1702" spans="2:55" x14ac:dyDescent="0.25">
      <c r="B1702" s="470"/>
      <c r="C1702" s="263"/>
      <c r="D1702" s="477" cm="1">
        <f t="array" ref="D1702">IFERROR(HorasUteisFabrica2Turnos(B1702,C1702), "")</f>
        <v>0</v>
      </c>
      <c r="E1702" s="478" t="str">
        <f t="shared" si="27"/>
        <v/>
      </c>
      <c r="F1702" s="266"/>
      <c r="G1702" s="656"/>
      <c r="H1702" s="479"/>
      <c r="I1702" s="268"/>
      <c r="J1702" s="268"/>
      <c r="K1702" s="268"/>
      <c r="L1702" s="269"/>
      <c r="M1702" s="511" t="str">
        <f>IFERROR(INDEX([1]Produtos!$C:$C,MATCH(L1702,[1]Produtos!$B:$B,0)), "-")</f>
        <v>-</v>
      </c>
      <c r="N1702" s="511" t="str">
        <f>IFERROR(INDEX([1]Produtos!$E:$E,MATCH(L1702,[1]Produtos!$B:$B,0)), "-")</f>
        <v>-</v>
      </c>
      <c r="O1702" s="483" t="str">
        <f>IFERROR(INDEX([1]Produtos!$F:$F,MATCH(L1702,[1]Produtos!$B:$B,0)), "-")</f>
        <v>-</v>
      </c>
      <c r="P1702" s="477" t="str">
        <f>IFERROR(INDEX([1]Produtos!$G:$G,MATCH(L1702,[1]Produtos!$B:$B,0)), "-")</f>
        <v>-</v>
      </c>
      <c r="Q1702" s="483" t="str">
        <f>IFERROR(INDEX([1]Produtos!$H:$H,MATCH(L1702,[1]Produtos!$B:$B,0)), "-")</f>
        <v>-</v>
      </c>
      <c r="R1702" s="483" t="str">
        <f>IFERROR(INDEX([1]Produtos!$I:$I,MATCH(L1702,[1]Produtos!$B:$B,0)), "-")</f>
        <v>-</v>
      </c>
      <c r="S1702" s="483" t="str">
        <f>IFERROR(INDEX([1]Produtos!$J:$J,MATCH(L1702,[1]Produtos!$B:$B,0)), "-")</f>
        <v>-</v>
      </c>
      <c r="T1702" s="484"/>
      <c r="U1702" s="483"/>
      <c r="V1702" s="483"/>
      <c r="W1702" s="483"/>
      <c r="X1702" s="483"/>
      <c r="Y1702" s="483"/>
      <c r="Z1702" s="483"/>
      <c r="AA1702" s="483"/>
      <c r="AB1702" s="483"/>
      <c r="AC1702" s="483"/>
      <c r="AD1702" s="483"/>
      <c r="AE1702" s="483"/>
      <c r="AF1702" s="483"/>
      <c r="AG1702" s="483"/>
      <c r="AH1702" s="483"/>
      <c r="AI1702" s="483"/>
      <c r="AJ1702" s="483"/>
      <c r="AK1702" s="483"/>
      <c r="AL1702" s="483"/>
      <c r="AM1702" s="670"/>
      <c r="AN1702" s="670"/>
      <c r="AO1702" s="711" t="str">
        <f>IF(OR(Table1[[#This Row],[Início Setup Envase]]="",Table1[[#This Row],[Final Setup Envase]]=""),"",Table1[[#This Row],[Final Setup Envase]]-Table1[[#This Row],[Início Setup Envase]])</f>
        <v/>
      </c>
      <c r="AP1702" s="670"/>
      <c r="AQ1702" s="670"/>
      <c r="AR1702" s="483"/>
      <c r="AS1702" s="483"/>
      <c r="AT1702" s="483"/>
      <c r="AU1702" s="483"/>
      <c r="AV1702" s="483"/>
      <c r="AW1702" s="483"/>
      <c r="AX1702" s="483"/>
      <c r="AY1702" s="270"/>
      <c r="AZ1702" s="270"/>
      <c r="BA1702" s="270" t="str">
        <f>IF(Table1[[#This Row],[Data de Início]]="","",YEAR(Table1[[#This Row],[Data de Início]]))</f>
        <v/>
      </c>
      <c r="BB1702" s="270" t="str">
        <f>IF(Table1[[#This Row],[Data de Início]]="","",MONTH(Table1[[#This Row],[Data de Início]]))</f>
        <v/>
      </c>
      <c r="BC1702" s="270"/>
    </row>
    <row r="1703" spans="2:55" x14ac:dyDescent="0.25">
      <c r="B1703" s="470"/>
      <c r="C1703" s="263"/>
      <c r="D1703" s="477" cm="1">
        <f t="array" ref="D1703">IFERROR(HorasUteisFabrica2Turnos(B1703,C1703), "")</f>
        <v>0</v>
      </c>
      <c r="E1703" s="697" t="str">
        <f t="shared" si="27"/>
        <v/>
      </c>
      <c r="F1703" s="266"/>
      <c r="G1703" s="698"/>
      <c r="H1703" s="266"/>
      <c r="I1703" s="268"/>
      <c r="J1703" s="268"/>
      <c r="K1703" s="268"/>
      <c r="L1703" s="269"/>
      <c r="M1703" s="510" t="str">
        <f>IFERROR(INDEX([1]Produtos!$C:$C,MATCH(L1703,[1]Produtos!$B:$B,0)), "-")</f>
        <v>-</v>
      </c>
      <c r="N1703" s="510" t="str">
        <f>IFERROR(INDEX([1]Produtos!$E:$E,MATCH(L1703,[1]Produtos!$B:$B,0)), "-")</f>
        <v>-</v>
      </c>
      <c r="O1703" s="270" t="str">
        <f>IFERROR(INDEX([1]Produtos!$F:$F,MATCH(L1703,[1]Produtos!$B:$B,0)), "-")</f>
        <v>-</v>
      </c>
      <c r="P1703" s="264" t="str">
        <f>IFERROR(INDEX([1]Produtos!$G:$G,MATCH(L1703,[1]Produtos!$B:$B,0)), "-")</f>
        <v>-</v>
      </c>
      <c r="Q1703" s="270" t="str">
        <f>IFERROR(INDEX([1]Produtos!$H:$H,MATCH(L1703,[1]Produtos!$B:$B,0)), "-")</f>
        <v>-</v>
      </c>
      <c r="R1703" s="270" t="str">
        <f>IFERROR(INDEX([1]Produtos!$I:$I,MATCH(L1703,[1]Produtos!$B:$B,0)), "-")</f>
        <v>-</v>
      </c>
      <c r="S1703" s="270" t="str">
        <f>IFERROR(INDEX([1]Produtos!$J:$J,MATCH(L1703,[1]Produtos!$B:$B,0)), "-")</f>
        <v>-</v>
      </c>
      <c r="T1703" s="475"/>
      <c r="U1703" s="270"/>
      <c r="V1703" s="270"/>
      <c r="W1703" s="270"/>
      <c r="X1703" s="270"/>
      <c r="Y1703" s="270"/>
      <c r="Z1703" s="270"/>
      <c r="AA1703" s="270"/>
      <c r="AB1703" s="270"/>
      <c r="AC1703" s="270"/>
      <c r="AD1703" s="270"/>
      <c r="AE1703" s="270"/>
      <c r="AF1703" s="270"/>
      <c r="AG1703" s="270"/>
      <c r="AH1703" s="270"/>
      <c r="AI1703" s="270"/>
      <c r="AJ1703" s="270"/>
      <c r="AK1703" s="270"/>
      <c r="AL1703" s="270"/>
      <c r="AM1703" s="663"/>
      <c r="AN1703" s="663"/>
      <c r="AO1703" s="708" t="str">
        <f>IF(OR(Table1[[#This Row],[Início Setup Envase]]="",Table1[[#This Row],[Final Setup Envase]]=""),"",Table1[[#This Row],[Final Setup Envase]]-Table1[[#This Row],[Início Setup Envase]])</f>
        <v/>
      </c>
      <c r="AP1703" s="663"/>
      <c r="AQ1703" s="663"/>
      <c r="AR1703" s="270"/>
      <c r="AS1703" s="674"/>
      <c r="AT1703" s="674"/>
      <c r="AU1703" s="270"/>
      <c r="AV1703" s="270"/>
      <c r="AW1703" s="270"/>
      <c r="AX1703" s="270"/>
      <c r="AY1703" s="270"/>
      <c r="AZ1703" s="270"/>
      <c r="BA1703" s="270" t="str">
        <f>IF(Table1[[#This Row],[Data de Início]]="","",YEAR(Table1[[#This Row],[Data de Início]]))</f>
        <v/>
      </c>
      <c r="BB1703" s="270" t="str">
        <f>IF(Table1[[#This Row],[Data de Início]]="","",MONTH(Table1[[#This Row],[Data de Início]]))</f>
        <v/>
      </c>
      <c r="BC1703" s="483"/>
    </row>
    <row r="1704" spans="2:55" x14ac:dyDescent="0.25">
      <c r="B1704" s="470"/>
      <c r="C1704" s="263"/>
      <c r="D1704" s="477" cm="1">
        <f t="array" ref="D1704">IFERROR(HorasUteisFabrica2Turnos(B1704,C1704), "")</f>
        <v>0</v>
      </c>
      <c r="E1704" s="478" t="str">
        <f t="shared" si="27"/>
        <v/>
      </c>
      <c r="F1704" s="266"/>
      <c r="G1704" s="656"/>
      <c r="H1704" s="479"/>
      <c r="I1704" s="268"/>
      <c r="J1704" s="268"/>
      <c r="K1704" s="268"/>
      <c r="L1704" s="269"/>
      <c r="M1704" s="511" t="str">
        <f>IFERROR(INDEX([1]Produtos!$C:$C,MATCH(L1704,[1]Produtos!$B:$B,0)), "-")</f>
        <v>-</v>
      </c>
      <c r="N1704" s="511" t="str">
        <f>IFERROR(INDEX([1]Produtos!$E:$E,MATCH(L1704,[1]Produtos!$B:$B,0)), "-")</f>
        <v>-</v>
      </c>
      <c r="O1704" s="483" t="str">
        <f>IFERROR(INDEX([1]Produtos!$F:$F,MATCH(L1704,[1]Produtos!$B:$B,0)), "-")</f>
        <v>-</v>
      </c>
      <c r="P1704" s="477" t="str">
        <f>IFERROR(INDEX([1]Produtos!$G:$G,MATCH(L1704,[1]Produtos!$B:$B,0)), "-")</f>
        <v>-</v>
      </c>
      <c r="Q1704" s="483" t="str">
        <f>IFERROR(INDEX([1]Produtos!$H:$H,MATCH(L1704,[1]Produtos!$B:$B,0)), "-")</f>
        <v>-</v>
      </c>
      <c r="R1704" s="483" t="str">
        <f>IFERROR(INDEX([1]Produtos!$I:$I,MATCH(L1704,[1]Produtos!$B:$B,0)), "-")</f>
        <v>-</v>
      </c>
      <c r="S1704" s="483" t="str">
        <f>IFERROR(INDEX([1]Produtos!$J:$J,MATCH(L1704,[1]Produtos!$B:$B,0)), "-")</f>
        <v>-</v>
      </c>
      <c r="T1704" s="484"/>
      <c r="U1704" s="483"/>
      <c r="V1704" s="483"/>
      <c r="W1704" s="483"/>
      <c r="X1704" s="483"/>
      <c r="Y1704" s="483"/>
      <c r="Z1704" s="483"/>
      <c r="AA1704" s="483"/>
      <c r="AB1704" s="483"/>
      <c r="AC1704" s="483"/>
      <c r="AD1704" s="483"/>
      <c r="AE1704" s="483"/>
      <c r="AF1704" s="483"/>
      <c r="AG1704" s="483"/>
      <c r="AH1704" s="483"/>
      <c r="AI1704" s="483"/>
      <c r="AJ1704" s="483"/>
      <c r="AK1704" s="483"/>
      <c r="AL1704" s="483"/>
      <c r="AM1704" s="670"/>
      <c r="AN1704" s="670"/>
      <c r="AO1704" s="711" t="str">
        <f>IF(OR(Table1[[#This Row],[Início Setup Envase]]="",Table1[[#This Row],[Final Setup Envase]]=""),"",Table1[[#This Row],[Final Setup Envase]]-Table1[[#This Row],[Início Setup Envase]])</f>
        <v/>
      </c>
      <c r="AP1704" s="670"/>
      <c r="AQ1704" s="670"/>
      <c r="AR1704" s="483"/>
      <c r="AS1704" s="483"/>
      <c r="AT1704" s="483"/>
      <c r="AU1704" s="483"/>
      <c r="AV1704" s="483"/>
      <c r="AW1704" s="483"/>
      <c r="AX1704" s="483"/>
      <c r="AY1704" s="270"/>
      <c r="AZ1704" s="270"/>
      <c r="BA1704" s="270" t="str">
        <f>IF(Table1[[#This Row],[Data de Início]]="","",YEAR(Table1[[#This Row],[Data de Início]]))</f>
        <v/>
      </c>
      <c r="BB1704" s="270" t="str">
        <f>IF(Table1[[#This Row],[Data de Início]]="","",MONTH(Table1[[#This Row],[Data de Início]]))</f>
        <v/>
      </c>
      <c r="BC1704" s="270"/>
    </row>
    <row r="1705" spans="2:55" x14ac:dyDescent="0.25">
      <c r="B1705" s="470"/>
      <c r="C1705" s="263"/>
      <c r="D1705" s="477" cm="1">
        <f t="array" ref="D1705">IFERROR(HorasUteisFabrica2Turnos(B1705,C1705), "")</f>
        <v>0</v>
      </c>
      <c r="E1705" s="697" t="str">
        <f t="shared" si="27"/>
        <v/>
      </c>
      <c r="F1705" s="266"/>
      <c r="G1705" s="698"/>
      <c r="H1705" s="266"/>
      <c r="I1705" s="268"/>
      <c r="J1705" s="268"/>
      <c r="K1705" s="268"/>
      <c r="L1705" s="269"/>
      <c r="M1705" s="510" t="str">
        <f>IFERROR(INDEX([1]Produtos!$C:$C,MATCH(L1705,[1]Produtos!$B:$B,0)), "-")</f>
        <v>-</v>
      </c>
      <c r="N1705" s="510" t="str">
        <f>IFERROR(INDEX([1]Produtos!$E:$E,MATCH(L1705,[1]Produtos!$B:$B,0)), "-")</f>
        <v>-</v>
      </c>
      <c r="O1705" s="270" t="str">
        <f>IFERROR(INDEX([1]Produtos!$F:$F,MATCH(L1705,[1]Produtos!$B:$B,0)), "-")</f>
        <v>-</v>
      </c>
      <c r="P1705" s="264" t="str">
        <f>IFERROR(INDEX([1]Produtos!$G:$G,MATCH(L1705,[1]Produtos!$B:$B,0)), "-")</f>
        <v>-</v>
      </c>
      <c r="Q1705" s="270" t="str">
        <f>IFERROR(INDEX([1]Produtos!$H:$H,MATCH(L1705,[1]Produtos!$B:$B,0)), "-")</f>
        <v>-</v>
      </c>
      <c r="R1705" s="270" t="str">
        <f>IFERROR(INDEX([1]Produtos!$I:$I,MATCH(L1705,[1]Produtos!$B:$B,0)), "-")</f>
        <v>-</v>
      </c>
      <c r="S1705" s="270" t="str">
        <f>IFERROR(INDEX([1]Produtos!$J:$J,MATCH(L1705,[1]Produtos!$B:$B,0)), "-")</f>
        <v>-</v>
      </c>
      <c r="T1705" s="475"/>
      <c r="U1705" s="270"/>
      <c r="V1705" s="270"/>
      <c r="W1705" s="270"/>
      <c r="X1705" s="270"/>
      <c r="Y1705" s="270"/>
      <c r="Z1705" s="270"/>
      <c r="AA1705" s="270"/>
      <c r="AB1705" s="270"/>
      <c r="AC1705" s="270"/>
      <c r="AD1705" s="270"/>
      <c r="AE1705" s="270"/>
      <c r="AF1705" s="270"/>
      <c r="AG1705" s="270"/>
      <c r="AH1705" s="270"/>
      <c r="AI1705" s="270"/>
      <c r="AJ1705" s="270"/>
      <c r="AK1705" s="270"/>
      <c r="AL1705" s="270"/>
      <c r="AM1705" s="663"/>
      <c r="AN1705" s="663"/>
      <c r="AO1705" s="708" t="str">
        <f>IF(OR(Table1[[#This Row],[Início Setup Envase]]="",Table1[[#This Row],[Final Setup Envase]]=""),"",Table1[[#This Row],[Final Setup Envase]]-Table1[[#This Row],[Início Setup Envase]])</f>
        <v/>
      </c>
      <c r="AP1705" s="663"/>
      <c r="AQ1705" s="663"/>
      <c r="AR1705" s="270"/>
      <c r="AS1705" s="674"/>
      <c r="AT1705" s="674"/>
      <c r="AU1705" s="270"/>
      <c r="AV1705" s="270"/>
      <c r="AW1705" s="270"/>
      <c r="AX1705" s="270"/>
      <c r="AY1705" s="270"/>
      <c r="AZ1705" s="270"/>
      <c r="BA1705" s="270" t="str">
        <f>IF(Table1[[#This Row],[Data de Início]]="","",YEAR(Table1[[#This Row],[Data de Início]]))</f>
        <v/>
      </c>
      <c r="BB1705" s="270" t="str">
        <f>IF(Table1[[#This Row],[Data de Início]]="","",MONTH(Table1[[#This Row],[Data de Início]]))</f>
        <v/>
      </c>
      <c r="BC1705" s="483"/>
    </row>
    <row r="1706" spans="2:55" x14ac:dyDescent="0.25">
      <c r="B1706" s="470"/>
      <c r="C1706" s="263"/>
      <c r="D1706" s="477" cm="1">
        <f t="array" ref="D1706">IFERROR(HorasUteisFabrica2Turnos(B1706,C1706), "")</f>
        <v>0</v>
      </c>
      <c r="E1706" s="478" t="str">
        <f t="shared" si="27"/>
        <v/>
      </c>
      <c r="F1706" s="266"/>
      <c r="G1706" s="656"/>
      <c r="H1706" s="479"/>
      <c r="I1706" s="268"/>
      <c r="J1706" s="268"/>
      <c r="K1706" s="268"/>
      <c r="L1706" s="269"/>
      <c r="M1706" s="511" t="str">
        <f>IFERROR(INDEX([1]Produtos!$C:$C,MATCH(L1706,[1]Produtos!$B:$B,0)), "-")</f>
        <v>-</v>
      </c>
      <c r="N1706" s="511" t="str">
        <f>IFERROR(INDEX([1]Produtos!$E:$E,MATCH(L1706,[1]Produtos!$B:$B,0)), "-")</f>
        <v>-</v>
      </c>
      <c r="O1706" s="483" t="str">
        <f>IFERROR(INDEX([1]Produtos!$F:$F,MATCH(L1706,[1]Produtos!$B:$B,0)), "-")</f>
        <v>-</v>
      </c>
      <c r="P1706" s="477" t="str">
        <f>IFERROR(INDEX([1]Produtos!$G:$G,MATCH(L1706,[1]Produtos!$B:$B,0)), "-")</f>
        <v>-</v>
      </c>
      <c r="Q1706" s="483" t="str">
        <f>IFERROR(INDEX([1]Produtos!$H:$H,MATCH(L1706,[1]Produtos!$B:$B,0)), "-")</f>
        <v>-</v>
      </c>
      <c r="R1706" s="483" t="str">
        <f>IFERROR(INDEX([1]Produtos!$I:$I,MATCH(L1706,[1]Produtos!$B:$B,0)), "-")</f>
        <v>-</v>
      </c>
      <c r="S1706" s="483" t="str">
        <f>IFERROR(INDEX([1]Produtos!$J:$J,MATCH(L1706,[1]Produtos!$B:$B,0)), "-")</f>
        <v>-</v>
      </c>
      <c r="T1706" s="484"/>
      <c r="U1706" s="483"/>
      <c r="V1706" s="483"/>
      <c r="W1706" s="483"/>
      <c r="X1706" s="483"/>
      <c r="Y1706" s="483"/>
      <c r="Z1706" s="483"/>
      <c r="AA1706" s="483"/>
      <c r="AB1706" s="483"/>
      <c r="AC1706" s="483"/>
      <c r="AD1706" s="483"/>
      <c r="AE1706" s="483"/>
      <c r="AF1706" s="483"/>
      <c r="AG1706" s="483"/>
      <c r="AH1706" s="483"/>
      <c r="AI1706" s="483"/>
      <c r="AJ1706" s="483"/>
      <c r="AK1706" s="483"/>
      <c r="AL1706" s="483"/>
      <c r="AM1706" s="670"/>
      <c r="AN1706" s="670"/>
      <c r="AO1706" s="711" t="str">
        <f>IF(OR(Table1[[#This Row],[Início Setup Envase]]="",Table1[[#This Row],[Final Setup Envase]]=""),"",Table1[[#This Row],[Final Setup Envase]]-Table1[[#This Row],[Início Setup Envase]])</f>
        <v/>
      </c>
      <c r="AP1706" s="670"/>
      <c r="AQ1706" s="670"/>
      <c r="AR1706" s="483"/>
      <c r="AS1706" s="483"/>
      <c r="AT1706" s="483"/>
      <c r="AU1706" s="483"/>
      <c r="AV1706" s="483"/>
      <c r="AW1706" s="483"/>
      <c r="AX1706" s="483"/>
      <c r="AY1706" s="270"/>
      <c r="AZ1706" s="270"/>
      <c r="BA1706" s="270" t="str">
        <f>IF(Table1[[#This Row],[Data de Início]]="","",YEAR(Table1[[#This Row],[Data de Início]]))</f>
        <v/>
      </c>
      <c r="BB1706" s="270" t="str">
        <f>IF(Table1[[#This Row],[Data de Início]]="","",MONTH(Table1[[#This Row],[Data de Início]]))</f>
        <v/>
      </c>
      <c r="BC1706" s="270"/>
    </row>
    <row r="1707" spans="2:55" x14ac:dyDescent="0.25">
      <c r="B1707" s="470"/>
      <c r="C1707" s="263"/>
      <c r="D1707" s="477" cm="1">
        <f t="array" ref="D1707">IFERROR(HorasUteisFabrica2Turnos(B1707,C1707), "")</f>
        <v>0</v>
      </c>
      <c r="E1707" s="697" t="str">
        <f t="shared" si="27"/>
        <v/>
      </c>
      <c r="F1707" s="266"/>
      <c r="G1707" s="698"/>
      <c r="H1707" s="266"/>
      <c r="I1707" s="268"/>
      <c r="J1707" s="268"/>
      <c r="K1707" s="268"/>
      <c r="L1707" s="269"/>
      <c r="M1707" s="510" t="str">
        <f>IFERROR(INDEX([1]Produtos!$C:$C,MATCH(L1707,[1]Produtos!$B:$B,0)), "-")</f>
        <v>-</v>
      </c>
      <c r="N1707" s="510" t="str">
        <f>IFERROR(INDEX([1]Produtos!$E:$E,MATCH(L1707,[1]Produtos!$B:$B,0)), "-")</f>
        <v>-</v>
      </c>
      <c r="O1707" s="270" t="str">
        <f>IFERROR(INDEX([1]Produtos!$F:$F,MATCH(L1707,[1]Produtos!$B:$B,0)), "-")</f>
        <v>-</v>
      </c>
      <c r="P1707" s="264" t="str">
        <f>IFERROR(INDEX([1]Produtos!$G:$G,MATCH(L1707,[1]Produtos!$B:$B,0)), "-")</f>
        <v>-</v>
      </c>
      <c r="Q1707" s="270" t="str">
        <f>IFERROR(INDEX([1]Produtos!$H:$H,MATCH(L1707,[1]Produtos!$B:$B,0)), "-")</f>
        <v>-</v>
      </c>
      <c r="R1707" s="270" t="str">
        <f>IFERROR(INDEX([1]Produtos!$I:$I,MATCH(L1707,[1]Produtos!$B:$B,0)), "-")</f>
        <v>-</v>
      </c>
      <c r="S1707" s="270" t="str">
        <f>IFERROR(INDEX([1]Produtos!$J:$J,MATCH(L1707,[1]Produtos!$B:$B,0)), "-")</f>
        <v>-</v>
      </c>
      <c r="T1707" s="475"/>
      <c r="U1707" s="270"/>
      <c r="V1707" s="270"/>
      <c r="W1707" s="270"/>
      <c r="X1707" s="270"/>
      <c r="Y1707" s="270"/>
      <c r="Z1707" s="270"/>
      <c r="AA1707" s="270"/>
      <c r="AB1707" s="270"/>
      <c r="AC1707" s="270"/>
      <c r="AD1707" s="270"/>
      <c r="AE1707" s="270"/>
      <c r="AF1707" s="270"/>
      <c r="AG1707" s="270"/>
      <c r="AH1707" s="270"/>
      <c r="AI1707" s="270"/>
      <c r="AJ1707" s="270"/>
      <c r="AK1707" s="270"/>
      <c r="AL1707" s="270"/>
      <c r="AM1707" s="663"/>
      <c r="AN1707" s="663"/>
      <c r="AO1707" s="708" t="str">
        <f>IF(OR(Table1[[#This Row],[Início Setup Envase]]="",Table1[[#This Row],[Final Setup Envase]]=""),"",Table1[[#This Row],[Final Setup Envase]]-Table1[[#This Row],[Início Setup Envase]])</f>
        <v/>
      </c>
      <c r="AP1707" s="663"/>
      <c r="AQ1707" s="663"/>
      <c r="AR1707" s="270"/>
      <c r="AS1707" s="674"/>
      <c r="AT1707" s="674"/>
      <c r="AU1707" s="270"/>
      <c r="AV1707" s="270"/>
      <c r="AW1707" s="270"/>
      <c r="AX1707" s="270"/>
      <c r="AY1707" s="270"/>
      <c r="AZ1707" s="270"/>
      <c r="BA1707" s="270" t="str">
        <f>IF(Table1[[#This Row],[Data de Início]]="","",YEAR(Table1[[#This Row],[Data de Início]]))</f>
        <v/>
      </c>
      <c r="BB1707" s="270" t="str">
        <f>IF(Table1[[#This Row],[Data de Início]]="","",MONTH(Table1[[#This Row],[Data de Início]]))</f>
        <v/>
      </c>
      <c r="BC1707" s="483"/>
    </row>
    <row r="1708" spans="2:55" x14ac:dyDescent="0.25">
      <c r="B1708" s="470"/>
      <c r="C1708" s="263"/>
      <c r="D1708" s="477" cm="1">
        <f t="array" ref="D1708">IFERROR(HorasUteisFabrica2Turnos(B1708,C1708), "")</f>
        <v>0</v>
      </c>
      <c r="E1708" s="478" t="str">
        <f t="shared" si="27"/>
        <v/>
      </c>
      <c r="F1708" s="266"/>
      <c r="G1708" s="656"/>
      <c r="H1708" s="479"/>
      <c r="I1708" s="268"/>
      <c r="J1708" s="268"/>
      <c r="K1708" s="268"/>
      <c r="L1708" s="269"/>
      <c r="M1708" s="511" t="str">
        <f>IFERROR(INDEX([1]Produtos!$C:$C,MATCH(L1708,[1]Produtos!$B:$B,0)), "-")</f>
        <v>-</v>
      </c>
      <c r="N1708" s="511" t="str">
        <f>IFERROR(INDEX([1]Produtos!$E:$E,MATCH(L1708,[1]Produtos!$B:$B,0)), "-")</f>
        <v>-</v>
      </c>
      <c r="O1708" s="483" t="str">
        <f>IFERROR(INDEX([1]Produtos!$F:$F,MATCH(L1708,[1]Produtos!$B:$B,0)), "-")</f>
        <v>-</v>
      </c>
      <c r="P1708" s="477" t="str">
        <f>IFERROR(INDEX([1]Produtos!$G:$G,MATCH(L1708,[1]Produtos!$B:$B,0)), "-")</f>
        <v>-</v>
      </c>
      <c r="Q1708" s="483" t="str">
        <f>IFERROR(INDEX([1]Produtos!$H:$H,MATCH(L1708,[1]Produtos!$B:$B,0)), "-")</f>
        <v>-</v>
      </c>
      <c r="R1708" s="483" t="str">
        <f>IFERROR(INDEX([1]Produtos!$I:$I,MATCH(L1708,[1]Produtos!$B:$B,0)), "-")</f>
        <v>-</v>
      </c>
      <c r="S1708" s="483" t="str">
        <f>IFERROR(INDEX([1]Produtos!$J:$J,MATCH(L1708,[1]Produtos!$B:$B,0)), "-")</f>
        <v>-</v>
      </c>
      <c r="T1708" s="484"/>
      <c r="U1708" s="483"/>
      <c r="V1708" s="483"/>
      <c r="W1708" s="483"/>
      <c r="X1708" s="483"/>
      <c r="Y1708" s="483"/>
      <c r="Z1708" s="483"/>
      <c r="AA1708" s="483"/>
      <c r="AB1708" s="483"/>
      <c r="AC1708" s="483"/>
      <c r="AD1708" s="483"/>
      <c r="AE1708" s="483"/>
      <c r="AF1708" s="483"/>
      <c r="AG1708" s="483"/>
      <c r="AH1708" s="483"/>
      <c r="AI1708" s="483"/>
      <c r="AJ1708" s="483"/>
      <c r="AK1708" s="483"/>
      <c r="AL1708" s="483"/>
      <c r="AM1708" s="670"/>
      <c r="AN1708" s="670"/>
      <c r="AO1708" s="711" t="str">
        <f>IF(OR(Table1[[#This Row],[Início Setup Envase]]="",Table1[[#This Row],[Final Setup Envase]]=""),"",Table1[[#This Row],[Final Setup Envase]]-Table1[[#This Row],[Início Setup Envase]])</f>
        <v/>
      </c>
      <c r="AP1708" s="670"/>
      <c r="AQ1708" s="670"/>
      <c r="AR1708" s="483"/>
      <c r="AS1708" s="483"/>
      <c r="AT1708" s="483"/>
      <c r="AU1708" s="483"/>
      <c r="AV1708" s="483"/>
      <c r="AW1708" s="483"/>
      <c r="AX1708" s="483"/>
      <c r="AY1708" s="270"/>
      <c r="AZ1708" s="270"/>
      <c r="BA1708" s="270" t="str">
        <f>IF(Table1[[#This Row],[Data de Início]]="","",YEAR(Table1[[#This Row],[Data de Início]]))</f>
        <v/>
      </c>
      <c r="BB1708" s="270" t="str">
        <f>IF(Table1[[#This Row],[Data de Início]]="","",MONTH(Table1[[#This Row],[Data de Início]]))</f>
        <v/>
      </c>
      <c r="BC1708" s="270"/>
    </row>
    <row r="1709" spans="2:55" x14ac:dyDescent="0.25">
      <c r="B1709" s="470"/>
      <c r="C1709" s="263"/>
      <c r="D1709" s="477" cm="1">
        <f t="array" ref="D1709">IFERROR(HorasUteisFabrica2Turnos(B1709,C1709), "")</f>
        <v>0</v>
      </c>
      <c r="E1709" s="697" t="str">
        <f t="shared" si="27"/>
        <v/>
      </c>
      <c r="F1709" s="266"/>
      <c r="G1709" s="698"/>
      <c r="H1709" s="266"/>
      <c r="I1709" s="268"/>
      <c r="J1709" s="268"/>
      <c r="K1709" s="268"/>
      <c r="L1709" s="269"/>
      <c r="M1709" s="510" t="str">
        <f>IFERROR(INDEX([1]Produtos!$C:$C,MATCH(L1709,[1]Produtos!$B:$B,0)), "-")</f>
        <v>-</v>
      </c>
      <c r="N1709" s="510" t="str">
        <f>IFERROR(INDEX([1]Produtos!$E:$E,MATCH(L1709,[1]Produtos!$B:$B,0)), "-")</f>
        <v>-</v>
      </c>
      <c r="O1709" s="270" t="str">
        <f>IFERROR(INDEX([1]Produtos!$F:$F,MATCH(L1709,[1]Produtos!$B:$B,0)), "-")</f>
        <v>-</v>
      </c>
      <c r="P1709" s="264" t="str">
        <f>IFERROR(INDEX([1]Produtos!$G:$G,MATCH(L1709,[1]Produtos!$B:$B,0)), "-")</f>
        <v>-</v>
      </c>
      <c r="Q1709" s="270" t="str">
        <f>IFERROR(INDEX([1]Produtos!$H:$H,MATCH(L1709,[1]Produtos!$B:$B,0)), "-")</f>
        <v>-</v>
      </c>
      <c r="R1709" s="270" t="str">
        <f>IFERROR(INDEX([1]Produtos!$I:$I,MATCH(L1709,[1]Produtos!$B:$B,0)), "-")</f>
        <v>-</v>
      </c>
      <c r="S1709" s="270" t="str">
        <f>IFERROR(INDEX([1]Produtos!$J:$J,MATCH(L1709,[1]Produtos!$B:$B,0)), "-")</f>
        <v>-</v>
      </c>
      <c r="T1709" s="475"/>
      <c r="U1709" s="270"/>
      <c r="V1709" s="270"/>
      <c r="W1709" s="270"/>
      <c r="X1709" s="270"/>
      <c r="Y1709" s="270"/>
      <c r="Z1709" s="270"/>
      <c r="AA1709" s="270"/>
      <c r="AB1709" s="270"/>
      <c r="AC1709" s="270"/>
      <c r="AD1709" s="270"/>
      <c r="AE1709" s="270"/>
      <c r="AF1709" s="270"/>
      <c r="AG1709" s="270"/>
      <c r="AH1709" s="270"/>
      <c r="AI1709" s="270"/>
      <c r="AJ1709" s="270"/>
      <c r="AK1709" s="270"/>
      <c r="AL1709" s="270"/>
      <c r="AM1709" s="663"/>
      <c r="AN1709" s="663"/>
      <c r="AO1709" s="708" t="str">
        <f>IF(OR(Table1[[#This Row],[Início Setup Envase]]="",Table1[[#This Row],[Final Setup Envase]]=""),"",Table1[[#This Row],[Final Setup Envase]]-Table1[[#This Row],[Início Setup Envase]])</f>
        <v/>
      </c>
      <c r="AP1709" s="663"/>
      <c r="AQ1709" s="663"/>
      <c r="AR1709" s="270"/>
      <c r="AS1709" s="674"/>
      <c r="AT1709" s="674"/>
      <c r="AU1709" s="270"/>
      <c r="AV1709" s="270"/>
      <c r="AW1709" s="270"/>
      <c r="AX1709" s="270"/>
      <c r="AY1709" s="270"/>
      <c r="AZ1709" s="270"/>
      <c r="BA1709" s="270" t="str">
        <f>IF(Table1[[#This Row],[Data de Início]]="","",YEAR(Table1[[#This Row],[Data de Início]]))</f>
        <v/>
      </c>
      <c r="BB1709" s="270" t="str">
        <f>IF(Table1[[#This Row],[Data de Início]]="","",MONTH(Table1[[#This Row],[Data de Início]]))</f>
        <v/>
      </c>
      <c r="BC1709" s="483"/>
    </row>
    <row r="1710" spans="2:55" x14ac:dyDescent="0.25">
      <c r="B1710" s="470"/>
      <c r="C1710" s="263"/>
      <c r="D1710" s="477" cm="1">
        <f t="array" ref="D1710">IFERROR(HorasUteisFabrica2Turnos(B1710,C1710), "")</f>
        <v>0</v>
      </c>
      <c r="E1710" s="478" t="str">
        <f t="shared" si="27"/>
        <v/>
      </c>
      <c r="F1710" s="266"/>
      <c r="G1710" s="656"/>
      <c r="H1710" s="479"/>
      <c r="I1710" s="268"/>
      <c r="J1710" s="268"/>
      <c r="K1710" s="268"/>
      <c r="L1710" s="269"/>
      <c r="M1710" s="511" t="str">
        <f>IFERROR(INDEX([1]Produtos!$C:$C,MATCH(L1710,[1]Produtos!$B:$B,0)), "-")</f>
        <v>-</v>
      </c>
      <c r="N1710" s="511" t="str">
        <f>IFERROR(INDEX([1]Produtos!$E:$E,MATCH(L1710,[1]Produtos!$B:$B,0)), "-")</f>
        <v>-</v>
      </c>
      <c r="O1710" s="483" t="str">
        <f>IFERROR(INDEX([1]Produtos!$F:$F,MATCH(L1710,[1]Produtos!$B:$B,0)), "-")</f>
        <v>-</v>
      </c>
      <c r="P1710" s="477" t="str">
        <f>IFERROR(INDEX([1]Produtos!$G:$G,MATCH(L1710,[1]Produtos!$B:$B,0)), "-")</f>
        <v>-</v>
      </c>
      <c r="Q1710" s="483" t="str">
        <f>IFERROR(INDEX([1]Produtos!$H:$H,MATCH(L1710,[1]Produtos!$B:$B,0)), "-")</f>
        <v>-</v>
      </c>
      <c r="R1710" s="483" t="str">
        <f>IFERROR(INDEX([1]Produtos!$I:$I,MATCH(L1710,[1]Produtos!$B:$B,0)), "-")</f>
        <v>-</v>
      </c>
      <c r="S1710" s="483" t="str">
        <f>IFERROR(INDEX([1]Produtos!$J:$J,MATCH(L1710,[1]Produtos!$B:$B,0)), "-")</f>
        <v>-</v>
      </c>
      <c r="T1710" s="484"/>
      <c r="U1710" s="483"/>
      <c r="V1710" s="483"/>
      <c r="W1710" s="483"/>
      <c r="X1710" s="483"/>
      <c r="Y1710" s="483"/>
      <c r="Z1710" s="483"/>
      <c r="AA1710" s="483"/>
      <c r="AB1710" s="483"/>
      <c r="AC1710" s="483"/>
      <c r="AD1710" s="483"/>
      <c r="AE1710" s="483"/>
      <c r="AF1710" s="483"/>
      <c r="AG1710" s="483"/>
      <c r="AH1710" s="483"/>
      <c r="AI1710" s="483"/>
      <c r="AJ1710" s="483"/>
      <c r="AK1710" s="483"/>
      <c r="AL1710" s="483"/>
      <c r="AM1710" s="670"/>
      <c r="AN1710" s="670"/>
      <c r="AO1710" s="711" t="str">
        <f>IF(OR(Table1[[#This Row],[Início Setup Envase]]="",Table1[[#This Row],[Final Setup Envase]]=""),"",Table1[[#This Row],[Final Setup Envase]]-Table1[[#This Row],[Início Setup Envase]])</f>
        <v/>
      </c>
      <c r="AP1710" s="670"/>
      <c r="AQ1710" s="670"/>
      <c r="AR1710" s="483"/>
      <c r="AS1710" s="483"/>
      <c r="AT1710" s="483"/>
      <c r="AU1710" s="483"/>
      <c r="AV1710" s="483"/>
      <c r="AW1710" s="483"/>
      <c r="AX1710" s="483"/>
      <c r="AY1710" s="270"/>
      <c r="AZ1710" s="270"/>
      <c r="BA1710" s="270" t="str">
        <f>IF(Table1[[#This Row],[Data de Início]]="","",YEAR(Table1[[#This Row],[Data de Início]]))</f>
        <v/>
      </c>
      <c r="BB1710" s="270" t="str">
        <f>IF(Table1[[#This Row],[Data de Início]]="","",MONTH(Table1[[#This Row],[Data de Início]]))</f>
        <v/>
      </c>
      <c r="BC1710" s="270"/>
    </row>
    <row r="1711" spans="2:55" x14ac:dyDescent="0.25">
      <c r="B1711" s="470"/>
      <c r="C1711" s="263"/>
      <c r="D1711" s="477" cm="1">
        <f t="array" ref="D1711">IFERROR(HorasUteisFabrica2Turnos(B1711,C1711), "")</f>
        <v>0</v>
      </c>
      <c r="E1711" s="697" t="str">
        <f t="shared" si="27"/>
        <v/>
      </c>
      <c r="F1711" s="266"/>
      <c r="G1711" s="698"/>
      <c r="H1711" s="266"/>
      <c r="I1711" s="268"/>
      <c r="J1711" s="268"/>
      <c r="K1711" s="268"/>
      <c r="L1711" s="269"/>
      <c r="M1711" s="510" t="str">
        <f>IFERROR(INDEX([1]Produtos!$C:$C,MATCH(L1711,[1]Produtos!$B:$B,0)), "-")</f>
        <v>-</v>
      </c>
      <c r="N1711" s="510" t="str">
        <f>IFERROR(INDEX([1]Produtos!$E:$E,MATCH(L1711,[1]Produtos!$B:$B,0)), "-")</f>
        <v>-</v>
      </c>
      <c r="O1711" s="270" t="str">
        <f>IFERROR(INDEX([1]Produtos!$F:$F,MATCH(L1711,[1]Produtos!$B:$B,0)), "-")</f>
        <v>-</v>
      </c>
      <c r="P1711" s="264" t="str">
        <f>IFERROR(INDEX([1]Produtos!$G:$G,MATCH(L1711,[1]Produtos!$B:$B,0)), "-")</f>
        <v>-</v>
      </c>
      <c r="Q1711" s="270" t="str">
        <f>IFERROR(INDEX([1]Produtos!$H:$H,MATCH(L1711,[1]Produtos!$B:$B,0)), "-")</f>
        <v>-</v>
      </c>
      <c r="R1711" s="270" t="str">
        <f>IFERROR(INDEX([1]Produtos!$I:$I,MATCH(L1711,[1]Produtos!$B:$B,0)), "-")</f>
        <v>-</v>
      </c>
      <c r="S1711" s="270" t="str">
        <f>IFERROR(INDEX([1]Produtos!$J:$J,MATCH(L1711,[1]Produtos!$B:$B,0)), "-")</f>
        <v>-</v>
      </c>
      <c r="T1711" s="475"/>
      <c r="U1711" s="270"/>
      <c r="V1711" s="270"/>
      <c r="W1711" s="270"/>
      <c r="X1711" s="270"/>
      <c r="Y1711" s="270"/>
      <c r="Z1711" s="270"/>
      <c r="AA1711" s="270"/>
      <c r="AB1711" s="270"/>
      <c r="AC1711" s="270"/>
      <c r="AD1711" s="270"/>
      <c r="AE1711" s="270"/>
      <c r="AF1711" s="270"/>
      <c r="AG1711" s="270"/>
      <c r="AH1711" s="270"/>
      <c r="AI1711" s="270"/>
      <c r="AJ1711" s="270"/>
      <c r="AK1711" s="270"/>
      <c r="AL1711" s="270"/>
      <c r="AM1711" s="663"/>
      <c r="AN1711" s="663"/>
      <c r="AO1711" s="708" t="str">
        <f>IF(OR(Table1[[#This Row],[Início Setup Envase]]="",Table1[[#This Row],[Final Setup Envase]]=""),"",Table1[[#This Row],[Final Setup Envase]]-Table1[[#This Row],[Início Setup Envase]])</f>
        <v/>
      </c>
      <c r="AP1711" s="663"/>
      <c r="AQ1711" s="663"/>
      <c r="AR1711" s="270"/>
      <c r="AS1711" s="674"/>
      <c r="AT1711" s="674"/>
      <c r="AU1711" s="270"/>
      <c r="AV1711" s="270"/>
      <c r="AW1711" s="270"/>
      <c r="AX1711" s="270"/>
      <c r="AY1711" s="270"/>
      <c r="AZ1711" s="270"/>
      <c r="BA1711" s="270" t="str">
        <f>IF(Table1[[#This Row],[Data de Início]]="","",YEAR(Table1[[#This Row],[Data de Início]]))</f>
        <v/>
      </c>
      <c r="BB1711" s="270" t="str">
        <f>IF(Table1[[#This Row],[Data de Início]]="","",MONTH(Table1[[#This Row],[Data de Início]]))</f>
        <v/>
      </c>
      <c r="BC1711" s="483"/>
    </row>
    <row r="1712" spans="2:55" x14ac:dyDescent="0.25">
      <c r="B1712" s="470"/>
      <c r="C1712" s="263"/>
      <c r="D1712" s="477" cm="1">
        <f t="array" ref="D1712">IFERROR(HorasUteisFabrica2Turnos(B1712,C1712), "")</f>
        <v>0</v>
      </c>
      <c r="E1712" s="478" t="str">
        <f t="shared" si="27"/>
        <v/>
      </c>
      <c r="F1712" s="266"/>
      <c r="G1712" s="656"/>
      <c r="H1712" s="479"/>
      <c r="I1712" s="268"/>
      <c r="J1712" s="268"/>
      <c r="K1712" s="268"/>
      <c r="L1712" s="269"/>
      <c r="M1712" s="511" t="str">
        <f>IFERROR(INDEX([1]Produtos!$C:$C,MATCH(L1712,[1]Produtos!$B:$B,0)), "-")</f>
        <v>-</v>
      </c>
      <c r="N1712" s="511" t="str">
        <f>IFERROR(INDEX([1]Produtos!$E:$E,MATCH(L1712,[1]Produtos!$B:$B,0)), "-")</f>
        <v>-</v>
      </c>
      <c r="O1712" s="483" t="str">
        <f>IFERROR(INDEX([1]Produtos!$F:$F,MATCH(L1712,[1]Produtos!$B:$B,0)), "-")</f>
        <v>-</v>
      </c>
      <c r="P1712" s="477" t="str">
        <f>IFERROR(INDEX([1]Produtos!$G:$G,MATCH(L1712,[1]Produtos!$B:$B,0)), "-")</f>
        <v>-</v>
      </c>
      <c r="Q1712" s="483" t="str">
        <f>IFERROR(INDEX([1]Produtos!$H:$H,MATCH(L1712,[1]Produtos!$B:$B,0)), "-")</f>
        <v>-</v>
      </c>
      <c r="R1712" s="483" t="str">
        <f>IFERROR(INDEX([1]Produtos!$I:$I,MATCH(L1712,[1]Produtos!$B:$B,0)), "-")</f>
        <v>-</v>
      </c>
      <c r="S1712" s="483" t="str">
        <f>IFERROR(INDEX([1]Produtos!$J:$J,MATCH(L1712,[1]Produtos!$B:$B,0)), "-")</f>
        <v>-</v>
      </c>
      <c r="T1712" s="484"/>
      <c r="U1712" s="483"/>
      <c r="V1712" s="483"/>
      <c r="W1712" s="483"/>
      <c r="X1712" s="483"/>
      <c r="Y1712" s="483"/>
      <c r="Z1712" s="483"/>
      <c r="AA1712" s="483"/>
      <c r="AB1712" s="483"/>
      <c r="AC1712" s="483"/>
      <c r="AD1712" s="483"/>
      <c r="AE1712" s="483"/>
      <c r="AF1712" s="483"/>
      <c r="AG1712" s="483"/>
      <c r="AH1712" s="483"/>
      <c r="AI1712" s="483"/>
      <c r="AJ1712" s="483"/>
      <c r="AK1712" s="483"/>
      <c r="AL1712" s="483"/>
      <c r="AM1712" s="670"/>
      <c r="AN1712" s="670"/>
      <c r="AO1712" s="711" t="str">
        <f>IF(OR(Table1[[#This Row],[Início Setup Envase]]="",Table1[[#This Row],[Final Setup Envase]]=""),"",Table1[[#This Row],[Final Setup Envase]]-Table1[[#This Row],[Início Setup Envase]])</f>
        <v/>
      </c>
      <c r="AP1712" s="670"/>
      <c r="AQ1712" s="670"/>
      <c r="AR1712" s="483"/>
      <c r="AS1712" s="483"/>
      <c r="AT1712" s="483"/>
      <c r="AU1712" s="483"/>
      <c r="AV1712" s="483"/>
      <c r="AW1712" s="483"/>
      <c r="AX1712" s="483"/>
      <c r="AY1712" s="270"/>
      <c r="AZ1712" s="270"/>
      <c r="BA1712" s="270" t="str">
        <f>IF(Table1[[#This Row],[Data de Início]]="","",YEAR(Table1[[#This Row],[Data de Início]]))</f>
        <v/>
      </c>
      <c r="BB1712" s="270" t="str">
        <f>IF(Table1[[#This Row],[Data de Início]]="","",MONTH(Table1[[#This Row],[Data de Início]]))</f>
        <v/>
      </c>
      <c r="BC1712" s="270"/>
    </row>
    <row r="1713" spans="2:55" x14ac:dyDescent="0.25">
      <c r="B1713" s="470"/>
      <c r="C1713" s="263"/>
      <c r="D1713" s="477" cm="1">
        <f t="array" ref="D1713">IFERROR(HorasUteisFabrica2Turnos(B1713,C1713), "")</f>
        <v>0</v>
      </c>
      <c r="E1713" s="697" t="str">
        <f t="shared" si="27"/>
        <v/>
      </c>
      <c r="F1713" s="266"/>
      <c r="G1713" s="698"/>
      <c r="H1713" s="266"/>
      <c r="I1713" s="268"/>
      <c r="J1713" s="268"/>
      <c r="K1713" s="268"/>
      <c r="L1713" s="269"/>
      <c r="M1713" s="510" t="str">
        <f>IFERROR(INDEX([1]Produtos!$C:$C,MATCH(L1713,[1]Produtos!$B:$B,0)), "-")</f>
        <v>-</v>
      </c>
      <c r="N1713" s="510" t="str">
        <f>IFERROR(INDEX([1]Produtos!$E:$E,MATCH(L1713,[1]Produtos!$B:$B,0)), "-")</f>
        <v>-</v>
      </c>
      <c r="O1713" s="270" t="str">
        <f>IFERROR(INDEX([1]Produtos!$F:$F,MATCH(L1713,[1]Produtos!$B:$B,0)), "-")</f>
        <v>-</v>
      </c>
      <c r="P1713" s="264" t="str">
        <f>IFERROR(INDEX([1]Produtos!$G:$G,MATCH(L1713,[1]Produtos!$B:$B,0)), "-")</f>
        <v>-</v>
      </c>
      <c r="Q1713" s="270" t="str">
        <f>IFERROR(INDEX([1]Produtos!$H:$H,MATCH(L1713,[1]Produtos!$B:$B,0)), "-")</f>
        <v>-</v>
      </c>
      <c r="R1713" s="270" t="str">
        <f>IFERROR(INDEX([1]Produtos!$I:$I,MATCH(L1713,[1]Produtos!$B:$B,0)), "-")</f>
        <v>-</v>
      </c>
      <c r="S1713" s="270" t="str">
        <f>IFERROR(INDEX([1]Produtos!$J:$J,MATCH(L1713,[1]Produtos!$B:$B,0)), "-")</f>
        <v>-</v>
      </c>
      <c r="T1713" s="475"/>
      <c r="U1713" s="270"/>
      <c r="V1713" s="270"/>
      <c r="W1713" s="270"/>
      <c r="X1713" s="270"/>
      <c r="Y1713" s="270"/>
      <c r="Z1713" s="270"/>
      <c r="AA1713" s="270"/>
      <c r="AB1713" s="270"/>
      <c r="AC1713" s="270"/>
      <c r="AD1713" s="270"/>
      <c r="AE1713" s="270"/>
      <c r="AF1713" s="270"/>
      <c r="AG1713" s="270"/>
      <c r="AH1713" s="270"/>
      <c r="AI1713" s="270"/>
      <c r="AJ1713" s="270"/>
      <c r="AK1713" s="270"/>
      <c r="AL1713" s="270"/>
      <c r="AM1713" s="663"/>
      <c r="AN1713" s="663"/>
      <c r="AO1713" s="708" t="str">
        <f>IF(OR(Table1[[#This Row],[Início Setup Envase]]="",Table1[[#This Row],[Final Setup Envase]]=""),"",Table1[[#This Row],[Final Setup Envase]]-Table1[[#This Row],[Início Setup Envase]])</f>
        <v/>
      </c>
      <c r="AP1713" s="663"/>
      <c r="AQ1713" s="663"/>
      <c r="AR1713" s="270"/>
      <c r="AS1713" s="674"/>
      <c r="AT1713" s="674"/>
      <c r="AU1713" s="270"/>
      <c r="AV1713" s="270"/>
      <c r="AW1713" s="270"/>
      <c r="AX1713" s="270"/>
      <c r="AY1713" s="270"/>
      <c r="AZ1713" s="270"/>
      <c r="BA1713" s="270" t="str">
        <f>IF(Table1[[#This Row],[Data de Início]]="","",YEAR(Table1[[#This Row],[Data de Início]]))</f>
        <v/>
      </c>
      <c r="BB1713" s="270" t="str">
        <f>IF(Table1[[#This Row],[Data de Início]]="","",MONTH(Table1[[#This Row],[Data de Início]]))</f>
        <v/>
      </c>
      <c r="BC1713" s="483"/>
    </row>
    <row r="1714" spans="2:55" x14ac:dyDescent="0.25">
      <c r="B1714" s="470"/>
      <c r="C1714" s="263"/>
      <c r="D1714" s="477" cm="1">
        <f t="array" ref="D1714">IFERROR(HorasUteisFabrica2Turnos(B1714,C1714), "")</f>
        <v>0</v>
      </c>
      <c r="E1714" s="478" t="str">
        <f t="shared" si="27"/>
        <v/>
      </c>
      <c r="F1714" s="266"/>
      <c r="G1714" s="656"/>
      <c r="H1714" s="479"/>
      <c r="I1714" s="268"/>
      <c r="J1714" s="268"/>
      <c r="K1714" s="268"/>
      <c r="L1714" s="269"/>
      <c r="M1714" s="511" t="str">
        <f>IFERROR(INDEX([1]Produtos!$C:$C,MATCH(L1714,[1]Produtos!$B:$B,0)), "-")</f>
        <v>-</v>
      </c>
      <c r="N1714" s="511" t="str">
        <f>IFERROR(INDEX([1]Produtos!$E:$E,MATCH(L1714,[1]Produtos!$B:$B,0)), "-")</f>
        <v>-</v>
      </c>
      <c r="O1714" s="483" t="str">
        <f>IFERROR(INDEX([1]Produtos!$F:$F,MATCH(L1714,[1]Produtos!$B:$B,0)), "-")</f>
        <v>-</v>
      </c>
      <c r="P1714" s="477" t="str">
        <f>IFERROR(INDEX([1]Produtos!$G:$G,MATCH(L1714,[1]Produtos!$B:$B,0)), "-")</f>
        <v>-</v>
      </c>
      <c r="Q1714" s="483" t="str">
        <f>IFERROR(INDEX([1]Produtos!$H:$H,MATCH(L1714,[1]Produtos!$B:$B,0)), "-")</f>
        <v>-</v>
      </c>
      <c r="R1714" s="483" t="str">
        <f>IFERROR(INDEX([1]Produtos!$I:$I,MATCH(L1714,[1]Produtos!$B:$B,0)), "-")</f>
        <v>-</v>
      </c>
      <c r="S1714" s="483" t="str">
        <f>IFERROR(INDEX([1]Produtos!$J:$J,MATCH(L1714,[1]Produtos!$B:$B,0)), "-")</f>
        <v>-</v>
      </c>
      <c r="T1714" s="484"/>
      <c r="U1714" s="483"/>
      <c r="V1714" s="483"/>
      <c r="W1714" s="483"/>
      <c r="X1714" s="483"/>
      <c r="Y1714" s="483"/>
      <c r="Z1714" s="483"/>
      <c r="AA1714" s="483"/>
      <c r="AB1714" s="483"/>
      <c r="AC1714" s="483"/>
      <c r="AD1714" s="483"/>
      <c r="AE1714" s="483"/>
      <c r="AF1714" s="483"/>
      <c r="AG1714" s="483"/>
      <c r="AH1714" s="483"/>
      <c r="AI1714" s="483"/>
      <c r="AJ1714" s="483"/>
      <c r="AK1714" s="483"/>
      <c r="AL1714" s="483"/>
      <c r="AM1714" s="670"/>
      <c r="AN1714" s="670"/>
      <c r="AO1714" s="711" t="str">
        <f>IF(OR(Table1[[#This Row],[Início Setup Envase]]="",Table1[[#This Row],[Final Setup Envase]]=""),"",Table1[[#This Row],[Final Setup Envase]]-Table1[[#This Row],[Início Setup Envase]])</f>
        <v/>
      </c>
      <c r="AP1714" s="670"/>
      <c r="AQ1714" s="670"/>
      <c r="AR1714" s="483"/>
      <c r="AS1714" s="483"/>
      <c r="AT1714" s="483"/>
      <c r="AU1714" s="483"/>
      <c r="AV1714" s="483"/>
      <c r="AW1714" s="483"/>
      <c r="AX1714" s="483"/>
      <c r="AY1714" s="270"/>
      <c r="AZ1714" s="270"/>
      <c r="BA1714" s="270" t="str">
        <f>IF(Table1[[#This Row],[Data de Início]]="","",YEAR(Table1[[#This Row],[Data de Início]]))</f>
        <v/>
      </c>
      <c r="BB1714" s="270" t="str">
        <f>IF(Table1[[#This Row],[Data de Início]]="","",MONTH(Table1[[#This Row],[Data de Início]]))</f>
        <v/>
      </c>
      <c r="BC1714" s="270"/>
    </row>
    <row r="1715" spans="2:55" x14ac:dyDescent="0.25">
      <c r="B1715" s="470"/>
      <c r="C1715" s="263"/>
      <c r="D1715" s="477" cm="1">
        <f t="array" ref="D1715">IFERROR(HorasUteisFabrica2Turnos(B1715,C1715), "")</f>
        <v>0</v>
      </c>
      <c r="E1715" s="697" t="str">
        <f t="shared" si="27"/>
        <v/>
      </c>
      <c r="F1715" s="266"/>
      <c r="G1715" s="698"/>
      <c r="H1715" s="266"/>
      <c r="I1715" s="268"/>
      <c r="J1715" s="268"/>
      <c r="K1715" s="268"/>
      <c r="L1715" s="269"/>
      <c r="M1715" s="510" t="str">
        <f>IFERROR(INDEX([1]Produtos!$C:$C,MATCH(L1715,[1]Produtos!$B:$B,0)), "-")</f>
        <v>-</v>
      </c>
      <c r="N1715" s="510" t="str">
        <f>IFERROR(INDEX([1]Produtos!$E:$E,MATCH(L1715,[1]Produtos!$B:$B,0)), "-")</f>
        <v>-</v>
      </c>
      <c r="O1715" s="270" t="str">
        <f>IFERROR(INDEX([1]Produtos!$F:$F,MATCH(L1715,[1]Produtos!$B:$B,0)), "-")</f>
        <v>-</v>
      </c>
      <c r="P1715" s="264" t="str">
        <f>IFERROR(INDEX([1]Produtos!$G:$G,MATCH(L1715,[1]Produtos!$B:$B,0)), "-")</f>
        <v>-</v>
      </c>
      <c r="Q1715" s="270" t="str">
        <f>IFERROR(INDEX([1]Produtos!$H:$H,MATCH(L1715,[1]Produtos!$B:$B,0)), "-")</f>
        <v>-</v>
      </c>
      <c r="R1715" s="270" t="str">
        <f>IFERROR(INDEX([1]Produtos!$I:$I,MATCH(L1715,[1]Produtos!$B:$B,0)), "-")</f>
        <v>-</v>
      </c>
      <c r="S1715" s="270" t="str">
        <f>IFERROR(INDEX([1]Produtos!$J:$J,MATCH(L1715,[1]Produtos!$B:$B,0)), "-")</f>
        <v>-</v>
      </c>
      <c r="T1715" s="475"/>
      <c r="U1715" s="270"/>
      <c r="V1715" s="270"/>
      <c r="W1715" s="270"/>
      <c r="X1715" s="270"/>
      <c r="Y1715" s="270"/>
      <c r="Z1715" s="270"/>
      <c r="AA1715" s="270"/>
      <c r="AB1715" s="270"/>
      <c r="AC1715" s="270"/>
      <c r="AD1715" s="270"/>
      <c r="AE1715" s="270"/>
      <c r="AF1715" s="270"/>
      <c r="AG1715" s="270"/>
      <c r="AH1715" s="270"/>
      <c r="AI1715" s="270"/>
      <c r="AJ1715" s="270"/>
      <c r="AK1715" s="270"/>
      <c r="AL1715" s="270"/>
      <c r="AM1715" s="663"/>
      <c r="AN1715" s="663"/>
      <c r="AO1715" s="708" t="str">
        <f>IF(OR(Table1[[#This Row],[Início Setup Envase]]="",Table1[[#This Row],[Final Setup Envase]]=""),"",Table1[[#This Row],[Final Setup Envase]]-Table1[[#This Row],[Início Setup Envase]])</f>
        <v/>
      </c>
      <c r="AP1715" s="663"/>
      <c r="AQ1715" s="663"/>
      <c r="AR1715" s="270"/>
      <c r="AS1715" s="674"/>
      <c r="AT1715" s="674"/>
      <c r="AU1715" s="270"/>
      <c r="AV1715" s="270"/>
      <c r="AW1715" s="270"/>
      <c r="AX1715" s="270"/>
      <c r="AY1715" s="270"/>
      <c r="AZ1715" s="270"/>
      <c r="BA1715" s="270" t="str">
        <f>IF(Table1[[#This Row],[Data de Início]]="","",YEAR(Table1[[#This Row],[Data de Início]]))</f>
        <v/>
      </c>
      <c r="BB1715" s="270" t="str">
        <f>IF(Table1[[#This Row],[Data de Início]]="","",MONTH(Table1[[#This Row],[Data de Início]]))</f>
        <v/>
      </c>
      <c r="BC1715" s="483"/>
    </row>
    <row r="1716" spans="2:55" x14ac:dyDescent="0.25">
      <c r="B1716" s="470"/>
      <c r="C1716" s="263"/>
      <c r="D1716" s="477" cm="1">
        <f t="array" ref="D1716">IFERROR(HorasUteisFabrica2Turnos(B1716,C1716), "")</f>
        <v>0</v>
      </c>
      <c r="E1716" s="478" t="str">
        <f t="shared" si="27"/>
        <v/>
      </c>
      <c r="F1716" s="266"/>
      <c r="G1716" s="656"/>
      <c r="H1716" s="479"/>
      <c r="I1716" s="268"/>
      <c r="J1716" s="268"/>
      <c r="K1716" s="268"/>
      <c r="L1716" s="269"/>
      <c r="M1716" s="511" t="str">
        <f>IFERROR(INDEX([1]Produtos!$C:$C,MATCH(L1716,[1]Produtos!$B:$B,0)), "-")</f>
        <v>-</v>
      </c>
      <c r="N1716" s="511" t="str">
        <f>IFERROR(INDEX([1]Produtos!$E:$E,MATCH(L1716,[1]Produtos!$B:$B,0)), "-")</f>
        <v>-</v>
      </c>
      <c r="O1716" s="483" t="str">
        <f>IFERROR(INDEX([1]Produtos!$F:$F,MATCH(L1716,[1]Produtos!$B:$B,0)), "-")</f>
        <v>-</v>
      </c>
      <c r="P1716" s="477" t="str">
        <f>IFERROR(INDEX([1]Produtos!$G:$G,MATCH(L1716,[1]Produtos!$B:$B,0)), "-")</f>
        <v>-</v>
      </c>
      <c r="Q1716" s="483" t="str">
        <f>IFERROR(INDEX([1]Produtos!$H:$H,MATCH(L1716,[1]Produtos!$B:$B,0)), "-")</f>
        <v>-</v>
      </c>
      <c r="R1716" s="483" t="str">
        <f>IFERROR(INDEX([1]Produtos!$I:$I,MATCH(L1716,[1]Produtos!$B:$B,0)), "-")</f>
        <v>-</v>
      </c>
      <c r="S1716" s="483" t="str">
        <f>IFERROR(INDEX([1]Produtos!$J:$J,MATCH(L1716,[1]Produtos!$B:$B,0)), "-")</f>
        <v>-</v>
      </c>
      <c r="T1716" s="484"/>
      <c r="U1716" s="483"/>
      <c r="V1716" s="483"/>
      <c r="W1716" s="483"/>
      <c r="X1716" s="483"/>
      <c r="Y1716" s="483"/>
      <c r="Z1716" s="483"/>
      <c r="AA1716" s="483"/>
      <c r="AB1716" s="483"/>
      <c r="AC1716" s="483"/>
      <c r="AD1716" s="483"/>
      <c r="AE1716" s="483"/>
      <c r="AF1716" s="483"/>
      <c r="AG1716" s="483"/>
      <c r="AH1716" s="483"/>
      <c r="AI1716" s="483"/>
      <c r="AJ1716" s="483"/>
      <c r="AK1716" s="483"/>
      <c r="AL1716" s="483"/>
      <c r="AM1716" s="670"/>
      <c r="AN1716" s="670"/>
      <c r="AO1716" s="711" t="str">
        <f>IF(OR(Table1[[#This Row],[Início Setup Envase]]="",Table1[[#This Row],[Final Setup Envase]]=""),"",Table1[[#This Row],[Final Setup Envase]]-Table1[[#This Row],[Início Setup Envase]])</f>
        <v/>
      </c>
      <c r="AP1716" s="670"/>
      <c r="AQ1716" s="670"/>
      <c r="AR1716" s="483"/>
      <c r="AS1716" s="483"/>
      <c r="AT1716" s="483"/>
      <c r="AU1716" s="483"/>
      <c r="AV1716" s="483"/>
      <c r="AW1716" s="483"/>
      <c r="AX1716" s="483"/>
      <c r="AY1716" s="270"/>
      <c r="AZ1716" s="270"/>
      <c r="BA1716" s="270" t="str">
        <f>IF(Table1[[#This Row],[Data de Início]]="","",YEAR(Table1[[#This Row],[Data de Início]]))</f>
        <v/>
      </c>
      <c r="BB1716" s="270" t="str">
        <f>IF(Table1[[#This Row],[Data de Início]]="","",MONTH(Table1[[#This Row],[Data de Início]]))</f>
        <v/>
      </c>
      <c r="BC1716" s="270"/>
    </row>
    <row r="1717" spans="2:55" x14ac:dyDescent="0.25">
      <c r="B1717" s="470"/>
      <c r="C1717" s="263"/>
      <c r="D1717" s="477" cm="1">
        <f t="array" ref="D1717">IFERROR(HorasUteisFabrica2Turnos(B1717,C1717), "")</f>
        <v>0</v>
      </c>
      <c r="E1717" s="697" t="str">
        <f t="shared" si="27"/>
        <v/>
      </c>
      <c r="F1717" s="266"/>
      <c r="G1717" s="698"/>
      <c r="H1717" s="266"/>
      <c r="I1717" s="268"/>
      <c r="J1717" s="268"/>
      <c r="K1717" s="268"/>
      <c r="L1717" s="269"/>
      <c r="M1717" s="510" t="str">
        <f>IFERROR(INDEX([1]Produtos!$C:$C,MATCH(L1717,[1]Produtos!$B:$B,0)), "-")</f>
        <v>-</v>
      </c>
      <c r="N1717" s="510" t="str">
        <f>IFERROR(INDEX([1]Produtos!$E:$E,MATCH(L1717,[1]Produtos!$B:$B,0)), "-")</f>
        <v>-</v>
      </c>
      <c r="O1717" s="270" t="str">
        <f>IFERROR(INDEX([1]Produtos!$F:$F,MATCH(L1717,[1]Produtos!$B:$B,0)), "-")</f>
        <v>-</v>
      </c>
      <c r="P1717" s="264" t="str">
        <f>IFERROR(INDEX([1]Produtos!$G:$G,MATCH(L1717,[1]Produtos!$B:$B,0)), "-")</f>
        <v>-</v>
      </c>
      <c r="Q1717" s="270" t="str">
        <f>IFERROR(INDEX([1]Produtos!$H:$H,MATCH(L1717,[1]Produtos!$B:$B,0)), "-")</f>
        <v>-</v>
      </c>
      <c r="R1717" s="270" t="str">
        <f>IFERROR(INDEX([1]Produtos!$I:$I,MATCH(L1717,[1]Produtos!$B:$B,0)), "-")</f>
        <v>-</v>
      </c>
      <c r="S1717" s="270" t="str">
        <f>IFERROR(INDEX([1]Produtos!$J:$J,MATCH(L1717,[1]Produtos!$B:$B,0)), "-")</f>
        <v>-</v>
      </c>
      <c r="T1717" s="475"/>
      <c r="U1717" s="270"/>
      <c r="V1717" s="270"/>
      <c r="W1717" s="270"/>
      <c r="X1717" s="270"/>
      <c r="Y1717" s="270"/>
      <c r="Z1717" s="270"/>
      <c r="AA1717" s="270"/>
      <c r="AB1717" s="270"/>
      <c r="AC1717" s="270"/>
      <c r="AD1717" s="270"/>
      <c r="AE1717" s="270"/>
      <c r="AF1717" s="270"/>
      <c r="AG1717" s="270"/>
      <c r="AH1717" s="270"/>
      <c r="AI1717" s="270"/>
      <c r="AJ1717" s="270"/>
      <c r="AK1717" s="270"/>
      <c r="AL1717" s="270"/>
      <c r="AM1717" s="663"/>
      <c r="AN1717" s="663"/>
      <c r="AO1717" s="708" t="str">
        <f>IF(OR(Table1[[#This Row],[Início Setup Envase]]="",Table1[[#This Row],[Final Setup Envase]]=""),"",Table1[[#This Row],[Final Setup Envase]]-Table1[[#This Row],[Início Setup Envase]])</f>
        <v/>
      </c>
      <c r="AP1717" s="663"/>
      <c r="AQ1717" s="663"/>
      <c r="AR1717" s="270"/>
      <c r="AS1717" s="674"/>
      <c r="AT1717" s="674"/>
      <c r="AU1717" s="270"/>
      <c r="AV1717" s="270"/>
      <c r="AW1717" s="270"/>
      <c r="AX1717" s="270"/>
      <c r="AY1717" s="270"/>
      <c r="AZ1717" s="270"/>
      <c r="BA1717" s="270" t="str">
        <f>IF(Table1[[#This Row],[Data de Início]]="","",YEAR(Table1[[#This Row],[Data de Início]]))</f>
        <v/>
      </c>
      <c r="BB1717" s="270" t="str">
        <f>IF(Table1[[#This Row],[Data de Início]]="","",MONTH(Table1[[#This Row],[Data de Início]]))</f>
        <v/>
      </c>
      <c r="BC1717" s="483"/>
    </row>
    <row r="1718" spans="2:55" x14ac:dyDescent="0.25">
      <c r="B1718" s="470"/>
      <c r="C1718" s="263"/>
      <c r="D1718" s="477" cm="1">
        <f t="array" ref="D1718">IFERROR(HorasUteisFabrica2Turnos(B1718,C1718), "")</f>
        <v>0</v>
      </c>
      <c r="E1718" s="478" t="str">
        <f t="shared" si="27"/>
        <v/>
      </c>
      <c r="F1718" s="266"/>
      <c r="G1718" s="656"/>
      <c r="H1718" s="479"/>
      <c r="I1718" s="268"/>
      <c r="J1718" s="268"/>
      <c r="K1718" s="268"/>
      <c r="L1718" s="269"/>
      <c r="M1718" s="511" t="str">
        <f>IFERROR(INDEX([1]Produtos!$C:$C,MATCH(L1718,[1]Produtos!$B:$B,0)), "-")</f>
        <v>-</v>
      </c>
      <c r="N1718" s="511" t="str">
        <f>IFERROR(INDEX([1]Produtos!$E:$E,MATCH(L1718,[1]Produtos!$B:$B,0)), "-")</f>
        <v>-</v>
      </c>
      <c r="O1718" s="483" t="str">
        <f>IFERROR(INDEX([1]Produtos!$F:$F,MATCH(L1718,[1]Produtos!$B:$B,0)), "-")</f>
        <v>-</v>
      </c>
      <c r="P1718" s="477" t="str">
        <f>IFERROR(INDEX([1]Produtos!$G:$G,MATCH(L1718,[1]Produtos!$B:$B,0)), "-")</f>
        <v>-</v>
      </c>
      <c r="Q1718" s="483" t="str">
        <f>IFERROR(INDEX([1]Produtos!$H:$H,MATCH(L1718,[1]Produtos!$B:$B,0)), "-")</f>
        <v>-</v>
      </c>
      <c r="R1718" s="483" t="str">
        <f>IFERROR(INDEX([1]Produtos!$I:$I,MATCH(L1718,[1]Produtos!$B:$B,0)), "-")</f>
        <v>-</v>
      </c>
      <c r="S1718" s="483" t="str">
        <f>IFERROR(INDEX([1]Produtos!$J:$J,MATCH(L1718,[1]Produtos!$B:$B,0)), "-")</f>
        <v>-</v>
      </c>
      <c r="T1718" s="484"/>
      <c r="U1718" s="483"/>
      <c r="V1718" s="483"/>
      <c r="W1718" s="483"/>
      <c r="X1718" s="483"/>
      <c r="Y1718" s="483"/>
      <c r="Z1718" s="483"/>
      <c r="AA1718" s="483"/>
      <c r="AB1718" s="483"/>
      <c r="AC1718" s="483"/>
      <c r="AD1718" s="483"/>
      <c r="AE1718" s="483"/>
      <c r="AF1718" s="483"/>
      <c r="AG1718" s="483"/>
      <c r="AH1718" s="483"/>
      <c r="AI1718" s="483"/>
      <c r="AJ1718" s="483"/>
      <c r="AK1718" s="483"/>
      <c r="AL1718" s="483"/>
      <c r="AM1718" s="670"/>
      <c r="AN1718" s="670"/>
      <c r="AO1718" s="711" t="str">
        <f>IF(OR(Table1[[#This Row],[Início Setup Envase]]="",Table1[[#This Row],[Final Setup Envase]]=""),"",Table1[[#This Row],[Final Setup Envase]]-Table1[[#This Row],[Início Setup Envase]])</f>
        <v/>
      </c>
      <c r="AP1718" s="670"/>
      <c r="AQ1718" s="670"/>
      <c r="AR1718" s="483"/>
      <c r="AS1718" s="483"/>
      <c r="AT1718" s="483"/>
      <c r="AU1718" s="483"/>
      <c r="AV1718" s="483"/>
      <c r="AW1718" s="483"/>
      <c r="AX1718" s="483"/>
      <c r="AY1718" s="270"/>
      <c r="AZ1718" s="270"/>
      <c r="BA1718" s="270" t="str">
        <f>IF(Table1[[#This Row],[Data de Início]]="","",YEAR(Table1[[#This Row],[Data de Início]]))</f>
        <v/>
      </c>
      <c r="BB1718" s="270" t="str">
        <f>IF(Table1[[#This Row],[Data de Início]]="","",MONTH(Table1[[#This Row],[Data de Início]]))</f>
        <v/>
      </c>
      <c r="BC1718" s="270"/>
    </row>
    <row r="1719" spans="2:55" x14ac:dyDescent="0.25">
      <c r="B1719" s="470"/>
      <c r="C1719" s="263"/>
      <c r="D1719" s="477" cm="1">
        <f t="array" ref="D1719">IFERROR(HorasUteisFabrica2Turnos(B1719,C1719), "")</f>
        <v>0</v>
      </c>
      <c r="E1719" s="697" t="str">
        <f t="shared" si="27"/>
        <v/>
      </c>
      <c r="F1719" s="266"/>
      <c r="G1719" s="698"/>
      <c r="H1719" s="266"/>
      <c r="I1719" s="268"/>
      <c r="J1719" s="268"/>
      <c r="K1719" s="268"/>
      <c r="L1719" s="269"/>
      <c r="M1719" s="510" t="str">
        <f>IFERROR(INDEX([1]Produtos!$C:$C,MATCH(L1719,[1]Produtos!$B:$B,0)), "-")</f>
        <v>-</v>
      </c>
      <c r="N1719" s="510" t="str">
        <f>IFERROR(INDEX([1]Produtos!$E:$E,MATCH(L1719,[1]Produtos!$B:$B,0)), "-")</f>
        <v>-</v>
      </c>
      <c r="O1719" s="270" t="str">
        <f>IFERROR(INDEX([1]Produtos!$F:$F,MATCH(L1719,[1]Produtos!$B:$B,0)), "-")</f>
        <v>-</v>
      </c>
      <c r="P1719" s="264" t="str">
        <f>IFERROR(INDEX([1]Produtos!$G:$G,MATCH(L1719,[1]Produtos!$B:$B,0)), "-")</f>
        <v>-</v>
      </c>
      <c r="Q1719" s="270" t="str">
        <f>IFERROR(INDEX([1]Produtos!$H:$H,MATCH(L1719,[1]Produtos!$B:$B,0)), "-")</f>
        <v>-</v>
      </c>
      <c r="R1719" s="270" t="str">
        <f>IFERROR(INDEX([1]Produtos!$I:$I,MATCH(L1719,[1]Produtos!$B:$B,0)), "-")</f>
        <v>-</v>
      </c>
      <c r="S1719" s="270" t="str">
        <f>IFERROR(INDEX([1]Produtos!$J:$J,MATCH(L1719,[1]Produtos!$B:$B,0)), "-")</f>
        <v>-</v>
      </c>
      <c r="T1719" s="475"/>
      <c r="U1719" s="270"/>
      <c r="V1719" s="270"/>
      <c r="W1719" s="270"/>
      <c r="X1719" s="270"/>
      <c r="Y1719" s="270"/>
      <c r="Z1719" s="270"/>
      <c r="AA1719" s="270"/>
      <c r="AB1719" s="270"/>
      <c r="AC1719" s="270"/>
      <c r="AD1719" s="270"/>
      <c r="AE1719" s="270"/>
      <c r="AF1719" s="270"/>
      <c r="AG1719" s="270"/>
      <c r="AH1719" s="270"/>
      <c r="AI1719" s="270"/>
      <c r="AJ1719" s="270"/>
      <c r="AK1719" s="270"/>
      <c r="AL1719" s="270"/>
      <c r="AM1719" s="663"/>
      <c r="AN1719" s="663"/>
      <c r="AO1719" s="708" t="str">
        <f>IF(OR(Table1[[#This Row],[Início Setup Envase]]="",Table1[[#This Row],[Final Setup Envase]]=""),"",Table1[[#This Row],[Final Setup Envase]]-Table1[[#This Row],[Início Setup Envase]])</f>
        <v/>
      </c>
      <c r="AP1719" s="663"/>
      <c r="AQ1719" s="663"/>
      <c r="AR1719" s="270"/>
      <c r="AS1719" s="674"/>
      <c r="AT1719" s="674"/>
      <c r="AU1719" s="270"/>
      <c r="AV1719" s="270"/>
      <c r="AW1719" s="270"/>
      <c r="AX1719" s="270"/>
      <c r="AY1719" s="270"/>
      <c r="AZ1719" s="270"/>
      <c r="BA1719" s="270" t="str">
        <f>IF(Table1[[#This Row],[Data de Início]]="","",YEAR(Table1[[#This Row],[Data de Início]]))</f>
        <v/>
      </c>
      <c r="BB1719" s="270" t="str">
        <f>IF(Table1[[#This Row],[Data de Início]]="","",MONTH(Table1[[#This Row],[Data de Início]]))</f>
        <v/>
      </c>
      <c r="BC1719" s="483"/>
    </row>
    <row r="1720" spans="2:55" x14ac:dyDescent="0.25">
      <c r="B1720" s="470"/>
      <c r="C1720" s="263"/>
      <c r="D1720" s="477" cm="1">
        <f t="array" ref="D1720">IFERROR(HorasUteisFabrica2Turnos(B1720,C1720), "")</f>
        <v>0</v>
      </c>
      <c r="E1720" s="478" t="str">
        <f t="shared" si="27"/>
        <v/>
      </c>
      <c r="F1720" s="266"/>
      <c r="G1720" s="656"/>
      <c r="H1720" s="479"/>
      <c r="I1720" s="268"/>
      <c r="J1720" s="268"/>
      <c r="K1720" s="268"/>
      <c r="L1720" s="269"/>
      <c r="M1720" s="511" t="str">
        <f>IFERROR(INDEX([1]Produtos!$C:$C,MATCH(L1720,[1]Produtos!$B:$B,0)), "-")</f>
        <v>-</v>
      </c>
      <c r="N1720" s="511" t="str">
        <f>IFERROR(INDEX([1]Produtos!$E:$E,MATCH(L1720,[1]Produtos!$B:$B,0)), "-")</f>
        <v>-</v>
      </c>
      <c r="O1720" s="483" t="str">
        <f>IFERROR(INDEX([1]Produtos!$F:$F,MATCH(L1720,[1]Produtos!$B:$B,0)), "-")</f>
        <v>-</v>
      </c>
      <c r="P1720" s="477" t="str">
        <f>IFERROR(INDEX([1]Produtos!$G:$G,MATCH(L1720,[1]Produtos!$B:$B,0)), "-")</f>
        <v>-</v>
      </c>
      <c r="Q1720" s="483" t="str">
        <f>IFERROR(INDEX([1]Produtos!$H:$H,MATCH(L1720,[1]Produtos!$B:$B,0)), "-")</f>
        <v>-</v>
      </c>
      <c r="R1720" s="483" t="str">
        <f>IFERROR(INDEX([1]Produtos!$I:$I,MATCH(L1720,[1]Produtos!$B:$B,0)), "-")</f>
        <v>-</v>
      </c>
      <c r="S1720" s="483" t="str">
        <f>IFERROR(INDEX([1]Produtos!$J:$J,MATCH(L1720,[1]Produtos!$B:$B,0)), "-")</f>
        <v>-</v>
      </c>
      <c r="T1720" s="484"/>
      <c r="U1720" s="483"/>
      <c r="V1720" s="483"/>
      <c r="W1720" s="483"/>
      <c r="X1720" s="483"/>
      <c r="Y1720" s="483"/>
      <c r="Z1720" s="483"/>
      <c r="AA1720" s="483"/>
      <c r="AB1720" s="483"/>
      <c r="AC1720" s="483"/>
      <c r="AD1720" s="483"/>
      <c r="AE1720" s="483"/>
      <c r="AF1720" s="483"/>
      <c r="AG1720" s="483"/>
      <c r="AH1720" s="483"/>
      <c r="AI1720" s="483"/>
      <c r="AJ1720" s="483"/>
      <c r="AK1720" s="483"/>
      <c r="AL1720" s="483"/>
      <c r="AM1720" s="670"/>
      <c r="AN1720" s="670"/>
      <c r="AO1720" s="711" t="str">
        <f>IF(OR(Table1[[#This Row],[Início Setup Envase]]="",Table1[[#This Row],[Final Setup Envase]]=""),"",Table1[[#This Row],[Final Setup Envase]]-Table1[[#This Row],[Início Setup Envase]])</f>
        <v/>
      </c>
      <c r="AP1720" s="670"/>
      <c r="AQ1720" s="670"/>
      <c r="AR1720" s="483"/>
      <c r="AS1720" s="483"/>
      <c r="AT1720" s="483"/>
      <c r="AU1720" s="483"/>
      <c r="AV1720" s="483"/>
      <c r="AW1720" s="483"/>
      <c r="AX1720" s="483"/>
      <c r="AY1720" s="270"/>
      <c r="AZ1720" s="270"/>
      <c r="BA1720" s="270" t="str">
        <f>IF(Table1[[#This Row],[Data de Início]]="","",YEAR(Table1[[#This Row],[Data de Início]]))</f>
        <v/>
      </c>
      <c r="BB1720" s="270" t="str">
        <f>IF(Table1[[#This Row],[Data de Início]]="","",MONTH(Table1[[#This Row],[Data de Início]]))</f>
        <v/>
      </c>
      <c r="BC1720" s="270"/>
    </row>
    <row r="1721" spans="2:55" x14ac:dyDescent="0.25">
      <c r="B1721" s="470"/>
      <c r="C1721" s="263"/>
      <c r="D1721" s="477" cm="1">
        <f t="array" ref="D1721">IFERROR(HorasUteisFabrica2Turnos(B1721,C1721), "")</f>
        <v>0</v>
      </c>
      <c r="E1721" s="697" t="str">
        <f t="shared" si="27"/>
        <v/>
      </c>
      <c r="F1721" s="266"/>
      <c r="G1721" s="698"/>
      <c r="H1721" s="266"/>
      <c r="I1721" s="268"/>
      <c r="J1721" s="268"/>
      <c r="K1721" s="268"/>
      <c r="L1721" s="269"/>
      <c r="M1721" s="510" t="str">
        <f>IFERROR(INDEX([1]Produtos!$C:$C,MATCH(L1721,[1]Produtos!$B:$B,0)), "-")</f>
        <v>-</v>
      </c>
      <c r="N1721" s="510" t="str">
        <f>IFERROR(INDEX([1]Produtos!$E:$E,MATCH(L1721,[1]Produtos!$B:$B,0)), "-")</f>
        <v>-</v>
      </c>
      <c r="O1721" s="270" t="str">
        <f>IFERROR(INDEX([1]Produtos!$F:$F,MATCH(L1721,[1]Produtos!$B:$B,0)), "-")</f>
        <v>-</v>
      </c>
      <c r="P1721" s="264" t="str">
        <f>IFERROR(INDEX([1]Produtos!$G:$G,MATCH(L1721,[1]Produtos!$B:$B,0)), "-")</f>
        <v>-</v>
      </c>
      <c r="Q1721" s="270" t="str">
        <f>IFERROR(INDEX([1]Produtos!$H:$H,MATCH(L1721,[1]Produtos!$B:$B,0)), "-")</f>
        <v>-</v>
      </c>
      <c r="R1721" s="270" t="str">
        <f>IFERROR(INDEX([1]Produtos!$I:$I,MATCH(L1721,[1]Produtos!$B:$B,0)), "-")</f>
        <v>-</v>
      </c>
      <c r="S1721" s="270" t="str">
        <f>IFERROR(INDEX([1]Produtos!$J:$J,MATCH(L1721,[1]Produtos!$B:$B,0)), "-")</f>
        <v>-</v>
      </c>
      <c r="T1721" s="475"/>
      <c r="U1721" s="270"/>
      <c r="V1721" s="270"/>
      <c r="W1721" s="270"/>
      <c r="X1721" s="270"/>
      <c r="Y1721" s="270"/>
      <c r="Z1721" s="270"/>
      <c r="AA1721" s="270"/>
      <c r="AB1721" s="270"/>
      <c r="AC1721" s="270"/>
      <c r="AD1721" s="270"/>
      <c r="AE1721" s="270"/>
      <c r="AF1721" s="270"/>
      <c r="AG1721" s="270"/>
      <c r="AH1721" s="270"/>
      <c r="AI1721" s="270"/>
      <c r="AJ1721" s="270"/>
      <c r="AK1721" s="270"/>
      <c r="AL1721" s="270"/>
      <c r="AM1721" s="663"/>
      <c r="AN1721" s="663"/>
      <c r="AO1721" s="708" t="str">
        <f>IF(OR(Table1[[#This Row],[Início Setup Envase]]="",Table1[[#This Row],[Final Setup Envase]]=""),"",Table1[[#This Row],[Final Setup Envase]]-Table1[[#This Row],[Início Setup Envase]])</f>
        <v/>
      </c>
      <c r="AP1721" s="663"/>
      <c r="AQ1721" s="663"/>
      <c r="AR1721" s="270"/>
      <c r="AS1721" s="674"/>
      <c r="AT1721" s="674"/>
      <c r="AU1721" s="270"/>
      <c r="AV1721" s="270"/>
      <c r="AW1721" s="270"/>
      <c r="AX1721" s="270"/>
      <c r="AY1721" s="270"/>
      <c r="AZ1721" s="270"/>
      <c r="BA1721" s="270" t="str">
        <f>IF(Table1[[#This Row],[Data de Início]]="","",YEAR(Table1[[#This Row],[Data de Início]]))</f>
        <v/>
      </c>
      <c r="BB1721" s="270" t="str">
        <f>IF(Table1[[#This Row],[Data de Início]]="","",MONTH(Table1[[#This Row],[Data de Início]]))</f>
        <v/>
      </c>
      <c r="BC1721" s="483"/>
    </row>
    <row r="1722" spans="2:55" x14ac:dyDescent="0.25">
      <c r="B1722" s="470"/>
      <c r="C1722" s="263"/>
      <c r="D1722" s="477" cm="1">
        <f t="array" ref="D1722">IFERROR(HorasUteisFabrica2Turnos(B1722,C1722), "")</f>
        <v>0</v>
      </c>
      <c r="E1722" s="478" t="str">
        <f t="shared" si="27"/>
        <v/>
      </c>
      <c r="F1722" s="266"/>
      <c r="G1722" s="656"/>
      <c r="H1722" s="479"/>
      <c r="I1722" s="268"/>
      <c r="J1722" s="268"/>
      <c r="K1722" s="268"/>
      <c r="L1722" s="269"/>
      <c r="M1722" s="511" t="str">
        <f>IFERROR(INDEX([1]Produtos!$C:$C,MATCH(L1722,[1]Produtos!$B:$B,0)), "-")</f>
        <v>-</v>
      </c>
      <c r="N1722" s="511" t="str">
        <f>IFERROR(INDEX([1]Produtos!$E:$E,MATCH(L1722,[1]Produtos!$B:$B,0)), "-")</f>
        <v>-</v>
      </c>
      <c r="O1722" s="483" t="str">
        <f>IFERROR(INDEX([1]Produtos!$F:$F,MATCH(L1722,[1]Produtos!$B:$B,0)), "-")</f>
        <v>-</v>
      </c>
      <c r="P1722" s="477" t="str">
        <f>IFERROR(INDEX([1]Produtos!$G:$G,MATCH(L1722,[1]Produtos!$B:$B,0)), "-")</f>
        <v>-</v>
      </c>
      <c r="Q1722" s="483" t="str">
        <f>IFERROR(INDEX([1]Produtos!$H:$H,MATCH(L1722,[1]Produtos!$B:$B,0)), "-")</f>
        <v>-</v>
      </c>
      <c r="R1722" s="483" t="str">
        <f>IFERROR(INDEX([1]Produtos!$I:$I,MATCH(L1722,[1]Produtos!$B:$B,0)), "-")</f>
        <v>-</v>
      </c>
      <c r="S1722" s="483" t="str">
        <f>IFERROR(INDEX([1]Produtos!$J:$J,MATCH(L1722,[1]Produtos!$B:$B,0)), "-")</f>
        <v>-</v>
      </c>
      <c r="T1722" s="484"/>
      <c r="U1722" s="483"/>
      <c r="V1722" s="483"/>
      <c r="W1722" s="483"/>
      <c r="X1722" s="483"/>
      <c r="Y1722" s="483"/>
      <c r="Z1722" s="483"/>
      <c r="AA1722" s="483"/>
      <c r="AB1722" s="483"/>
      <c r="AC1722" s="483"/>
      <c r="AD1722" s="483"/>
      <c r="AE1722" s="483"/>
      <c r="AF1722" s="483"/>
      <c r="AG1722" s="483"/>
      <c r="AH1722" s="483"/>
      <c r="AI1722" s="483"/>
      <c r="AJ1722" s="483"/>
      <c r="AK1722" s="483"/>
      <c r="AL1722" s="483"/>
      <c r="AM1722" s="670"/>
      <c r="AN1722" s="670"/>
      <c r="AO1722" s="711" t="str">
        <f>IF(OR(Table1[[#This Row],[Início Setup Envase]]="",Table1[[#This Row],[Final Setup Envase]]=""),"",Table1[[#This Row],[Final Setup Envase]]-Table1[[#This Row],[Início Setup Envase]])</f>
        <v/>
      </c>
      <c r="AP1722" s="670"/>
      <c r="AQ1722" s="670"/>
      <c r="AR1722" s="483"/>
      <c r="AS1722" s="483"/>
      <c r="AT1722" s="483"/>
      <c r="AU1722" s="483"/>
      <c r="AV1722" s="483"/>
      <c r="AW1722" s="483"/>
      <c r="AX1722" s="483"/>
      <c r="AY1722" s="270"/>
      <c r="AZ1722" s="270"/>
      <c r="BA1722" s="270" t="str">
        <f>IF(Table1[[#This Row],[Data de Início]]="","",YEAR(Table1[[#This Row],[Data de Início]]))</f>
        <v/>
      </c>
      <c r="BB1722" s="270" t="str">
        <f>IF(Table1[[#This Row],[Data de Início]]="","",MONTH(Table1[[#This Row],[Data de Início]]))</f>
        <v/>
      </c>
      <c r="BC1722" s="270"/>
    </row>
    <row r="1723" spans="2:55" x14ac:dyDescent="0.25">
      <c r="B1723" s="470"/>
      <c r="C1723" s="263"/>
      <c r="D1723" s="477" cm="1">
        <f t="array" ref="D1723">IFERROR(HorasUteisFabrica2Turnos(B1723,C1723), "")</f>
        <v>0</v>
      </c>
      <c r="E1723" s="697" t="str">
        <f t="shared" si="27"/>
        <v/>
      </c>
      <c r="F1723" s="266"/>
      <c r="G1723" s="698"/>
      <c r="H1723" s="266"/>
      <c r="I1723" s="268"/>
      <c r="J1723" s="268"/>
      <c r="K1723" s="268"/>
      <c r="L1723" s="269"/>
      <c r="M1723" s="510" t="str">
        <f>IFERROR(INDEX([1]Produtos!$C:$C,MATCH(L1723,[1]Produtos!$B:$B,0)), "-")</f>
        <v>-</v>
      </c>
      <c r="N1723" s="510" t="str">
        <f>IFERROR(INDEX([1]Produtos!$E:$E,MATCH(L1723,[1]Produtos!$B:$B,0)), "-")</f>
        <v>-</v>
      </c>
      <c r="O1723" s="270" t="str">
        <f>IFERROR(INDEX([1]Produtos!$F:$F,MATCH(L1723,[1]Produtos!$B:$B,0)), "-")</f>
        <v>-</v>
      </c>
      <c r="P1723" s="264" t="str">
        <f>IFERROR(INDEX([1]Produtos!$G:$G,MATCH(L1723,[1]Produtos!$B:$B,0)), "-")</f>
        <v>-</v>
      </c>
      <c r="Q1723" s="270" t="str">
        <f>IFERROR(INDEX([1]Produtos!$H:$H,MATCH(L1723,[1]Produtos!$B:$B,0)), "-")</f>
        <v>-</v>
      </c>
      <c r="R1723" s="270" t="str">
        <f>IFERROR(INDEX([1]Produtos!$I:$I,MATCH(L1723,[1]Produtos!$B:$B,0)), "-")</f>
        <v>-</v>
      </c>
      <c r="S1723" s="270" t="str">
        <f>IFERROR(INDEX([1]Produtos!$J:$J,MATCH(L1723,[1]Produtos!$B:$B,0)), "-")</f>
        <v>-</v>
      </c>
      <c r="T1723" s="475"/>
      <c r="U1723" s="270"/>
      <c r="V1723" s="270"/>
      <c r="W1723" s="270"/>
      <c r="X1723" s="270"/>
      <c r="Y1723" s="270"/>
      <c r="Z1723" s="270"/>
      <c r="AA1723" s="270"/>
      <c r="AB1723" s="270"/>
      <c r="AC1723" s="270"/>
      <c r="AD1723" s="270"/>
      <c r="AE1723" s="270"/>
      <c r="AF1723" s="270"/>
      <c r="AG1723" s="270"/>
      <c r="AH1723" s="270"/>
      <c r="AI1723" s="270"/>
      <c r="AJ1723" s="270"/>
      <c r="AK1723" s="270"/>
      <c r="AL1723" s="270"/>
      <c r="AM1723" s="663"/>
      <c r="AN1723" s="663"/>
      <c r="AO1723" s="708" t="str">
        <f>IF(OR(Table1[[#This Row],[Início Setup Envase]]="",Table1[[#This Row],[Final Setup Envase]]=""),"",Table1[[#This Row],[Final Setup Envase]]-Table1[[#This Row],[Início Setup Envase]])</f>
        <v/>
      </c>
      <c r="AP1723" s="663"/>
      <c r="AQ1723" s="663"/>
      <c r="AR1723" s="270"/>
      <c r="AS1723" s="674"/>
      <c r="AT1723" s="674"/>
      <c r="AU1723" s="270"/>
      <c r="AV1723" s="270"/>
      <c r="AW1723" s="270"/>
      <c r="AX1723" s="270"/>
      <c r="AY1723" s="270"/>
      <c r="AZ1723" s="270"/>
      <c r="BA1723" s="270" t="str">
        <f>IF(Table1[[#This Row],[Data de Início]]="","",YEAR(Table1[[#This Row],[Data de Início]]))</f>
        <v/>
      </c>
      <c r="BB1723" s="270" t="str">
        <f>IF(Table1[[#This Row],[Data de Início]]="","",MONTH(Table1[[#This Row],[Data de Início]]))</f>
        <v/>
      </c>
      <c r="BC1723" s="483"/>
    </row>
    <row r="1724" spans="2:55" x14ac:dyDescent="0.25">
      <c r="B1724" s="470"/>
      <c r="C1724" s="263"/>
      <c r="D1724" s="477" cm="1">
        <f t="array" ref="D1724">IFERROR(HorasUteisFabrica2Turnos(B1724,C1724), "")</f>
        <v>0</v>
      </c>
      <c r="E1724" s="478" t="str">
        <f t="shared" si="27"/>
        <v/>
      </c>
      <c r="F1724" s="266"/>
      <c r="G1724" s="656"/>
      <c r="H1724" s="479"/>
      <c r="I1724" s="268"/>
      <c r="J1724" s="268"/>
      <c r="K1724" s="268"/>
      <c r="L1724" s="269"/>
      <c r="M1724" s="511" t="str">
        <f>IFERROR(INDEX([1]Produtos!$C:$C,MATCH(L1724,[1]Produtos!$B:$B,0)), "-")</f>
        <v>-</v>
      </c>
      <c r="N1724" s="511" t="str">
        <f>IFERROR(INDEX([1]Produtos!$E:$E,MATCH(L1724,[1]Produtos!$B:$B,0)), "-")</f>
        <v>-</v>
      </c>
      <c r="O1724" s="483" t="str">
        <f>IFERROR(INDEX([1]Produtos!$F:$F,MATCH(L1724,[1]Produtos!$B:$B,0)), "-")</f>
        <v>-</v>
      </c>
      <c r="P1724" s="477" t="str">
        <f>IFERROR(INDEX([1]Produtos!$G:$G,MATCH(L1724,[1]Produtos!$B:$B,0)), "-")</f>
        <v>-</v>
      </c>
      <c r="Q1724" s="483" t="str">
        <f>IFERROR(INDEX([1]Produtos!$H:$H,MATCH(L1724,[1]Produtos!$B:$B,0)), "-")</f>
        <v>-</v>
      </c>
      <c r="R1724" s="483" t="str">
        <f>IFERROR(INDEX([1]Produtos!$I:$I,MATCH(L1724,[1]Produtos!$B:$B,0)), "-")</f>
        <v>-</v>
      </c>
      <c r="S1724" s="483" t="str">
        <f>IFERROR(INDEX([1]Produtos!$J:$J,MATCH(L1724,[1]Produtos!$B:$B,0)), "-")</f>
        <v>-</v>
      </c>
      <c r="T1724" s="484"/>
      <c r="U1724" s="483"/>
      <c r="V1724" s="483"/>
      <c r="W1724" s="483"/>
      <c r="X1724" s="483"/>
      <c r="Y1724" s="483"/>
      <c r="Z1724" s="483"/>
      <c r="AA1724" s="483"/>
      <c r="AB1724" s="483"/>
      <c r="AC1724" s="483"/>
      <c r="AD1724" s="483"/>
      <c r="AE1724" s="483"/>
      <c r="AF1724" s="483"/>
      <c r="AG1724" s="483"/>
      <c r="AH1724" s="483"/>
      <c r="AI1724" s="483"/>
      <c r="AJ1724" s="483"/>
      <c r="AK1724" s="483"/>
      <c r="AL1724" s="483"/>
      <c r="AM1724" s="670"/>
      <c r="AN1724" s="670"/>
      <c r="AO1724" s="711" t="str">
        <f>IF(OR(Table1[[#This Row],[Início Setup Envase]]="",Table1[[#This Row],[Final Setup Envase]]=""),"",Table1[[#This Row],[Final Setup Envase]]-Table1[[#This Row],[Início Setup Envase]])</f>
        <v/>
      </c>
      <c r="AP1724" s="670"/>
      <c r="AQ1724" s="670"/>
      <c r="AR1724" s="483"/>
      <c r="AS1724" s="483"/>
      <c r="AT1724" s="483"/>
      <c r="AU1724" s="483"/>
      <c r="AV1724" s="483"/>
      <c r="AW1724" s="483"/>
      <c r="AX1724" s="483"/>
      <c r="AY1724" s="270"/>
      <c r="AZ1724" s="270"/>
      <c r="BA1724" s="270" t="str">
        <f>IF(Table1[[#This Row],[Data de Início]]="","",YEAR(Table1[[#This Row],[Data de Início]]))</f>
        <v/>
      </c>
      <c r="BB1724" s="270" t="str">
        <f>IF(Table1[[#This Row],[Data de Início]]="","",MONTH(Table1[[#This Row],[Data de Início]]))</f>
        <v/>
      </c>
      <c r="BC1724" s="270"/>
    </row>
    <row r="1725" spans="2:55" x14ac:dyDescent="0.25">
      <c r="B1725" s="470"/>
      <c r="C1725" s="263"/>
      <c r="D1725" s="477" cm="1">
        <f t="array" ref="D1725">IFERROR(HorasUteisFabrica2Turnos(B1725,C1725), "")</f>
        <v>0</v>
      </c>
      <c r="E1725" s="697" t="str">
        <f t="shared" si="27"/>
        <v/>
      </c>
      <c r="F1725" s="266"/>
      <c r="G1725" s="698"/>
      <c r="H1725" s="266"/>
      <c r="I1725" s="268"/>
      <c r="J1725" s="268"/>
      <c r="K1725" s="268"/>
      <c r="L1725" s="269"/>
      <c r="M1725" s="510" t="str">
        <f>IFERROR(INDEX([1]Produtos!$C:$C,MATCH(L1725,[1]Produtos!$B:$B,0)), "-")</f>
        <v>-</v>
      </c>
      <c r="N1725" s="510" t="str">
        <f>IFERROR(INDEX([1]Produtos!$E:$E,MATCH(L1725,[1]Produtos!$B:$B,0)), "-")</f>
        <v>-</v>
      </c>
      <c r="O1725" s="270" t="str">
        <f>IFERROR(INDEX([1]Produtos!$F:$F,MATCH(L1725,[1]Produtos!$B:$B,0)), "-")</f>
        <v>-</v>
      </c>
      <c r="P1725" s="264" t="str">
        <f>IFERROR(INDEX([1]Produtos!$G:$G,MATCH(L1725,[1]Produtos!$B:$B,0)), "-")</f>
        <v>-</v>
      </c>
      <c r="Q1725" s="270" t="str">
        <f>IFERROR(INDEX([1]Produtos!$H:$H,MATCH(L1725,[1]Produtos!$B:$B,0)), "-")</f>
        <v>-</v>
      </c>
      <c r="R1725" s="270" t="str">
        <f>IFERROR(INDEX([1]Produtos!$I:$I,MATCH(L1725,[1]Produtos!$B:$B,0)), "-")</f>
        <v>-</v>
      </c>
      <c r="S1725" s="270" t="str">
        <f>IFERROR(INDEX([1]Produtos!$J:$J,MATCH(L1725,[1]Produtos!$B:$B,0)), "-")</f>
        <v>-</v>
      </c>
      <c r="T1725" s="475"/>
      <c r="U1725" s="270"/>
      <c r="V1725" s="270"/>
      <c r="W1725" s="270"/>
      <c r="X1725" s="270"/>
      <c r="Y1725" s="270"/>
      <c r="Z1725" s="270"/>
      <c r="AA1725" s="270"/>
      <c r="AB1725" s="270"/>
      <c r="AC1725" s="270"/>
      <c r="AD1725" s="270"/>
      <c r="AE1725" s="270"/>
      <c r="AF1725" s="270"/>
      <c r="AG1725" s="270"/>
      <c r="AH1725" s="270"/>
      <c r="AI1725" s="270"/>
      <c r="AJ1725" s="270"/>
      <c r="AK1725" s="270"/>
      <c r="AL1725" s="270"/>
      <c r="AM1725" s="663"/>
      <c r="AN1725" s="663"/>
      <c r="AO1725" s="708" t="str">
        <f>IF(OR(Table1[[#This Row],[Início Setup Envase]]="",Table1[[#This Row],[Final Setup Envase]]=""),"",Table1[[#This Row],[Final Setup Envase]]-Table1[[#This Row],[Início Setup Envase]])</f>
        <v/>
      </c>
      <c r="AP1725" s="663"/>
      <c r="AQ1725" s="663"/>
      <c r="AR1725" s="270"/>
      <c r="AS1725" s="674"/>
      <c r="AT1725" s="674"/>
      <c r="AU1725" s="270"/>
      <c r="AV1725" s="270"/>
      <c r="AW1725" s="270"/>
      <c r="AX1725" s="270"/>
      <c r="AY1725" s="270"/>
      <c r="AZ1725" s="270"/>
      <c r="BA1725" s="270" t="str">
        <f>IF(Table1[[#This Row],[Data de Início]]="","",YEAR(Table1[[#This Row],[Data de Início]]))</f>
        <v/>
      </c>
      <c r="BB1725" s="270" t="str">
        <f>IF(Table1[[#This Row],[Data de Início]]="","",MONTH(Table1[[#This Row],[Data de Início]]))</f>
        <v/>
      </c>
      <c r="BC1725" s="483"/>
    </row>
    <row r="1726" spans="2:55" x14ac:dyDescent="0.25">
      <c r="B1726" s="470"/>
      <c r="C1726" s="263"/>
      <c r="D1726" s="477" cm="1">
        <f t="array" ref="D1726">IFERROR(HorasUteisFabrica2Turnos(B1726,C1726), "")</f>
        <v>0</v>
      </c>
      <c r="E1726" s="478" t="str">
        <f t="shared" si="27"/>
        <v/>
      </c>
      <c r="F1726" s="266"/>
      <c r="G1726" s="656"/>
      <c r="H1726" s="479"/>
      <c r="I1726" s="268"/>
      <c r="J1726" s="268"/>
      <c r="K1726" s="268"/>
      <c r="L1726" s="269"/>
      <c r="M1726" s="511" t="str">
        <f>IFERROR(INDEX([1]Produtos!$C:$C,MATCH(L1726,[1]Produtos!$B:$B,0)), "-")</f>
        <v>-</v>
      </c>
      <c r="N1726" s="511" t="str">
        <f>IFERROR(INDEX([1]Produtos!$E:$E,MATCH(L1726,[1]Produtos!$B:$B,0)), "-")</f>
        <v>-</v>
      </c>
      <c r="O1726" s="483" t="str">
        <f>IFERROR(INDEX([1]Produtos!$F:$F,MATCH(L1726,[1]Produtos!$B:$B,0)), "-")</f>
        <v>-</v>
      </c>
      <c r="P1726" s="477" t="str">
        <f>IFERROR(INDEX([1]Produtos!$G:$G,MATCH(L1726,[1]Produtos!$B:$B,0)), "-")</f>
        <v>-</v>
      </c>
      <c r="Q1726" s="483" t="str">
        <f>IFERROR(INDEX([1]Produtos!$H:$H,MATCH(L1726,[1]Produtos!$B:$B,0)), "-")</f>
        <v>-</v>
      </c>
      <c r="R1726" s="483" t="str">
        <f>IFERROR(INDEX([1]Produtos!$I:$I,MATCH(L1726,[1]Produtos!$B:$B,0)), "-")</f>
        <v>-</v>
      </c>
      <c r="S1726" s="483" t="str">
        <f>IFERROR(INDEX([1]Produtos!$J:$J,MATCH(L1726,[1]Produtos!$B:$B,0)), "-")</f>
        <v>-</v>
      </c>
      <c r="T1726" s="484"/>
      <c r="U1726" s="483"/>
      <c r="V1726" s="483"/>
      <c r="W1726" s="483"/>
      <c r="X1726" s="483"/>
      <c r="Y1726" s="483"/>
      <c r="Z1726" s="483"/>
      <c r="AA1726" s="483"/>
      <c r="AB1726" s="483"/>
      <c r="AC1726" s="483"/>
      <c r="AD1726" s="483"/>
      <c r="AE1726" s="483"/>
      <c r="AF1726" s="483"/>
      <c r="AG1726" s="483"/>
      <c r="AH1726" s="483"/>
      <c r="AI1726" s="483"/>
      <c r="AJ1726" s="483"/>
      <c r="AK1726" s="483"/>
      <c r="AL1726" s="483"/>
      <c r="AM1726" s="670"/>
      <c r="AN1726" s="670"/>
      <c r="AO1726" s="711" t="str">
        <f>IF(OR(Table1[[#This Row],[Início Setup Envase]]="",Table1[[#This Row],[Final Setup Envase]]=""),"",Table1[[#This Row],[Final Setup Envase]]-Table1[[#This Row],[Início Setup Envase]])</f>
        <v/>
      </c>
      <c r="AP1726" s="670"/>
      <c r="AQ1726" s="670"/>
      <c r="AR1726" s="483"/>
      <c r="AS1726" s="483"/>
      <c r="AT1726" s="483"/>
      <c r="AU1726" s="483"/>
      <c r="AV1726" s="483"/>
      <c r="AW1726" s="483"/>
      <c r="AX1726" s="483"/>
      <c r="AY1726" s="270"/>
      <c r="AZ1726" s="270"/>
      <c r="BA1726" s="270" t="str">
        <f>IF(Table1[[#This Row],[Data de Início]]="","",YEAR(Table1[[#This Row],[Data de Início]]))</f>
        <v/>
      </c>
      <c r="BB1726" s="270" t="str">
        <f>IF(Table1[[#This Row],[Data de Início]]="","",MONTH(Table1[[#This Row],[Data de Início]]))</f>
        <v/>
      </c>
      <c r="BC1726" s="270"/>
    </row>
    <row r="1727" spans="2:55" x14ac:dyDescent="0.25">
      <c r="B1727" s="470"/>
      <c r="C1727" s="263"/>
      <c r="D1727" s="477" cm="1">
        <f t="array" ref="D1727">IFERROR(HorasUteisFabrica2Turnos(B1727,C1727), "")</f>
        <v>0</v>
      </c>
      <c r="E1727" s="697" t="str">
        <f t="shared" si="27"/>
        <v/>
      </c>
      <c r="F1727" s="266"/>
      <c r="G1727" s="698"/>
      <c r="H1727" s="266"/>
      <c r="I1727" s="268"/>
      <c r="J1727" s="268"/>
      <c r="K1727" s="268"/>
      <c r="L1727" s="269"/>
      <c r="M1727" s="510" t="str">
        <f>IFERROR(INDEX([1]Produtos!$C:$C,MATCH(L1727,[1]Produtos!$B:$B,0)), "-")</f>
        <v>-</v>
      </c>
      <c r="N1727" s="510" t="str">
        <f>IFERROR(INDEX([1]Produtos!$E:$E,MATCH(L1727,[1]Produtos!$B:$B,0)), "-")</f>
        <v>-</v>
      </c>
      <c r="O1727" s="270" t="str">
        <f>IFERROR(INDEX([1]Produtos!$F:$F,MATCH(L1727,[1]Produtos!$B:$B,0)), "-")</f>
        <v>-</v>
      </c>
      <c r="P1727" s="264" t="str">
        <f>IFERROR(INDEX([1]Produtos!$G:$G,MATCH(L1727,[1]Produtos!$B:$B,0)), "-")</f>
        <v>-</v>
      </c>
      <c r="Q1727" s="270" t="str">
        <f>IFERROR(INDEX([1]Produtos!$H:$H,MATCH(L1727,[1]Produtos!$B:$B,0)), "-")</f>
        <v>-</v>
      </c>
      <c r="R1727" s="270" t="str">
        <f>IFERROR(INDEX([1]Produtos!$I:$I,MATCH(L1727,[1]Produtos!$B:$B,0)), "-")</f>
        <v>-</v>
      </c>
      <c r="S1727" s="270" t="str">
        <f>IFERROR(INDEX([1]Produtos!$J:$J,MATCH(L1727,[1]Produtos!$B:$B,0)), "-")</f>
        <v>-</v>
      </c>
      <c r="T1727" s="475"/>
      <c r="U1727" s="270"/>
      <c r="V1727" s="270"/>
      <c r="W1727" s="270"/>
      <c r="X1727" s="270"/>
      <c r="Y1727" s="270"/>
      <c r="Z1727" s="270"/>
      <c r="AA1727" s="270"/>
      <c r="AB1727" s="270"/>
      <c r="AC1727" s="270"/>
      <c r="AD1727" s="270"/>
      <c r="AE1727" s="270"/>
      <c r="AF1727" s="270"/>
      <c r="AG1727" s="270"/>
      <c r="AH1727" s="270"/>
      <c r="AI1727" s="270"/>
      <c r="AJ1727" s="270"/>
      <c r="AK1727" s="270"/>
      <c r="AL1727" s="270"/>
      <c r="AM1727" s="663"/>
      <c r="AN1727" s="663"/>
      <c r="AO1727" s="708" t="str">
        <f>IF(OR(Table1[[#This Row],[Início Setup Envase]]="",Table1[[#This Row],[Final Setup Envase]]=""),"",Table1[[#This Row],[Final Setup Envase]]-Table1[[#This Row],[Início Setup Envase]])</f>
        <v/>
      </c>
      <c r="AP1727" s="663"/>
      <c r="AQ1727" s="663"/>
      <c r="AR1727" s="270"/>
      <c r="AS1727" s="674"/>
      <c r="AT1727" s="674"/>
      <c r="AU1727" s="270"/>
      <c r="AV1727" s="270"/>
      <c r="AW1727" s="270"/>
      <c r="AX1727" s="270"/>
      <c r="AY1727" s="270"/>
      <c r="AZ1727" s="270"/>
      <c r="BA1727" s="270" t="str">
        <f>IF(Table1[[#This Row],[Data de Início]]="","",YEAR(Table1[[#This Row],[Data de Início]]))</f>
        <v/>
      </c>
      <c r="BB1727" s="270" t="str">
        <f>IF(Table1[[#This Row],[Data de Início]]="","",MONTH(Table1[[#This Row],[Data de Início]]))</f>
        <v/>
      </c>
      <c r="BC1727" s="483"/>
    </row>
    <row r="1728" spans="2:55" x14ac:dyDescent="0.25">
      <c r="B1728" s="470"/>
      <c r="C1728" s="263"/>
      <c r="D1728" s="477" cm="1">
        <f t="array" ref="D1728">IFERROR(HorasUteisFabrica2Turnos(B1728,C1728), "")</f>
        <v>0</v>
      </c>
      <c r="E1728" s="478" t="str">
        <f t="shared" si="27"/>
        <v/>
      </c>
      <c r="F1728" s="266"/>
      <c r="G1728" s="656"/>
      <c r="H1728" s="479"/>
      <c r="I1728" s="268"/>
      <c r="J1728" s="268"/>
      <c r="K1728" s="268"/>
      <c r="L1728" s="269"/>
      <c r="M1728" s="511" t="str">
        <f>IFERROR(INDEX([1]Produtos!$C:$C,MATCH(L1728,[1]Produtos!$B:$B,0)), "-")</f>
        <v>-</v>
      </c>
      <c r="N1728" s="511" t="str">
        <f>IFERROR(INDEX([1]Produtos!$E:$E,MATCH(L1728,[1]Produtos!$B:$B,0)), "-")</f>
        <v>-</v>
      </c>
      <c r="O1728" s="483" t="str">
        <f>IFERROR(INDEX([1]Produtos!$F:$F,MATCH(L1728,[1]Produtos!$B:$B,0)), "-")</f>
        <v>-</v>
      </c>
      <c r="P1728" s="477" t="str">
        <f>IFERROR(INDEX([1]Produtos!$G:$G,MATCH(L1728,[1]Produtos!$B:$B,0)), "-")</f>
        <v>-</v>
      </c>
      <c r="Q1728" s="483" t="str">
        <f>IFERROR(INDEX([1]Produtos!$H:$H,MATCH(L1728,[1]Produtos!$B:$B,0)), "-")</f>
        <v>-</v>
      </c>
      <c r="R1728" s="483" t="str">
        <f>IFERROR(INDEX([1]Produtos!$I:$I,MATCH(L1728,[1]Produtos!$B:$B,0)), "-")</f>
        <v>-</v>
      </c>
      <c r="S1728" s="483" t="str">
        <f>IFERROR(INDEX([1]Produtos!$J:$J,MATCH(L1728,[1]Produtos!$B:$B,0)), "-")</f>
        <v>-</v>
      </c>
      <c r="T1728" s="484"/>
      <c r="U1728" s="483"/>
      <c r="V1728" s="483"/>
      <c r="W1728" s="483"/>
      <c r="X1728" s="483"/>
      <c r="Y1728" s="483"/>
      <c r="Z1728" s="483"/>
      <c r="AA1728" s="483"/>
      <c r="AB1728" s="483"/>
      <c r="AC1728" s="483"/>
      <c r="AD1728" s="483"/>
      <c r="AE1728" s="483"/>
      <c r="AF1728" s="483"/>
      <c r="AG1728" s="483"/>
      <c r="AH1728" s="483"/>
      <c r="AI1728" s="483"/>
      <c r="AJ1728" s="483"/>
      <c r="AK1728" s="483"/>
      <c r="AL1728" s="483"/>
      <c r="AM1728" s="670"/>
      <c r="AN1728" s="670"/>
      <c r="AO1728" s="711" t="str">
        <f>IF(OR(Table1[[#This Row],[Início Setup Envase]]="",Table1[[#This Row],[Final Setup Envase]]=""),"",Table1[[#This Row],[Final Setup Envase]]-Table1[[#This Row],[Início Setup Envase]])</f>
        <v/>
      </c>
      <c r="AP1728" s="670"/>
      <c r="AQ1728" s="670"/>
      <c r="AR1728" s="483"/>
      <c r="AS1728" s="483"/>
      <c r="AT1728" s="483"/>
      <c r="AU1728" s="483"/>
      <c r="AV1728" s="483"/>
      <c r="AW1728" s="483"/>
      <c r="AX1728" s="483"/>
      <c r="AY1728" s="270"/>
      <c r="AZ1728" s="270"/>
      <c r="BA1728" s="270" t="str">
        <f>IF(Table1[[#This Row],[Data de Início]]="","",YEAR(Table1[[#This Row],[Data de Início]]))</f>
        <v/>
      </c>
      <c r="BB1728" s="270" t="str">
        <f>IF(Table1[[#This Row],[Data de Início]]="","",MONTH(Table1[[#This Row],[Data de Início]]))</f>
        <v/>
      </c>
      <c r="BC1728" s="270"/>
    </row>
    <row r="1729" spans="2:55" x14ac:dyDescent="0.25">
      <c r="B1729" s="470"/>
      <c r="C1729" s="263"/>
      <c r="D1729" s="477" cm="1">
        <f t="array" ref="D1729">IFERROR(HorasUteisFabrica2Turnos(B1729,C1729), "")</f>
        <v>0</v>
      </c>
      <c r="E1729" s="697" t="str">
        <f t="shared" si="27"/>
        <v/>
      </c>
      <c r="F1729" s="266"/>
      <c r="G1729" s="698"/>
      <c r="H1729" s="266"/>
      <c r="I1729" s="268"/>
      <c r="J1729" s="268"/>
      <c r="K1729" s="268"/>
      <c r="L1729" s="269"/>
      <c r="M1729" s="510" t="str">
        <f>IFERROR(INDEX([1]Produtos!$C:$C,MATCH(L1729,[1]Produtos!$B:$B,0)), "-")</f>
        <v>-</v>
      </c>
      <c r="N1729" s="510" t="str">
        <f>IFERROR(INDEX([1]Produtos!$E:$E,MATCH(L1729,[1]Produtos!$B:$B,0)), "-")</f>
        <v>-</v>
      </c>
      <c r="O1729" s="270" t="str">
        <f>IFERROR(INDEX([1]Produtos!$F:$F,MATCH(L1729,[1]Produtos!$B:$B,0)), "-")</f>
        <v>-</v>
      </c>
      <c r="P1729" s="264" t="str">
        <f>IFERROR(INDEX([1]Produtos!$G:$G,MATCH(L1729,[1]Produtos!$B:$B,0)), "-")</f>
        <v>-</v>
      </c>
      <c r="Q1729" s="270" t="str">
        <f>IFERROR(INDEX([1]Produtos!$H:$H,MATCH(L1729,[1]Produtos!$B:$B,0)), "-")</f>
        <v>-</v>
      </c>
      <c r="R1729" s="270" t="str">
        <f>IFERROR(INDEX([1]Produtos!$I:$I,MATCH(L1729,[1]Produtos!$B:$B,0)), "-")</f>
        <v>-</v>
      </c>
      <c r="S1729" s="270" t="str">
        <f>IFERROR(INDEX([1]Produtos!$J:$J,MATCH(L1729,[1]Produtos!$B:$B,0)), "-")</f>
        <v>-</v>
      </c>
      <c r="T1729" s="475"/>
      <c r="U1729" s="270"/>
      <c r="V1729" s="270"/>
      <c r="W1729" s="270"/>
      <c r="X1729" s="270"/>
      <c r="Y1729" s="270"/>
      <c r="Z1729" s="270"/>
      <c r="AA1729" s="270"/>
      <c r="AB1729" s="270"/>
      <c r="AC1729" s="270"/>
      <c r="AD1729" s="270"/>
      <c r="AE1729" s="270"/>
      <c r="AF1729" s="270"/>
      <c r="AG1729" s="270"/>
      <c r="AH1729" s="270"/>
      <c r="AI1729" s="270"/>
      <c r="AJ1729" s="270"/>
      <c r="AK1729" s="270"/>
      <c r="AL1729" s="270"/>
      <c r="AM1729" s="663"/>
      <c r="AN1729" s="663"/>
      <c r="AO1729" s="708" t="str">
        <f>IF(OR(Table1[[#This Row],[Início Setup Envase]]="",Table1[[#This Row],[Final Setup Envase]]=""),"",Table1[[#This Row],[Final Setup Envase]]-Table1[[#This Row],[Início Setup Envase]])</f>
        <v/>
      </c>
      <c r="AP1729" s="663"/>
      <c r="AQ1729" s="663"/>
      <c r="AR1729" s="270"/>
      <c r="AS1729" s="674"/>
      <c r="AT1729" s="674"/>
      <c r="AU1729" s="270"/>
      <c r="AV1729" s="270"/>
      <c r="AW1729" s="270"/>
      <c r="AX1729" s="270"/>
      <c r="AY1729" s="270"/>
      <c r="AZ1729" s="270"/>
      <c r="BA1729" s="270" t="str">
        <f>IF(Table1[[#This Row],[Data de Início]]="","",YEAR(Table1[[#This Row],[Data de Início]]))</f>
        <v/>
      </c>
      <c r="BB1729" s="270" t="str">
        <f>IF(Table1[[#This Row],[Data de Início]]="","",MONTH(Table1[[#This Row],[Data de Início]]))</f>
        <v/>
      </c>
      <c r="BC1729" s="483"/>
    </row>
    <row r="1730" spans="2:55" x14ac:dyDescent="0.25">
      <c r="B1730" s="470"/>
      <c r="C1730" s="263"/>
      <c r="D1730" s="477" cm="1">
        <f t="array" ref="D1730">IFERROR(HorasUteisFabrica2Turnos(B1730,C1730), "")</f>
        <v>0</v>
      </c>
      <c r="E1730" s="478" t="str">
        <f t="shared" si="27"/>
        <v/>
      </c>
      <c r="F1730" s="266"/>
      <c r="G1730" s="656"/>
      <c r="H1730" s="479"/>
      <c r="I1730" s="268"/>
      <c r="J1730" s="268"/>
      <c r="K1730" s="268"/>
      <c r="L1730" s="269"/>
      <c r="M1730" s="511" t="str">
        <f>IFERROR(INDEX([1]Produtos!$C:$C,MATCH(L1730,[1]Produtos!$B:$B,0)), "-")</f>
        <v>-</v>
      </c>
      <c r="N1730" s="511" t="str">
        <f>IFERROR(INDEX([1]Produtos!$E:$E,MATCH(L1730,[1]Produtos!$B:$B,0)), "-")</f>
        <v>-</v>
      </c>
      <c r="O1730" s="483" t="str">
        <f>IFERROR(INDEX([1]Produtos!$F:$F,MATCH(L1730,[1]Produtos!$B:$B,0)), "-")</f>
        <v>-</v>
      </c>
      <c r="P1730" s="477" t="str">
        <f>IFERROR(INDEX([1]Produtos!$G:$G,MATCH(L1730,[1]Produtos!$B:$B,0)), "-")</f>
        <v>-</v>
      </c>
      <c r="Q1730" s="483" t="str">
        <f>IFERROR(INDEX([1]Produtos!$H:$H,MATCH(L1730,[1]Produtos!$B:$B,0)), "-")</f>
        <v>-</v>
      </c>
      <c r="R1730" s="483" t="str">
        <f>IFERROR(INDEX([1]Produtos!$I:$I,MATCH(L1730,[1]Produtos!$B:$B,0)), "-")</f>
        <v>-</v>
      </c>
      <c r="S1730" s="483" t="str">
        <f>IFERROR(INDEX([1]Produtos!$J:$J,MATCH(L1730,[1]Produtos!$B:$B,0)), "-")</f>
        <v>-</v>
      </c>
      <c r="T1730" s="484"/>
      <c r="U1730" s="483"/>
      <c r="V1730" s="483"/>
      <c r="W1730" s="483"/>
      <c r="X1730" s="483"/>
      <c r="Y1730" s="483"/>
      <c r="Z1730" s="483"/>
      <c r="AA1730" s="483"/>
      <c r="AB1730" s="483"/>
      <c r="AC1730" s="483"/>
      <c r="AD1730" s="483"/>
      <c r="AE1730" s="483"/>
      <c r="AF1730" s="483"/>
      <c r="AG1730" s="483"/>
      <c r="AH1730" s="483"/>
      <c r="AI1730" s="483"/>
      <c r="AJ1730" s="483"/>
      <c r="AK1730" s="483"/>
      <c r="AL1730" s="483"/>
      <c r="AM1730" s="670"/>
      <c r="AN1730" s="670"/>
      <c r="AO1730" s="711" t="str">
        <f>IF(OR(Table1[[#This Row],[Início Setup Envase]]="",Table1[[#This Row],[Final Setup Envase]]=""),"",Table1[[#This Row],[Final Setup Envase]]-Table1[[#This Row],[Início Setup Envase]])</f>
        <v/>
      </c>
      <c r="AP1730" s="670"/>
      <c r="AQ1730" s="670"/>
      <c r="AR1730" s="483"/>
      <c r="AS1730" s="483"/>
      <c r="AT1730" s="483"/>
      <c r="AU1730" s="483"/>
      <c r="AV1730" s="483"/>
      <c r="AW1730" s="483"/>
      <c r="AX1730" s="483"/>
      <c r="AY1730" s="270"/>
      <c r="AZ1730" s="270"/>
      <c r="BA1730" s="270" t="str">
        <f>IF(Table1[[#This Row],[Data de Início]]="","",YEAR(Table1[[#This Row],[Data de Início]]))</f>
        <v/>
      </c>
      <c r="BB1730" s="270" t="str">
        <f>IF(Table1[[#This Row],[Data de Início]]="","",MONTH(Table1[[#This Row],[Data de Início]]))</f>
        <v/>
      </c>
      <c r="BC1730" s="270"/>
    </row>
    <row r="1731" spans="2:55" x14ac:dyDescent="0.25">
      <c r="B1731" s="470"/>
      <c r="C1731" s="263"/>
      <c r="D1731" s="477" cm="1">
        <f t="array" ref="D1731">IFERROR(HorasUteisFabrica2Turnos(B1731,C1731), "")</f>
        <v>0</v>
      </c>
      <c r="E1731" s="697" t="str">
        <f t="shared" si="27"/>
        <v/>
      </c>
      <c r="F1731" s="266"/>
      <c r="G1731" s="698"/>
      <c r="H1731" s="266"/>
      <c r="I1731" s="268"/>
      <c r="J1731" s="268"/>
      <c r="K1731" s="268"/>
      <c r="L1731" s="269"/>
      <c r="M1731" s="510" t="str">
        <f>IFERROR(INDEX([1]Produtos!$C:$C,MATCH(L1731,[1]Produtos!$B:$B,0)), "-")</f>
        <v>-</v>
      </c>
      <c r="N1731" s="510" t="str">
        <f>IFERROR(INDEX([1]Produtos!$E:$E,MATCH(L1731,[1]Produtos!$B:$B,0)), "-")</f>
        <v>-</v>
      </c>
      <c r="O1731" s="270" t="str">
        <f>IFERROR(INDEX([1]Produtos!$F:$F,MATCH(L1731,[1]Produtos!$B:$B,0)), "-")</f>
        <v>-</v>
      </c>
      <c r="P1731" s="264" t="str">
        <f>IFERROR(INDEX([1]Produtos!$G:$G,MATCH(L1731,[1]Produtos!$B:$B,0)), "-")</f>
        <v>-</v>
      </c>
      <c r="Q1731" s="270" t="str">
        <f>IFERROR(INDEX([1]Produtos!$H:$H,MATCH(L1731,[1]Produtos!$B:$B,0)), "-")</f>
        <v>-</v>
      </c>
      <c r="R1731" s="270" t="str">
        <f>IFERROR(INDEX([1]Produtos!$I:$I,MATCH(L1731,[1]Produtos!$B:$B,0)), "-")</f>
        <v>-</v>
      </c>
      <c r="S1731" s="270" t="str">
        <f>IFERROR(INDEX([1]Produtos!$J:$J,MATCH(L1731,[1]Produtos!$B:$B,0)), "-")</f>
        <v>-</v>
      </c>
      <c r="T1731" s="475"/>
      <c r="U1731" s="270"/>
      <c r="V1731" s="270"/>
      <c r="W1731" s="270"/>
      <c r="X1731" s="270"/>
      <c r="Y1731" s="270"/>
      <c r="Z1731" s="270"/>
      <c r="AA1731" s="270"/>
      <c r="AB1731" s="270"/>
      <c r="AC1731" s="270"/>
      <c r="AD1731" s="270"/>
      <c r="AE1731" s="270"/>
      <c r="AF1731" s="270"/>
      <c r="AG1731" s="270"/>
      <c r="AH1731" s="270"/>
      <c r="AI1731" s="270"/>
      <c r="AJ1731" s="270"/>
      <c r="AK1731" s="270"/>
      <c r="AL1731" s="270"/>
      <c r="AM1731" s="663"/>
      <c r="AN1731" s="663"/>
      <c r="AO1731" s="708" t="str">
        <f>IF(OR(Table1[[#This Row],[Início Setup Envase]]="",Table1[[#This Row],[Final Setup Envase]]=""),"",Table1[[#This Row],[Final Setup Envase]]-Table1[[#This Row],[Início Setup Envase]])</f>
        <v/>
      </c>
      <c r="AP1731" s="663"/>
      <c r="AQ1731" s="663"/>
      <c r="AR1731" s="270"/>
      <c r="AS1731" s="674"/>
      <c r="AT1731" s="674"/>
      <c r="AU1731" s="270"/>
      <c r="AV1731" s="270"/>
      <c r="AW1731" s="270"/>
      <c r="AX1731" s="270"/>
      <c r="AY1731" s="270"/>
      <c r="AZ1731" s="270"/>
      <c r="BA1731" s="270" t="str">
        <f>IF(Table1[[#This Row],[Data de Início]]="","",YEAR(Table1[[#This Row],[Data de Início]]))</f>
        <v/>
      </c>
      <c r="BB1731" s="270" t="str">
        <f>IF(Table1[[#This Row],[Data de Início]]="","",MONTH(Table1[[#This Row],[Data de Início]]))</f>
        <v/>
      </c>
      <c r="BC1731" s="483"/>
    </row>
    <row r="1732" spans="2:55" x14ac:dyDescent="0.25">
      <c r="B1732" s="470"/>
      <c r="C1732" s="263"/>
      <c r="D1732" s="477" cm="1">
        <f t="array" ref="D1732">IFERROR(HorasUteisFabrica2Turnos(B1732,C1732), "")</f>
        <v>0</v>
      </c>
      <c r="E1732" s="478" t="str">
        <f t="shared" si="27"/>
        <v/>
      </c>
      <c r="F1732" s="266"/>
      <c r="G1732" s="656"/>
      <c r="H1732" s="479"/>
      <c r="I1732" s="268"/>
      <c r="J1732" s="268"/>
      <c r="K1732" s="268"/>
      <c r="L1732" s="269"/>
      <c r="M1732" s="511" t="str">
        <f>IFERROR(INDEX([1]Produtos!$C:$C,MATCH(L1732,[1]Produtos!$B:$B,0)), "-")</f>
        <v>-</v>
      </c>
      <c r="N1732" s="511" t="str">
        <f>IFERROR(INDEX([1]Produtos!$E:$E,MATCH(L1732,[1]Produtos!$B:$B,0)), "-")</f>
        <v>-</v>
      </c>
      <c r="O1732" s="483" t="str">
        <f>IFERROR(INDEX([1]Produtos!$F:$F,MATCH(L1732,[1]Produtos!$B:$B,0)), "-")</f>
        <v>-</v>
      </c>
      <c r="P1732" s="477" t="str">
        <f>IFERROR(INDEX([1]Produtos!$G:$G,MATCH(L1732,[1]Produtos!$B:$B,0)), "-")</f>
        <v>-</v>
      </c>
      <c r="Q1732" s="483" t="str">
        <f>IFERROR(INDEX([1]Produtos!$H:$H,MATCH(L1732,[1]Produtos!$B:$B,0)), "-")</f>
        <v>-</v>
      </c>
      <c r="R1732" s="483" t="str">
        <f>IFERROR(INDEX([1]Produtos!$I:$I,MATCH(L1732,[1]Produtos!$B:$B,0)), "-")</f>
        <v>-</v>
      </c>
      <c r="S1732" s="483" t="str">
        <f>IFERROR(INDEX([1]Produtos!$J:$J,MATCH(L1732,[1]Produtos!$B:$B,0)), "-")</f>
        <v>-</v>
      </c>
      <c r="T1732" s="484"/>
      <c r="U1732" s="483"/>
      <c r="V1732" s="483"/>
      <c r="W1732" s="483"/>
      <c r="X1732" s="483"/>
      <c r="Y1732" s="483"/>
      <c r="Z1732" s="483"/>
      <c r="AA1732" s="483"/>
      <c r="AB1732" s="483"/>
      <c r="AC1732" s="483"/>
      <c r="AD1732" s="483"/>
      <c r="AE1732" s="483"/>
      <c r="AF1732" s="483"/>
      <c r="AG1732" s="483"/>
      <c r="AH1732" s="483"/>
      <c r="AI1732" s="483"/>
      <c r="AJ1732" s="483"/>
      <c r="AK1732" s="483"/>
      <c r="AL1732" s="483"/>
      <c r="AM1732" s="670"/>
      <c r="AN1732" s="670"/>
      <c r="AO1732" s="711" t="str">
        <f>IF(OR(Table1[[#This Row],[Início Setup Envase]]="",Table1[[#This Row],[Final Setup Envase]]=""),"",Table1[[#This Row],[Final Setup Envase]]-Table1[[#This Row],[Início Setup Envase]])</f>
        <v/>
      </c>
      <c r="AP1732" s="670"/>
      <c r="AQ1732" s="670"/>
      <c r="AR1732" s="483"/>
      <c r="AS1732" s="483"/>
      <c r="AT1732" s="483"/>
      <c r="AU1732" s="483"/>
      <c r="AV1732" s="483"/>
      <c r="AW1732" s="483"/>
      <c r="AX1732" s="483"/>
      <c r="AY1732" s="270"/>
      <c r="AZ1732" s="270"/>
      <c r="BA1732" s="270" t="str">
        <f>IF(Table1[[#This Row],[Data de Início]]="","",YEAR(Table1[[#This Row],[Data de Início]]))</f>
        <v/>
      </c>
      <c r="BB1732" s="270" t="str">
        <f>IF(Table1[[#This Row],[Data de Início]]="","",MONTH(Table1[[#This Row],[Data de Início]]))</f>
        <v/>
      </c>
      <c r="BC1732" s="270"/>
    </row>
    <row r="1733" spans="2:55" x14ac:dyDescent="0.25">
      <c r="B1733" s="470"/>
      <c r="C1733" s="263"/>
      <c r="D1733" s="477" cm="1">
        <f t="array" ref="D1733">IFERROR(HorasUteisFabrica2Turnos(B1733,C1733), "")</f>
        <v>0</v>
      </c>
      <c r="E1733" s="697" t="str">
        <f t="shared" si="27"/>
        <v/>
      </c>
      <c r="F1733" s="266"/>
      <c r="G1733" s="698"/>
      <c r="H1733" s="266"/>
      <c r="I1733" s="268"/>
      <c r="J1733" s="268"/>
      <c r="K1733" s="268"/>
      <c r="L1733" s="269"/>
      <c r="M1733" s="510" t="str">
        <f>IFERROR(INDEX([1]Produtos!$C:$C,MATCH(L1733,[1]Produtos!$B:$B,0)), "-")</f>
        <v>-</v>
      </c>
      <c r="N1733" s="510" t="str">
        <f>IFERROR(INDEX([1]Produtos!$E:$E,MATCH(L1733,[1]Produtos!$B:$B,0)), "-")</f>
        <v>-</v>
      </c>
      <c r="O1733" s="270" t="str">
        <f>IFERROR(INDEX([1]Produtos!$F:$F,MATCH(L1733,[1]Produtos!$B:$B,0)), "-")</f>
        <v>-</v>
      </c>
      <c r="P1733" s="264" t="str">
        <f>IFERROR(INDEX([1]Produtos!$G:$G,MATCH(L1733,[1]Produtos!$B:$B,0)), "-")</f>
        <v>-</v>
      </c>
      <c r="Q1733" s="270" t="str">
        <f>IFERROR(INDEX([1]Produtos!$H:$H,MATCH(L1733,[1]Produtos!$B:$B,0)), "-")</f>
        <v>-</v>
      </c>
      <c r="R1733" s="270" t="str">
        <f>IFERROR(INDEX([1]Produtos!$I:$I,MATCH(L1733,[1]Produtos!$B:$B,0)), "-")</f>
        <v>-</v>
      </c>
      <c r="S1733" s="270" t="str">
        <f>IFERROR(INDEX([1]Produtos!$J:$J,MATCH(L1733,[1]Produtos!$B:$B,0)), "-")</f>
        <v>-</v>
      </c>
      <c r="T1733" s="475"/>
      <c r="U1733" s="270"/>
      <c r="V1733" s="270"/>
      <c r="W1733" s="270"/>
      <c r="X1733" s="270"/>
      <c r="Y1733" s="270"/>
      <c r="Z1733" s="270"/>
      <c r="AA1733" s="270"/>
      <c r="AB1733" s="270"/>
      <c r="AC1733" s="270"/>
      <c r="AD1733" s="270"/>
      <c r="AE1733" s="270"/>
      <c r="AF1733" s="270"/>
      <c r="AG1733" s="270"/>
      <c r="AH1733" s="270"/>
      <c r="AI1733" s="270"/>
      <c r="AJ1733" s="270"/>
      <c r="AK1733" s="270"/>
      <c r="AL1733" s="270"/>
      <c r="AM1733" s="663"/>
      <c r="AN1733" s="663"/>
      <c r="AO1733" s="708" t="str">
        <f>IF(OR(Table1[[#This Row],[Início Setup Envase]]="",Table1[[#This Row],[Final Setup Envase]]=""),"",Table1[[#This Row],[Final Setup Envase]]-Table1[[#This Row],[Início Setup Envase]])</f>
        <v/>
      </c>
      <c r="AP1733" s="663"/>
      <c r="AQ1733" s="663"/>
      <c r="AR1733" s="270"/>
      <c r="AS1733" s="674"/>
      <c r="AT1733" s="674"/>
      <c r="AU1733" s="270"/>
      <c r="AV1733" s="270"/>
      <c r="AW1733" s="270"/>
      <c r="AX1733" s="270"/>
      <c r="AY1733" s="270"/>
      <c r="AZ1733" s="270"/>
      <c r="BA1733" s="270" t="str">
        <f>IF(Table1[[#This Row],[Data de Início]]="","",YEAR(Table1[[#This Row],[Data de Início]]))</f>
        <v/>
      </c>
      <c r="BB1733" s="270" t="str">
        <f>IF(Table1[[#This Row],[Data de Início]]="","",MONTH(Table1[[#This Row],[Data de Início]]))</f>
        <v/>
      </c>
      <c r="BC1733" s="483"/>
    </row>
    <row r="1734" spans="2:55" x14ac:dyDescent="0.25">
      <c r="B1734" s="470"/>
      <c r="C1734" s="263"/>
      <c r="D1734" s="477" cm="1">
        <f t="array" ref="D1734">IFERROR(HorasUteisFabrica2Turnos(B1734,C1734), "")</f>
        <v>0</v>
      </c>
      <c r="E1734" s="478" t="str">
        <f t="shared" si="27"/>
        <v/>
      </c>
      <c r="F1734" s="266"/>
      <c r="G1734" s="656"/>
      <c r="H1734" s="479"/>
      <c r="I1734" s="268"/>
      <c r="J1734" s="268"/>
      <c r="K1734" s="268"/>
      <c r="L1734" s="269"/>
      <c r="M1734" s="511" t="str">
        <f>IFERROR(INDEX([1]Produtos!$C:$C,MATCH(L1734,[1]Produtos!$B:$B,0)), "-")</f>
        <v>-</v>
      </c>
      <c r="N1734" s="511" t="str">
        <f>IFERROR(INDEX([1]Produtos!$E:$E,MATCH(L1734,[1]Produtos!$B:$B,0)), "-")</f>
        <v>-</v>
      </c>
      <c r="O1734" s="483" t="str">
        <f>IFERROR(INDEX([1]Produtos!$F:$F,MATCH(L1734,[1]Produtos!$B:$B,0)), "-")</f>
        <v>-</v>
      </c>
      <c r="P1734" s="477" t="str">
        <f>IFERROR(INDEX([1]Produtos!$G:$G,MATCH(L1734,[1]Produtos!$B:$B,0)), "-")</f>
        <v>-</v>
      </c>
      <c r="Q1734" s="483" t="str">
        <f>IFERROR(INDEX([1]Produtos!$H:$H,MATCH(L1734,[1]Produtos!$B:$B,0)), "-")</f>
        <v>-</v>
      </c>
      <c r="R1734" s="483" t="str">
        <f>IFERROR(INDEX([1]Produtos!$I:$I,MATCH(L1734,[1]Produtos!$B:$B,0)), "-")</f>
        <v>-</v>
      </c>
      <c r="S1734" s="483" t="str">
        <f>IFERROR(INDEX([1]Produtos!$J:$J,MATCH(L1734,[1]Produtos!$B:$B,0)), "-")</f>
        <v>-</v>
      </c>
      <c r="T1734" s="484"/>
      <c r="U1734" s="483"/>
      <c r="V1734" s="483"/>
      <c r="W1734" s="483"/>
      <c r="X1734" s="483"/>
      <c r="Y1734" s="483"/>
      <c r="Z1734" s="483"/>
      <c r="AA1734" s="483"/>
      <c r="AB1734" s="483"/>
      <c r="AC1734" s="483"/>
      <c r="AD1734" s="483"/>
      <c r="AE1734" s="483"/>
      <c r="AF1734" s="483"/>
      <c r="AG1734" s="483"/>
      <c r="AH1734" s="483"/>
      <c r="AI1734" s="483"/>
      <c r="AJ1734" s="483"/>
      <c r="AK1734" s="483"/>
      <c r="AL1734" s="483"/>
      <c r="AM1734" s="670"/>
      <c r="AN1734" s="670"/>
      <c r="AO1734" s="711" t="str">
        <f>IF(OR(Table1[[#This Row],[Início Setup Envase]]="",Table1[[#This Row],[Final Setup Envase]]=""),"",Table1[[#This Row],[Final Setup Envase]]-Table1[[#This Row],[Início Setup Envase]])</f>
        <v/>
      </c>
      <c r="AP1734" s="670"/>
      <c r="AQ1734" s="670"/>
      <c r="AR1734" s="483"/>
      <c r="AS1734" s="483"/>
      <c r="AT1734" s="483"/>
      <c r="AU1734" s="483"/>
      <c r="AV1734" s="483"/>
      <c r="AW1734" s="483"/>
      <c r="AX1734" s="483"/>
      <c r="AY1734" s="270"/>
      <c r="AZ1734" s="270"/>
      <c r="BA1734" s="270" t="str">
        <f>IF(Table1[[#This Row],[Data de Início]]="","",YEAR(Table1[[#This Row],[Data de Início]]))</f>
        <v/>
      </c>
      <c r="BB1734" s="270" t="str">
        <f>IF(Table1[[#This Row],[Data de Início]]="","",MONTH(Table1[[#This Row],[Data de Início]]))</f>
        <v/>
      </c>
      <c r="BC1734" s="270"/>
    </row>
    <row r="1735" spans="2:55" x14ac:dyDescent="0.25">
      <c r="B1735" s="470"/>
      <c r="C1735" s="263"/>
      <c r="D1735" s="477" cm="1">
        <f t="array" ref="D1735">IFERROR(HorasUteisFabrica2Turnos(B1735,C1735), "")</f>
        <v>0</v>
      </c>
      <c r="E1735" s="697" t="str">
        <f t="shared" si="27"/>
        <v/>
      </c>
      <c r="F1735" s="266"/>
      <c r="G1735" s="698"/>
      <c r="H1735" s="266"/>
      <c r="I1735" s="268"/>
      <c r="J1735" s="268"/>
      <c r="K1735" s="268"/>
      <c r="L1735" s="269"/>
      <c r="M1735" s="510" t="str">
        <f>IFERROR(INDEX([1]Produtos!$C:$C,MATCH(L1735,[1]Produtos!$B:$B,0)), "-")</f>
        <v>-</v>
      </c>
      <c r="N1735" s="510" t="str">
        <f>IFERROR(INDEX([1]Produtos!$E:$E,MATCH(L1735,[1]Produtos!$B:$B,0)), "-")</f>
        <v>-</v>
      </c>
      <c r="O1735" s="270" t="str">
        <f>IFERROR(INDEX([1]Produtos!$F:$F,MATCH(L1735,[1]Produtos!$B:$B,0)), "-")</f>
        <v>-</v>
      </c>
      <c r="P1735" s="264" t="str">
        <f>IFERROR(INDEX([1]Produtos!$G:$G,MATCH(L1735,[1]Produtos!$B:$B,0)), "-")</f>
        <v>-</v>
      </c>
      <c r="Q1735" s="270" t="str">
        <f>IFERROR(INDEX([1]Produtos!$H:$H,MATCH(L1735,[1]Produtos!$B:$B,0)), "-")</f>
        <v>-</v>
      </c>
      <c r="R1735" s="270" t="str">
        <f>IFERROR(INDEX([1]Produtos!$I:$I,MATCH(L1735,[1]Produtos!$B:$B,0)), "-")</f>
        <v>-</v>
      </c>
      <c r="S1735" s="270" t="str">
        <f>IFERROR(INDEX([1]Produtos!$J:$J,MATCH(L1735,[1]Produtos!$B:$B,0)), "-")</f>
        <v>-</v>
      </c>
      <c r="T1735" s="475"/>
      <c r="U1735" s="270"/>
      <c r="V1735" s="270"/>
      <c r="W1735" s="270"/>
      <c r="X1735" s="270"/>
      <c r="Y1735" s="270"/>
      <c r="Z1735" s="270"/>
      <c r="AA1735" s="270"/>
      <c r="AB1735" s="270"/>
      <c r="AC1735" s="270"/>
      <c r="AD1735" s="270"/>
      <c r="AE1735" s="270"/>
      <c r="AF1735" s="270"/>
      <c r="AG1735" s="270"/>
      <c r="AH1735" s="270"/>
      <c r="AI1735" s="270"/>
      <c r="AJ1735" s="270"/>
      <c r="AK1735" s="270"/>
      <c r="AL1735" s="270"/>
      <c r="AM1735" s="663"/>
      <c r="AN1735" s="663"/>
      <c r="AO1735" s="708" t="str">
        <f>IF(OR(Table1[[#This Row],[Início Setup Envase]]="",Table1[[#This Row],[Final Setup Envase]]=""),"",Table1[[#This Row],[Final Setup Envase]]-Table1[[#This Row],[Início Setup Envase]])</f>
        <v/>
      </c>
      <c r="AP1735" s="663"/>
      <c r="AQ1735" s="663"/>
      <c r="AR1735" s="270"/>
      <c r="AS1735" s="674"/>
      <c r="AT1735" s="674"/>
      <c r="AU1735" s="270"/>
      <c r="AV1735" s="270"/>
      <c r="AW1735" s="270"/>
      <c r="AX1735" s="270"/>
      <c r="AY1735" s="270"/>
      <c r="AZ1735" s="270"/>
      <c r="BA1735" s="270" t="str">
        <f>IF(Table1[[#This Row],[Data de Início]]="","",YEAR(Table1[[#This Row],[Data de Início]]))</f>
        <v/>
      </c>
      <c r="BB1735" s="270" t="str">
        <f>IF(Table1[[#This Row],[Data de Início]]="","",MONTH(Table1[[#This Row],[Data de Início]]))</f>
        <v/>
      </c>
      <c r="BC1735" s="483"/>
    </row>
    <row r="1736" spans="2:55" x14ac:dyDescent="0.25">
      <c r="B1736" s="470"/>
      <c r="C1736" s="263"/>
      <c r="D1736" s="477" cm="1">
        <f t="array" ref="D1736">IFERROR(HorasUteisFabrica2Turnos(B1736,C1736), "")</f>
        <v>0</v>
      </c>
      <c r="E1736" s="478" t="str">
        <f t="shared" si="27"/>
        <v/>
      </c>
      <c r="F1736" s="266"/>
      <c r="G1736" s="656"/>
      <c r="H1736" s="479"/>
      <c r="I1736" s="268"/>
      <c r="J1736" s="268"/>
      <c r="K1736" s="268"/>
      <c r="L1736" s="269"/>
      <c r="M1736" s="511" t="str">
        <f>IFERROR(INDEX([1]Produtos!$C:$C,MATCH(L1736,[1]Produtos!$B:$B,0)), "-")</f>
        <v>-</v>
      </c>
      <c r="N1736" s="511" t="str">
        <f>IFERROR(INDEX([1]Produtos!$E:$E,MATCH(L1736,[1]Produtos!$B:$B,0)), "-")</f>
        <v>-</v>
      </c>
      <c r="O1736" s="483" t="str">
        <f>IFERROR(INDEX([1]Produtos!$F:$F,MATCH(L1736,[1]Produtos!$B:$B,0)), "-")</f>
        <v>-</v>
      </c>
      <c r="P1736" s="477" t="str">
        <f>IFERROR(INDEX([1]Produtos!$G:$G,MATCH(L1736,[1]Produtos!$B:$B,0)), "-")</f>
        <v>-</v>
      </c>
      <c r="Q1736" s="483" t="str">
        <f>IFERROR(INDEX([1]Produtos!$H:$H,MATCH(L1736,[1]Produtos!$B:$B,0)), "-")</f>
        <v>-</v>
      </c>
      <c r="R1736" s="483" t="str">
        <f>IFERROR(INDEX([1]Produtos!$I:$I,MATCH(L1736,[1]Produtos!$B:$B,0)), "-")</f>
        <v>-</v>
      </c>
      <c r="S1736" s="483" t="str">
        <f>IFERROR(INDEX([1]Produtos!$J:$J,MATCH(L1736,[1]Produtos!$B:$B,0)), "-")</f>
        <v>-</v>
      </c>
      <c r="T1736" s="484"/>
      <c r="U1736" s="483"/>
      <c r="V1736" s="483"/>
      <c r="W1736" s="483"/>
      <c r="X1736" s="483"/>
      <c r="Y1736" s="483"/>
      <c r="Z1736" s="483"/>
      <c r="AA1736" s="483"/>
      <c r="AB1736" s="483"/>
      <c r="AC1736" s="483"/>
      <c r="AD1736" s="483"/>
      <c r="AE1736" s="483"/>
      <c r="AF1736" s="483"/>
      <c r="AG1736" s="483"/>
      <c r="AH1736" s="483"/>
      <c r="AI1736" s="483"/>
      <c r="AJ1736" s="483"/>
      <c r="AK1736" s="483"/>
      <c r="AL1736" s="483"/>
      <c r="AM1736" s="670"/>
      <c r="AN1736" s="670"/>
      <c r="AO1736" s="711" t="str">
        <f>IF(OR(Table1[[#This Row],[Início Setup Envase]]="",Table1[[#This Row],[Final Setup Envase]]=""),"",Table1[[#This Row],[Final Setup Envase]]-Table1[[#This Row],[Início Setup Envase]])</f>
        <v/>
      </c>
      <c r="AP1736" s="670"/>
      <c r="AQ1736" s="670"/>
      <c r="AR1736" s="483"/>
      <c r="AS1736" s="483"/>
      <c r="AT1736" s="483"/>
      <c r="AU1736" s="483"/>
      <c r="AV1736" s="483"/>
      <c r="AW1736" s="483"/>
      <c r="AX1736" s="483"/>
      <c r="AY1736" s="270"/>
      <c r="AZ1736" s="270"/>
      <c r="BA1736" s="270" t="str">
        <f>IF(Table1[[#This Row],[Data de Início]]="","",YEAR(Table1[[#This Row],[Data de Início]]))</f>
        <v/>
      </c>
      <c r="BB1736" s="270" t="str">
        <f>IF(Table1[[#This Row],[Data de Início]]="","",MONTH(Table1[[#This Row],[Data de Início]]))</f>
        <v/>
      </c>
      <c r="BC1736" s="270"/>
    </row>
    <row r="1737" spans="2:55" x14ac:dyDescent="0.25">
      <c r="B1737" s="470"/>
      <c r="C1737" s="263"/>
      <c r="D1737" s="477" cm="1">
        <f t="array" ref="D1737">IFERROR(HorasUteisFabrica2Turnos(B1737,C1737), "")</f>
        <v>0</v>
      </c>
      <c r="E1737" s="697" t="str">
        <f t="shared" si="27"/>
        <v/>
      </c>
      <c r="F1737" s="266"/>
      <c r="G1737" s="698"/>
      <c r="H1737" s="266"/>
      <c r="I1737" s="268"/>
      <c r="J1737" s="268"/>
      <c r="K1737" s="268"/>
      <c r="L1737" s="269"/>
      <c r="M1737" s="510" t="str">
        <f>IFERROR(INDEX([1]Produtos!$C:$C,MATCH(L1737,[1]Produtos!$B:$B,0)), "-")</f>
        <v>-</v>
      </c>
      <c r="N1737" s="510" t="str">
        <f>IFERROR(INDEX([1]Produtos!$E:$E,MATCH(L1737,[1]Produtos!$B:$B,0)), "-")</f>
        <v>-</v>
      </c>
      <c r="O1737" s="270" t="str">
        <f>IFERROR(INDEX([1]Produtos!$F:$F,MATCH(L1737,[1]Produtos!$B:$B,0)), "-")</f>
        <v>-</v>
      </c>
      <c r="P1737" s="264" t="str">
        <f>IFERROR(INDEX([1]Produtos!$G:$G,MATCH(L1737,[1]Produtos!$B:$B,0)), "-")</f>
        <v>-</v>
      </c>
      <c r="Q1737" s="270" t="str">
        <f>IFERROR(INDEX([1]Produtos!$H:$H,MATCH(L1737,[1]Produtos!$B:$B,0)), "-")</f>
        <v>-</v>
      </c>
      <c r="R1737" s="270" t="str">
        <f>IFERROR(INDEX([1]Produtos!$I:$I,MATCH(L1737,[1]Produtos!$B:$B,0)), "-")</f>
        <v>-</v>
      </c>
      <c r="S1737" s="270" t="str">
        <f>IFERROR(INDEX([1]Produtos!$J:$J,MATCH(L1737,[1]Produtos!$B:$B,0)), "-")</f>
        <v>-</v>
      </c>
      <c r="T1737" s="475"/>
      <c r="U1737" s="270"/>
      <c r="V1737" s="270"/>
      <c r="W1737" s="270"/>
      <c r="X1737" s="270"/>
      <c r="Y1737" s="270"/>
      <c r="Z1737" s="270"/>
      <c r="AA1737" s="270"/>
      <c r="AB1737" s="270"/>
      <c r="AC1737" s="270"/>
      <c r="AD1737" s="270"/>
      <c r="AE1737" s="270"/>
      <c r="AF1737" s="270"/>
      <c r="AG1737" s="270"/>
      <c r="AH1737" s="270"/>
      <c r="AI1737" s="270"/>
      <c r="AJ1737" s="270"/>
      <c r="AK1737" s="270"/>
      <c r="AL1737" s="270"/>
      <c r="AM1737" s="663"/>
      <c r="AN1737" s="663"/>
      <c r="AO1737" s="708" t="str">
        <f>IF(OR(Table1[[#This Row],[Início Setup Envase]]="",Table1[[#This Row],[Final Setup Envase]]=""),"",Table1[[#This Row],[Final Setup Envase]]-Table1[[#This Row],[Início Setup Envase]])</f>
        <v/>
      </c>
      <c r="AP1737" s="663"/>
      <c r="AQ1737" s="663"/>
      <c r="AR1737" s="270"/>
      <c r="AS1737" s="674"/>
      <c r="AT1737" s="674"/>
      <c r="AU1737" s="270"/>
      <c r="AV1737" s="270"/>
      <c r="AW1737" s="270"/>
      <c r="AX1737" s="270"/>
      <c r="AY1737" s="270"/>
      <c r="AZ1737" s="270"/>
      <c r="BA1737" s="270" t="str">
        <f>IF(Table1[[#This Row],[Data de Início]]="","",YEAR(Table1[[#This Row],[Data de Início]]))</f>
        <v/>
      </c>
      <c r="BB1737" s="270" t="str">
        <f>IF(Table1[[#This Row],[Data de Início]]="","",MONTH(Table1[[#This Row],[Data de Início]]))</f>
        <v/>
      </c>
      <c r="BC1737" s="483"/>
    </row>
    <row r="1738" spans="2:55" x14ac:dyDescent="0.25">
      <c r="B1738" s="470"/>
      <c r="C1738" s="263"/>
      <c r="D1738" s="477" cm="1">
        <f t="array" ref="D1738">IFERROR(HorasUteisFabrica2Turnos(B1738,C1738), "")</f>
        <v>0</v>
      </c>
      <c r="E1738" s="478" t="str">
        <f t="shared" si="27"/>
        <v/>
      </c>
      <c r="F1738" s="266"/>
      <c r="G1738" s="656"/>
      <c r="H1738" s="479"/>
      <c r="I1738" s="268"/>
      <c r="J1738" s="268"/>
      <c r="K1738" s="268"/>
      <c r="L1738" s="269"/>
      <c r="M1738" s="511" t="str">
        <f>IFERROR(INDEX([1]Produtos!$C:$C,MATCH(L1738,[1]Produtos!$B:$B,0)), "-")</f>
        <v>-</v>
      </c>
      <c r="N1738" s="511" t="str">
        <f>IFERROR(INDEX([1]Produtos!$E:$E,MATCH(L1738,[1]Produtos!$B:$B,0)), "-")</f>
        <v>-</v>
      </c>
      <c r="O1738" s="483" t="str">
        <f>IFERROR(INDEX([1]Produtos!$F:$F,MATCH(L1738,[1]Produtos!$B:$B,0)), "-")</f>
        <v>-</v>
      </c>
      <c r="P1738" s="477" t="str">
        <f>IFERROR(INDEX([1]Produtos!$G:$G,MATCH(L1738,[1]Produtos!$B:$B,0)), "-")</f>
        <v>-</v>
      </c>
      <c r="Q1738" s="483" t="str">
        <f>IFERROR(INDEX([1]Produtos!$H:$H,MATCH(L1738,[1]Produtos!$B:$B,0)), "-")</f>
        <v>-</v>
      </c>
      <c r="R1738" s="483" t="str">
        <f>IFERROR(INDEX([1]Produtos!$I:$I,MATCH(L1738,[1]Produtos!$B:$B,0)), "-")</f>
        <v>-</v>
      </c>
      <c r="S1738" s="483" t="str">
        <f>IFERROR(INDEX([1]Produtos!$J:$J,MATCH(L1738,[1]Produtos!$B:$B,0)), "-")</f>
        <v>-</v>
      </c>
      <c r="T1738" s="484"/>
      <c r="U1738" s="483"/>
      <c r="V1738" s="483"/>
      <c r="W1738" s="483"/>
      <c r="X1738" s="483"/>
      <c r="Y1738" s="483"/>
      <c r="Z1738" s="483"/>
      <c r="AA1738" s="483"/>
      <c r="AB1738" s="483"/>
      <c r="AC1738" s="483"/>
      <c r="AD1738" s="483"/>
      <c r="AE1738" s="483"/>
      <c r="AF1738" s="483"/>
      <c r="AG1738" s="483"/>
      <c r="AH1738" s="483"/>
      <c r="AI1738" s="483"/>
      <c r="AJ1738" s="483"/>
      <c r="AK1738" s="483"/>
      <c r="AL1738" s="483"/>
      <c r="AM1738" s="670"/>
      <c r="AN1738" s="670"/>
      <c r="AO1738" s="711" t="str">
        <f>IF(OR(Table1[[#This Row],[Início Setup Envase]]="",Table1[[#This Row],[Final Setup Envase]]=""),"",Table1[[#This Row],[Final Setup Envase]]-Table1[[#This Row],[Início Setup Envase]])</f>
        <v/>
      </c>
      <c r="AP1738" s="670"/>
      <c r="AQ1738" s="670"/>
      <c r="AR1738" s="483"/>
      <c r="AS1738" s="483"/>
      <c r="AT1738" s="483"/>
      <c r="AU1738" s="483"/>
      <c r="AV1738" s="483"/>
      <c r="AW1738" s="483"/>
      <c r="AX1738" s="483"/>
      <c r="AY1738" s="270"/>
      <c r="AZ1738" s="270"/>
      <c r="BA1738" s="270" t="str">
        <f>IF(Table1[[#This Row],[Data de Início]]="","",YEAR(Table1[[#This Row],[Data de Início]]))</f>
        <v/>
      </c>
      <c r="BB1738" s="270" t="str">
        <f>IF(Table1[[#This Row],[Data de Início]]="","",MONTH(Table1[[#This Row],[Data de Início]]))</f>
        <v/>
      </c>
      <c r="BC1738" s="270"/>
    </row>
    <row r="1739" spans="2:55" x14ac:dyDescent="0.25">
      <c r="B1739" s="470"/>
      <c r="C1739" s="263"/>
      <c r="D1739" s="477" cm="1">
        <f t="array" ref="D1739">IFERROR(HorasUteisFabrica2Turnos(B1739,C1739), "")</f>
        <v>0</v>
      </c>
      <c r="E1739" s="697" t="str">
        <f t="shared" si="27"/>
        <v/>
      </c>
      <c r="F1739" s="266"/>
      <c r="G1739" s="698"/>
      <c r="H1739" s="266"/>
      <c r="I1739" s="268"/>
      <c r="J1739" s="268"/>
      <c r="K1739" s="268"/>
      <c r="L1739" s="269"/>
      <c r="M1739" s="510" t="str">
        <f>IFERROR(INDEX([1]Produtos!$C:$C,MATCH(L1739,[1]Produtos!$B:$B,0)), "-")</f>
        <v>-</v>
      </c>
      <c r="N1739" s="510" t="str">
        <f>IFERROR(INDEX([1]Produtos!$E:$E,MATCH(L1739,[1]Produtos!$B:$B,0)), "-")</f>
        <v>-</v>
      </c>
      <c r="O1739" s="270" t="str">
        <f>IFERROR(INDEX([1]Produtos!$F:$F,MATCH(L1739,[1]Produtos!$B:$B,0)), "-")</f>
        <v>-</v>
      </c>
      <c r="P1739" s="264" t="str">
        <f>IFERROR(INDEX([1]Produtos!$G:$G,MATCH(L1739,[1]Produtos!$B:$B,0)), "-")</f>
        <v>-</v>
      </c>
      <c r="Q1739" s="270" t="str">
        <f>IFERROR(INDEX([1]Produtos!$H:$H,MATCH(L1739,[1]Produtos!$B:$B,0)), "-")</f>
        <v>-</v>
      </c>
      <c r="R1739" s="270" t="str">
        <f>IFERROR(INDEX([1]Produtos!$I:$I,MATCH(L1739,[1]Produtos!$B:$B,0)), "-")</f>
        <v>-</v>
      </c>
      <c r="S1739" s="270" t="str">
        <f>IFERROR(INDEX([1]Produtos!$J:$J,MATCH(L1739,[1]Produtos!$B:$B,0)), "-")</f>
        <v>-</v>
      </c>
      <c r="T1739" s="475"/>
      <c r="U1739" s="270"/>
      <c r="V1739" s="270"/>
      <c r="W1739" s="270"/>
      <c r="X1739" s="270"/>
      <c r="Y1739" s="270"/>
      <c r="Z1739" s="270"/>
      <c r="AA1739" s="270"/>
      <c r="AB1739" s="270"/>
      <c r="AC1739" s="270"/>
      <c r="AD1739" s="270"/>
      <c r="AE1739" s="270"/>
      <c r="AF1739" s="270"/>
      <c r="AG1739" s="270"/>
      <c r="AH1739" s="270"/>
      <c r="AI1739" s="270"/>
      <c r="AJ1739" s="270"/>
      <c r="AK1739" s="270"/>
      <c r="AL1739" s="270"/>
      <c r="AM1739" s="663"/>
      <c r="AN1739" s="663"/>
      <c r="AO1739" s="708" t="str">
        <f>IF(OR(Table1[[#This Row],[Início Setup Envase]]="",Table1[[#This Row],[Final Setup Envase]]=""),"",Table1[[#This Row],[Final Setup Envase]]-Table1[[#This Row],[Início Setup Envase]])</f>
        <v/>
      </c>
      <c r="AP1739" s="663"/>
      <c r="AQ1739" s="663"/>
      <c r="AR1739" s="270"/>
      <c r="AS1739" s="674"/>
      <c r="AT1739" s="674"/>
      <c r="AU1739" s="270"/>
      <c r="AV1739" s="270"/>
      <c r="AW1739" s="270"/>
      <c r="AX1739" s="270"/>
      <c r="AY1739" s="270"/>
      <c r="AZ1739" s="270"/>
      <c r="BA1739" s="270" t="str">
        <f>IF(Table1[[#This Row],[Data de Início]]="","",YEAR(Table1[[#This Row],[Data de Início]]))</f>
        <v/>
      </c>
      <c r="BB1739" s="270" t="str">
        <f>IF(Table1[[#This Row],[Data de Início]]="","",MONTH(Table1[[#This Row],[Data de Início]]))</f>
        <v/>
      </c>
      <c r="BC1739" s="483"/>
    </row>
    <row r="1740" spans="2:55" x14ac:dyDescent="0.25">
      <c r="B1740" s="470"/>
      <c r="C1740" s="263"/>
      <c r="D1740" s="477" cm="1">
        <f t="array" ref="D1740">IFERROR(HorasUteisFabrica2Turnos(B1740,C1740), "")</f>
        <v>0</v>
      </c>
      <c r="E1740" s="478" t="str">
        <f t="shared" si="27"/>
        <v/>
      </c>
      <c r="F1740" s="266"/>
      <c r="G1740" s="656"/>
      <c r="H1740" s="479"/>
      <c r="I1740" s="268"/>
      <c r="J1740" s="268"/>
      <c r="K1740" s="268"/>
      <c r="L1740" s="269"/>
      <c r="M1740" s="511" t="str">
        <f>IFERROR(INDEX([1]Produtos!$C:$C,MATCH(L1740,[1]Produtos!$B:$B,0)), "-")</f>
        <v>-</v>
      </c>
      <c r="N1740" s="511" t="str">
        <f>IFERROR(INDEX([1]Produtos!$E:$E,MATCH(L1740,[1]Produtos!$B:$B,0)), "-")</f>
        <v>-</v>
      </c>
      <c r="O1740" s="483" t="str">
        <f>IFERROR(INDEX([1]Produtos!$F:$F,MATCH(L1740,[1]Produtos!$B:$B,0)), "-")</f>
        <v>-</v>
      </c>
      <c r="P1740" s="477" t="str">
        <f>IFERROR(INDEX([1]Produtos!$G:$G,MATCH(L1740,[1]Produtos!$B:$B,0)), "-")</f>
        <v>-</v>
      </c>
      <c r="Q1740" s="483" t="str">
        <f>IFERROR(INDEX([1]Produtos!$H:$H,MATCH(L1740,[1]Produtos!$B:$B,0)), "-")</f>
        <v>-</v>
      </c>
      <c r="R1740" s="483" t="str">
        <f>IFERROR(INDEX([1]Produtos!$I:$I,MATCH(L1740,[1]Produtos!$B:$B,0)), "-")</f>
        <v>-</v>
      </c>
      <c r="S1740" s="483" t="str">
        <f>IFERROR(INDEX([1]Produtos!$J:$J,MATCH(L1740,[1]Produtos!$B:$B,0)), "-")</f>
        <v>-</v>
      </c>
      <c r="T1740" s="484"/>
      <c r="U1740" s="483"/>
      <c r="V1740" s="483"/>
      <c r="W1740" s="483"/>
      <c r="X1740" s="483"/>
      <c r="Y1740" s="483"/>
      <c r="Z1740" s="483"/>
      <c r="AA1740" s="483"/>
      <c r="AB1740" s="483"/>
      <c r="AC1740" s="483"/>
      <c r="AD1740" s="483"/>
      <c r="AE1740" s="483"/>
      <c r="AF1740" s="483"/>
      <c r="AG1740" s="483"/>
      <c r="AH1740" s="483"/>
      <c r="AI1740" s="483"/>
      <c r="AJ1740" s="483"/>
      <c r="AK1740" s="483"/>
      <c r="AL1740" s="483"/>
      <c r="AM1740" s="670"/>
      <c r="AN1740" s="670"/>
      <c r="AO1740" s="711" t="str">
        <f>IF(OR(Table1[[#This Row],[Início Setup Envase]]="",Table1[[#This Row],[Final Setup Envase]]=""),"",Table1[[#This Row],[Final Setup Envase]]-Table1[[#This Row],[Início Setup Envase]])</f>
        <v/>
      </c>
      <c r="AP1740" s="670"/>
      <c r="AQ1740" s="670"/>
      <c r="AR1740" s="483"/>
      <c r="AS1740" s="483"/>
      <c r="AT1740" s="483"/>
      <c r="AU1740" s="483"/>
      <c r="AV1740" s="483"/>
      <c r="AW1740" s="483"/>
      <c r="AX1740" s="483"/>
      <c r="AY1740" s="270"/>
      <c r="AZ1740" s="270"/>
      <c r="BA1740" s="270" t="str">
        <f>IF(Table1[[#This Row],[Data de Início]]="","",YEAR(Table1[[#This Row],[Data de Início]]))</f>
        <v/>
      </c>
      <c r="BB1740" s="270" t="str">
        <f>IF(Table1[[#This Row],[Data de Início]]="","",MONTH(Table1[[#This Row],[Data de Início]]))</f>
        <v/>
      </c>
      <c r="BC1740" s="270"/>
    </row>
    <row r="1741" spans="2:55" x14ac:dyDescent="0.25">
      <c r="B1741" s="470"/>
      <c r="C1741" s="263"/>
      <c r="D1741" s="477" cm="1">
        <f t="array" ref="D1741">IFERROR(HorasUteisFabrica2Turnos(B1741,C1741), "")</f>
        <v>0</v>
      </c>
      <c r="E1741" s="697" t="str">
        <f t="shared" si="27"/>
        <v/>
      </c>
      <c r="F1741" s="266"/>
      <c r="G1741" s="698"/>
      <c r="H1741" s="266"/>
      <c r="I1741" s="268"/>
      <c r="J1741" s="268"/>
      <c r="K1741" s="268"/>
      <c r="L1741" s="269"/>
      <c r="M1741" s="510" t="str">
        <f>IFERROR(INDEX([1]Produtos!$C:$C,MATCH(L1741,[1]Produtos!$B:$B,0)), "-")</f>
        <v>-</v>
      </c>
      <c r="N1741" s="510" t="str">
        <f>IFERROR(INDEX([1]Produtos!$E:$E,MATCH(L1741,[1]Produtos!$B:$B,0)), "-")</f>
        <v>-</v>
      </c>
      <c r="O1741" s="270" t="str">
        <f>IFERROR(INDEX([1]Produtos!$F:$F,MATCH(L1741,[1]Produtos!$B:$B,0)), "-")</f>
        <v>-</v>
      </c>
      <c r="P1741" s="264" t="str">
        <f>IFERROR(INDEX([1]Produtos!$G:$G,MATCH(L1741,[1]Produtos!$B:$B,0)), "-")</f>
        <v>-</v>
      </c>
      <c r="Q1741" s="270" t="str">
        <f>IFERROR(INDEX([1]Produtos!$H:$H,MATCH(L1741,[1]Produtos!$B:$B,0)), "-")</f>
        <v>-</v>
      </c>
      <c r="R1741" s="270" t="str">
        <f>IFERROR(INDEX([1]Produtos!$I:$I,MATCH(L1741,[1]Produtos!$B:$B,0)), "-")</f>
        <v>-</v>
      </c>
      <c r="S1741" s="270" t="str">
        <f>IFERROR(INDEX([1]Produtos!$J:$J,MATCH(L1741,[1]Produtos!$B:$B,0)), "-")</f>
        <v>-</v>
      </c>
      <c r="T1741" s="475"/>
      <c r="U1741" s="270"/>
      <c r="V1741" s="270"/>
      <c r="W1741" s="270"/>
      <c r="X1741" s="270"/>
      <c r="Y1741" s="270"/>
      <c r="Z1741" s="270"/>
      <c r="AA1741" s="270"/>
      <c r="AB1741" s="270"/>
      <c r="AC1741" s="270"/>
      <c r="AD1741" s="270"/>
      <c r="AE1741" s="270"/>
      <c r="AF1741" s="270"/>
      <c r="AG1741" s="270"/>
      <c r="AH1741" s="270"/>
      <c r="AI1741" s="270"/>
      <c r="AJ1741" s="270"/>
      <c r="AK1741" s="270"/>
      <c r="AL1741" s="270"/>
      <c r="AM1741" s="663"/>
      <c r="AN1741" s="663"/>
      <c r="AO1741" s="708" t="str">
        <f>IF(OR(Table1[[#This Row],[Início Setup Envase]]="",Table1[[#This Row],[Final Setup Envase]]=""),"",Table1[[#This Row],[Final Setup Envase]]-Table1[[#This Row],[Início Setup Envase]])</f>
        <v/>
      </c>
      <c r="AP1741" s="663"/>
      <c r="AQ1741" s="663"/>
      <c r="AR1741" s="270"/>
      <c r="AS1741" s="674"/>
      <c r="AT1741" s="674"/>
      <c r="AU1741" s="270"/>
      <c r="AV1741" s="270"/>
      <c r="AW1741" s="270"/>
      <c r="AX1741" s="270"/>
      <c r="AY1741" s="270"/>
      <c r="AZ1741" s="270"/>
      <c r="BA1741" s="270" t="str">
        <f>IF(Table1[[#This Row],[Data de Início]]="","",YEAR(Table1[[#This Row],[Data de Início]]))</f>
        <v/>
      </c>
      <c r="BB1741" s="270" t="str">
        <f>IF(Table1[[#This Row],[Data de Início]]="","",MONTH(Table1[[#This Row],[Data de Início]]))</f>
        <v/>
      </c>
      <c r="BC1741" s="483"/>
    </row>
    <row r="1742" spans="2:55" x14ac:dyDescent="0.25">
      <c r="B1742" s="470"/>
      <c r="C1742" s="263"/>
      <c r="D1742" s="477" cm="1">
        <f t="array" ref="D1742">IFERROR(HorasUteisFabrica2Turnos(B1742,C1742), "")</f>
        <v>0</v>
      </c>
      <c r="E1742" s="478" t="str">
        <f t="shared" si="27"/>
        <v/>
      </c>
      <c r="F1742" s="266"/>
      <c r="G1742" s="656"/>
      <c r="H1742" s="479"/>
      <c r="I1742" s="268"/>
      <c r="J1742" s="268"/>
      <c r="K1742" s="268"/>
      <c r="L1742" s="269"/>
      <c r="M1742" s="511" t="str">
        <f>IFERROR(INDEX([1]Produtos!$C:$C,MATCH(L1742,[1]Produtos!$B:$B,0)), "-")</f>
        <v>-</v>
      </c>
      <c r="N1742" s="511" t="str">
        <f>IFERROR(INDEX([1]Produtos!$E:$E,MATCH(L1742,[1]Produtos!$B:$B,0)), "-")</f>
        <v>-</v>
      </c>
      <c r="O1742" s="483" t="str">
        <f>IFERROR(INDEX([1]Produtos!$F:$F,MATCH(L1742,[1]Produtos!$B:$B,0)), "-")</f>
        <v>-</v>
      </c>
      <c r="P1742" s="477" t="str">
        <f>IFERROR(INDEX([1]Produtos!$G:$G,MATCH(L1742,[1]Produtos!$B:$B,0)), "-")</f>
        <v>-</v>
      </c>
      <c r="Q1742" s="483" t="str">
        <f>IFERROR(INDEX([1]Produtos!$H:$H,MATCH(L1742,[1]Produtos!$B:$B,0)), "-")</f>
        <v>-</v>
      </c>
      <c r="R1742" s="483" t="str">
        <f>IFERROR(INDEX([1]Produtos!$I:$I,MATCH(L1742,[1]Produtos!$B:$B,0)), "-")</f>
        <v>-</v>
      </c>
      <c r="S1742" s="483" t="str">
        <f>IFERROR(INDEX([1]Produtos!$J:$J,MATCH(L1742,[1]Produtos!$B:$B,0)), "-")</f>
        <v>-</v>
      </c>
      <c r="T1742" s="484"/>
      <c r="U1742" s="483"/>
      <c r="V1742" s="483"/>
      <c r="W1742" s="483"/>
      <c r="X1742" s="483"/>
      <c r="Y1742" s="483"/>
      <c r="Z1742" s="483"/>
      <c r="AA1742" s="483"/>
      <c r="AB1742" s="483"/>
      <c r="AC1742" s="483"/>
      <c r="AD1742" s="483"/>
      <c r="AE1742" s="483"/>
      <c r="AF1742" s="483"/>
      <c r="AG1742" s="483"/>
      <c r="AH1742" s="483"/>
      <c r="AI1742" s="483"/>
      <c r="AJ1742" s="483"/>
      <c r="AK1742" s="483"/>
      <c r="AL1742" s="483"/>
      <c r="AM1742" s="670"/>
      <c r="AN1742" s="670"/>
      <c r="AO1742" s="711" t="str">
        <f>IF(OR(Table1[[#This Row],[Início Setup Envase]]="",Table1[[#This Row],[Final Setup Envase]]=""),"",Table1[[#This Row],[Final Setup Envase]]-Table1[[#This Row],[Início Setup Envase]])</f>
        <v/>
      </c>
      <c r="AP1742" s="670"/>
      <c r="AQ1742" s="670"/>
      <c r="AR1742" s="483"/>
      <c r="AS1742" s="483"/>
      <c r="AT1742" s="483"/>
      <c r="AU1742" s="483"/>
      <c r="AV1742" s="483"/>
      <c r="AW1742" s="483"/>
      <c r="AX1742" s="483"/>
      <c r="AY1742" s="270"/>
      <c r="AZ1742" s="270"/>
      <c r="BA1742" s="270" t="str">
        <f>IF(Table1[[#This Row],[Data de Início]]="","",YEAR(Table1[[#This Row],[Data de Início]]))</f>
        <v/>
      </c>
      <c r="BB1742" s="270" t="str">
        <f>IF(Table1[[#This Row],[Data de Início]]="","",MONTH(Table1[[#This Row],[Data de Início]]))</f>
        <v/>
      </c>
      <c r="BC1742" s="270"/>
    </row>
    <row r="1743" spans="2:55" x14ac:dyDescent="0.25">
      <c r="B1743" s="470"/>
      <c r="C1743" s="263"/>
      <c r="D1743" s="477" cm="1">
        <f t="array" ref="D1743">IFERROR(HorasUteisFabrica2Turnos(B1743,C1743), "")</f>
        <v>0</v>
      </c>
      <c r="E1743" s="697" t="str">
        <f t="shared" si="27"/>
        <v/>
      </c>
      <c r="F1743" s="266"/>
      <c r="G1743" s="698"/>
      <c r="H1743" s="266"/>
      <c r="I1743" s="268"/>
      <c r="J1743" s="268"/>
      <c r="K1743" s="268"/>
      <c r="L1743" s="269"/>
      <c r="M1743" s="510" t="str">
        <f>IFERROR(INDEX([1]Produtos!$C:$C,MATCH(L1743,[1]Produtos!$B:$B,0)), "-")</f>
        <v>-</v>
      </c>
      <c r="N1743" s="510" t="str">
        <f>IFERROR(INDEX([1]Produtos!$E:$E,MATCH(L1743,[1]Produtos!$B:$B,0)), "-")</f>
        <v>-</v>
      </c>
      <c r="O1743" s="270" t="str">
        <f>IFERROR(INDEX([1]Produtos!$F:$F,MATCH(L1743,[1]Produtos!$B:$B,0)), "-")</f>
        <v>-</v>
      </c>
      <c r="P1743" s="264" t="str">
        <f>IFERROR(INDEX([1]Produtos!$G:$G,MATCH(L1743,[1]Produtos!$B:$B,0)), "-")</f>
        <v>-</v>
      </c>
      <c r="Q1743" s="270" t="str">
        <f>IFERROR(INDEX([1]Produtos!$H:$H,MATCH(L1743,[1]Produtos!$B:$B,0)), "-")</f>
        <v>-</v>
      </c>
      <c r="R1743" s="270" t="str">
        <f>IFERROR(INDEX([1]Produtos!$I:$I,MATCH(L1743,[1]Produtos!$B:$B,0)), "-")</f>
        <v>-</v>
      </c>
      <c r="S1743" s="270" t="str">
        <f>IFERROR(INDEX([1]Produtos!$J:$J,MATCH(L1743,[1]Produtos!$B:$B,0)), "-")</f>
        <v>-</v>
      </c>
      <c r="T1743" s="475"/>
      <c r="U1743" s="270"/>
      <c r="V1743" s="270"/>
      <c r="W1743" s="270"/>
      <c r="X1743" s="270"/>
      <c r="Y1743" s="270"/>
      <c r="Z1743" s="270"/>
      <c r="AA1743" s="270"/>
      <c r="AB1743" s="270"/>
      <c r="AC1743" s="270"/>
      <c r="AD1743" s="270"/>
      <c r="AE1743" s="270"/>
      <c r="AF1743" s="270"/>
      <c r="AG1743" s="270"/>
      <c r="AH1743" s="270"/>
      <c r="AI1743" s="270"/>
      <c r="AJ1743" s="270"/>
      <c r="AK1743" s="270"/>
      <c r="AL1743" s="270"/>
      <c r="AM1743" s="663"/>
      <c r="AN1743" s="663"/>
      <c r="AO1743" s="708" t="str">
        <f>IF(OR(Table1[[#This Row],[Início Setup Envase]]="",Table1[[#This Row],[Final Setup Envase]]=""),"",Table1[[#This Row],[Final Setup Envase]]-Table1[[#This Row],[Início Setup Envase]])</f>
        <v/>
      </c>
      <c r="AP1743" s="663"/>
      <c r="AQ1743" s="663"/>
      <c r="AR1743" s="270"/>
      <c r="AS1743" s="674"/>
      <c r="AT1743" s="674"/>
      <c r="AU1743" s="270"/>
      <c r="AV1743" s="270"/>
      <c r="AW1743" s="270"/>
      <c r="AX1743" s="270"/>
      <c r="AY1743" s="270"/>
      <c r="AZ1743" s="270"/>
      <c r="BA1743" s="270" t="str">
        <f>IF(Table1[[#This Row],[Data de Início]]="","",YEAR(Table1[[#This Row],[Data de Início]]))</f>
        <v/>
      </c>
      <c r="BB1743" s="270" t="str">
        <f>IF(Table1[[#This Row],[Data de Início]]="","",MONTH(Table1[[#This Row],[Data de Início]]))</f>
        <v/>
      </c>
      <c r="BC1743" s="483"/>
    </row>
    <row r="1744" spans="2:55" x14ac:dyDescent="0.25">
      <c r="B1744" s="470"/>
      <c r="C1744" s="263"/>
      <c r="D1744" s="477" cm="1">
        <f t="array" ref="D1744">IFERROR(HorasUteisFabrica2Turnos(B1744,C1744), "")</f>
        <v>0</v>
      </c>
      <c r="E1744" s="478" t="str">
        <f t="shared" si="27"/>
        <v/>
      </c>
      <c r="F1744" s="266"/>
      <c r="G1744" s="656"/>
      <c r="H1744" s="479"/>
      <c r="I1744" s="268"/>
      <c r="J1744" s="268"/>
      <c r="K1744" s="268"/>
      <c r="L1744" s="269"/>
      <c r="M1744" s="511" t="str">
        <f>IFERROR(INDEX([1]Produtos!$C:$C,MATCH(L1744,[1]Produtos!$B:$B,0)), "-")</f>
        <v>-</v>
      </c>
      <c r="N1744" s="511" t="str">
        <f>IFERROR(INDEX([1]Produtos!$E:$E,MATCH(L1744,[1]Produtos!$B:$B,0)), "-")</f>
        <v>-</v>
      </c>
      <c r="O1744" s="483" t="str">
        <f>IFERROR(INDEX([1]Produtos!$F:$F,MATCH(L1744,[1]Produtos!$B:$B,0)), "-")</f>
        <v>-</v>
      </c>
      <c r="P1744" s="477" t="str">
        <f>IFERROR(INDEX([1]Produtos!$G:$G,MATCH(L1744,[1]Produtos!$B:$B,0)), "-")</f>
        <v>-</v>
      </c>
      <c r="Q1744" s="483" t="str">
        <f>IFERROR(INDEX([1]Produtos!$H:$H,MATCH(L1744,[1]Produtos!$B:$B,0)), "-")</f>
        <v>-</v>
      </c>
      <c r="R1744" s="483" t="str">
        <f>IFERROR(INDEX([1]Produtos!$I:$I,MATCH(L1744,[1]Produtos!$B:$B,0)), "-")</f>
        <v>-</v>
      </c>
      <c r="S1744" s="483" t="str">
        <f>IFERROR(INDEX([1]Produtos!$J:$J,MATCH(L1744,[1]Produtos!$B:$B,0)), "-")</f>
        <v>-</v>
      </c>
      <c r="T1744" s="484"/>
      <c r="U1744" s="483"/>
      <c r="V1744" s="483"/>
      <c r="W1744" s="483"/>
      <c r="X1744" s="483"/>
      <c r="Y1744" s="483"/>
      <c r="Z1744" s="483"/>
      <c r="AA1744" s="483"/>
      <c r="AB1744" s="483"/>
      <c r="AC1744" s="483"/>
      <c r="AD1744" s="483"/>
      <c r="AE1744" s="483"/>
      <c r="AF1744" s="483"/>
      <c r="AG1744" s="483"/>
      <c r="AH1744" s="483"/>
      <c r="AI1744" s="483"/>
      <c r="AJ1744" s="483"/>
      <c r="AK1744" s="483"/>
      <c r="AL1744" s="483"/>
      <c r="AM1744" s="670"/>
      <c r="AN1744" s="670"/>
      <c r="AO1744" s="711" t="str">
        <f>IF(OR(Table1[[#This Row],[Início Setup Envase]]="",Table1[[#This Row],[Final Setup Envase]]=""),"",Table1[[#This Row],[Final Setup Envase]]-Table1[[#This Row],[Início Setup Envase]])</f>
        <v/>
      </c>
      <c r="AP1744" s="670"/>
      <c r="AQ1744" s="670"/>
      <c r="AR1744" s="483"/>
      <c r="AS1744" s="483"/>
      <c r="AT1744" s="483"/>
      <c r="AU1744" s="483"/>
      <c r="AV1744" s="483"/>
      <c r="AW1744" s="483"/>
      <c r="AX1744" s="483"/>
      <c r="AY1744" s="270"/>
      <c r="AZ1744" s="270"/>
      <c r="BA1744" s="270" t="str">
        <f>IF(Table1[[#This Row],[Data de Início]]="","",YEAR(Table1[[#This Row],[Data de Início]]))</f>
        <v/>
      </c>
      <c r="BB1744" s="270" t="str">
        <f>IF(Table1[[#This Row],[Data de Início]]="","",MONTH(Table1[[#This Row],[Data de Início]]))</f>
        <v/>
      </c>
      <c r="BC1744" s="270"/>
    </row>
    <row r="1745" spans="2:55" x14ac:dyDescent="0.25">
      <c r="B1745" s="470"/>
      <c r="C1745" s="263"/>
      <c r="D1745" s="477" cm="1">
        <f t="array" ref="D1745">IFERROR(HorasUteisFabrica2Turnos(B1745,C1745), "")</f>
        <v>0</v>
      </c>
      <c r="E1745" s="697" t="str">
        <f t="shared" si="27"/>
        <v/>
      </c>
      <c r="F1745" s="266"/>
      <c r="G1745" s="698"/>
      <c r="H1745" s="266"/>
      <c r="I1745" s="268"/>
      <c r="J1745" s="268"/>
      <c r="K1745" s="268"/>
      <c r="L1745" s="269"/>
      <c r="M1745" s="510" t="str">
        <f>IFERROR(INDEX([1]Produtos!$C:$C,MATCH(L1745,[1]Produtos!$B:$B,0)), "-")</f>
        <v>-</v>
      </c>
      <c r="N1745" s="510" t="str">
        <f>IFERROR(INDEX([1]Produtos!$E:$E,MATCH(L1745,[1]Produtos!$B:$B,0)), "-")</f>
        <v>-</v>
      </c>
      <c r="O1745" s="270" t="str">
        <f>IFERROR(INDEX([1]Produtos!$F:$F,MATCH(L1745,[1]Produtos!$B:$B,0)), "-")</f>
        <v>-</v>
      </c>
      <c r="P1745" s="264" t="str">
        <f>IFERROR(INDEX([1]Produtos!$G:$G,MATCH(L1745,[1]Produtos!$B:$B,0)), "-")</f>
        <v>-</v>
      </c>
      <c r="Q1745" s="270" t="str">
        <f>IFERROR(INDEX([1]Produtos!$H:$H,MATCH(L1745,[1]Produtos!$B:$B,0)), "-")</f>
        <v>-</v>
      </c>
      <c r="R1745" s="270" t="str">
        <f>IFERROR(INDEX([1]Produtos!$I:$I,MATCH(L1745,[1]Produtos!$B:$B,0)), "-")</f>
        <v>-</v>
      </c>
      <c r="S1745" s="270" t="str">
        <f>IFERROR(INDEX([1]Produtos!$J:$J,MATCH(L1745,[1]Produtos!$B:$B,0)), "-")</f>
        <v>-</v>
      </c>
      <c r="T1745" s="475"/>
      <c r="U1745" s="270"/>
      <c r="V1745" s="270"/>
      <c r="W1745" s="270"/>
      <c r="X1745" s="270"/>
      <c r="Y1745" s="270"/>
      <c r="Z1745" s="270"/>
      <c r="AA1745" s="270"/>
      <c r="AB1745" s="270"/>
      <c r="AC1745" s="270"/>
      <c r="AD1745" s="270"/>
      <c r="AE1745" s="270"/>
      <c r="AF1745" s="270"/>
      <c r="AG1745" s="270"/>
      <c r="AH1745" s="270"/>
      <c r="AI1745" s="270"/>
      <c r="AJ1745" s="270"/>
      <c r="AK1745" s="270"/>
      <c r="AL1745" s="270"/>
      <c r="AM1745" s="663"/>
      <c r="AN1745" s="663"/>
      <c r="AO1745" s="708" t="str">
        <f>IF(OR(Table1[[#This Row],[Início Setup Envase]]="",Table1[[#This Row],[Final Setup Envase]]=""),"",Table1[[#This Row],[Final Setup Envase]]-Table1[[#This Row],[Início Setup Envase]])</f>
        <v/>
      </c>
      <c r="AP1745" s="663"/>
      <c r="AQ1745" s="663"/>
      <c r="AR1745" s="270"/>
      <c r="AS1745" s="674"/>
      <c r="AT1745" s="674"/>
      <c r="AU1745" s="270"/>
      <c r="AV1745" s="270"/>
      <c r="AW1745" s="270"/>
      <c r="AX1745" s="270"/>
      <c r="AY1745" s="270"/>
      <c r="AZ1745" s="270"/>
      <c r="BA1745" s="270" t="str">
        <f>IF(Table1[[#This Row],[Data de Início]]="","",YEAR(Table1[[#This Row],[Data de Início]]))</f>
        <v/>
      </c>
      <c r="BB1745" s="270" t="str">
        <f>IF(Table1[[#This Row],[Data de Início]]="","",MONTH(Table1[[#This Row],[Data de Início]]))</f>
        <v/>
      </c>
      <c r="BC1745" s="483"/>
    </row>
    <row r="1746" spans="2:55" x14ac:dyDescent="0.25">
      <c r="B1746" s="470"/>
      <c r="C1746" s="263"/>
      <c r="D1746" s="477" cm="1">
        <f t="array" ref="D1746">IFERROR(HorasUteisFabrica2Turnos(B1746,C1746), "")</f>
        <v>0</v>
      </c>
      <c r="E1746" s="478" t="str">
        <f t="shared" si="27"/>
        <v/>
      </c>
      <c r="F1746" s="266"/>
      <c r="G1746" s="656"/>
      <c r="H1746" s="479"/>
      <c r="I1746" s="268"/>
      <c r="J1746" s="268"/>
      <c r="K1746" s="268"/>
      <c r="L1746" s="269"/>
      <c r="M1746" s="511" t="str">
        <f>IFERROR(INDEX([1]Produtos!$C:$C,MATCH(L1746,[1]Produtos!$B:$B,0)), "-")</f>
        <v>-</v>
      </c>
      <c r="N1746" s="511" t="str">
        <f>IFERROR(INDEX([1]Produtos!$E:$E,MATCH(L1746,[1]Produtos!$B:$B,0)), "-")</f>
        <v>-</v>
      </c>
      <c r="O1746" s="483" t="str">
        <f>IFERROR(INDEX([1]Produtos!$F:$F,MATCH(L1746,[1]Produtos!$B:$B,0)), "-")</f>
        <v>-</v>
      </c>
      <c r="P1746" s="477" t="str">
        <f>IFERROR(INDEX([1]Produtos!$G:$G,MATCH(L1746,[1]Produtos!$B:$B,0)), "-")</f>
        <v>-</v>
      </c>
      <c r="Q1746" s="483" t="str">
        <f>IFERROR(INDEX([1]Produtos!$H:$H,MATCH(L1746,[1]Produtos!$B:$B,0)), "-")</f>
        <v>-</v>
      </c>
      <c r="R1746" s="483" t="str">
        <f>IFERROR(INDEX([1]Produtos!$I:$I,MATCH(L1746,[1]Produtos!$B:$B,0)), "-")</f>
        <v>-</v>
      </c>
      <c r="S1746" s="483" t="str">
        <f>IFERROR(INDEX([1]Produtos!$J:$J,MATCH(L1746,[1]Produtos!$B:$B,0)), "-")</f>
        <v>-</v>
      </c>
      <c r="T1746" s="484"/>
      <c r="U1746" s="483"/>
      <c r="V1746" s="483"/>
      <c r="W1746" s="483"/>
      <c r="X1746" s="483"/>
      <c r="Y1746" s="483"/>
      <c r="Z1746" s="483"/>
      <c r="AA1746" s="483"/>
      <c r="AB1746" s="483"/>
      <c r="AC1746" s="483"/>
      <c r="AD1746" s="483"/>
      <c r="AE1746" s="483"/>
      <c r="AF1746" s="483"/>
      <c r="AG1746" s="483"/>
      <c r="AH1746" s="483"/>
      <c r="AI1746" s="483"/>
      <c r="AJ1746" s="483"/>
      <c r="AK1746" s="483"/>
      <c r="AL1746" s="483"/>
      <c r="AM1746" s="670"/>
      <c r="AN1746" s="670"/>
      <c r="AO1746" s="711" t="str">
        <f>IF(OR(Table1[[#This Row],[Início Setup Envase]]="",Table1[[#This Row],[Final Setup Envase]]=""),"",Table1[[#This Row],[Final Setup Envase]]-Table1[[#This Row],[Início Setup Envase]])</f>
        <v/>
      </c>
      <c r="AP1746" s="670"/>
      <c r="AQ1746" s="670"/>
      <c r="AR1746" s="483"/>
      <c r="AS1746" s="483"/>
      <c r="AT1746" s="483"/>
      <c r="AU1746" s="483"/>
      <c r="AV1746" s="483"/>
      <c r="AW1746" s="483"/>
      <c r="AX1746" s="483"/>
      <c r="AY1746" s="270"/>
      <c r="AZ1746" s="270"/>
      <c r="BA1746" s="270" t="str">
        <f>IF(Table1[[#This Row],[Data de Início]]="","",YEAR(Table1[[#This Row],[Data de Início]]))</f>
        <v/>
      </c>
      <c r="BB1746" s="270" t="str">
        <f>IF(Table1[[#This Row],[Data de Início]]="","",MONTH(Table1[[#This Row],[Data de Início]]))</f>
        <v/>
      </c>
      <c r="BC1746" s="270"/>
    </row>
    <row r="1747" spans="2:55" x14ac:dyDescent="0.25">
      <c r="B1747" s="470"/>
      <c r="C1747" s="263"/>
      <c r="D1747" s="477" cm="1">
        <f t="array" ref="D1747">IFERROR(HorasUteisFabrica2Turnos(B1747,C1747), "")</f>
        <v>0</v>
      </c>
      <c r="E1747" s="697" t="str">
        <f t="shared" si="27"/>
        <v/>
      </c>
      <c r="F1747" s="266"/>
      <c r="G1747" s="698"/>
      <c r="H1747" s="266"/>
      <c r="I1747" s="268"/>
      <c r="J1747" s="268"/>
      <c r="K1747" s="268"/>
      <c r="L1747" s="269"/>
      <c r="M1747" s="510" t="str">
        <f>IFERROR(INDEX([1]Produtos!$C:$C,MATCH(L1747,[1]Produtos!$B:$B,0)), "-")</f>
        <v>-</v>
      </c>
      <c r="N1747" s="510" t="str">
        <f>IFERROR(INDEX([1]Produtos!$E:$E,MATCH(L1747,[1]Produtos!$B:$B,0)), "-")</f>
        <v>-</v>
      </c>
      <c r="O1747" s="270" t="str">
        <f>IFERROR(INDEX([1]Produtos!$F:$F,MATCH(L1747,[1]Produtos!$B:$B,0)), "-")</f>
        <v>-</v>
      </c>
      <c r="P1747" s="264" t="str">
        <f>IFERROR(INDEX([1]Produtos!$G:$G,MATCH(L1747,[1]Produtos!$B:$B,0)), "-")</f>
        <v>-</v>
      </c>
      <c r="Q1747" s="270" t="str">
        <f>IFERROR(INDEX([1]Produtos!$H:$H,MATCH(L1747,[1]Produtos!$B:$B,0)), "-")</f>
        <v>-</v>
      </c>
      <c r="R1747" s="270" t="str">
        <f>IFERROR(INDEX([1]Produtos!$I:$I,MATCH(L1747,[1]Produtos!$B:$B,0)), "-")</f>
        <v>-</v>
      </c>
      <c r="S1747" s="270" t="str">
        <f>IFERROR(INDEX([1]Produtos!$J:$J,MATCH(L1747,[1]Produtos!$B:$B,0)), "-")</f>
        <v>-</v>
      </c>
      <c r="T1747" s="475"/>
      <c r="U1747" s="270"/>
      <c r="V1747" s="270"/>
      <c r="W1747" s="270"/>
      <c r="X1747" s="270"/>
      <c r="Y1747" s="270"/>
      <c r="Z1747" s="270"/>
      <c r="AA1747" s="270"/>
      <c r="AB1747" s="270"/>
      <c r="AC1747" s="270"/>
      <c r="AD1747" s="270"/>
      <c r="AE1747" s="270"/>
      <c r="AF1747" s="270"/>
      <c r="AG1747" s="270"/>
      <c r="AH1747" s="270"/>
      <c r="AI1747" s="270"/>
      <c r="AJ1747" s="270"/>
      <c r="AK1747" s="270"/>
      <c r="AL1747" s="270"/>
      <c r="AM1747" s="663"/>
      <c r="AN1747" s="663"/>
      <c r="AO1747" s="708" t="str">
        <f>IF(OR(Table1[[#This Row],[Início Setup Envase]]="",Table1[[#This Row],[Final Setup Envase]]=""),"",Table1[[#This Row],[Final Setup Envase]]-Table1[[#This Row],[Início Setup Envase]])</f>
        <v/>
      </c>
      <c r="AP1747" s="663"/>
      <c r="AQ1747" s="663"/>
      <c r="AR1747" s="270"/>
      <c r="AS1747" s="674"/>
      <c r="AT1747" s="674"/>
      <c r="AU1747" s="270"/>
      <c r="AV1747" s="270"/>
      <c r="AW1747" s="270"/>
      <c r="AX1747" s="270"/>
      <c r="AY1747" s="270"/>
      <c r="AZ1747" s="270"/>
      <c r="BA1747" s="270" t="str">
        <f>IF(Table1[[#This Row],[Data de Início]]="","",YEAR(Table1[[#This Row],[Data de Início]]))</f>
        <v/>
      </c>
      <c r="BB1747" s="270" t="str">
        <f>IF(Table1[[#This Row],[Data de Início]]="","",MONTH(Table1[[#This Row],[Data de Início]]))</f>
        <v/>
      </c>
      <c r="BC1747" s="483"/>
    </row>
    <row r="1748" spans="2:55" x14ac:dyDescent="0.25">
      <c r="B1748" s="470"/>
      <c r="C1748" s="263"/>
      <c r="D1748" s="477" cm="1">
        <f t="array" ref="D1748">IFERROR(HorasUteisFabrica2Turnos(B1748,C1748), "")</f>
        <v>0</v>
      </c>
      <c r="E1748" s="478" t="str">
        <f t="shared" si="27"/>
        <v/>
      </c>
      <c r="F1748" s="266"/>
      <c r="G1748" s="656"/>
      <c r="H1748" s="479"/>
      <c r="I1748" s="268"/>
      <c r="J1748" s="268"/>
      <c r="K1748" s="268"/>
      <c r="L1748" s="269"/>
      <c r="M1748" s="511" t="str">
        <f>IFERROR(INDEX([1]Produtos!$C:$C,MATCH(L1748,[1]Produtos!$B:$B,0)), "-")</f>
        <v>-</v>
      </c>
      <c r="N1748" s="511" t="str">
        <f>IFERROR(INDEX([1]Produtos!$E:$E,MATCH(L1748,[1]Produtos!$B:$B,0)), "-")</f>
        <v>-</v>
      </c>
      <c r="O1748" s="483" t="str">
        <f>IFERROR(INDEX([1]Produtos!$F:$F,MATCH(L1748,[1]Produtos!$B:$B,0)), "-")</f>
        <v>-</v>
      </c>
      <c r="P1748" s="477" t="str">
        <f>IFERROR(INDEX([1]Produtos!$G:$G,MATCH(L1748,[1]Produtos!$B:$B,0)), "-")</f>
        <v>-</v>
      </c>
      <c r="Q1748" s="483" t="str">
        <f>IFERROR(INDEX([1]Produtos!$H:$H,MATCH(L1748,[1]Produtos!$B:$B,0)), "-")</f>
        <v>-</v>
      </c>
      <c r="R1748" s="483" t="str">
        <f>IFERROR(INDEX([1]Produtos!$I:$I,MATCH(L1748,[1]Produtos!$B:$B,0)), "-")</f>
        <v>-</v>
      </c>
      <c r="S1748" s="483" t="str">
        <f>IFERROR(INDEX([1]Produtos!$J:$J,MATCH(L1748,[1]Produtos!$B:$B,0)), "-")</f>
        <v>-</v>
      </c>
      <c r="T1748" s="484"/>
      <c r="U1748" s="483"/>
      <c r="V1748" s="483"/>
      <c r="W1748" s="483"/>
      <c r="X1748" s="483"/>
      <c r="Y1748" s="483"/>
      <c r="Z1748" s="483"/>
      <c r="AA1748" s="483"/>
      <c r="AB1748" s="483"/>
      <c r="AC1748" s="483"/>
      <c r="AD1748" s="483"/>
      <c r="AE1748" s="483"/>
      <c r="AF1748" s="483"/>
      <c r="AG1748" s="483"/>
      <c r="AH1748" s="483"/>
      <c r="AI1748" s="483"/>
      <c r="AJ1748" s="483"/>
      <c r="AK1748" s="483"/>
      <c r="AL1748" s="483"/>
      <c r="AM1748" s="670"/>
      <c r="AN1748" s="670"/>
      <c r="AO1748" s="711" t="str">
        <f>IF(OR(Table1[[#This Row],[Início Setup Envase]]="",Table1[[#This Row],[Final Setup Envase]]=""),"",Table1[[#This Row],[Final Setup Envase]]-Table1[[#This Row],[Início Setup Envase]])</f>
        <v/>
      </c>
      <c r="AP1748" s="670"/>
      <c r="AQ1748" s="670"/>
      <c r="AR1748" s="483"/>
      <c r="AS1748" s="483"/>
      <c r="AT1748" s="483"/>
      <c r="AU1748" s="483"/>
      <c r="AV1748" s="483"/>
      <c r="AW1748" s="483"/>
      <c r="AX1748" s="483"/>
      <c r="AY1748" s="270"/>
      <c r="AZ1748" s="270"/>
      <c r="BA1748" s="270" t="str">
        <f>IF(Table1[[#This Row],[Data de Início]]="","",YEAR(Table1[[#This Row],[Data de Início]]))</f>
        <v/>
      </c>
      <c r="BB1748" s="270" t="str">
        <f>IF(Table1[[#This Row],[Data de Início]]="","",MONTH(Table1[[#This Row],[Data de Início]]))</f>
        <v/>
      </c>
      <c r="BC1748" s="270"/>
    </row>
    <row r="1749" spans="2:55" x14ac:dyDescent="0.25">
      <c r="B1749" s="470"/>
      <c r="C1749" s="263"/>
      <c r="D1749" s="477" cm="1">
        <f t="array" ref="D1749">IFERROR(HorasUteisFabrica2Turnos(B1749,C1749), "")</f>
        <v>0</v>
      </c>
      <c r="E1749" s="697" t="str">
        <f t="shared" si="27"/>
        <v/>
      </c>
      <c r="F1749" s="266"/>
      <c r="G1749" s="698"/>
      <c r="H1749" s="266"/>
      <c r="I1749" s="268"/>
      <c r="J1749" s="268"/>
      <c r="K1749" s="268"/>
      <c r="L1749" s="269"/>
      <c r="M1749" s="510" t="str">
        <f>IFERROR(INDEX([1]Produtos!$C:$C,MATCH(L1749,[1]Produtos!$B:$B,0)), "-")</f>
        <v>-</v>
      </c>
      <c r="N1749" s="510" t="str">
        <f>IFERROR(INDEX([1]Produtos!$E:$E,MATCH(L1749,[1]Produtos!$B:$B,0)), "-")</f>
        <v>-</v>
      </c>
      <c r="O1749" s="270" t="str">
        <f>IFERROR(INDEX([1]Produtos!$F:$F,MATCH(L1749,[1]Produtos!$B:$B,0)), "-")</f>
        <v>-</v>
      </c>
      <c r="P1749" s="264" t="str">
        <f>IFERROR(INDEX([1]Produtos!$G:$G,MATCH(L1749,[1]Produtos!$B:$B,0)), "-")</f>
        <v>-</v>
      </c>
      <c r="Q1749" s="270" t="str">
        <f>IFERROR(INDEX([1]Produtos!$H:$H,MATCH(L1749,[1]Produtos!$B:$B,0)), "-")</f>
        <v>-</v>
      </c>
      <c r="R1749" s="270" t="str">
        <f>IFERROR(INDEX([1]Produtos!$I:$I,MATCH(L1749,[1]Produtos!$B:$B,0)), "-")</f>
        <v>-</v>
      </c>
      <c r="S1749" s="270" t="str">
        <f>IFERROR(INDEX([1]Produtos!$J:$J,MATCH(L1749,[1]Produtos!$B:$B,0)), "-")</f>
        <v>-</v>
      </c>
      <c r="T1749" s="475"/>
      <c r="U1749" s="270"/>
      <c r="V1749" s="270"/>
      <c r="W1749" s="270"/>
      <c r="X1749" s="270"/>
      <c r="Y1749" s="270"/>
      <c r="Z1749" s="270"/>
      <c r="AA1749" s="270"/>
      <c r="AB1749" s="270"/>
      <c r="AC1749" s="270"/>
      <c r="AD1749" s="270"/>
      <c r="AE1749" s="270"/>
      <c r="AF1749" s="270"/>
      <c r="AG1749" s="270"/>
      <c r="AH1749" s="270"/>
      <c r="AI1749" s="270"/>
      <c r="AJ1749" s="270"/>
      <c r="AK1749" s="270"/>
      <c r="AL1749" s="270"/>
      <c r="AM1749" s="663"/>
      <c r="AN1749" s="663"/>
      <c r="AO1749" s="708" t="str">
        <f>IF(OR(Table1[[#This Row],[Início Setup Envase]]="",Table1[[#This Row],[Final Setup Envase]]=""),"",Table1[[#This Row],[Final Setup Envase]]-Table1[[#This Row],[Início Setup Envase]])</f>
        <v/>
      </c>
      <c r="AP1749" s="663"/>
      <c r="AQ1749" s="663"/>
      <c r="AR1749" s="270"/>
      <c r="AS1749" s="674"/>
      <c r="AT1749" s="674"/>
      <c r="AU1749" s="270"/>
      <c r="AV1749" s="270"/>
      <c r="AW1749" s="270"/>
      <c r="AX1749" s="270"/>
      <c r="AY1749" s="270"/>
      <c r="AZ1749" s="270"/>
      <c r="BA1749" s="270" t="str">
        <f>IF(Table1[[#This Row],[Data de Início]]="","",YEAR(Table1[[#This Row],[Data de Início]]))</f>
        <v/>
      </c>
      <c r="BB1749" s="270" t="str">
        <f>IF(Table1[[#This Row],[Data de Início]]="","",MONTH(Table1[[#This Row],[Data de Início]]))</f>
        <v/>
      </c>
      <c r="BC1749" s="483"/>
    </row>
    <row r="1750" spans="2:55" x14ac:dyDescent="0.25">
      <c r="B1750" s="470"/>
      <c r="C1750" s="263"/>
      <c r="D1750" s="477" cm="1">
        <f t="array" ref="D1750">IFERROR(HorasUteisFabrica2Turnos(B1750,C1750), "")</f>
        <v>0</v>
      </c>
      <c r="E1750" s="478" t="str">
        <f t="shared" si="27"/>
        <v/>
      </c>
      <c r="F1750" s="266"/>
      <c r="G1750" s="656"/>
      <c r="H1750" s="479"/>
      <c r="I1750" s="268"/>
      <c r="J1750" s="268"/>
      <c r="K1750" s="268"/>
      <c r="L1750" s="269"/>
      <c r="M1750" s="511" t="str">
        <f>IFERROR(INDEX([1]Produtos!$C:$C,MATCH(L1750,[1]Produtos!$B:$B,0)), "-")</f>
        <v>-</v>
      </c>
      <c r="N1750" s="511" t="str">
        <f>IFERROR(INDEX([1]Produtos!$E:$E,MATCH(L1750,[1]Produtos!$B:$B,0)), "-")</f>
        <v>-</v>
      </c>
      <c r="O1750" s="483" t="str">
        <f>IFERROR(INDEX([1]Produtos!$F:$F,MATCH(L1750,[1]Produtos!$B:$B,0)), "-")</f>
        <v>-</v>
      </c>
      <c r="P1750" s="477" t="str">
        <f>IFERROR(INDEX([1]Produtos!$G:$G,MATCH(L1750,[1]Produtos!$B:$B,0)), "-")</f>
        <v>-</v>
      </c>
      <c r="Q1750" s="483" t="str">
        <f>IFERROR(INDEX([1]Produtos!$H:$H,MATCH(L1750,[1]Produtos!$B:$B,0)), "-")</f>
        <v>-</v>
      </c>
      <c r="R1750" s="483" t="str">
        <f>IFERROR(INDEX([1]Produtos!$I:$I,MATCH(L1750,[1]Produtos!$B:$B,0)), "-")</f>
        <v>-</v>
      </c>
      <c r="S1750" s="483" t="str">
        <f>IFERROR(INDEX([1]Produtos!$J:$J,MATCH(L1750,[1]Produtos!$B:$B,0)), "-")</f>
        <v>-</v>
      </c>
      <c r="T1750" s="484"/>
      <c r="U1750" s="483"/>
      <c r="V1750" s="483"/>
      <c r="W1750" s="483"/>
      <c r="X1750" s="483"/>
      <c r="Y1750" s="483"/>
      <c r="Z1750" s="483"/>
      <c r="AA1750" s="483"/>
      <c r="AB1750" s="483"/>
      <c r="AC1750" s="483"/>
      <c r="AD1750" s="483"/>
      <c r="AE1750" s="483"/>
      <c r="AF1750" s="483"/>
      <c r="AG1750" s="483"/>
      <c r="AH1750" s="483"/>
      <c r="AI1750" s="483"/>
      <c r="AJ1750" s="483"/>
      <c r="AK1750" s="483"/>
      <c r="AL1750" s="483"/>
      <c r="AM1750" s="670"/>
      <c r="AN1750" s="670"/>
      <c r="AO1750" s="711" t="str">
        <f>IF(OR(Table1[[#This Row],[Início Setup Envase]]="",Table1[[#This Row],[Final Setup Envase]]=""),"",Table1[[#This Row],[Final Setup Envase]]-Table1[[#This Row],[Início Setup Envase]])</f>
        <v/>
      </c>
      <c r="AP1750" s="670"/>
      <c r="AQ1750" s="670"/>
      <c r="AR1750" s="483"/>
      <c r="AS1750" s="483"/>
      <c r="AT1750" s="483"/>
      <c r="AU1750" s="483"/>
      <c r="AV1750" s="483"/>
      <c r="AW1750" s="483"/>
      <c r="AX1750" s="483"/>
      <c r="AY1750" s="270"/>
      <c r="AZ1750" s="270"/>
      <c r="BA1750" s="270" t="str">
        <f>IF(Table1[[#This Row],[Data de Início]]="","",YEAR(Table1[[#This Row],[Data de Início]]))</f>
        <v/>
      </c>
      <c r="BB1750" s="270" t="str">
        <f>IF(Table1[[#This Row],[Data de Início]]="","",MONTH(Table1[[#This Row],[Data de Início]]))</f>
        <v/>
      </c>
      <c r="BC1750" s="270"/>
    </row>
    <row r="1751" spans="2:55" x14ac:dyDescent="0.25">
      <c r="B1751" s="470"/>
      <c r="C1751" s="263"/>
      <c r="D1751" s="477" cm="1">
        <f t="array" ref="D1751">IFERROR(HorasUteisFabrica2Turnos(B1751,C1751), "")</f>
        <v>0</v>
      </c>
      <c r="E1751" s="697" t="str">
        <f t="shared" si="27"/>
        <v/>
      </c>
      <c r="F1751" s="266"/>
      <c r="G1751" s="698"/>
      <c r="H1751" s="266"/>
      <c r="I1751" s="268"/>
      <c r="J1751" s="268"/>
      <c r="K1751" s="268"/>
      <c r="L1751" s="269"/>
      <c r="M1751" s="510" t="str">
        <f>IFERROR(INDEX([1]Produtos!$C:$C,MATCH(L1751,[1]Produtos!$B:$B,0)), "-")</f>
        <v>-</v>
      </c>
      <c r="N1751" s="510" t="str">
        <f>IFERROR(INDEX([1]Produtos!$E:$E,MATCH(L1751,[1]Produtos!$B:$B,0)), "-")</f>
        <v>-</v>
      </c>
      <c r="O1751" s="270" t="str">
        <f>IFERROR(INDEX([1]Produtos!$F:$F,MATCH(L1751,[1]Produtos!$B:$B,0)), "-")</f>
        <v>-</v>
      </c>
      <c r="P1751" s="264" t="str">
        <f>IFERROR(INDEX([1]Produtos!$G:$G,MATCH(L1751,[1]Produtos!$B:$B,0)), "-")</f>
        <v>-</v>
      </c>
      <c r="Q1751" s="270" t="str">
        <f>IFERROR(INDEX([1]Produtos!$H:$H,MATCH(L1751,[1]Produtos!$B:$B,0)), "-")</f>
        <v>-</v>
      </c>
      <c r="R1751" s="270" t="str">
        <f>IFERROR(INDEX([1]Produtos!$I:$I,MATCH(L1751,[1]Produtos!$B:$B,0)), "-")</f>
        <v>-</v>
      </c>
      <c r="S1751" s="270" t="str">
        <f>IFERROR(INDEX([1]Produtos!$J:$J,MATCH(L1751,[1]Produtos!$B:$B,0)), "-")</f>
        <v>-</v>
      </c>
      <c r="T1751" s="475"/>
      <c r="U1751" s="270"/>
      <c r="V1751" s="270"/>
      <c r="W1751" s="270"/>
      <c r="X1751" s="270"/>
      <c r="Y1751" s="270"/>
      <c r="Z1751" s="270"/>
      <c r="AA1751" s="270"/>
      <c r="AB1751" s="270"/>
      <c r="AC1751" s="270"/>
      <c r="AD1751" s="270"/>
      <c r="AE1751" s="270"/>
      <c r="AF1751" s="270"/>
      <c r="AG1751" s="270"/>
      <c r="AH1751" s="270"/>
      <c r="AI1751" s="270"/>
      <c r="AJ1751" s="270"/>
      <c r="AK1751" s="270"/>
      <c r="AL1751" s="270"/>
      <c r="AM1751" s="663"/>
      <c r="AN1751" s="663"/>
      <c r="AO1751" s="708" t="str">
        <f>IF(OR(Table1[[#This Row],[Início Setup Envase]]="",Table1[[#This Row],[Final Setup Envase]]=""),"",Table1[[#This Row],[Final Setup Envase]]-Table1[[#This Row],[Início Setup Envase]])</f>
        <v/>
      </c>
      <c r="AP1751" s="663"/>
      <c r="AQ1751" s="663"/>
      <c r="AR1751" s="270"/>
      <c r="AS1751" s="674"/>
      <c r="AT1751" s="674"/>
      <c r="AU1751" s="270"/>
      <c r="AV1751" s="270"/>
      <c r="AW1751" s="270"/>
      <c r="AX1751" s="270"/>
      <c r="AY1751" s="270"/>
      <c r="AZ1751" s="270"/>
      <c r="BA1751" s="270" t="str">
        <f>IF(Table1[[#This Row],[Data de Início]]="","",YEAR(Table1[[#This Row],[Data de Início]]))</f>
        <v/>
      </c>
      <c r="BB1751" s="270" t="str">
        <f>IF(Table1[[#This Row],[Data de Início]]="","",MONTH(Table1[[#This Row],[Data de Início]]))</f>
        <v/>
      </c>
      <c r="BC1751" s="483"/>
    </row>
    <row r="1752" spans="2:55" x14ac:dyDescent="0.25">
      <c r="B1752" s="470"/>
      <c r="C1752" s="263"/>
      <c r="D1752" s="477" cm="1">
        <f t="array" ref="D1752">IFERROR(HorasUteisFabrica2Turnos(B1752,C1752), "")</f>
        <v>0</v>
      </c>
      <c r="E1752" s="478" t="str">
        <f t="shared" si="27"/>
        <v/>
      </c>
      <c r="F1752" s="266"/>
      <c r="G1752" s="656"/>
      <c r="H1752" s="479"/>
      <c r="I1752" s="268"/>
      <c r="J1752" s="268"/>
      <c r="K1752" s="268"/>
      <c r="L1752" s="269"/>
      <c r="M1752" s="511" t="str">
        <f>IFERROR(INDEX([1]Produtos!$C:$C,MATCH(L1752,[1]Produtos!$B:$B,0)), "-")</f>
        <v>-</v>
      </c>
      <c r="N1752" s="511" t="str">
        <f>IFERROR(INDEX([1]Produtos!$E:$E,MATCH(L1752,[1]Produtos!$B:$B,0)), "-")</f>
        <v>-</v>
      </c>
      <c r="O1752" s="483" t="str">
        <f>IFERROR(INDEX([1]Produtos!$F:$F,MATCH(L1752,[1]Produtos!$B:$B,0)), "-")</f>
        <v>-</v>
      </c>
      <c r="P1752" s="477" t="str">
        <f>IFERROR(INDEX([1]Produtos!$G:$G,MATCH(L1752,[1]Produtos!$B:$B,0)), "-")</f>
        <v>-</v>
      </c>
      <c r="Q1752" s="483" t="str">
        <f>IFERROR(INDEX([1]Produtos!$H:$H,MATCH(L1752,[1]Produtos!$B:$B,0)), "-")</f>
        <v>-</v>
      </c>
      <c r="R1752" s="483" t="str">
        <f>IFERROR(INDEX([1]Produtos!$I:$I,MATCH(L1752,[1]Produtos!$B:$B,0)), "-")</f>
        <v>-</v>
      </c>
      <c r="S1752" s="483" t="str">
        <f>IFERROR(INDEX([1]Produtos!$J:$J,MATCH(L1752,[1]Produtos!$B:$B,0)), "-")</f>
        <v>-</v>
      </c>
      <c r="T1752" s="484"/>
      <c r="U1752" s="483"/>
      <c r="V1752" s="483"/>
      <c r="W1752" s="483"/>
      <c r="X1752" s="483"/>
      <c r="Y1752" s="483"/>
      <c r="Z1752" s="483"/>
      <c r="AA1752" s="483"/>
      <c r="AB1752" s="483"/>
      <c r="AC1752" s="483"/>
      <c r="AD1752" s="483"/>
      <c r="AE1752" s="483"/>
      <c r="AF1752" s="483"/>
      <c r="AG1752" s="483"/>
      <c r="AH1752" s="483"/>
      <c r="AI1752" s="483"/>
      <c r="AJ1752" s="483"/>
      <c r="AK1752" s="483"/>
      <c r="AL1752" s="483"/>
      <c r="AM1752" s="670"/>
      <c r="AN1752" s="670"/>
      <c r="AO1752" s="711" t="str">
        <f>IF(OR(Table1[[#This Row],[Início Setup Envase]]="",Table1[[#This Row],[Final Setup Envase]]=""),"",Table1[[#This Row],[Final Setup Envase]]-Table1[[#This Row],[Início Setup Envase]])</f>
        <v/>
      </c>
      <c r="AP1752" s="670"/>
      <c r="AQ1752" s="670"/>
      <c r="AR1752" s="483"/>
      <c r="AS1752" s="483"/>
      <c r="AT1752" s="483"/>
      <c r="AU1752" s="483"/>
      <c r="AV1752" s="483"/>
      <c r="AW1752" s="483"/>
      <c r="AX1752" s="483"/>
      <c r="AY1752" s="270"/>
      <c r="AZ1752" s="270"/>
      <c r="BA1752" s="270" t="str">
        <f>IF(Table1[[#This Row],[Data de Início]]="","",YEAR(Table1[[#This Row],[Data de Início]]))</f>
        <v/>
      </c>
      <c r="BB1752" s="270" t="str">
        <f>IF(Table1[[#This Row],[Data de Início]]="","",MONTH(Table1[[#This Row],[Data de Início]]))</f>
        <v/>
      </c>
      <c r="BC1752" s="270"/>
    </row>
    <row r="1753" spans="2:55" x14ac:dyDescent="0.25">
      <c r="B1753" s="470"/>
      <c r="C1753" s="263"/>
      <c r="D1753" s="477" cm="1">
        <f t="array" ref="D1753">IFERROR(HorasUteisFabrica2Turnos(B1753,C1753), "")</f>
        <v>0</v>
      </c>
      <c r="E1753" s="697" t="str">
        <f t="shared" si="27"/>
        <v/>
      </c>
      <c r="F1753" s="266"/>
      <c r="G1753" s="698"/>
      <c r="H1753" s="266"/>
      <c r="I1753" s="268"/>
      <c r="J1753" s="268"/>
      <c r="K1753" s="268"/>
      <c r="L1753" s="269"/>
      <c r="M1753" s="510" t="str">
        <f>IFERROR(INDEX([1]Produtos!$C:$C,MATCH(L1753,[1]Produtos!$B:$B,0)), "-")</f>
        <v>-</v>
      </c>
      <c r="N1753" s="510" t="str">
        <f>IFERROR(INDEX([1]Produtos!$E:$E,MATCH(L1753,[1]Produtos!$B:$B,0)), "-")</f>
        <v>-</v>
      </c>
      <c r="O1753" s="270" t="str">
        <f>IFERROR(INDEX([1]Produtos!$F:$F,MATCH(L1753,[1]Produtos!$B:$B,0)), "-")</f>
        <v>-</v>
      </c>
      <c r="P1753" s="264" t="str">
        <f>IFERROR(INDEX([1]Produtos!$G:$G,MATCH(L1753,[1]Produtos!$B:$B,0)), "-")</f>
        <v>-</v>
      </c>
      <c r="Q1753" s="270" t="str">
        <f>IFERROR(INDEX([1]Produtos!$H:$H,MATCH(L1753,[1]Produtos!$B:$B,0)), "-")</f>
        <v>-</v>
      </c>
      <c r="R1753" s="270" t="str">
        <f>IFERROR(INDEX([1]Produtos!$I:$I,MATCH(L1753,[1]Produtos!$B:$B,0)), "-")</f>
        <v>-</v>
      </c>
      <c r="S1753" s="270" t="str">
        <f>IFERROR(INDEX([1]Produtos!$J:$J,MATCH(L1753,[1]Produtos!$B:$B,0)), "-")</f>
        <v>-</v>
      </c>
      <c r="T1753" s="475"/>
      <c r="U1753" s="270"/>
      <c r="V1753" s="270"/>
      <c r="W1753" s="270"/>
      <c r="X1753" s="270"/>
      <c r="Y1753" s="270"/>
      <c r="Z1753" s="270"/>
      <c r="AA1753" s="270"/>
      <c r="AB1753" s="270"/>
      <c r="AC1753" s="270"/>
      <c r="AD1753" s="270"/>
      <c r="AE1753" s="270"/>
      <c r="AF1753" s="270"/>
      <c r="AG1753" s="270"/>
      <c r="AH1753" s="270"/>
      <c r="AI1753" s="270"/>
      <c r="AJ1753" s="270"/>
      <c r="AK1753" s="270"/>
      <c r="AL1753" s="270"/>
      <c r="AM1753" s="663"/>
      <c r="AN1753" s="663"/>
      <c r="AO1753" s="708" t="str">
        <f>IF(OR(Table1[[#This Row],[Início Setup Envase]]="",Table1[[#This Row],[Final Setup Envase]]=""),"",Table1[[#This Row],[Final Setup Envase]]-Table1[[#This Row],[Início Setup Envase]])</f>
        <v/>
      </c>
      <c r="AP1753" s="663"/>
      <c r="AQ1753" s="663"/>
      <c r="AR1753" s="270"/>
      <c r="AS1753" s="674"/>
      <c r="AT1753" s="674"/>
      <c r="AU1753" s="270"/>
      <c r="AV1753" s="270"/>
      <c r="AW1753" s="270"/>
      <c r="AX1753" s="270"/>
      <c r="AY1753" s="270"/>
      <c r="AZ1753" s="270"/>
      <c r="BA1753" s="270" t="str">
        <f>IF(Table1[[#This Row],[Data de Início]]="","",YEAR(Table1[[#This Row],[Data de Início]]))</f>
        <v/>
      </c>
      <c r="BB1753" s="270" t="str">
        <f>IF(Table1[[#This Row],[Data de Início]]="","",MONTH(Table1[[#This Row],[Data de Início]]))</f>
        <v/>
      </c>
      <c r="BC1753" s="483"/>
    </row>
    <row r="1754" spans="2:55" x14ac:dyDescent="0.25">
      <c r="B1754" s="470"/>
      <c r="C1754" s="263"/>
      <c r="D1754" s="477" cm="1">
        <f t="array" ref="D1754">IFERROR(HorasUteisFabrica2Turnos(B1754,C1754), "")</f>
        <v>0</v>
      </c>
      <c r="E1754" s="478" t="str">
        <f t="shared" si="27"/>
        <v/>
      </c>
      <c r="F1754" s="266"/>
      <c r="G1754" s="656"/>
      <c r="H1754" s="479"/>
      <c r="I1754" s="268"/>
      <c r="J1754" s="268"/>
      <c r="K1754" s="268"/>
      <c r="L1754" s="269"/>
      <c r="M1754" s="511" t="str">
        <f>IFERROR(INDEX([1]Produtos!$C:$C,MATCH(L1754,[1]Produtos!$B:$B,0)), "-")</f>
        <v>-</v>
      </c>
      <c r="N1754" s="511" t="str">
        <f>IFERROR(INDEX([1]Produtos!$E:$E,MATCH(L1754,[1]Produtos!$B:$B,0)), "-")</f>
        <v>-</v>
      </c>
      <c r="O1754" s="483" t="str">
        <f>IFERROR(INDEX([1]Produtos!$F:$F,MATCH(L1754,[1]Produtos!$B:$B,0)), "-")</f>
        <v>-</v>
      </c>
      <c r="P1754" s="477" t="str">
        <f>IFERROR(INDEX([1]Produtos!$G:$G,MATCH(L1754,[1]Produtos!$B:$B,0)), "-")</f>
        <v>-</v>
      </c>
      <c r="Q1754" s="483" t="str">
        <f>IFERROR(INDEX([1]Produtos!$H:$H,MATCH(L1754,[1]Produtos!$B:$B,0)), "-")</f>
        <v>-</v>
      </c>
      <c r="R1754" s="483" t="str">
        <f>IFERROR(INDEX([1]Produtos!$I:$I,MATCH(L1754,[1]Produtos!$B:$B,0)), "-")</f>
        <v>-</v>
      </c>
      <c r="S1754" s="483" t="str">
        <f>IFERROR(INDEX([1]Produtos!$J:$J,MATCH(L1754,[1]Produtos!$B:$B,0)), "-")</f>
        <v>-</v>
      </c>
      <c r="T1754" s="484"/>
      <c r="U1754" s="483"/>
      <c r="V1754" s="483"/>
      <c r="W1754" s="483"/>
      <c r="X1754" s="483"/>
      <c r="Y1754" s="483"/>
      <c r="Z1754" s="483"/>
      <c r="AA1754" s="483"/>
      <c r="AB1754" s="483"/>
      <c r="AC1754" s="483"/>
      <c r="AD1754" s="483"/>
      <c r="AE1754" s="483"/>
      <c r="AF1754" s="483"/>
      <c r="AG1754" s="483"/>
      <c r="AH1754" s="483"/>
      <c r="AI1754" s="483"/>
      <c r="AJ1754" s="483"/>
      <c r="AK1754" s="483"/>
      <c r="AL1754" s="483"/>
      <c r="AM1754" s="670"/>
      <c r="AN1754" s="670"/>
      <c r="AO1754" s="711" t="str">
        <f>IF(OR(Table1[[#This Row],[Início Setup Envase]]="",Table1[[#This Row],[Final Setup Envase]]=""),"",Table1[[#This Row],[Final Setup Envase]]-Table1[[#This Row],[Início Setup Envase]])</f>
        <v/>
      </c>
      <c r="AP1754" s="670"/>
      <c r="AQ1754" s="670"/>
      <c r="AR1754" s="483"/>
      <c r="AS1754" s="483"/>
      <c r="AT1754" s="483"/>
      <c r="AU1754" s="483"/>
      <c r="AV1754" s="483"/>
      <c r="AW1754" s="483"/>
      <c r="AX1754" s="483"/>
      <c r="AY1754" s="270"/>
      <c r="AZ1754" s="270"/>
      <c r="BA1754" s="270" t="str">
        <f>IF(Table1[[#This Row],[Data de Início]]="","",YEAR(Table1[[#This Row],[Data de Início]]))</f>
        <v/>
      </c>
      <c r="BB1754" s="270" t="str">
        <f>IF(Table1[[#This Row],[Data de Início]]="","",MONTH(Table1[[#This Row],[Data de Início]]))</f>
        <v/>
      </c>
      <c r="BC1754" s="270"/>
    </row>
    <row r="1755" spans="2:55" x14ac:dyDescent="0.25">
      <c r="B1755" s="470"/>
      <c r="C1755" s="263"/>
      <c r="D1755" s="477" cm="1">
        <f t="array" ref="D1755">IFERROR(HorasUteisFabrica2Turnos(B1755,C1755), "")</f>
        <v>0</v>
      </c>
      <c r="E1755" s="697" t="str">
        <f t="shared" si="27"/>
        <v/>
      </c>
      <c r="F1755" s="266"/>
      <c r="G1755" s="698"/>
      <c r="H1755" s="266"/>
      <c r="I1755" s="268"/>
      <c r="J1755" s="268"/>
      <c r="K1755" s="268"/>
      <c r="L1755" s="269"/>
      <c r="M1755" s="510" t="str">
        <f>IFERROR(INDEX([1]Produtos!$C:$C,MATCH(L1755,[1]Produtos!$B:$B,0)), "-")</f>
        <v>-</v>
      </c>
      <c r="N1755" s="510" t="str">
        <f>IFERROR(INDEX([1]Produtos!$E:$E,MATCH(L1755,[1]Produtos!$B:$B,0)), "-")</f>
        <v>-</v>
      </c>
      <c r="O1755" s="270" t="str">
        <f>IFERROR(INDEX([1]Produtos!$F:$F,MATCH(L1755,[1]Produtos!$B:$B,0)), "-")</f>
        <v>-</v>
      </c>
      <c r="P1755" s="264" t="str">
        <f>IFERROR(INDEX([1]Produtos!$G:$G,MATCH(L1755,[1]Produtos!$B:$B,0)), "-")</f>
        <v>-</v>
      </c>
      <c r="Q1755" s="270" t="str">
        <f>IFERROR(INDEX([1]Produtos!$H:$H,MATCH(L1755,[1]Produtos!$B:$B,0)), "-")</f>
        <v>-</v>
      </c>
      <c r="R1755" s="270" t="str">
        <f>IFERROR(INDEX([1]Produtos!$I:$I,MATCH(L1755,[1]Produtos!$B:$B,0)), "-")</f>
        <v>-</v>
      </c>
      <c r="S1755" s="270" t="str">
        <f>IFERROR(INDEX([1]Produtos!$J:$J,MATCH(L1755,[1]Produtos!$B:$B,0)), "-")</f>
        <v>-</v>
      </c>
      <c r="T1755" s="475"/>
      <c r="U1755" s="270"/>
      <c r="V1755" s="270"/>
      <c r="W1755" s="270"/>
      <c r="X1755" s="270"/>
      <c r="Y1755" s="270"/>
      <c r="Z1755" s="270"/>
      <c r="AA1755" s="270"/>
      <c r="AB1755" s="270"/>
      <c r="AC1755" s="270"/>
      <c r="AD1755" s="270"/>
      <c r="AE1755" s="270"/>
      <c r="AF1755" s="270"/>
      <c r="AG1755" s="270"/>
      <c r="AH1755" s="270"/>
      <c r="AI1755" s="270"/>
      <c r="AJ1755" s="270"/>
      <c r="AK1755" s="270"/>
      <c r="AL1755" s="270"/>
      <c r="AM1755" s="663"/>
      <c r="AN1755" s="663"/>
      <c r="AO1755" s="708" t="str">
        <f>IF(OR(Table1[[#This Row],[Início Setup Envase]]="",Table1[[#This Row],[Final Setup Envase]]=""),"",Table1[[#This Row],[Final Setup Envase]]-Table1[[#This Row],[Início Setup Envase]])</f>
        <v/>
      </c>
      <c r="AP1755" s="663"/>
      <c r="AQ1755" s="663"/>
      <c r="AR1755" s="270"/>
      <c r="AS1755" s="674"/>
      <c r="AT1755" s="674"/>
      <c r="AU1755" s="270"/>
      <c r="AV1755" s="270"/>
      <c r="AW1755" s="270"/>
      <c r="AX1755" s="270"/>
      <c r="AY1755" s="270"/>
      <c r="AZ1755" s="270"/>
      <c r="BA1755" s="270" t="str">
        <f>IF(Table1[[#This Row],[Data de Início]]="","",YEAR(Table1[[#This Row],[Data de Início]]))</f>
        <v/>
      </c>
      <c r="BB1755" s="270" t="str">
        <f>IF(Table1[[#This Row],[Data de Início]]="","",MONTH(Table1[[#This Row],[Data de Início]]))</f>
        <v/>
      </c>
      <c r="BC1755" s="483"/>
    </row>
    <row r="1756" spans="2:55" x14ac:dyDescent="0.25">
      <c r="B1756" s="470"/>
      <c r="C1756" s="263"/>
      <c r="D1756" s="477" cm="1">
        <f t="array" ref="D1756">IFERROR(HorasUteisFabrica2Turnos(B1756,C1756), "")</f>
        <v>0</v>
      </c>
      <c r="E1756" s="478" t="str">
        <f t="shared" si="27"/>
        <v/>
      </c>
      <c r="F1756" s="266"/>
      <c r="G1756" s="656"/>
      <c r="H1756" s="479"/>
      <c r="I1756" s="268"/>
      <c r="J1756" s="268"/>
      <c r="K1756" s="268"/>
      <c r="L1756" s="269"/>
      <c r="M1756" s="511" t="str">
        <f>IFERROR(INDEX([1]Produtos!$C:$C,MATCH(L1756,[1]Produtos!$B:$B,0)), "-")</f>
        <v>-</v>
      </c>
      <c r="N1756" s="511" t="str">
        <f>IFERROR(INDEX([1]Produtos!$E:$E,MATCH(L1756,[1]Produtos!$B:$B,0)), "-")</f>
        <v>-</v>
      </c>
      <c r="O1756" s="483" t="str">
        <f>IFERROR(INDEX([1]Produtos!$F:$F,MATCH(L1756,[1]Produtos!$B:$B,0)), "-")</f>
        <v>-</v>
      </c>
      <c r="P1756" s="477" t="str">
        <f>IFERROR(INDEX([1]Produtos!$G:$G,MATCH(L1756,[1]Produtos!$B:$B,0)), "-")</f>
        <v>-</v>
      </c>
      <c r="Q1756" s="483" t="str">
        <f>IFERROR(INDEX([1]Produtos!$H:$H,MATCH(L1756,[1]Produtos!$B:$B,0)), "-")</f>
        <v>-</v>
      </c>
      <c r="R1756" s="483" t="str">
        <f>IFERROR(INDEX([1]Produtos!$I:$I,MATCH(L1756,[1]Produtos!$B:$B,0)), "-")</f>
        <v>-</v>
      </c>
      <c r="S1756" s="483" t="str">
        <f>IFERROR(INDEX([1]Produtos!$J:$J,MATCH(L1756,[1]Produtos!$B:$B,0)), "-")</f>
        <v>-</v>
      </c>
      <c r="T1756" s="484"/>
      <c r="U1756" s="483"/>
      <c r="V1756" s="483"/>
      <c r="W1756" s="483"/>
      <c r="X1756" s="483"/>
      <c r="Y1756" s="483"/>
      <c r="Z1756" s="483"/>
      <c r="AA1756" s="483"/>
      <c r="AB1756" s="483"/>
      <c r="AC1756" s="483"/>
      <c r="AD1756" s="483"/>
      <c r="AE1756" s="483"/>
      <c r="AF1756" s="483"/>
      <c r="AG1756" s="483"/>
      <c r="AH1756" s="483"/>
      <c r="AI1756" s="483"/>
      <c r="AJ1756" s="483"/>
      <c r="AK1756" s="483"/>
      <c r="AL1756" s="483"/>
      <c r="AM1756" s="670"/>
      <c r="AN1756" s="670"/>
      <c r="AO1756" s="711" t="str">
        <f>IF(OR(Table1[[#This Row],[Início Setup Envase]]="",Table1[[#This Row],[Final Setup Envase]]=""),"",Table1[[#This Row],[Final Setup Envase]]-Table1[[#This Row],[Início Setup Envase]])</f>
        <v/>
      </c>
      <c r="AP1756" s="670"/>
      <c r="AQ1756" s="670"/>
      <c r="AR1756" s="483"/>
      <c r="AS1756" s="483"/>
      <c r="AT1756" s="483"/>
      <c r="AU1756" s="483"/>
      <c r="AV1756" s="483"/>
      <c r="AW1756" s="483"/>
      <c r="AX1756" s="483"/>
      <c r="AY1756" s="270"/>
      <c r="AZ1756" s="270"/>
      <c r="BA1756" s="270" t="str">
        <f>IF(Table1[[#This Row],[Data de Início]]="","",YEAR(Table1[[#This Row],[Data de Início]]))</f>
        <v/>
      </c>
      <c r="BB1756" s="270" t="str">
        <f>IF(Table1[[#This Row],[Data de Início]]="","",MONTH(Table1[[#This Row],[Data de Início]]))</f>
        <v/>
      </c>
      <c r="BC1756" s="270"/>
    </row>
    <row r="1757" spans="2:55" x14ac:dyDescent="0.25">
      <c r="B1757" s="470"/>
      <c r="C1757" s="263"/>
      <c r="D1757" s="477" cm="1">
        <f t="array" ref="D1757">IFERROR(HorasUteisFabrica2Turnos(B1757,C1757), "")</f>
        <v>0</v>
      </c>
      <c r="E1757" s="697" t="str">
        <f t="shared" si="27"/>
        <v/>
      </c>
      <c r="F1757" s="266"/>
      <c r="G1757" s="698"/>
      <c r="H1757" s="266"/>
      <c r="I1757" s="268"/>
      <c r="J1757" s="268"/>
      <c r="K1757" s="268"/>
      <c r="L1757" s="269"/>
      <c r="M1757" s="510" t="str">
        <f>IFERROR(INDEX([1]Produtos!$C:$C,MATCH(L1757,[1]Produtos!$B:$B,0)), "-")</f>
        <v>-</v>
      </c>
      <c r="N1757" s="510" t="str">
        <f>IFERROR(INDEX([1]Produtos!$E:$E,MATCH(L1757,[1]Produtos!$B:$B,0)), "-")</f>
        <v>-</v>
      </c>
      <c r="O1757" s="270" t="str">
        <f>IFERROR(INDEX([1]Produtos!$F:$F,MATCH(L1757,[1]Produtos!$B:$B,0)), "-")</f>
        <v>-</v>
      </c>
      <c r="P1757" s="264" t="str">
        <f>IFERROR(INDEX([1]Produtos!$G:$G,MATCH(L1757,[1]Produtos!$B:$B,0)), "-")</f>
        <v>-</v>
      </c>
      <c r="Q1757" s="270" t="str">
        <f>IFERROR(INDEX([1]Produtos!$H:$H,MATCH(L1757,[1]Produtos!$B:$B,0)), "-")</f>
        <v>-</v>
      </c>
      <c r="R1757" s="270" t="str">
        <f>IFERROR(INDEX([1]Produtos!$I:$I,MATCH(L1757,[1]Produtos!$B:$B,0)), "-")</f>
        <v>-</v>
      </c>
      <c r="S1757" s="270" t="str">
        <f>IFERROR(INDEX([1]Produtos!$J:$J,MATCH(L1757,[1]Produtos!$B:$B,0)), "-")</f>
        <v>-</v>
      </c>
      <c r="T1757" s="475"/>
      <c r="U1757" s="270"/>
      <c r="V1757" s="270"/>
      <c r="W1757" s="270"/>
      <c r="X1757" s="270"/>
      <c r="Y1757" s="270"/>
      <c r="Z1757" s="270"/>
      <c r="AA1757" s="270"/>
      <c r="AB1757" s="270"/>
      <c r="AC1757" s="270"/>
      <c r="AD1757" s="270"/>
      <c r="AE1757" s="270"/>
      <c r="AF1757" s="270"/>
      <c r="AG1757" s="270"/>
      <c r="AH1757" s="270"/>
      <c r="AI1757" s="270"/>
      <c r="AJ1757" s="270"/>
      <c r="AK1757" s="270"/>
      <c r="AL1757" s="270"/>
      <c r="AM1757" s="663"/>
      <c r="AN1757" s="663"/>
      <c r="AO1757" s="708" t="str">
        <f>IF(OR(Table1[[#This Row],[Início Setup Envase]]="",Table1[[#This Row],[Final Setup Envase]]=""),"",Table1[[#This Row],[Final Setup Envase]]-Table1[[#This Row],[Início Setup Envase]])</f>
        <v/>
      </c>
      <c r="AP1757" s="663"/>
      <c r="AQ1757" s="663"/>
      <c r="AR1757" s="270"/>
      <c r="AS1757" s="674"/>
      <c r="AT1757" s="674"/>
      <c r="AU1757" s="270"/>
      <c r="AV1757" s="270"/>
      <c r="AW1757" s="270"/>
      <c r="AX1757" s="270"/>
      <c r="AY1757" s="270"/>
      <c r="AZ1757" s="270"/>
      <c r="BA1757" s="270" t="str">
        <f>IF(Table1[[#This Row],[Data de Início]]="","",YEAR(Table1[[#This Row],[Data de Início]]))</f>
        <v/>
      </c>
      <c r="BB1757" s="270" t="str">
        <f>IF(Table1[[#This Row],[Data de Início]]="","",MONTH(Table1[[#This Row],[Data de Início]]))</f>
        <v/>
      </c>
      <c r="BC1757" s="483"/>
    </row>
    <row r="1758" spans="2:55" x14ac:dyDescent="0.25">
      <c r="B1758" s="470"/>
      <c r="C1758" s="263"/>
      <c r="D1758" s="477" cm="1">
        <f t="array" ref="D1758">IFERROR(HorasUteisFabrica2Turnos(B1758,C1758), "")</f>
        <v>0</v>
      </c>
      <c r="E1758" s="478" t="str">
        <f t="shared" si="27"/>
        <v/>
      </c>
      <c r="F1758" s="266"/>
      <c r="G1758" s="656"/>
      <c r="H1758" s="479"/>
      <c r="I1758" s="268"/>
      <c r="J1758" s="268"/>
      <c r="K1758" s="268"/>
      <c r="L1758" s="269"/>
      <c r="M1758" s="511" t="str">
        <f>IFERROR(INDEX([1]Produtos!$C:$C,MATCH(L1758,[1]Produtos!$B:$B,0)), "-")</f>
        <v>-</v>
      </c>
      <c r="N1758" s="511" t="str">
        <f>IFERROR(INDEX([1]Produtos!$E:$E,MATCH(L1758,[1]Produtos!$B:$B,0)), "-")</f>
        <v>-</v>
      </c>
      <c r="O1758" s="483" t="str">
        <f>IFERROR(INDEX([1]Produtos!$F:$F,MATCH(L1758,[1]Produtos!$B:$B,0)), "-")</f>
        <v>-</v>
      </c>
      <c r="P1758" s="477" t="str">
        <f>IFERROR(INDEX([1]Produtos!$G:$G,MATCH(L1758,[1]Produtos!$B:$B,0)), "-")</f>
        <v>-</v>
      </c>
      <c r="Q1758" s="483" t="str">
        <f>IFERROR(INDEX([1]Produtos!$H:$H,MATCH(L1758,[1]Produtos!$B:$B,0)), "-")</f>
        <v>-</v>
      </c>
      <c r="R1758" s="483" t="str">
        <f>IFERROR(INDEX([1]Produtos!$I:$I,MATCH(L1758,[1]Produtos!$B:$B,0)), "-")</f>
        <v>-</v>
      </c>
      <c r="S1758" s="483" t="str">
        <f>IFERROR(INDEX([1]Produtos!$J:$J,MATCH(L1758,[1]Produtos!$B:$B,0)), "-")</f>
        <v>-</v>
      </c>
      <c r="T1758" s="484"/>
      <c r="U1758" s="483"/>
      <c r="V1758" s="483"/>
      <c r="W1758" s="483"/>
      <c r="X1758" s="483"/>
      <c r="Y1758" s="483"/>
      <c r="Z1758" s="483"/>
      <c r="AA1758" s="483"/>
      <c r="AB1758" s="483"/>
      <c r="AC1758" s="483"/>
      <c r="AD1758" s="483"/>
      <c r="AE1758" s="483"/>
      <c r="AF1758" s="483"/>
      <c r="AG1758" s="483"/>
      <c r="AH1758" s="483"/>
      <c r="AI1758" s="483"/>
      <c r="AJ1758" s="483"/>
      <c r="AK1758" s="483"/>
      <c r="AL1758" s="483"/>
      <c r="AM1758" s="670"/>
      <c r="AN1758" s="670"/>
      <c r="AO1758" s="711" t="str">
        <f>IF(OR(Table1[[#This Row],[Início Setup Envase]]="",Table1[[#This Row],[Final Setup Envase]]=""),"",Table1[[#This Row],[Final Setup Envase]]-Table1[[#This Row],[Início Setup Envase]])</f>
        <v/>
      </c>
      <c r="AP1758" s="670"/>
      <c r="AQ1758" s="670"/>
      <c r="AR1758" s="483"/>
      <c r="AS1758" s="483"/>
      <c r="AT1758" s="483"/>
      <c r="AU1758" s="483"/>
      <c r="AV1758" s="483"/>
      <c r="AW1758" s="483"/>
      <c r="AX1758" s="483"/>
      <c r="AY1758" s="270"/>
      <c r="AZ1758" s="270"/>
      <c r="BA1758" s="270" t="str">
        <f>IF(Table1[[#This Row],[Data de Início]]="","",YEAR(Table1[[#This Row],[Data de Início]]))</f>
        <v/>
      </c>
      <c r="BB1758" s="270" t="str">
        <f>IF(Table1[[#This Row],[Data de Início]]="","",MONTH(Table1[[#This Row],[Data de Início]]))</f>
        <v/>
      </c>
      <c r="BC1758" s="270"/>
    </row>
    <row r="1759" spans="2:55" x14ac:dyDescent="0.25">
      <c r="B1759" s="470"/>
      <c r="C1759" s="263"/>
      <c r="D1759" s="477" cm="1">
        <f t="array" ref="D1759">IFERROR(HorasUteisFabrica2Turnos(B1759,C1759), "")</f>
        <v>0</v>
      </c>
      <c r="E1759" s="697" t="str">
        <f t="shared" si="27"/>
        <v/>
      </c>
      <c r="F1759" s="266"/>
      <c r="G1759" s="698"/>
      <c r="H1759" s="266"/>
      <c r="I1759" s="268"/>
      <c r="J1759" s="268"/>
      <c r="K1759" s="268"/>
      <c r="L1759" s="269"/>
      <c r="M1759" s="510" t="str">
        <f>IFERROR(INDEX([1]Produtos!$C:$C,MATCH(L1759,[1]Produtos!$B:$B,0)), "-")</f>
        <v>-</v>
      </c>
      <c r="N1759" s="510" t="str">
        <f>IFERROR(INDEX([1]Produtos!$E:$E,MATCH(L1759,[1]Produtos!$B:$B,0)), "-")</f>
        <v>-</v>
      </c>
      <c r="O1759" s="270" t="str">
        <f>IFERROR(INDEX([1]Produtos!$F:$F,MATCH(L1759,[1]Produtos!$B:$B,0)), "-")</f>
        <v>-</v>
      </c>
      <c r="P1759" s="264" t="str">
        <f>IFERROR(INDEX([1]Produtos!$G:$G,MATCH(L1759,[1]Produtos!$B:$B,0)), "-")</f>
        <v>-</v>
      </c>
      <c r="Q1759" s="270" t="str">
        <f>IFERROR(INDEX([1]Produtos!$H:$H,MATCH(L1759,[1]Produtos!$B:$B,0)), "-")</f>
        <v>-</v>
      </c>
      <c r="R1759" s="270" t="str">
        <f>IFERROR(INDEX([1]Produtos!$I:$I,MATCH(L1759,[1]Produtos!$B:$B,0)), "-")</f>
        <v>-</v>
      </c>
      <c r="S1759" s="270" t="str">
        <f>IFERROR(INDEX([1]Produtos!$J:$J,MATCH(L1759,[1]Produtos!$B:$B,0)), "-")</f>
        <v>-</v>
      </c>
      <c r="T1759" s="475"/>
      <c r="U1759" s="270"/>
      <c r="V1759" s="270"/>
      <c r="W1759" s="270"/>
      <c r="X1759" s="270"/>
      <c r="Y1759" s="270"/>
      <c r="Z1759" s="270"/>
      <c r="AA1759" s="270"/>
      <c r="AB1759" s="270"/>
      <c r="AC1759" s="270"/>
      <c r="AD1759" s="270"/>
      <c r="AE1759" s="270"/>
      <c r="AF1759" s="270"/>
      <c r="AG1759" s="270"/>
      <c r="AH1759" s="270"/>
      <c r="AI1759" s="270"/>
      <c r="AJ1759" s="270"/>
      <c r="AK1759" s="270"/>
      <c r="AL1759" s="270"/>
      <c r="AM1759" s="663"/>
      <c r="AN1759" s="663"/>
      <c r="AO1759" s="708" t="str">
        <f>IF(OR(Table1[[#This Row],[Início Setup Envase]]="",Table1[[#This Row],[Final Setup Envase]]=""),"",Table1[[#This Row],[Final Setup Envase]]-Table1[[#This Row],[Início Setup Envase]])</f>
        <v/>
      </c>
      <c r="AP1759" s="663"/>
      <c r="AQ1759" s="663"/>
      <c r="AR1759" s="270"/>
      <c r="AS1759" s="674"/>
      <c r="AT1759" s="674"/>
      <c r="AU1759" s="270"/>
      <c r="AV1759" s="270"/>
      <c r="AW1759" s="270"/>
      <c r="AX1759" s="270"/>
      <c r="AY1759" s="270"/>
      <c r="AZ1759" s="270"/>
      <c r="BA1759" s="270" t="str">
        <f>IF(Table1[[#This Row],[Data de Início]]="","",YEAR(Table1[[#This Row],[Data de Início]]))</f>
        <v/>
      </c>
      <c r="BB1759" s="270" t="str">
        <f>IF(Table1[[#This Row],[Data de Início]]="","",MONTH(Table1[[#This Row],[Data de Início]]))</f>
        <v/>
      </c>
      <c r="BC1759" s="483"/>
    </row>
    <row r="1760" spans="2:55" x14ac:dyDescent="0.25">
      <c r="B1760" s="470"/>
      <c r="C1760" s="263"/>
      <c r="D1760" s="477" cm="1">
        <f t="array" ref="D1760">IFERROR(HorasUteisFabrica2Turnos(B1760,C1760), "")</f>
        <v>0</v>
      </c>
      <c r="E1760" s="478" t="str">
        <f t="shared" si="27"/>
        <v/>
      </c>
      <c r="F1760" s="266"/>
      <c r="G1760" s="656"/>
      <c r="H1760" s="479"/>
      <c r="I1760" s="268"/>
      <c r="J1760" s="268"/>
      <c r="K1760" s="268"/>
      <c r="L1760" s="269"/>
      <c r="M1760" s="511" t="str">
        <f>IFERROR(INDEX([1]Produtos!$C:$C,MATCH(L1760,[1]Produtos!$B:$B,0)), "-")</f>
        <v>-</v>
      </c>
      <c r="N1760" s="511" t="str">
        <f>IFERROR(INDEX([1]Produtos!$E:$E,MATCH(L1760,[1]Produtos!$B:$B,0)), "-")</f>
        <v>-</v>
      </c>
      <c r="O1760" s="483" t="str">
        <f>IFERROR(INDEX([1]Produtos!$F:$F,MATCH(L1760,[1]Produtos!$B:$B,0)), "-")</f>
        <v>-</v>
      </c>
      <c r="P1760" s="477" t="str">
        <f>IFERROR(INDEX([1]Produtos!$G:$G,MATCH(L1760,[1]Produtos!$B:$B,0)), "-")</f>
        <v>-</v>
      </c>
      <c r="Q1760" s="483" t="str">
        <f>IFERROR(INDEX([1]Produtos!$H:$H,MATCH(L1760,[1]Produtos!$B:$B,0)), "-")</f>
        <v>-</v>
      </c>
      <c r="R1760" s="483" t="str">
        <f>IFERROR(INDEX([1]Produtos!$I:$I,MATCH(L1760,[1]Produtos!$B:$B,0)), "-")</f>
        <v>-</v>
      </c>
      <c r="S1760" s="483" t="str">
        <f>IFERROR(INDEX([1]Produtos!$J:$J,MATCH(L1760,[1]Produtos!$B:$B,0)), "-")</f>
        <v>-</v>
      </c>
      <c r="T1760" s="484"/>
      <c r="U1760" s="483"/>
      <c r="V1760" s="483"/>
      <c r="W1760" s="483"/>
      <c r="X1760" s="483"/>
      <c r="Y1760" s="483"/>
      <c r="Z1760" s="483"/>
      <c r="AA1760" s="483"/>
      <c r="AB1760" s="483"/>
      <c r="AC1760" s="483"/>
      <c r="AD1760" s="483"/>
      <c r="AE1760" s="483"/>
      <c r="AF1760" s="483"/>
      <c r="AG1760" s="483"/>
      <c r="AH1760" s="483"/>
      <c r="AI1760" s="483"/>
      <c r="AJ1760" s="483"/>
      <c r="AK1760" s="483"/>
      <c r="AL1760" s="483"/>
      <c r="AM1760" s="670"/>
      <c r="AN1760" s="670"/>
      <c r="AO1760" s="711" t="str">
        <f>IF(OR(Table1[[#This Row],[Início Setup Envase]]="",Table1[[#This Row],[Final Setup Envase]]=""),"",Table1[[#This Row],[Final Setup Envase]]-Table1[[#This Row],[Início Setup Envase]])</f>
        <v/>
      </c>
      <c r="AP1760" s="670"/>
      <c r="AQ1760" s="670"/>
      <c r="AR1760" s="483"/>
      <c r="AS1760" s="483"/>
      <c r="AT1760" s="483"/>
      <c r="AU1760" s="483"/>
      <c r="AV1760" s="483"/>
      <c r="AW1760" s="483"/>
      <c r="AX1760" s="483"/>
      <c r="AY1760" s="270"/>
      <c r="AZ1760" s="270"/>
      <c r="BA1760" s="270" t="str">
        <f>IF(Table1[[#This Row],[Data de Início]]="","",YEAR(Table1[[#This Row],[Data de Início]]))</f>
        <v/>
      </c>
      <c r="BB1760" s="270" t="str">
        <f>IF(Table1[[#This Row],[Data de Início]]="","",MONTH(Table1[[#This Row],[Data de Início]]))</f>
        <v/>
      </c>
      <c r="BC1760" s="270"/>
    </row>
    <row r="1761" spans="2:55" x14ac:dyDescent="0.25">
      <c r="B1761" s="470"/>
      <c r="C1761" s="263"/>
      <c r="D1761" s="477" cm="1">
        <f t="array" ref="D1761">IFERROR(HorasUteisFabrica2Turnos(B1761,C1761), "")</f>
        <v>0</v>
      </c>
      <c r="E1761" s="697" t="str">
        <f t="shared" si="27"/>
        <v/>
      </c>
      <c r="F1761" s="266"/>
      <c r="G1761" s="698"/>
      <c r="H1761" s="266"/>
      <c r="I1761" s="268"/>
      <c r="J1761" s="268"/>
      <c r="K1761" s="268"/>
      <c r="L1761" s="269"/>
      <c r="M1761" s="510" t="str">
        <f>IFERROR(INDEX([1]Produtos!$C:$C,MATCH(L1761,[1]Produtos!$B:$B,0)), "-")</f>
        <v>-</v>
      </c>
      <c r="N1761" s="510" t="str">
        <f>IFERROR(INDEX([1]Produtos!$E:$E,MATCH(L1761,[1]Produtos!$B:$B,0)), "-")</f>
        <v>-</v>
      </c>
      <c r="O1761" s="270" t="str">
        <f>IFERROR(INDEX([1]Produtos!$F:$F,MATCH(L1761,[1]Produtos!$B:$B,0)), "-")</f>
        <v>-</v>
      </c>
      <c r="P1761" s="264" t="str">
        <f>IFERROR(INDEX([1]Produtos!$G:$G,MATCH(L1761,[1]Produtos!$B:$B,0)), "-")</f>
        <v>-</v>
      </c>
      <c r="Q1761" s="270" t="str">
        <f>IFERROR(INDEX([1]Produtos!$H:$H,MATCH(L1761,[1]Produtos!$B:$B,0)), "-")</f>
        <v>-</v>
      </c>
      <c r="R1761" s="270" t="str">
        <f>IFERROR(INDEX([1]Produtos!$I:$I,MATCH(L1761,[1]Produtos!$B:$B,0)), "-")</f>
        <v>-</v>
      </c>
      <c r="S1761" s="270" t="str">
        <f>IFERROR(INDEX([1]Produtos!$J:$J,MATCH(L1761,[1]Produtos!$B:$B,0)), "-")</f>
        <v>-</v>
      </c>
      <c r="T1761" s="475"/>
      <c r="U1761" s="270"/>
      <c r="V1761" s="270"/>
      <c r="W1761" s="270"/>
      <c r="X1761" s="270"/>
      <c r="Y1761" s="270"/>
      <c r="Z1761" s="270"/>
      <c r="AA1761" s="270"/>
      <c r="AB1761" s="270"/>
      <c r="AC1761" s="270"/>
      <c r="AD1761" s="270"/>
      <c r="AE1761" s="270"/>
      <c r="AF1761" s="270"/>
      <c r="AG1761" s="270"/>
      <c r="AH1761" s="270"/>
      <c r="AI1761" s="270"/>
      <c r="AJ1761" s="270"/>
      <c r="AK1761" s="270"/>
      <c r="AL1761" s="270"/>
      <c r="AM1761" s="663"/>
      <c r="AN1761" s="663"/>
      <c r="AO1761" s="708" t="str">
        <f>IF(OR(Table1[[#This Row],[Início Setup Envase]]="",Table1[[#This Row],[Final Setup Envase]]=""),"",Table1[[#This Row],[Final Setup Envase]]-Table1[[#This Row],[Início Setup Envase]])</f>
        <v/>
      </c>
      <c r="AP1761" s="663"/>
      <c r="AQ1761" s="663"/>
      <c r="AR1761" s="270"/>
      <c r="AS1761" s="674"/>
      <c r="AT1761" s="674"/>
      <c r="AU1761" s="270"/>
      <c r="AV1761" s="270"/>
      <c r="AW1761" s="270"/>
      <c r="AX1761" s="270"/>
      <c r="AY1761" s="270"/>
      <c r="AZ1761" s="270"/>
      <c r="BA1761" s="270" t="str">
        <f>IF(Table1[[#This Row],[Data de Início]]="","",YEAR(Table1[[#This Row],[Data de Início]]))</f>
        <v/>
      </c>
      <c r="BB1761" s="270" t="str">
        <f>IF(Table1[[#This Row],[Data de Início]]="","",MONTH(Table1[[#This Row],[Data de Início]]))</f>
        <v/>
      </c>
      <c r="BC1761" s="483"/>
    </row>
    <row r="1762" spans="2:55" x14ac:dyDescent="0.25">
      <c r="B1762" s="470"/>
      <c r="C1762" s="263"/>
      <c r="D1762" s="477" cm="1">
        <f t="array" ref="D1762">IFERROR(HorasUteisFabrica2Turnos(B1762,C1762), "")</f>
        <v>0</v>
      </c>
      <c r="E1762" s="478" t="str">
        <f t="shared" si="27"/>
        <v/>
      </c>
      <c r="F1762" s="266"/>
      <c r="G1762" s="656"/>
      <c r="H1762" s="479"/>
      <c r="I1762" s="268"/>
      <c r="J1762" s="268"/>
      <c r="K1762" s="268"/>
      <c r="L1762" s="269"/>
      <c r="M1762" s="511" t="str">
        <f>IFERROR(INDEX([1]Produtos!$C:$C,MATCH(L1762,[1]Produtos!$B:$B,0)), "-")</f>
        <v>-</v>
      </c>
      <c r="N1762" s="511" t="str">
        <f>IFERROR(INDEX([1]Produtos!$E:$E,MATCH(L1762,[1]Produtos!$B:$B,0)), "-")</f>
        <v>-</v>
      </c>
      <c r="O1762" s="483" t="str">
        <f>IFERROR(INDEX([1]Produtos!$F:$F,MATCH(L1762,[1]Produtos!$B:$B,0)), "-")</f>
        <v>-</v>
      </c>
      <c r="P1762" s="477" t="str">
        <f>IFERROR(INDEX([1]Produtos!$G:$G,MATCH(L1762,[1]Produtos!$B:$B,0)), "-")</f>
        <v>-</v>
      </c>
      <c r="Q1762" s="483" t="str">
        <f>IFERROR(INDEX([1]Produtos!$H:$H,MATCH(L1762,[1]Produtos!$B:$B,0)), "-")</f>
        <v>-</v>
      </c>
      <c r="R1762" s="483" t="str">
        <f>IFERROR(INDEX([1]Produtos!$I:$I,MATCH(L1762,[1]Produtos!$B:$B,0)), "-")</f>
        <v>-</v>
      </c>
      <c r="S1762" s="483" t="str">
        <f>IFERROR(INDEX([1]Produtos!$J:$J,MATCH(L1762,[1]Produtos!$B:$B,0)), "-")</f>
        <v>-</v>
      </c>
      <c r="T1762" s="484"/>
      <c r="U1762" s="483"/>
      <c r="V1762" s="483"/>
      <c r="W1762" s="483"/>
      <c r="X1762" s="483"/>
      <c r="Y1762" s="483"/>
      <c r="Z1762" s="483"/>
      <c r="AA1762" s="483"/>
      <c r="AB1762" s="483"/>
      <c r="AC1762" s="483"/>
      <c r="AD1762" s="483"/>
      <c r="AE1762" s="483"/>
      <c r="AF1762" s="483"/>
      <c r="AG1762" s="483"/>
      <c r="AH1762" s="483"/>
      <c r="AI1762" s="483"/>
      <c r="AJ1762" s="483"/>
      <c r="AK1762" s="483"/>
      <c r="AL1762" s="483"/>
      <c r="AM1762" s="670"/>
      <c r="AN1762" s="670"/>
      <c r="AO1762" s="711" t="str">
        <f>IF(OR(Table1[[#This Row],[Início Setup Envase]]="",Table1[[#This Row],[Final Setup Envase]]=""),"",Table1[[#This Row],[Final Setup Envase]]-Table1[[#This Row],[Início Setup Envase]])</f>
        <v/>
      </c>
      <c r="AP1762" s="670"/>
      <c r="AQ1762" s="670"/>
      <c r="AR1762" s="483"/>
      <c r="AS1762" s="483"/>
      <c r="AT1762" s="483"/>
      <c r="AU1762" s="483"/>
      <c r="AV1762" s="483"/>
      <c r="AW1762" s="483"/>
      <c r="AX1762" s="483"/>
      <c r="AY1762" s="270"/>
      <c r="AZ1762" s="270"/>
      <c r="BA1762" s="270" t="str">
        <f>IF(Table1[[#This Row],[Data de Início]]="","",YEAR(Table1[[#This Row],[Data de Início]]))</f>
        <v/>
      </c>
      <c r="BB1762" s="270" t="str">
        <f>IF(Table1[[#This Row],[Data de Início]]="","",MONTH(Table1[[#This Row],[Data de Início]]))</f>
        <v/>
      </c>
      <c r="BC1762" s="270"/>
    </row>
    <row r="1763" spans="2:55" x14ac:dyDescent="0.25">
      <c r="B1763" s="470"/>
      <c r="C1763" s="263"/>
      <c r="D1763" s="477" cm="1">
        <f t="array" ref="D1763">IFERROR(HorasUteisFabrica2Turnos(B1763,C1763), "")</f>
        <v>0</v>
      </c>
      <c r="E1763" s="697" t="str">
        <f t="shared" si="27"/>
        <v/>
      </c>
      <c r="F1763" s="266"/>
      <c r="G1763" s="698"/>
      <c r="H1763" s="266"/>
      <c r="I1763" s="268"/>
      <c r="J1763" s="268"/>
      <c r="K1763" s="268"/>
      <c r="L1763" s="269"/>
      <c r="M1763" s="510" t="str">
        <f>IFERROR(INDEX([1]Produtos!$C:$C,MATCH(L1763,[1]Produtos!$B:$B,0)), "-")</f>
        <v>-</v>
      </c>
      <c r="N1763" s="510" t="str">
        <f>IFERROR(INDEX([1]Produtos!$E:$E,MATCH(L1763,[1]Produtos!$B:$B,0)), "-")</f>
        <v>-</v>
      </c>
      <c r="O1763" s="270" t="str">
        <f>IFERROR(INDEX([1]Produtos!$F:$F,MATCH(L1763,[1]Produtos!$B:$B,0)), "-")</f>
        <v>-</v>
      </c>
      <c r="P1763" s="264" t="str">
        <f>IFERROR(INDEX([1]Produtos!$G:$G,MATCH(L1763,[1]Produtos!$B:$B,0)), "-")</f>
        <v>-</v>
      </c>
      <c r="Q1763" s="270" t="str">
        <f>IFERROR(INDEX([1]Produtos!$H:$H,MATCH(L1763,[1]Produtos!$B:$B,0)), "-")</f>
        <v>-</v>
      </c>
      <c r="R1763" s="270" t="str">
        <f>IFERROR(INDEX([1]Produtos!$I:$I,MATCH(L1763,[1]Produtos!$B:$B,0)), "-")</f>
        <v>-</v>
      </c>
      <c r="S1763" s="270" t="str">
        <f>IFERROR(INDEX([1]Produtos!$J:$J,MATCH(L1763,[1]Produtos!$B:$B,0)), "-")</f>
        <v>-</v>
      </c>
      <c r="T1763" s="475"/>
      <c r="U1763" s="270"/>
      <c r="V1763" s="270"/>
      <c r="W1763" s="270"/>
      <c r="X1763" s="270"/>
      <c r="Y1763" s="270"/>
      <c r="Z1763" s="270"/>
      <c r="AA1763" s="270"/>
      <c r="AB1763" s="270"/>
      <c r="AC1763" s="270"/>
      <c r="AD1763" s="270"/>
      <c r="AE1763" s="270"/>
      <c r="AF1763" s="270"/>
      <c r="AG1763" s="270"/>
      <c r="AH1763" s="270"/>
      <c r="AI1763" s="270"/>
      <c r="AJ1763" s="270"/>
      <c r="AK1763" s="270"/>
      <c r="AL1763" s="270"/>
      <c r="AM1763" s="663"/>
      <c r="AN1763" s="663"/>
      <c r="AO1763" s="708" t="str">
        <f>IF(OR(Table1[[#This Row],[Início Setup Envase]]="",Table1[[#This Row],[Final Setup Envase]]=""),"",Table1[[#This Row],[Final Setup Envase]]-Table1[[#This Row],[Início Setup Envase]])</f>
        <v/>
      </c>
      <c r="AP1763" s="663"/>
      <c r="AQ1763" s="663"/>
      <c r="AR1763" s="270"/>
      <c r="AS1763" s="674"/>
      <c r="AT1763" s="674"/>
      <c r="AU1763" s="270"/>
      <c r="AV1763" s="270"/>
      <c r="AW1763" s="270"/>
      <c r="AX1763" s="270"/>
      <c r="AY1763" s="270"/>
      <c r="AZ1763" s="270"/>
      <c r="BA1763" s="270" t="str">
        <f>IF(Table1[[#This Row],[Data de Início]]="","",YEAR(Table1[[#This Row],[Data de Início]]))</f>
        <v/>
      </c>
      <c r="BB1763" s="270" t="str">
        <f>IF(Table1[[#This Row],[Data de Início]]="","",MONTH(Table1[[#This Row],[Data de Início]]))</f>
        <v/>
      </c>
      <c r="BC1763" s="483"/>
    </row>
    <row r="1764" spans="2:55" x14ac:dyDescent="0.25">
      <c r="B1764" s="470"/>
      <c r="C1764" s="263"/>
      <c r="D1764" s="477" cm="1">
        <f t="array" ref="D1764">IFERROR(HorasUteisFabrica2Turnos(B1764,C1764), "")</f>
        <v>0</v>
      </c>
      <c r="E1764" s="478" t="str">
        <f t="shared" si="27"/>
        <v/>
      </c>
      <c r="F1764" s="266"/>
      <c r="G1764" s="656"/>
      <c r="H1764" s="479"/>
      <c r="I1764" s="268"/>
      <c r="J1764" s="268"/>
      <c r="K1764" s="268"/>
      <c r="L1764" s="269"/>
      <c r="M1764" s="511" t="str">
        <f>IFERROR(INDEX([1]Produtos!$C:$C,MATCH(L1764,[1]Produtos!$B:$B,0)), "-")</f>
        <v>-</v>
      </c>
      <c r="N1764" s="511" t="str">
        <f>IFERROR(INDEX([1]Produtos!$E:$E,MATCH(L1764,[1]Produtos!$B:$B,0)), "-")</f>
        <v>-</v>
      </c>
      <c r="O1764" s="483" t="str">
        <f>IFERROR(INDEX([1]Produtos!$F:$F,MATCH(L1764,[1]Produtos!$B:$B,0)), "-")</f>
        <v>-</v>
      </c>
      <c r="P1764" s="477" t="str">
        <f>IFERROR(INDEX([1]Produtos!$G:$G,MATCH(L1764,[1]Produtos!$B:$B,0)), "-")</f>
        <v>-</v>
      </c>
      <c r="Q1764" s="483" t="str">
        <f>IFERROR(INDEX([1]Produtos!$H:$H,MATCH(L1764,[1]Produtos!$B:$B,0)), "-")</f>
        <v>-</v>
      </c>
      <c r="R1764" s="483" t="str">
        <f>IFERROR(INDEX([1]Produtos!$I:$I,MATCH(L1764,[1]Produtos!$B:$B,0)), "-")</f>
        <v>-</v>
      </c>
      <c r="S1764" s="483" t="str">
        <f>IFERROR(INDEX([1]Produtos!$J:$J,MATCH(L1764,[1]Produtos!$B:$B,0)), "-")</f>
        <v>-</v>
      </c>
      <c r="T1764" s="484"/>
      <c r="U1764" s="483"/>
      <c r="V1764" s="483"/>
      <c r="W1764" s="483"/>
      <c r="X1764" s="483"/>
      <c r="Y1764" s="483"/>
      <c r="Z1764" s="483"/>
      <c r="AA1764" s="483"/>
      <c r="AB1764" s="483"/>
      <c r="AC1764" s="483"/>
      <c r="AD1764" s="483"/>
      <c r="AE1764" s="483"/>
      <c r="AF1764" s="483"/>
      <c r="AG1764" s="483"/>
      <c r="AH1764" s="483"/>
      <c r="AI1764" s="483"/>
      <c r="AJ1764" s="483"/>
      <c r="AK1764" s="483"/>
      <c r="AL1764" s="483"/>
      <c r="AM1764" s="670"/>
      <c r="AN1764" s="670"/>
      <c r="AO1764" s="711" t="str">
        <f>IF(OR(Table1[[#This Row],[Início Setup Envase]]="",Table1[[#This Row],[Final Setup Envase]]=""),"",Table1[[#This Row],[Final Setup Envase]]-Table1[[#This Row],[Início Setup Envase]])</f>
        <v/>
      </c>
      <c r="AP1764" s="670"/>
      <c r="AQ1764" s="670"/>
      <c r="AR1764" s="483"/>
      <c r="AS1764" s="483"/>
      <c r="AT1764" s="483"/>
      <c r="AU1764" s="483"/>
      <c r="AV1764" s="483"/>
      <c r="AW1764" s="483"/>
      <c r="AX1764" s="483"/>
      <c r="AY1764" s="270"/>
      <c r="AZ1764" s="270"/>
      <c r="BA1764" s="270" t="str">
        <f>IF(Table1[[#This Row],[Data de Início]]="","",YEAR(Table1[[#This Row],[Data de Início]]))</f>
        <v/>
      </c>
      <c r="BB1764" s="270" t="str">
        <f>IF(Table1[[#This Row],[Data de Início]]="","",MONTH(Table1[[#This Row],[Data de Início]]))</f>
        <v/>
      </c>
      <c r="BC1764" s="270"/>
    </row>
    <row r="1765" spans="2:55" x14ac:dyDescent="0.25">
      <c r="B1765" s="470"/>
      <c r="C1765" s="263"/>
      <c r="D1765" s="477" cm="1">
        <f t="array" ref="D1765">IFERROR(HorasUteisFabrica2Turnos(B1765,C1765), "")</f>
        <v>0</v>
      </c>
      <c r="E1765" s="697" t="str">
        <f t="shared" ref="E1765:E1828" si="28">IFERROR(K1765/D1765, "")</f>
        <v/>
      </c>
      <c r="F1765" s="266"/>
      <c r="G1765" s="698"/>
      <c r="H1765" s="266"/>
      <c r="I1765" s="268"/>
      <c r="J1765" s="268"/>
      <c r="K1765" s="268"/>
      <c r="L1765" s="269"/>
      <c r="M1765" s="510" t="str">
        <f>IFERROR(INDEX([1]Produtos!$C:$C,MATCH(L1765,[1]Produtos!$B:$B,0)), "-")</f>
        <v>-</v>
      </c>
      <c r="N1765" s="510" t="str">
        <f>IFERROR(INDEX([1]Produtos!$E:$E,MATCH(L1765,[1]Produtos!$B:$B,0)), "-")</f>
        <v>-</v>
      </c>
      <c r="O1765" s="270" t="str">
        <f>IFERROR(INDEX([1]Produtos!$F:$F,MATCH(L1765,[1]Produtos!$B:$B,0)), "-")</f>
        <v>-</v>
      </c>
      <c r="P1765" s="264" t="str">
        <f>IFERROR(INDEX([1]Produtos!$G:$G,MATCH(L1765,[1]Produtos!$B:$B,0)), "-")</f>
        <v>-</v>
      </c>
      <c r="Q1765" s="270" t="str">
        <f>IFERROR(INDEX([1]Produtos!$H:$H,MATCH(L1765,[1]Produtos!$B:$B,0)), "-")</f>
        <v>-</v>
      </c>
      <c r="R1765" s="270" t="str">
        <f>IFERROR(INDEX([1]Produtos!$I:$I,MATCH(L1765,[1]Produtos!$B:$B,0)), "-")</f>
        <v>-</v>
      </c>
      <c r="S1765" s="270" t="str">
        <f>IFERROR(INDEX([1]Produtos!$J:$J,MATCH(L1765,[1]Produtos!$B:$B,0)), "-")</f>
        <v>-</v>
      </c>
      <c r="T1765" s="475"/>
      <c r="U1765" s="270"/>
      <c r="V1765" s="270"/>
      <c r="W1765" s="270"/>
      <c r="X1765" s="270"/>
      <c r="Y1765" s="270"/>
      <c r="Z1765" s="270"/>
      <c r="AA1765" s="270"/>
      <c r="AB1765" s="270"/>
      <c r="AC1765" s="270"/>
      <c r="AD1765" s="270"/>
      <c r="AE1765" s="270"/>
      <c r="AF1765" s="270"/>
      <c r="AG1765" s="270"/>
      <c r="AH1765" s="270"/>
      <c r="AI1765" s="270"/>
      <c r="AJ1765" s="270"/>
      <c r="AK1765" s="270"/>
      <c r="AL1765" s="270"/>
      <c r="AM1765" s="663"/>
      <c r="AN1765" s="663"/>
      <c r="AO1765" s="708" t="str">
        <f>IF(OR(Table1[[#This Row],[Início Setup Envase]]="",Table1[[#This Row],[Final Setup Envase]]=""),"",Table1[[#This Row],[Final Setup Envase]]-Table1[[#This Row],[Início Setup Envase]])</f>
        <v/>
      </c>
      <c r="AP1765" s="663"/>
      <c r="AQ1765" s="663"/>
      <c r="AR1765" s="270"/>
      <c r="AS1765" s="674"/>
      <c r="AT1765" s="674"/>
      <c r="AU1765" s="270"/>
      <c r="AV1765" s="270"/>
      <c r="AW1765" s="270"/>
      <c r="AX1765" s="270"/>
      <c r="AY1765" s="270"/>
      <c r="AZ1765" s="270"/>
      <c r="BA1765" s="270" t="str">
        <f>IF(Table1[[#This Row],[Data de Início]]="","",YEAR(Table1[[#This Row],[Data de Início]]))</f>
        <v/>
      </c>
      <c r="BB1765" s="270" t="str">
        <f>IF(Table1[[#This Row],[Data de Início]]="","",MONTH(Table1[[#This Row],[Data de Início]]))</f>
        <v/>
      </c>
      <c r="BC1765" s="483"/>
    </row>
    <row r="1766" spans="2:55" x14ac:dyDescent="0.25">
      <c r="B1766" s="470"/>
      <c r="C1766" s="263"/>
      <c r="D1766" s="477" cm="1">
        <f t="array" ref="D1766">IFERROR(HorasUteisFabrica2Turnos(B1766,C1766), "")</f>
        <v>0</v>
      </c>
      <c r="E1766" s="478" t="str">
        <f t="shared" si="28"/>
        <v/>
      </c>
      <c r="F1766" s="266"/>
      <c r="G1766" s="656"/>
      <c r="H1766" s="479"/>
      <c r="I1766" s="268"/>
      <c r="J1766" s="268"/>
      <c r="K1766" s="268"/>
      <c r="L1766" s="269"/>
      <c r="M1766" s="511" t="str">
        <f>IFERROR(INDEX([1]Produtos!$C:$C,MATCH(L1766,[1]Produtos!$B:$B,0)), "-")</f>
        <v>-</v>
      </c>
      <c r="N1766" s="511" t="str">
        <f>IFERROR(INDEX([1]Produtos!$E:$E,MATCH(L1766,[1]Produtos!$B:$B,0)), "-")</f>
        <v>-</v>
      </c>
      <c r="O1766" s="483" t="str">
        <f>IFERROR(INDEX([1]Produtos!$F:$F,MATCH(L1766,[1]Produtos!$B:$B,0)), "-")</f>
        <v>-</v>
      </c>
      <c r="P1766" s="477" t="str">
        <f>IFERROR(INDEX([1]Produtos!$G:$G,MATCH(L1766,[1]Produtos!$B:$B,0)), "-")</f>
        <v>-</v>
      </c>
      <c r="Q1766" s="483" t="str">
        <f>IFERROR(INDEX([1]Produtos!$H:$H,MATCH(L1766,[1]Produtos!$B:$B,0)), "-")</f>
        <v>-</v>
      </c>
      <c r="R1766" s="483" t="str">
        <f>IFERROR(INDEX([1]Produtos!$I:$I,MATCH(L1766,[1]Produtos!$B:$B,0)), "-")</f>
        <v>-</v>
      </c>
      <c r="S1766" s="483" t="str">
        <f>IFERROR(INDEX([1]Produtos!$J:$J,MATCH(L1766,[1]Produtos!$B:$B,0)), "-")</f>
        <v>-</v>
      </c>
      <c r="T1766" s="484"/>
      <c r="U1766" s="483"/>
      <c r="V1766" s="483"/>
      <c r="W1766" s="483"/>
      <c r="X1766" s="483"/>
      <c r="Y1766" s="483"/>
      <c r="Z1766" s="483"/>
      <c r="AA1766" s="483"/>
      <c r="AB1766" s="483"/>
      <c r="AC1766" s="483"/>
      <c r="AD1766" s="483"/>
      <c r="AE1766" s="483"/>
      <c r="AF1766" s="483"/>
      <c r="AG1766" s="483"/>
      <c r="AH1766" s="483"/>
      <c r="AI1766" s="483"/>
      <c r="AJ1766" s="483"/>
      <c r="AK1766" s="483"/>
      <c r="AL1766" s="483"/>
      <c r="AM1766" s="670"/>
      <c r="AN1766" s="670"/>
      <c r="AO1766" s="711" t="str">
        <f>IF(OR(Table1[[#This Row],[Início Setup Envase]]="",Table1[[#This Row],[Final Setup Envase]]=""),"",Table1[[#This Row],[Final Setup Envase]]-Table1[[#This Row],[Início Setup Envase]])</f>
        <v/>
      </c>
      <c r="AP1766" s="670"/>
      <c r="AQ1766" s="670"/>
      <c r="AR1766" s="483"/>
      <c r="AS1766" s="483"/>
      <c r="AT1766" s="483"/>
      <c r="AU1766" s="483"/>
      <c r="AV1766" s="483"/>
      <c r="AW1766" s="483"/>
      <c r="AX1766" s="483"/>
      <c r="AY1766" s="270"/>
      <c r="AZ1766" s="270"/>
      <c r="BA1766" s="270" t="str">
        <f>IF(Table1[[#This Row],[Data de Início]]="","",YEAR(Table1[[#This Row],[Data de Início]]))</f>
        <v/>
      </c>
      <c r="BB1766" s="270" t="str">
        <f>IF(Table1[[#This Row],[Data de Início]]="","",MONTH(Table1[[#This Row],[Data de Início]]))</f>
        <v/>
      </c>
      <c r="BC1766" s="270"/>
    </row>
    <row r="1767" spans="2:55" x14ac:dyDescent="0.25">
      <c r="B1767" s="470"/>
      <c r="C1767" s="263"/>
      <c r="D1767" s="477" cm="1">
        <f t="array" ref="D1767">IFERROR(HorasUteisFabrica2Turnos(B1767,C1767), "")</f>
        <v>0</v>
      </c>
      <c r="E1767" s="697" t="str">
        <f t="shared" si="28"/>
        <v/>
      </c>
      <c r="F1767" s="266"/>
      <c r="G1767" s="698"/>
      <c r="H1767" s="266"/>
      <c r="I1767" s="268"/>
      <c r="J1767" s="268"/>
      <c r="K1767" s="268"/>
      <c r="L1767" s="269"/>
      <c r="M1767" s="510" t="str">
        <f>IFERROR(INDEX([1]Produtos!$C:$C,MATCH(L1767,[1]Produtos!$B:$B,0)), "-")</f>
        <v>-</v>
      </c>
      <c r="N1767" s="510" t="str">
        <f>IFERROR(INDEX([1]Produtos!$E:$E,MATCH(L1767,[1]Produtos!$B:$B,0)), "-")</f>
        <v>-</v>
      </c>
      <c r="O1767" s="270" t="str">
        <f>IFERROR(INDEX([1]Produtos!$F:$F,MATCH(L1767,[1]Produtos!$B:$B,0)), "-")</f>
        <v>-</v>
      </c>
      <c r="P1767" s="264" t="str">
        <f>IFERROR(INDEX([1]Produtos!$G:$G,MATCH(L1767,[1]Produtos!$B:$B,0)), "-")</f>
        <v>-</v>
      </c>
      <c r="Q1767" s="270" t="str">
        <f>IFERROR(INDEX([1]Produtos!$H:$H,MATCH(L1767,[1]Produtos!$B:$B,0)), "-")</f>
        <v>-</v>
      </c>
      <c r="R1767" s="270" t="str">
        <f>IFERROR(INDEX([1]Produtos!$I:$I,MATCH(L1767,[1]Produtos!$B:$B,0)), "-")</f>
        <v>-</v>
      </c>
      <c r="S1767" s="270" t="str">
        <f>IFERROR(INDEX([1]Produtos!$J:$J,MATCH(L1767,[1]Produtos!$B:$B,0)), "-")</f>
        <v>-</v>
      </c>
      <c r="T1767" s="475"/>
      <c r="U1767" s="270"/>
      <c r="V1767" s="270"/>
      <c r="W1767" s="270"/>
      <c r="X1767" s="270"/>
      <c r="Y1767" s="270"/>
      <c r="Z1767" s="270"/>
      <c r="AA1767" s="270"/>
      <c r="AB1767" s="270"/>
      <c r="AC1767" s="270"/>
      <c r="AD1767" s="270"/>
      <c r="AE1767" s="270"/>
      <c r="AF1767" s="270"/>
      <c r="AG1767" s="270"/>
      <c r="AH1767" s="270"/>
      <c r="AI1767" s="270"/>
      <c r="AJ1767" s="270"/>
      <c r="AK1767" s="270"/>
      <c r="AL1767" s="270"/>
      <c r="AM1767" s="663"/>
      <c r="AN1767" s="663"/>
      <c r="AO1767" s="708" t="str">
        <f>IF(OR(Table1[[#This Row],[Início Setup Envase]]="",Table1[[#This Row],[Final Setup Envase]]=""),"",Table1[[#This Row],[Final Setup Envase]]-Table1[[#This Row],[Início Setup Envase]])</f>
        <v/>
      </c>
      <c r="AP1767" s="663"/>
      <c r="AQ1767" s="663"/>
      <c r="AR1767" s="270"/>
      <c r="AS1767" s="674"/>
      <c r="AT1767" s="674"/>
      <c r="AU1767" s="270"/>
      <c r="AV1767" s="270"/>
      <c r="AW1767" s="270"/>
      <c r="AX1767" s="270"/>
      <c r="AY1767" s="270"/>
      <c r="AZ1767" s="270"/>
      <c r="BA1767" s="270" t="str">
        <f>IF(Table1[[#This Row],[Data de Início]]="","",YEAR(Table1[[#This Row],[Data de Início]]))</f>
        <v/>
      </c>
      <c r="BB1767" s="270" t="str">
        <f>IF(Table1[[#This Row],[Data de Início]]="","",MONTH(Table1[[#This Row],[Data de Início]]))</f>
        <v/>
      </c>
      <c r="BC1767" s="483"/>
    </row>
    <row r="1768" spans="2:55" x14ac:dyDescent="0.25">
      <c r="B1768" s="470"/>
      <c r="C1768" s="263"/>
      <c r="D1768" s="477" cm="1">
        <f t="array" ref="D1768">IFERROR(HorasUteisFabrica2Turnos(B1768,C1768), "")</f>
        <v>0</v>
      </c>
      <c r="E1768" s="478" t="str">
        <f t="shared" si="28"/>
        <v/>
      </c>
      <c r="F1768" s="266"/>
      <c r="G1768" s="656"/>
      <c r="H1768" s="479"/>
      <c r="I1768" s="268"/>
      <c r="J1768" s="268"/>
      <c r="K1768" s="268"/>
      <c r="L1768" s="269"/>
      <c r="M1768" s="511" t="str">
        <f>IFERROR(INDEX([1]Produtos!$C:$C,MATCH(L1768,[1]Produtos!$B:$B,0)), "-")</f>
        <v>-</v>
      </c>
      <c r="N1768" s="511" t="str">
        <f>IFERROR(INDEX([1]Produtos!$E:$E,MATCH(L1768,[1]Produtos!$B:$B,0)), "-")</f>
        <v>-</v>
      </c>
      <c r="O1768" s="483" t="str">
        <f>IFERROR(INDEX([1]Produtos!$F:$F,MATCH(L1768,[1]Produtos!$B:$B,0)), "-")</f>
        <v>-</v>
      </c>
      <c r="P1768" s="477" t="str">
        <f>IFERROR(INDEX([1]Produtos!$G:$G,MATCH(L1768,[1]Produtos!$B:$B,0)), "-")</f>
        <v>-</v>
      </c>
      <c r="Q1768" s="483" t="str">
        <f>IFERROR(INDEX([1]Produtos!$H:$H,MATCH(L1768,[1]Produtos!$B:$B,0)), "-")</f>
        <v>-</v>
      </c>
      <c r="R1768" s="483" t="str">
        <f>IFERROR(INDEX([1]Produtos!$I:$I,MATCH(L1768,[1]Produtos!$B:$B,0)), "-")</f>
        <v>-</v>
      </c>
      <c r="S1768" s="483" t="str">
        <f>IFERROR(INDEX([1]Produtos!$J:$J,MATCH(L1768,[1]Produtos!$B:$B,0)), "-")</f>
        <v>-</v>
      </c>
      <c r="T1768" s="484"/>
      <c r="U1768" s="483"/>
      <c r="V1768" s="483"/>
      <c r="W1768" s="483"/>
      <c r="X1768" s="483"/>
      <c r="Y1768" s="483"/>
      <c r="Z1768" s="483"/>
      <c r="AA1768" s="483"/>
      <c r="AB1768" s="483"/>
      <c r="AC1768" s="483"/>
      <c r="AD1768" s="483"/>
      <c r="AE1768" s="483"/>
      <c r="AF1768" s="483"/>
      <c r="AG1768" s="483"/>
      <c r="AH1768" s="483"/>
      <c r="AI1768" s="483"/>
      <c r="AJ1768" s="483"/>
      <c r="AK1768" s="483"/>
      <c r="AL1768" s="483"/>
      <c r="AM1768" s="670"/>
      <c r="AN1768" s="670"/>
      <c r="AO1768" s="711" t="str">
        <f>IF(OR(Table1[[#This Row],[Início Setup Envase]]="",Table1[[#This Row],[Final Setup Envase]]=""),"",Table1[[#This Row],[Final Setup Envase]]-Table1[[#This Row],[Início Setup Envase]])</f>
        <v/>
      </c>
      <c r="AP1768" s="670"/>
      <c r="AQ1768" s="670"/>
      <c r="AR1768" s="483"/>
      <c r="AS1768" s="483"/>
      <c r="AT1768" s="483"/>
      <c r="AU1768" s="483"/>
      <c r="AV1768" s="483"/>
      <c r="AW1768" s="483"/>
      <c r="AX1768" s="483"/>
      <c r="AY1768" s="270"/>
      <c r="AZ1768" s="270"/>
      <c r="BA1768" s="270" t="str">
        <f>IF(Table1[[#This Row],[Data de Início]]="","",YEAR(Table1[[#This Row],[Data de Início]]))</f>
        <v/>
      </c>
      <c r="BB1768" s="270" t="str">
        <f>IF(Table1[[#This Row],[Data de Início]]="","",MONTH(Table1[[#This Row],[Data de Início]]))</f>
        <v/>
      </c>
      <c r="BC1768" s="270"/>
    </row>
    <row r="1769" spans="2:55" x14ac:dyDescent="0.25">
      <c r="B1769" s="470"/>
      <c r="C1769" s="263"/>
      <c r="D1769" s="477" cm="1">
        <f t="array" ref="D1769">IFERROR(HorasUteisFabrica2Turnos(B1769,C1769), "")</f>
        <v>0</v>
      </c>
      <c r="E1769" s="697" t="str">
        <f t="shared" si="28"/>
        <v/>
      </c>
      <c r="F1769" s="266"/>
      <c r="G1769" s="698"/>
      <c r="H1769" s="266"/>
      <c r="I1769" s="268"/>
      <c r="J1769" s="268"/>
      <c r="K1769" s="268"/>
      <c r="L1769" s="269"/>
      <c r="M1769" s="510" t="str">
        <f>IFERROR(INDEX([1]Produtos!$C:$C,MATCH(L1769,[1]Produtos!$B:$B,0)), "-")</f>
        <v>-</v>
      </c>
      <c r="N1769" s="510" t="str">
        <f>IFERROR(INDEX([1]Produtos!$E:$E,MATCH(L1769,[1]Produtos!$B:$B,0)), "-")</f>
        <v>-</v>
      </c>
      <c r="O1769" s="270" t="str">
        <f>IFERROR(INDEX([1]Produtos!$F:$F,MATCH(L1769,[1]Produtos!$B:$B,0)), "-")</f>
        <v>-</v>
      </c>
      <c r="P1769" s="264" t="str">
        <f>IFERROR(INDEX([1]Produtos!$G:$G,MATCH(L1769,[1]Produtos!$B:$B,0)), "-")</f>
        <v>-</v>
      </c>
      <c r="Q1769" s="270" t="str">
        <f>IFERROR(INDEX([1]Produtos!$H:$H,MATCH(L1769,[1]Produtos!$B:$B,0)), "-")</f>
        <v>-</v>
      </c>
      <c r="R1769" s="270" t="str">
        <f>IFERROR(INDEX([1]Produtos!$I:$I,MATCH(L1769,[1]Produtos!$B:$B,0)), "-")</f>
        <v>-</v>
      </c>
      <c r="S1769" s="270" t="str">
        <f>IFERROR(INDEX([1]Produtos!$J:$J,MATCH(L1769,[1]Produtos!$B:$B,0)), "-")</f>
        <v>-</v>
      </c>
      <c r="T1769" s="475"/>
      <c r="U1769" s="270"/>
      <c r="V1769" s="270"/>
      <c r="W1769" s="270"/>
      <c r="X1769" s="270"/>
      <c r="Y1769" s="270"/>
      <c r="Z1769" s="270"/>
      <c r="AA1769" s="270"/>
      <c r="AB1769" s="270"/>
      <c r="AC1769" s="270"/>
      <c r="AD1769" s="270"/>
      <c r="AE1769" s="270"/>
      <c r="AF1769" s="270"/>
      <c r="AG1769" s="270"/>
      <c r="AH1769" s="270"/>
      <c r="AI1769" s="270"/>
      <c r="AJ1769" s="270"/>
      <c r="AK1769" s="270"/>
      <c r="AL1769" s="270"/>
      <c r="AM1769" s="663"/>
      <c r="AN1769" s="663"/>
      <c r="AO1769" s="708" t="str">
        <f>IF(OR(Table1[[#This Row],[Início Setup Envase]]="",Table1[[#This Row],[Final Setup Envase]]=""),"",Table1[[#This Row],[Final Setup Envase]]-Table1[[#This Row],[Início Setup Envase]])</f>
        <v/>
      </c>
      <c r="AP1769" s="663"/>
      <c r="AQ1769" s="663"/>
      <c r="AR1769" s="270"/>
      <c r="AS1769" s="674"/>
      <c r="AT1769" s="674"/>
      <c r="AU1769" s="270"/>
      <c r="AV1769" s="270"/>
      <c r="AW1769" s="270"/>
      <c r="AX1769" s="270"/>
      <c r="AY1769" s="270"/>
      <c r="AZ1769" s="270"/>
      <c r="BA1769" s="270" t="str">
        <f>IF(Table1[[#This Row],[Data de Início]]="","",YEAR(Table1[[#This Row],[Data de Início]]))</f>
        <v/>
      </c>
      <c r="BB1769" s="270" t="str">
        <f>IF(Table1[[#This Row],[Data de Início]]="","",MONTH(Table1[[#This Row],[Data de Início]]))</f>
        <v/>
      </c>
      <c r="BC1769" s="483"/>
    </row>
    <row r="1770" spans="2:55" x14ac:dyDescent="0.25">
      <c r="B1770" s="470"/>
      <c r="C1770" s="263"/>
      <c r="D1770" s="477" cm="1">
        <f t="array" ref="D1770">IFERROR(HorasUteisFabrica2Turnos(B1770,C1770), "")</f>
        <v>0</v>
      </c>
      <c r="E1770" s="478" t="str">
        <f t="shared" si="28"/>
        <v/>
      </c>
      <c r="F1770" s="266"/>
      <c r="G1770" s="656"/>
      <c r="H1770" s="479"/>
      <c r="I1770" s="268"/>
      <c r="J1770" s="268"/>
      <c r="K1770" s="268"/>
      <c r="L1770" s="269"/>
      <c r="M1770" s="511" t="str">
        <f>IFERROR(INDEX([1]Produtos!$C:$C,MATCH(L1770,[1]Produtos!$B:$B,0)), "-")</f>
        <v>-</v>
      </c>
      <c r="N1770" s="511" t="str">
        <f>IFERROR(INDEX([1]Produtos!$E:$E,MATCH(L1770,[1]Produtos!$B:$B,0)), "-")</f>
        <v>-</v>
      </c>
      <c r="O1770" s="483" t="str">
        <f>IFERROR(INDEX([1]Produtos!$F:$F,MATCH(L1770,[1]Produtos!$B:$B,0)), "-")</f>
        <v>-</v>
      </c>
      <c r="P1770" s="477" t="str">
        <f>IFERROR(INDEX([1]Produtos!$G:$G,MATCH(L1770,[1]Produtos!$B:$B,0)), "-")</f>
        <v>-</v>
      </c>
      <c r="Q1770" s="483" t="str">
        <f>IFERROR(INDEX([1]Produtos!$H:$H,MATCH(L1770,[1]Produtos!$B:$B,0)), "-")</f>
        <v>-</v>
      </c>
      <c r="R1770" s="483" t="str">
        <f>IFERROR(INDEX([1]Produtos!$I:$I,MATCH(L1770,[1]Produtos!$B:$B,0)), "-")</f>
        <v>-</v>
      </c>
      <c r="S1770" s="483" t="str">
        <f>IFERROR(INDEX([1]Produtos!$J:$J,MATCH(L1770,[1]Produtos!$B:$B,0)), "-")</f>
        <v>-</v>
      </c>
      <c r="T1770" s="484"/>
      <c r="U1770" s="483"/>
      <c r="V1770" s="483"/>
      <c r="W1770" s="483"/>
      <c r="X1770" s="483"/>
      <c r="Y1770" s="483"/>
      <c r="Z1770" s="483"/>
      <c r="AA1770" s="483"/>
      <c r="AB1770" s="483"/>
      <c r="AC1770" s="483"/>
      <c r="AD1770" s="483"/>
      <c r="AE1770" s="483"/>
      <c r="AF1770" s="483"/>
      <c r="AG1770" s="483"/>
      <c r="AH1770" s="483"/>
      <c r="AI1770" s="483"/>
      <c r="AJ1770" s="483"/>
      <c r="AK1770" s="483"/>
      <c r="AL1770" s="483"/>
      <c r="AM1770" s="670"/>
      <c r="AN1770" s="670"/>
      <c r="AO1770" s="711" t="str">
        <f>IF(OR(Table1[[#This Row],[Início Setup Envase]]="",Table1[[#This Row],[Final Setup Envase]]=""),"",Table1[[#This Row],[Final Setup Envase]]-Table1[[#This Row],[Início Setup Envase]])</f>
        <v/>
      </c>
      <c r="AP1770" s="670"/>
      <c r="AQ1770" s="670"/>
      <c r="AR1770" s="483"/>
      <c r="AS1770" s="483"/>
      <c r="AT1770" s="483"/>
      <c r="AU1770" s="483"/>
      <c r="AV1770" s="483"/>
      <c r="AW1770" s="483"/>
      <c r="AX1770" s="483"/>
      <c r="AY1770" s="270"/>
      <c r="AZ1770" s="270"/>
      <c r="BA1770" s="270" t="str">
        <f>IF(Table1[[#This Row],[Data de Início]]="","",YEAR(Table1[[#This Row],[Data de Início]]))</f>
        <v/>
      </c>
      <c r="BB1770" s="270" t="str">
        <f>IF(Table1[[#This Row],[Data de Início]]="","",MONTH(Table1[[#This Row],[Data de Início]]))</f>
        <v/>
      </c>
      <c r="BC1770" s="270"/>
    </row>
    <row r="1771" spans="2:55" x14ac:dyDescent="0.25">
      <c r="B1771" s="470"/>
      <c r="C1771" s="263"/>
      <c r="D1771" s="477" cm="1">
        <f t="array" ref="D1771">IFERROR(HorasUteisFabrica2Turnos(B1771,C1771), "")</f>
        <v>0</v>
      </c>
      <c r="E1771" s="697" t="str">
        <f t="shared" si="28"/>
        <v/>
      </c>
      <c r="F1771" s="266"/>
      <c r="G1771" s="698"/>
      <c r="H1771" s="266"/>
      <c r="I1771" s="268"/>
      <c r="J1771" s="268"/>
      <c r="K1771" s="268"/>
      <c r="L1771" s="269"/>
      <c r="M1771" s="510" t="str">
        <f>IFERROR(INDEX([1]Produtos!$C:$C,MATCH(L1771,[1]Produtos!$B:$B,0)), "-")</f>
        <v>-</v>
      </c>
      <c r="N1771" s="510" t="str">
        <f>IFERROR(INDEX([1]Produtos!$E:$E,MATCH(L1771,[1]Produtos!$B:$B,0)), "-")</f>
        <v>-</v>
      </c>
      <c r="O1771" s="270" t="str">
        <f>IFERROR(INDEX([1]Produtos!$F:$F,MATCH(L1771,[1]Produtos!$B:$B,0)), "-")</f>
        <v>-</v>
      </c>
      <c r="P1771" s="264" t="str">
        <f>IFERROR(INDEX([1]Produtos!$G:$G,MATCH(L1771,[1]Produtos!$B:$B,0)), "-")</f>
        <v>-</v>
      </c>
      <c r="Q1771" s="270" t="str">
        <f>IFERROR(INDEX([1]Produtos!$H:$H,MATCH(L1771,[1]Produtos!$B:$B,0)), "-")</f>
        <v>-</v>
      </c>
      <c r="R1771" s="270" t="str">
        <f>IFERROR(INDEX([1]Produtos!$I:$I,MATCH(L1771,[1]Produtos!$B:$B,0)), "-")</f>
        <v>-</v>
      </c>
      <c r="S1771" s="270" t="str">
        <f>IFERROR(INDEX([1]Produtos!$J:$J,MATCH(L1771,[1]Produtos!$B:$B,0)), "-")</f>
        <v>-</v>
      </c>
      <c r="T1771" s="475"/>
      <c r="U1771" s="270"/>
      <c r="V1771" s="270"/>
      <c r="W1771" s="270"/>
      <c r="X1771" s="270"/>
      <c r="Y1771" s="270"/>
      <c r="Z1771" s="270"/>
      <c r="AA1771" s="270"/>
      <c r="AB1771" s="270"/>
      <c r="AC1771" s="270"/>
      <c r="AD1771" s="270"/>
      <c r="AE1771" s="270"/>
      <c r="AF1771" s="270"/>
      <c r="AG1771" s="270"/>
      <c r="AH1771" s="270"/>
      <c r="AI1771" s="270"/>
      <c r="AJ1771" s="270"/>
      <c r="AK1771" s="270"/>
      <c r="AL1771" s="270"/>
      <c r="AM1771" s="663"/>
      <c r="AN1771" s="663"/>
      <c r="AO1771" s="708" t="str">
        <f>IF(OR(Table1[[#This Row],[Início Setup Envase]]="",Table1[[#This Row],[Final Setup Envase]]=""),"",Table1[[#This Row],[Final Setup Envase]]-Table1[[#This Row],[Início Setup Envase]])</f>
        <v/>
      </c>
      <c r="AP1771" s="663"/>
      <c r="AQ1771" s="663"/>
      <c r="AR1771" s="270"/>
      <c r="AS1771" s="674"/>
      <c r="AT1771" s="674"/>
      <c r="AU1771" s="270"/>
      <c r="AV1771" s="270"/>
      <c r="AW1771" s="270"/>
      <c r="AX1771" s="270"/>
      <c r="AY1771" s="270"/>
      <c r="AZ1771" s="270"/>
      <c r="BA1771" s="270" t="str">
        <f>IF(Table1[[#This Row],[Data de Início]]="","",YEAR(Table1[[#This Row],[Data de Início]]))</f>
        <v/>
      </c>
      <c r="BB1771" s="270" t="str">
        <f>IF(Table1[[#This Row],[Data de Início]]="","",MONTH(Table1[[#This Row],[Data de Início]]))</f>
        <v/>
      </c>
      <c r="BC1771" s="483"/>
    </row>
    <row r="1772" spans="2:55" x14ac:dyDescent="0.25">
      <c r="B1772" s="470"/>
      <c r="C1772" s="263"/>
      <c r="D1772" s="477" cm="1">
        <f t="array" ref="D1772">IFERROR(HorasUteisFabrica2Turnos(B1772,C1772), "")</f>
        <v>0</v>
      </c>
      <c r="E1772" s="478" t="str">
        <f t="shared" si="28"/>
        <v/>
      </c>
      <c r="F1772" s="266"/>
      <c r="G1772" s="656"/>
      <c r="H1772" s="479"/>
      <c r="I1772" s="268"/>
      <c r="J1772" s="268"/>
      <c r="K1772" s="268"/>
      <c r="L1772" s="269"/>
      <c r="M1772" s="511" t="str">
        <f>IFERROR(INDEX([1]Produtos!$C:$C,MATCH(L1772,[1]Produtos!$B:$B,0)), "-")</f>
        <v>-</v>
      </c>
      <c r="N1772" s="511" t="str">
        <f>IFERROR(INDEX([1]Produtos!$E:$E,MATCH(L1772,[1]Produtos!$B:$B,0)), "-")</f>
        <v>-</v>
      </c>
      <c r="O1772" s="483" t="str">
        <f>IFERROR(INDEX([1]Produtos!$F:$F,MATCH(L1772,[1]Produtos!$B:$B,0)), "-")</f>
        <v>-</v>
      </c>
      <c r="P1772" s="477" t="str">
        <f>IFERROR(INDEX([1]Produtos!$G:$G,MATCH(L1772,[1]Produtos!$B:$B,0)), "-")</f>
        <v>-</v>
      </c>
      <c r="Q1772" s="483" t="str">
        <f>IFERROR(INDEX([1]Produtos!$H:$H,MATCH(L1772,[1]Produtos!$B:$B,0)), "-")</f>
        <v>-</v>
      </c>
      <c r="R1772" s="483" t="str">
        <f>IFERROR(INDEX([1]Produtos!$I:$I,MATCH(L1772,[1]Produtos!$B:$B,0)), "-")</f>
        <v>-</v>
      </c>
      <c r="S1772" s="483" t="str">
        <f>IFERROR(INDEX([1]Produtos!$J:$J,MATCH(L1772,[1]Produtos!$B:$B,0)), "-")</f>
        <v>-</v>
      </c>
      <c r="T1772" s="484"/>
      <c r="U1772" s="483"/>
      <c r="V1772" s="483"/>
      <c r="W1772" s="483"/>
      <c r="X1772" s="483"/>
      <c r="Y1772" s="483"/>
      <c r="Z1772" s="483"/>
      <c r="AA1772" s="483"/>
      <c r="AB1772" s="483"/>
      <c r="AC1772" s="483"/>
      <c r="AD1772" s="483"/>
      <c r="AE1772" s="483"/>
      <c r="AF1772" s="483"/>
      <c r="AG1772" s="483"/>
      <c r="AH1772" s="483"/>
      <c r="AI1772" s="483"/>
      <c r="AJ1772" s="483"/>
      <c r="AK1772" s="483"/>
      <c r="AL1772" s="483"/>
      <c r="AM1772" s="670"/>
      <c r="AN1772" s="670"/>
      <c r="AO1772" s="711" t="str">
        <f>IF(OR(Table1[[#This Row],[Início Setup Envase]]="",Table1[[#This Row],[Final Setup Envase]]=""),"",Table1[[#This Row],[Final Setup Envase]]-Table1[[#This Row],[Início Setup Envase]])</f>
        <v/>
      </c>
      <c r="AP1772" s="670"/>
      <c r="AQ1772" s="670"/>
      <c r="AR1772" s="483"/>
      <c r="AS1772" s="483"/>
      <c r="AT1772" s="483"/>
      <c r="AU1772" s="483"/>
      <c r="AV1772" s="483"/>
      <c r="AW1772" s="483"/>
      <c r="AX1772" s="483"/>
      <c r="AY1772" s="270"/>
      <c r="AZ1772" s="270"/>
      <c r="BA1772" s="270" t="str">
        <f>IF(Table1[[#This Row],[Data de Início]]="","",YEAR(Table1[[#This Row],[Data de Início]]))</f>
        <v/>
      </c>
      <c r="BB1772" s="270" t="str">
        <f>IF(Table1[[#This Row],[Data de Início]]="","",MONTH(Table1[[#This Row],[Data de Início]]))</f>
        <v/>
      </c>
      <c r="BC1772" s="270"/>
    </row>
    <row r="1773" spans="2:55" x14ac:dyDescent="0.25">
      <c r="B1773" s="470"/>
      <c r="C1773" s="263"/>
      <c r="D1773" s="477" cm="1">
        <f t="array" ref="D1773">IFERROR(HorasUteisFabrica2Turnos(B1773,C1773), "")</f>
        <v>0</v>
      </c>
      <c r="E1773" s="697" t="str">
        <f t="shared" si="28"/>
        <v/>
      </c>
      <c r="F1773" s="266"/>
      <c r="G1773" s="698"/>
      <c r="H1773" s="266"/>
      <c r="I1773" s="268"/>
      <c r="J1773" s="268"/>
      <c r="K1773" s="268"/>
      <c r="L1773" s="269"/>
      <c r="M1773" s="510" t="str">
        <f>IFERROR(INDEX([1]Produtos!$C:$C,MATCH(L1773,[1]Produtos!$B:$B,0)), "-")</f>
        <v>-</v>
      </c>
      <c r="N1773" s="510" t="str">
        <f>IFERROR(INDEX([1]Produtos!$E:$E,MATCH(L1773,[1]Produtos!$B:$B,0)), "-")</f>
        <v>-</v>
      </c>
      <c r="O1773" s="270" t="str">
        <f>IFERROR(INDEX([1]Produtos!$F:$F,MATCH(L1773,[1]Produtos!$B:$B,0)), "-")</f>
        <v>-</v>
      </c>
      <c r="P1773" s="264" t="str">
        <f>IFERROR(INDEX([1]Produtos!$G:$G,MATCH(L1773,[1]Produtos!$B:$B,0)), "-")</f>
        <v>-</v>
      </c>
      <c r="Q1773" s="270" t="str">
        <f>IFERROR(INDEX([1]Produtos!$H:$H,MATCH(L1773,[1]Produtos!$B:$B,0)), "-")</f>
        <v>-</v>
      </c>
      <c r="R1773" s="270" t="str">
        <f>IFERROR(INDEX([1]Produtos!$I:$I,MATCH(L1773,[1]Produtos!$B:$B,0)), "-")</f>
        <v>-</v>
      </c>
      <c r="S1773" s="270" t="str">
        <f>IFERROR(INDEX([1]Produtos!$J:$J,MATCH(L1773,[1]Produtos!$B:$B,0)), "-")</f>
        <v>-</v>
      </c>
      <c r="T1773" s="475"/>
      <c r="U1773" s="270"/>
      <c r="V1773" s="270"/>
      <c r="W1773" s="270"/>
      <c r="X1773" s="270"/>
      <c r="Y1773" s="270"/>
      <c r="Z1773" s="270"/>
      <c r="AA1773" s="270"/>
      <c r="AB1773" s="270"/>
      <c r="AC1773" s="270"/>
      <c r="AD1773" s="270"/>
      <c r="AE1773" s="270"/>
      <c r="AF1773" s="270"/>
      <c r="AG1773" s="270"/>
      <c r="AH1773" s="270"/>
      <c r="AI1773" s="270"/>
      <c r="AJ1773" s="270"/>
      <c r="AK1773" s="270"/>
      <c r="AL1773" s="270"/>
      <c r="AM1773" s="663"/>
      <c r="AN1773" s="663"/>
      <c r="AO1773" s="708" t="str">
        <f>IF(OR(Table1[[#This Row],[Início Setup Envase]]="",Table1[[#This Row],[Final Setup Envase]]=""),"",Table1[[#This Row],[Final Setup Envase]]-Table1[[#This Row],[Início Setup Envase]])</f>
        <v/>
      </c>
      <c r="AP1773" s="663"/>
      <c r="AQ1773" s="663"/>
      <c r="AR1773" s="270"/>
      <c r="AS1773" s="674"/>
      <c r="AT1773" s="674"/>
      <c r="AU1773" s="270"/>
      <c r="AV1773" s="270"/>
      <c r="AW1773" s="270"/>
      <c r="AX1773" s="270"/>
      <c r="AY1773" s="270"/>
      <c r="AZ1773" s="270"/>
      <c r="BA1773" s="270" t="str">
        <f>IF(Table1[[#This Row],[Data de Início]]="","",YEAR(Table1[[#This Row],[Data de Início]]))</f>
        <v/>
      </c>
      <c r="BB1773" s="270" t="str">
        <f>IF(Table1[[#This Row],[Data de Início]]="","",MONTH(Table1[[#This Row],[Data de Início]]))</f>
        <v/>
      </c>
      <c r="BC1773" s="483"/>
    </row>
    <row r="1774" spans="2:55" x14ac:dyDescent="0.25">
      <c r="B1774" s="470"/>
      <c r="C1774" s="263"/>
      <c r="D1774" s="477" cm="1">
        <f t="array" ref="D1774">IFERROR(HorasUteisFabrica2Turnos(B1774,C1774), "")</f>
        <v>0</v>
      </c>
      <c r="E1774" s="478" t="str">
        <f t="shared" si="28"/>
        <v/>
      </c>
      <c r="F1774" s="266"/>
      <c r="G1774" s="656"/>
      <c r="H1774" s="479"/>
      <c r="I1774" s="268"/>
      <c r="J1774" s="268"/>
      <c r="K1774" s="268"/>
      <c r="L1774" s="269"/>
      <c r="M1774" s="511" t="str">
        <f>IFERROR(INDEX([1]Produtos!$C:$C,MATCH(L1774,[1]Produtos!$B:$B,0)), "-")</f>
        <v>-</v>
      </c>
      <c r="N1774" s="511" t="str">
        <f>IFERROR(INDEX([1]Produtos!$E:$E,MATCH(L1774,[1]Produtos!$B:$B,0)), "-")</f>
        <v>-</v>
      </c>
      <c r="O1774" s="483" t="str">
        <f>IFERROR(INDEX([1]Produtos!$F:$F,MATCH(L1774,[1]Produtos!$B:$B,0)), "-")</f>
        <v>-</v>
      </c>
      <c r="P1774" s="477" t="str">
        <f>IFERROR(INDEX([1]Produtos!$G:$G,MATCH(L1774,[1]Produtos!$B:$B,0)), "-")</f>
        <v>-</v>
      </c>
      <c r="Q1774" s="483" t="str">
        <f>IFERROR(INDEX([1]Produtos!$H:$H,MATCH(L1774,[1]Produtos!$B:$B,0)), "-")</f>
        <v>-</v>
      </c>
      <c r="R1774" s="483" t="str">
        <f>IFERROR(INDEX([1]Produtos!$I:$I,MATCH(L1774,[1]Produtos!$B:$B,0)), "-")</f>
        <v>-</v>
      </c>
      <c r="S1774" s="483" t="str">
        <f>IFERROR(INDEX([1]Produtos!$J:$J,MATCH(L1774,[1]Produtos!$B:$B,0)), "-")</f>
        <v>-</v>
      </c>
      <c r="T1774" s="484"/>
      <c r="U1774" s="483"/>
      <c r="V1774" s="483"/>
      <c r="W1774" s="483"/>
      <c r="X1774" s="483"/>
      <c r="Y1774" s="483"/>
      <c r="Z1774" s="483"/>
      <c r="AA1774" s="483"/>
      <c r="AB1774" s="483"/>
      <c r="AC1774" s="483"/>
      <c r="AD1774" s="483"/>
      <c r="AE1774" s="483"/>
      <c r="AF1774" s="483"/>
      <c r="AG1774" s="483"/>
      <c r="AH1774" s="483"/>
      <c r="AI1774" s="483"/>
      <c r="AJ1774" s="483"/>
      <c r="AK1774" s="483"/>
      <c r="AL1774" s="483"/>
      <c r="AM1774" s="670"/>
      <c r="AN1774" s="670"/>
      <c r="AO1774" s="711" t="str">
        <f>IF(OR(Table1[[#This Row],[Início Setup Envase]]="",Table1[[#This Row],[Final Setup Envase]]=""),"",Table1[[#This Row],[Final Setup Envase]]-Table1[[#This Row],[Início Setup Envase]])</f>
        <v/>
      </c>
      <c r="AP1774" s="670"/>
      <c r="AQ1774" s="670"/>
      <c r="AR1774" s="483"/>
      <c r="AS1774" s="483"/>
      <c r="AT1774" s="483"/>
      <c r="AU1774" s="483"/>
      <c r="AV1774" s="483"/>
      <c r="AW1774" s="483"/>
      <c r="AX1774" s="483"/>
      <c r="AY1774" s="270"/>
      <c r="AZ1774" s="270"/>
      <c r="BA1774" s="270" t="str">
        <f>IF(Table1[[#This Row],[Data de Início]]="","",YEAR(Table1[[#This Row],[Data de Início]]))</f>
        <v/>
      </c>
      <c r="BB1774" s="270" t="str">
        <f>IF(Table1[[#This Row],[Data de Início]]="","",MONTH(Table1[[#This Row],[Data de Início]]))</f>
        <v/>
      </c>
      <c r="BC1774" s="270"/>
    </row>
    <row r="1775" spans="2:55" x14ac:dyDescent="0.25">
      <c r="B1775" s="470"/>
      <c r="C1775" s="263"/>
      <c r="D1775" s="477" cm="1">
        <f t="array" ref="D1775">IFERROR(HorasUteisFabrica2Turnos(B1775,C1775), "")</f>
        <v>0</v>
      </c>
      <c r="E1775" s="697" t="str">
        <f t="shared" si="28"/>
        <v/>
      </c>
      <c r="F1775" s="266"/>
      <c r="G1775" s="698"/>
      <c r="H1775" s="266"/>
      <c r="I1775" s="268"/>
      <c r="J1775" s="268"/>
      <c r="K1775" s="268"/>
      <c r="L1775" s="269"/>
      <c r="M1775" s="510" t="str">
        <f>IFERROR(INDEX([1]Produtos!$C:$C,MATCH(L1775,[1]Produtos!$B:$B,0)), "-")</f>
        <v>-</v>
      </c>
      <c r="N1775" s="510" t="str">
        <f>IFERROR(INDEX([1]Produtos!$E:$E,MATCH(L1775,[1]Produtos!$B:$B,0)), "-")</f>
        <v>-</v>
      </c>
      <c r="O1775" s="270" t="str">
        <f>IFERROR(INDEX([1]Produtos!$F:$F,MATCH(L1775,[1]Produtos!$B:$B,0)), "-")</f>
        <v>-</v>
      </c>
      <c r="P1775" s="264" t="str">
        <f>IFERROR(INDEX([1]Produtos!$G:$G,MATCH(L1775,[1]Produtos!$B:$B,0)), "-")</f>
        <v>-</v>
      </c>
      <c r="Q1775" s="270" t="str">
        <f>IFERROR(INDEX([1]Produtos!$H:$H,MATCH(L1775,[1]Produtos!$B:$B,0)), "-")</f>
        <v>-</v>
      </c>
      <c r="R1775" s="270" t="str">
        <f>IFERROR(INDEX([1]Produtos!$I:$I,MATCH(L1775,[1]Produtos!$B:$B,0)), "-")</f>
        <v>-</v>
      </c>
      <c r="S1775" s="270" t="str">
        <f>IFERROR(INDEX([1]Produtos!$J:$J,MATCH(L1775,[1]Produtos!$B:$B,0)), "-")</f>
        <v>-</v>
      </c>
      <c r="T1775" s="475"/>
      <c r="U1775" s="270"/>
      <c r="V1775" s="270"/>
      <c r="W1775" s="270"/>
      <c r="X1775" s="270"/>
      <c r="Y1775" s="270"/>
      <c r="Z1775" s="270"/>
      <c r="AA1775" s="270"/>
      <c r="AB1775" s="270"/>
      <c r="AC1775" s="270"/>
      <c r="AD1775" s="270"/>
      <c r="AE1775" s="270"/>
      <c r="AF1775" s="270"/>
      <c r="AG1775" s="270"/>
      <c r="AH1775" s="270"/>
      <c r="AI1775" s="270"/>
      <c r="AJ1775" s="270"/>
      <c r="AK1775" s="270"/>
      <c r="AL1775" s="270"/>
      <c r="AM1775" s="663"/>
      <c r="AN1775" s="663"/>
      <c r="AO1775" s="708" t="str">
        <f>IF(OR(Table1[[#This Row],[Início Setup Envase]]="",Table1[[#This Row],[Final Setup Envase]]=""),"",Table1[[#This Row],[Final Setup Envase]]-Table1[[#This Row],[Início Setup Envase]])</f>
        <v/>
      </c>
      <c r="AP1775" s="663"/>
      <c r="AQ1775" s="663"/>
      <c r="AR1775" s="270"/>
      <c r="AS1775" s="674"/>
      <c r="AT1775" s="674"/>
      <c r="AU1775" s="270"/>
      <c r="AV1775" s="270"/>
      <c r="AW1775" s="270"/>
      <c r="AX1775" s="270"/>
      <c r="AY1775" s="270"/>
      <c r="AZ1775" s="270"/>
      <c r="BA1775" s="270" t="str">
        <f>IF(Table1[[#This Row],[Data de Início]]="","",YEAR(Table1[[#This Row],[Data de Início]]))</f>
        <v/>
      </c>
      <c r="BB1775" s="270" t="str">
        <f>IF(Table1[[#This Row],[Data de Início]]="","",MONTH(Table1[[#This Row],[Data de Início]]))</f>
        <v/>
      </c>
      <c r="BC1775" s="483"/>
    </row>
    <row r="1776" spans="2:55" x14ac:dyDescent="0.25">
      <c r="B1776" s="470"/>
      <c r="C1776" s="263"/>
      <c r="D1776" s="477" cm="1">
        <f t="array" ref="D1776">IFERROR(HorasUteisFabrica2Turnos(B1776,C1776), "")</f>
        <v>0</v>
      </c>
      <c r="E1776" s="478" t="str">
        <f t="shared" si="28"/>
        <v/>
      </c>
      <c r="F1776" s="266"/>
      <c r="G1776" s="656"/>
      <c r="H1776" s="479"/>
      <c r="I1776" s="268"/>
      <c r="J1776" s="268"/>
      <c r="K1776" s="268"/>
      <c r="L1776" s="269"/>
      <c r="M1776" s="511" t="str">
        <f>IFERROR(INDEX([1]Produtos!$C:$C,MATCH(L1776,[1]Produtos!$B:$B,0)), "-")</f>
        <v>-</v>
      </c>
      <c r="N1776" s="511" t="str">
        <f>IFERROR(INDEX([1]Produtos!$E:$E,MATCH(L1776,[1]Produtos!$B:$B,0)), "-")</f>
        <v>-</v>
      </c>
      <c r="O1776" s="483" t="str">
        <f>IFERROR(INDEX([1]Produtos!$F:$F,MATCH(L1776,[1]Produtos!$B:$B,0)), "-")</f>
        <v>-</v>
      </c>
      <c r="P1776" s="477" t="str">
        <f>IFERROR(INDEX([1]Produtos!$G:$G,MATCH(L1776,[1]Produtos!$B:$B,0)), "-")</f>
        <v>-</v>
      </c>
      <c r="Q1776" s="483" t="str">
        <f>IFERROR(INDEX([1]Produtos!$H:$H,MATCH(L1776,[1]Produtos!$B:$B,0)), "-")</f>
        <v>-</v>
      </c>
      <c r="R1776" s="483" t="str">
        <f>IFERROR(INDEX([1]Produtos!$I:$I,MATCH(L1776,[1]Produtos!$B:$B,0)), "-")</f>
        <v>-</v>
      </c>
      <c r="S1776" s="483" t="str">
        <f>IFERROR(INDEX([1]Produtos!$J:$J,MATCH(L1776,[1]Produtos!$B:$B,0)), "-")</f>
        <v>-</v>
      </c>
      <c r="T1776" s="484"/>
      <c r="U1776" s="483"/>
      <c r="V1776" s="483"/>
      <c r="W1776" s="483"/>
      <c r="X1776" s="483"/>
      <c r="Y1776" s="483"/>
      <c r="Z1776" s="483"/>
      <c r="AA1776" s="483"/>
      <c r="AB1776" s="483"/>
      <c r="AC1776" s="483"/>
      <c r="AD1776" s="483"/>
      <c r="AE1776" s="483"/>
      <c r="AF1776" s="483"/>
      <c r="AG1776" s="483"/>
      <c r="AH1776" s="483"/>
      <c r="AI1776" s="483"/>
      <c r="AJ1776" s="483"/>
      <c r="AK1776" s="483"/>
      <c r="AL1776" s="483"/>
      <c r="AM1776" s="670"/>
      <c r="AN1776" s="670"/>
      <c r="AO1776" s="711" t="str">
        <f>IF(OR(Table1[[#This Row],[Início Setup Envase]]="",Table1[[#This Row],[Final Setup Envase]]=""),"",Table1[[#This Row],[Final Setup Envase]]-Table1[[#This Row],[Início Setup Envase]])</f>
        <v/>
      </c>
      <c r="AP1776" s="670"/>
      <c r="AQ1776" s="670"/>
      <c r="AR1776" s="483"/>
      <c r="AS1776" s="483"/>
      <c r="AT1776" s="483"/>
      <c r="AU1776" s="483"/>
      <c r="AV1776" s="483"/>
      <c r="AW1776" s="483"/>
      <c r="AX1776" s="483"/>
      <c r="AY1776" s="270"/>
      <c r="AZ1776" s="270"/>
      <c r="BA1776" s="270" t="str">
        <f>IF(Table1[[#This Row],[Data de Início]]="","",YEAR(Table1[[#This Row],[Data de Início]]))</f>
        <v/>
      </c>
      <c r="BB1776" s="270" t="str">
        <f>IF(Table1[[#This Row],[Data de Início]]="","",MONTH(Table1[[#This Row],[Data de Início]]))</f>
        <v/>
      </c>
      <c r="BC1776" s="270"/>
    </row>
    <row r="1777" spans="2:55" x14ac:dyDescent="0.25">
      <c r="B1777" s="470"/>
      <c r="C1777" s="263"/>
      <c r="D1777" s="477" cm="1">
        <f t="array" ref="D1777">IFERROR(HorasUteisFabrica2Turnos(B1777,C1777), "")</f>
        <v>0</v>
      </c>
      <c r="E1777" s="697" t="str">
        <f t="shared" si="28"/>
        <v/>
      </c>
      <c r="F1777" s="266"/>
      <c r="G1777" s="698"/>
      <c r="H1777" s="266"/>
      <c r="I1777" s="268"/>
      <c r="J1777" s="268"/>
      <c r="K1777" s="268"/>
      <c r="L1777" s="269"/>
      <c r="M1777" s="510" t="str">
        <f>IFERROR(INDEX([1]Produtos!$C:$C,MATCH(L1777,[1]Produtos!$B:$B,0)), "-")</f>
        <v>-</v>
      </c>
      <c r="N1777" s="510" t="str">
        <f>IFERROR(INDEX([1]Produtos!$E:$E,MATCH(L1777,[1]Produtos!$B:$B,0)), "-")</f>
        <v>-</v>
      </c>
      <c r="O1777" s="270" t="str">
        <f>IFERROR(INDEX([1]Produtos!$F:$F,MATCH(L1777,[1]Produtos!$B:$B,0)), "-")</f>
        <v>-</v>
      </c>
      <c r="P1777" s="264" t="str">
        <f>IFERROR(INDEX([1]Produtos!$G:$G,MATCH(L1777,[1]Produtos!$B:$B,0)), "-")</f>
        <v>-</v>
      </c>
      <c r="Q1777" s="270" t="str">
        <f>IFERROR(INDEX([1]Produtos!$H:$H,MATCH(L1777,[1]Produtos!$B:$B,0)), "-")</f>
        <v>-</v>
      </c>
      <c r="R1777" s="270" t="str">
        <f>IFERROR(INDEX([1]Produtos!$I:$I,MATCH(L1777,[1]Produtos!$B:$B,0)), "-")</f>
        <v>-</v>
      </c>
      <c r="S1777" s="270" t="str">
        <f>IFERROR(INDEX([1]Produtos!$J:$J,MATCH(L1777,[1]Produtos!$B:$B,0)), "-")</f>
        <v>-</v>
      </c>
      <c r="T1777" s="475"/>
      <c r="U1777" s="270"/>
      <c r="V1777" s="270"/>
      <c r="W1777" s="270"/>
      <c r="X1777" s="270"/>
      <c r="Y1777" s="270"/>
      <c r="Z1777" s="270"/>
      <c r="AA1777" s="270"/>
      <c r="AB1777" s="270"/>
      <c r="AC1777" s="270"/>
      <c r="AD1777" s="270"/>
      <c r="AE1777" s="270"/>
      <c r="AF1777" s="270"/>
      <c r="AG1777" s="270"/>
      <c r="AH1777" s="270"/>
      <c r="AI1777" s="270"/>
      <c r="AJ1777" s="270"/>
      <c r="AK1777" s="270"/>
      <c r="AL1777" s="270"/>
      <c r="AM1777" s="663"/>
      <c r="AN1777" s="663"/>
      <c r="AO1777" s="708" t="str">
        <f>IF(OR(Table1[[#This Row],[Início Setup Envase]]="",Table1[[#This Row],[Final Setup Envase]]=""),"",Table1[[#This Row],[Final Setup Envase]]-Table1[[#This Row],[Início Setup Envase]])</f>
        <v/>
      </c>
      <c r="AP1777" s="663"/>
      <c r="AQ1777" s="663"/>
      <c r="AR1777" s="270"/>
      <c r="AS1777" s="674"/>
      <c r="AT1777" s="674"/>
      <c r="AU1777" s="270"/>
      <c r="AV1777" s="270"/>
      <c r="AW1777" s="270"/>
      <c r="AX1777" s="270"/>
      <c r="AY1777" s="270"/>
      <c r="AZ1777" s="270"/>
      <c r="BA1777" s="270" t="str">
        <f>IF(Table1[[#This Row],[Data de Início]]="","",YEAR(Table1[[#This Row],[Data de Início]]))</f>
        <v/>
      </c>
      <c r="BB1777" s="270" t="str">
        <f>IF(Table1[[#This Row],[Data de Início]]="","",MONTH(Table1[[#This Row],[Data de Início]]))</f>
        <v/>
      </c>
      <c r="BC1777" s="483"/>
    </row>
    <row r="1778" spans="2:55" x14ac:dyDescent="0.25">
      <c r="B1778" s="470"/>
      <c r="C1778" s="263"/>
      <c r="D1778" s="477" cm="1">
        <f t="array" ref="D1778">IFERROR(HorasUteisFabrica2Turnos(B1778,C1778), "")</f>
        <v>0</v>
      </c>
      <c r="E1778" s="478" t="str">
        <f t="shared" si="28"/>
        <v/>
      </c>
      <c r="F1778" s="266"/>
      <c r="G1778" s="656"/>
      <c r="H1778" s="479"/>
      <c r="I1778" s="268"/>
      <c r="J1778" s="268"/>
      <c r="K1778" s="268"/>
      <c r="L1778" s="269"/>
      <c r="M1778" s="511" t="str">
        <f>IFERROR(INDEX([1]Produtos!$C:$C,MATCH(L1778,[1]Produtos!$B:$B,0)), "-")</f>
        <v>-</v>
      </c>
      <c r="N1778" s="511" t="str">
        <f>IFERROR(INDEX([1]Produtos!$E:$E,MATCH(L1778,[1]Produtos!$B:$B,0)), "-")</f>
        <v>-</v>
      </c>
      <c r="O1778" s="483" t="str">
        <f>IFERROR(INDEX([1]Produtos!$F:$F,MATCH(L1778,[1]Produtos!$B:$B,0)), "-")</f>
        <v>-</v>
      </c>
      <c r="P1778" s="477" t="str">
        <f>IFERROR(INDEX([1]Produtos!$G:$G,MATCH(L1778,[1]Produtos!$B:$B,0)), "-")</f>
        <v>-</v>
      </c>
      <c r="Q1778" s="483" t="str">
        <f>IFERROR(INDEX([1]Produtos!$H:$H,MATCH(L1778,[1]Produtos!$B:$B,0)), "-")</f>
        <v>-</v>
      </c>
      <c r="R1778" s="483" t="str">
        <f>IFERROR(INDEX([1]Produtos!$I:$I,MATCH(L1778,[1]Produtos!$B:$B,0)), "-")</f>
        <v>-</v>
      </c>
      <c r="S1778" s="483" t="str">
        <f>IFERROR(INDEX([1]Produtos!$J:$J,MATCH(L1778,[1]Produtos!$B:$B,0)), "-")</f>
        <v>-</v>
      </c>
      <c r="T1778" s="484"/>
      <c r="U1778" s="483"/>
      <c r="V1778" s="483"/>
      <c r="W1778" s="483"/>
      <c r="X1778" s="483"/>
      <c r="Y1778" s="483"/>
      <c r="Z1778" s="483"/>
      <c r="AA1778" s="483"/>
      <c r="AB1778" s="483"/>
      <c r="AC1778" s="483"/>
      <c r="AD1778" s="483"/>
      <c r="AE1778" s="483"/>
      <c r="AF1778" s="483"/>
      <c r="AG1778" s="483"/>
      <c r="AH1778" s="483"/>
      <c r="AI1778" s="483"/>
      <c r="AJ1778" s="483"/>
      <c r="AK1778" s="483"/>
      <c r="AL1778" s="483"/>
      <c r="AM1778" s="670"/>
      <c r="AN1778" s="670"/>
      <c r="AO1778" s="711" t="str">
        <f>IF(OR(Table1[[#This Row],[Início Setup Envase]]="",Table1[[#This Row],[Final Setup Envase]]=""),"",Table1[[#This Row],[Final Setup Envase]]-Table1[[#This Row],[Início Setup Envase]])</f>
        <v/>
      </c>
      <c r="AP1778" s="670"/>
      <c r="AQ1778" s="670"/>
      <c r="AR1778" s="483"/>
      <c r="AS1778" s="483"/>
      <c r="AT1778" s="483"/>
      <c r="AU1778" s="483"/>
      <c r="AV1778" s="483"/>
      <c r="AW1778" s="483"/>
      <c r="AX1778" s="483"/>
      <c r="AY1778" s="270"/>
      <c r="AZ1778" s="270"/>
      <c r="BA1778" s="270" t="str">
        <f>IF(Table1[[#This Row],[Data de Início]]="","",YEAR(Table1[[#This Row],[Data de Início]]))</f>
        <v/>
      </c>
      <c r="BB1778" s="270" t="str">
        <f>IF(Table1[[#This Row],[Data de Início]]="","",MONTH(Table1[[#This Row],[Data de Início]]))</f>
        <v/>
      </c>
      <c r="BC1778" s="270"/>
    </row>
    <row r="1779" spans="2:55" x14ac:dyDescent="0.25">
      <c r="B1779" s="470"/>
      <c r="C1779" s="263"/>
      <c r="D1779" s="477" cm="1">
        <f t="array" ref="D1779">IFERROR(HorasUteisFabrica2Turnos(B1779,C1779), "")</f>
        <v>0</v>
      </c>
      <c r="E1779" s="697" t="str">
        <f t="shared" si="28"/>
        <v/>
      </c>
      <c r="F1779" s="266"/>
      <c r="G1779" s="698"/>
      <c r="H1779" s="266"/>
      <c r="I1779" s="268"/>
      <c r="J1779" s="268"/>
      <c r="K1779" s="268"/>
      <c r="L1779" s="269"/>
      <c r="M1779" s="510" t="str">
        <f>IFERROR(INDEX([1]Produtos!$C:$C,MATCH(L1779,[1]Produtos!$B:$B,0)), "-")</f>
        <v>-</v>
      </c>
      <c r="N1779" s="510" t="str">
        <f>IFERROR(INDEX([1]Produtos!$E:$E,MATCH(L1779,[1]Produtos!$B:$B,0)), "-")</f>
        <v>-</v>
      </c>
      <c r="O1779" s="270" t="str">
        <f>IFERROR(INDEX([1]Produtos!$F:$F,MATCH(L1779,[1]Produtos!$B:$B,0)), "-")</f>
        <v>-</v>
      </c>
      <c r="P1779" s="264" t="str">
        <f>IFERROR(INDEX([1]Produtos!$G:$G,MATCH(L1779,[1]Produtos!$B:$B,0)), "-")</f>
        <v>-</v>
      </c>
      <c r="Q1779" s="270" t="str">
        <f>IFERROR(INDEX([1]Produtos!$H:$H,MATCH(L1779,[1]Produtos!$B:$B,0)), "-")</f>
        <v>-</v>
      </c>
      <c r="R1779" s="270" t="str">
        <f>IFERROR(INDEX([1]Produtos!$I:$I,MATCH(L1779,[1]Produtos!$B:$B,0)), "-")</f>
        <v>-</v>
      </c>
      <c r="S1779" s="270" t="str">
        <f>IFERROR(INDEX([1]Produtos!$J:$J,MATCH(L1779,[1]Produtos!$B:$B,0)), "-")</f>
        <v>-</v>
      </c>
      <c r="T1779" s="475"/>
      <c r="U1779" s="270"/>
      <c r="V1779" s="270"/>
      <c r="W1779" s="270"/>
      <c r="X1779" s="270"/>
      <c r="Y1779" s="270"/>
      <c r="Z1779" s="270"/>
      <c r="AA1779" s="270"/>
      <c r="AB1779" s="270"/>
      <c r="AC1779" s="270"/>
      <c r="AD1779" s="270"/>
      <c r="AE1779" s="270"/>
      <c r="AF1779" s="270"/>
      <c r="AG1779" s="270"/>
      <c r="AH1779" s="270"/>
      <c r="AI1779" s="270"/>
      <c r="AJ1779" s="270"/>
      <c r="AK1779" s="270"/>
      <c r="AL1779" s="270"/>
      <c r="AM1779" s="663"/>
      <c r="AN1779" s="663"/>
      <c r="AO1779" s="708" t="str">
        <f>IF(OR(Table1[[#This Row],[Início Setup Envase]]="",Table1[[#This Row],[Final Setup Envase]]=""),"",Table1[[#This Row],[Final Setup Envase]]-Table1[[#This Row],[Início Setup Envase]])</f>
        <v/>
      </c>
      <c r="AP1779" s="663"/>
      <c r="AQ1779" s="663"/>
      <c r="AR1779" s="270"/>
      <c r="AS1779" s="674"/>
      <c r="AT1779" s="674"/>
      <c r="AU1779" s="270"/>
      <c r="AV1779" s="270"/>
      <c r="AW1779" s="270"/>
      <c r="AX1779" s="270"/>
      <c r="AY1779" s="270"/>
      <c r="AZ1779" s="270"/>
      <c r="BA1779" s="270" t="str">
        <f>IF(Table1[[#This Row],[Data de Início]]="","",YEAR(Table1[[#This Row],[Data de Início]]))</f>
        <v/>
      </c>
      <c r="BB1779" s="270" t="str">
        <f>IF(Table1[[#This Row],[Data de Início]]="","",MONTH(Table1[[#This Row],[Data de Início]]))</f>
        <v/>
      </c>
      <c r="BC1779" s="483"/>
    </row>
    <row r="1780" spans="2:55" x14ac:dyDescent="0.25">
      <c r="B1780" s="470"/>
      <c r="C1780" s="263"/>
      <c r="D1780" s="477" cm="1">
        <f t="array" ref="D1780">IFERROR(HorasUteisFabrica2Turnos(B1780,C1780), "")</f>
        <v>0</v>
      </c>
      <c r="E1780" s="478" t="str">
        <f t="shared" si="28"/>
        <v/>
      </c>
      <c r="F1780" s="266"/>
      <c r="G1780" s="656"/>
      <c r="H1780" s="479"/>
      <c r="I1780" s="268"/>
      <c r="J1780" s="268"/>
      <c r="K1780" s="268"/>
      <c r="L1780" s="269"/>
      <c r="M1780" s="511" t="str">
        <f>IFERROR(INDEX([1]Produtos!$C:$C,MATCH(L1780,[1]Produtos!$B:$B,0)), "-")</f>
        <v>-</v>
      </c>
      <c r="N1780" s="511" t="str">
        <f>IFERROR(INDEX([1]Produtos!$E:$E,MATCH(L1780,[1]Produtos!$B:$B,0)), "-")</f>
        <v>-</v>
      </c>
      <c r="O1780" s="483" t="str">
        <f>IFERROR(INDEX([1]Produtos!$F:$F,MATCH(L1780,[1]Produtos!$B:$B,0)), "-")</f>
        <v>-</v>
      </c>
      <c r="P1780" s="477" t="str">
        <f>IFERROR(INDEX([1]Produtos!$G:$G,MATCH(L1780,[1]Produtos!$B:$B,0)), "-")</f>
        <v>-</v>
      </c>
      <c r="Q1780" s="483" t="str">
        <f>IFERROR(INDEX([1]Produtos!$H:$H,MATCH(L1780,[1]Produtos!$B:$B,0)), "-")</f>
        <v>-</v>
      </c>
      <c r="R1780" s="483" t="str">
        <f>IFERROR(INDEX([1]Produtos!$I:$I,MATCH(L1780,[1]Produtos!$B:$B,0)), "-")</f>
        <v>-</v>
      </c>
      <c r="S1780" s="483" t="str">
        <f>IFERROR(INDEX([1]Produtos!$J:$J,MATCH(L1780,[1]Produtos!$B:$B,0)), "-")</f>
        <v>-</v>
      </c>
      <c r="T1780" s="484"/>
      <c r="U1780" s="483"/>
      <c r="V1780" s="483"/>
      <c r="W1780" s="483"/>
      <c r="X1780" s="483"/>
      <c r="Y1780" s="483"/>
      <c r="Z1780" s="483"/>
      <c r="AA1780" s="483"/>
      <c r="AB1780" s="483"/>
      <c r="AC1780" s="483"/>
      <c r="AD1780" s="483"/>
      <c r="AE1780" s="483"/>
      <c r="AF1780" s="483"/>
      <c r="AG1780" s="483"/>
      <c r="AH1780" s="483"/>
      <c r="AI1780" s="483"/>
      <c r="AJ1780" s="483"/>
      <c r="AK1780" s="483"/>
      <c r="AL1780" s="483"/>
      <c r="AM1780" s="670"/>
      <c r="AN1780" s="670"/>
      <c r="AO1780" s="711" t="str">
        <f>IF(OR(Table1[[#This Row],[Início Setup Envase]]="",Table1[[#This Row],[Final Setup Envase]]=""),"",Table1[[#This Row],[Final Setup Envase]]-Table1[[#This Row],[Início Setup Envase]])</f>
        <v/>
      </c>
      <c r="AP1780" s="670"/>
      <c r="AQ1780" s="670"/>
      <c r="AR1780" s="483"/>
      <c r="AS1780" s="483"/>
      <c r="AT1780" s="483"/>
      <c r="AU1780" s="483"/>
      <c r="AV1780" s="483"/>
      <c r="AW1780" s="483"/>
      <c r="AX1780" s="483"/>
      <c r="AY1780" s="270"/>
      <c r="AZ1780" s="270"/>
      <c r="BA1780" s="270" t="str">
        <f>IF(Table1[[#This Row],[Data de Início]]="","",YEAR(Table1[[#This Row],[Data de Início]]))</f>
        <v/>
      </c>
      <c r="BB1780" s="270" t="str">
        <f>IF(Table1[[#This Row],[Data de Início]]="","",MONTH(Table1[[#This Row],[Data de Início]]))</f>
        <v/>
      </c>
      <c r="BC1780" s="270"/>
    </row>
    <row r="1781" spans="2:55" x14ac:dyDescent="0.25">
      <c r="B1781" s="470"/>
      <c r="C1781" s="263"/>
      <c r="D1781" s="477" cm="1">
        <f t="array" ref="D1781">IFERROR(HorasUteisFabrica2Turnos(B1781,C1781), "")</f>
        <v>0</v>
      </c>
      <c r="E1781" s="697" t="str">
        <f t="shared" si="28"/>
        <v/>
      </c>
      <c r="F1781" s="266"/>
      <c r="G1781" s="698"/>
      <c r="H1781" s="266"/>
      <c r="I1781" s="268"/>
      <c r="J1781" s="268"/>
      <c r="K1781" s="268"/>
      <c r="L1781" s="269"/>
      <c r="M1781" s="510" t="str">
        <f>IFERROR(INDEX([1]Produtos!$C:$C,MATCH(L1781,[1]Produtos!$B:$B,0)), "-")</f>
        <v>-</v>
      </c>
      <c r="N1781" s="510" t="str">
        <f>IFERROR(INDEX([1]Produtos!$E:$E,MATCH(L1781,[1]Produtos!$B:$B,0)), "-")</f>
        <v>-</v>
      </c>
      <c r="O1781" s="270" t="str">
        <f>IFERROR(INDEX([1]Produtos!$F:$F,MATCH(L1781,[1]Produtos!$B:$B,0)), "-")</f>
        <v>-</v>
      </c>
      <c r="P1781" s="264" t="str">
        <f>IFERROR(INDEX([1]Produtos!$G:$G,MATCH(L1781,[1]Produtos!$B:$B,0)), "-")</f>
        <v>-</v>
      </c>
      <c r="Q1781" s="270" t="str">
        <f>IFERROR(INDEX([1]Produtos!$H:$H,MATCH(L1781,[1]Produtos!$B:$B,0)), "-")</f>
        <v>-</v>
      </c>
      <c r="R1781" s="270" t="str">
        <f>IFERROR(INDEX([1]Produtos!$I:$I,MATCH(L1781,[1]Produtos!$B:$B,0)), "-")</f>
        <v>-</v>
      </c>
      <c r="S1781" s="270" t="str">
        <f>IFERROR(INDEX([1]Produtos!$J:$J,MATCH(L1781,[1]Produtos!$B:$B,0)), "-")</f>
        <v>-</v>
      </c>
      <c r="T1781" s="475"/>
      <c r="U1781" s="270"/>
      <c r="V1781" s="270"/>
      <c r="W1781" s="270"/>
      <c r="X1781" s="270"/>
      <c r="Y1781" s="270"/>
      <c r="Z1781" s="270"/>
      <c r="AA1781" s="270"/>
      <c r="AB1781" s="270"/>
      <c r="AC1781" s="270"/>
      <c r="AD1781" s="270"/>
      <c r="AE1781" s="270"/>
      <c r="AF1781" s="270"/>
      <c r="AG1781" s="270"/>
      <c r="AH1781" s="270"/>
      <c r="AI1781" s="270"/>
      <c r="AJ1781" s="270"/>
      <c r="AK1781" s="270"/>
      <c r="AL1781" s="270"/>
      <c r="AM1781" s="663"/>
      <c r="AN1781" s="663"/>
      <c r="AO1781" s="708" t="str">
        <f>IF(OR(Table1[[#This Row],[Início Setup Envase]]="",Table1[[#This Row],[Final Setup Envase]]=""),"",Table1[[#This Row],[Final Setup Envase]]-Table1[[#This Row],[Início Setup Envase]])</f>
        <v/>
      </c>
      <c r="AP1781" s="663"/>
      <c r="AQ1781" s="663"/>
      <c r="AR1781" s="270"/>
      <c r="AS1781" s="674"/>
      <c r="AT1781" s="674"/>
      <c r="AU1781" s="270"/>
      <c r="AV1781" s="270"/>
      <c r="AW1781" s="270"/>
      <c r="AX1781" s="270"/>
      <c r="AY1781" s="270"/>
      <c r="AZ1781" s="270"/>
      <c r="BA1781" s="270" t="str">
        <f>IF(Table1[[#This Row],[Data de Início]]="","",YEAR(Table1[[#This Row],[Data de Início]]))</f>
        <v/>
      </c>
      <c r="BB1781" s="270" t="str">
        <f>IF(Table1[[#This Row],[Data de Início]]="","",MONTH(Table1[[#This Row],[Data de Início]]))</f>
        <v/>
      </c>
      <c r="BC1781" s="483"/>
    </row>
    <row r="1782" spans="2:55" x14ac:dyDescent="0.25">
      <c r="B1782" s="470"/>
      <c r="C1782" s="263"/>
      <c r="D1782" s="477" cm="1">
        <f t="array" ref="D1782">IFERROR(HorasUteisFabrica2Turnos(B1782,C1782), "")</f>
        <v>0</v>
      </c>
      <c r="E1782" s="478" t="str">
        <f t="shared" si="28"/>
        <v/>
      </c>
      <c r="F1782" s="266"/>
      <c r="G1782" s="656"/>
      <c r="H1782" s="479"/>
      <c r="I1782" s="268"/>
      <c r="J1782" s="268"/>
      <c r="K1782" s="268"/>
      <c r="L1782" s="269"/>
      <c r="M1782" s="511" t="str">
        <f>IFERROR(INDEX([1]Produtos!$C:$C,MATCH(L1782,[1]Produtos!$B:$B,0)), "-")</f>
        <v>-</v>
      </c>
      <c r="N1782" s="511" t="str">
        <f>IFERROR(INDEX([1]Produtos!$E:$E,MATCH(L1782,[1]Produtos!$B:$B,0)), "-")</f>
        <v>-</v>
      </c>
      <c r="O1782" s="483" t="str">
        <f>IFERROR(INDEX([1]Produtos!$F:$F,MATCH(L1782,[1]Produtos!$B:$B,0)), "-")</f>
        <v>-</v>
      </c>
      <c r="P1782" s="477" t="str">
        <f>IFERROR(INDEX([1]Produtos!$G:$G,MATCH(L1782,[1]Produtos!$B:$B,0)), "-")</f>
        <v>-</v>
      </c>
      <c r="Q1782" s="483" t="str">
        <f>IFERROR(INDEX([1]Produtos!$H:$H,MATCH(L1782,[1]Produtos!$B:$B,0)), "-")</f>
        <v>-</v>
      </c>
      <c r="R1782" s="483" t="str">
        <f>IFERROR(INDEX([1]Produtos!$I:$I,MATCH(L1782,[1]Produtos!$B:$B,0)), "-")</f>
        <v>-</v>
      </c>
      <c r="S1782" s="483" t="str">
        <f>IFERROR(INDEX([1]Produtos!$J:$J,MATCH(L1782,[1]Produtos!$B:$B,0)), "-")</f>
        <v>-</v>
      </c>
      <c r="T1782" s="484"/>
      <c r="U1782" s="483"/>
      <c r="V1782" s="483"/>
      <c r="W1782" s="483"/>
      <c r="X1782" s="483"/>
      <c r="Y1782" s="483"/>
      <c r="Z1782" s="483"/>
      <c r="AA1782" s="483"/>
      <c r="AB1782" s="483"/>
      <c r="AC1782" s="483"/>
      <c r="AD1782" s="483"/>
      <c r="AE1782" s="483"/>
      <c r="AF1782" s="483"/>
      <c r="AG1782" s="483"/>
      <c r="AH1782" s="483"/>
      <c r="AI1782" s="483"/>
      <c r="AJ1782" s="483"/>
      <c r="AK1782" s="483"/>
      <c r="AL1782" s="483"/>
      <c r="AM1782" s="670"/>
      <c r="AN1782" s="670"/>
      <c r="AO1782" s="711" t="str">
        <f>IF(OR(Table1[[#This Row],[Início Setup Envase]]="",Table1[[#This Row],[Final Setup Envase]]=""),"",Table1[[#This Row],[Final Setup Envase]]-Table1[[#This Row],[Início Setup Envase]])</f>
        <v/>
      </c>
      <c r="AP1782" s="670"/>
      <c r="AQ1782" s="670"/>
      <c r="AR1782" s="483"/>
      <c r="AS1782" s="483"/>
      <c r="AT1782" s="483"/>
      <c r="AU1782" s="483"/>
      <c r="AV1782" s="483"/>
      <c r="AW1782" s="483"/>
      <c r="AX1782" s="483"/>
      <c r="AY1782" s="270"/>
      <c r="AZ1782" s="270"/>
      <c r="BA1782" s="270" t="str">
        <f>IF(Table1[[#This Row],[Data de Início]]="","",YEAR(Table1[[#This Row],[Data de Início]]))</f>
        <v/>
      </c>
      <c r="BB1782" s="270" t="str">
        <f>IF(Table1[[#This Row],[Data de Início]]="","",MONTH(Table1[[#This Row],[Data de Início]]))</f>
        <v/>
      </c>
      <c r="BC1782" s="270"/>
    </row>
    <row r="1783" spans="2:55" x14ac:dyDescent="0.25">
      <c r="B1783" s="470"/>
      <c r="C1783" s="263"/>
      <c r="D1783" s="477" cm="1">
        <f t="array" ref="D1783">IFERROR(HorasUteisFabrica2Turnos(B1783,C1783), "")</f>
        <v>0</v>
      </c>
      <c r="E1783" s="697" t="str">
        <f t="shared" si="28"/>
        <v/>
      </c>
      <c r="F1783" s="266"/>
      <c r="G1783" s="698"/>
      <c r="H1783" s="266"/>
      <c r="I1783" s="268"/>
      <c r="J1783" s="268"/>
      <c r="K1783" s="268"/>
      <c r="L1783" s="269"/>
      <c r="M1783" s="510" t="str">
        <f>IFERROR(INDEX([1]Produtos!$C:$C,MATCH(L1783,[1]Produtos!$B:$B,0)), "-")</f>
        <v>-</v>
      </c>
      <c r="N1783" s="510" t="str">
        <f>IFERROR(INDEX([1]Produtos!$E:$E,MATCH(L1783,[1]Produtos!$B:$B,0)), "-")</f>
        <v>-</v>
      </c>
      <c r="O1783" s="270" t="str">
        <f>IFERROR(INDEX([1]Produtos!$F:$F,MATCH(L1783,[1]Produtos!$B:$B,0)), "-")</f>
        <v>-</v>
      </c>
      <c r="P1783" s="264" t="str">
        <f>IFERROR(INDEX([1]Produtos!$G:$G,MATCH(L1783,[1]Produtos!$B:$B,0)), "-")</f>
        <v>-</v>
      </c>
      <c r="Q1783" s="270" t="str">
        <f>IFERROR(INDEX([1]Produtos!$H:$H,MATCH(L1783,[1]Produtos!$B:$B,0)), "-")</f>
        <v>-</v>
      </c>
      <c r="R1783" s="270" t="str">
        <f>IFERROR(INDEX([1]Produtos!$I:$I,MATCH(L1783,[1]Produtos!$B:$B,0)), "-")</f>
        <v>-</v>
      </c>
      <c r="S1783" s="270" t="str">
        <f>IFERROR(INDEX([1]Produtos!$J:$J,MATCH(L1783,[1]Produtos!$B:$B,0)), "-")</f>
        <v>-</v>
      </c>
      <c r="T1783" s="475"/>
      <c r="U1783" s="270"/>
      <c r="V1783" s="270"/>
      <c r="W1783" s="270"/>
      <c r="X1783" s="270"/>
      <c r="Y1783" s="270"/>
      <c r="Z1783" s="270"/>
      <c r="AA1783" s="270"/>
      <c r="AB1783" s="270"/>
      <c r="AC1783" s="270"/>
      <c r="AD1783" s="270"/>
      <c r="AE1783" s="270"/>
      <c r="AF1783" s="270"/>
      <c r="AG1783" s="270"/>
      <c r="AH1783" s="270"/>
      <c r="AI1783" s="270"/>
      <c r="AJ1783" s="270"/>
      <c r="AK1783" s="270"/>
      <c r="AL1783" s="270"/>
      <c r="AM1783" s="663"/>
      <c r="AN1783" s="663"/>
      <c r="AO1783" s="708" t="str">
        <f>IF(OR(Table1[[#This Row],[Início Setup Envase]]="",Table1[[#This Row],[Final Setup Envase]]=""),"",Table1[[#This Row],[Final Setup Envase]]-Table1[[#This Row],[Início Setup Envase]])</f>
        <v/>
      </c>
      <c r="AP1783" s="663"/>
      <c r="AQ1783" s="663"/>
      <c r="AR1783" s="270"/>
      <c r="AS1783" s="674"/>
      <c r="AT1783" s="674"/>
      <c r="AU1783" s="270"/>
      <c r="AV1783" s="270"/>
      <c r="AW1783" s="270"/>
      <c r="AX1783" s="270"/>
      <c r="AY1783" s="270"/>
      <c r="AZ1783" s="270"/>
      <c r="BA1783" s="270" t="str">
        <f>IF(Table1[[#This Row],[Data de Início]]="","",YEAR(Table1[[#This Row],[Data de Início]]))</f>
        <v/>
      </c>
      <c r="BB1783" s="270" t="str">
        <f>IF(Table1[[#This Row],[Data de Início]]="","",MONTH(Table1[[#This Row],[Data de Início]]))</f>
        <v/>
      </c>
      <c r="BC1783" s="483"/>
    </row>
    <row r="1784" spans="2:55" x14ac:dyDescent="0.25">
      <c r="B1784" s="470"/>
      <c r="C1784" s="263"/>
      <c r="D1784" s="477" cm="1">
        <f t="array" ref="D1784">IFERROR(HorasUteisFabrica2Turnos(B1784,C1784), "")</f>
        <v>0</v>
      </c>
      <c r="E1784" s="478" t="str">
        <f t="shared" si="28"/>
        <v/>
      </c>
      <c r="F1784" s="266"/>
      <c r="G1784" s="656"/>
      <c r="H1784" s="479"/>
      <c r="I1784" s="268"/>
      <c r="J1784" s="268"/>
      <c r="K1784" s="268"/>
      <c r="L1784" s="269"/>
      <c r="M1784" s="511" t="str">
        <f>IFERROR(INDEX([1]Produtos!$C:$C,MATCH(L1784,[1]Produtos!$B:$B,0)), "-")</f>
        <v>-</v>
      </c>
      <c r="N1784" s="511" t="str">
        <f>IFERROR(INDEX([1]Produtos!$E:$E,MATCH(L1784,[1]Produtos!$B:$B,0)), "-")</f>
        <v>-</v>
      </c>
      <c r="O1784" s="483" t="str">
        <f>IFERROR(INDEX([1]Produtos!$F:$F,MATCH(L1784,[1]Produtos!$B:$B,0)), "-")</f>
        <v>-</v>
      </c>
      <c r="P1784" s="477" t="str">
        <f>IFERROR(INDEX([1]Produtos!$G:$G,MATCH(L1784,[1]Produtos!$B:$B,0)), "-")</f>
        <v>-</v>
      </c>
      <c r="Q1784" s="483" t="str">
        <f>IFERROR(INDEX([1]Produtos!$H:$H,MATCH(L1784,[1]Produtos!$B:$B,0)), "-")</f>
        <v>-</v>
      </c>
      <c r="R1784" s="483" t="str">
        <f>IFERROR(INDEX([1]Produtos!$I:$I,MATCH(L1784,[1]Produtos!$B:$B,0)), "-")</f>
        <v>-</v>
      </c>
      <c r="S1784" s="483" t="str">
        <f>IFERROR(INDEX([1]Produtos!$J:$J,MATCH(L1784,[1]Produtos!$B:$B,0)), "-")</f>
        <v>-</v>
      </c>
      <c r="T1784" s="484"/>
      <c r="U1784" s="483"/>
      <c r="V1784" s="483"/>
      <c r="W1784" s="483"/>
      <c r="X1784" s="483"/>
      <c r="Y1784" s="483"/>
      <c r="Z1784" s="483"/>
      <c r="AA1784" s="483"/>
      <c r="AB1784" s="483"/>
      <c r="AC1784" s="483"/>
      <c r="AD1784" s="483"/>
      <c r="AE1784" s="483"/>
      <c r="AF1784" s="483"/>
      <c r="AG1784" s="483"/>
      <c r="AH1784" s="483"/>
      <c r="AI1784" s="483"/>
      <c r="AJ1784" s="483"/>
      <c r="AK1784" s="483"/>
      <c r="AL1784" s="483"/>
      <c r="AM1784" s="670"/>
      <c r="AN1784" s="670"/>
      <c r="AO1784" s="711" t="str">
        <f>IF(OR(Table1[[#This Row],[Início Setup Envase]]="",Table1[[#This Row],[Final Setup Envase]]=""),"",Table1[[#This Row],[Final Setup Envase]]-Table1[[#This Row],[Início Setup Envase]])</f>
        <v/>
      </c>
      <c r="AP1784" s="670"/>
      <c r="AQ1784" s="670"/>
      <c r="AR1784" s="483"/>
      <c r="AS1784" s="483"/>
      <c r="AT1784" s="483"/>
      <c r="AU1784" s="483"/>
      <c r="AV1784" s="483"/>
      <c r="AW1784" s="483"/>
      <c r="AX1784" s="483"/>
      <c r="AY1784" s="270"/>
      <c r="AZ1784" s="270"/>
      <c r="BA1784" s="270" t="str">
        <f>IF(Table1[[#This Row],[Data de Início]]="","",YEAR(Table1[[#This Row],[Data de Início]]))</f>
        <v/>
      </c>
      <c r="BB1784" s="270" t="str">
        <f>IF(Table1[[#This Row],[Data de Início]]="","",MONTH(Table1[[#This Row],[Data de Início]]))</f>
        <v/>
      </c>
      <c r="BC1784" s="270"/>
    </row>
    <row r="1785" spans="2:55" x14ac:dyDescent="0.25">
      <c r="B1785" s="470"/>
      <c r="C1785" s="263"/>
      <c r="D1785" s="477" cm="1">
        <f t="array" ref="D1785">IFERROR(HorasUteisFabrica2Turnos(B1785,C1785), "")</f>
        <v>0</v>
      </c>
      <c r="E1785" s="697" t="str">
        <f t="shared" si="28"/>
        <v/>
      </c>
      <c r="F1785" s="266"/>
      <c r="G1785" s="698"/>
      <c r="H1785" s="266"/>
      <c r="I1785" s="268"/>
      <c r="J1785" s="268"/>
      <c r="K1785" s="268"/>
      <c r="L1785" s="269"/>
      <c r="M1785" s="510" t="str">
        <f>IFERROR(INDEX([1]Produtos!$C:$C,MATCH(L1785,[1]Produtos!$B:$B,0)), "-")</f>
        <v>-</v>
      </c>
      <c r="N1785" s="510" t="str">
        <f>IFERROR(INDEX([1]Produtos!$E:$E,MATCH(L1785,[1]Produtos!$B:$B,0)), "-")</f>
        <v>-</v>
      </c>
      <c r="O1785" s="270" t="str">
        <f>IFERROR(INDEX([1]Produtos!$F:$F,MATCH(L1785,[1]Produtos!$B:$B,0)), "-")</f>
        <v>-</v>
      </c>
      <c r="P1785" s="264" t="str">
        <f>IFERROR(INDEX([1]Produtos!$G:$G,MATCH(L1785,[1]Produtos!$B:$B,0)), "-")</f>
        <v>-</v>
      </c>
      <c r="Q1785" s="270" t="str">
        <f>IFERROR(INDEX([1]Produtos!$H:$H,MATCH(L1785,[1]Produtos!$B:$B,0)), "-")</f>
        <v>-</v>
      </c>
      <c r="R1785" s="270" t="str">
        <f>IFERROR(INDEX([1]Produtos!$I:$I,MATCH(L1785,[1]Produtos!$B:$B,0)), "-")</f>
        <v>-</v>
      </c>
      <c r="S1785" s="270" t="str">
        <f>IFERROR(INDEX([1]Produtos!$J:$J,MATCH(L1785,[1]Produtos!$B:$B,0)), "-")</f>
        <v>-</v>
      </c>
      <c r="T1785" s="475"/>
      <c r="U1785" s="270"/>
      <c r="V1785" s="270"/>
      <c r="W1785" s="270"/>
      <c r="X1785" s="270"/>
      <c r="Y1785" s="270"/>
      <c r="Z1785" s="270"/>
      <c r="AA1785" s="270"/>
      <c r="AB1785" s="270"/>
      <c r="AC1785" s="270"/>
      <c r="AD1785" s="270"/>
      <c r="AE1785" s="270"/>
      <c r="AF1785" s="270"/>
      <c r="AG1785" s="270"/>
      <c r="AH1785" s="270"/>
      <c r="AI1785" s="270"/>
      <c r="AJ1785" s="270"/>
      <c r="AK1785" s="270"/>
      <c r="AL1785" s="270"/>
      <c r="AM1785" s="663"/>
      <c r="AN1785" s="663"/>
      <c r="AO1785" s="708" t="str">
        <f>IF(OR(Table1[[#This Row],[Início Setup Envase]]="",Table1[[#This Row],[Final Setup Envase]]=""),"",Table1[[#This Row],[Final Setup Envase]]-Table1[[#This Row],[Início Setup Envase]])</f>
        <v/>
      </c>
      <c r="AP1785" s="663"/>
      <c r="AQ1785" s="663"/>
      <c r="AR1785" s="270"/>
      <c r="AS1785" s="674"/>
      <c r="AT1785" s="674"/>
      <c r="AU1785" s="270"/>
      <c r="AV1785" s="270"/>
      <c r="AW1785" s="270"/>
      <c r="AX1785" s="270"/>
      <c r="AY1785" s="270"/>
      <c r="AZ1785" s="270"/>
      <c r="BA1785" s="270" t="str">
        <f>IF(Table1[[#This Row],[Data de Início]]="","",YEAR(Table1[[#This Row],[Data de Início]]))</f>
        <v/>
      </c>
      <c r="BB1785" s="270" t="str">
        <f>IF(Table1[[#This Row],[Data de Início]]="","",MONTH(Table1[[#This Row],[Data de Início]]))</f>
        <v/>
      </c>
      <c r="BC1785" s="483"/>
    </row>
    <row r="1786" spans="2:55" x14ac:dyDescent="0.25">
      <c r="B1786" s="470"/>
      <c r="C1786" s="263"/>
      <c r="D1786" s="477" cm="1">
        <f t="array" ref="D1786">IFERROR(HorasUteisFabrica2Turnos(B1786,C1786), "")</f>
        <v>0</v>
      </c>
      <c r="E1786" s="478" t="str">
        <f t="shared" si="28"/>
        <v/>
      </c>
      <c r="F1786" s="266"/>
      <c r="G1786" s="656"/>
      <c r="H1786" s="479"/>
      <c r="I1786" s="268"/>
      <c r="J1786" s="268"/>
      <c r="K1786" s="268"/>
      <c r="L1786" s="269"/>
      <c r="M1786" s="511" t="str">
        <f>IFERROR(INDEX([1]Produtos!$C:$C,MATCH(L1786,[1]Produtos!$B:$B,0)), "-")</f>
        <v>-</v>
      </c>
      <c r="N1786" s="511" t="str">
        <f>IFERROR(INDEX([1]Produtos!$E:$E,MATCH(L1786,[1]Produtos!$B:$B,0)), "-")</f>
        <v>-</v>
      </c>
      <c r="O1786" s="483" t="str">
        <f>IFERROR(INDEX([1]Produtos!$F:$F,MATCH(L1786,[1]Produtos!$B:$B,0)), "-")</f>
        <v>-</v>
      </c>
      <c r="P1786" s="477" t="str">
        <f>IFERROR(INDEX([1]Produtos!$G:$G,MATCH(L1786,[1]Produtos!$B:$B,0)), "-")</f>
        <v>-</v>
      </c>
      <c r="Q1786" s="483" t="str">
        <f>IFERROR(INDEX([1]Produtos!$H:$H,MATCH(L1786,[1]Produtos!$B:$B,0)), "-")</f>
        <v>-</v>
      </c>
      <c r="R1786" s="483" t="str">
        <f>IFERROR(INDEX([1]Produtos!$I:$I,MATCH(L1786,[1]Produtos!$B:$B,0)), "-")</f>
        <v>-</v>
      </c>
      <c r="S1786" s="483" t="str">
        <f>IFERROR(INDEX([1]Produtos!$J:$J,MATCH(L1786,[1]Produtos!$B:$B,0)), "-")</f>
        <v>-</v>
      </c>
      <c r="T1786" s="484"/>
      <c r="U1786" s="483"/>
      <c r="V1786" s="483"/>
      <c r="W1786" s="483"/>
      <c r="X1786" s="483"/>
      <c r="Y1786" s="483"/>
      <c r="Z1786" s="483"/>
      <c r="AA1786" s="483"/>
      <c r="AB1786" s="483"/>
      <c r="AC1786" s="483"/>
      <c r="AD1786" s="483"/>
      <c r="AE1786" s="483"/>
      <c r="AF1786" s="483"/>
      <c r="AG1786" s="483"/>
      <c r="AH1786" s="483"/>
      <c r="AI1786" s="483"/>
      <c r="AJ1786" s="483"/>
      <c r="AK1786" s="483"/>
      <c r="AL1786" s="483"/>
      <c r="AM1786" s="670"/>
      <c r="AN1786" s="670"/>
      <c r="AO1786" s="711" t="str">
        <f>IF(OR(Table1[[#This Row],[Início Setup Envase]]="",Table1[[#This Row],[Final Setup Envase]]=""),"",Table1[[#This Row],[Final Setup Envase]]-Table1[[#This Row],[Início Setup Envase]])</f>
        <v/>
      </c>
      <c r="AP1786" s="670"/>
      <c r="AQ1786" s="670"/>
      <c r="AR1786" s="483"/>
      <c r="AS1786" s="483"/>
      <c r="AT1786" s="483"/>
      <c r="AU1786" s="483"/>
      <c r="AV1786" s="483"/>
      <c r="AW1786" s="483"/>
      <c r="AX1786" s="483"/>
      <c r="AY1786" s="270"/>
      <c r="AZ1786" s="270"/>
      <c r="BA1786" s="270" t="str">
        <f>IF(Table1[[#This Row],[Data de Início]]="","",YEAR(Table1[[#This Row],[Data de Início]]))</f>
        <v/>
      </c>
      <c r="BB1786" s="270" t="str">
        <f>IF(Table1[[#This Row],[Data de Início]]="","",MONTH(Table1[[#This Row],[Data de Início]]))</f>
        <v/>
      </c>
      <c r="BC1786" s="270"/>
    </row>
    <row r="1787" spans="2:55" x14ac:dyDescent="0.25">
      <c r="B1787" s="470"/>
      <c r="C1787" s="263"/>
      <c r="D1787" s="477" cm="1">
        <f t="array" ref="D1787">IFERROR(HorasUteisFabrica2Turnos(B1787,C1787), "")</f>
        <v>0</v>
      </c>
      <c r="E1787" s="697" t="str">
        <f t="shared" si="28"/>
        <v/>
      </c>
      <c r="F1787" s="266"/>
      <c r="G1787" s="698"/>
      <c r="H1787" s="266"/>
      <c r="I1787" s="268"/>
      <c r="J1787" s="268"/>
      <c r="K1787" s="268"/>
      <c r="L1787" s="269"/>
      <c r="M1787" s="510" t="str">
        <f>IFERROR(INDEX([1]Produtos!$C:$C,MATCH(L1787,[1]Produtos!$B:$B,0)), "-")</f>
        <v>-</v>
      </c>
      <c r="N1787" s="510" t="str">
        <f>IFERROR(INDEX([1]Produtos!$E:$E,MATCH(L1787,[1]Produtos!$B:$B,0)), "-")</f>
        <v>-</v>
      </c>
      <c r="O1787" s="270" t="str">
        <f>IFERROR(INDEX([1]Produtos!$F:$F,MATCH(L1787,[1]Produtos!$B:$B,0)), "-")</f>
        <v>-</v>
      </c>
      <c r="P1787" s="264" t="str">
        <f>IFERROR(INDEX([1]Produtos!$G:$G,MATCH(L1787,[1]Produtos!$B:$B,0)), "-")</f>
        <v>-</v>
      </c>
      <c r="Q1787" s="270" t="str">
        <f>IFERROR(INDEX([1]Produtos!$H:$H,MATCH(L1787,[1]Produtos!$B:$B,0)), "-")</f>
        <v>-</v>
      </c>
      <c r="R1787" s="270" t="str">
        <f>IFERROR(INDEX([1]Produtos!$I:$I,MATCH(L1787,[1]Produtos!$B:$B,0)), "-")</f>
        <v>-</v>
      </c>
      <c r="S1787" s="270" t="str">
        <f>IFERROR(INDEX([1]Produtos!$J:$J,MATCH(L1787,[1]Produtos!$B:$B,0)), "-")</f>
        <v>-</v>
      </c>
      <c r="T1787" s="475"/>
      <c r="U1787" s="270"/>
      <c r="V1787" s="270"/>
      <c r="W1787" s="270"/>
      <c r="X1787" s="270"/>
      <c r="Y1787" s="270"/>
      <c r="Z1787" s="270"/>
      <c r="AA1787" s="270"/>
      <c r="AB1787" s="270"/>
      <c r="AC1787" s="270"/>
      <c r="AD1787" s="270"/>
      <c r="AE1787" s="270"/>
      <c r="AF1787" s="270"/>
      <c r="AG1787" s="270"/>
      <c r="AH1787" s="270"/>
      <c r="AI1787" s="270"/>
      <c r="AJ1787" s="270"/>
      <c r="AK1787" s="270"/>
      <c r="AL1787" s="270"/>
      <c r="AM1787" s="663"/>
      <c r="AN1787" s="663"/>
      <c r="AO1787" s="708" t="str">
        <f>IF(OR(Table1[[#This Row],[Início Setup Envase]]="",Table1[[#This Row],[Final Setup Envase]]=""),"",Table1[[#This Row],[Final Setup Envase]]-Table1[[#This Row],[Início Setup Envase]])</f>
        <v/>
      </c>
      <c r="AP1787" s="663"/>
      <c r="AQ1787" s="663"/>
      <c r="AR1787" s="270"/>
      <c r="AS1787" s="674"/>
      <c r="AT1787" s="674"/>
      <c r="AU1787" s="270"/>
      <c r="AV1787" s="270"/>
      <c r="AW1787" s="270"/>
      <c r="AX1787" s="270"/>
      <c r="AY1787" s="270"/>
      <c r="AZ1787" s="270"/>
      <c r="BA1787" s="270" t="str">
        <f>IF(Table1[[#This Row],[Data de Início]]="","",YEAR(Table1[[#This Row],[Data de Início]]))</f>
        <v/>
      </c>
      <c r="BB1787" s="270" t="str">
        <f>IF(Table1[[#This Row],[Data de Início]]="","",MONTH(Table1[[#This Row],[Data de Início]]))</f>
        <v/>
      </c>
      <c r="BC1787" s="483"/>
    </row>
    <row r="1788" spans="2:55" x14ac:dyDescent="0.25">
      <c r="B1788" s="470"/>
      <c r="C1788" s="263"/>
      <c r="D1788" s="477" cm="1">
        <f t="array" ref="D1788">IFERROR(HorasUteisFabrica2Turnos(B1788,C1788), "")</f>
        <v>0</v>
      </c>
      <c r="E1788" s="478" t="str">
        <f t="shared" si="28"/>
        <v/>
      </c>
      <c r="F1788" s="266"/>
      <c r="G1788" s="656"/>
      <c r="H1788" s="479"/>
      <c r="I1788" s="268"/>
      <c r="J1788" s="268"/>
      <c r="K1788" s="268"/>
      <c r="L1788" s="269"/>
      <c r="M1788" s="511" t="str">
        <f>IFERROR(INDEX([1]Produtos!$C:$C,MATCH(L1788,[1]Produtos!$B:$B,0)), "-")</f>
        <v>-</v>
      </c>
      <c r="N1788" s="511" t="str">
        <f>IFERROR(INDEX([1]Produtos!$E:$E,MATCH(L1788,[1]Produtos!$B:$B,0)), "-")</f>
        <v>-</v>
      </c>
      <c r="O1788" s="483" t="str">
        <f>IFERROR(INDEX([1]Produtos!$F:$F,MATCH(L1788,[1]Produtos!$B:$B,0)), "-")</f>
        <v>-</v>
      </c>
      <c r="P1788" s="477" t="str">
        <f>IFERROR(INDEX([1]Produtos!$G:$G,MATCH(L1788,[1]Produtos!$B:$B,0)), "-")</f>
        <v>-</v>
      </c>
      <c r="Q1788" s="483" t="str">
        <f>IFERROR(INDEX([1]Produtos!$H:$H,MATCH(L1788,[1]Produtos!$B:$B,0)), "-")</f>
        <v>-</v>
      </c>
      <c r="R1788" s="483" t="str">
        <f>IFERROR(INDEX([1]Produtos!$I:$I,MATCH(L1788,[1]Produtos!$B:$B,0)), "-")</f>
        <v>-</v>
      </c>
      <c r="S1788" s="483" t="str">
        <f>IFERROR(INDEX([1]Produtos!$J:$J,MATCH(L1788,[1]Produtos!$B:$B,0)), "-")</f>
        <v>-</v>
      </c>
      <c r="T1788" s="484"/>
      <c r="U1788" s="483"/>
      <c r="V1788" s="483"/>
      <c r="W1788" s="483"/>
      <c r="X1788" s="483"/>
      <c r="Y1788" s="483"/>
      <c r="Z1788" s="483"/>
      <c r="AA1788" s="483"/>
      <c r="AB1788" s="483"/>
      <c r="AC1788" s="483"/>
      <c r="AD1788" s="483"/>
      <c r="AE1788" s="483"/>
      <c r="AF1788" s="483"/>
      <c r="AG1788" s="483"/>
      <c r="AH1788" s="483"/>
      <c r="AI1788" s="483"/>
      <c r="AJ1788" s="483"/>
      <c r="AK1788" s="483"/>
      <c r="AL1788" s="483"/>
      <c r="AM1788" s="670"/>
      <c r="AN1788" s="670"/>
      <c r="AO1788" s="711" t="str">
        <f>IF(OR(Table1[[#This Row],[Início Setup Envase]]="",Table1[[#This Row],[Final Setup Envase]]=""),"",Table1[[#This Row],[Final Setup Envase]]-Table1[[#This Row],[Início Setup Envase]])</f>
        <v/>
      </c>
      <c r="AP1788" s="670"/>
      <c r="AQ1788" s="670"/>
      <c r="AR1788" s="483"/>
      <c r="AS1788" s="483"/>
      <c r="AT1788" s="483"/>
      <c r="AU1788" s="483"/>
      <c r="AV1788" s="483"/>
      <c r="AW1788" s="483"/>
      <c r="AX1788" s="483"/>
      <c r="AY1788" s="270"/>
      <c r="AZ1788" s="270"/>
      <c r="BA1788" s="270" t="str">
        <f>IF(Table1[[#This Row],[Data de Início]]="","",YEAR(Table1[[#This Row],[Data de Início]]))</f>
        <v/>
      </c>
      <c r="BB1788" s="270" t="str">
        <f>IF(Table1[[#This Row],[Data de Início]]="","",MONTH(Table1[[#This Row],[Data de Início]]))</f>
        <v/>
      </c>
      <c r="BC1788" s="270"/>
    </row>
    <row r="1789" spans="2:55" x14ac:dyDescent="0.25">
      <c r="B1789" s="470"/>
      <c r="C1789" s="263"/>
      <c r="D1789" s="477" cm="1">
        <f t="array" ref="D1789">IFERROR(HorasUteisFabrica2Turnos(B1789,C1789), "")</f>
        <v>0</v>
      </c>
      <c r="E1789" s="697" t="str">
        <f t="shared" si="28"/>
        <v/>
      </c>
      <c r="F1789" s="266"/>
      <c r="G1789" s="698"/>
      <c r="H1789" s="266"/>
      <c r="I1789" s="268"/>
      <c r="J1789" s="268"/>
      <c r="K1789" s="268"/>
      <c r="L1789" s="269"/>
      <c r="M1789" s="510" t="str">
        <f>IFERROR(INDEX([1]Produtos!$C:$C,MATCH(L1789,[1]Produtos!$B:$B,0)), "-")</f>
        <v>-</v>
      </c>
      <c r="N1789" s="510" t="str">
        <f>IFERROR(INDEX([1]Produtos!$E:$E,MATCH(L1789,[1]Produtos!$B:$B,0)), "-")</f>
        <v>-</v>
      </c>
      <c r="O1789" s="270" t="str">
        <f>IFERROR(INDEX([1]Produtos!$F:$F,MATCH(L1789,[1]Produtos!$B:$B,0)), "-")</f>
        <v>-</v>
      </c>
      <c r="P1789" s="264" t="str">
        <f>IFERROR(INDEX([1]Produtos!$G:$G,MATCH(L1789,[1]Produtos!$B:$B,0)), "-")</f>
        <v>-</v>
      </c>
      <c r="Q1789" s="270" t="str">
        <f>IFERROR(INDEX([1]Produtos!$H:$H,MATCH(L1789,[1]Produtos!$B:$B,0)), "-")</f>
        <v>-</v>
      </c>
      <c r="R1789" s="270" t="str">
        <f>IFERROR(INDEX([1]Produtos!$I:$I,MATCH(L1789,[1]Produtos!$B:$B,0)), "-")</f>
        <v>-</v>
      </c>
      <c r="S1789" s="270" t="str">
        <f>IFERROR(INDEX([1]Produtos!$J:$J,MATCH(L1789,[1]Produtos!$B:$B,0)), "-")</f>
        <v>-</v>
      </c>
      <c r="T1789" s="475"/>
      <c r="U1789" s="270"/>
      <c r="V1789" s="270"/>
      <c r="W1789" s="270"/>
      <c r="X1789" s="270"/>
      <c r="Y1789" s="270"/>
      <c r="Z1789" s="270"/>
      <c r="AA1789" s="270"/>
      <c r="AB1789" s="270"/>
      <c r="AC1789" s="270"/>
      <c r="AD1789" s="270"/>
      <c r="AE1789" s="270"/>
      <c r="AF1789" s="270"/>
      <c r="AG1789" s="270"/>
      <c r="AH1789" s="270"/>
      <c r="AI1789" s="270"/>
      <c r="AJ1789" s="270"/>
      <c r="AK1789" s="270"/>
      <c r="AL1789" s="270"/>
      <c r="AM1789" s="663"/>
      <c r="AN1789" s="663"/>
      <c r="AO1789" s="708" t="str">
        <f>IF(OR(Table1[[#This Row],[Início Setup Envase]]="",Table1[[#This Row],[Final Setup Envase]]=""),"",Table1[[#This Row],[Final Setup Envase]]-Table1[[#This Row],[Início Setup Envase]])</f>
        <v/>
      </c>
      <c r="AP1789" s="663"/>
      <c r="AQ1789" s="663"/>
      <c r="AR1789" s="270"/>
      <c r="AS1789" s="674"/>
      <c r="AT1789" s="674"/>
      <c r="AU1789" s="270"/>
      <c r="AV1789" s="270"/>
      <c r="AW1789" s="270"/>
      <c r="AX1789" s="270"/>
      <c r="AY1789" s="270"/>
      <c r="AZ1789" s="270"/>
      <c r="BA1789" s="270" t="str">
        <f>IF(Table1[[#This Row],[Data de Início]]="","",YEAR(Table1[[#This Row],[Data de Início]]))</f>
        <v/>
      </c>
      <c r="BB1789" s="270" t="str">
        <f>IF(Table1[[#This Row],[Data de Início]]="","",MONTH(Table1[[#This Row],[Data de Início]]))</f>
        <v/>
      </c>
      <c r="BC1789" s="483"/>
    </row>
    <row r="1790" spans="2:55" x14ac:dyDescent="0.25">
      <c r="B1790" s="470"/>
      <c r="C1790" s="263"/>
      <c r="D1790" s="477" cm="1">
        <f t="array" ref="D1790">IFERROR(HorasUteisFabrica2Turnos(B1790,C1790), "")</f>
        <v>0</v>
      </c>
      <c r="E1790" s="478" t="str">
        <f t="shared" si="28"/>
        <v/>
      </c>
      <c r="F1790" s="266"/>
      <c r="G1790" s="656"/>
      <c r="H1790" s="479"/>
      <c r="I1790" s="268"/>
      <c r="J1790" s="268"/>
      <c r="K1790" s="268"/>
      <c r="L1790" s="269"/>
      <c r="M1790" s="511" t="str">
        <f>IFERROR(INDEX([1]Produtos!$C:$C,MATCH(L1790,[1]Produtos!$B:$B,0)), "-")</f>
        <v>-</v>
      </c>
      <c r="N1790" s="511" t="str">
        <f>IFERROR(INDEX([1]Produtos!$E:$E,MATCH(L1790,[1]Produtos!$B:$B,0)), "-")</f>
        <v>-</v>
      </c>
      <c r="O1790" s="483" t="str">
        <f>IFERROR(INDEX([1]Produtos!$F:$F,MATCH(L1790,[1]Produtos!$B:$B,0)), "-")</f>
        <v>-</v>
      </c>
      <c r="P1790" s="477" t="str">
        <f>IFERROR(INDEX([1]Produtos!$G:$G,MATCH(L1790,[1]Produtos!$B:$B,0)), "-")</f>
        <v>-</v>
      </c>
      <c r="Q1790" s="483" t="str">
        <f>IFERROR(INDEX([1]Produtos!$H:$H,MATCH(L1790,[1]Produtos!$B:$B,0)), "-")</f>
        <v>-</v>
      </c>
      <c r="R1790" s="483" t="str">
        <f>IFERROR(INDEX([1]Produtos!$I:$I,MATCH(L1790,[1]Produtos!$B:$B,0)), "-")</f>
        <v>-</v>
      </c>
      <c r="S1790" s="483" t="str">
        <f>IFERROR(INDEX([1]Produtos!$J:$J,MATCH(L1790,[1]Produtos!$B:$B,0)), "-")</f>
        <v>-</v>
      </c>
      <c r="T1790" s="484"/>
      <c r="U1790" s="483"/>
      <c r="V1790" s="483"/>
      <c r="W1790" s="483"/>
      <c r="X1790" s="483"/>
      <c r="Y1790" s="483"/>
      <c r="Z1790" s="483"/>
      <c r="AA1790" s="483"/>
      <c r="AB1790" s="483"/>
      <c r="AC1790" s="483"/>
      <c r="AD1790" s="483"/>
      <c r="AE1790" s="483"/>
      <c r="AF1790" s="483"/>
      <c r="AG1790" s="483"/>
      <c r="AH1790" s="483"/>
      <c r="AI1790" s="483"/>
      <c r="AJ1790" s="483"/>
      <c r="AK1790" s="483"/>
      <c r="AL1790" s="483"/>
      <c r="AM1790" s="670"/>
      <c r="AN1790" s="670"/>
      <c r="AO1790" s="711" t="str">
        <f>IF(OR(Table1[[#This Row],[Início Setup Envase]]="",Table1[[#This Row],[Final Setup Envase]]=""),"",Table1[[#This Row],[Final Setup Envase]]-Table1[[#This Row],[Início Setup Envase]])</f>
        <v/>
      </c>
      <c r="AP1790" s="670"/>
      <c r="AQ1790" s="670"/>
      <c r="AR1790" s="483"/>
      <c r="AS1790" s="483"/>
      <c r="AT1790" s="483"/>
      <c r="AU1790" s="483"/>
      <c r="AV1790" s="483"/>
      <c r="AW1790" s="483"/>
      <c r="AX1790" s="483"/>
      <c r="AY1790" s="270"/>
      <c r="AZ1790" s="270"/>
      <c r="BA1790" s="270" t="str">
        <f>IF(Table1[[#This Row],[Data de Início]]="","",YEAR(Table1[[#This Row],[Data de Início]]))</f>
        <v/>
      </c>
      <c r="BB1790" s="270" t="str">
        <f>IF(Table1[[#This Row],[Data de Início]]="","",MONTH(Table1[[#This Row],[Data de Início]]))</f>
        <v/>
      </c>
      <c r="BC1790" s="270"/>
    </row>
    <row r="1791" spans="2:55" x14ac:dyDescent="0.25">
      <c r="B1791" s="470"/>
      <c r="C1791" s="263"/>
      <c r="D1791" s="477" cm="1">
        <f t="array" ref="D1791">IFERROR(HorasUteisFabrica2Turnos(B1791,C1791), "")</f>
        <v>0</v>
      </c>
      <c r="E1791" s="697" t="str">
        <f t="shared" si="28"/>
        <v/>
      </c>
      <c r="F1791" s="266"/>
      <c r="G1791" s="698"/>
      <c r="H1791" s="266"/>
      <c r="I1791" s="268"/>
      <c r="J1791" s="268"/>
      <c r="K1791" s="268"/>
      <c r="L1791" s="269"/>
      <c r="M1791" s="510" t="str">
        <f>IFERROR(INDEX([1]Produtos!$C:$C,MATCH(L1791,[1]Produtos!$B:$B,0)), "-")</f>
        <v>-</v>
      </c>
      <c r="N1791" s="510" t="str">
        <f>IFERROR(INDEX([1]Produtos!$E:$E,MATCH(L1791,[1]Produtos!$B:$B,0)), "-")</f>
        <v>-</v>
      </c>
      <c r="O1791" s="270" t="str">
        <f>IFERROR(INDEX([1]Produtos!$F:$F,MATCH(L1791,[1]Produtos!$B:$B,0)), "-")</f>
        <v>-</v>
      </c>
      <c r="P1791" s="264" t="str">
        <f>IFERROR(INDEX([1]Produtos!$G:$G,MATCH(L1791,[1]Produtos!$B:$B,0)), "-")</f>
        <v>-</v>
      </c>
      <c r="Q1791" s="270" t="str">
        <f>IFERROR(INDEX([1]Produtos!$H:$H,MATCH(L1791,[1]Produtos!$B:$B,0)), "-")</f>
        <v>-</v>
      </c>
      <c r="R1791" s="270" t="str">
        <f>IFERROR(INDEX([1]Produtos!$I:$I,MATCH(L1791,[1]Produtos!$B:$B,0)), "-")</f>
        <v>-</v>
      </c>
      <c r="S1791" s="270" t="str">
        <f>IFERROR(INDEX([1]Produtos!$J:$J,MATCH(L1791,[1]Produtos!$B:$B,0)), "-")</f>
        <v>-</v>
      </c>
      <c r="T1791" s="475"/>
      <c r="U1791" s="270"/>
      <c r="V1791" s="270"/>
      <c r="W1791" s="270"/>
      <c r="X1791" s="270"/>
      <c r="Y1791" s="270"/>
      <c r="Z1791" s="270"/>
      <c r="AA1791" s="270"/>
      <c r="AB1791" s="270"/>
      <c r="AC1791" s="270"/>
      <c r="AD1791" s="270"/>
      <c r="AE1791" s="270"/>
      <c r="AF1791" s="270"/>
      <c r="AG1791" s="270"/>
      <c r="AH1791" s="270"/>
      <c r="AI1791" s="270"/>
      <c r="AJ1791" s="270"/>
      <c r="AK1791" s="270"/>
      <c r="AL1791" s="270"/>
      <c r="AM1791" s="663"/>
      <c r="AN1791" s="663"/>
      <c r="AO1791" s="708" t="str">
        <f>IF(OR(Table1[[#This Row],[Início Setup Envase]]="",Table1[[#This Row],[Final Setup Envase]]=""),"",Table1[[#This Row],[Final Setup Envase]]-Table1[[#This Row],[Início Setup Envase]])</f>
        <v/>
      </c>
      <c r="AP1791" s="663"/>
      <c r="AQ1791" s="663"/>
      <c r="AR1791" s="270"/>
      <c r="AS1791" s="674"/>
      <c r="AT1791" s="674"/>
      <c r="AU1791" s="270"/>
      <c r="AV1791" s="270"/>
      <c r="AW1791" s="270"/>
      <c r="AX1791" s="270"/>
      <c r="AY1791" s="270"/>
      <c r="AZ1791" s="270"/>
      <c r="BA1791" s="270" t="str">
        <f>IF(Table1[[#This Row],[Data de Início]]="","",YEAR(Table1[[#This Row],[Data de Início]]))</f>
        <v/>
      </c>
      <c r="BB1791" s="270" t="str">
        <f>IF(Table1[[#This Row],[Data de Início]]="","",MONTH(Table1[[#This Row],[Data de Início]]))</f>
        <v/>
      </c>
      <c r="BC1791" s="483"/>
    </row>
    <row r="1792" spans="2:55" x14ac:dyDescent="0.25">
      <c r="B1792" s="470"/>
      <c r="C1792" s="263"/>
      <c r="D1792" s="477" cm="1">
        <f t="array" ref="D1792">IFERROR(HorasUteisFabrica2Turnos(B1792,C1792), "")</f>
        <v>0</v>
      </c>
      <c r="E1792" s="478" t="str">
        <f t="shared" si="28"/>
        <v/>
      </c>
      <c r="F1792" s="266"/>
      <c r="G1792" s="656"/>
      <c r="H1792" s="479"/>
      <c r="I1792" s="268"/>
      <c r="J1792" s="268"/>
      <c r="K1792" s="268"/>
      <c r="L1792" s="269"/>
      <c r="M1792" s="511" t="str">
        <f>IFERROR(INDEX([1]Produtos!$C:$C,MATCH(L1792,[1]Produtos!$B:$B,0)), "-")</f>
        <v>-</v>
      </c>
      <c r="N1792" s="511" t="str">
        <f>IFERROR(INDEX([1]Produtos!$E:$E,MATCH(L1792,[1]Produtos!$B:$B,0)), "-")</f>
        <v>-</v>
      </c>
      <c r="O1792" s="483" t="str">
        <f>IFERROR(INDEX([1]Produtos!$F:$F,MATCH(L1792,[1]Produtos!$B:$B,0)), "-")</f>
        <v>-</v>
      </c>
      <c r="P1792" s="477" t="str">
        <f>IFERROR(INDEX([1]Produtos!$G:$G,MATCH(L1792,[1]Produtos!$B:$B,0)), "-")</f>
        <v>-</v>
      </c>
      <c r="Q1792" s="483" t="str">
        <f>IFERROR(INDEX([1]Produtos!$H:$H,MATCH(L1792,[1]Produtos!$B:$B,0)), "-")</f>
        <v>-</v>
      </c>
      <c r="R1792" s="483" t="str">
        <f>IFERROR(INDEX([1]Produtos!$I:$I,MATCH(L1792,[1]Produtos!$B:$B,0)), "-")</f>
        <v>-</v>
      </c>
      <c r="S1792" s="483" t="str">
        <f>IFERROR(INDEX([1]Produtos!$J:$J,MATCH(L1792,[1]Produtos!$B:$B,0)), "-")</f>
        <v>-</v>
      </c>
      <c r="T1792" s="484"/>
      <c r="U1792" s="483"/>
      <c r="V1792" s="483"/>
      <c r="W1792" s="483"/>
      <c r="X1792" s="483"/>
      <c r="Y1792" s="483"/>
      <c r="Z1792" s="483"/>
      <c r="AA1792" s="483"/>
      <c r="AB1792" s="483"/>
      <c r="AC1792" s="483"/>
      <c r="AD1792" s="483"/>
      <c r="AE1792" s="483"/>
      <c r="AF1792" s="483"/>
      <c r="AG1792" s="483"/>
      <c r="AH1792" s="483"/>
      <c r="AI1792" s="483"/>
      <c r="AJ1792" s="483"/>
      <c r="AK1792" s="483"/>
      <c r="AL1792" s="483"/>
      <c r="AM1792" s="670"/>
      <c r="AN1792" s="670"/>
      <c r="AO1792" s="711" t="str">
        <f>IF(OR(Table1[[#This Row],[Início Setup Envase]]="",Table1[[#This Row],[Final Setup Envase]]=""),"",Table1[[#This Row],[Final Setup Envase]]-Table1[[#This Row],[Início Setup Envase]])</f>
        <v/>
      </c>
      <c r="AP1792" s="670"/>
      <c r="AQ1792" s="670"/>
      <c r="AR1792" s="483"/>
      <c r="AS1792" s="483"/>
      <c r="AT1792" s="483"/>
      <c r="AU1792" s="483"/>
      <c r="AV1792" s="483"/>
      <c r="AW1792" s="483"/>
      <c r="AX1792" s="483"/>
      <c r="AY1792" s="270"/>
      <c r="AZ1792" s="270"/>
      <c r="BA1792" s="270" t="str">
        <f>IF(Table1[[#This Row],[Data de Início]]="","",YEAR(Table1[[#This Row],[Data de Início]]))</f>
        <v/>
      </c>
      <c r="BB1792" s="270" t="str">
        <f>IF(Table1[[#This Row],[Data de Início]]="","",MONTH(Table1[[#This Row],[Data de Início]]))</f>
        <v/>
      </c>
      <c r="BC1792" s="270"/>
    </row>
    <row r="1793" spans="2:55" x14ac:dyDescent="0.25">
      <c r="B1793" s="470"/>
      <c r="C1793" s="263"/>
      <c r="D1793" s="477" cm="1">
        <f t="array" ref="D1793">IFERROR(HorasUteisFabrica2Turnos(B1793,C1793), "")</f>
        <v>0</v>
      </c>
      <c r="E1793" s="697" t="str">
        <f t="shared" si="28"/>
        <v/>
      </c>
      <c r="F1793" s="266"/>
      <c r="G1793" s="698"/>
      <c r="H1793" s="266"/>
      <c r="I1793" s="268"/>
      <c r="J1793" s="268"/>
      <c r="K1793" s="268"/>
      <c r="L1793" s="269"/>
      <c r="M1793" s="510" t="str">
        <f>IFERROR(INDEX([1]Produtos!$C:$C,MATCH(L1793,[1]Produtos!$B:$B,0)), "-")</f>
        <v>-</v>
      </c>
      <c r="N1793" s="510" t="str">
        <f>IFERROR(INDEX([1]Produtos!$E:$E,MATCH(L1793,[1]Produtos!$B:$B,0)), "-")</f>
        <v>-</v>
      </c>
      <c r="O1793" s="270" t="str">
        <f>IFERROR(INDEX([1]Produtos!$F:$F,MATCH(L1793,[1]Produtos!$B:$B,0)), "-")</f>
        <v>-</v>
      </c>
      <c r="P1793" s="264" t="str">
        <f>IFERROR(INDEX([1]Produtos!$G:$G,MATCH(L1793,[1]Produtos!$B:$B,0)), "-")</f>
        <v>-</v>
      </c>
      <c r="Q1793" s="270" t="str">
        <f>IFERROR(INDEX([1]Produtos!$H:$H,MATCH(L1793,[1]Produtos!$B:$B,0)), "-")</f>
        <v>-</v>
      </c>
      <c r="R1793" s="270" t="str">
        <f>IFERROR(INDEX([1]Produtos!$I:$I,MATCH(L1793,[1]Produtos!$B:$B,0)), "-")</f>
        <v>-</v>
      </c>
      <c r="S1793" s="270" t="str">
        <f>IFERROR(INDEX([1]Produtos!$J:$J,MATCH(L1793,[1]Produtos!$B:$B,0)), "-")</f>
        <v>-</v>
      </c>
      <c r="T1793" s="475"/>
      <c r="U1793" s="270"/>
      <c r="V1793" s="270"/>
      <c r="W1793" s="270"/>
      <c r="X1793" s="270"/>
      <c r="Y1793" s="270"/>
      <c r="Z1793" s="270"/>
      <c r="AA1793" s="270"/>
      <c r="AB1793" s="270"/>
      <c r="AC1793" s="270"/>
      <c r="AD1793" s="270"/>
      <c r="AE1793" s="270"/>
      <c r="AF1793" s="270"/>
      <c r="AG1793" s="270"/>
      <c r="AH1793" s="270"/>
      <c r="AI1793" s="270"/>
      <c r="AJ1793" s="270"/>
      <c r="AK1793" s="270"/>
      <c r="AL1793" s="270"/>
      <c r="AM1793" s="663"/>
      <c r="AN1793" s="663"/>
      <c r="AO1793" s="708" t="str">
        <f>IF(OR(Table1[[#This Row],[Início Setup Envase]]="",Table1[[#This Row],[Final Setup Envase]]=""),"",Table1[[#This Row],[Final Setup Envase]]-Table1[[#This Row],[Início Setup Envase]])</f>
        <v/>
      </c>
      <c r="AP1793" s="663"/>
      <c r="AQ1793" s="663"/>
      <c r="AR1793" s="270"/>
      <c r="AS1793" s="674"/>
      <c r="AT1793" s="674"/>
      <c r="AU1793" s="270"/>
      <c r="AV1793" s="270"/>
      <c r="AW1793" s="270"/>
      <c r="AX1793" s="270"/>
      <c r="AY1793" s="270"/>
      <c r="AZ1793" s="270"/>
      <c r="BA1793" s="270" t="str">
        <f>IF(Table1[[#This Row],[Data de Início]]="","",YEAR(Table1[[#This Row],[Data de Início]]))</f>
        <v/>
      </c>
      <c r="BB1793" s="270" t="str">
        <f>IF(Table1[[#This Row],[Data de Início]]="","",MONTH(Table1[[#This Row],[Data de Início]]))</f>
        <v/>
      </c>
      <c r="BC1793" s="483"/>
    </row>
    <row r="1794" spans="2:55" x14ac:dyDescent="0.25">
      <c r="B1794" s="470"/>
      <c r="C1794" s="263"/>
      <c r="D1794" s="477" cm="1">
        <f t="array" ref="D1794">IFERROR(HorasUteisFabrica2Turnos(B1794,C1794), "")</f>
        <v>0</v>
      </c>
      <c r="E1794" s="478" t="str">
        <f t="shared" si="28"/>
        <v/>
      </c>
      <c r="F1794" s="266"/>
      <c r="G1794" s="656"/>
      <c r="H1794" s="479"/>
      <c r="I1794" s="268"/>
      <c r="J1794" s="268"/>
      <c r="K1794" s="268"/>
      <c r="L1794" s="269"/>
      <c r="M1794" s="511" t="str">
        <f>IFERROR(INDEX([1]Produtos!$C:$C,MATCH(L1794,[1]Produtos!$B:$B,0)), "-")</f>
        <v>-</v>
      </c>
      <c r="N1794" s="511" t="str">
        <f>IFERROR(INDEX([1]Produtos!$E:$E,MATCH(L1794,[1]Produtos!$B:$B,0)), "-")</f>
        <v>-</v>
      </c>
      <c r="O1794" s="483" t="str">
        <f>IFERROR(INDEX([1]Produtos!$F:$F,MATCH(L1794,[1]Produtos!$B:$B,0)), "-")</f>
        <v>-</v>
      </c>
      <c r="P1794" s="477" t="str">
        <f>IFERROR(INDEX([1]Produtos!$G:$G,MATCH(L1794,[1]Produtos!$B:$B,0)), "-")</f>
        <v>-</v>
      </c>
      <c r="Q1794" s="483" t="str">
        <f>IFERROR(INDEX([1]Produtos!$H:$H,MATCH(L1794,[1]Produtos!$B:$B,0)), "-")</f>
        <v>-</v>
      </c>
      <c r="R1794" s="483" t="str">
        <f>IFERROR(INDEX([1]Produtos!$I:$I,MATCH(L1794,[1]Produtos!$B:$B,0)), "-")</f>
        <v>-</v>
      </c>
      <c r="S1794" s="483" t="str">
        <f>IFERROR(INDEX([1]Produtos!$J:$J,MATCH(L1794,[1]Produtos!$B:$B,0)), "-")</f>
        <v>-</v>
      </c>
      <c r="T1794" s="484"/>
      <c r="U1794" s="483"/>
      <c r="V1794" s="483"/>
      <c r="W1794" s="483"/>
      <c r="X1794" s="483"/>
      <c r="Y1794" s="483"/>
      <c r="Z1794" s="483"/>
      <c r="AA1794" s="483"/>
      <c r="AB1794" s="483"/>
      <c r="AC1794" s="483"/>
      <c r="AD1794" s="483"/>
      <c r="AE1794" s="483"/>
      <c r="AF1794" s="483"/>
      <c r="AG1794" s="483"/>
      <c r="AH1794" s="483"/>
      <c r="AI1794" s="483"/>
      <c r="AJ1794" s="483"/>
      <c r="AK1794" s="483"/>
      <c r="AL1794" s="483"/>
      <c r="AM1794" s="670"/>
      <c r="AN1794" s="670"/>
      <c r="AO1794" s="711" t="str">
        <f>IF(OR(Table1[[#This Row],[Início Setup Envase]]="",Table1[[#This Row],[Final Setup Envase]]=""),"",Table1[[#This Row],[Final Setup Envase]]-Table1[[#This Row],[Início Setup Envase]])</f>
        <v/>
      </c>
      <c r="AP1794" s="670"/>
      <c r="AQ1794" s="670"/>
      <c r="AR1794" s="483"/>
      <c r="AS1794" s="483"/>
      <c r="AT1794" s="483"/>
      <c r="AU1794" s="483"/>
      <c r="AV1794" s="483"/>
      <c r="AW1794" s="483"/>
      <c r="AX1794" s="483"/>
      <c r="AY1794" s="270"/>
      <c r="AZ1794" s="270"/>
      <c r="BA1794" s="270" t="str">
        <f>IF(Table1[[#This Row],[Data de Início]]="","",YEAR(Table1[[#This Row],[Data de Início]]))</f>
        <v/>
      </c>
      <c r="BB1794" s="270" t="str">
        <f>IF(Table1[[#This Row],[Data de Início]]="","",MONTH(Table1[[#This Row],[Data de Início]]))</f>
        <v/>
      </c>
      <c r="BC1794" s="270"/>
    </row>
    <row r="1795" spans="2:55" x14ac:dyDescent="0.25">
      <c r="B1795" s="470"/>
      <c r="C1795" s="263"/>
      <c r="D1795" s="477" cm="1">
        <f t="array" ref="D1795">IFERROR(HorasUteisFabrica2Turnos(B1795,C1795), "")</f>
        <v>0</v>
      </c>
      <c r="E1795" s="697" t="str">
        <f t="shared" si="28"/>
        <v/>
      </c>
      <c r="F1795" s="266"/>
      <c r="G1795" s="698"/>
      <c r="H1795" s="266"/>
      <c r="I1795" s="268"/>
      <c r="J1795" s="268"/>
      <c r="K1795" s="268"/>
      <c r="L1795" s="269"/>
      <c r="M1795" s="510" t="str">
        <f>IFERROR(INDEX([1]Produtos!$C:$C,MATCH(L1795,[1]Produtos!$B:$B,0)), "-")</f>
        <v>-</v>
      </c>
      <c r="N1795" s="510" t="str">
        <f>IFERROR(INDEX([1]Produtos!$E:$E,MATCH(L1795,[1]Produtos!$B:$B,0)), "-")</f>
        <v>-</v>
      </c>
      <c r="O1795" s="270" t="str">
        <f>IFERROR(INDEX([1]Produtos!$F:$F,MATCH(L1795,[1]Produtos!$B:$B,0)), "-")</f>
        <v>-</v>
      </c>
      <c r="P1795" s="264" t="str">
        <f>IFERROR(INDEX([1]Produtos!$G:$G,MATCH(L1795,[1]Produtos!$B:$B,0)), "-")</f>
        <v>-</v>
      </c>
      <c r="Q1795" s="270" t="str">
        <f>IFERROR(INDEX([1]Produtos!$H:$H,MATCH(L1795,[1]Produtos!$B:$B,0)), "-")</f>
        <v>-</v>
      </c>
      <c r="R1795" s="270" t="str">
        <f>IFERROR(INDEX([1]Produtos!$I:$I,MATCH(L1795,[1]Produtos!$B:$B,0)), "-")</f>
        <v>-</v>
      </c>
      <c r="S1795" s="270" t="str">
        <f>IFERROR(INDEX([1]Produtos!$J:$J,MATCH(L1795,[1]Produtos!$B:$B,0)), "-")</f>
        <v>-</v>
      </c>
      <c r="T1795" s="475"/>
      <c r="U1795" s="270"/>
      <c r="V1795" s="270"/>
      <c r="W1795" s="270"/>
      <c r="X1795" s="270"/>
      <c r="Y1795" s="270"/>
      <c r="Z1795" s="270"/>
      <c r="AA1795" s="270"/>
      <c r="AB1795" s="270"/>
      <c r="AC1795" s="270"/>
      <c r="AD1795" s="270"/>
      <c r="AE1795" s="270"/>
      <c r="AF1795" s="270"/>
      <c r="AG1795" s="270"/>
      <c r="AH1795" s="270"/>
      <c r="AI1795" s="270"/>
      <c r="AJ1795" s="270"/>
      <c r="AK1795" s="270"/>
      <c r="AL1795" s="270"/>
      <c r="AM1795" s="663"/>
      <c r="AN1795" s="663"/>
      <c r="AO1795" s="708" t="str">
        <f>IF(OR(Table1[[#This Row],[Início Setup Envase]]="",Table1[[#This Row],[Final Setup Envase]]=""),"",Table1[[#This Row],[Final Setup Envase]]-Table1[[#This Row],[Início Setup Envase]])</f>
        <v/>
      </c>
      <c r="AP1795" s="663"/>
      <c r="AQ1795" s="663"/>
      <c r="AR1795" s="270"/>
      <c r="AS1795" s="674"/>
      <c r="AT1795" s="674"/>
      <c r="AU1795" s="270"/>
      <c r="AV1795" s="270"/>
      <c r="AW1795" s="270"/>
      <c r="AX1795" s="270"/>
      <c r="AY1795" s="270"/>
      <c r="AZ1795" s="270"/>
      <c r="BA1795" s="270" t="str">
        <f>IF(Table1[[#This Row],[Data de Início]]="","",YEAR(Table1[[#This Row],[Data de Início]]))</f>
        <v/>
      </c>
      <c r="BB1795" s="270" t="str">
        <f>IF(Table1[[#This Row],[Data de Início]]="","",MONTH(Table1[[#This Row],[Data de Início]]))</f>
        <v/>
      </c>
      <c r="BC1795" s="483"/>
    </row>
    <row r="1796" spans="2:55" x14ac:dyDescent="0.25">
      <c r="B1796" s="470"/>
      <c r="C1796" s="263"/>
      <c r="D1796" s="477" cm="1">
        <f t="array" ref="D1796">IFERROR(HorasUteisFabrica2Turnos(B1796,C1796), "")</f>
        <v>0</v>
      </c>
      <c r="E1796" s="478" t="str">
        <f t="shared" si="28"/>
        <v/>
      </c>
      <c r="F1796" s="266"/>
      <c r="G1796" s="656"/>
      <c r="H1796" s="479"/>
      <c r="I1796" s="268"/>
      <c r="J1796" s="268"/>
      <c r="K1796" s="268"/>
      <c r="L1796" s="269"/>
      <c r="M1796" s="511" t="str">
        <f>IFERROR(INDEX([1]Produtos!$C:$C,MATCH(L1796,[1]Produtos!$B:$B,0)), "-")</f>
        <v>-</v>
      </c>
      <c r="N1796" s="511" t="str">
        <f>IFERROR(INDEX([1]Produtos!$E:$E,MATCH(L1796,[1]Produtos!$B:$B,0)), "-")</f>
        <v>-</v>
      </c>
      <c r="O1796" s="483" t="str">
        <f>IFERROR(INDEX([1]Produtos!$F:$F,MATCH(L1796,[1]Produtos!$B:$B,0)), "-")</f>
        <v>-</v>
      </c>
      <c r="P1796" s="477" t="str">
        <f>IFERROR(INDEX([1]Produtos!$G:$G,MATCH(L1796,[1]Produtos!$B:$B,0)), "-")</f>
        <v>-</v>
      </c>
      <c r="Q1796" s="483" t="str">
        <f>IFERROR(INDEX([1]Produtos!$H:$H,MATCH(L1796,[1]Produtos!$B:$B,0)), "-")</f>
        <v>-</v>
      </c>
      <c r="R1796" s="483" t="str">
        <f>IFERROR(INDEX([1]Produtos!$I:$I,MATCH(L1796,[1]Produtos!$B:$B,0)), "-")</f>
        <v>-</v>
      </c>
      <c r="S1796" s="483" t="str">
        <f>IFERROR(INDEX([1]Produtos!$J:$J,MATCH(L1796,[1]Produtos!$B:$B,0)), "-")</f>
        <v>-</v>
      </c>
      <c r="T1796" s="484"/>
      <c r="U1796" s="483"/>
      <c r="V1796" s="483"/>
      <c r="W1796" s="483"/>
      <c r="X1796" s="483"/>
      <c r="Y1796" s="483"/>
      <c r="Z1796" s="483"/>
      <c r="AA1796" s="483"/>
      <c r="AB1796" s="483"/>
      <c r="AC1796" s="483"/>
      <c r="AD1796" s="483"/>
      <c r="AE1796" s="483"/>
      <c r="AF1796" s="483"/>
      <c r="AG1796" s="483"/>
      <c r="AH1796" s="483"/>
      <c r="AI1796" s="483"/>
      <c r="AJ1796" s="483"/>
      <c r="AK1796" s="483"/>
      <c r="AL1796" s="483"/>
      <c r="AM1796" s="670"/>
      <c r="AN1796" s="670"/>
      <c r="AO1796" s="711" t="str">
        <f>IF(OR(Table1[[#This Row],[Início Setup Envase]]="",Table1[[#This Row],[Final Setup Envase]]=""),"",Table1[[#This Row],[Final Setup Envase]]-Table1[[#This Row],[Início Setup Envase]])</f>
        <v/>
      </c>
      <c r="AP1796" s="670"/>
      <c r="AQ1796" s="670"/>
      <c r="AR1796" s="483"/>
      <c r="AS1796" s="483"/>
      <c r="AT1796" s="483"/>
      <c r="AU1796" s="483"/>
      <c r="AV1796" s="483"/>
      <c r="AW1796" s="483"/>
      <c r="AX1796" s="483"/>
      <c r="AY1796" s="270"/>
      <c r="AZ1796" s="270"/>
      <c r="BA1796" s="270" t="str">
        <f>IF(Table1[[#This Row],[Data de Início]]="","",YEAR(Table1[[#This Row],[Data de Início]]))</f>
        <v/>
      </c>
      <c r="BB1796" s="270" t="str">
        <f>IF(Table1[[#This Row],[Data de Início]]="","",MONTH(Table1[[#This Row],[Data de Início]]))</f>
        <v/>
      </c>
      <c r="BC1796" s="270"/>
    </row>
    <row r="1797" spans="2:55" x14ac:dyDescent="0.25">
      <c r="B1797" s="470"/>
      <c r="C1797" s="263"/>
      <c r="D1797" s="477" cm="1">
        <f t="array" ref="D1797">IFERROR(HorasUteisFabrica2Turnos(B1797,C1797), "")</f>
        <v>0</v>
      </c>
      <c r="E1797" s="697" t="str">
        <f t="shared" si="28"/>
        <v/>
      </c>
      <c r="F1797" s="266"/>
      <c r="G1797" s="698"/>
      <c r="H1797" s="266"/>
      <c r="I1797" s="268"/>
      <c r="J1797" s="268"/>
      <c r="K1797" s="268"/>
      <c r="L1797" s="269"/>
      <c r="M1797" s="510" t="str">
        <f>IFERROR(INDEX([1]Produtos!$C:$C,MATCH(L1797,[1]Produtos!$B:$B,0)), "-")</f>
        <v>-</v>
      </c>
      <c r="N1797" s="510" t="str">
        <f>IFERROR(INDEX([1]Produtos!$E:$E,MATCH(L1797,[1]Produtos!$B:$B,0)), "-")</f>
        <v>-</v>
      </c>
      <c r="O1797" s="270" t="str">
        <f>IFERROR(INDEX([1]Produtos!$F:$F,MATCH(L1797,[1]Produtos!$B:$B,0)), "-")</f>
        <v>-</v>
      </c>
      <c r="P1797" s="264" t="str">
        <f>IFERROR(INDEX([1]Produtos!$G:$G,MATCH(L1797,[1]Produtos!$B:$B,0)), "-")</f>
        <v>-</v>
      </c>
      <c r="Q1797" s="270" t="str">
        <f>IFERROR(INDEX([1]Produtos!$H:$H,MATCH(L1797,[1]Produtos!$B:$B,0)), "-")</f>
        <v>-</v>
      </c>
      <c r="R1797" s="270" t="str">
        <f>IFERROR(INDEX([1]Produtos!$I:$I,MATCH(L1797,[1]Produtos!$B:$B,0)), "-")</f>
        <v>-</v>
      </c>
      <c r="S1797" s="270" t="str">
        <f>IFERROR(INDEX([1]Produtos!$J:$J,MATCH(L1797,[1]Produtos!$B:$B,0)), "-")</f>
        <v>-</v>
      </c>
      <c r="T1797" s="475"/>
      <c r="U1797" s="270"/>
      <c r="V1797" s="270"/>
      <c r="W1797" s="270"/>
      <c r="X1797" s="270"/>
      <c r="Y1797" s="270"/>
      <c r="Z1797" s="270"/>
      <c r="AA1797" s="270"/>
      <c r="AB1797" s="270"/>
      <c r="AC1797" s="270"/>
      <c r="AD1797" s="270"/>
      <c r="AE1797" s="270"/>
      <c r="AF1797" s="270"/>
      <c r="AG1797" s="270"/>
      <c r="AH1797" s="270"/>
      <c r="AI1797" s="270"/>
      <c r="AJ1797" s="270"/>
      <c r="AK1797" s="270"/>
      <c r="AL1797" s="270"/>
      <c r="AM1797" s="663"/>
      <c r="AN1797" s="663"/>
      <c r="AO1797" s="708" t="str">
        <f>IF(OR(Table1[[#This Row],[Início Setup Envase]]="",Table1[[#This Row],[Final Setup Envase]]=""),"",Table1[[#This Row],[Final Setup Envase]]-Table1[[#This Row],[Início Setup Envase]])</f>
        <v/>
      </c>
      <c r="AP1797" s="663"/>
      <c r="AQ1797" s="663"/>
      <c r="AR1797" s="270"/>
      <c r="AS1797" s="674"/>
      <c r="AT1797" s="674"/>
      <c r="AU1797" s="270"/>
      <c r="AV1797" s="270"/>
      <c r="AW1797" s="270"/>
      <c r="AX1797" s="270"/>
      <c r="AY1797" s="270"/>
      <c r="AZ1797" s="270"/>
      <c r="BA1797" s="270" t="str">
        <f>IF(Table1[[#This Row],[Data de Início]]="","",YEAR(Table1[[#This Row],[Data de Início]]))</f>
        <v/>
      </c>
      <c r="BB1797" s="270" t="str">
        <f>IF(Table1[[#This Row],[Data de Início]]="","",MONTH(Table1[[#This Row],[Data de Início]]))</f>
        <v/>
      </c>
      <c r="BC1797" s="483"/>
    </row>
    <row r="1798" spans="2:55" x14ac:dyDescent="0.25">
      <c r="B1798" s="470"/>
      <c r="C1798" s="263"/>
      <c r="D1798" s="477" cm="1">
        <f t="array" ref="D1798">IFERROR(HorasUteisFabrica2Turnos(B1798,C1798), "")</f>
        <v>0</v>
      </c>
      <c r="E1798" s="478" t="str">
        <f t="shared" si="28"/>
        <v/>
      </c>
      <c r="F1798" s="266"/>
      <c r="G1798" s="656"/>
      <c r="H1798" s="479"/>
      <c r="I1798" s="268"/>
      <c r="J1798" s="268"/>
      <c r="K1798" s="268"/>
      <c r="L1798" s="269"/>
      <c r="M1798" s="511" t="str">
        <f>IFERROR(INDEX([1]Produtos!$C:$C,MATCH(L1798,[1]Produtos!$B:$B,0)), "-")</f>
        <v>-</v>
      </c>
      <c r="N1798" s="511" t="str">
        <f>IFERROR(INDEX([1]Produtos!$E:$E,MATCH(L1798,[1]Produtos!$B:$B,0)), "-")</f>
        <v>-</v>
      </c>
      <c r="O1798" s="483" t="str">
        <f>IFERROR(INDEX([1]Produtos!$F:$F,MATCH(L1798,[1]Produtos!$B:$B,0)), "-")</f>
        <v>-</v>
      </c>
      <c r="P1798" s="477" t="str">
        <f>IFERROR(INDEX([1]Produtos!$G:$G,MATCH(L1798,[1]Produtos!$B:$B,0)), "-")</f>
        <v>-</v>
      </c>
      <c r="Q1798" s="483" t="str">
        <f>IFERROR(INDEX([1]Produtos!$H:$H,MATCH(L1798,[1]Produtos!$B:$B,0)), "-")</f>
        <v>-</v>
      </c>
      <c r="R1798" s="483" t="str">
        <f>IFERROR(INDEX([1]Produtos!$I:$I,MATCH(L1798,[1]Produtos!$B:$B,0)), "-")</f>
        <v>-</v>
      </c>
      <c r="S1798" s="483" t="str">
        <f>IFERROR(INDEX([1]Produtos!$J:$J,MATCH(L1798,[1]Produtos!$B:$B,0)), "-")</f>
        <v>-</v>
      </c>
      <c r="T1798" s="484"/>
      <c r="U1798" s="483"/>
      <c r="V1798" s="483"/>
      <c r="W1798" s="483"/>
      <c r="X1798" s="483"/>
      <c r="Y1798" s="483"/>
      <c r="Z1798" s="483"/>
      <c r="AA1798" s="483"/>
      <c r="AB1798" s="483"/>
      <c r="AC1798" s="483"/>
      <c r="AD1798" s="483"/>
      <c r="AE1798" s="483"/>
      <c r="AF1798" s="483"/>
      <c r="AG1798" s="483"/>
      <c r="AH1798" s="483"/>
      <c r="AI1798" s="483"/>
      <c r="AJ1798" s="483"/>
      <c r="AK1798" s="483"/>
      <c r="AL1798" s="483"/>
      <c r="AM1798" s="670"/>
      <c r="AN1798" s="670"/>
      <c r="AO1798" s="711" t="str">
        <f>IF(OR(Table1[[#This Row],[Início Setup Envase]]="",Table1[[#This Row],[Final Setup Envase]]=""),"",Table1[[#This Row],[Final Setup Envase]]-Table1[[#This Row],[Início Setup Envase]])</f>
        <v/>
      </c>
      <c r="AP1798" s="670"/>
      <c r="AQ1798" s="670"/>
      <c r="AR1798" s="483"/>
      <c r="AS1798" s="483"/>
      <c r="AT1798" s="483"/>
      <c r="AU1798" s="483"/>
      <c r="AV1798" s="483"/>
      <c r="AW1798" s="483"/>
      <c r="AX1798" s="483"/>
      <c r="AY1798" s="270"/>
      <c r="AZ1798" s="270"/>
      <c r="BA1798" s="270" t="str">
        <f>IF(Table1[[#This Row],[Data de Início]]="","",YEAR(Table1[[#This Row],[Data de Início]]))</f>
        <v/>
      </c>
      <c r="BB1798" s="270" t="str">
        <f>IF(Table1[[#This Row],[Data de Início]]="","",MONTH(Table1[[#This Row],[Data de Início]]))</f>
        <v/>
      </c>
      <c r="BC1798" s="270"/>
    </row>
    <row r="1799" spans="2:55" x14ac:dyDescent="0.25">
      <c r="B1799" s="470"/>
      <c r="C1799" s="263"/>
      <c r="D1799" s="477" cm="1">
        <f t="array" ref="D1799">IFERROR(HorasUteisFabrica2Turnos(B1799,C1799), "")</f>
        <v>0</v>
      </c>
      <c r="E1799" s="697" t="str">
        <f t="shared" si="28"/>
        <v/>
      </c>
      <c r="F1799" s="266"/>
      <c r="G1799" s="698"/>
      <c r="H1799" s="266"/>
      <c r="I1799" s="268"/>
      <c r="J1799" s="268"/>
      <c r="K1799" s="268"/>
      <c r="L1799" s="269"/>
      <c r="M1799" s="510" t="str">
        <f>IFERROR(INDEX([1]Produtos!$C:$C,MATCH(L1799,[1]Produtos!$B:$B,0)), "-")</f>
        <v>-</v>
      </c>
      <c r="N1799" s="510" t="str">
        <f>IFERROR(INDEX([1]Produtos!$E:$E,MATCH(L1799,[1]Produtos!$B:$B,0)), "-")</f>
        <v>-</v>
      </c>
      <c r="O1799" s="270" t="str">
        <f>IFERROR(INDEX([1]Produtos!$F:$F,MATCH(L1799,[1]Produtos!$B:$B,0)), "-")</f>
        <v>-</v>
      </c>
      <c r="P1799" s="264" t="str">
        <f>IFERROR(INDEX([1]Produtos!$G:$G,MATCH(L1799,[1]Produtos!$B:$B,0)), "-")</f>
        <v>-</v>
      </c>
      <c r="Q1799" s="270" t="str">
        <f>IFERROR(INDEX([1]Produtos!$H:$H,MATCH(L1799,[1]Produtos!$B:$B,0)), "-")</f>
        <v>-</v>
      </c>
      <c r="R1799" s="270" t="str">
        <f>IFERROR(INDEX([1]Produtos!$I:$I,MATCH(L1799,[1]Produtos!$B:$B,0)), "-")</f>
        <v>-</v>
      </c>
      <c r="S1799" s="270" t="str">
        <f>IFERROR(INDEX([1]Produtos!$J:$J,MATCH(L1799,[1]Produtos!$B:$B,0)), "-")</f>
        <v>-</v>
      </c>
      <c r="T1799" s="475"/>
      <c r="U1799" s="270"/>
      <c r="V1799" s="270"/>
      <c r="W1799" s="270"/>
      <c r="X1799" s="270"/>
      <c r="Y1799" s="270"/>
      <c r="Z1799" s="270"/>
      <c r="AA1799" s="270"/>
      <c r="AB1799" s="270"/>
      <c r="AC1799" s="270"/>
      <c r="AD1799" s="270"/>
      <c r="AE1799" s="270"/>
      <c r="AF1799" s="270"/>
      <c r="AG1799" s="270"/>
      <c r="AH1799" s="270"/>
      <c r="AI1799" s="270"/>
      <c r="AJ1799" s="270"/>
      <c r="AK1799" s="270"/>
      <c r="AL1799" s="270"/>
      <c r="AM1799" s="663"/>
      <c r="AN1799" s="663"/>
      <c r="AO1799" s="708" t="str">
        <f>IF(OR(Table1[[#This Row],[Início Setup Envase]]="",Table1[[#This Row],[Final Setup Envase]]=""),"",Table1[[#This Row],[Final Setup Envase]]-Table1[[#This Row],[Início Setup Envase]])</f>
        <v/>
      </c>
      <c r="AP1799" s="663"/>
      <c r="AQ1799" s="663"/>
      <c r="AR1799" s="270"/>
      <c r="AS1799" s="674"/>
      <c r="AT1799" s="674"/>
      <c r="AU1799" s="270"/>
      <c r="AV1799" s="270"/>
      <c r="AW1799" s="270"/>
      <c r="AX1799" s="270"/>
      <c r="AY1799" s="270"/>
      <c r="AZ1799" s="270"/>
      <c r="BA1799" s="270" t="str">
        <f>IF(Table1[[#This Row],[Data de Início]]="","",YEAR(Table1[[#This Row],[Data de Início]]))</f>
        <v/>
      </c>
      <c r="BB1799" s="270" t="str">
        <f>IF(Table1[[#This Row],[Data de Início]]="","",MONTH(Table1[[#This Row],[Data de Início]]))</f>
        <v/>
      </c>
      <c r="BC1799" s="483"/>
    </row>
    <row r="1800" spans="2:55" x14ac:dyDescent="0.25">
      <c r="B1800" s="470"/>
      <c r="C1800" s="263"/>
      <c r="D1800" s="477" cm="1">
        <f t="array" ref="D1800">IFERROR(HorasUteisFabrica2Turnos(B1800,C1800), "")</f>
        <v>0</v>
      </c>
      <c r="E1800" s="478" t="str">
        <f t="shared" si="28"/>
        <v/>
      </c>
      <c r="F1800" s="266"/>
      <c r="G1800" s="656"/>
      <c r="H1800" s="479"/>
      <c r="I1800" s="268"/>
      <c r="J1800" s="268"/>
      <c r="K1800" s="268"/>
      <c r="L1800" s="269"/>
      <c r="M1800" s="511" t="str">
        <f>IFERROR(INDEX([1]Produtos!$C:$C,MATCH(L1800,[1]Produtos!$B:$B,0)), "-")</f>
        <v>-</v>
      </c>
      <c r="N1800" s="511" t="str">
        <f>IFERROR(INDEX([1]Produtos!$E:$E,MATCH(L1800,[1]Produtos!$B:$B,0)), "-")</f>
        <v>-</v>
      </c>
      <c r="O1800" s="483" t="str">
        <f>IFERROR(INDEX([1]Produtos!$F:$F,MATCH(L1800,[1]Produtos!$B:$B,0)), "-")</f>
        <v>-</v>
      </c>
      <c r="P1800" s="477" t="str">
        <f>IFERROR(INDEX([1]Produtos!$G:$G,MATCH(L1800,[1]Produtos!$B:$B,0)), "-")</f>
        <v>-</v>
      </c>
      <c r="Q1800" s="483" t="str">
        <f>IFERROR(INDEX([1]Produtos!$H:$H,MATCH(L1800,[1]Produtos!$B:$B,0)), "-")</f>
        <v>-</v>
      </c>
      <c r="R1800" s="483" t="str">
        <f>IFERROR(INDEX([1]Produtos!$I:$I,MATCH(L1800,[1]Produtos!$B:$B,0)), "-")</f>
        <v>-</v>
      </c>
      <c r="S1800" s="483" t="str">
        <f>IFERROR(INDEX([1]Produtos!$J:$J,MATCH(L1800,[1]Produtos!$B:$B,0)), "-")</f>
        <v>-</v>
      </c>
      <c r="T1800" s="484"/>
      <c r="U1800" s="483"/>
      <c r="V1800" s="483"/>
      <c r="W1800" s="483"/>
      <c r="X1800" s="483"/>
      <c r="Y1800" s="483"/>
      <c r="Z1800" s="483"/>
      <c r="AA1800" s="483"/>
      <c r="AB1800" s="483"/>
      <c r="AC1800" s="483"/>
      <c r="AD1800" s="483"/>
      <c r="AE1800" s="483"/>
      <c r="AF1800" s="483"/>
      <c r="AG1800" s="483"/>
      <c r="AH1800" s="483"/>
      <c r="AI1800" s="483"/>
      <c r="AJ1800" s="483"/>
      <c r="AK1800" s="483"/>
      <c r="AL1800" s="483"/>
      <c r="AM1800" s="670"/>
      <c r="AN1800" s="670"/>
      <c r="AO1800" s="711" t="str">
        <f>IF(OR(Table1[[#This Row],[Início Setup Envase]]="",Table1[[#This Row],[Final Setup Envase]]=""),"",Table1[[#This Row],[Final Setup Envase]]-Table1[[#This Row],[Início Setup Envase]])</f>
        <v/>
      </c>
      <c r="AP1800" s="670"/>
      <c r="AQ1800" s="670"/>
      <c r="AR1800" s="483"/>
      <c r="AS1800" s="483"/>
      <c r="AT1800" s="483"/>
      <c r="AU1800" s="483"/>
      <c r="AV1800" s="483"/>
      <c r="AW1800" s="483"/>
      <c r="AX1800" s="483"/>
      <c r="AY1800" s="270"/>
      <c r="AZ1800" s="270"/>
      <c r="BA1800" s="270" t="str">
        <f>IF(Table1[[#This Row],[Data de Início]]="","",YEAR(Table1[[#This Row],[Data de Início]]))</f>
        <v/>
      </c>
      <c r="BB1800" s="270" t="str">
        <f>IF(Table1[[#This Row],[Data de Início]]="","",MONTH(Table1[[#This Row],[Data de Início]]))</f>
        <v/>
      </c>
      <c r="BC1800" s="270"/>
    </row>
    <row r="1801" spans="2:55" x14ac:dyDescent="0.25">
      <c r="B1801" s="470"/>
      <c r="C1801" s="263"/>
      <c r="D1801" s="477" cm="1">
        <f t="array" ref="D1801">IFERROR(HorasUteisFabrica2Turnos(B1801,C1801), "")</f>
        <v>0</v>
      </c>
      <c r="E1801" s="697" t="str">
        <f t="shared" si="28"/>
        <v/>
      </c>
      <c r="F1801" s="266"/>
      <c r="G1801" s="698"/>
      <c r="H1801" s="266"/>
      <c r="I1801" s="268"/>
      <c r="J1801" s="268"/>
      <c r="K1801" s="268"/>
      <c r="L1801" s="269"/>
      <c r="M1801" s="510" t="str">
        <f>IFERROR(INDEX([1]Produtos!$C:$C,MATCH(L1801,[1]Produtos!$B:$B,0)), "-")</f>
        <v>-</v>
      </c>
      <c r="N1801" s="510" t="str">
        <f>IFERROR(INDEX([1]Produtos!$E:$E,MATCH(L1801,[1]Produtos!$B:$B,0)), "-")</f>
        <v>-</v>
      </c>
      <c r="O1801" s="270" t="str">
        <f>IFERROR(INDEX([1]Produtos!$F:$F,MATCH(L1801,[1]Produtos!$B:$B,0)), "-")</f>
        <v>-</v>
      </c>
      <c r="P1801" s="264" t="str">
        <f>IFERROR(INDEX([1]Produtos!$G:$G,MATCH(L1801,[1]Produtos!$B:$B,0)), "-")</f>
        <v>-</v>
      </c>
      <c r="Q1801" s="270" t="str">
        <f>IFERROR(INDEX([1]Produtos!$H:$H,MATCH(L1801,[1]Produtos!$B:$B,0)), "-")</f>
        <v>-</v>
      </c>
      <c r="R1801" s="270" t="str">
        <f>IFERROR(INDEX([1]Produtos!$I:$I,MATCH(L1801,[1]Produtos!$B:$B,0)), "-")</f>
        <v>-</v>
      </c>
      <c r="S1801" s="270" t="str">
        <f>IFERROR(INDEX([1]Produtos!$J:$J,MATCH(L1801,[1]Produtos!$B:$B,0)), "-")</f>
        <v>-</v>
      </c>
      <c r="T1801" s="475"/>
      <c r="U1801" s="270"/>
      <c r="V1801" s="270"/>
      <c r="W1801" s="270"/>
      <c r="X1801" s="270"/>
      <c r="Y1801" s="270"/>
      <c r="Z1801" s="270"/>
      <c r="AA1801" s="270"/>
      <c r="AB1801" s="270"/>
      <c r="AC1801" s="270"/>
      <c r="AD1801" s="270"/>
      <c r="AE1801" s="270"/>
      <c r="AF1801" s="270"/>
      <c r="AG1801" s="270"/>
      <c r="AH1801" s="270"/>
      <c r="AI1801" s="270"/>
      <c r="AJ1801" s="270"/>
      <c r="AK1801" s="270"/>
      <c r="AL1801" s="270"/>
      <c r="AM1801" s="663"/>
      <c r="AN1801" s="663"/>
      <c r="AO1801" s="708" t="str">
        <f>IF(OR(Table1[[#This Row],[Início Setup Envase]]="",Table1[[#This Row],[Final Setup Envase]]=""),"",Table1[[#This Row],[Final Setup Envase]]-Table1[[#This Row],[Início Setup Envase]])</f>
        <v/>
      </c>
      <c r="AP1801" s="663"/>
      <c r="AQ1801" s="663"/>
      <c r="AR1801" s="270"/>
      <c r="AS1801" s="674"/>
      <c r="AT1801" s="674"/>
      <c r="AU1801" s="270"/>
      <c r="AV1801" s="270"/>
      <c r="AW1801" s="270"/>
      <c r="AX1801" s="270"/>
      <c r="AY1801" s="270"/>
      <c r="AZ1801" s="270"/>
      <c r="BA1801" s="270" t="str">
        <f>IF(Table1[[#This Row],[Data de Início]]="","",YEAR(Table1[[#This Row],[Data de Início]]))</f>
        <v/>
      </c>
      <c r="BB1801" s="270" t="str">
        <f>IF(Table1[[#This Row],[Data de Início]]="","",MONTH(Table1[[#This Row],[Data de Início]]))</f>
        <v/>
      </c>
      <c r="BC1801" s="483"/>
    </row>
    <row r="1802" spans="2:55" x14ac:dyDescent="0.25">
      <c r="B1802" s="470"/>
      <c r="C1802" s="263"/>
      <c r="D1802" s="477" cm="1">
        <f t="array" ref="D1802">IFERROR(HorasUteisFabrica2Turnos(B1802,C1802), "")</f>
        <v>0</v>
      </c>
      <c r="E1802" s="478" t="str">
        <f t="shared" si="28"/>
        <v/>
      </c>
      <c r="F1802" s="266"/>
      <c r="G1802" s="656"/>
      <c r="H1802" s="479"/>
      <c r="I1802" s="268"/>
      <c r="J1802" s="268"/>
      <c r="K1802" s="268"/>
      <c r="L1802" s="269"/>
      <c r="M1802" s="511" t="str">
        <f>IFERROR(INDEX([1]Produtos!$C:$C,MATCH(L1802,[1]Produtos!$B:$B,0)), "-")</f>
        <v>-</v>
      </c>
      <c r="N1802" s="511" t="str">
        <f>IFERROR(INDEX([1]Produtos!$E:$E,MATCH(L1802,[1]Produtos!$B:$B,0)), "-")</f>
        <v>-</v>
      </c>
      <c r="O1802" s="483" t="str">
        <f>IFERROR(INDEX([1]Produtos!$F:$F,MATCH(L1802,[1]Produtos!$B:$B,0)), "-")</f>
        <v>-</v>
      </c>
      <c r="P1802" s="477" t="str">
        <f>IFERROR(INDEX([1]Produtos!$G:$G,MATCH(L1802,[1]Produtos!$B:$B,0)), "-")</f>
        <v>-</v>
      </c>
      <c r="Q1802" s="483" t="str">
        <f>IFERROR(INDEX([1]Produtos!$H:$H,MATCH(L1802,[1]Produtos!$B:$B,0)), "-")</f>
        <v>-</v>
      </c>
      <c r="R1802" s="483" t="str">
        <f>IFERROR(INDEX([1]Produtos!$I:$I,MATCH(L1802,[1]Produtos!$B:$B,0)), "-")</f>
        <v>-</v>
      </c>
      <c r="S1802" s="483" t="str">
        <f>IFERROR(INDEX([1]Produtos!$J:$J,MATCH(L1802,[1]Produtos!$B:$B,0)), "-")</f>
        <v>-</v>
      </c>
      <c r="T1802" s="484"/>
      <c r="U1802" s="483"/>
      <c r="V1802" s="483"/>
      <c r="W1802" s="483"/>
      <c r="X1802" s="483"/>
      <c r="Y1802" s="483"/>
      <c r="Z1802" s="483"/>
      <c r="AA1802" s="483"/>
      <c r="AB1802" s="483"/>
      <c r="AC1802" s="483"/>
      <c r="AD1802" s="483"/>
      <c r="AE1802" s="483"/>
      <c r="AF1802" s="483"/>
      <c r="AG1802" s="483"/>
      <c r="AH1802" s="483"/>
      <c r="AI1802" s="483"/>
      <c r="AJ1802" s="483"/>
      <c r="AK1802" s="483"/>
      <c r="AL1802" s="483"/>
      <c r="AM1802" s="670"/>
      <c r="AN1802" s="670"/>
      <c r="AO1802" s="711" t="str">
        <f>IF(OR(Table1[[#This Row],[Início Setup Envase]]="",Table1[[#This Row],[Final Setup Envase]]=""),"",Table1[[#This Row],[Final Setup Envase]]-Table1[[#This Row],[Início Setup Envase]])</f>
        <v/>
      </c>
      <c r="AP1802" s="670"/>
      <c r="AQ1802" s="670"/>
      <c r="AR1802" s="483"/>
      <c r="AS1802" s="483"/>
      <c r="AT1802" s="483"/>
      <c r="AU1802" s="483"/>
      <c r="AV1802" s="483"/>
      <c r="AW1802" s="483"/>
      <c r="AX1802" s="483"/>
      <c r="AY1802" s="270"/>
      <c r="AZ1802" s="270"/>
      <c r="BA1802" s="270" t="str">
        <f>IF(Table1[[#This Row],[Data de Início]]="","",YEAR(Table1[[#This Row],[Data de Início]]))</f>
        <v/>
      </c>
      <c r="BB1802" s="270" t="str">
        <f>IF(Table1[[#This Row],[Data de Início]]="","",MONTH(Table1[[#This Row],[Data de Início]]))</f>
        <v/>
      </c>
      <c r="BC1802" s="270"/>
    </row>
    <row r="1803" spans="2:55" x14ac:dyDescent="0.25">
      <c r="B1803" s="470"/>
      <c r="C1803" s="263"/>
      <c r="D1803" s="477" cm="1">
        <f t="array" ref="D1803">IFERROR(HorasUteisFabrica2Turnos(B1803,C1803), "")</f>
        <v>0</v>
      </c>
      <c r="E1803" s="697" t="str">
        <f t="shared" si="28"/>
        <v/>
      </c>
      <c r="F1803" s="266"/>
      <c r="G1803" s="698"/>
      <c r="H1803" s="266"/>
      <c r="I1803" s="268"/>
      <c r="J1803" s="268"/>
      <c r="K1803" s="268"/>
      <c r="L1803" s="269"/>
      <c r="M1803" s="510" t="str">
        <f>IFERROR(INDEX([1]Produtos!$C:$C,MATCH(L1803,[1]Produtos!$B:$B,0)), "-")</f>
        <v>-</v>
      </c>
      <c r="N1803" s="510" t="str">
        <f>IFERROR(INDEX([1]Produtos!$E:$E,MATCH(L1803,[1]Produtos!$B:$B,0)), "-")</f>
        <v>-</v>
      </c>
      <c r="O1803" s="270" t="str">
        <f>IFERROR(INDEX([1]Produtos!$F:$F,MATCH(L1803,[1]Produtos!$B:$B,0)), "-")</f>
        <v>-</v>
      </c>
      <c r="P1803" s="264" t="str">
        <f>IFERROR(INDEX([1]Produtos!$G:$G,MATCH(L1803,[1]Produtos!$B:$B,0)), "-")</f>
        <v>-</v>
      </c>
      <c r="Q1803" s="270" t="str">
        <f>IFERROR(INDEX([1]Produtos!$H:$H,MATCH(L1803,[1]Produtos!$B:$B,0)), "-")</f>
        <v>-</v>
      </c>
      <c r="R1803" s="270" t="str">
        <f>IFERROR(INDEX([1]Produtos!$I:$I,MATCH(L1803,[1]Produtos!$B:$B,0)), "-")</f>
        <v>-</v>
      </c>
      <c r="S1803" s="270" t="str">
        <f>IFERROR(INDEX([1]Produtos!$J:$J,MATCH(L1803,[1]Produtos!$B:$B,0)), "-")</f>
        <v>-</v>
      </c>
      <c r="T1803" s="475"/>
      <c r="U1803" s="270"/>
      <c r="V1803" s="270"/>
      <c r="W1803" s="270"/>
      <c r="X1803" s="270"/>
      <c r="Y1803" s="270"/>
      <c r="Z1803" s="270"/>
      <c r="AA1803" s="270"/>
      <c r="AB1803" s="270"/>
      <c r="AC1803" s="270"/>
      <c r="AD1803" s="270"/>
      <c r="AE1803" s="270"/>
      <c r="AF1803" s="270"/>
      <c r="AG1803" s="270"/>
      <c r="AH1803" s="270"/>
      <c r="AI1803" s="270"/>
      <c r="AJ1803" s="270"/>
      <c r="AK1803" s="270"/>
      <c r="AL1803" s="270"/>
      <c r="AM1803" s="663"/>
      <c r="AN1803" s="663"/>
      <c r="AO1803" s="708" t="str">
        <f>IF(OR(Table1[[#This Row],[Início Setup Envase]]="",Table1[[#This Row],[Final Setup Envase]]=""),"",Table1[[#This Row],[Final Setup Envase]]-Table1[[#This Row],[Início Setup Envase]])</f>
        <v/>
      </c>
      <c r="AP1803" s="663"/>
      <c r="AQ1803" s="663"/>
      <c r="AR1803" s="270"/>
      <c r="AS1803" s="674"/>
      <c r="AT1803" s="674"/>
      <c r="AU1803" s="270"/>
      <c r="AV1803" s="270"/>
      <c r="AW1803" s="270"/>
      <c r="AX1803" s="270"/>
      <c r="AY1803" s="270"/>
      <c r="AZ1803" s="270"/>
      <c r="BA1803" s="270" t="str">
        <f>IF(Table1[[#This Row],[Data de Início]]="","",YEAR(Table1[[#This Row],[Data de Início]]))</f>
        <v/>
      </c>
      <c r="BB1803" s="270" t="str">
        <f>IF(Table1[[#This Row],[Data de Início]]="","",MONTH(Table1[[#This Row],[Data de Início]]))</f>
        <v/>
      </c>
      <c r="BC1803" s="483"/>
    </row>
    <row r="1804" spans="2:55" x14ac:dyDescent="0.25">
      <c r="B1804" s="470"/>
      <c r="C1804" s="263"/>
      <c r="D1804" s="477" cm="1">
        <f t="array" ref="D1804">IFERROR(HorasUteisFabrica2Turnos(B1804,C1804), "")</f>
        <v>0</v>
      </c>
      <c r="E1804" s="478" t="str">
        <f t="shared" si="28"/>
        <v/>
      </c>
      <c r="F1804" s="266"/>
      <c r="G1804" s="656"/>
      <c r="H1804" s="479"/>
      <c r="I1804" s="268"/>
      <c r="J1804" s="268"/>
      <c r="K1804" s="268"/>
      <c r="L1804" s="269"/>
      <c r="M1804" s="511" t="str">
        <f>IFERROR(INDEX([1]Produtos!$C:$C,MATCH(L1804,[1]Produtos!$B:$B,0)), "-")</f>
        <v>-</v>
      </c>
      <c r="N1804" s="511" t="str">
        <f>IFERROR(INDEX([1]Produtos!$E:$E,MATCH(L1804,[1]Produtos!$B:$B,0)), "-")</f>
        <v>-</v>
      </c>
      <c r="O1804" s="483" t="str">
        <f>IFERROR(INDEX([1]Produtos!$F:$F,MATCH(L1804,[1]Produtos!$B:$B,0)), "-")</f>
        <v>-</v>
      </c>
      <c r="P1804" s="477" t="str">
        <f>IFERROR(INDEX([1]Produtos!$G:$G,MATCH(L1804,[1]Produtos!$B:$B,0)), "-")</f>
        <v>-</v>
      </c>
      <c r="Q1804" s="483" t="str">
        <f>IFERROR(INDEX([1]Produtos!$H:$H,MATCH(L1804,[1]Produtos!$B:$B,0)), "-")</f>
        <v>-</v>
      </c>
      <c r="R1804" s="483" t="str">
        <f>IFERROR(INDEX([1]Produtos!$I:$I,MATCH(L1804,[1]Produtos!$B:$B,0)), "-")</f>
        <v>-</v>
      </c>
      <c r="S1804" s="483" t="str">
        <f>IFERROR(INDEX([1]Produtos!$J:$J,MATCH(L1804,[1]Produtos!$B:$B,0)), "-")</f>
        <v>-</v>
      </c>
      <c r="T1804" s="484"/>
      <c r="U1804" s="483"/>
      <c r="V1804" s="483"/>
      <c r="W1804" s="483"/>
      <c r="X1804" s="483"/>
      <c r="Y1804" s="483"/>
      <c r="Z1804" s="483"/>
      <c r="AA1804" s="483"/>
      <c r="AB1804" s="483"/>
      <c r="AC1804" s="483"/>
      <c r="AD1804" s="483"/>
      <c r="AE1804" s="483"/>
      <c r="AF1804" s="483"/>
      <c r="AG1804" s="483"/>
      <c r="AH1804" s="483"/>
      <c r="AI1804" s="483"/>
      <c r="AJ1804" s="483"/>
      <c r="AK1804" s="483"/>
      <c r="AL1804" s="483"/>
      <c r="AM1804" s="670"/>
      <c r="AN1804" s="670"/>
      <c r="AO1804" s="711" t="str">
        <f>IF(OR(Table1[[#This Row],[Início Setup Envase]]="",Table1[[#This Row],[Final Setup Envase]]=""),"",Table1[[#This Row],[Final Setup Envase]]-Table1[[#This Row],[Início Setup Envase]])</f>
        <v/>
      </c>
      <c r="AP1804" s="670"/>
      <c r="AQ1804" s="670"/>
      <c r="AR1804" s="483"/>
      <c r="AS1804" s="483"/>
      <c r="AT1804" s="483"/>
      <c r="AU1804" s="483"/>
      <c r="AV1804" s="483"/>
      <c r="AW1804" s="483"/>
      <c r="AX1804" s="483"/>
      <c r="AY1804" s="270"/>
      <c r="AZ1804" s="270"/>
      <c r="BA1804" s="270" t="str">
        <f>IF(Table1[[#This Row],[Data de Início]]="","",YEAR(Table1[[#This Row],[Data de Início]]))</f>
        <v/>
      </c>
      <c r="BB1804" s="270" t="str">
        <f>IF(Table1[[#This Row],[Data de Início]]="","",MONTH(Table1[[#This Row],[Data de Início]]))</f>
        <v/>
      </c>
      <c r="BC1804" s="270"/>
    </row>
    <row r="1805" spans="2:55" x14ac:dyDescent="0.25">
      <c r="B1805" s="470"/>
      <c r="C1805" s="263"/>
      <c r="D1805" s="477" cm="1">
        <f t="array" ref="D1805">IFERROR(HorasUteisFabrica2Turnos(B1805,C1805), "")</f>
        <v>0</v>
      </c>
      <c r="E1805" s="697" t="str">
        <f t="shared" si="28"/>
        <v/>
      </c>
      <c r="F1805" s="266"/>
      <c r="G1805" s="698"/>
      <c r="H1805" s="266"/>
      <c r="I1805" s="268"/>
      <c r="J1805" s="268"/>
      <c r="K1805" s="268"/>
      <c r="L1805" s="269"/>
      <c r="M1805" s="510" t="str">
        <f>IFERROR(INDEX([1]Produtos!$C:$C,MATCH(L1805,[1]Produtos!$B:$B,0)), "-")</f>
        <v>-</v>
      </c>
      <c r="N1805" s="510" t="str">
        <f>IFERROR(INDEX([1]Produtos!$E:$E,MATCH(L1805,[1]Produtos!$B:$B,0)), "-")</f>
        <v>-</v>
      </c>
      <c r="O1805" s="270" t="str">
        <f>IFERROR(INDEX([1]Produtos!$F:$F,MATCH(L1805,[1]Produtos!$B:$B,0)), "-")</f>
        <v>-</v>
      </c>
      <c r="P1805" s="264" t="str">
        <f>IFERROR(INDEX([1]Produtos!$G:$G,MATCH(L1805,[1]Produtos!$B:$B,0)), "-")</f>
        <v>-</v>
      </c>
      <c r="Q1805" s="270" t="str">
        <f>IFERROR(INDEX([1]Produtos!$H:$H,MATCH(L1805,[1]Produtos!$B:$B,0)), "-")</f>
        <v>-</v>
      </c>
      <c r="R1805" s="270" t="str">
        <f>IFERROR(INDEX([1]Produtos!$I:$I,MATCH(L1805,[1]Produtos!$B:$B,0)), "-")</f>
        <v>-</v>
      </c>
      <c r="S1805" s="270" t="str">
        <f>IFERROR(INDEX([1]Produtos!$J:$J,MATCH(L1805,[1]Produtos!$B:$B,0)), "-")</f>
        <v>-</v>
      </c>
      <c r="T1805" s="475"/>
      <c r="U1805" s="270"/>
      <c r="V1805" s="270"/>
      <c r="W1805" s="270"/>
      <c r="X1805" s="270"/>
      <c r="Y1805" s="270"/>
      <c r="Z1805" s="270"/>
      <c r="AA1805" s="270"/>
      <c r="AB1805" s="270"/>
      <c r="AC1805" s="270"/>
      <c r="AD1805" s="270"/>
      <c r="AE1805" s="270"/>
      <c r="AF1805" s="270"/>
      <c r="AG1805" s="270"/>
      <c r="AH1805" s="270"/>
      <c r="AI1805" s="270"/>
      <c r="AJ1805" s="270"/>
      <c r="AK1805" s="270"/>
      <c r="AL1805" s="270"/>
      <c r="AM1805" s="663"/>
      <c r="AN1805" s="663"/>
      <c r="AO1805" s="708" t="str">
        <f>IF(OR(Table1[[#This Row],[Início Setup Envase]]="",Table1[[#This Row],[Final Setup Envase]]=""),"",Table1[[#This Row],[Final Setup Envase]]-Table1[[#This Row],[Início Setup Envase]])</f>
        <v/>
      </c>
      <c r="AP1805" s="663"/>
      <c r="AQ1805" s="663"/>
      <c r="AR1805" s="270"/>
      <c r="AS1805" s="674"/>
      <c r="AT1805" s="674"/>
      <c r="AU1805" s="270"/>
      <c r="AV1805" s="270"/>
      <c r="AW1805" s="270"/>
      <c r="AX1805" s="270"/>
      <c r="AY1805" s="270"/>
      <c r="AZ1805" s="270"/>
      <c r="BA1805" s="270" t="str">
        <f>IF(Table1[[#This Row],[Data de Início]]="","",YEAR(Table1[[#This Row],[Data de Início]]))</f>
        <v/>
      </c>
      <c r="BB1805" s="270" t="str">
        <f>IF(Table1[[#This Row],[Data de Início]]="","",MONTH(Table1[[#This Row],[Data de Início]]))</f>
        <v/>
      </c>
      <c r="BC1805" s="483"/>
    </row>
    <row r="1806" spans="2:55" x14ac:dyDescent="0.25">
      <c r="B1806" s="470"/>
      <c r="C1806" s="263"/>
      <c r="D1806" s="477" cm="1">
        <f t="array" ref="D1806">IFERROR(HorasUteisFabrica2Turnos(B1806,C1806), "")</f>
        <v>0</v>
      </c>
      <c r="E1806" s="478" t="str">
        <f t="shared" si="28"/>
        <v/>
      </c>
      <c r="F1806" s="266"/>
      <c r="G1806" s="656"/>
      <c r="H1806" s="479"/>
      <c r="I1806" s="268"/>
      <c r="J1806" s="268"/>
      <c r="K1806" s="268"/>
      <c r="L1806" s="269"/>
      <c r="M1806" s="511" t="str">
        <f>IFERROR(INDEX([1]Produtos!$C:$C,MATCH(L1806,[1]Produtos!$B:$B,0)), "-")</f>
        <v>-</v>
      </c>
      <c r="N1806" s="511" t="str">
        <f>IFERROR(INDEX([1]Produtos!$E:$E,MATCH(L1806,[1]Produtos!$B:$B,0)), "-")</f>
        <v>-</v>
      </c>
      <c r="O1806" s="483" t="str">
        <f>IFERROR(INDEX([1]Produtos!$F:$F,MATCH(L1806,[1]Produtos!$B:$B,0)), "-")</f>
        <v>-</v>
      </c>
      <c r="P1806" s="477" t="str">
        <f>IFERROR(INDEX([1]Produtos!$G:$G,MATCH(L1806,[1]Produtos!$B:$B,0)), "-")</f>
        <v>-</v>
      </c>
      <c r="Q1806" s="483" t="str">
        <f>IFERROR(INDEX([1]Produtos!$H:$H,MATCH(L1806,[1]Produtos!$B:$B,0)), "-")</f>
        <v>-</v>
      </c>
      <c r="R1806" s="483" t="str">
        <f>IFERROR(INDEX([1]Produtos!$I:$I,MATCH(L1806,[1]Produtos!$B:$B,0)), "-")</f>
        <v>-</v>
      </c>
      <c r="S1806" s="483" t="str">
        <f>IFERROR(INDEX([1]Produtos!$J:$J,MATCH(L1806,[1]Produtos!$B:$B,0)), "-")</f>
        <v>-</v>
      </c>
      <c r="T1806" s="484"/>
      <c r="U1806" s="483"/>
      <c r="V1806" s="483"/>
      <c r="W1806" s="483"/>
      <c r="X1806" s="483"/>
      <c r="Y1806" s="483"/>
      <c r="Z1806" s="483"/>
      <c r="AA1806" s="483"/>
      <c r="AB1806" s="483"/>
      <c r="AC1806" s="483"/>
      <c r="AD1806" s="483"/>
      <c r="AE1806" s="483"/>
      <c r="AF1806" s="483"/>
      <c r="AG1806" s="483"/>
      <c r="AH1806" s="483"/>
      <c r="AI1806" s="483"/>
      <c r="AJ1806" s="483"/>
      <c r="AK1806" s="483"/>
      <c r="AL1806" s="483"/>
      <c r="AM1806" s="670"/>
      <c r="AN1806" s="670"/>
      <c r="AO1806" s="711" t="str">
        <f>IF(OR(Table1[[#This Row],[Início Setup Envase]]="",Table1[[#This Row],[Final Setup Envase]]=""),"",Table1[[#This Row],[Final Setup Envase]]-Table1[[#This Row],[Início Setup Envase]])</f>
        <v/>
      </c>
      <c r="AP1806" s="670"/>
      <c r="AQ1806" s="670"/>
      <c r="AR1806" s="483"/>
      <c r="AS1806" s="483"/>
      <c r="AT1806" s="483"/>
      <c r="AU1806" s="483"/>
      <c r="AV1806" s="483"/>
      <c r="AW1806" s="483"/>
      <c r="AX1806" s="483"/>
      <c r="AY1806" s="270"/>
      <c r="AZ1806" s="270"/>
      <c r="BA1806" s="270" t="str">
        <f>IF(Table1[[#This Row],[Data de Início]]="","",YEAR(Table1[[#This Row],[Data de Início]]))</f>
        <v/>
      </c>
      <c r="BB1806" s="270" t="str">
        <f>IF(Table1[[#This Row],[Data de Início]]="","",MONTH(Table1[[#This Row],[Data de Início]]))</f>
        <v/>
      </c>
      <c r="BC1806" s="270"/>
    </row>
    <row r="1807" spans="2:55" x14ac:dyDescent="0.25">
      <c r="B1807" s="470"/>
      <c r="C1807" s="263"/>
      <c r="D1807" s="477" cm="1">
        <f t="array" ref="D1807">IFERROR(HorasUteisFabrica2Turnos(B1807,C1807), "")</f>
        <v>0</v>
      </c>
      <c r="E1807" s="697" t="str">
        <f t="shared" si="28"/>
        <v/>
      </c>
      <c r="F1807" s="266"/>
      <c r="G1807" s="698"/>
      <c r="H1807" s="266"/>
      <c r="I1807" s="268"/>
      <c r="J1807" s="268"/>
      <c r="K1807" s="268"/>
      <c r="L1807" s="269"/>
      <c r="M1807" s="510" t="str">
        <f>IFERROR(INDEX([1]Produtos!$C:$C,MATCH(L1807,[1]Produtos!$B:$B,0)), "-")</f>
        <v>-</v>
      </c>
      <c r="N1807" s="510" t="str">
        <f>IFERROR(INDEX([1]Produtos!$E:$E,MATCH(L1807,[1]Produtos!$B:$B,0)), "-")</f>
        <v>-</v>
      </c>
      <c r="O1807" s="270" t="str">
        <f>IFERROR(INDEX([1]Produtos!$F:$F,MATCH(L1807,[1]Produtos!$B:$B,0)), "-")</f>
        <v>-</v>
      </c>
      <c r="P1807" s="264" t="str">
        <f>IFERROR(INDEX([1]Produtos!$G:$G,MATCH(L1807,[1]Produtos!$B:$B,0)), "-")</f>
        <v>-</v>
      </c>
      <c r="Q1807" s="270" t="str">
        <f>IFERROR(INDEX([1]Produtos!$H:$H,MATCH(L1807,[1]Produtos!$B:$B,0)), "-")</f>
        <v>-</v>
      </c>
      <c r="R1807" s="270" t="str">
        <f>IFERROR(INDEX([1]Produtos!$I:$I,MATCH(L1807,[1]Produtos!$B:$B,0)), "-")</f>
        <v>-</v>
      </c>
      <c r="S1807" s="270" t="str">
        <f>IFERROR(INDEX([1]Produtos!$J:$J,MATCH(L1807,[1]Produtos!$B:$B,0)), "-")</f>
        <v>-</v>
      </c>
      <c r="T1807" s="475"/>
      <c r="U1807" s="270"/>
      <c r="V1807" s="270"/>
      <c r="W1807" s="270"/>
      <c r="X1807" s="270"/>
      <c r="Y1807" s="270"/>
      <c r="Z1807" s="270"/>
      <c r="AA1807" s="270"/>
      <c r="AB1807" s="270"/>
      <c r="AC1807" s="270"/>
      <c r="AD1807" s="270"/>
      <c r="AE1807" s="270"/>
      <c r="AF1807" s="270"/>
      <c r="AG1807" s="270"/>
      <c r="AH1807" s="270"/>
      <c r="AI1807" s="270"/>
      <c r="AJ1807" s="270"/>
      <c r="AK1807" s="270"/>
      <c r="AL1807" s="270"/>
      <c r="AM1807" s="663"/>
      <c r="AN1807" s="663"/>
      <c r="AO1807" s="708" t="str">
        <f>IF(OR(Table1[[#This Row],[Início Setup Envase]]="",Table1[[#This Row],[Final Setup Envase]]=""),"",Table1[[#This Row],[Final Setup Envase]]-Table1[[#This Row],[Início Setup Envase]])</f>
        <v/>
      </c>
      <c r="AP1807" s="663"/>
      <c r="AQ1807" s="663"/>
      <c r="AR1807" s="270"/>
      <c r="AS1807" s="674"/>
      <c r="AT1807" s="674"/>
      <c r="AU1807" s="270"/>
      <c r="AV1807" s="270"/>
      <c r="AW1807" s="270"/>
      <c r="AX1807" s="270"/>
      <c r="AY1807" s="270"/>
      <c r="AZ1807" s="270"/>
      <c r="BA1807" s="270" t="str">
        <f>IF(Table1[[#This Row],[Data de Início]]="","",YEAR(Table1[[#This Row],[Data de Início]]))</f>
        <v/>
      </c>
      <c r="BB1807" s="270" t="str">
        <f>IF(Table1[[#This Row],[Data de Início]]="","",MONTH(Table1[[#This Row],[Data de Início]]))</f>
        <v/>
      </c>
      <c r="BC1807" s="483"/>
    </row>
    <row r="1808" spans="2:55" x14ac:dyDescent="0.25">
      <c r="B1808" s="470"/>
      <c r="C1808" s="263"/>
      <c r="D1808" s="477" cm="1">
        <f t="array" ref="D1808">IFERROR(HorasUteisFabrica2Turnos(B1808,C1808), "")</f>
        <v>0</v>
      </c>
      <c r="E1808" s="478" t="str">
        <f t="shared" si="28"/>
        <v/>
      </c>
      <c r="F1808" s="266"/>
      <c r="G1808" s="656"/>
      <c r="H1808" s="479"/>
      <c r="I1808" s="268"/>
      <c r="J1808" s="268"/>
      <c r="K1808" s="268"/>
      <c r="L1808" s="269"/>
      <c r="M1808" s="511" t="str">
        <f>IFERROR(INDEX([1]Produtos!$C:$C,MATCH(L1808,[1]Produtos!$B:$B,0)), "-")</f>
        <v>-</v>
      </c>
      <c r="N1808" s="511" t="str">
        <f>IFERROR(INDEX([1]Produtos!$E:$E,MATCH(L1808,[1]Produtos!$B:$B,0)), "-")</f>
        <v>-</v>
      </c>
      <c r="O1808" s="483" t="str">
        <f>IFERROR(INDEX([1]Produtos!$F:$F,MATCH(L1808,[1]Produtos!$B:$B,0)), "-")</f>
        <v>-</v>
      </c>
      <c r="P1808" s="477" t="str">
        <f>IFERROR(INDEX([1]Produtos!$G:$G,MATCH(L1808,[1]Produtos!$B:$B,0)), "-")</f>
        <v>-</v>
      </c>
      <c r="Q1808" s="483" t="str">
        <f>IFERROR(INDEX([1]Produtos!$H:$H,MATCH(L1808,[1]Produtos!$B:$B,0)), "-")</f>
        <v>-</v>
      </c>
      <c r="R1808" s="483" t="str">
        <f>IFERROR(INDEX([1]Produtos!$I:$I,MATCH(L1808,[1]Produtos!$B:$B,0)), "-")</f>
        <v>-</v>
      </c>
      <c r="S1808" s="483" t="str">
        <f>IFERROR(INDEX([1]Produtos!$J:$J,MATCH(L1808,[1]Produtos!$B:$B,0)), "-")</f>
        <v>-</v>
      </c>
      <c r="T1808" s="484"/>
      <c r="U1808" s="483"/>
      <c r="V1808" s="483"/>
      <c r="W1808" s="483"/>
      <c r="X1808" s="483"/>
      <c r="Y1808" s="483"/>
      <c r="Z1808" s="483"/>
      <c r="AA1808" s="483"/>
      <c r="AB1808" s="483"/>
      <c r="AC1808" s="483"/>
      <c r="AD1808" s="483"/>
      <c r="AE1808" s="483"/>
      <c r="AF1808" s="483"/>
      <c r="AG1808" s="483"/>
      <c r="AH1808" s="483"/>
      <c r="AI1808" s="483"/>
      <c r="AJ1808" s="483"/>
      <c r="AK1808" s="483"/>
      <c r="AL1808" s="483"/>
      <c r="AM1808" s="670"/>
      <c r="AN1808" s="670"/>
      <c r="AO1808" s="711" t="str">
        <f>IF(OR(Table1[[#This Row],[Início Setup Envase]]="",Table1[[#This Row],[Final Setup Envase]]=""),"",Table1[[#This Row],[Final Setup Envase]]-Table1[[#This Row],[Início Setup Envase]])</f>
        <v/>
      </c>
      <c r="AP1808" s="670"/>
      <c r="AQ1808" s="670"/>
      <c r="AR1808" s="483"/>
      <c r="AS1808" s="483"/>
      <c r="AT1808" s="483"/>
      <c r="AU1808" s="483"/>
      <c r="AV1808" s="483"/>
      <c r="AW1808" s="483"/>
      <c r="AX1808" s="483"/>
      <c r="AY1808" s="270"/>
      <c r="AZ1808" s="270"/>
      <c r="BA1808" s="270" t="str">
        <f>IF(Table1[[#This Row],[Data de Início]]="","",YEAR(Table1[[#This Row],[Data de Início]]))</f>
        <v/>
      </c>
      <c r="BB1808" s="270" t="str">
        <f>IF(Table1[[#This Row],[Data de Início]]="","",MONTH(Table1[[#This Row],[Data de Início]]))</f>
        <v/>
      </c>
      <c r="BC1808" s="270"/>
    </row>
    <row r="1809" spans="2:55" x14ac:dyDescent="0.25">
      <c r="B1809" s="470"/>
      <c r="C1809" s="263"/>
      <c r="D1809" s="477" cm="1">
        <f t="array" ref="D1809">IFERROR(HorasUteisFabrica2Turnos(B1809,C1809), "")</f>
        <v>0</v>
      </c>
      <c r="E1809" s="697" t="str">
        <f t="shared" si="28"/>
        <v/>
      </c>
      <c r="F1809" s="266"/>
      <c r="G1809" s="698"/>
      <c r="H1809" s="266"/>
      <c r="I1809" s="268"/>
      <c r="J1809" s="268"/>
      <c r="K1809" s="268"/>
      <c r="L1809" s="269"/>
      <c r="M1809" s="510" t="str">
        <f>IFERROR(INDEX([1]Produtos!$C:$C,MATCH(L1809,[1]Produtos!$B:$B,0)), "-")</f>
        <v>-</v>
      </c>
      <c r="N1809" s="510" t="str">
        <f>IFERROR(INDEX([1]Produtos!$E:$E,MATCH(L1809,[1]Produtos!$B:$B,0)), "-")</f>
        <v>-</v>
      </c>
      <c r="O1809" s="270" t="str">
        <f>IFERROR(INDEX([1]Produtos!$F:$F,MATCH(L1809,[1]Produtos!$B:$B,0)), "-")</f>
        <v>-</v>
      </c>
      <c r="P1809" s="264" t="str">
        <f>IFERROR(INDEX([1]Produtos!$G:$G,MATCH(L1809,[1]Produtos!$B:$B,0)), "-")</f>
        <v>-</v>
      </c>
      <c r="Q1809" s="270" t="str">
        <f>IFERROR(INDEX([1]Produtos!$H:$H,MATCH(L1809,[1]Produtos!$B:$B,0)), "-")</f>
        <v>-</v>
      </c>
      <c r="R1809" s="270" t="str">
        <f>IFERROR(INDEX([1]Produtos!$I:$I,MATCH(L1809,[1]Produtos!$B:$B,0)), "-")</f>
        <v>-</v>
      </c>
      <c r="S1809" s="270" t="str">
        <f>IFERROR(INDEX([1]Produtos!$J:$J,MATCH(L1809,[1]Produtos!$B:$B,0)), "-")</f>
        <v>-</v>
      </c>
      <c r="T1809" s="475"/>
      <c r="U1809" s="270"/>
      <c r="V1809" s="270"/>
      <c r="W1809" s="270"/>
      <c r="X1809" s="270"/>
      <c r="Y1809" s="270"/>
      <c r="Z1809" s="270"/>
      <c r="AA1809" s="270"/>
      <c r="AB1809" s="270"/>
      <c r="AC1809" s="270"/>
      <c r="AD1809" s="270"/>
      <c r="AE1809" s="270"/>
      <c r="AF1809" s="270"/>
      <c r="AG1809" s="270"/>
      <c r="AH1809" s="270"/>
      <c r="AI1809" s="270"/>
      <c r="AJ1809" s="270"/>
      <c r="AK1809" s="270"/>
      <c r="AL1809" s="270"/>
      <c r="AM1809" s="663"/>
      <c r="AN1809" s="663"/>
      <c r="AO1809" s="708" t="str">
        <f>IF(OR(Table1[[#This Row],[Início Setup Envase]]="",Table1[[#This Row],[Final Setup Envase]]=""),"",Table1[[#This Row],[Final Setup Envase]]-Table1[[#This Row],[Início Setup Envase]])</f>
        <v/>
      </c>
      <c r="AP1809" s="663"/>
      <c r="AQ1809" s="663"/>
      <c r="AR1809" s="270"/>
      <c r="AS1809" s="674"/>
      <c r="AT1809" s="674"/>
      <c r="AU1809" s="270"/>
      <c r="AV1809" s="270"/>
      <c r="AW1809" s="270"/>
      <c r="AX1809" s="270"/>
      <c r="AY1809" s="270"/>
      <c r="AZ1809" s="270"/>
      <c r="BA1809" s="270" t="str">
        <f>IF(Table1[[#This Row],[Data de Início]]="","",YEAR(Table1[[#This Row],[Data de Início]]))</f>
        <v/>
      </c>
      <c r="BB1809" s="270" t="str">
        <f>IF(Table1[[#This Row],[Data de Início]]="","",MONTH(Table1[[#This Row],[Data de Início]]))</f>
        <v/>
      </c>
      <c r="BC1809" s="483"/>
    </row>
    <row r="1810" spans="2:55" x14ac:dyDescent="0.25">
      <c r="B1810" s="470"/>
      <c r="C1810" s="263"/>
      <c r="D1810" s="477" cm="1">
        <f t="array" ref="D1810">IFERROR(HorasUteisFabrica2Turnos(B1810,C1810), "")</f>
        <v>0</v>
      </c>
      <c r="E1810" s="478" t="str">
        <f t="shared" si="28"/>
        <v/>
      </c>
      <c r="F1810" s="266"/>
      <c r="G1810" s="656"/>
      <c r="H1810" s="479"/>
      <c r="I1810" s="268"/>
      <c r="J1810" s="268"/>
      <c r="K1810" s="268"/>
      <c r="L1810" s="269"/>
      <c r="M1810" s="511" t="str">
        <f>IFERROR(INDEX([1]Produtos!$C:$C,MATCH(L1810,[1]Produtos!$B:$B,0)), "-")</f>
        <v>-</v>
      </c>
      <c r="N1810" s="511" t="str">
        <f>IFERROR(INDEX([1]Produtos!$E:$E,MATCH(L1810,[1]Produtos!$B:$B,0)), "-")</f>
        <v>-</v>
      </c>
      <c r="O1810" s="483" t="str">
        <f>IFERROR(INDEX([1]Produtos!$F:$F,MATCH(L1810,[1]Produtos!$B:$B,0)), "-")</f>
        <v>-</v>
      </c>
      <c r="P1810" s="477" t="str">
        <f>IFERROR(INDEX([1]Produtos!$G:$G,MATCH(L1810,[1]Produtos!$B:$B,0)), "-")</f>
        <v>-</v>
      </c>
      <c r="Q1810" s="483" t="str">
        <f>IFERROR(INDEX([1]Produtos!$H:$H,MATCH(L1810,[1]Produtos!$B:$B,0)), "-")</f>
        <v>-</v>
      </c>
      <c r="R1810" s="483" t="str">
        <f>IFERROR(INDEX([1]Produtos!$I:$I,MATCH(L1810,[1]Produtos!$B:$B,0)), "-")</f>
        <v>-</v>
      </c>
      <c r="S1810" s="483" t="str">
        <f>IFERROR(INDEX([1]Produtos!$J:$J,MATCH(L1810,[1]Produtos!$B:$B,0)), "-")</f>
        <v>-</v>
      </c>
      <c r="T1810" s="484"/>
      <c r="U1810" s="483"/>
      <c r="V1810" s="483"/>
      <c r="W1810" s="483"/>
      <c r="X1810" s="483"/>
      <c r="Y1810" s="483"/>
      <c r="Z1810" s="483"/>
      <c r="AA1810" s="483"/>
      <c r="AB1810" s="483"/>
      <c r="AC1810" s="483"/>
      <c r="AD1810" s="483"/>
      <c r="AE1810" s="483"/>
      <c r="AF1810" s="483"/>
      <c r="AG1810" s="483"/>
      <c r="AH1810" s="483"/>
      <c r="AI1810" s="483"/>
      <c r="AJ1810" s="483"/>
      <c r="AK1810" s="483"/>
      <c r="AL1810" s="483"/>
      <c r="AM1810" s="670"/>
      <c r="AN1810" s="670"/>
      <c r="AO1810" s="711" t="str">
        <f>IF(OR(Table1[[#This Row],[Início Setup Envase]]="",Table1[[#This Row],[Final Setup Envase]]=""),"",Table1[[#This Row],[Final Setup Envase]]-Table1[[#This Row],[Início Setup Envase]])</f>
        <v/>
      </c>
      <c r="AP1810" s="670"/>
      <c r="AQ1810" s="670"/>
      <c r="AR1810" s="483"/>
      <c r="AS1810" s="483"/>
      <c r="AT1810" s="483"/>
      <c r="AU1810" s="483"/>
      <c r="AV1810" s="483"/>
      <c r="AW1810" s="483"/>
      <c r="AX1810" s="483"/>
      <c r="AY1810" s="270"/>
      <c r="AZ1810" s="270"/>
      <c r="BA1810" s="270" t="str">
        <f>IF(Table1[[#This Row],[Data de Início]]="","",YEAR(Table1[[#This Row],[Data de Início]]))</f>
        <v/>
      </c>
      <c r="BB1810" s="270" t="str">
        <f>IF(Table1[[#This Row],[Data de Início]]="","",MONTH(Table1[[#This Row],[Data de Início]]))</f>
        <v/>
      </c>
      <c r="BC1810" s="270"/>
    </row>
    <row r="1811" spans="2:55" x14ac:dyDescent="0.25">
      <c r="B1811" s="470"/>
      <c r="C1811" s="263"/>
      <c r="D1811" s="477" cm="1">
        <f t="array" ref="D1811">IFERROR(HorasUteisFabrica2Turnos(B1811,C1811), "")</f>
        <v>0</v>
      </c>
      <c r="E1811" s="697" t="str">
        <f t="shared" si="28"/>
        <v/>
      </c>
      <c r="F1811" s="266"/>
      <c r="G1811" s="698"/>
      <c r="H1811" s="266"/>
      <c r="I1811" s="268"/>
      <c r="J1811" s="268"/>
      <c r="K1811" s="268"/>
      <c r="L1811" s="269"/>
      <c r="M1811" s="510" t="str">
        <f>IFERROR(INDEX([1]Produtos!$C:$C,MATCH(L1811,[1]Produtos!$B:$B,0)), "-")</f>
        <v>-</v>
      </c>
      <c r="N1811" s="510" t="str">
        <f>IFERROR(INDEX([1]Produtos!$E:$E,MATCH(L1811,[1]Produtos!$B:$B,0)), "-")</f>
        <v>-</v>
      </c>
      <c r="O1811" s="270" t="str">
        <f>IFERROR(INDEX([1]Produtos!$F:$F,MATCH(L1811,[1]Produtos!$B:$B,0)), "-")</f>
        <v>-</v>
      </c>
      <c r="P1811" s="264" t="str">
        <f>IFERROR(INDEX([1]Produtos!$G:$G,MATCH(L1811,[1]Produtos!$B:$B,0)), "-")</f>
        <v>-</v>
      </c>
      <c r="Q1811" s="270" t="str">
        <f>IFERROR(INDEX([1]Produtos!$H:$H,MATCH(L1811,[1]Produtos!$B:$B,0)), "-")</f>
        <v>-</v>
      </c>
      <c r="R1811" s="270" t="str">
        <f>IFERROR(INDEX([1]Produtos!$I:$I,MATCH(L1811,[1]Produtos!$B:$B,0)), "-")</f>
        <v>-</v>
      </c>
      <c r="S1811" s="270" t="str">
        <f>IFERROR(INDEX([1]Produtos!$J:$J,MATCH(L1811,[1]Produtos!$B:$B,0)), "-")</f>
        <v>-</v>
      </c>
      <c r="T1811" s="475"/>
      <c r="U1811" s="270"/>
      <c r="V1811" s="270"/>
      <c r="W1811" s="270"/>
      <c r="X1811" s="270"/>
      <c r="Y1811" s="270"/>
      <c r="Z1811" s="270"/>
      <c r="AA1811" s="270"/>
      <c r="AB1811" s="270"/>
      <c r="AC1811" s="270"/>
      <c r="AD1811" s="270"/>
      <c r="AE1811" s="270"/>
      <c r="AF1811" s="270"/>
      <c r="AG1811" s="270"/>
      <c r="AH1811" s="270"/>
      <c r="AI1811" s="270"/>
      <c r="AJ1811" s="270"/>
      <c r="AK1811" s="270"/>
      <c r="AL1811" s="270"/>
      <c r="AM1811" s="663"/>
      <c r="AN1811" s="663"/>
      <c r="AO1811" s="708" t="str">
        <f>IF(OR(Table1[[#This Row],[Início Setup Envase]]="",Table1[[#This Row],[Final Setup Envase]]=""),"",Table1[[#This Row],[Final Setup Envase]]-Table1[[#This Row],[Início Setup Envase]])</f>
        <v/>
      </c>
      <c r="AP1811" s="663"/>
      <c r="AQ1811" s="663"/>
      <c r="AR1811" s="270"/>
      <c r="AS1811" s="674"/>
      <c r="AT1811" s="674"/>
      <c r="AU1811" s="270"/>
      <c r="AV1811" s="270"/>
      <c r="AW1811" s="270"/>
      <c r="AX1811" s="270"/>
      <c r="AY1811" s="270"/>
      <c r="AZ1811" s="270"/>
      <c r="BA1811" s="270" t="str">
        <f>IF(Table1[[#This Row],[Data de Início]]="","",YEAR(Table1[[#This Row],[Data de Início]]))</f>
        <v/>
      </c>
      <c r="BB1811" s="270" t="str">
        <f>IF(Table1[[#This Row],[Data de Início]]="","",MONTH(Table1[[#This Row],[Data de Início]]))</f>
        <v/>
      </c>
      <c r="BC1811" s="483"/>
    </row>
    <row r="1812" spans="2:55" x14ac:dyDescent="0.25">
      <c r="B1812" s="470"/>
      <c r="C1812" s="263"/>
      <c r="D1812" s="477" cm="1">
        <f t="array" ref="D1812">IFERROR(HorasUteisFabrica2Turnos(B1812,C1812), "")</f>
        <v>0</v>
      </c>
      <c r="E1812" s="478" t="str">
        <f t="shared" si="28"/>
        <v/>
      </c>
      <c r="F1812" s="266"/>
      <c r="G1812" s="656"/>
      <c r="H1812" s="479"/>
      <c r="I1812" s="268"/>
      <c r="J1812" s="268"/>
      <c r="K1812" s="268"/>
      <c r="L1812" s="269"/>
      <c r="M1812" s="511" t="str">
        <f>IFERROR(INDEX([1]Produtos!$C:$C,MATCH(L1812,[1]Produtos!$B:$B,0)), "-")</f>
        <v>-</v>
      </c>
      <c r="N1812" s="511" t="str">
        <f>IFERROR(INDEX([1]Produtos!$E:$E,MATCH(L1812,[1]Produtos!$B:$B,0)), "-")</f>
        <v>-</v>
      </c>
      <c r="O1812" s="483" t="str">
        <f>IFERROR(INDEX([1]Produtos!$F:$F,MATCH(L1812,[1]Produtos!$B:$B,0)), "-")</f>
        <v>-</v>
      </c>
      <c r="P1812" s="477" t="str">
        <f>IFERROR(INDEX([1]Produtos!$G:$G,MATCH(L1812,[1]Produtos!$B:$B,0)), "-")</f>
        <v>-</v>
      </c>
      <c r="Q1812" s="483" t="str">
        <f>IFERROR(INDEX([1]Produtos!$H:$H,MATCH(L1812,[1]Produtos!$B:$B,0)), "-")</f>
        <v>-</v>
      </c>
      <c r="R1812" s="483" t="str">
        <f>IFERROR(INDEX([1]Produtos!$I:$I,MATCH(L1812,[1]Produtos!$B:$B,0)), "-")</f>
        <v>-</v>
      </c>
      <c r="S1812" s="483" t="str">
        <f>IFERROR(INDEX([1]Produtos!$J:$J,MATCH(L1812,[1]Produtos!$B:$B,0)), "-")</f>
        <v>-</v>
      </c>
      <c r="T1812" s="484"/>
      <c r="U1812" s="483"/>
      <c r="V1812" s="483"/>
      <c r="W1812" s="483"/>
      <c r="X1812" s="483"/>
      <c r="Y1812" s="483"/>
      <c r="Z1812" s="483"/>
      <c r="AA1812" s="483"/>
      <c r="AB1812" s="483"/>
      <c r="AC1812" s="483"/>
      <c r="AD1812" s="483"/>
      <c r="AE1812" s="483"/>
      <c r="AF1812" s="483"/>
      <c r="AG1812" s="483"/>
      <c r="AH1812" s="483"/>
      <c r="AI1812" s="483"/>
      <c r="AJ1812" s="483"/>
      <c r="AK1812" s="483"/>
      <c r="AL1812" s="483"/>
      <c r="AM1812" s="670"/>
      <c r="AN1812" s="670"/>
      <c r="AO1812" s="711" t="str">
        <f>IF(OR(Table1[[#This Row],[Início Setup Envase]]="",Table1[[#This Row],[Final Setup Envase]]=""),"",Table1[[#This Row],[Final Setup Envase]]-Table1[[#This Row],[Início Setup Envase]])</f>
        <v/>
      </c>
      <c r="AP1812" s="670"/>
      <c r="AQ1812" s="670"/>
      <c r="AR1812" s="483"/>
      <c r="AS1812" s="483"/>
      <c r="AT1812" s="483"/>
      <c r="AU1812" s="483"/>
      <c r="AV1812" s="483"/>
      <c r="AW1812" s="483"/>
      <c r="AX1812" s="483"/>
      <c r="AY1812" s="270"/>
      <c r="AZ1812" s="270"/>
      <c r="BA1812" s="270" t="str">
        <f>IF(Table1[[#This Row],[Data de Início]]="","",YEAR(Table1[[#This Row],[Data de Início]]))</f>
        <v/>
      </c>
      <c r="BB1812" s="270" t="str">
        <f>IF(Table1[[#This Row],[Data de Início]]="","",MONTH(Table1[[#This Row],[Data de Início]]))</f>
        <v/>
      </c>
      <c r="BC1812" s="270"/>
    </row>
    <row r="1813" spans="2:55" x14ac:dyDescent="0.25">
      <c r="B1813" s="470"/>
      <c r="C1813" s="263"/>
      <c r="D1813" s="477" cm="1">
        <f t="array" ref="D1813">IFERROR(HorasUteisFabrica2Turnos(B1813,C1813), "")</f>
        <v>0</v>
      </c>
      <c r="E1813" s="697" t="str">
        <f t="shared" si="28"/>
        <v/>
      </c>
      <c r="F1813" s="266"/>
      <c r="G1813" s="698"/>
      <c r="H1813" s="266"/>
      <c r="I1813" s="268"/>
      <c r="J1813" s="268"/>
      <c r="K1813" s="268"/>
      <c r="L1813" s="269"/>
      <c r="M1813" s="510" t="str">
        <f>IFERROR(INDEX([1]Produtos!$C:$C,MATCH(L1813,[1]Produtos!$B:$B,0)), "-")</f>
        <v>-</v>
      </c>
      <c r="N1813" s="510" t="str">
        <f>IFERROR(INDEX([1]Produtos!$E:$E,MATCH(L1813,[1]Produtos!$B:$B,0)), "-")</f>
        <v>-</v>
      </c>
      <c r="O1813" s="270" t="str">
        <f>IFERROR(INDEX([1]Produtos!$F:$F,MATCH(L1813,[1]Produtos!$B:$B,0)), "-")</f>
        <v>-</v>
      </c>
      <c r="P1813" s="264" t="str">
        <f>IFERROR(INDEX([1]Produtos!$G:$G,MATCH(L1813,[1]Produtos!$B:$B,0)), "-")</f>
        <v>-</v>
      </c>
      <c r="Q1813" s="270" t="str">
        <f>IFERROR(INDEX([1]Produtos!$H:$H,MATCH(L1813,[1]Produtos!$B:$B,0)), "-")</f>
        <v>-</v>
      </c>
      <c r="R1813" s="270" t="str">
        <f>IFERROR(INDEX([1]Produtos!$I:$I,MATCH(L1813,[1]Produtos!$B:$B,0)), "-")</f>
        <v>-</v>
      </c>
      <c r="S1813" s="270" t="str">
        <f>IFERROR(INDEX([1]Produtos!$J:$J,MATCH(L1813,[1]Produtos!$B:$B,0)), "-")</f>
        <v>-</v>
      </c>
      <c r="T1813" s="475"/>
      <c r="U1813" s="270"/>
      <c r="V1813" s="270"/>
      <c r="W1813" s="270"/>
      <c r="X1813" s="270"/>
      <c r="Y1813" s="270"/>
      <c r="Z1813" s="270"/>
      <c r="AA1813" s="270"/>
      <c r="AB1813" s="270"/>
      <c r="AC1813" s="270"/>
      <c r="AD1813" s="270"/>
      <c r="AE1813" s="270"/>
      <c r="AF1813" s="270"/>
      <c r="AG1813" s="270"/>
      <c r="AH1813" s="270"/>
      <c r="AI1813" s="270"/>
      <c r="AJ1813" s="270"/>
      <c r="AK1813" s="270"/>
      <c r="AL1813" s="270"/>
      <c r="AM1813" s="663"/>
      <c r="AN1813" s="663"/>
      <c r="AO1813" s="708" t="str">
        <f>IF(OR(Table1[[#This Row],[Início Setup Envase]]="",Table1[[#This Row],[Final Setup Envase]]=""),"",Table1[[#This Row],[Final Setup Envase]]-Table1[[#This Row],[Início Setup Envase]])</f>
        <v/>
      </c>
      <c r="AP1813" s="663"/>
      <c r="AQ1813" s="663"/>
      <c r="AR1813" s="270"/>
      <c r="AS1813" s="674"/>
      <c r="AT1813" s="674"/>
      <c r="AU1813" s="270"/>
      <c r="AV1813" s="270"/>
      <c r="AW1813" s="270"/>
      <c r="AX1813" s="270"/>
      <c r="AY1813" s="270"/>
      <c r="AZ1813" s="270"/>
      <c r="BA1813" s="270" t="str">
        <f>IF(Table1[[#This Row],[Data de Início]]="","",YEAR(Table1[[#This Row],[Data de Início]]))</f>
        <v/>
      </c>
      <c r="BB1813" s="270" t="str">
        <f>IF(Table1[[#This Row],[Data de Início]]="","",MONTH(Table1[[#This Row],[Data de Início]]))</f>
        <v/>
      </c>
      <c r="BC1813" s="483"/>
    </row>
    <row r="1814" spans="2:55" x14ac:dyDescent="0.25">
      <c r="B1814" s="470"/>
      <c r="C1814" s="263"/>
      <c r="D1814" s="477" cm="1">
        <f t="array" ref="D1814">IFERROR(HorasUteisFabrica2Turnos(B1814,C1814), "")</f>
        <v>0</v>
      </c>
      <c r="E1814" s="478" t="str">
        <f t="shared" si="28"/>
        <v/>
      </c>
      <c r="F1814" s="266"/>
      <c r="G1814" s="656"/>
      <c r="H1814" s="479"/>
      <c r="I1814" s="268"/>
      <c r="J1814" s="268"/>
      <c r="K1814" s="268"/>
      <c r="L1814" s="269"/>
      <c r="M1814" s="511" t="str">
        <f>IFERROR(INDEX([1]Produtos!$C:$C,MATCH(L1814,[1]Produtos!$B:$B,0)), "-")</f>
        <v>-</v>
      </c>
      <c r="N1814" s="511" t="str">
        <f>IFERROR(INDEX([1]Produtos!$E:$E,MATCH(L1814,[1]Produtos!$B:$B,0)), "-")</f>
        <v>-</v>
      </c>
      <c r="O1814" s="483" t="str">
        <f>IFERROR(INDEX([1]Produtos!$F:$F,MATCH(L1814,[1]Produtos!$B:$B,0)), "-")</f>
        <v>-</v>
      </c>
      <c r="P1814" s="477" t="str">
        <f>IFERROR(INDEX([1]Produtos!$G:$G,MATCH(L1814,[1]Produtos!$B:$B,0)), "-")</f>
        <v>-</v>
      </c>
      <c r="Q1814" s="483" t="str">
        <f>IFERROR(INDEX([1]Produtos!$H:$H,MATCH(L1814,[1]Produtos!$B:$B,0)), "-")</f>
        <v>-</v>
      </c>
      <c r="R1814" s="483" t="str">
        <f>IFERROR(INDEX([1]Produtos!$I:$I,MATCH(L1814,[1]Produtos!$B:$B,0)), "-")</f>
        <v>-</v>
      </c>
      <c r="S1814" s="483" t="str">
        <f>IFERROR(INDEX([1]Produtos!$J:$J,MATCH(L1814,[1]Produtos!$B:$B,0)), "-")</f>
        <v>-</v>
      </c>
      <c r="T1814" s="484"/>
      <c r="U1814" s="483"/>
      <c r="V1814" s="483"/>
      <c r="W1814" s="483"/>
      <c r="X1814" s="483"/>
      <c r="Y1814" s="483"/>
      <c r="Z1814" s="483"/>
      <c r="AA1814" s="483"/>
      <c r="AB1814" s="483"/>
      <c r="AC1814" s="483"/>
      <c r="AD1814" s="483"/>
      <c r="AE1814" s="483"/>
      <c r="AF1814" s="483"/>
      <c r="AG1814" s="483"/>
      <c r="AH1814" s="483"/>
      <c r="AI1814" s="483"/>
      <c r="AJ1814" s="483"/>
      <c r="AK1814" s="483"/>
      <c r="AL1814" s="483"/>
      <c r="AM1814" s="670"/>
      <c r="AN1814" s="670"/>
      <c r="AO1814" s="711" t="str">
        <f>IF(OR(Table1[[#This Row],[Início Setup Envase]]="",Table1[[#This Row],[Final Setup Envase]]=""),"",Table1[[#This Row],[Final Setup Envase]]-Table1[[#This Row],[Início Setup Envase]])</f>
        <v/>
      </c>
      <c r="AP1814" s="670"/>
      <c r="AQ1814" s="670"/>
      <c r="AR1814" s="483"/>
      <c r="AS1814" s="483"/>
      <c r="AT1814" s="483"/>
      <c r="AU1814" s="483"/>
      <c r="AV1814" s="483"/>
      <c r="AW1814" s="483"/>
      <c r="AX1814" s="483"/>
      <c r="AY1814" s="270"/>
      <c r="AZ1814" s="270"/>
      <c r="BA1814" s="270" t="str">
        <f>IF(Table1[[#This Row],[Data de Início]]="","",YEAR(Table1[[#This Row],[Data de Início]]))</f>
        <v/>
      </c>
      <c r="BB1814" s="270" t="str">
        <f>IF(Table1[[#This Row],[Data de Início]]="","",MONTH(Table1[[#This Row],[Data de Início]]))</f>
        <v/>
      </c>
      <c r="BC1814" s="270"/>
    </row>
    <row r="1815" spans="2:55" x14ac:dyDescent="0.25">
      <c r="B1815" s="470"/>
      <c r="C1815" s="263"/>
      <c r="D1815" s="477" cm="1">
        <f t="array" ref="D1815">IFERROR(HorasUteisFabrica2Turnos(B1815,C1815), "")</f>
        <v>0</v>
      </c>
      <c r="E1815" s="697" t="str">
        <f t="shared" si="28"/>
        <v/>
      </c>
      <c r="F1815" s="266"/>
      <c r="G1815" s="698"/>
      <c r="H1815" s="266"/>
      <c r="I1815" s="268"/>
      <c r="J1815" s="268"/>
      <c r="K1815" s="268"/>
      <c r="L1815" s="269"/>
      <c r="M1815" s="510" t="str">
        <f>IFERROR(INDEX([1]Produtos!$C:$C,MATCH(L1815,[1]Produtos!$B:$B,0)), "-")</f>
        <v>-</v>
      </c>
      <c r="N1815" s="510" t="str">
        <f>IFERROR(INDEX([1]Produtos!$E:$E,MATCH(L1815,[1]Produtos!$B:$B,0)), "-")</f>
        <v>-</v>
      </c>
      <c r="O1815" s="270" t="str">
        <f>IFERROR(INDEX([1]Produtos!$F:$F,MATCH(L1815,[1]Produtos!$B:$B,0)), "-")</f>
        <v>-</v>
      </c>
      <c r="P1815" s="264" t="str">
        <f>IFERROR(INDEX([1]Produtos!$G:$G,MATCH(L1815,[1]Produtos!$B:$B,0)), "-")</f>
        <v>-</v>
      </c>
      <c r="Q1815" s="270" t="str">
        <f>IFERROR(INDEX([1]Produtos!$H:$H,MATCH(L1815,[1]Produtos!$B:$B,0)), "-")</f>
        <v>-</v>
      </c>
      <c r="R1815" s="270" t="str">
        <f>IFERROR(INDEX([1]Produtos!$I:$I,MATCH(L1815,[1]Produtos!$B:$B,0)), "-")</f>
        <v>-</v>
      </c>
      <c r="S1815" s="270" t="str">
        <f>IFERROR(INDEX([1]Produtos!$J:$J,MATCH(L1815,[1]Produtos!$B:$B,0)), "-")</f>
        <v>-</v>
      </c>
      <c r="T1815" s="475"/>
      <c r="U1815" s="270"/>
      <c r="V1815" s="270"/>
      <c r="W1815" s="270"/>
      <c r="X1815" s="270"/>
      <c r="Y1815" s="270"/>
      <c r="Z1815" s="270"/>
      <c r="AA1815" s="270"/>
      <c r="AB1815" s="270"/>
      <c r="AC1815" s="270"/>
      <c r="AD1815" s="270"/>
      <c r="AE1815" s="270"/>
      <c r="AF1815" s="270"/>
      <c r="AG1815" s="270"/>
      <c r="AH1815" s="270"/>
      <c r="AI1815" s="270"/>
      <c r="AJ1815" s="270"/>
      <c r="AK1815" s="270"/>
      <c r="AL1815" s="270"/>
      <c r="AM1815" s="663"/>
      <c r="AN1815" s="663"/>
      <c r="AO1815" s="708" t="str">
        <f>IF(OR(Table1[[#This Row],[Início Setup Envase]]="",Table1[[#This Row],[Final Setup Envase]]=""),"",Table1[[#This Row],[Final Setup Envase]]-Table1[[#This Row],[Início Setup Envase]])</f>
        <v/>
      </c>
      <c r="AP1815" s="663"/>
      <c r="AQ1815" s="663"/>
      <c r="AR1815" s="270"/>
      <c r="AS1815" s="674"/>
      <c r="AT1815" s="674"/>
      <c r="AU1815" s="270"/>
      <c r="AV1815" s="270"/>
      <c r="AW1815" s="270"/>
      <c r="AX1815" s="270"/>
      <c r="AY1815" s="270"/>
      <c r="AZ1815" s="270"/>
      <c r="BA1815" s="270" t="str">
        <f>IF(Table1[[#This Row],[Data de Início]]="","",YEAR(Table1[[#This Row],[Data de Início]]))</f>
        <v/>
      </c>
      <c r="BB1815" s="270" t="str">
        <f>IF(Table1[[#This Row],[Data de Início]]="","",MONTH(Table1[[#This Row],[Data de Início]]))</f>
        <v/>
      </c>
      <c r="BC1815" s="483"/>
    </row>
    <row r="1816" spans="2:55" x14ac:dyDescent="0.25">
      <c r="B1816" s="470"/>
      <c r="C1816" s="263"/>
      <c r="D1816" s="477" cm="1">
        <f t="array" ref="D1816">IFERROR(HorasUteisFabrica2Turnos(B1816,C1816), "")</f>
        <v>0</v>
      </c>
      <c r="E1816" s="478" t="str">
        <f t="shared" si="28"/>
        <v/>
      </c>
      <c r="F1816" s="266"/>
      <c r="G1816" s="656"/>
      <c r="H1816" s="479"/>
      <c r="I1816" s="268"/>
      <c r="J1816" s="268"/>
      <c r="K1816" s="268"/>
      <c r="L1816" s="269"/>
      <c r="M1816" s="511" t="str">
        <f>IFERROR(INDEX([1]Produtos!$C:$C,MATCH(L1816,[1]Produtos!$B:$B,0)), "-")</f>
        <v>-</v>
      </c>
      <c r="N1816" s="511" t="str">
        <f>IFERROR(INDEX([1]Produtos!$E:$E,MATCH(L1816,[1]Produtos!$B:$B,0)), "-")</f>
        <v>-</v>
      </c>
      <c r="O1816" s="483" t="str">
        <f>IFERROR(INDEX([1]Produtos!$F:$F,MATCH(L1816,[1]Produtos!$B:$B,0)), "-")</f>
        <v>-</v>
      </c>
      <c r="P1816" s="477" t="str">
        <f>IFERROR(INDEX([1]Produtos!$G:$G,MATCH(L1816,[1]Produtos!$B:$B,0)), "-")</f>
        <v>-</v>
      </c>
      <c r="Q1816" s="483" t="str">
        <f>IFERROR(INDEX([1]Produtos!$H:$H,MATCH(L1816,[1]Produtos!$B:$B,0)), "-")</f>
        <v>-</v>
      </c>
      <c r="R1816" s="483" t="str">
        <f>IFERROR(INDEX([1]Produtos!$I:$I,MATCH(L1816,[1]Produtos!$B:$B,0)), "-")</f>
        <v>-</v>
      </c>
      <c r="S1816" s="483" t="str">
        <f>IFERROR(INDEX([1]Produtos!$J:$J,MATCH(L1816,[1]Produtos!$B:$B,0)), "-")</f>
        <v>-</v>
      </c>
      <c r="T1816" s="484"/>
      <c r="U1816" s="483"/>
      <c r="V1816" s="483"/>
      <c r="W1816" s="483"/>
      <c r="X1816" s="483"/>
      <c r="Y1816" s="483"/>
      <c r="Z1816" s="483"/>
      <c r="AA1816" s="483"/>
      <c r="AB1816" s="483"/>
      <c r="AC1816" s="483"/>
      <c r="AD1816" s="483"/>
      <c r="AE1816" s="483"/>
      <c r="AF1816" s="483"/>
      <c r="AG1816" s="483"/>
      <c r="AH1816" s="483"/>
      <c r="AI1816" s="483"/>
      <c r="AJ1816" s="483"/>
      <c r="AK1816" s="483"/>
      <c r="AL1816" s="483"/>
      <c r="AM1816" s="670"/>
      <c r="AN1816" s="670"/>
      <c r="AO1816" s="711" t="str">
        <f>IF(OR(Table1[[#This Row],[Início Setup Envase]]="",Table1[[#This Row],[Final Setup Envase]]=""),"",Table1[[#This Row],[Final Setup Envase]]-Table1[[#This Row],[Início Setup Envase]])</f>
        <v/>
      </c>
      <c r="AP1816" s="670"/>
      <c r="AQ1816" s="670"/>
      <c r="AR1816" s="483"/>
      <c r="AS1816" s="483"/>
      <c r="AT1816" s="483"/>
      <c r="AU1816" s="483"/>
      <c r="AV1816" s="483"/>
      <c r="AW1816" s="483"/>
      <c r="AX1816" s="483"/>
      <c r="AY1816" s="270"/>
      <c r="AZ1816" s="270"/>
      <c r="BA1816" s="270" t="str">
        <f>IF(Table1[[#This Row],[Data de Início]]="","",YEAR(Table1[[#This Row],[Data de Início]]))</f>
        <v/>
      </c>
      <c r="BB1816" s="270" t="str">
        <f>IF(Table1[[#This Row],[Data de Início]]="","",MONTH(Table1[[#This Row],[Data de Início]]))</f>
        <v/>
      </c>
      <c r="BC1816" s="270"/>
    </row>
    <row r="1817" spans="2:55" x14ac:dyDescent="0.25">
      <c r="B1817" s="470"/>
      <c r="C1817" s="263"/>
      <c r="D1817" s="477" cm="1">
        <f t="array" ref="D1817">IFERROR(HorasUteisFabrica2Turnos(B1817,C1817), "")</f>
        <v>0</v>
      </c>
      <c r="E1817" s="697" t="str">
        <f t="shared" si="28"/>
        <v/>
      </c>
      <c r="F1817" s="266"/>
      <c r="G1817" s="698"/>
      <c r="H1817" s="266"/>
      <c r="I1817" s="268"/>
      <c r="J1817" s="268"/>
      <c r="K1817" s="268"/>
      <c r="L1817" s="269"/>
      <c r="M1817" s="510" t="str">
        <f>IFERROR(INDEX([1]Produtos!$C:$C,MATCH(L1817,[1]Produtos!$B:$B,0)), "-")</f>
        <v>-</v>
      </c>
      <c r="N1817" s="510" t="str">
        <f>IFERROR(INDEX([1]Produtos!$E:$E,MATCH(L1817,[1]Produtos!$B:$B,0)), "-")</f>
        <v>-</v>
      </c>
      <c r="O1817" s="270" t="str">
        <f>IFERROR(INDEX([1]Produtos!$F:$F,MATCH(L1817,[1]Produtos!$B:$B,0)), "-")</f>
        <v>-</v>
      </c>
      <c r="P1817" s="264" t="str">
        <f>IFERROR(INDEX([1]Produtos!$G:$G,MATCH(L1817,[1]Produtos!$B:$B,0)), "-")</f>
        <v>-</v>
      </c>
      <c r="Q1817" s="270" t="str">
        <f>IFERROR(INDEX([1]Produtos!$H:$H,MATCH(L1817,[1]Produtos!$B:$B,0)), "-")</f>
        <v>-</v>
      </c>
      <c r="R1817" s="270" t="str">
        <f>IFERROR(INDEX([1]Produtos!$I:$I,MATCH(L1817,[1]Produtos!$B:$B,0)), "-")</f>
        <v>-</v>
      </c>
      <c r="S1817" s="270" t="str">
        <f>IFERROR(INDEX([1]Produtos!$J:$J,MATCH(L1817,[1]Produtos!$B:$B,0)), "-")</f>
        <v>-</v>
      </c>
      <c r="T1817" s="475"/>
      <c r="U1817" s="270"/>
      <c r="V1817" s="270"/>
      <c r="W1817" s="270"/>
      <c r="X1817" s="270"/>
      <c r="Y1817" s="270"/>
      <c r="Z1817" s="270"/>
      <c r="AA1817" s="270"/>
      <c r="AB1817" s="270"/>
      <c r="AC1817" s="270"/>
      <c r="AD1817" s="270"/>
      <c r="AE1817" s="270"/>
      <c r="AF1817" s="270"/>
      <c r="AG1817" s="270"/>
      <c r="AH1817" s="270"/>
      <c r="AI1817" s="270"/>
      <c r="AJ1817" s="270"/>
      <c r="AK1817" s="270"/>
      <c r="AL1817" s="270"/>
      <c r="AM1817" s="663"/>
      <c r="AN1817" s="663"/>
      <c r="AO1817" s="708" t="str">
        <f>IF(OR(Table1[[#This Row],[Início Setup Envase]]="",Table1[[#This Row],[Final Setup Envase]]=""),"",Table1[[#This Row],[Final Setup Envase]]-Table1[[#This Row],[Início Setup Envase]])</f>
        <v/>
      </c>
      <c r="AP1817" s="663"/>
      <c r="AQ1817" s="663"/>
      <c r="AR1817" s="270"/>
      <c r="AS1817" s="674"/>
      <c r="AT1817" s="674"/>
      <c r="AU1817" s="270"/>
      <c r="AV1817" s="270"/>
      <c r="AW1817" s="270"/>
      <c r="AX1817" s="270"/>
      <c r="AY1817" s="270"/>
      <c r="AZ1817" s="270"/>
      <c r="BA1817" s="270" t="str">
        <f>IF(Table1[[#This Row],[Data de Início]]="","",YEAR(Table1[[#This Row],[Data de Início]]))</f>
        <v/>
      </c>
      <c r="BB1817" s="270" t="str">
        <f>IF(Table1[[#This Row],[Data de Início]]="","",MONTH(Table1[[#This Row],[Data de Início]]))</f>
        <v/>
      </c>
      <c r="BC1817" s="483"/>
    </row>
    <row r="1818" spans="2:55" x14ac:dyDescent="0.25">
      <c r="B1818" s="470"/>
      <c r="C1818" s="263"/>
      <c r="D1818" s="477" cm="1">
        <f t="array" ref="D1818">IFERROR(HorasUteisFabrica2Turnos(B1818,C1818), "")</f>
        <v>0</v>
      </c>
      <c r="E1818" s="478" t="str">
        <f t="shared" si="28"/>
        <v/>
      </c>
      <c r="F1818" s="266"/>
      <c r="G1818" s="656"/>
      <c r="H1818" s="479"/>
      <c r="I1818" s="268"/>
      <c r="J1818" s="268"/>
      <c r="K1818" s="268"/>
      <c r="L1818" s="269"/>
      <c r="M1818" s="511" t="str">
        <f>IFERROR(INDEX([1]Produtos!$C:$C,MATCH(L1818,[1]Produtos!$B:$B,0)), "-")</f>
        <v>-</v>
      </c>
      <c r="N1818" s="511" t="str">
        <f>IFERROR(INDEX([1]Produtos!$E:$E,MATCH(L1818,[1]Produtos!$B:$B,0)), "-")</f>
        <v>-</v>
      </c>
      <c r="O1818" s="483" t="str">
        <f>IFERROR(INDEX([1]Produtos!$F:$F,MATCH(L1818,[1]Produtos!$B:$B,0)), "-")</f>
        <v>-</v>
      </c>
      <c r="P1818" s="477" t="str">
        <f>IFERROR(INDEX([1]Produtos!$G:$G,MATCH(L1818,[1]Produtos!$B:$B,0)), "-")</f>
        <v>-</v>
      </c>
      <c r="Q1818" s="483" t="str">
        <f>IFERROR(INDEX([1]Produtos!$H:$H,MATCH(L1818,[1]Produtos!$B:$B,0)), "-")</f>
        <v>-</v>
      </c>
      <c r="R1818" s="483" t="str">
        <f>IFERROR(INDEX([1]Produtos!$I:$I,MATCH(L1818,[1]Produtos!$B:$B,0)), "-")</f>
        <v>-</v>
      </c>
      <c r="S1818" s="483" t="str">
        <f>IFERROR(INDEX([1]Produtos!$J:$J,MATCH(L1818,[1]Produtos!$B:$B,0)), "-")</f>
        <v>-</v>
      </c>
      <c r="T1818" s="484"/>
      <c r="U1818" s="483"/>
      <c r="V1818" s="483"/>
      <c r="W1818" s="483"/>
      <c r="X1818" s="483"/>
      <c r="Y1818" s="483"/>
      <c r="Z1818" s="483"/>
      <c r="AA1818" s="483"/>
      <c r="AB1818" s="483"/>
      <c r="AC1818" s="483"/>
      <c r="AD1818" s="483"/>
      <c r="AE1818" s="483"/>
      <c r="AF1818" s="483"/>
      <c r="AG1818" s="483"/>
      <c r="AH1818" s="483"/>
      <c r="AI1818" s="483"/>
      <c r="AJ1818" s="483"/>
      <c r="AK1818" s="483"/>
      <c r="AL1818" s="483"/>
      <c r="AM1818" s="670"/>
      <c r="AN1818" s="670"/>
      <c r="AO1818" s="711" t="str">
        <f>IF(OR(Table1[[#This Row],[Início Setup Envase]]="",Table1[[#This Row],[Final Setup Envase]]=""),"",Table1[[#This Row],[Final Setup Envase]]-Table1[[#This Row],[Início Setup Envase]])</f>
        <v/>
      </c>
      <c r="AP1818" s="670"/>
      <c r="AQ1818" s="670"/>
      <c r="AR1818" s="483"/>
      <c r="AS1818" s="483"/>
      <c r="AT1818" s="483"/>
      <c r="AU1818" s="483"/>
      <c r="AV1818" s="483"/>
      <c r="AW1818" s="483"/>
      <c r="AX1818" s="483"/>
      <c r="AY1818" s="270"/>
      <c r="AZ1818" s="270"/>
      <c r="BA1818" s="270" t="str">
        <f>IF(Table1[[#This Row],[Data de Início]]="","",YEAR(Table1[[#This Row],[Data de Início]]))</f>
        <v/>
      </c>
      <c r="BB1818" s="270" t="str">
        <f>IF(Table1[[#This Row],[Data de Início]]="","",MONTH(Table1[[#This Row],[Data de Início]]))</f>
        <v/>
      </c>
      <c r="BC1818" s="270"/>
    </row>
    <row r="1819" spans="2:55" x14ac:dyDescent="0.25">
      <c r="B1819" s="470"/>
      <c r="C1819" s="263"/>
      <c r="D1819" s="477" cm="1">
        <f t="array" ref="D1819">IFERROR(HorasUteisFabrica2Turnos(B1819,C1819), "")</f>
        <v>0</v>
      </c>
      <c r="E1819" s="697" t="str">
        <f t="shared" si="28"/>
        <v/>
      </c>
      <c r="F1819" s="266"/>
      <c r="G1819" s="698"/>
      <c r="H1819" s="266"/>
      <c r="I1819" s="268"/>
      <c r="J1819" s="268"/>
      <c r="K1819" s="268"/>
      <c r="L1819" s="269"/>
      <c r="M1819" s="510" t="str">
        <f>IFERROR(INDEX([1]Produtos!$C:$C,MATCH(L1819,[1]Produtos!$B:$B,0)), "-")</f>
        <v>-</v>
      </c>
      <c r="N1819" s="510" t="str">
        <f>IFERROR(INDEX([1]Produtos!$E:$E,MATCH(L1819,[1]Produtos!$B:$B,0)), "-")</f>
        <v>-</v>
      </c>
      <c r="O1819" s="270" t="str">
        <f>IFERROR(INDEX([1]Produtos!$F:$F,MATCH(L1819,[1]Produtos!$B:$B,0)), "-")</f>
        <v>-</v>
      </c>
      <c r="P1819" s="264" t="str">
        <f>IFERROR(INDEX([1]Produtos!$G:$G,MATCH(L1819,[1]Produtos!$B:$B,0)), "-")</f>
        <v>-</v>
      </c>
      <c r="Q1819" s="270" t="str">
        <f>IFERROR(INDEX([1]Produtos!$H:$H,MATCH(L1819,[1]Produtos!$B:$B,0)), "-")</f>
        <v>-</v>
      </c>
      <c r="R1819" s="270" t="str">
        <f>IFERROR(INDEX([1]Produtos!$I:$I,MATCH(L1819,[1]Produtos!$B:$B,0)), "-")</f>
        <v>-</v>
      </c>
      <c r="S1819" s="270" t="str">
        <f>IFERROR(INDEX([1]Produtos!$J:$J,MATCH(L1819,[1]Produtos!$B:$B,0)), "-")</f>
        <v>-</v>
      </c>
      <c r="T1819" s="475"/>
      <c r="U1819" s="270"/>
      <c r="V1819" s="270"/>
      <c r="W1819" s="270"/>
      <c r="X1819" s="270"/>
      <c r="Y1819" s="270"/>
      <c r="Z1819" s="270"/>
      <c r="AA1819" s="270"/>
      <c r="AB1819" s="270"/>
      <c r="AC1819" s="270"/>
      <c r="AD1819" s="270"/>
      <c r="AE1819" s="270"/>
      <c r="AF1819" s="270"/>
      <c r="AG1819" s="270"/>
      <c r="AH1819" s="270"/>
      <c r="AI1819" s="270"/>
      <c r="AJ1819" s="270"/>
      <c r="AK1819" s="270"/>
      <c r="AL1819" s="270"/>
      <c r="AM1819" s="663"/>
      <c r="AN1819" s="663"/>
      <c r="AO1819" s="708" t="str">
        <f>IF(OR(Table1[[#This Row],[Início Setup Envase]]="",Table1[[#This Row],[Final Setup Envase]]=""),"",Table1[[#This Row],[Final Setup Envase]]-Table1[[#This Row],[Início Setup Envase]])</f>
        <v/>
      </c>
      <c r="AP1819" s="663"/>
      <c r="AQ1819" s="663"/>
      <c r="AR1819" s="270"/>
      <c r="AS1819" s="674"/>
      <c r="AT1819" s="674"/>
      <c r="AU1819" s="270"/>
      <c r="AV1819" s="270"/>
      <c r="AW1819" s="270"/>
      <c r="AX1819" s="270"/>
      <c r="AY1819" s="270"/>
      <c r="AZ1819" s="270"/>
      <c r="BA1819" s="270" t="str">
        <f>IF(Table1[[#This Row],[Data de Início]]="","",YEAR(Table1[[#This Row],[Data de Início]]))</f>
        <v/>
      </c>
      <c r="BB1819" s="270" t="str">
        <f>IF(Table1[[#This Row],[Data de Início]]="","",MONTH(Table1[[#This Row],[Data de Início]]))</f>
        <v/>
      </c>
      <c r="BC1819" s="483"/>
    </row>
    <row r="1820" spans="2:55" x14ac:dyDescent="0.25">
      <c r="B1820" s="470"/>
      <c r="C1820" s="263"/>
      <c r="D1820" s="477" cm="1">
        <f t="array" ref="D1820">IFERROR(HorasUteisFabrica2Turnos(B1820,C1820), "")</f>
        <v>0</v>
      </c>
      <c r="E1820" s="478" t="str">
        <f t="shared" si="28"/>
        <v/>
      </c>
      <c r="F1820" s="266"/>
      <c r="G1820" s="656"/>
      <c r="H1820" s="479"/>
      <c r="I1820" s="268"/>
      <c r="J1820" s="268"/>
      <c r="K1820" s="268"/>
      <c r="L1820" s="269"/>
      <c r="M1820" s="511" t="str">
        <f>IFERROR(INDEX([1]Produtos!$C:$C,MATCH(L1820,[1]Produtos!$B:$B,0)), "-")</f>
        <v>-</v>
      </c>
      <c r="N1820" s="511" t="str">
        <f>IFERROR(INDEX([1]Produtos!$E:$E,MATCH(L1820,[1]Produtos!$B:$B,0)), "-")</f>
        <v>-</v>
      </c>
      <c r="O1820" s="483" t="str">
        <f>IFERROR(INDEX([1]Produtos!$F:$F,MATCH(L1820,[1]Produtos!$B:$B,0)), "-")</f>
        <v>-</v>
      </c>
      <c r="P1820" s="477" t="str">
        <f>IFERROR(INDEX([1]Produtos!$G:$G,MATCH(L1820,[1]Produtos!$B:$B,0)), "-")</f>
        <v>-</v>
      </c>
      <c r="Q1820" s="483" t="str">
        <f>IFERROR(INDEX([1]Produtos!$H:$H,MATCH(L1820,[1]Produtos!$B:$B,0)), "-")</f>
        <v>-</v>
      </c>
      <c r="R1820" s="483" t="str">
        <f>IFERROR(INDEX([1]Produtos!$I:$I,MATCH(L1820,[1]Produtos!$B:$B,0)), "-")</f>
        <v>-</v>
      </c>
      <c r="S1820" s="483" t="str">
        <f>IFERROR(INDEX([1]Produtos!$J:$J,MATCH(L1820,[1]Produtos!$B:$B,0)), "-")</f>
        <v>-</v>
      </c>
      <c r="T1820" s="484"/>
      <c r="U1820" s="483"/>
      <c r="V1820" s="483"/>
      <c r="W1820" s="483"/>
      <c r="X1820" s="483"/>
      <c r="Y1820" s="483"/>
      <c r="Z1820" s="483"/>
      <c r="AA1820" s="483"/>
      <c r="AB1820" s="483"/>
      <c r="AC1820" s="483"/>
      <c r="AD1820" s="483"/>
      <c r="AE1820" s="483"/>
      <c r="AF1820" s="483"/>
      <c r="AG1820" s="483"/>
      <c r="AH1820" s="483"/>
      <c r="AI1820" s="483"/>
      <c r="AJ1820" s="483"/>
      <c r="AK1820" s="483"/>
      <c r="AL1820" s="483"/>
      <c r="AM1820" s="670"/>
      <c r="AN1820" s="670"/>
      <c r="AO1820" s="711" t="str">
        <f>IF(OR(Table1[[#This Row],[Início Setup Envase]]="",Table1[[#This Row],[Final Setup Envase]]=""),"",Table1[[#This Row],[Final Setup Envase]]-Table1[[#This Row],[Início Setup Envase]])</f>
        <v/>
      </c>
      <c r="AP1820" s="670"/>
      <c r="AQ1820" s="670"/>
      <c r="AR1820" s="483"/>
      <c r="AS1820" s="483"/>
      <c r="AT1820" s="483"/>
      <c r="AU1820" s="483"/>
      <c r="AV1820" s="483"/>
      <c r="AW1820" s="483"/>
      <c r="AX1820" s="483"/>
      <c r="AY1820" s="270"/>
      <c r="AZ1820" s="270"/>
      <c r="BA1820" s="270" t="str">
        <f>IF(Table1[[#This Row],[Data de Início]]="","",YEAR(Table1[[#This Row],[Data de Início]]))</f>
        <v/>
      </c>
      <c r="BB1820" s="270" t="str">
        <f>IF(Table1[[#This Row],[Data de Início]]="","",MONTH(Table1[[#This Row],[Data de Início]]))</f>
        <v/>
      </c>
      <c r="BC1820" s="270"/>
    </row>
    <row r="1821" spans="2:55" x14ac:dyDescent="0.25">
      <c r="B1821" s="470"/>
      <c r="C1821" s="263"/>
      <c r="D1821" s="477" cm="1">
        <f t="array" ref="D1821">IFERROR(HorasUteisFabrica2Turnos(B1821,C1821), "")</f>
        <v>0</v>
      </c>
      <c r="E1821" s="697" t="str">
        <f t="shared" si="28"/>
        <v/>
      </c>
      <c r="F1821" s="266"/>
      <c r="G1821" s="698"/>
      <c r="H1821" s="266"/>
      <c r="I1821" s="268"/>
      <c r="J1821" s="268"/>
      <c r="K1821" s="268"/>
      <c r="L1821" s="269"/>
      <c r="M1821" s="510" t="str">
        <f>IFERROR(INDEX([1]Produtos!$C:$C,MATCH(L1821,[1]Produtos!$B:$B,0)), "-")</f>
        <v>-</v>
      </c>
      <c r="N1821" s="510" t="str">
        <f>IFERROR(INDEX([1]Produtos!$E:$E,MATCH(L1821,[1]Produtos!$B:$B,0)), "-")</f>
        <v>-</v>
      </c>
      <c r="O1821" s="270" t="str">
        <f>IFERROR(INDEX([1]Produtos!$F:$F,MATCH(L1821,[1]Produtos!$B:$B,0)), "-")</f>
        <v>-</v>
      </c>
      <c r="P1821" s="264" t="str">
        <f>IFERROR(INDEX([1]Produtos!$G:$G,MATCH(L1821,[1]Produtos!$B:$B,0)), "-")</f>
        <v>-</v>
      </c>
      <c r="Q1821" s="270" t="str">
        <f>IFERROR(INDEX([1]Produtos!$H:$H,MATCH(L1821,[1]Produtos!$B:$B,0)), "-")</f>
        <v>-</v>
      </c>
      <c r="R1821" s="270" t="str">
        <f>IFERROR(INDEX([1]Produtos!$I:$I,MATCH(L1821,[1]Produtos!$B:$B,0)), "-")</f>
        <v>-</v>
      </c>
      <c r="S1821" s="270" t="str">
        <f>IFERROR(INDEX([1]Produtos!$J:$J,MATCH(L1821,[1]Produtos!$B:$B,0)), "-")</f>
        <v>-</v>
      </c>
      <c r="T1821" s="475"/>
      <c r="U1821" s="270"/>
      <c r="V1821" s="270"/>
      <c r="W1821" s="270"/>
      <c r="X1821" s="270"/>
      <c r="Y1821" s="270"/>
      <c r="Z1821" s="270"/>
      <c r="AA1821" s="270"/>
      <c r="AB1821" s="270"/>
      <c r="AC1821" s="270"/>
      <c r="AD1821" s="270"/>
      <c r="AE1821" s="270"/>
      <c r="AF1821" s="270"/>
      <c r="AG1821" s="270"/>
      <c r="AH1821" s="270"/>
      <c r="AI1821" s="270"/>
      <c r="AJ1821" s="270"/>
      <c r="AK1821" s="270"/>
      <c r="AL1821" s="270"/>
      <c r="AM1821" s="663"/>
      <c r="AN1821" s="663"/>
      <c r="AO1821" s="708" t="str">
        <f>IF(OR(Table1[[#This Row],[Início Setup Envase]]="",Table1[[#This Row],[Final Setup Envase]]=""),"",Table1[[#This Row],[Final Setup Envase]]-Table1[[#This Row],[Início Setup Envase]])</f>
        <v/>
      </c>
      <c r="AP1821" s="663"/>
      <c r="AQ1821" s="663"/>
      <c r="AR1821" s="270"/>
      <c r="AS1821" s="674"/>
      <c r="AT1821" s="674"/>
      <c r="AU1821" s="270"/>
      <c r="AV1821" s="270"/>
      <c r="AW1821" s="270"/>
      <c r="AX1821" s="270"/>
      <c r="AY1821" s="270"/>
      <c r="AZ1821" s="270"/>
      <c r="BA1821" s="270" t="str">
        <f>IF(Table1[[#This Row],[Data de Início]]="","",YEAR(Table1[[#This Row],[Data de Início]]))</f>
        <v/>
      </c>
      <c r="BB1821" s="270" t="str">
        <f>IF(Table1[[#This Row],[Data de Início]]="","",MONTH(Table1[[#This Row],[Data de Início]]))</f>
        <v/>
      </c>
      <c r="BC1821" s="483"/>
    </row>
    <row r="1822" spans="2:55" x14ac:dyDescent="0.25">
      <c r="B1822" s="470"/>
      <c r="C1822" s="263"/>
      <c r="D1822" s="477" cm="1">
        <f t="array" ref="D1822">IFERROR(HorasUteisFabrica2Turnos(B1822,C1822), "")</f>
        <v>0</v>
      </c>
      <c r="E1822" s="478" t="str">
        <f t="shared" si="28"/>
        <v/>
      </c>
      <c r="F1822" s="266"/>
      <c r="G1822" s="656"/>
      <c r="H1822" s="479"/>
      <c r="I1822" s="268"/>
      <c r="J1822" s="268"/>
      <c r="K1822" s="268"/>
      <c r="L1822" s="269"/>
      <c r="M1822" s="511" t="str">
        <f>IFERROR(INDEX([1]Produtos!$C:$C,MATCH(L1822,[1]Produtos!$B:$B,0)), "-")</f>
        <v>-</v>
      </c>
      <c r="N1822" s="511" t="str">
        <f>IFERROR(INDEX([1]Produtos!$E:$E,MATCH(L1822,[1]Produtos!$B:$B,0)), "-")</f>
        <v>-</v>
      </c>
      <c r="O1822" s="483" t="str">
        <f>IFERROR(INDEX([1]Produtos!$F:$F,MATCH(L1822,[1]Produtos!$B:$B,0)), "-")</f>
        <v>-</v>
      </c>
      <c r="P1822" s="477" t="str">
        <f>IFERROR(INDEX([1]Produtos!$G:$G,MATCH(L1822,[1]Produtos!$B:$B,0)), "-")</f>
        <v>-</v>
      </c>
      <c r="Q1822" s="483" t="str">
        <f>IFERROR(INDEX([1]Produtos!$H:$H,MATCH(L1822,[1]Produtos!$B:$B,0)), "-")</f>
        <v>-</v>
      </c>
      <c r="R1822" s="483" t="str">
        <f>IFERROR(INDEX([1]Produtos!$I:$I,MATCH(L1822,[1]Produtos!$B:$B,0)), "-")</f>
        <v>-</v>
      </c>
      <c r="S1822" s="483" t="str">
        <f>IFERROR(INDEX([1]Produtos!$J:$J,MATCH(L1822,[1]Produtos!$B:$B,0)), "-")</f>
        <v>-</v>
      </c>
      <c r="T1822" s="484"/>
      <c r="U1822" s="483"/>
      <c r="V1822" s="483"/>
      <c r="W1822" s="483"/>
      <c r="X1822" s="483"/>
      <c r="Y1822" s="483"/>
      <c r="Z1822" s="483"/>
      <c r="AA1822" s="483"/>
      <c r="AB1822" s="483"/>
      <c r="AC1822" s="483"/>
      <c r="AD1822" s="483"/>
      <c r="AE1822" s="483"/>
      <c r="AF1822" s="483"/>
      <c r="AG1822" s="483"/>
      <c r="AH1822" s="483"/>
      <c r="AI1822" s="483"/>
      <c r="AJ1822" s="483"/>
      <c r="AK1822" s="483"/>
      <c r="AL1822" s="483"/>
      <c r="AM1822" s="670"/>
      <c r="AN1822" s="670"/>
      <c r="AO1822" s="711" t="str">
        <f>IF(OR(Table1[[#This Row],[Início Setup Envase]]="",Table1[[#This Row],[Final Setup Envase]]=""),"",Table1[[#This Row],[Final Setup Envase]]-Table1[[#This Row],[Início Setup Envase]])</f>
        <v/>
      </c>
      <c r="AP1822" s="670"/>
      <c r="AQ1822" s="670"/>
      <c r="AR1822" s="483"/>
      <c r="AS1822" s="483"/>
      <c r="AT1822" s="483"/>
      <c r="AU1822" s="483"/>
      <c r="AV1822" s="483"/>
      <c r="AW1822" s="483"/>
      <c r="AX1822" s="483"/>
      <c r="AY1822" s="270"/>
      <c r="AZ1822" s="270"/>
      <c r="BA1822" s="270" t="str">
        <f>IF(Table1[[#This Row],[Data de Início]]="","",YEAR(Table1[[#This Row],[Data de Início]]))</f>
        <v/>
      </c>
      <c r="BB1822" s="270" t="str">
        <f>IF(Table1[[#This Row],[Data de Início]]="","",MONTH(Table1[[#This Row],[Data de Início]]))</f>
        <v/>
      </c>
      <c r="BC1822" s="270"/>
    </row>
    <row r="1823" spans="2:55" x14ac:dyDescent="0.25">
      <c r="B1823" s="470"/>
      <c r="C1823" s="263"/>
      <c r="D1823" s="477" cm="1">
        <f t="array" ref="D1823">IFERROR(HorasUteisFabrica2Turnos(B1823,C1823), "")</f>
        <v>0</v>
      </c>
      <c r="E1823" s="697" t="str">
        <f t="shared" si="28"/>
        <v/>
      </c>
      <c r="F1823" s="266"/>
      <c r="G1823" s="698"/>
      <c r="H1823" s="266"/>
      <c r="I1823" s="268"/>
      <c r="J1823" s="268"/>
      <c r="K1823" s="268"/>
      <c r="L1823" s="269"/>
      <c r="M1823" s="510" t="str">
        <f>IFERROR(INDEX([1]Produtos!$C:$C,MATCH(L1823,[1]Produtos!$B:$B,0)), "-")</f>
        <v>-</v>
      </c>
      <c r="N1823" s="510" t="str">
        <f>IFERROR(INDEX([1]Produtos!$E:$E,MATCH(L1823,[1]Produtos!$B:$B,0)), "-")</f>
        <v>-</v>
      </c>
      <c r="O1823" s="270" t="str">
        <f>IFERROR(INDEX([1]Produtos!$F:$F,MATCH(L1823,[1]Produtos!$B:$B,0)), "-")</f>
        <v>-</v>
      </c>
      <c r="P1823" s="264" t="str">
        <f>IFERROR(INDEX([1]Produtos!$G:$G,MATCH(L1823,[1]Produtos!$B:$B,0)), "-")</f>
        <v>-</v>
      </c>
      <c r="Q1823" s="270" t="str">
        <f>IFERROR(INDEX([1]Produtos!$H:$H,MATCH(L1823,[1]Produtos!$B:$B,0)), "-")</f>
        <v>-</v>
      </c>
      <c r="R1823" s="270" t="str">
        <f>IFERROR(INDEX([1]Produtos!$I:$I,MATCH(L1823,[1]Produtos!$B:$B,0)), "-")</f>
        <v>-</v>
      </c>
      <c r="S1823" s="270" t="str">
        <f>IFERROR(INDEX([1]Produtos!$J:$J,MATCH(L1823,[1]Produtos!$B:$B,0)), "-")</f>
        <v>-</v>
      </c>
      <c r="T1823" s="475"/>
      <c r="U1823" s="270"/>
      <c r="V1823" s="270"/>
      <c r="W1823" s="270"/>
      <c r="X1823" s="270"/>
      <c r="Y1823" s="270"/>
      <c r="Z1823" s="270"/>
      <c r="AA1823" s="270"/>
      <c r="AB1823" s="270"/>
      <c r="AC1823" s="270"/>
      <c r="AD1823" s="270"/>
      <c r="AE1823" s="270"/>
      <c r="AF1823" s="270"/>
      <c r="AG1823" s="270"/>
      <c r="AH1823" s="270"/>
      <c r="AI1823" s="270"/>
      <c r="AJ1823" s="270"/>
      <c r="AK1823" s="270"/>
      <c r="AL1823" s="270"/>
      <c r="AM1823" s="663"/>
      <c r="AN1823" s="663"/>
      <c r="AO1823" s="708" t="str">
        <f>IF(OR(Table1[[#This Row],[Início Setup Envase]]="",Table1[[#This Row],[Final Setup Envase]]=""),"",Table1[[#This Row],[Final Setup Envase]]-Table1[[#This Row],[Início Setup Envase]])</f>
        <v/>
      </c>
      <c r="AP1823" s="663"/>
      <c r="AQ1823" s="663"/>
      <c r="AR1823" s="270"/>
      <c r="AS1823" s="674"/>
      <c r="AT1823" s="674"/>
      <c r="AU1823" s="270"/>
      <c r="AV1823" s="270"/>
      <c r="AW1823" s="270"/>
      <c r="AX1823" s="270"/>
      <c r="AY1823" s="270"/>
      <c r="AZ1823" s="270"/>
      <c r="BA1823" s="270" t="str">
        <f>IF(Table1[[#This Row],[Data de Início]]="","",YEAR(Table1[[#This Row],[Data de Início]]))</f>
        <v/>
      </c>
      <c r="BB1823" s="270" t="str">
        <f>IF(Table1[[#This Row],[Data de Início]]="","",MONTH(Table1[[#This Row],[Data de Início]]))</f>
        <v/>
      </c>
      <c r="BC1823" s="483"/>
    </row>
    <row r="1824" spans="2:55" x14ac:dyDescent="0.25">
      <c r="B1824" s="470"/>
      <c r="C1824" s="263"/>
      <c r="D1824" s="477" cm="1">
        <f t="array" ref="D1824">IFERROR(HorasUteisFabrica2Turnos(B1824,C1824), "")</f>
        <v>0</v>
      </c>
      <c r="E1824" s="478" t="str">
        <f t="shared" si="28"/>
        <v/>
      </c>
      <c r="F1824" s="266"/>
      <c r="G1824" s="656"/>
      <c r="H1824" s="479"/>
      <c r="I1824" s="268"/>
      <c r="J1824" s="268"/>
      <c r="K1824" s="268"/>
      <c r="L1824" s="269"/>
      <c r="M1824" s="511" t="str">
        <f>IFERROR(INDEX([1]Produtos!$C:$C,MATCH(L1824,[1]Produtos!$B:$B,0)), "-")</f>
        <v>-</v>
      </c>
      <c r="N1824" s="511" t="str">
        <f>IFERROR(INDEX([1]Produtos!$E:$E,MATCH(L1824,[1]Produtos!$B:$B,0)), "-")</f>
        <v>-</v>
      </c>
      <c r="O1824" s="483" t="str">
        <f>IFERROR(INDEX([1]Produtos!$F:$F,MATCH(L1824,[1]Produtos!$B:$B,0)), "-")</f>
        <v>-</v>
      </c>
      <c r="P1824" s="477" t="str">
        <f>IFERROR(INDEX([1]Produtos!$G:$G,MATCH(L1824,[1]Produtos!$B:$B,0)), "-")</f>
        <v>-</v>
      </c>
      <c r="Q1824" s="483" t="str">
        <f>IFERROR(INDEX([1]Produtos!$H:$H,MATCH(L1824,[1]Produtos!$B:$B,0)), "-")</f>
        <v>-</v>
      </c>
      <c r="R1824" s="483" t="str">
        <f>IFERROR(INDEX([1]Produtos!$I:$I,MATCH(L1824,[1]Produtos!$B:$B,0)), "-")</f>
        <v>-</v>
      </c>
      <c r="S1824" s="483" t="str">
        <f>IFERROR(INDEX([1]Produtos!$J:$J,MATCH(L1824,[1]Produtos!$B:$B,0)), "-")</f>
        <v>-</v>
      </c>
      <c r="T1824" s="484"/>
      <c r="U1824" s="483"/>
      <c r="V1824" s="483"/>
      <c r="W1824" s="483"/>
      <c r="X1824" s="483"/>
      <c r="Y1824" s="483"/>
      <c r="Z1824" s="483"/>
      <c r="AA1824" s="483"/>
      <c r="AB1824" s="483"/>
      <c r="AC1824" s="483"/>
      <c r="AD1824" s="483"/>
      <c r="AE1824" s="483"/>
      <c r="AF1824" s="483"/>
      <c r="AG1824" s="483"/>
      <c r="AH1824" s="483"/>
      <c r="AI1824" s="483"/>
      <c r="AJ1824" s="483"/>
      <c r="AK1824" s="483"/>
      <c r="AL1824" s="483"/>
      <c r="AM1824" s="670"/>
      <c r="AN1824" s="670"/>
      <c r="AO1824" s="711" t="str">
        <f>IF(OR(Table1[[#This Row],[Início Setup Envase]]="",Table1[[#This Row],[Final Setup Envase]]=""),"",Table1[[#This Row],[Final Setup Envase]]-Table1[[#This Row],[Início Setup Envase]])</f>
        <v/>
      </c>
      <c r="AP1824" s="670"/>
      <c r="AQ1824" s="670"/>
      <c r="AR1824" s="483"/>
      <c r="AS1824" s="483"/>
      <c r="AT1824" s="483"/>
      <c r="AU1824" s="483"/>
      <c r="AV1824" s="483"/>
      <c r="AW1824" s="483"/>
      <c r="AX1824" s="483"/>
      <c r="AY1824" s="270"/>
      <c r="AZ1824" s="270"/>
      <c r="BA1824" s="270" t="str">
        <f>IF(Table1[[#This Row],[Data de Início]]="","",YEAR(Table1[[#This Row],[Data de Início]]))</f>
        <v/>
      </c>
      <c r="BB1824" s="270" t="str">
        <f>IF(Table1[[#This Row],[Data de Início]]="","",MONTH(Table1[[#This Row],[Data de Início]]))</f>
        <v/>
      </c>
      <c r="BC1824" s="270"/>
    </row>
    <row r="1825" spans="2:55" x14ac:dyDescent="0.25">
      <c r="B1825" s="470"/>
      <c r="C1825" s="263"/>
      <c r="D1825" s="477" cm="1">
        <f t="array" ref="D1825">IFERROR(HorasUteisFabrica2Turnos(B1825,C1825), "")</f>
        <v>0</v>
      </c>
      <c r="E1825" s="697" t="str">
        <f t="shared" si="28"/>
        <v/>
      </c>
      <c r="F1825" s="266"/>
      <c r="G1825" s="698"/>
      <c r="H1825" s="266"/>
      <c r="I1825" s="268"/>
      <c r="J1825" s="268"/>
      <c r="K1825" s="268"/>
      <c r="L1825" s="269"/>
      <c r="M1825" s="510" t="str">
        <f>IFERROR(INDEX([1]Produtos!$C:$C,MATCH(L1825,[1]Produtos!$B:$B,0)), "-")</f>
        <v>-</v>
      </c>
      <c r="N1825" s="510" t="str">
        <f>IFERROR(INDEX([1]Produtos!$E:$E,MATCH(L1825,[1]Produtos!$B:$B,0)), "-")</f>
        <v>-</v>
      </c>
      <c r="O1825" s="270" t="str">
        <f>IFERROR(INDEX([1]Produtos!$F:$F,MATCH(L1825,[1]Produtos!$B:$B,0)), "-")</f>
        <v>-</v>
      </c>
      <c r="P1825" s="264" t="str">
        <f>IFERROR(INDEX([1]Produtos!$G:$G,MATCH(L1825,[1]Produtos!$B:$B,0)), "-")</f>
        <v>-</v>
      </c>
      <c r="Q1825" s="270" t="str">
        <f>IFERROR(INDEX([1]Produtos!$H:$H,MATCH(L1825,[1]Produtos!$B:$B,0)), "-")</f>
        <v>-</v>
      </c>
      <c r="R1825" s="270" t="str">
        <f>IFERROR(INDEX([1]Produtos!$I:$I,MATCH(L1825,[1]Produtos!$B:$B,0)), "-")</f>
        <v>-</v>
      </c>
      <c r="S1825" s="270" t="str">
        <f>IFERROR(INDEX([1]Produtos!$J:$J,MATCH(L1825,[1]Produtos!$B:$B,0)), "-")</f>
        <v>-</v>
      </c>
      <c r="T1825" s="475"/>
      <c r="U1825" s="270"/>
      <c r="V1825" s="270"/>
      <c r="W1825" s="270"/>
      <c r="X1825" s="270"/>
      <c r="Y1825" s="270"/>
      <c r="Z1825" s="270"/>
      <c r="AA1825" s="270"/>
      <c r="AB1825" s="270"/>
      <c r="AC1825" s="270"/>
      <c r="AD1825" s="270"/>
      <c r="AE1825" s="270"/>
      <c r="AF1825" s="270"/>
      <c r="AG1825" s="270"/>
      <c r="AH1825" s="270"/>
      <c r="AI1825" s="270"/>
      <c r="AJ1825" s="270"/>
      <c r="AK1825" s="270"/>
      <c r="AL1825" s="270"/>
      <c r="AM1825" s="663"/>
      <c r="AN1825" s="663"/>
      <c r="AO1825" s="708" t="str">
        <f>IF(OR(Table1[[#This Row],[Início Setup Envase]]="",Table1[[#This Row],[Final Setup Envase]]=""),"",Table1[[#This Row],[Final Setup Envase]]-Table1[[#This Row],[Início Setup Envase]])</f>
        <v/>
      </c>
      <c r="AP1825" s="663"/>
      <c r="AQ1825" s="663"/>
      <c r="AR1825" s="270"/>
      <c r="AS1825" s="674"/>
      <c r="AT1825" s="674"/>
      <c r="AU1825" s="270"/>
      <c r="AV1825" s="270"/>
      <c r="AW1825" s="270"/>
      <c r="AX1825" s="270"/>
      <c r="AY1825" s="270"/>
      <c r="AZ1825" s="270"/>
      <c r="BA1825" s="270" t="str">
        <f>IF(Table1[[#This Row],[Data de Início]]="","",YEAR(Table1[[#This Row],[Data de Início]]))</f>
        <v/>
      </c>
      <c r="BB1825" s="270" t="str">
        <f>IF(Table1[[#This Row],[Data de Início]]="","",MONTH(Table1[[#This Row],[Data de Início]]))</f>
        <v/>
      </c>
      <c r="BC1825" s="483"/>
    </row>
    <row r="1826" spans="2:55" x14ac:dyDescent="0.25">
      <c r="B1826" s="470"/>
      <c r="C1826" s="263"/>
      <c r="D1826" s="477" cm="1">
        <f t="array" ref="D1826">IFERROR(HorasUteisFabrica2Turnos(B1826,C1826), "")</f>
        <v>0</v>
      </c>
      <c r="E1826" s="478" t="str">
        <f t="shared" si="28"/>
        <v/>
      </c>
      <c r="F1826" s="266"/>
      <c r="G1826" s="656"/>
      <c r="H1826" s="479"/>
      <c r="I1826" s="268"/>
      <c r="J1826" s="268"/>
      <c r="K1826" s="268"/>
      <c r="L1826" s="269"/>
      <c r="M1826" s="511" t="str">
        <f>IFERROR(INDEX([1]Produtos!$C:$C,MATCH(L1826,[1]Produtos!$B:$B,0)), "-")</f>
        <v>-</v>
      </c>
      <c r="N1826" s="511" t="str">
        <f>IFERROR(INDEX([1]Produtos!$E:$E,MATCH(L1826,[1]Produtos!$B:$B,0)), "-")</f>
        <v>-</v>
      </c>
      <c r="O1826" s="483" t="str">
        <f>IFERROR(INDEX([1]Produtos!$F:$F,MATCH(L1826,[1]Produtos!$B:$B,0)), "-")</f>
        <v>-</v>
      </c>
      <c r="P1826" s="477" t="str">
        <f>IFERROR(INDEX([1]Produtos!$G:$G,MATCH(L1826,[1]Produtos!$B:$B,0)), "-")</f>
        <v>-</v>
      </c>
      <c r="Q1826" s="483" t="str">
        <f>IFERROR(INDEX([1]Produtos!$H:$H,MATCH(L1826,[1]Produtos!$B:$B,0)), "-")</f>
        <v>-</v>
      </c>
      <c r="R1826" s="483" t="str">
        <f>IFERROR(INDEX([1]Produtos!$I:$I,MATCH(L1826,[1]Produtos!$B:$B,0)), "-")</f>
        <v>-</v>
      </c>
      <c r="S1826" s="483" t="str">
        <f>IFERROR(INDEX([1]Produtos!$J:$J,MATCH(L1826,[1]Produtos!$B:$B,0)), "-")</f>
        <v>-</v>
      </c>
      <c r="T1826" s="484"/>
      <c r="U1826" s="483"/>
      <c r="V1826" s="483"/>
      <c r="W1826" s="483"/>
      <c r="X1826" s="483"/>
      <c r="Y1826" s="483"/>
      <c r="Z1826" s="483"/>
      <c r="AA1826" s="483"/>
      <c r="AB1826" s="483"/>
      <c r="AC1826" s="483"/>
      <c r="AD1826" s="483"/>
      <c r="AE1826" s="483"/>
      <c r="AF1826" s="483"/>
      <c r="AG1826" s="483"/>
      <c r="AH1826" s="483"/>
      <c r="AI1826" s="483"/>
      <c r="AJ1826" s="483"/>
      <c r="AK1826" s="483"/>
      <c r="AL1826" s="483"/>
      <c r="AM1826" s="670"/>
      <c r="AN1826" s="670"/>
      <c r="AO1826" s="711" t="str">
        <f>IF(OR(Table1[[#This Row],[Início Setup Envase]]="",Table1[[#This Row],[Final Setup Envase]]=""),"",Table1[[#This Row],[Final Setup Envase]]-Table1[[#This Row],[Início Setup Envase]])</f>
        <v/>
      </c>
      <c r="AP1826" s="670"/>
      <c r="AQ1826" s="670"/>
      <c r="AR1826" s="483"/>
      <c r="AS1826" s="483"/>
      <c r="AT1826" s="483"/>
      <c r="AU1826" s="483"/>
      <c r="AV1826" s="483"/>
      <c r="AW1826" s="483"/>
      <c r="AX1826" s="483"/>
      <c r="AY1826" s="270"/>
      <c r="AZ1826" s="270"/>
      <c r="BA1826" s="270" t="str">
        <f>IF(Table1[[#This Row],[Data de Início]]="","",YEAR(Table1[[#This Row],[Data de Início]]))</f>
        <v/>
      </c>
      <c r="BB1826" s="270" t="str">
        <f>IF(Table1[[#This Row],[Data de Início]]="","",MONTH(Table1[[#This Row],[Data de Início]]))</f>
        <v/>
      </c>
      <c r="BC1826" s="270"/>
    </row>
    <row r="1827" spans="2:55" x14ac:dyDescent="0.25">
      <c r="B1827" s="470"/>
      <c r="C1827" s="263"/>
      <c r="D1827" s="477" cm="1">
        <f t="array" ref="D1827">IFERROR(HorasUteisFabrica2Turnos(B1827,C1827), "")</f>
        <v>0</v>
      </c>
      <c r="E1827" s="697" t="str">
        <f t="shared" si="28"/>
        <v/>
      </c>
      <c r="F1827" s="266"/>
      <c r="G1827" s="698"/>
      <c r="H1827" s="266"/>
      <c r="I1827" s="268"/>
      <c r="J1827" s="268"/>
      <c r="K1827" s="268"/>
      <c r="L1827" s="269"/>
      <c r="M1827" s="510" t="str">
        <f>IFERROR(INDEX([1]Produtos!$C:$C,MATCH(L1827,[1]Produtos!$B:$B,0)), "-")</f>
        <v>-</v>
      </c>
      <c r="N1827" s="510" t="str">
        <f>IFERROR(INDEX([1]Produtos!$E:$E,MATCH(L1827,[1]Produtos!$B:$B,0)), "-")</f>
        <v>-</v>
      </c>
      <c r="O1827" s="270" t="str">
        <f>IFERROR(INDEX([1]Produtos!$F:$F,MATCH(L1827,[1]Produtos!$B:$B,0)), "-")</f>
        <v>-</v>
      </c>
      <c r="P1827" s="264" t="str">
        <f>IFERROR(INDEX([1]Produtos!$G:$G,MATCH(L1827,[1]Produtos!$B:$B,0)), "-")</f>
        <v>-</v>
      </c>
      <c r="Q1827" s="270" t="str">
        <f>IFERROR(INDEX([1]Produtos!$H:$H,MATCH(L1827,[1]Produtos!$B:$B,0)), "-")</f>
        <v>-</v>
      </c>
      <c r="R1827" s="270" t="str">
        <f>IFERROR(INDEX([1]Produtos!$I:$I,MATCH(L1827,[1]Produtos!$B:$B,0)), "-")</f>
        <v>-</v>
      </c>
      <c r="S1827" s="270" t="str">
        <f>IFERROR(INDEX([1]Produtos!$J:$J,MATCH(L1827,[1]Produtos!$B:$B,0)), "-")</f>
        <v>-</v>
      </c>
      <c r="T1827" s="475"/>
      <c r="U1827" s="270"/>
      <c r="V1827" s="270"/>
      <c r="W1827" s="270"/>
      <c r="X1827" s="270"/>
      <c r="Y1827" s="270"/>
      <c r="Z1827" s="270"/>
      <c r="AA1827" s="270"/>
      <c r="AB1827" s="270"/>
      <c r="AC1827" s="270"/>
      <c r="AD1827" s="270"/>
      <c r="AE1827" s="270"/>
      <c r="AF1827" s="270"/>
      <c r="AG1827" s="270"/>
      <c r="AH1827" s="270"/>
      <c r="AI1827" s="270"/>
      <c r="AJ1827" s="270"/>
      <c r="AK1827" s="270"/>
      <c r="AL1827" s="270"/>
      <c r="AM1827" s="663"/>
      <c r="AN1827" s="663"/>
      <c r="AO1827" s="708" t="str">
        <f>IF(OR(Table1[[#This Row],[Início Setup Envase]]="",Table1[[#This Row],[Final Setup Envase]]=""),"",Table1[[#This Row],[Final Setup Envase]]-Table1[[#This Row],[Início Setup Envase]])</f>
        <v/>
      </c>
      <c r="AP1827" s="663"/>
      <c r="AQ1827" s="663"/>
      <c r="AR1827" s="270"/>
      <c r="AS1827" s="674"/>
      <c r="AT1827" s="674"/>
      <c r="AU1827" s="270"/>
      <c r="AV1827" s="270"/>
      <c r="AW1827" s="270"/>
      <c r="AX1827" s="270"/>
      <c r="AY1827" s="270"/>
      <c r="AZ1827" s="270"/>
      <c r="BA1827" s="270" t="str">
        <f>IF(Table1[[#This Row],[Data de Início]]="","",YEAR(Table1[[#This Row],[Data de Início]]))</f>
        <v/>
      </c>
      <c r="BB1827" s="270" t="str">
        <f>IF(Table1[[#This Row],[Data de Início]]="","",MONTH(Table1[[#This Row],[Data de Início]]))</f>
        <v/>
      </c>
      <c r="BC1827" s="483"/>
    </row>
    <row r="1828" spans="2:55" x14ac:dyDescent="0.25">
      <c r="B1828" s="470"/>
      <c r="C1828" s="263"/>
      <c r="D1828" s="477" cm="1">
        <f t="array" ref="D1828">IFERROR(HorasUteisFabrica2Turnos(B1828,C1828), "")</f>
        <v>0</v>
      </c>
      <c r="E1828" s="478" t="str">
        <f t="shared" si="28"/>
        <v/>
      </c>
      <c r="F1828" s="266"/>
      <c r="G1828" s="656"/>
      <c r="H1828" s="479"/>
      <c r="I1828" s="268"/>
      <c r="J1828" s="268"/>
      <c r="K1828" s="268"/>
      <c r="L1828" s="269"/>
      <c r="M1828" s="511" t="str">
        <f>IFERROR(INDEX([1]Produtos!$C:$C,MATCH(L1828,[1]Produtos!$B:$B,0)), "-")</f>
        <v>-</v>
      </c>
      <c r="N1828" s="511" t="str">
        <f>IFERROR(INDEX([1]Produtos!$E:$E,MATCH(L1828,[1]Produtos!$B:$B,0)), "-")</f>
        <v>-</v>
      </c>
      <c r="O1828" s="483" t="str">
        <f>IFERROR(INDEX([1]Produtos!$F:$F,MATCH(L1828,[1]Produtos!$B:$B,0)), "-")</f>
        <v>-</v>
      </c>
      <c r="P1828" s="477" t="str">
        <f>IFERROR(INDEX([1]Produtos!$G:$G,MATCH(L1828,[1]Produtos!$B:$B,0)), "-")</f>
        <v>-</v>
      </c>
      <c r="Q1828" s="483" t="str">
        <f>IFERROR(INDEX([1]Produtos!$H:$H,MATCH(L1828,[1]Produtos!$B:$B,0)), "-")</f>
        <v>-</v>
      </c>
      <c r="R1828" s="483" t="str">
        <f>IFERROR(INDEX([1]Produtos!$I:$I,MATCH(L1828,[1]Produtos!$B:$B,0)), "-")</f>
        <v>-</v>
      </c>
      <c r="S1828" s="483" t="str">
        <f>IFERROR(INDEX([1]Produtos!$J:$J,MATCH(L1828,[1]Produtos!$B:$B,0)), "-")</f>
        <v>-</v>
      </c>
      <c r="T1828" s="484"/>
      <c r="U1828" s="483"/>
      <c r="V1828" s="483"/>
      <c r="W1828" s="483"/>
      <c r="X1828" s="483"/>
      <c r="Y1828" s="483"/>
      <c r="Z1828" s="483"/>
      <c r="AA1828" s="483"/>
      <c r="AB1828" s="483"/>
      <c r="AC1828" s="483"/>
      <c r="AD1828" s="483"/>
      <c r="AE1828" s="483"/>
      <c r="AF1828" s="483"/>
      <c r="AG1828" s="483"/>
      <c r="AH1828" s="483"/>
      <c r="AI1828" s="483"/>
      <c r="AJ1828" s="483"/>
      <c r="AK1828" s="483"/>
      <c r="AL1828" s="483"/>
      <c r="AM1828" s="670"/>
      <c r="AN1828" s="670"/>
      <c r="AO1828" s="711" t="str">
        <f>IF(OR(Table1[[#This Row],[Início Setup Envase]]="",Table1[[#This Row],[Final Setup Envase]]=""),"",Table1[[#This Row],[Final Setup Envase]]-Table1[[#This Row],[Início Setup Envase]])</f>
        <v/>
      </c>
      <c r="AP1828" s="670"/>
      <c r="AQ1828" s="670"/>
      <c r="AR1828" s="483"/>
      <c r="AS1828" s="483"/>
      <c r="AT1828" s="483"/>
      <c r="AU1828" s="483"/>
      <c r="AV1828" s="483"/>
      <c r="AW1828" s="483"/>
      <c r="AX1828" s="483"/>
      <c r="AY1828" s="270"/>
      <c r="AZ1828" s="270"/>
      <c r="BA1828" s="270" t="str">
        <f>IF(Table1[[#This Row],[Data de Início]]="","",YEAR(Table1[[#This Row],[Data de Início]]))</f>
        <v/>
      </c>
      <c r="BB1828" s="270" t="str">
        <f>IF(Table1[[#This Row],[Data de Início]]="","",MONTH(Table1[[#This Row],[Data de Início]]))</f>
        <v/>
      </c>
      <c r="BC1828" s="270"/>
    </row>
    <row r="1829" spans="2:55" x14ac:dyDescent="0.25">
      <c r="B1829" s="470"/>
      <c r="C1829" s="263"/>
      <c r="D1829" s="477" cm="1">
        <f t="array" ref="D1829">IFERROR(HorasUteisFabrica2Turnos(B1829,C1829), "")</f>
        <v>0</v>
      </c>
      <c r="E1829" s="697" t="str">
        <f t="shared" ref="E1829:E1892" si="29">IFERROR(K1829/D1829, "")</f>
        <v/>
      </c>
      <c r="F1829" s="266"/>
      <c r="G1829" s="698"/>
      <c r="H1829" s="266"/>
      <c r="I1829" s="268"/>
      <c r="J1829" s="268"/>
      <c r="K1829" s="268"/>
      <c r="L1829" s="269"/>
      <c r="M1829" s="510" t="str">
        <f>IFERROR(INDEX([1]Produtos!$C:$C,MATCH(L1829,[1]Produtos!$B:$B,0)), "-")</f>
        <v>-</v>
      </c>
      <c r="N1829" s="510" t="str">
        <f>IFERROR(INDEX([1]Produtos!$E:$E,MATCH(L1829,[1]Produtos!$B:$B,0)), "-")</f>
        <v>-</v>
      </c>
      <c r="O1829" s="270" t="str">
        <f>IFERROR(INDEX([1]Produtos!$F:$F,MATCH(L1829,[1]Produtos!$B:$B,0)), "-")</f>
        <v>-</v>
      </c>
      <c r="P1829" s="264" t="str">
        <f>IFERROR(INDEX([1]Produtos!$G:$G,MATCH(L1829,[1]Produtos!$B:$B,0)), "-")</f>
        <v>-</v>
      </c>
      <c r="Q1829" s="270" t="str">
        <f>IFERROR(INDEX([1]Produtos!$H:$H,MATCH(L1829,[1]Produtos!$B:$B,0)), "-")</f>
        <v>-</v>
      </c>
      <c r="R1829" s="270" t="str">
        <f>IFERROR(INDEX([1]Produtos!$I:$I,MATCH(L1829,[1]Produtos!$B:$B,0)), "-")</f>
        <v>-</v>
      </c>
      <c r="S1829" s="270" t="str">
        <f>IFERROR(INDEX([1]Produtos!$J:$J,MATCH(L1829,[1]Produtos!$B:$B,0)), "-")</f>
        <v>-</v>
      </c>
      <c r="T1829" s="475"/>
      <c r="U1829" s="270"/>
      <c r="V1829" s="270"/>
      <c r="W1829" s="270"/>
      <c r="X1829" s="270"/>
      <c r="Y1829" s="270"/>
      <c r="Z1829" s="270"/>
      <c r="AA1829" s="270"/>
      <c r="AB1829" s="270"/>
      <c r="AC1829" s="270"/>
      <c r="AD1829" s="270"/>
      <c r="AE1829" s="270"/>
      <c r="AF1829" s="270"/>
      <c r="AG1829" s="270"/>
      <c r="AH1829" s="270"/>
      <c r="AI1829" s="270"/>
      <c r="AJ1829" s="270"/>
      <c r="AK1829" s="270"/>
      <c r="AL1829" s="270"/>
      <c r="AM1829" s="663"/>
      <c r="AN1829" s="663"/>
      <c r="AO1829" s="708" t="str">
        <f>IF(OR(Table1[[#This Row],[Início Setup Envase]]="",Table1[[#This Row],[Final Setup Envase]]=""),"",Table1[[#This Row],[Final Setup Envase]]-Table1[[#This Row],[Início Setup Envase]])</f>
        <v/>
      </c>
      <c r="AP1829" s="663"/>
      <c r="AQ1829" s="663"/>
      <c r="AR1829" s="270"/>
      <c r="AS1829" s="674"/>
      <c r="AT1829" s="674"/>
      <c r="AU1829" s="270"/>
      <c r="AV1829" s="270"/>
      <c r="AW1829" s="270"/>
      <c r="AX1829" s="270"/>
      <c r="AY1829" s="270"/>
      <c r="AZ1829" s="270"/>
      <c r="BA1829" s="270" t="str">
        <f>IF(Table1[[#This Row],[Data de Início]]="","",YEAR(Table1[[#This Row],[Data de Início]]))</f>
        <v/>
      </c>
      <c r="BB1829" s="270" t="str">
        <f>IF(Table1[[#This Row],[Data de Início]]="","",MONTH(Table1[[#This Row],[Data de Início]]))</f>
        <v/>
      </c>
      <c r="BC1829" s="483"/>
    </row>
    <row r="1830" spans="2:55" x14ac:dyDescent="0.25">
      <c r="B1830" s="470"/>
      <c r="C1830" s="263"/>
      <c r="D1830" s="477" cm="1">
        <f t="array" ref="D1830">IFERROR(HorasUteisFabrica2Turnos(B1830,C1830), "")</f>
        <v>0</v>
      </c>
      <c r="E1830" s="478" t="str">
        <f t="shared" si="29"/>
        <v/>
      </c>
      <c r="F1830" s="266"/>
      <c r="G1830" s="656"/>
      <c r="H1830" s="479"/>
      <c r="I1830" s="268"/>
      <c r="J1830" s="268"/>
      <c r="K1830" s="268"/>
      <c r="L1830" s="269"/>
      <c r="M1830" s="511" t="str">
        <f>IFERROR(INDEX([1]Produtos!$C:$C,MATCH(L1830,[1]Produtos!$B:$B,0)), "-")</f>
        <v>-</v>
      </c>
      <c r="N1830" s="511" t="str">
        <f>IFERROR(INDEX([1]Produtos!$E:$E,MATCH(L1830,[1]Produtos!$B:$B,0)), "-")</f>
        <v>-</v>
      </c>
      <c r="O1830" s="483" t="str">
        <f>IFERROR(INDEX([1]Produtos!$F:$F,MATCH(L1830,[1]Produtos!$B:$B,0)), "-")</f>
        <v>-</v>
      </c>
      <c r="P1830" s="477" t="str">
        <f>IFERROR(INDEX([1]Produtos!$G:$G,MATCH(L1830,[1]Produtos!$B:$B,0)), "-")</f>
        <v>-</v>
      </c>
      <c r="Q1830" s="483" t="str">
        <f>IFERROR(INDEX([1]Produtos!$H:$H,MATCH(L1830,[1]Produtos!$B:$B,0)), "-")</f>
        <v>-</v>
      </c>
      <c r="R1830" s="483" t="str">
        <f>IFERROR(INDEX([1]Produtos!$I:$I,MATCH(L1830,[1]Produtos!$B:$B,0)), "-")</f>
        <v>-</v>
      </c>
      <c r="S1830" s="483" t="str">
        <f>IFERROR(INDEX([1]Produtos!$J:$J,MATCH(L1830,[1]Produtos!$B:$B,0)), "-")</f>
        <v>-</v>
      </c>
      <c r="T1830" s="484"/>
      <c r="U1830" s="483"/>
      <c r="V1830" s="483"/>
      <c r="W1830" s="483"/>
      <c r="X1830" s="483"/>
      <c r="Y1830" s="483"/>
      <c r="Z1830" s="483"/>
      <c r="AA1830" s="483"/>
      <c r="AB1830" s="483"/>
      <c r="AC1830" s="483"/>
      <c r="AD1830" s="483"/>
      <c r="AE1830" s="483"/>
      <c r="AF1830" s="483"/>
      <c r="AG1830" s="483"/>
      <c r="AH1830" s="483"/>
      <c r="AI1830" s="483"/>
      <c r="AJ1830" s="483"/>
      <c r="AK1830" s="483"/>
      <c r="AL1830" s="483"/>
      <c r="AM1830" s="670"/>
      <c r="AN1830" s="670"/>
      <c r="AO1830" s="711" t="str">
        <f>IF(OR(Table1[[#This Row],[Início Setup Envase]]="",Table1[[#This Row],[Final Setup Envase]]=""),"",Table1[[#This Row],[Final Setup Envase]]-Table1[[#This Row],[Início Setup Envase]])</f>
        <v/>
      </c>
      <c r="AP1830" s="670"/>
      <c r="AQ1830" s="670"/>
      <c r="AR1830" s="483"/>
      <c r="AS1830" s="483"/>
      <c r="AT1830" s="483"/>
      <c r="AU1830" s="483"/>
      <c r="AV1830" s="483"/>
      <c r="AW1830" s="483"/>
      <c r="AX1830" s="483"/>
      <c r="AY1830" s="270"/>
      <c r="AZ1830" s="270"/>
      <c r="BA1830" s="270" t="str">
        <f>IF(Table1[[#This Row],[Data de Início]]="","",YEAR(Table1[[#This Row],[Data de Início]]))</f>
        <v/>
      </c>
      <c r="BB1830" s="270" t="str">
        <f>IF(Table1[[#This Row],[Data de Início]]="","",MONTH(Table1[[#This Row],[Data de Início]]))</f>
        <v/>
      </c>
      <c r="BC1830" s="270"/>
    </row>
    <row r="1831" spans="2:55" x14ac:dyDescent="0.25">
      <c r="B1831" s="470"/>
      <c r="C1831" s="263"/>
      <c r="D1831" s="477" cm="1">
        <f t="array" ref="D1831">IFERROR(HorasUteisFabrica2Turnos(B1831,C1831), "")</f>
        <v>0</v>
      </c>
      <c r="E1831" s="697" t="str">
        <f t="shared" si="29"/>
        <v/>
      </c>
      <c r="F1831" s="266"/>
      <c r="G1831" s="698"/>
      <c r="H1831" s="266"/>
      <c r="I1831" s="268"/>
      <c r="J1831" s="268"/>
      <c r="K1831" s="268"/>
      <c r="L1831" s="269"/>
      <c r="M1831" s="510" t="str">
        <f>IFERROR(INDEX([1]Produtos!$C:$C,MATCH(L1831,[1]Produtos!$B:$B,0)), "-")</f>
        <v>-</v>
      </c>
      <c r="N1831" s="510" t="str">
        <f>IFERROR(INDEX([1]Produtos!$E:$E,MATCH(L1831,[1]Produtos!$B:$B,0)), "-")</f>
        <v>-</v>
      </c>
      <c r="O1831" s="270" t="str">
        <f>IFERROR(INDEX([1]Produtos!$F:$F,MATCH(L1831,[1]Produtos!$B:$B,0)), "-")</f>
        <v>-</v>
      </c>
      <c r="P1831" s="264" t="str">
        <f>IFERROR(INDEX([1]Produtos!$G:$G,MATCH(L1831,[1]Produtos!$B:$B,0)), "-")</f>
        <v>-</v>
      </c>
      <c r="Q1831" s="270" t="str">
        <f>IFERROR(INDEX([1]Produtos!$H:$H,MATCH(L1831,[1]Produtos!$B:$B,0)), "-")</f>
        <v>-</v>
      </c>
      <c r="R1831" s="270" t="str">
        <f>IFERROR(INDEX([1]Produtos!$I:$I,MATCH(L1831,[1]Produtos!$B:$B,0)), "-")</f>
        <v>-</v>
      </c>
      <c r="S1831" s="270" t="str">
        <f>IFERROR(INDEX([1]Produtos!$J:$J,MATCH(L1831,[1]Produtos!$B:$B,0)), "-")</f>
        <v>-</v>
      </c>
      <c r="T1831" s="475"/>
      <c r="U1831" s="270"/>
      <c r="V1831" s="270"/>
      <c r="W1831" s="270"/>
      <c r="X1831" s="270"/>
      <c r="Y1831" s="270"/>
      <c r="Z1831" s="270"/>
      <c r="AA1831" s="270"/>
      <c r="AB1831" s="270"/>
      <c r="AC1831" s="270"/>
      <c r="AD1831" s="270"/>
      <c r="AE1831" s="270"/>
      <c r="AF1831" s="270"/>
      <c r="AG1831" s="270"/>
      <c r="AH1831" s="270"/>
      <c r="AI1831" s="270"/>
      <c r="AJ1831" s="270"/>
      <c r="AK1831" s="270"/>
      <c r="AL1831" s="270"/>
      <c r="AM1831" s="663"/>
      <c r="AN1831" s="663"/>
      <c r="AO1831" s="708" t="str">
        <f>IF(OR(Table1[[#This Row],[Início Setup Envase]]="",Table1[[#This Row],[Final Setup Envase]]=""),"",Table1[[#This Row],[Final Setup Envase]]-Table1[[#This Row],[Início Setup Envase]])</f>
        <v/>
      </c>
      <c r="AP1831" s="663"/>
      <c r="AQ1831" s="663"/>
      <c r="AR1831" s="270"/>
      <c r="AS1831" s="674"/>
      <c r="AT1831" s="674"/>
      <c r="AU1831" s="270"/>
      <c r="AV1831" s="270"/>
      <c r="AW1831" s="270"/>
      <c r="AX1831" s="270"/>
      <c r="AY1831" s="270"/>
      <c r="AZ1831" s="270"/>
      <c r="BA1831" s="270" t="str">
        <f>IF(Table1[[#This Row],[Data de Início]]="","",YEAR(Table1[[#This Row],[Data de Início]]))</f>
        <v/>
      </c>
      <c r="BB1831" s="270" t="str">
        <f>IF(Table1[[#This Row],[Data de Início]]="","",MONTH(Table1[[#This Row],[Data de Início]]))</f>
        <v/>
      </c>
      <c r="BC1831" s="483"/>
    </row>
    <row r="1832" spans="2:55" x14ac:dyDescent="0.25">
      <c r="B1832" s="470"/>
      <c r="C1832" s="263"/>
      <c r="D1832" s="477" cm="1">
        <f t="array" ref="D1832">IFERROR(HorasUteisFabrica2Turnos(B1832,C1832), "")</f>
        <v>0</v>
      </c>
      <c r="E1832" s="478" t="str">
        <f t="shared" si="29"/>
        <v/>
      </c>
      <c r="F1832" s="266"/>
      <c r="G1832" s="656"/>
      <c r="H1832" s="479"/>
      <c r="I1832" s="268"/>
      <c r="J1832" s="268"/>
      <c r="K1832" s="268"/>
      <c r="L1832" s="269"/>
      <c r="M1832" s="511" t="str">
        <f>IFERROR(INDEX([1]Produtos!$C:$C,MATCH(L1832,[1]Produtos!$B:$B,0)), "-")</f>
        <v>-</v>
      </c>
      <c r="N1832" s="511" t="str">
        <f>IFERROR(INDEX([1]Produtos!$E:$E,MATCH(L1832,[1]Produtos!$B:$B,0)), "-")</f>
        <v>-</v>
      </c>
      <c r="O1832" s="483" t="str">
        <f>IFERROR(INDEX([1]Produtos!$F:$F,MATCH(L1832,[1]Produtos!$B:$B,0)), "-")</f>
        <v>-</v>
      </c>
      <c r="P1832" s="477" t="str">
        <f>IFERROR(INDEX([1]Produtos!$G:$G,MATCH(L1832,[1]Produtos!$B:$B,0)), "-")</f>
        <v>-</v>
      </c>
      <c r="Q1832" s="483" t="str">
        <f>IFERROR(INDEX([1]Produtos!$H:$H,MATCH(L1832,[1]Produtos!$B:$B,0)), "-")</f>
        <v>-</v>
      </c>
      <c r="R1832" s="483" t="str">
        <f>IFERROR(INDEX([1]Produtos!$I:$I,MATCH(L1832,[1]Produtos!$B:$B,0)), "-")</f>
        <v>-</v>
      </c>
      <c r="S1832" s="483" t="str">
        <f>IFERROR(INDEX([1]Produtos!$J:$J,MATCH(L1832,[1]Produtos!$B:$B,0)), "-")</f>
        <v>-</v>
      </c>
      <c r="T1832" s="484"/>
      <c r="U1832" s="483"/>
      <c r="V1832" s="483"/>
      <c r="W1832" s="483"/>
      <c r="X1832" s="483"/>
      <c r="Y1832" s="483"/>
      <c r="Z1832" s="483"/>
      <c r="AA1832" s="483"/>
      <c r="AB1832" s="483"/>
      <c r="AC1832" s="483"/>
      <c r="AD1832" s="483"/>
      <c r="AE1832" s="483"/>
      <c r="AF1832" s="483"/>
      <c r="AG1832" s="483"/>
      <c r="AH1832" s="483"/>
      <c r="AI1832" s="483"/>
      <c r="AJ1832" s="483"/>
      <c r="AK1832" s="483"/>
      <c r="AL1832" s="483"/>
      <c r="AM1832" s="670"/>
      <c r="AN1832" s="670"/>
      <c r="AO1832" s="711" t="str">
        <f>IF(OR(Table1[[#This Row],[Início Setup Envase]]="",Table1[[#This Row],[Final Setup Envase]]=""),"",Table1[[#This Row],[Final Setup Envase]]-Table1[[#This Row],[Início Setup Envase]])</f>
        <v/>
      </c>
      <c r="AP1832" s="670"/>
      <c r="AQ1832" s="670"/>
      <c r="AR1832" s="483"/>
      <c r="AS1832" s="483"/>
      <c r="AT1832" s="483"/>
      <c r="AU1832" s="483"/>
      <c r="AV1832" s="483"/>
      <c r="AW1832" s="483"/>
      <c r="AX1832" s="483"/>
      <c r="AY1832" s="270"/>
      <c r="AZ1832" s="270"/>
      <c r="BA1832" s="270" t="str">
        <f>IF(Table1[[#This Row],[Data de Início]]="","",YEAR(Table1[[#This Row],[Data de Início]]))</f>
        <v/>
      </c>
      <c r="BB1832" s="270" t="str">
        <f>IF(Table1[[#This Row],[Data de Início]]="","",MONTH(Table1[[#This Row],[Data de Início]]))</f>
        <v/>
      </c>
      <c r="BC1832" s="270"/>
    </row>
    <row r="1833" spans="2:55" x14ac:dyDescent="0.25">
      <c r="B1833" s="470"/>
      <c r="C1833" s="263"/>
      <c r="D1833" s="477" cm="1">
        <f t="array" ref="D1833">IFERROR(HorasUteisFabrica2Turnos(B1833,C1833), "")</f>
        <v>0</v>
      </c>
      <c r="E1833" s="697" t="str">
        <f t="shared" si="29"/>
        <v/>
      </c>
      <c r="F1833" s="266"/>
      <c r="G1833" s="698"/>
      <c r="H1833" s="266"/>
      <c r="I1833" s="268"/>
      <c r="J1833" s="268"/>
      <c r="K1833" s="268"/>
      <c r="L1833" s="269"/>
      <c r="M1833" s="510" t="str">
        <f>IFERROR(INDEX([1]Produtos!$C:$C,MATCH(L1833,[1]Produtos!$B:$B,0)), "-")</f>
        <v>-</v>
      </c>
      <c r="N1833" s="510" t="str">
        <f>IFERROR(INDEX([1]Produtos!$E:$E,MATCH(L1833,[1]Produtos!$B:$B,0)), "-")</f>
        <v>-</v>
      </c>
      <c r="O1833" s="270" t="str">
        <f>IFERROR(INDEX([1]Produtos!$F:$F,MATCH(L1833,[1]Produtos!$B:$B,0)), "-")</f>
        <v>-</v>
      </c>
      <c r="P1833" s="264" t="str">
        <f>IFERROR(INDEX([1]Produtos!$G:$G,MATCH(L1833,[1]Produtos!$B:$B,0)), "-")</f>
        <v>-</v>
      </c>
      <c r="Q1833" s="270" t="str">
        <f>IFERROR(INDEX([1]Produtos!$H:$H,MATCH(L1833,[1]Produtos!$B:$B,0)), "-")</f>
        <v>-</v>
      </c>
      <c r="R1833" s="270" t="str">
        <f>IFERROR(INDEX([1]Produtos!$I:$I,MATCH(L1833,[1]Produtos!$B:$B,0)), "-")</f>
        <v>-</v>
      </c>
      <c r="S1833" s="270" t="str">
        <f>IFERROR(INDEX([1]Produtos!$J:$J,MATCH(L1833,[1]Produtos!$B:$B,0)), "-")</f>
        <v>-</v>
      </c>
      <c r="T1833" s="475"/>
      <c r="U1833" s="270"/>
      <c r="V1833" s="270"/>
      <c r="W1833" s="270"/>
      <c r="X1833" s="270"/>
      <c r="Y1833" s="270"/>
      <c r="Z1833" s="270"/>
      <c r="AA1833" s="270"/>
      <c r="AB1833" s="270"/>
      <c r="AC1833" s="270"/>
      <c r="AD1833" s="270"/>
      <c r="AE1833" s="270"/>
      <c r="AF1833" s="270"/>
      <c r="AG1833" s="270"/>
      <c r="AH1833" s="270"/>
      <c r="AI1833" s="270"/>
      <c r="AJ1833" s="270"/>
      <c r="AK1833" s="270"/>
      <c r="AL1833" s="270"/>
      <c r="AM1833" s="663"/>
      <c r="AN1833" s="663"/>
      <c r="AO1833" s="708" t="str">
        <f>IF(OR(Table1[[#This Row],[Início Setup Envase]]="",Table1[[#This Row],[Final Setup Envase]]=""),"",Table1[[#This Row],[Final Setup Envase]]-Table1[[#This Row],[Início Setup Envase]])</f>
        <v/>
      </c>
      <c r="AP1833" s="663"/>
      <c r="AQ1833" s="663"/>
      <c r="AR1833" s="270"/>
      <c r="AS1833" s="674"/>
      <c r="AT1833" s="674"/>
      <c r="AU1833" s="270"/>
      <c r="AV1833" s="270"/>
      <c r="AW1833" s="270"/>
      <c r="AX1833" s="270"/>
      <c r="AY1833" s="270"/>
      <c r="AZ1833" s="270"/>
      <c r="BA1833" s="270" t="str">
        <f>IF(Table1[[#This Row],[Data de Início]]="","",YEAR(Table1[[#This Row],[Data de Início]]))</f>
        <v/>
      </c>
      <c r="BB1833" s="270" t="str">
        <f>IF(Table1[[#This Row],[Data de Início]]="","",MONTH(Table1[[#This Row],[Data de Início]]))</f>
        <v/>
      </c>
      <c r="BC1833" s="483"/>
    </row>
    <row r="1834" spans="2:55" x14ac:dyDescent="0.25">
      <c r="B1834" s="470"/>
      <c r="C1834" s="263"/>
      <c r="D1834" s="477" cm="1">
        <f t="array" ref="D1834">IFERROR(HorasUteisFabrica2Turnos(B1834,C1834), "")</f>
        <v>0</v>
      </c>
      <c r="E1834" s="478" t="str">
        <f t="shared" si="29"/>
        <v/>
      </c>
      <c r="F1834" s="266"/>
      <c r="G1834" s="656"/>
      <c r="H1834" s="479"/>
      <c r="I1834" s="268"/>
      <c r="J1834" s="268"/>
      <c r="K1834" s="268"/>
      <c r="L1834" s="269"/>
      <c r="M1834" s="511" t="str">
        <f>IFERROR(INDEX([1]Produtos!$C:$C,MATCH(L1834,[1]Produtos!$B:$B,0)), "-")</f>
        <v>-</v>
      </c>
      <c r="N1834" s="511" t="str">
        <f>IFERROR(INDEX([1]Produtos!$E:$E,MATCH(L1834,[1]Produtos!$B:$B,0)), "-")</f>
        <v>-</v>
      </c>
      <c r="O1834" s="483" t="str">
        <f>IFERROR(INDEX([1]Produtos!$F:$F,MATCH(L1834,[1]Produtos!$B:$B,0)), "-")</f>
        <v>-</v>
      </c>
      <c r="P1834" s="477" t="str">
        <f>IFERROR(INDEX([1]Produtos!$G:$G,MATCH(L1834,[1]Produtos!$B:$B,0)), "-")</f>
        <v>-</v>
      </c>
      <c r="Q1834" s="483" t="str">
        <f>IFERROR(INDEX([1]Produtos!$H:$H,MATCH(L1834,[1]Produtos!$B:$B,0)), "-")</f>
        <v>-</v>
      </c>
      <c r="R1834" s="483" t="str">
        <f>IFERROR(INDEX([1]Produtos!$I:$I,MATCH(L1834,[1]Produtos!$B:$B,0)), "-")</f>
        <v>-</v>
      </c>
      <c r="S1834" s="483" t="str">
        <f>IFERROR(INDEX([1]Produtos!$J:$J,MATCH(L1834,[1]Produtos!$B:$B,0)), "-")</f>
        <v>-</v>
      </c>
      <c r="T1834" s="484"/>
      <c r="U1834" s="483"/>
      <c r="V1834" s="483"/>
      <c r="W1834" s="483"/>
      <c r="X1834" s="483"/>
      <c r="Y1834" s="483"/>
      <c r="Z1834" s="483"/>
      <c r="AA1834" s="483"/>
      <c r="AB1834" s="483"/>
      <c r="AC1834" s="483"/>
      <c r="AD1834" s="483"/>
      <c r="AE1834" s="483"/>
      <c r="AF1834" s="483"/>
      <c r="AG1834" s="483"/>
      <c r="AH1834" s="483"/>
      <c r="AI1834" s="483"/>
      <c r="AJ1834" s="483"/>
      <c r="AK1834" s="483"/>
      <c r="AL1834" s="483"/>
      <c r="AM1834" s="670"/>
      <c r="AN1834" s="670"/>
      <c r="AO1834" s="711" t="str">
        <f>IF(OR(Table1[[#This Row],[Início Setup Envase]]="",Table1[[#This Row],[Final Setup Envase]]=""),"",Table1[[#This Row],[Final Setup Envase]]-Table1[[#This Row],[Início Setup Envase]])</f>
        <v/>
      </c>
      <c r="AP1834" s="670"/>
      <c r="AQ1834" s="670"/>
      <c r="AR1834" s="483"/>
      <c r="AS1834" s="483"/>
      <c r="AT1834" s="483"/>
      <c r="AU1834" s="483"/>
      <c r="AV1834" s="483"/>
      <c r="AW1834" s="483"/>
      <c r="AX1834" s="483"/>
      <c r="AY1834" s="270"/>
      <c r="AZ1834" s="270"/>
      <c r="BA1834" s="270" t="str">
        <f>IF(Table1[[#This Row],[Data de Início]]="","",YEAR(Table1[[#This Row],[Data de Início]]))</f>
        <v/>
      </c>
      <c r="BB1834" s="270" t="str">
        <f>IF(Table1[[#This Row],[Data de Início]]="","",MONTH(Table1[[#This Row],[Data de Início]]))</f>
        <v/>
      </c>
      <c r="BC1834" s="270"/>
    </row>
    <row r="1835" spans="2:55" x14ac:dyDescent="0.25">
      <c r="B1835" s="470"/>
      <c r="C1835" s="263"/>
      <c r="D1835" s="477" cm="1">
        <f t="array" ref="D1835">IFERROR(HorasUteisFabrica2Turnos(B1835,C1835), "")</f>
        <v>0</v>
      </c>
      <c r="E1835" s="697" t="str">
        <f t="shared" si="29"/>
        <v/>
      </c>
      <c r="F1835" s="266"/>
      <c r="G1835" s="698"/>
      <c r="H1835" s="266"/>
      <c r="I1835" s="268"/>
      <c r="J1835" s="268"/>
      <c r="K1835" s="268"/>
      <c r="L1835" s="269"/>
      <c r="M1835" s="510" t="str">
        <f>IFERROR(INDEX([1]Produtos!$C:$C,MATCH(L1835,[1]Produtos!$B:$B,0)), "-")</f>
        <v>-</v>
      </c>
      <c r="N1835" s="510" t="str">
        <f>IFERROR(INDEX([1]Produtos!$E:$E,MATCH(L1835,[1]Produtos!$B:$B,0)), "-")</f>
        <v>-</v>
      </c>
      <c r="O1835" s="270" t="str">
        <f>IFERROR(INDEX([1]Produtos!$F:$F,MATCH(L1835,[1]Produtos!$B:$B,0)), "-")</f>
        <v>-</v>
      </c>
      <c r="P1835" s="264" t="str">
        <f>IFERROR(INDEX([1]Produtos!$G:$G,MATCH(L1835,[1]Produtos!$B:$B,0)), "-")</f>
        <v>-</v>
      </c>
      <c r="Q1835" s="270" t="str">
        <f>IFERROR(INDEX([1]Produtos!$H:$H,MATCH(L1835,[1]Produtos!$B:$B,0)), "-")</f>
        <v>-</v>
      </c>
      <c r="R1835" s="270" t="str">
        <f>IFERROR(INDEX([1]Produtos!$I:$I,MATCH(L1835,[1]Produtos!$B:$B,0)), "-")</f>
        <v>-</v>
      </c>
      <c r="S1835" s="270" t="str">
        <f>IFERROR(INDEX([1]Produtos!$J:$J,MATCH(L1835,[1]Produtos!$B:$B,0)), "-")</f>
        <v>-</v>
      </c>
      <c r="T1835" s="475"/>
      <c r="U1835" s="270"/>
      <c r="V1835" s="270"/>
      <c r="W1835" s="270"/>
      <c r="X1835" s="270"/>
      <c r="Y1835" s="270"/>
      <c r="Z1835" s="270"/>
      <c r="AA1835" s="270"/>
      <c r="AB1835" s="270"/>
      <c r="AC1835" s="270"/>
      <c r="AD1835" s="270"/>
      <c r="AE1835" s="270"/>
      <c r="AF1835" s="270"/>
      <c r="AG1835" s="270"/>
      <c r="AH1835" s="270"/>
      <c r="AI1835" s="270"/>
      <c r="AJ1835" s="270"/>
      <c r="AK1835" s="270"/>
      <c r="AL1835" s="270"/>
      <c r="AM1835" s="663"/>
      <c r="AN1835" s="663"/>
      <c r="AO1835" s="708" t="str">
        <f>IF(OR(Table1[[#This Row],[Início Setup Envase]]="",Table1[[#This Row],[Final Setup Envase]]=""),"",Table1[[#This Row],[Final Setup Envase]]-Table1[[#This Row],[Início Setup Envase]])</f>
        <v/>
      </c>
      <c r="AP1835" s="663"/>
      <c r="AQ1835" s="663"/>
      <c r="AR1835" s="270"/>
      <c r="AS1835" s="674"/>
      <c r="AT1835" s="674"/>
      <c r="AU1835" s="270"/>
      <c r="AV1835" s="270"/>
      <c r="AW1835" s="270"/>
      <c r="AX1835" s="270"/>
      <c r="AY1835" s="270"/>
      <c r="AZ1835" s="270"/>
      <c r="BA1835" s="270" t="str">
        <f>IF(Table1[[#This Row],[Data de Início]]="","",YEAR(Table1[[#This Row],[Data de Início]]))</f>
        <v/>
      </c>
      <c r="BB1835" s="270" t="str">
        <f>IF(Table1[[#This Row],[Data de Início]]="","",MONTH(Table1[[#This Row],[Data de Início]]))</f>
        <v/>
      </c>
      <c r="BC1835" s="483"/>
    </row>
    <row r="1836" spans="2:55" x14ac:dyDescent="0.25">
      <c r="B1836" s="470"/>
      <c r="C1836" s="263"/>
      <c r="D1836" s="477" cm="1">
        <f t="array" ref="D1836">IFERROR(HorasUteisFabrica2Turnos(B1836,C1836), "")</f>
        <v>0</v>
      </c>
      <c r="E1836" s="478" t="str">
        <f t="shared" si="29"/>
        <v/>
      </c>
      <c r="F1836" s="266"/>
      <c r="G1836" s="656"/>
      <c r="H1836" s="479"/>
      <c r="I1836" s="268"/>
      <c r="J1836" s="268"/>
      <c r="K1836" s="268"/>
      <c r="L1836" s="269"/>
      <c r="M1836" s="511" t="str">
        <f>IFERROR(INDEX([1]Produtos!$C:$C,MATCH(L1836,[1]Produtos!$B:$B,0)), "-")</f>
        <v>-</v>
      </c>
      <c r="N1836" s="511" t="str">
        <f>IFERROR(INDEX([1]Produtos!$E:$E,MATCH(L1836,[1]Produtos!$B:$B,0)), "-")</f>
        <v>-</v>
      </c>
      <c r="O1836" s="483" t="str">
        <f>IFERROR(INDEX([1]Produtos!$F:$F,MATCH(L1836,[1]Produtos!$B:$B,0)), "-")</f>
        <v>-</v>
      </c>
      <c r="P1836" s="477" t="str">
        <f>IFERROR(INDEX([1]Produtos!$G:$G,MATCH(L1836,[1]Produtos!$B:$B,0)), "-")</f>
        <v>-</v>
      </c>
      <c r="Q1836" s="483" t="str">
        <f>IFERROR(INDEX([1]Produtos!$H:$H,MATCH(L1836,[1]Produtos!$B:$B,0)), "-")</f>
        <v>-</v>
      </c>
      <c r="R1836" s="483" t="str">
        <f>IFERROR(INDEX([1]Produtos!$I:$I,MATCH(L1836,[1]Produtos!$B:$B,0)), "-")</f>
        <v>-</v>
      </c>
      <c r="S1836" s="483" t="str">
        <f>IFERROR(INDEX([1]Produtos!$J:$J,MATCH(L1836,[1]Produtos!$B:$B,0)), "-")</f>
        <v>-</v>
      </c>
      <c r="T1836" s="484"/>
      <c r="U1836" s="483"/>
      <c r="V1836" s="483"/>
      <c r="W1836" s="483"/>
      <c r="X1836" s="483"/>
      <c r="Y1836" s="483"/>
      <c r="Z1836" s="483"/>
      <c r="AA1836" s="483"/>
      <c r="AB1836" s="483"/>
      <c r="AC1836" s="483"/>
      <c r="AD1836" s="483"/>
      <c r="AE1836" s="483"/>
      <c r="AF1836" s="483"/>
      <c r="AG1836" s="483"/>
      <c r="AH1836" s="483"/>
      <c r="AI1836" s="483"/>
      <c r="AJ1836" s="483"/>
      <c r="AK1836" s="483"/>
      <c r="AL1836" s="483"/>
      <c r="AM1836" s="670"/>
      <c r="AN1836" s="670"/>
      <c r="AO1836" s="711" t="str">
        <f>IF(OR(Table1[[#This Row],[Início Setup Envase]]="",Table1[[#This Row],[Final Setup Envase]]=""),"",Table1[[#This Row],[Final Setup Envase]]-Table1[[#This Row],[Início Setup Envase]])</f>
        <v/>
      </c>
      <c r="AP1836" s="670"/>
      <c r="AQ1836" s="670"/>
      <c r="AR1836" s="483"/>
      <c r="AS1836" s="483"/>
      <c r="AT1836" s="483"/>
      <c r="AU1836" s="483"/>
      <c r="AV1836" s="483"/>
      <c r="AW1836" s="483"/>
      <c r="AX1836" s="483"/>
      <c r="AY1836" s="270"/>
      <c r="AZ1836" s="270"/>
      <c r="BA1836" s="270" t="str">
        <f>IF(Table1[[#This Row],[Data de Início]]="","",YEAR(Table1[[#This Row],[Data de Início]]))</f>
        <v/>
      </c>
      <c r="BB1836" s="270" t="str">
        <f>IF(Table1[[#This Row],[Data de Início]]="","",MONTH(Table1[[#This Row],[Data de Início]]))</f>
        <v/>
      </c>
      <c r="BC1836" s="270"/>
    </row>
    <row r="1837" spans="2:55" x14ac:dyDescent="0.25">
      <c r="B1837" s="470"/>
      <c r="C1837" s="263"/>
      <c r="D1837" s="477" cm="1">
        <f t="array" ref="D1837">IFERROR(HorasUteisFabrica2Turnos(B1837,C1837), "")</f>
        <v>0</v>
      </c>
      <c r="E1837" s="697" t="str">
        <f t="shared" si="29"/>
        <v/>
      </c>
      <c r="F1837" s="266"/>
      <c r="G1837" s="698"/>
      <c r="H1837" s="266"/>
      <c r="I1837" s="268"/>
      <c r="J1837" s="268"/>
      <c r="K1837" s="268"/>
      <c r="L1837" s="269"/>
      <c r="M1837" s="510" t="str">
        <f>IFERROR(INDEX([1]Produtos!$C:$C,MATCH(L1837,[1]Produtos!$B:$B,0)), "-")</f>
        <v>-</v>
      </c>
      <c r="N1837" s="510" t="str">
        <f>IFERROR(INDEX([1]Produtos!$E:$E,MATCH(L1837,[1]Produtos!$B:$B,0)), "-")</f>
        <v>-</v>
      </c>
      <c r="O1837" s="270" t="str">
        <f>IFERROR(INDEX([1]Produtos!$F:$F,MATCH(L1837,[1]Produtos!$B:$B,0)), "-")</f>
        <v>-</v>
      </c>
      <c r="P1837" s="264" t="str">
        <f>IFERROR(INDEX([1]Produtos!$G:$G,MATCH(L1837,[1]Produtos!$B:$B,0)), "-")</f>
        <v>-</v>
      </c>
      <c r="Q1837" s="270" t="str">
        <f>IFERROR(INDEX([1]Produtos!$H:$H,MATCH(L1837,[1]Produtos!$B:$B,0)), "-")</f>
        <v>-</v>
      </c>
      <c r="R1837" s="270" t="str">
        <f>IFERROR(INDEX([1]Produtos!$I:$I,MATCH(L1837,[1]Produtos!$B:$B,0)), "-")</f>
        <v>-</v>
      </c>
      <c r="S1837" s="270" t="str">
        <f>IFERROR(INDEX([1]Produtos!$J:$J,MATCH(L1837,[1]Produtos!$B:$B,0)), "-")</f>
        <v>-</v>
      </c>
      <c r="T1837" s="475"/>
      <c r="U1837" s="270"/>
      <c r="V1837" s="270"/>
      <c r="W1837" s="270"/>
      <c r="X1837" s="270"/>
      <c r="Y1837" s="270"/>
      <c r="Z1837" s="270"/>
      <c r="AA1837" s="270"/>
      <c r="AB1837" s="270"/>
      <c r="AC1837" s="270"/>
      <c r="AD1837" s="270"/>
      <c r="AE1837" s="270"/>
      <c r="AF1837" s="270"/>
      <c r="AG1837" s="270"/>
      <c r="AH1837" s="270"/>
      <c r="AI1837" s="270"/>
      <c r="AJ1837" s="270"/>
      <c r="AK1837" s="270"/>
      <c r="AL1837" s="270"/>
      <c r="AM1837" s="663"/>
      <c r="AN1837" s="663"/>
      <c r="AO1837" s="708" t="str">
        <f>IF(OR(Table1[[#This Row],[Início Setup Envase]]="",Table1[[#This Row],[Final Setup Envase]]=""),"",Table1[[#This Row],[Final Setup Envase]]-Table1[[#This Row],[Início Setup Envase]])</f>
        <v/>
      </c>
      <c r="AP1837" s="663"/>
      <c r="AQ1837" s="663"/>
      <c r="AR1837" s="270"/>
      <c r="AS1837" s="674"/>
      <c r="AT1837" s="674"/>
      <c r="AU1837" s="270"/>
      <c r="AV1837" s="270"/>
      <c r="AW1837" s="270"/>
      <c r="AX1837" s="270"/>
      <c r="AY1837" s="270"/>
      <c r="AZ1837" s="270"/>
      <c r="BA1837" s="270" t="str">
        <f>IF(Table1[[#This Row],[Data de Início]]="","",YEAR(Table1[[#This Row],[Data de Início]]))</f>
        <v/>
      </c>
      <c r="BB1837" s="270" t="str">
        <f>IF(Table1[[#This Row],[Data de Início]]="","",MONTH(Table1[[#This Row],[Data de Início]]))</f>
        <v/>
      </c>
      <c r="BC1837" s="483"/>
    </row>
    <row r="1838" spans="2:55" x14ac:dyDescent="0.25">
      <c r="B1838" s="470"/>
      <c r="C1838" s="263"/>
      <c r="D1838" s="477" cm="1">
        <f t="array" ref="D1838">IFERROR(HorasUteisFabrica2Turnos(B1838,C1838), "")</f>
        <v>0</v>
      </c>
      <c r="E1838" s="478" t="str">
        <f t="shared" si="29"/>
        <v/>
      </c>
      <c r="F1838" s="266"/>
      <c r="G1838" s="656"/>
      <c r="H1838" s="479"/>
      <c r="I1838" s="268"/>
      <c r="J1838" s="268"/>
      <c r="K1838" s="268"/>
      <c r="L1838" s="269"/>
      <c r="M1838" s="511" t="str">
        <f>IFERROR(INDEX([1]Produtos!$C:$C,MATCH(L1838,[1]Produtos!$B:$B,0)), "-")</f>
        <v>-</v>
      </c>
      <c r="N1838" s="511" t="str">
        <f>IFERROR(INDEX([1]Produtos!$E:$E,MATCH(L1838,[1]Produtos!$B:$B,0)), "-")</f>
        <v>-</v>
      </c>
      <c r="O1838" s="483" t="str">
        <f>IFERROR(INDEX([1]Produtos!$F:$F,MATCH(L1838,[1]Produtos!$B:$B,0)), "-")</f>
        <v>-</v>
      </c>
      <c r="P1838" s="477" t="str">
        <f>IFERROR(INDEX([1]Produtos!$G:$G,MATCH(L1838,[1]Produtos!$B:$B,0)), "-")</f>
        <v>-</v>
      </c>
      <c r="Q1838" s="483" t="str">
        <f>IFERROR(INDEX([1]Produtos!$H:$H,MATCH(L1838,[1]Produtos!$B:$B,0)), "-")</f>
        <v>-</v>
      </c>
      <c r="R1838" s="483" t="str">
        <f>IFERROR(INDEX([1]Produtos!$I:$I,MATCH(L1838,[1]Produtos!$B:$B,0)), "-")</f>
        <v>-</v>
      </c>
      <c r="S1838" s="483" t="str">
        <f>IFERROR(INDEX([1]Produtos!$J:$J,MATCH(L1838,[1]Produtos!$B:$B,0)), "-")</f>
        <v>-</v>
      </c>
      <c r="T1838" s="484"/>
      <c r="U1838" s="483"/>
      <c r="V1838" s="483"/>
      <c r="W1838" s="483"/>
      <c r="X1838" s="483"/>
      <c r="Y1838" s="483"/>
      <c r="Z1838" s="483"/>
      <c r="AA1838" s="483"/>
      <c r="AB1838" s="483"/>
      <c r="AC1838" s="483"/>
      <c r="AD1838" s="483"/>
      <c r="AE1838" s="483"/>
      <c r="AF1838" s="483"/>
      <c r="AG1838" s="483"/>
      <c r="AH1838" s="483"/>
      <c r="AI1838" s="483"/>
      <c r="AJ1838" s="483"/>
      <c r="AK1838" s="483"/>
      <c r="AL1838" s="483"/>
      <c r="AM1838" s="670"/>
      <c r="AN1838" s="670"/>
      <c r="AO1838" s="711" t="str">
        <f>IF(OR(Table1[[#This Row],[Início Setup Envase]]="",Table1[[#This Row],[Final Setup Envase]]=""),"",Table1[[#This Row],[Final Setup Envase]]-Table1[[#This Row],[Início Setup Envase]])</f>
        <v/>
      </c>
      <c r="AP1838" s="670"/>
      <c r="AQ1838" s="670"/>
      <c r="AR1838" s="483"/>
      <c r="AS1838" s="483"/>
      <c r="AT1838" s="483"/>
      <c r="AU1838" s="483"/>
      <c r="AV1838" s="483"/>
      <c r="AW1838" s="483"/>
      <c r="AX1838" s="483"/>
      <c r="AY1838" s="270"/>
      <c r="AZ1838" s="270"/>
      <c r="BA1838" s="270" t="str">
        <f>IF(Table1[[#This Row],[Data de Início]]="","",YEAR(Table1[[#This Row],[Data de Início]]))</f>
        <v/>
      </c>
      <c r="BB1838" s="270" t="str">
        <f>IF(Table1[[#This Row],[Data de Início]]="","",MONTH(Table1[[#This Row],[Data de Início]]))</f>
        <v/>
      </c>
      <c r="BC1838" s="270"/>
    </row>
    <row r="1839" spans="2:55" x14ac:dyDescent="0.25">
      <c r="B1839" s="470"/>
      <c r="C1839" s="263"/>
      <c r="D1839" s="477" cm="1">
        <f t="array" ref="D1839">IFERROR(HorasUteisFabrica2Turnos(B1839,C1839), "")</f>
        <v>0</v>
      </c>
      <c r="E1839" s="697" t="str">
        <f t="shared" si="29"/>
        <v/>
      </c>
      <c r="F1839" s="266"/>
      <c r="G1839" s="698"/>
      <c r="H1839" s="266"/>
      <c r="I1839" s="268"/>
      <c r="J1839" s="268"/>
      <c r="K1839" s="268"/>
      <c r="L1839" s="269"/>
      <c r="M1839" s="510" t="str">
        <f>IFERROR(INDEX([1]Produtos!$C:$C,MATCH(L1839,[1]Produtos!$B:$B,0)), "-")</f>
        <v>-</v>
      </c>
      <c r="N1839" s="510" t="str">
        <f>IFERROR(INDEX([1]Produtos!$E:$E,MATCH(L1839,[1]Produtos!$B:$B,0)), "-")</f>
        <v>-</v>
      </c>
      <c r="O1839" s="270" t="str">
        <f>IFERROR(INDEX([1]Produtos!$F:$F,MATCH(L1839,[1]Produtos!$B:$B,0)), "-")</f>
        <v>-</v>
      </c>
      <c r="P1839" s="264" t="str">
        <f>IFERROR(INDEX([1]Produtos!$G:$G,MATCH(L1839,[1]Produtos!$B:$B,0)), "-")</f>
        <v>-</v>
      </c>
      <c r="Q1839" s="270" t="str">
        <f>IFERROR(INDEX([1]Produtos!$H:$H,MATCH(L1839,[1]Produtos!$B:$B,0)), "-")</f>
        <v>-</v>
      </c>
      <c r="R1839" s="270" t="str">
        <f>IFERROR(INDEX([1]Produtos!$I:$I,MATCH(L1839,[1]Produtos!$B:$B,0)), "-")</f>
        <v>-</v>
      </c>
      <c r="S1839" s="270" t="str">
        <f>IFERROR(INDEX([1]Produtos!$J:$J,MATCH(L1839,[1]Produtos!$B:$B,0)), "-")</f>
        <v>-</v>
      </c>
      <c r="T1839" s="475"/>
      <c r="U1839" s="270"/>
      <c r="V1839" s="270"/>
      <c r="W1839" s="270"/>
      <c r="X1839" s="270"/>
      <c r="Y1839" s="270"/>
      <c r="Z1839" s="270"/>
      <c r="AA1839" s="270"/>
      <c r="AB1839" s="270"/>
      <c r="AC1839" s="270"/>
      <c r="AD1839" s="270"/>
      <c r="AE1839" s="270"/>
      <c r="AF1839" s="270"/>
      <c r="AG1839" s="270"/>
      <c r="AH1839" s="270"/>
      <c r="AI1839" s="270"/>
      <c r="AJ1839" s="270"/>
      <c r="AK1839" s="270"/>
      <c r="AL1839" s="270"/>
      <c r="AM1839" s="663"/>
      <c r="AN1839" s="663"/>
      <c r="AO1839" s="708" t="str">
        <f>IF(OR(Table1[[#This Row],[Início Setup Envase]]="",Table1[[#This Row],[Final Setup Envase]]=""),"",Table1[[#This Row],[Final Setup Envase]]-Table1[[#This Row],[Início Setup Envase]])</f>
        <v/>
      </c>
      <c r="AP1839" s="663"/>
      <c r="AQ1839" s="663"/>
      <c r="AR1839" s="270"/>
      <c r="AS1839" s="674"/>
      <c r="AT1839" s="674"/>
      <c r="AU1839" s="270"/>
      <c r="AV1839" s="270"/>
      <c r="AW1839" s="270"/>
      <c r="AX1839" s="270"/>
      <c r="AY1839" s="270"/>
      <c r="AZ1839" s="270"/>
      <c r="BA1839" s="270" t="str">
        <f>IF(Table1[[#This Row],[Data de Início]]="","",YEAR(Table1[[#This Row],[Data de Início]]))</f>
        <v/>
      </c>
      <c r="BB1839" s="270" t="str">
        <f>IF(Table1[[#This Row],[Data de Início]]="","",MONTH(Table1[[#This Row],[Data de Início]]))</f>
        <v/>
      </c>
      <c r="BC1839" s="483"/>
    </row>
    <row r="1840" spans="2:55" x14ac:dyDescent="0.25">
      <c r="B1840" s="470"/>
      <c r="C1840" s="263"/>
      <c r="D1840" s="477" cm="1">
        <f t="array" ref="D1840">IFERROR(HorasUteisFabrica2Turnos(B1840,C1840), "")</f>
        <v>0</v>
      </c>
      <c r="E1840" s="478" t="str">
        <f t="shared" si="29"/>
        <v/>
      </c>
      <c r="F1840" s="266"/>
      <c r="G1840" s="656"/>
      <c r="H1840" s="479"/>
      <c r="I1840" s="268"/>
      <c r="J1840" s="268"/>
      <c r="K1840" s="268"/>
      <c r="L1840" s="269"/>
      <c r="M1840" s="511" t="str">
        <f>IFERROR(INDEX([1]Produtos!$C:$C,MATCH(L1840,[1]Produtos!$B:$B,0)), "-")</f>
        <v>-</v>
      </c>
      <c r="N1840" s="511" t="str">
        <f>IFERROR(INDEX([1]Produtos!$E:$E,MATCH(L1840,[1]Produtos!$B:$B,0)), "-")</f>
        <v>-</v>
      </c>
      <c r="O1840" s="483" t="str">
        <f>IFERROR(INDEX([1]Produtos!$F:$F,MATCH(L1840,[1]Produtos!$B:$B,0)), "-")</f>
        <v>-</v>
      </c>
      <c r="P1840" s="477" t="str">
        <f>IFERROR(INDEX([1]Produtos!$G:$G,MATCH(L1840,[1]Produtos!$B:$B,0)), "-")</f>
        <v>-</v>
      </c>
      <c r="Q1840" s="483" t="str">
        <f>IFERROR(INDEX([1]Produtos!$H:$H,MATCH(L1840,[1]Produtos!$B:$B,0)), "-")</f>
        <v>-</v>
      </c>
      <c r="R1840" s="483" t="str">
        <f>IFERROR(INDEX([1]Produtos!$I:$I,MATCH(L1840,[1]Produtos!$B:$B,0)), "-")</f>
        <v>-</v>
      </c>
      <c r="S1840" s="483" t="str">
        <f>IFERROR(INDEX([1]Produtos!$J:$J,MATCH(L1840,[1]Produtos!$B:$B,0)), "-")</f>
        <v>-</v>
      </c>
      <c r="T1840" s="484"/>
      <c r="U1840" s="483"/>
      <c r="V1840" s="483"/>
      <c r="W1840" s="483"/>
      <c r="X1840" s="483"/>
      <c r="Y1840" s="483"/>
      <c r="Z1840" s="483"/>
      <c r="AA1840" s="483"/>
      <c r="AB1840" s="483"/>
      <c r="AC1840" s="483"/>
      <c r="AD1840" s="483"/>
      <c r="AE1840" s="483"/>
      <c r="AF1840" s="483"/>
      <c r="AG1840" s="483"/>
      <c r="AH1840" s="483"/>
      <c r="AI1840" s="483"/>
      <c r="AJ1840" s="483"/>
      <c r="AK1840" s="483"/>
      <c r="AL1840" s="483"/>
      <c r="AM1840" s="670"/>
      <c r="AN1840" s="670"/>
      <c r="AO1840" s="711" t="str">
        <f>IF(OR(Table1[[#This Row],[Início Setup Envase]]="",Table1[[#This Row],[Final Setup Envase]]=""),"",Table1[[#This Row],[Final Setup Envase]]-Table1[[#This Row],[Início Setup Envase]])</f>
        <v/>
      </c>
      <c r="AP1840" s="670"/>
      <c r="AQ1840" s="670"/>
      <c r="AR1840" s="483"/>
      <c r="AS1840" s="483"/>
      <c r="AT1840" s="483"/>
      <c r="AU1840" s="483"/>
      <c r="AV1840" s="483"/>
      <c r="AW1840" s="483"/>
      <c r="AX1840" s="483"/>
      <c r="AY1840" s="270"/>
      <c r="AZ1840" s="270"/>
      <c r="BA1840" s="270" t="str">
        <f>IF(Table1[[#This Row],[Data de Início]]="","",YEAR(Table1[[#This Row],[Data de Início]]))</f>
        <v/>
      </c>
      <c r="BB1840" s="270" t="str">
        <f>IF(Table1[[#This Row],[Data de Início]]="","",MONTH(Table1[[#This Row],[Data de Início]]))</f>
        <v/>
      </c>
      <c r="BC1840" s="270"/>
    </row>
    <row r="1841" spans="2:55" x14ac:dyDescent="0.25">
      <c r="B1841" s="470"/>
      <c r="C1841" s="263"/>
      <c r="D1841" s="477" cm="1">
        <f t="array" ref="D1841">IFERROR(HorasUteisFabrica2Turnos(B1841,C1841), "")</f>
        <v>0</v>
      </c>
      <c r="E1841" s="697" t="str">
        <f t="shared" si="29"/>
        <v/>
      </c>
      <c r="F1841" s="266"/>
      <c r="G1841" s="698"/>
      <c r="H1841" s="266"/>
      <c r="I1841" s="268"/>
      <c r="J1841" s="268"/>
      <c r="K1841" s="268"/>
      <c r="L1841" s="269"/>
      <c r="M1841" s="510" t="str">
        <f>IFERROR(INDEX([1]Produtos!$C:$C,MATCH(L1841,[1]Produtos!$B:$B,0)), "-")</f>
        <v>-</v>
      </c>
      <c r="N1841" s="510" t="str">
        <f>IFERROR(INDEX([1]Produtos!$E:$E,MATCH(L1841,[1]Produtos!$B:$B,0)), "-")</f>
        <v>-</v>
      </c>
      <c r="O1841" s="270" t="str">
        <f>IFERROR(INDEX([1]Produtos!$F:$F,MATCH(L1841,[1]Produtos!$B:$B,0)), "-")</f>
        <v>-</v>
      </c>
      <c r="P1841" s="264" t="str">
        <f>IFERROR(INDEX([1]Produtos!$G:$G,MATCH(L1841,[1]Produtos!$B:$B,0)), "-")</f>
        <v>-</v>
      </c>
      <c r="Q1841" s="270" t="str">
        <f>IFERROR(INDEX([1]Produtos!$H:$H,MATCH(L1841,[1]Produtos!$B:$B,0)), "-")</f>
        <v>-</v>
      </c>
      <c r="R1841" s="270" t="str">
        <f>IFERROR(INDEX([1]Produtos!$I:$I,MATCH(L1841,[1]Produtos!$B:$B,0)), "-")</f>
        <v>-</v>
      </c>
      <c r="S1841" s="270" t="str">
        <f>IFERROR(INDEX([1]Produtos!$J:$J,MATCH(L1841,[1]Produtos!$B:$B,0)), "-")</f>
        <v>-</v>
      </c>
      <c r="T1841" s="475"/>
      <c r="U1841" s="270"/>
      <c r="V1841" s="270"/>
      <c r="W1841" s="270"/>
      <c r="X1841" s="270"/>
      <c r="Y1841" s="270"/>
      <c r="Z1841" s="270"/>
      <c r="AA1841" s="270"/>
      <c r="AB1841" s="270"/>
      <c r="AC1841" s="270"/>
      <c r="AD1841" s="270"/>
      <c r="AE1841" s="270"/>
      <c r="AF1841" s="270"/>
      <c r="AG1841" s="270"/>
      <c r="AH1841" s="270"/>
      <c r="AI1841" s="270"/>
      <c r="AJ1841" s="270"/>
      <c r="AK1841" s="270"/>
      <c r="AL1841" s="270"/>
      <c r="AM1841" s="663"/>
      <c r="AN1841" s="663"/>
      <c r="AO1841" s="708" t="str">
        <f>IF(OR(Table1[[#This Row],[Início Setup Envase]]="",Table1[[#This Row],[Final Setup Envase]]=""),"",Table1[[#This Row],[Final Setup Envase]]-Table1[[#This Row],[Início Setup Envase]])</f>
        <v/>
      </c>
      <c r="AP1841" s="663"/>
      <c r="AQ1841" s="663"/>
      <c r="AR1841" s="270"/>
      <c r="AS1841" s="674"/>
      <c r="AT1841" s="674"/>
      <c r="AU1841" s="270"/>
      <c r="AV1841" s="270"/>
      <c r="AW1841" s="270"/>
      <c r="AX1841" s="270"/>
      <c r="AY1841" s="270"/>
      <c r="AZ1841" s="270"/>
      <c r="BA1841" s="270" t="str">
        <f>IF(Table1[[#This Row],[Data de Início]]="","",YEAR(Table1[[#This Row],[Data de Início]]))</f>
        <v/>
      </c>
      <c r="BB1841" s="270" t="str">
        <f>IF(Table1[[#This Row],[Data de Início]]="","",MONTH(Table1[[#This Row],[Data de Início]]))</f>
        <v/>
      </c>
      <c r="BC1841" s="483"/>
    </row>
    <row r="1842" spans="2:55" x14ac:dyDescent="0.25">
      <c r="B1842" s="470"/>
      <c r="C1842" s="263"/>
      <c r="D1842" s="477" cm="1">
        <f t="array" ref="D1842">IFERROR(HorasUteisFabrica2Turnos(B1842,C1842), "")</f>
        <v>0</v>
      </c>
      <c r="E1842" s="478" t="str">
        <f t="shared" si="29"/>
        <v/>
      </c>
      <c r="F1842" s="266"/>
      <c r="G1842" s="656"/>
      <c r="H1842" s="479"/>
      <c r="I1842" s="268"/>
      <c r="J1842" s="268"/>
      <c r="K1842" s="268"/>
      <c r="L1842" s="269"/>
      <c r="M1842" s="511" t="str">
        <f>IFERROR(INDEX([1]Produtos!$C:$C,MATCH(L1842,[1]Produtos!$B:$B,0)), "-")</f>
        <v>-</v>
      </c>
      <c r="N1842" s="511" t="str">
        <f>IFERROR(INDEX([1]Produtos!$E:$E,MATCH(L1842,[1]Produtos!$B:$B,0)), "-")</f>
        <v>-</v>
      </c>
      <c r="O1842" s="483" t="str">
        <f>IFERROR(INDEX([1]Produtos!$F:$F,MATCH(L1842,[1]Produtos!$B:$B,0)), "-")</f>
        <v>-</v>
      </c>
      <c r="P1842" s="477" t="str">
        <f>IFERROR(INDEX([1]Produtos!$G:$G,MATCH(L1842,[1]Produtos!$B:$B,0)), "-")</f>
        <v>-</v>
      </c>
      <c r="Q1842" s="483" t="str">
        <f>IFERROR(INDEX([1]Produtos!$H:$H,MATCH(L1842,[1]Produtos!$B:$B,0)), "-")</f>
        <v>-</v>
      </c>
      <c r="R1842" s="483" t="str">
        <f>IFERROR(INDEX([1]Produtos!$I:$I,MATCH(L1842,[1]Produtos!$B:$B,0)), "-")</f>
        <v>-</v>
      </c>
      <c r="S1842" s="483" t="str">
        <f>IFERROR(INDEX([1]Produtos!$J:$J,MATCH(L1842,[1]Produtos!$B:$B,0)), "-")</f>
        <v>-</v>
      </c>
      <c r="T1842" s="484"/>
      <c r="U1842" s="483"/>
      <c r="V1842" s="483"/>
      <c r="W1842" s="483"/>
      <c r="X1842" s="483"/>
      <c r="Y1842" s="483"/>
      <c r="Z1842" s="483"/>
      <c r="AA1842" s="483"/>
      <c r="AB1842" s="483"/>
      <c r="AC1842" s="483"/>
      <c r="AD1842" s="483"/>
      <c r="AE1842" s="483"/>
      <c r="AF1842" s="483"/>
      <c r="AG1842" s="483"/>
      <c r="AH1842" s="483"/>
      <c r="AI1842" s="483"/>
      <c r="AJ1842" s="483"/>
      <c r="AK1842" s="483"/>
      <c r="AL1842" s="483"/>
      <c r="AM1842" s="670"/>
      <c r="AN1842" s="670"/>
      <c r="AO1842" s="711" t="str">
        <f>IF(OR(Table1[[#This Row],[Início Setup Envase]]="",Table1[[#This Row],[Final Setup Envase]]=""),"",Table1[[#This Row],[Final Setup Envase]]-Table1[[#This Row],[Início Setup Envase]])</f>
        <v/>
      </c>
      <c r="AP1842" s="670"/>
      <c r="AQ1842" s="670"/>
      <c r="AR1842" s="483"/>
      <c r="AS1842" s="483"/>
      <c r="AT1842" s="483"/>
      <c r="AU1842" s="483"/>
      <c r="AV1842" s="483"/>
      <c r="AW1842" s="483"/>
      <c r="AX1842" s="483"/>
      <c r="AY1842" s="270"/>
      <c r="AZ1842" s="270"/>
      <c r="BA1842" s="270" t="str">
        <f>IF(Table1[[#This Row],[Data de Início]]="","",YEAR(Table1[[#This Row],[Data de Início]]))</f>
        <v/>
      </c>
      <c r="BB1842" s="270" t="str">
        <f>IF(Table1[[#This Row],[Data de Início]]="","",MONTH(Table1[[#This Row],[Data de Início]]))</f>
        <v/>
      </c>
      <c r="BC1842" s="270"/>
    </row>
    <row r="1843" spans="2:55" x14ac:dyDescent="0.25">
      <c r="B1843" s="470"/>
      <c r="C1843" s="263"/>
      <c r="D1843" s="477" cm="1">
        <f t="array" ref="D1843">IFERROR(HorasUteisFabrica2Turnos(B1843,C1843), "")</f>
        <v>0</v>
      </c>
      <c r="E1843" s="697" t="str">
        <f t="shared" si="29"/>
        <v/>
      </c>
      <c r="F1843" s="266"/>
      <c r="G1843" s="698"/>
      <c r="H1843" s="266"/>
      <c r="I1843" s="268"/>
      <c r="J1843" s="268"/>
      <c r="K1843" s="268"/>
      <c r="L1843" s="269"/>
      <c r="M1843" s="510" t="str">
        <f>IFERROR(INDEX([1]Produtos!$C:$C,MATCH(L1843,[1]Produtos!$B:$B,0)), "-")</f>
        <v>-</v>
      </c>
      <c r="N1843" s="510" t="str">
        <f>IFERROR(INDEX([1]Produtos!$E:$E,MATCH(L1843,[1]Produtos!$B:$B,0)), "-")</f>
        <v>-</v>
      </c>
      <c r="O1843" s="270" t="str">
        <f>IFERROR(INDEX([1]Produtos!$F:$F,MATCH(L1843,[1]Produtos!$B:$B,0)), "-")</f>
        <v>-</v>
      </c>
      <c r="P1843" s="264" t="str">
        <f>IFERROR(INDEX([1]Produtos!$G:$G,MATCH(L1843,[1]Produtos!$B:$B,0)), "-")</f>
        <v>-</v>
      </c>
      <c r="Q1843" s="270" t="str">
        <f>IFERROR(INDEX([1]Produtos!$H:$H,MATCH(L1843,[1]Produtos!$B:$B,0)), "-")</f>
        <v>-</v>
      </c>
      <c r="R1843" s="270" t="str">
        <f>IFERROR(INDEX([1]Produtos!$I:$I,MATCH(L1843,[1]Produtos!$B:$B,0)), "-")</f>
        <v>-</v>
      </c>
      <c r="S1843" s="270" t="str">
        <f>IFERROR(INDEX([1]Produtos!$J:$J,MATCH(L1843,[1]Produtos!$B:$B,0)), "-")</f>
        <v>-</v>
      </c>
      <c r="T1843" s="475"/>
      <c r="U1843" s="270"/>
      <c r="V1843" s="270"/>
      <c r="W1843" s="270"/>
      <c r="X1843" s="270"/>
      <c r="Y1843" s="270"/>
      <c r="Z1843" s="270"/>
      <c r="AA1843" s="270"/>
      <c r="AB1843" s="270"/>
      <c r="AC1843" s="270"/>
      <c r="AD1843" s="270"/>
      <c r="AE1843" s="270"/>
      <c r="AF1843" s="270"/>
      <c r="AG1843" s="270"/>
      <c r="AH1843" s="270"/>
      <c r="AI1843" s="270"/>
      <c r="AJ1843" s="270"/>
      <c r="AK1843" s="270"/>
      <c r="AL1843" s="270"/>
      <c r="AM1843" s="663"/>
      <c r="AN1843" s="663"/>
      <c r="AO1843" s="708" t="str">
        <f>IF(OR(Table1[[#This Row],[Início Setup Envase]]="",Table1[[#This Row],[Final Setup Envase]]=""),"",Table1[[#This Row],[Final Setup Envase]]-Table1[[#This Row],[Início Setup Envase]])</f>
        <v/>
      </c>
      <c r="AP1843" s="663"/>
      <c r="AQ1843" s="663"/>
      <c r="AR1843" s="270"/>
      <c r="AS1843" s="674"/>
      <c r="AT1843" s="674"/>
      <c r="AU1843" s="270"/>
      <c r="AV1843" s="270"/>
      <c r="AW1843" s="270"/>
      <c r="AX1843" s="270"/>
      <c r="AY1843" s="270"/>
      <c r="AZ1843" s="270"/>
      <c r="BA1843" s="270" t="str">
        <f>IF(Table1[[#This Row],[Data de Início]]="","",YEAR(Table1[[#This Row],[Data de Início]]))</f>
        <v/>
      </c>
      <c r="BB1843" s="270" t="str">
        <f>IF(Table1[[#This Row],[Data de Início]]="","",MONTH(Table1[[#This Row],[Data de Início]]))</f>
        <v/>
      </c>
      <c r="BC1843" s="483"/>
    </row>
    <row r="1844" spans="2:55" x14ac:dyDescent="0.25">
      <c r="B1844" s="470"/>
      <c r="C1844" s="263"/>
      <c r="D1844" s="477" cm="1">
        <f t="array" ref="D1844">IFERROR(HorasUteisFabrica2Turnos(B1844,C1844), "")</f>
        <v>0</v>
      </c>
      <c r="E1844" s="478" t="str">
        <f t="shared" si="29"/>
        <v/>
      </c>
      <c r="F1844" s="266"/>
      <c r="G1844" s="656"/>
      <c r="H1844" s="479"/>
      <c r="I1844" s="268"/>
      <c r="J1844" s="268"/>
      <c r="K1844" s="268"/>
      <c r="L1844" s="269"/>
      <c r="M1844" s="511" t="str">
        <f>IFERROR(INDEX([1]Produtos!$C:$C,MATCH(L1844,[1]Produtos!$B:$B,0)), "-")</f>
        <v>-</v>
      </c>
      <c r="N1844" s="511" t="str">
        <f>IFERROR(INDEX([1]Produtos!$E:$E,MATCH(L1844,[1]Produtos!$B:$B,0)), "-")</f>
        <v>-</v>
      </c>
      <c r="O1844" s="483" t="str">
        <f>IFERROR(INDEX([1]Produtos!$F:$F,MATCH(L1844,[1]Produtos!$B:$B,0)), "-")</f>
        <v>-</v>
      </c>
      <c r="P1844" s="477" t="str">
        <f>IFERROR(INDEX([1]Produtos!$G:$G,MATCH(L1844,[1]Produtos!$B:$B,0)), "-")</f>
        <v>-</v>
      </c>
      <c r="Q1844" s="483" t="str">
        <f>IFERROR(INDEX([1]Produtos!$H:$H,MATCH(L1844,[1]Produtos!$B:$B,0)), "-")</f>
        <v>-</v>
      </c>
      <c r="R1844" s="483" t="str">
        <f>IFERROR(INDEX([1]Produtos!$I:$I,MATCH(L1844,[1]Produtos!$B:$B,0)), "-")</f>
        <v>-</v>
      </c>
      <c r="S1844" s="483" t="str">
        <f>IFERROR(INDEX([1]Produtos!$J:$J,MATCH(L1844,[1]Produtos!$B:$B,0)), "-")</f>
        <v>-</v>
      </c>
      <c r="T1844" s="484"/>
      <c r="U1844" s="483"/>
      <c r="V1844" s="483"/>
      <c r="W1844" s="483"/>
      <c r="X1844" s="483"/>
      <c r="Y1844" s="483"/>
      <c r="Z1844" s="483"/>
      <c r="AA1844" s="483"/>
      <c r="AB1844" s="483"/>
      <c r="AC1844" s="483"/>
      <c r="AD1844" s="483"/>
      <c r="AE1844" s="483"/>
      <c r="AF1844" s="483"/>
      <c r="AG1844" s="483"/>
      <c r="AH1844" s="483"/>
      <c r="AI1844" s="483"/>
      <c r="AJ1844" s="483"/>
      <c r="AK1844" s="483"/>
      <c r="AL1844" s="483"/>
      <c r="AM1844" s="670"/>
      <c r="AN1844" s="670"/>
      <c r="AO1844" s="711" t="str">
        <f>IF(OR(Table1[[#This Row],[Início Setup Envase]]="",Table1[[#This Row],[Final Setup Envase]]=""),"",Table1[[#This Row],[Final Setup Envase]]-Table1[[#This Row],[Início Setup Envase]])</f>
        <v/>
      </c>
      <c r="AP1844" s="670"/>
      <c r="AQ1844" s="670"/>
      <c r="AR1844" s="483"/>
      <c r="AS1844" s="483"/>
      <c r="AT1844" s="483"/>
      <c r="AU1844" s="483"/>
      <c r="AV1844" s="483"/>
      <c r="AW1844" s="483"/>
      <c r="AX1844" s="483"/>
      <c r="AY1844" s="270"/>
      <c r="AZ1844" s="270"/>
      <c r="BA1844" s="270" t="str">
        <f>IF(Table1[[#This Row],[Data de Início]]="","",YEAR(Table1[[#This Row],[Data de Início]]))</f>
        <v/>
      </c>
      <c r="BB1844" s="270" t="str">
        <f>IF(Table1[[#This Row],[Data de Início]]="","",MONTH(Table1[[#This Row],[Data de Início]]))</f>
        <v/>
      </c>
      <c r="BC1844" s="270"/>
    </row>
    <row r="1845" spans="2:55" x14ac:dyDescent="0.25">
      <c r="B1845" s="470"/>
      <c r="C1845" s="263"/>
      <c r="D1845" s="477" cm="1">
        <f t="array" ref="D1845">IFERROR(HorasUteisFabrica2Turnos(B1845,C1845), "")</f>
        <v>0</v>
      </c>
      <c r="E1845" s="697" t="str">
        <f t="shared" si="29"/>
        <v/>
      </c>
      <c r="F1845" s="266"/>
      <c r="G1845" s="698"/>
      <c r="H1845" s="266"/>
      <c r="I1845" s="268"/>
      <c r="J1845" s="268"/>
      <c r="K1845" s="268"/>
      <c r="L1845" s="269"/>
      <c r="M1845" s="510" t="str">
        <f>IFERROR(INDEX([1]Produtos!$C:$C,MATCH(L1845,[1]Produtos!$B:$B,0)), "-")</f>
        <v>-</v>
      </c>
      <c r="N1845" s="510" t="str">
        <f>IFERROR(INDEX([1]Produtos!$E:$E,MATCH(L1845,[1]Produtos!$B:$B,0)), "-")</f>
        <v>-</v>
      </c>
      <c r="O1845" s="270" t="str">
        <f>IFERROR(INDEX([1]Produtos!$F:$F,MATCH(L1845,[1]Produtos!$B:$B,0)), "-")</f>
        <v>-</v>
      </c>
      <c r="P1845" s="264" t="str">
        <f>IFERROR(INDEX([1]Produtos!$G:$G,MATCH(L1845,[1]Produtos!$B:$B,0)), "-")</f>
        <v>-</v>
      </c>
      <c r="Q1845" s="270" t="str">
        <f>IFERROR(INDEX([1]Produtos!$H:$H,MATCH(L1845,[1]Produtos!$B:$B,0)), "-")</f>
        <v>-</v>
      </c>
      <c r="R1845" s="270" t="str">
        <f>IFERROR(INDEX([1]Produtos!$I:$I,MATCH(L1845,[1]Produtos!$B:$B,0)), "-")</f>
        <v>-</v>
      </c>
      <c r="S1845" s="270" t="str">
        <f>IFERROR(INDEX([1]Produtos!$J:$J,MATCH(L1845,[1]Produtos!$B:$B,0)), "-")</f>
        <v>-</v>
      </c>
      <c r="T1845" s="475"/>
      <c r="U1845" s="270"/>
      <c r="V1845" s="270"/>
      <c r="W1845" s="270"/>
      <c r="X1845" s="270"/>
      <c r="Y1845" s="270"/>
      <c r="Z1845" s="270"/>
      <c r="AA1845" s="270"/>
      <c r="AB1845" s="270"/>
      <c r="AC1845" s="270"/>
      <c r="AD1845" s="270"/>
      <c r="AE1845" s="270"/>
      <c r="AF1845" s="270"/>
      <c r="AG1845" s="270"/>
      <c r="AH1845" s="270"/>
      <c r="AI1845" s="270"/>
      <c r="AJ1845" s="270"/>
      <c r="AK1845" s="270"/>
      <c r="AL1845" s="270"/>
      <c r="AM1845" s="663"/>
      <c r="AN1845" s="663"/>
      <c r="AO1845" s="708" t="str">
        <f>IF(OR(Table1[[#This Row],[Início Setup Envase]]="",Table1[[#This Row],[Final Setup Envase]]=""),"",Table1[[#This Row],[Final Setup Envase]]-Table1[[#This Row],[Início Setup Envase]])</f>
        <v/>
      </c>
      <c r="AP1845" s="663"/>
      <c r="AQ1845" s="663"/>
      <c r="AR1845" s="270"/>
      <c r="AS1845" s="674"/>
      <c r="AT1845" s="674"/>
      <c r="AU1845" s="270"/>
      <c r="AV1845" s="270"/>
      <c r="AW1845" s="270"/>
      <c r="AX1845" s="270"/>
      <c r="AY1845" s="270"/>
      <c r="AZ1845" s="270"/>
      <c r="BA1845" s="270" t="str">
        <f>IF(Table1[[#This Row],[Data de Início]]="","",YEAR(Table1[[#This Row],[Data de Início]]))</f>
        <v/>
      </c>
      <c r="BB1845" s="270" t="str">
        <f>IF(Table1[[#This Row],[Data de Início]]="","",MONTH(Table1[[#This Row],[Data de Início]]))</f>
        <v/>
      </c>
      <c r="BC1845" s="483"/>
    </row>
    <row r="1846" spans="2:55" x14ac:dyDescent="0.25">
      <c r="B1846" s="470"/>
      <c r="C1846" s="263"/>
      <c r="D1846" s="477" cm="1">
        <f t="array" ref="D1846">IFERROR(HorasUteisFabrica2Turnos(B1846,C1846), "")</f>
        <v>0</v>
      </c>
      <c r="E1846" s="478" t="str">
        <f t="shared" si="29"/>
        <v/>
      </c>
      <c r="F1846" s="266"/>
      <c r="G1846" s="656"/>
      <c r="H1846" s="479"/>
      <c r="I1846" s="268"/>
      <c r="J1846" s="268"/>
      <c r="K1846" s="268"/>
      <c r="L1846" s="269"/>
      <c r="M1846" s="511" t="str">
        <f>IFERROR(INDEX([1]Produtos!$C:$C,MATCH(L1846,[1]Produtos!$B:$B,0)), "-")</f>
        <v>-</v>
      </c>
      <c r="N1846" s="511" t="str">
        <f>IFERROR(INDEX([1]Produtos!$E:$E,MATCH(L1846,[1]Produtos!$B:$B,0)), "-")</f>
        <v>-</v>
      </c>
      <c r="O1846" s="483" t="str">
        <f>IFERROR(INDEX([1]Produtos!$F:$F,MATCH(L1846,[1]Produtos!$B:$B,0)), "-")</f>
        <v>-</v>
      </c>
      <c r="P1846" s="477" t="str">
        <f>IFERROR(INDEX([1]Produtos!$G:$G,MATCH(L1846,[1]Produtos!$B:$B,0)), "-")</f>
        <v>-</v>
      </c>
      <c r="Q1846" s="483" t="str">
        <f>IFERROR(INDEX([1]Produtos!$H:$H,MATCH(L1846,[1]Produtos!$B:$B,0)), "-")</f>
        <v>-</v>
      </c>
      <c r="R1846" s="483" t="str">
        <f>IFERROR(INDEX([1]Produtos!$I:$I,MATCH(L1846,[1]Produtos!$B:$B,0)), "-")</f>
        <v>-</v>
      </c>
      <c r="S1846" s="483" t="str">
        <f>IFERROR(INDEX([1]Produtos!$J:$J,MATCH(L1846,[1]Produtos!$B:$B,0)), "-")</f>
        <v>-</v>
      </c>
      <c r="T1846" s="484"/>
      <c r="U1846" s="483"/>
      <c r="V1846" s="483"/>
      <c r="W1846" s="483"/>
      <c r="X1846" s="483"/>
      <c r="Y1846" s="483"/>
      <c r="Z1846" s="483"/>
      <c r="AA1846" s="483"/>
      <c r="AB1846" s="483"/>
      <c r="AC1846" s="483"/>
      <c r="AD1846" s="483"/>
      <c r="AE1846" s="483"/>
      <c r="AF1846" s="483"/>
      <c r="AG1846" s="483"/>
      <c r="AH1846" s="483"/>
      <c r="AI1846" s="483"/>
      <c r="AJ1846" s="483"/>
      <c r="AK1846" s="483"/>
      <c r="AL1846" s="483"/>
      <c r="AM1846" s="670"/>
      <c r="AN1846" s="670"/>
      <c r="AO1846" s="711" t="str">
        <f>IF(OR(Table1[[#This Row],[Início Setup Envase]]="",Table1[[#This Row],[Final Setup Envase]]=""),"",Table1[[#This Row],[Final Setup Envase]]-Table1[[#This Row],[Início Setup Envase]])</f>
        <v/>
      </c>
      <c r="AP1846" s="670"/>
      <c r="AQ1846" s="670"/>
      <c r="AR1846" s="483"/>
      <c r="AS1846" s="483"/>
      <c r="AT1846" s="483"/>
      <c r="AU1846" s="483"/>
      <c r="AV1846" s="483"/>
      <c r="AW1846" s="483"/>
      <c r="AX1846" s="483"/>
      <c r="AY1846" s="270"/>
      <c r="AZ1846" s="270"/>
      <c r="BA1846" s="270" t="str">
        <f>IF(Table1[[#This Row],[Data de Início]]="","",YEAR(Table1[[#This Row],[Data de Início]]))</f>
        <v/>
      </c>
      <c r="BB1846" s="270" t="str">
        <f>IF(Table1[[#This Row],[Data de Início]]="","",MONTH(Table1[[#This Row],[Data de Início]]))</f>
        <v/>
      </c>
      <c r="BC1846" s="270"/>
    </row>
    <row r="1847" spans="2:55" x14ac:dyDescent="0.25">
      <c r="B1847" s="470"/>
      <c r="C1847" s="263"/>
      <c r="D1847" s="477" cm="1">
        <f t="array" ref="D1847">IFERROR(HorasUteisFabrica2Turnos(B1847,C1847), "")</f>
        <v>0</v>
      </c>
      <c r="E1847" s="697" t="str">
        <f t="shared" si="29"/>
        <v/>
      </c>
      <c r="F1847" s="266"/>
      <c r="G1847" s="698"/>
      <c r="H1847" s="266"/>
      <c r="I1847" s="268"/>
      <c r="J1847" s="268"/>
      <c r="K1847" s="268"/>
      <c r="L1847" s="269"/>
      <c r="M1847" s="510" t="str">
        <f>IFERROR(INDEX([1]Produtos!$C:$C,MATCH(L1847,[1]Produtos!$B:$B,0)), "-")</f>
        <v>-</v>
      </c>
      <c r="N1847" s="510" t="str">
        <f>IFERROR(INDEX([1]Produtos!$E:$E,MATCH(L1847,[1]Produtos!$B:$B,0)), "-")</f>
        <v>-</v>
      </c>
      <c r="O1847" s="270" t="str">
        <f>IFERROR(INDEX([1]Produtos!$F:$F,MATCH(L1847,[1]Produtos!$B:$B,0)), "-")</f>
        <v>-</v>
      </c>
      <c r="P1847" s="264" t="str">
        <f>IFERROR(INDEX([1]Produtos!$G:$G,MATCH(L1847,[1]Produtos!$B:$B,0)), "-")</f>
        <v>-</v>
      </c>
      <c r="Q1847" s="270" t="str">
        <f>IFERROR(INDEX([1]Produtos!$H:$H,MATCH(L1847,[1]Produtos!$B:$B,0)), "-")</f>
        <v>-</v>
      </c>
      <c r="R1847" s="270" t="str">
        <f>IFERROR(INDEX([1]Produtos!$I:$I,MATCH(L1847,[1]Produtos!$B:$B,0)), "-")</f>
        <v>-</v>
      </c>
      <c r="S1847" s="270" t="str">
        <f>IFERROR(INDEX([1]Produtos!$J:$J,MATCH(L1847,[1]Produtos!$B:$B,0)), "-")</f>
        <v>-</v>
      </c>
      <c r="T1847" s="475"/>
      <c r="U1847" s="270"/>
      <c r="V1847" s="270"/>
      <c r="W1847" s="270"/>
      <c r="X1847" s="270"/>
      <c r="Y1847" s="270"/>
      <c r="Z1847" s="270"/>
      <c r="AA1847" s="270"/>
      <c r="AB1847" s="270"/>
      <c r="AC1847" s="270"/>
      <c r="AD1847" s="270"/>
      <c r="AE1847" s="270"/>
      <c r="AF1847" s="270"/>
      <c r="AG1847" s="270"/>
      <c r="AH1847" s="270"/>
      <c r="AI1847" s="270"/>
      <c r="AJ1847" s="270"/>
      <c r="AK1847" s="270"/>
      <c r="AL1847" s="270"/>
      <c r="AM1847" s="663"/>
      <c r="AN1847" s="663"/>
      <c r="AO1847" s="708" t="str">
        <f>IF(OR(Table1[[#This Row],[Início Setup Envase]]="",Table1[[#This Row],[Final Setup Envase]]=""),"",Table1[[#This Row],[Final Setup Envase]]-Table1[[#This Row],[Início Setup Envase]])</f>
        <v/>
      </c>
      <c r="AP1847" s="663"/>
      <c r="AQ1847" s="663"/>
      <c r="AR1847" s="270"/>
      <c r="AS1847" s="674"/>
      <c r="AT1847" s="674"/>
      <c r="AU1847" s="270"/>
      <c r="AV1847" s="270"/>
      <c r="AW1847" s="270"/>
      <c r="AX1847" s="270"/>
      <c r="AY1847" s="270"/>
      <c r="AZ1847" s="270"/>
      <c r="BA1847" s="270" t="str">
        <f>IF(Table1[[#This Row],[Data de Início]]="","",YEAR(Table1[[#This Row],[Data de Início]]))</f>
        <v/>
      </c>
      <c r="BB1847" s="270" t="str">
        <f>IF(Table1[[#This Row],[Data de Início]]="","",MONTH(Table1[[#This Row],[Data de Início]]))</f>
        <v/>
      </c>
      <c r="BC1847" s="483"/>
    </row>
    <row r="1848" spans="2:55" x14ac:dyDescent="0.25">
      <c r="B1848" s="470"/>
      <c r="C1848" s="263"/>
      <c r="D1848" s="477" cm="1">
        <f t="array" ref="D1848">IFERROR(HorasUteisFabrica2Turnos(B1848,C1848), "")</f>
        <v>0</v>
      </c>
      <c r="E1848" s="478" t="str">
        <f t="shared" si="29"/>
        <v/>
      </c>
      <c r="F1848" s="266"/>
      <c r="G1848" s="656"/>
      <c r="H1848" s="479"/>
      <c r="I1848" s="268"/>
      <c r="J1848" s="268"/>
      <c r="K1848" s="268"/>
      <c r="L1848" s="269"/>
      <c r="M1848" s="511" t="str">
        <f>IFERROR(INDEX([1]Produtos!$C:$C,MATCH(L1848,[1]Produtos!$B:$B,0)), "-")</f>
        <v>-</v>
      </c>
      <c r="N1848" s="511" t="str">
        <f>IFERROR(INDEX([1]Produtos!$E:$E,MATCH(L1848,[1]Produtos!$B:$B,0)), "-")</f>
        <v>-</v>
      </c>
      <c r="O1848" s="483" t="str">
        <f>IFERROR(INDEX([1]Produtos!$F:$F,MATCH(L1848,[1]Produtos!$B:$B,0)), "-")</f>
        <v>-</v>
      </c>
      <c r="P1848" s="477" t="str">
        <f>IFERROR(INDEX([1]Produtos!$G:$G,MATCH(L1848,[1]Produtos!$B:$B,0)), "-")</f>
        <v>-</v>
      </c>
      <c r="Q1848" s="483" t="str">
        <f>IFERROR(INDEX([1]Produtos!$H:$H,MATCH(L1848,[1]Produtos!$B:$B,0)), "-")</f>
        <v>-</v>
      </c>
      <c r="R1848" s="483" t="str">
        <f>IFERROR(INDEX([1]Produtos!$I:$I,MATCH(L1848,[1]Produtos!$B:$B,0)), "-")</f>
        <v>-</v>
      </c>
      <c r="S1848" s="483" t="str">
        <f>IFERROR(INDEX([1]Produtos!$J:$J,MATCH(L1848,[1]Produtos!$B:$B,0)), "-")</f>
        <v>-</v>
      </c>
      <c r="T1848" s="484"/>
      <c r="U1848" s="483"/>
      <c r="V1848" s="483"/>
      <c r="W1848" s="483"/>
      <c r="X1848" s="483"/>
      <c r="Y1848" s="483"/>
      <c r="Z1848" s="483"/>
      <c r="AA1848" s="483"/>
      <c r="AB1848" s="483"/>
      <c r="AC1848" s="483"/>
      <c r="AD1848" s="483"/>
      <c r="AE1848" s="483"/>
      <c r="AF1848" s="483"/>
      <c r="AG1848" s="483"/>
      <c r="AH1848" s="483"/>
      <c r="AI1848" s="483"/>
      <c r="AJ1848" s="483"/>
      <c r="AK1848" s="483"/>
      <c r="AL1848" s="483"/>
      <c r="AM1848" s="670"/>
      <c r="AN1848" s="670"/>
      <c r="AO1848" s="711" t="str">
        <f>IF(OR(Table1[[#This Row],[Início Setup Envase]]="",Table1[[#This Row],[Final Setup Envase]]=""),"",Table1[[#This Row],[Final Setup Envase]]-Table1[[#This Row],[Início Setup Envase]])</f>
        <v/>
      </c>
      <c r="AP1848" s="670"/>
      <c r="AQ1848" s="670"/>
      <c r="AR1848" s="483"/>
      <c r="AS1848" s="483"/>
      <c r="AT1848" s="483"/>
      <c r="AU1848" s="483"/>
      <c r="AV1848" s="483"/>
      <c r="AW1848" s="483"/>
      <c r="AX1848" s="483"/>
      <c r="AY1848" s="270"/>
      <c r="AZ1848" s="270"/>
      <c r="BA1848" s="270" t="str">
        <f>IF(Table1[[#This Row],[Data de Início]]="","",YEAR(Table1[[#This Row],[Data de Início]]))</f>
        <v/>
      </c>
      <c r="BB1848" s="270" t="str">
        <f>IF(Table1[[#This Row],[Data de Início]]="","",MONTH(Table1[[#This Row],[Data de Início]]))</f>
        <v/>
      </c>
      <c r="BC1848" s="270"/>
    </row>
    <row r="1849" spans="2:55" x14ac:dyDescent="0.25">
      <c r="B1849" s="470"/>
      <c r="C1849" s="263"/>
      <c r="D1849" s="477" cm="1">
        <f t="array" ref="D1849">IFERROR(HorasUteisFabrica2Turnos(B1849,C1849), "")</f>
        <v>0</v>
      </c>
      <c r="E1849" s="697" t="str">
        <f t="shared" si="29"/>
        <v/>
      </c>
      <c r="F1849" s="266"/>
      <c r="G1849" s="698"/>
      <c r="H1849" s="266"/>
      <c r="I1849" s="268"/>
      <c r="J1849" s="268"/>
      <c r="K1849" s="268"/>
      <c r="L1849" s="269"/>
      <c r="M1849" s="510" t="str">
        <f>IFERROR(INDEX([1]Produtos!$C:$C,MATCH(L1849,[1]Produtos!$B:$B,0)), "-")</f>
        <v>-</v>
      </c>
      <c r="N1849" s="510" t="str">
        <f>IFERROR(INDEX([1]Produtos!$E:$E,MATCH(L1849,[1]Produtos!$B:$B,0)), "-")</f>
        <v>-</v>
      </c>
      <c r="O1849" s="270" t="str">
        <f>IFERROR(INDEX([1]Produtos!$F:$F,MATCH(L1849,[1]Produtos!$B:$B,0)), "-")</f>
        <v>-</v>
      </c>
      <c r="P1849" s="264" t="str">
        <f>IFERROR(INDEX([1]Produtos!$G:$G,MATCH(L1849,[1]Produtos!$B:$B,0)), "-")</f>
        <v>-</v>
      </c>
      <c r="Q1849" s="270" t="str">
        <f>IFERROR(INDEX([1]Produtos!$H:$H,MATCH(L1849,[1]Produtos!$B:$B,0)), "-")</f>
        <v>-</v>
      </c>
      <c r="R1849" s="270" t="str">
        <f>IFERROR(INDEX([1]Produtos!$I:$I,MATCH(L1849,[1]Produtos!$B:$B,0)), "-")</f>
        <v>-</v>
      </c>
      <c r="S1849" s="270" t="str">
        <f>IFERROR(INDEX([1]Produtos!$J:$J,MATCH(L1849,[1]Produtos!$B:$B,0)), "-")</f>
        <v>-</v>
      </c>
      <c r="T1849" s="475"/>
      <c r="U1849" s="270"/>
      <c r="V1849" s="270"/>
      <c r="W1849" s="270"/>
      <c r="X1849" s="270"/>
      <c r="Y1849" s="270"/>
      <c r="Z1849" s="270"/>
      <c r="AA1849" s="270"/>
      <c r="AB1849" s="270"/>
      <c r="AC1849" s="270"/>
      <c r="AD1849" s="270"/>
      <c r="AE1849" s="270"/>
      <c r="AF1849" s="270"/>
      <c r="AG1849" s="270"/>
      <c r="AH1849" s="270"/>
      <c r="AI1849" s="270"/>
      <c r="AJ1849" s="270"/>
      <c r="AK1849" s="270"/>
      <c r="AL1849" s="270"/>
      <c r="AM1849" s="663"/>
      <c r="AN1849" s="663"/>
      <c r="AO1849" s="708" t="str">
        <f>IF(OR(Table1[[#This Row],[Início Setup Envase]]="",Table1[[#This Row],[Final Setup Envase]]=""),"",Table1[[#This Row],[Final Setup Envase]]-Table1[[#This Row],[Início Setup Envase]])</f>
        <v/>
      </c>
      <c r="AP1849" s="663"/>
      <c r="AQ1849" s="663"/>
      <c r="AR1849" s="270"/>
      <c r="AS1849" s="674"/>
      <c r="AT1849" s="674"/>
      <c r="AU1849" s="270"/>
      <c r="AV1849" s="270"/>
      <c r="AW1849" s="270"/>
      <c r="AX1849" s="270"/>
      <c r="AY1849" s="270"/>
      <c r="AZ1849" s="270"/>
      <c r="BA1849" s="270" t="str">
        <f>IF(Table1[[#This Row],[Data de Início]]="","",YEAR(Table1[[#This Row],[Data de Início]]))</f>
        <v/>
      </c>
      <c r="BB1849" s="270" t="str">
        <f>IF(Table1[[#This Row],[Data de Início]]="","",MONTH(Table1[[#This Row],[Data de Início]]))</f>
        <v/>
      </c>
      <c r="BC1849" s="483"/>
    </row>
    <row r="1850" spans="2:55" x14ac:dyDescent="0.25">
      <c r="B1850" s="470"/>
      <c r="C1850" s="263"/>
      <c r="D1850" s="477" cm="1">
        <f t="array" ref="D1850">IFERROR(HorasUteisFabrica2Turnos(B1850,C1850), "")</f>
        <v>0</v>
      </c>
      <c r="E1850" s="478" t="str">
        <f t="shared" si="29"/>
        <v/>
      </c>
      <c r="F1850" s="266"/>
      <c r="G1850" s="656"/>
      <c r="H1850" s="479"/>
      <c r="I1850" s="268"/>
      <c r="J1850" s="268"/>
      <c r="K1850" s="268"/>
      <c r="L1850" s="269"/>
      <c r="M1850" s="511" t="str">
        <f>IFERROR(INDEX([1]Produtos!$C:$C,MATCH(L1850,[1]Produtos!$B:$B,0)), "-")</f>
        <v>-</v>
      </c>
      <c r="N1850" s="511" t="str">
        <f>IFERROR(INDEX([1]Produtos!$E:$E,MATCH(L1850,[1]Produtos!$B:$B,0)), "-")</f>
        <v>-</v>
      </c>
      <c r="O1850" s="483" t="str">
        <f>IFERROR(INDEX([1]Produtos!$F:$F,MATCH(L1850,[1]Produtos!$B:$B,0)), "-")</f>
        <v>-</v>
      </c>
      <c r="P1850" s="477" t="str">
        <f>IFERROR(INDEX([1]Produtos!$G:$G,MATCH(L1850,[1]Produtos!$B:$B,0)), "-")</f>
        <v>-</v>
      </c>
      <c r="Q1850" s="483" t="str">
        <f>IFERROR(INDEX([1]Produtos!$H:$H,MATCH(L1850,[1]Produtos!$B:$B,0)), "-")</f>
        <v>-</v>
      </c>
      <c r="R1850" s="483" t="str">
        <f>IFERROR(INDEX([1]Produtos!$I:$I,MATCH(L1850,[1]Produtos!$B:$B,0)), "-")</f>
        <v>-</v>
      </c>
      <c r="S1850" s="483" t="str">
        <f>IFERROR(INDEX([1]Produtos!$J:$J,MATCH(L1850,[1]Produtos!$B:$B,0)), "-")</f>
        <v>-</v>
      </c>
      <c r="T1850" s="484"/>
      <c r="U1850" s="483"/>
      <c r="V1850" s="483"/>
      <c r="W1850" s="483"/>
      <c r="X1850" s="483"/>
      <c r="Y1850" s="483"/>
      <c r="Z1850" s="483"/>
      <c r="AA1850" s="483"/>
      <c r="AB1850" s="483"/>
      <c r="AC1850" s="483"/>
      <c r="AD1850" s="483"/>
      <c r="AE1850" s="483"/>
      <c r="AF1850" s="483"/>
      <c r="AG1850" s="483"/>
      <c r="AH1850" s="483"/>
      <c r="AI1850" s="483"/>
      <c r="AJ1850" s="483"/>
      <c r="AK1850" s="483"/>
      <c r="AL1850" s="483"/>
      <c r="AM1850" s="670"/>
      <c r="AN1850" s="670"/>
      <c r="AO1850" s="711" t="str">
        <f>IF(OR(Table1[[#This Row],[Início Setup Envase]]="",Table1[[#This Row],[Final Setup Envase]]=""),"",Table1[[#This Row],[Final Setup Envase]]-Table1[[#This Row],[Início Setup Envase]])</f>
        <v/>
      </c>
      <c r="AP1850" s="670"/>
      <c r="AQ1850" s="670"/>
      <c r="AR1850" s="483"/>
      <c r="AS1850" s="483"/>
      <c r="AT1850" s="483"/>
      <c r="AU1850" s="483"/>
      <c r="AV1850" s="483"/>
      <c r="AW1850" s="483"/>
      <c r="AX1850" s="483"/>
      <c r="AY1850" s="270"/>
      <c r="AZ1850" s="270"/>
      <c r="BA1850" s="270" t="str">
        <f>IF(Table1[[#This Row],[Data de Início]]="","",YEAR(Table1[[#This Row],[Data de Início]]))</f>
        <v/>
      </c>
      <c r="BB1850" s="270" t="str">
        <f>IF(Table1[[#This Row],[Data de Início]]="","",MONTH(Table1[[#This Row],[Data de Início]]))</f>
        <v/>
      </c>
      <c r="BC1850" s="270"/>
    </row>
    <row r="1851" spans="2:55" x14ac:dyDescent="0.25">
      <c r="B1851" s="470"/>
      <c r="C1851" s="263"/>
      <c r="D1851" s="477" cm="1">
        <f t="array" ref="D1851">IFERROR(HorasUteisFabrica2Turnos(B1851,C1851), "")</f>
        <v>0</v>
      </c>
      <c r="E1851" s="697" t="str">
        <f t="shared" si="29"/>
        <v/>
      </c>
      <c r="F1851" s="266"/>
      <c r="G1851" s="698"/>
      <c r="H1851" s="266"/>
      <c r="I1851" s="268"/>
      <c r="J1851" s="268"/>
      <c r="K1851" s="268"/>
      <c r="L1851" s="269"/>
      <c r="M1851" s="510" t="str">
        <f>IFERROR(INDEX([1]Produtos!$C:$C,MATCH(L1851,[1]Produtos!$B:$B,0)), "-")</f>
        <v>-</v>
      </c>
      <c r="N1851" s="510" t="str">
        <f>IFERROR(INDEX([1]Produtos!$E:$E,MATCH(L1851,[1]Produtos!$B:$B,0)), "-")</f>
        <v>-</v>
      </c>
      <c r="O1851" s="270" t="str">
        <f>IFERROR(INDEX([1]Produtos!$F:$F,MATCH(L1851,[1]Produtos!$B:$B,0)), "-")</f>
        <v>-</v>
      </c>
      <c r="P1851" s="264" t="str">
        <f>IFERROR(INDEX([1]Produtos!$G:$G,MATCH(L1851,[1]Produtos!$B:$B,0)), "-")</f>
        <v>-</v>
      </c>
      <c r="Q1851" s="270" t="str">
        <f>IFERROR(INDEX([1]Produtos!$H:$H,MATCH(L1851,[1]Produtos!$B:$B,0)), "-")</f>
        <v>-</v>
      </c>
      <c r="R1851" s="270" t="str">
        <f>IFERROR(INDEX([1]Produtos!$I:$I,MATCH(L1851,[1]Produtos!$B:$B,0)), "-")</f>
        <v>-</v>
      </c>
      <c r="S1851" s="270" t="str">
        <f>IFERROR(INDEX([1]Produtos!$J:$J,MATCH(L1851,[1]Produtos!$B:$B,0)), "-")</f>
        <v>-</v>
      </c>
      <c r="T1851" s="475"/>
      <c r="U1851" s="270"/>
      <c r="V1851" s="270"/>
      <c r="W1851" s="270"/>
      <c r="X1851" s="270"/>
      <c r="Y1851" s="270"/>
      <c r="Z1851" s="270"/>
      <c r="AA1851" s="270"/>
      <c r="AB1851" s="270"/>
      <c r="AC1851" s="270"/>
      <c r="AD1851" s="270"/>
      <c r="AE1851" s="270"/>
      <c r="AF1851" s="270"/>
      <c r="AG1851" s="270"/>
      <c r="AH1851" s="270"/>
      <c r="AI1851" s="270"/>
      <c r="AJ1851" s="270"/>
      <c r="AK1851" s="270"/>
      <c r="AL1851" s="270"/>
      <c r="AM1851" s="663"/>
      <c r="AN1851" s="663"/>
      <c r="AO1851" s="708" t="str">
        <f>IF(OR(Table1[[#This Row],[Início Setup Envase]]="",Table1[[#This Row],[Final Setup Envase]]=""),"",Table1[[#This Row],[Final Setup Envase]]-Table1[[#This Row],[Início Setup Envase]])</f>
        <v/>
      </c>
      <c r="AP1851" s="663"/>
      <c r="AQ1851" s="663"/>
      <c r="AR1851" s="270"/>
      <c r="AS1851" s="674"/>
      <c r="AT1851" s="674"/>
      <c r="AU1851" s="270"/>
      <c r="AV1851" s="270"/>
      <c r="AW1851" s="270"/>
      <c r="AX1851" s="270"/>
      <c r="AY1851" s="270"/>
      <c r="AZ1851" s="270"/>
      <c r="BA1851" s="270" t="str">
        <f>IF(Table1[[#This Row],[Data de Início]]="","",YEAR(Table1[[#This Row],[Data de Início]]))</f>
        <v/>
      </c>
      <c r="BB1851" s="270" t="str">
        <f>IF(Table1[[#This Row],[Data de Início]]="","",MONTH(Table1[[#This Row],[Data de Início]]))</f>
        <v/>
      </c>
      <c r="BC1851" s="483"/>
    </row>
    <row r="1852" spans="2:55" x14ac:dyDescent="0.25">
      <c r="B1852" s="470"/>
      <c r="C1852" s="263"/>
      <c r="D1852" s="477" cm="1">
        <f t="array" ref="D1852">IFERROR(HorasUteisFabrica2Turnos(B1852,C1852), "")</f>
        <v>0</v>
      </c>
      <c r="E1852" s="478" t="str">
        <f t="shared" si="29"/>
        <v/>
      </c>
      <c r="F1852" s="266"/>
      <c r="G1852" s="656"/>
      <c r="H1852" s="479"/>
      <c r="I1852" s="268"/>
      <c r="J1852" s="268"/>
      <c r="K1852" s="268"/>
      <c r="L1852" s="269"/>
      <c r="M1852" s="511" t="str">
        <f>IFERROR(INDEX([1]Produtos!$C:$C,MATCH(L1852,[1]Produtos!$B:$B,0)), "-")</f>
        <v>-</v>
      </c>
      <c r="N1852" s="511" t="str">
        <f>IFERROR(INDEX([1]Produtos!$E:$E,MATCH(L1852,[1]Produtos!$B:$B,0)), "-")</f>
        <v>-</v>
      </c>
      <c r="O1852" s="483" t="str">
        <f>IFERROR(INDEX([1]Produtos!$F:$F,MATCH(L1852,[1]Produtos!$B:$B,0)), "-")</f>
        <v>-</v>
      </c>
      <c r="P1852" s="477" t="str">
        <f>IFERROR(INDEX([1]Produtos!$G:$G,MATCH(L1852,[1]Produtos!$B:$B,0)), "-")</f>
        <v>-</v>
      </c>
      <c r="Q1852" s="483" t="str">
        <f>IFERROR(INDEX([1]Produtos!$H:$H,MATCH(L1852,[1]Produtos!$B:$B,0)), "-")</f>
        <v>-</v>
      </c>
      <c r="R1852" s="483" t="str">
        <f>IFERROR(INDEX([1]Produtos!$I:$I,MATCH(L1852,[1]Produtos!$B:$B,0)), "-")</f>
        <v>-</v>
      </c>
      <c r="S1852" s="483" t="str">
        <f>IFERROR(INDEX([1]Produtos!$J:$J,MATCH(L1852,[1]Produtos!$B:$B,0)), "-")</f>
        <v>-</v>
      </c>
      <c r="T1852" s="484"/>
      <c r="U1852" s="483"/>
      <c r="V1852" s="483"/>
      <c r="W1852" s="483"/>
      <c r="X1852" s="483"/>
      <c r="Y1852" s="483"/>
      <c r="Z1852" s="483"/>
      <c r="AA1852" s="483"/>
      <c r="AB1852" s="483"/>
      <c r="AC1852" s="483"/>
      <c r="AD1852" s="483"/>
      <c r="AE1852" s="483"/>
      <c r="AF1852" s="483"/>
      <c r="AG1852" s="483"/>
      <c r="AH1852" s="483"/>
      <c r="AI1852" s="483"/>
      <c r="AJ1852" s="483"/>
      <c r="AK1852" s="483"/>
      <c r="AL1852" s="483"/>
      <c r="AM1852" s="670"/>
      <c r="AN1852" s="670"/>
      <c r="AO1852" s="711" t="str">
        <f>IF(OR(Table1[[#This Row],[Início Setup Envase]]="",Table1[[#This Row],[Final Setup Envase]]=""),"",Table1[[#This Row],[Final Setup Envase]]-Table1[[#This Row],[Início Setup Envase]])</f>
        <v/>
      </c>
      <c r="AP1852" s="670"/>
      <c r="AQ1852" s="670"/>
      <c r="AR1852" s="483"/>
      <c r="AS1852" s="483"/>
      <c r="AT1852" s="483"/>
      <c r="AU1852" s="483"/>
      <c r="AV1852" s="483"/>
      <c r="AW1852" s="483"/>
      <c r="AX1852" s="483"/>
      <c r="AY1852" s="270"/>
      <c r="AZ1852" s="270"/>
      <c r="BA1852" s="270" t="str">
        <f>IF(Table1[[#This Row],[Data de Início]]="","",YEAR(Table1[[#This Row],[Data de Início]]))</f>
        <v/>
      </c>
      <c r="BB1852" s="270" t="str">
        <f>IF(Table1[[#This Row],[Data de Início]]="","",MONTH(Table1[[#This Row],[Data de Início]]))</f>
        <v/>
      </c>
      <c r="BC1852" s="270"/>
    </row>
    <row r="1853" spans="2:55" x14ac:dyDescent="0.25">
      <c r="B1853" s="470"/>
      <c r="C1853" s="263"/>
      <c r="D1853" s="477" cm="1">
        <f t="array" ref="D1853">IFERROR(HorasUteisFabrica2Turnos(B1853,C1853), "")</f>
        <v>0</v>
      </c>
      <c r="E1853" s="697" t="str">
        <f t="shared" si="29"/>
        <v/>
      </c>
      <c r="F1853" s="266"/>
      <c r="G1853" s="698"/>
      <c r="H1853" s="266"/>
      <c r="I1853" s="268"/>
      <c r="J1853" s="268"/>
      <c r="K1853" s="268"/>
      <c r="L1853" s="269"/>
      <c r="M1853" s="510" t="str">
        <f>IFERROR(INDEX([1]Produtos!$C:$C,MATCH(L1853,[1]Produtos!$B:$B,0)), "-")</f>
        <v>-</v>
      </c>
      <c r="N1853" s="510" t="str">
        <f>IFERROR(INDEX([1]Produtos!$E:$E,MATCH(L1853,[1]Produtos!$B:$B,0)), "-")</f>
        <v>-</v>
      </c>
      <c r="O1853" s="270" t="str">
        <f>IFERROR(INDEX([1]Produtos!$F:$F,MATCH(L1853,[1]Produtos!$B:$B,0)), "-")</f>
        <v>-</v>
      </c>
      <c r="P1853" s="264" t="str">
        <f>IFERROR(INDEX([1]Produtos!$G:$G,MATCH(L1853,[1]Produtos!$B:$B,0)), "-")</f>
        <v>-</v>
      </c>
      <c r="Q1853" s="270" t="str">
        <f>IFERROR(INDEX([1]Produtos!$H:$H,MATCH(L1853,[1]Produtos!$B:$B,0)), "-")</f>
        <v>-</v>
      </c>
      <c r="R1853" s="270" t="str">
        <f>IFERROR(INDEX([1]Produtos!$I:$I,MATCH(L1853,[1]Produtos!$B:$B,0)), "-")</f>
        <v>-</v>
      </c>
      <c r="S1853" s="270" t="str">
        <f>IFERROR(INDEX([1]Produtos!$J:$J,MATCH(L1853,[1]Produtos!$B:$B,0)), "-")</f>
        <v>-</v>
      </c>
      <c r="T1853" s="475"/>
      <c r="U1853" s="270"/>
      <c r="V1853" s="270"/>
      <c r="W1853" s="270"/>
      <c r="X1853" s="270"/>
      <c r="Y1853" s="270"/>
      <c r="Z1853" s="270"/>
      <c r="AA1853" s="270"/>
      <c r="AB1853" s="270"/>
      <c r="AC1853" s="270"/>
      <c r="AD1853" s="270"/>
      <c r="AE1853" s="270"/>
      <c r="AF1853" s="270"/>
      <c r="AG1853" s="270"/>
      <c r="AH1853" s="270"/>
      <c r="AI1853" s="270"/>
      <c r="AJ1853" s="270"/>
      <c r="AK1853" s="270"/>
      <c r="AL1853" s="270"/>
      <c r="AM1853" s="663"/>
      <c r="AN1853" s="663"/>
      <c r="AO1853" s="708" t="str">
        <f>IF(OR(Table1[[#This Row],[Início Setup Envase]]="",Table1[[#This Row],[Final Setup Envase]]=""),"",Table1[[#This Row],[Final Setup Envase]]-Table1[[#This Row],[Início Setup Envase]])</f>
        <v/>
      </c>
      <c r="AP1853" s="663"/>
      <c r="AQ1853" s="663"/>
      <c r="AR1853" s="270"/>
      <c r="AS1853" s="674"/>
      <c r="AT1853" s="674"/>
      <c r="AU1853" s="270"/>
      <c r="AV1853" s="270"/>
      <c r="AW1853" s="270"/>
      <c r="AX1853" s="270"/>
      <c r="AY1853" s="270"/>
      <c r="AZ1853" s="270"/>
      <c r="BA1853" s="270" t="str">
        <f>IF(Table1[[#This Row],[Data de Início]]="","",YEAR(Table1[[#This Row],[Data de Início]]))</f>
        <v/>
      </c>
      <c r="BB1853" s="270" t="str">
        <f>IF(Table1[[#This Row],[Data de Início]]="","",MONTH(Table1[[#This Row],[Data de Início]]))</f>
        <v/>
      </c>
      <c r="BC1853" s="483"/>
    </row>
    <row r="1854" spans="2:55" x14ac:dyDescent="0.25">
      <c r="B1854" s="470"/>
      <c r="C1854" s="263"/>
      <c r="D1854" s="477" cm="1">
        <f t="array" ref="D1854">IFERROR(HorasUteisFabrica2Turnos(B1854,C1854), "")</f>
        <v>0</v>
      </c>
      <c r="E1854" s="478" t="str">
        <f t="shared" si="29"/>
        <v/>
      </c>
      <c r="F1854" s="266"/>
      <c r="G1854" s="656"/>
      <c r="H1854" s="479"/>
      <c r="I1854" s="268"/>
      <c r="J1854" s="268"/>
      <c r="K1854" s="268"/>
      <c r="L1854" s="269"/>
      <c r="M1854" s="511" t="str">
        <f>IFERROR(INDEX([1]Produtos!$C:$C,MATCH(L1854,[1]Produtos!$B:$B,0)), "-")</f>
        <v>-</v>
      </c>
      <c r="N1854" s="511" t="str">
        <f>IFERROR(INDEX([1]Produtos!$E:$E,MATCH(L1854,[1]Produtos!$B:$B,0)), "-")</f>
        <v>-</v>
      </c>
      <c r="O1854" s="483" t="str">
        <f>IFERROR(INDEX([1]Produtos!$F:$F,MATCH(L1854,[1]Produtos!$B:$B,0)), "-")</f>
        <v>-</v>
      </c>
      <c r="P1854" s="477" t="str">
        <f>IFERROR(INDEX([1]Produtos!$G:$G,MATCH(L1854,[1]Produtos!$B:$B,0)), "-")</f>
        <v>-</v>
      </c>
      <c r="Q1854" s="483" t="str">
        <f>IFERROR(INDEX([1]Produtos!$H:$H,MATCH(L1854,[1]Produtos!$B:$B,0)), "-")</f>
        <v>-</v>
      </c>
      <c r="R1854" s="483" t="str">
        <f>IFERROR(INDEX([1]Produtos!$I:$I,MATCH(L1854,[1]Produtos!$B:$B,0)), "-")</f>
        <v>-</v>
      </c>
      <c r="S1854" s="483" t="str">
        <f>IFERROR(INDEX([1]Produtos!$J:$J,MATCH(L1854,[1]Produtos!$B:$B,0)), "-")</f>
        <v>-</v>
      </c>
      <c r="T1854" s="484"/>
      <c r="U1854" s="483"/>
      <c r="V1854" s="483"/>
      <c r="W1854" s="483"/>
      <c r="X1854" s="483"/>
      <c r="Y1854" s="483"/>
      <c r="Z1854" s="483"/>
      <c r="AA1854" s="483"/>
      <c r="AB1854" s="483"/>
      <c r="AC1854" s="483"/>
      <c r="AD1854" s="483"/>
      <c r="AE1854" s="483"/>
      <c r="AF1854" s="483"/>
      <c r="AG1854" s="483"/>
      <c r="AH1854" s="483"/>
      <c r="AI1854" s="483"/>
      <c r="AJ1854" s="483"/>
      <c r="AK1854" s="483"/>
      <c r="AL1854" s="483"/>
      <c r="AM1854" s="670"/>
      <c r="AN1854" s="670"/>
      <c r="AO1854" s="711" t="str">
        <f>IF(OR(Table1[[#This Row],[Início Setup Envase]]="",Table1[[#This Row],[Final Setup Envase]]=""),"",Table1[[#This Row],[Final Setup Envase]]-Table1[[#This Row],[Início Setup Envase]])</f>
        <v/>
      </c>
      <c r="AP1854" s="670"/>
      <c r="AQ1854" s="670"/>
      <c r="AR1854" s="483"/>
      <c r="AS1854" s="483"/>
      <c r="AT1854" s="483"/>
      <c r="AU1854" s="483"/>
      <c r="AV1854" s="483"/>
      <c r="AW1854" s="483"/>
      <c r="AX1854" s="483"/>
      <c r="AY1854" s="270"/>
      <c r="AZ1854" s="270"/>
      <c r="BA1854" s="270" t="str">
        <f>IF(Table1[[#This Row],[Data de Início]]="","",YEAR(Table1[[#This Row],[Data de Início]]))</f>
        <v/>
      </c>
      <c r="BB1854" s="270" t="str">
        <f>IF(Table1[[#This Row],[Data de Início]]="","",MONTH(Table1[[#This Row],[Data de Início]]))</f>
        <v/>
      </c>
      <c r="BC1854" s="270"/>
    </row>
    <row r="1855" spans="2:55" x14ac:dyDescent="0.25">
      <c r="B1855" s="470"/>
      <c r="C1855" s="263"/>
      <c r="D1855" s="477" cm="1">
        <f t="array" ref="D1855">IFERROR(HorasUteisFabrica2Turnos(B1855,C1855), "")</f>
        <v>0</v>
      </c>
      <c r="E1855" s="697" t="str">
        <f t="shared" si="29"/>
        <v/>
      </c>
      <c r="F1855" s="266"/>
      <c r="G1855" s="698"/>
      <c r="H1855" s="266"/>
      <c r="I1855" s="268"/>
      <c r="J1855" s="268"/>
      <c r="K1855" s="268"/>
      <c r="L1855" s="269"/>
      <c r="M1855" s="510" t="str">
        <f>IFERROR(INDEX([1]Produtos!$C:$C,MATCH(L1855,[1]Produtos!$B:$B,0)), "-")</f>
        <v>-</v>
      </c>
      <c r="N1855" s="510" t="str">
        <f>IFERROR(INDEX([1]Produtos!$E:$E,MATCH(L1855,[1]Produtos!$B:$B,0)), "-")</f>
        <v>-</v>
      </c>
      <c r="O1855" s="270" t="str">
        <f>IFERROR(INDEX([1]Produtos!$F:$F,MATCH(L1855,[1]Produtos!$B:$B,0)), "-")</f>
        <v>-</v>
      </c>
      <c r="P1855" s="264" t="str">
        <f>IFERROR(INDEX([1]Produtos!$G:$G,MATCH(L1855,[1]Produtos!$B:$B,0)), "-")</f>
        <v>-</v>
      </c>
      <c r="Q1855" s="270" t="str">
        <f>IFERROR(INDEX([1]Produtos!$H:$H,MATCH(L1855,[1]Produtos!$B:$B,0)), "-")</f>
        <v>-</v>
      </c>
      <c r="R1855" s="270" t="str">
        <f>IFERROR(INDEX([1]Produtos!$I:$I,MATCH(L1855,[1]Produtos!$B:$B,0)), "-")</f>
        <v>-</v>
      </c>
      <c r="S1855" s="270" t="str">
        <f>IFERROR(INDEX([1]Produtos!$J:$J,MATCH(L1855,[1]Produtos!$B:$B,0)), "-")</f>
        <v>-</v>
      </c>
      <c r="T1855" s="475"/>
      <c r="U1855" s="270"/>
      <c r="V1855" s="270"/>
      <c r="W1855" s="270"/>
      <c r="X1855" s="270"/>
      <c r="Y1855" s="270"/>
      <c r="Z1855" s="270"/>
      <c r="AA1855" s="270"/>
      <c r="AB1855" s="270"/>
      <c r="AC1855" s="270"/>
      <c r="AD1855" s="270"/>
      <c r="AE1855" s="270"/>
      <c r="AF1855" s="270"/>
      <c r="AG1855" s="270"/>
      <c r="AH1855" s="270"/>
      <c r="AI1855" s="270"/>
      <c r="AJ1855" s="270"/>
      <c r="AK1855" s="270"/>
      <c r="AL1855" s="270"/>
      <c r="AM1855" s="663"/>
      <c r="AN1855" s="663"/>
      <c r="AO1855" s="708" t="str">
        <f>IF(OR(Table1[[#This Row],[Início Setup Envase]]="",Table1[[#This Row],[Final Setup Envase]]=""),"",Table1[[#This Row],[Final Setup Envase]]-Table1[[#This Row],[Início Setup Envase]])</f>
        <v/>
      </c>
      <c r="AP1855" s="663"/>
      <c r="AQ1855" s="663"/>
      <c r="AR1855" s="270"/>
      <c r="AS1855" s="674"/>
      <c r="AT1855" s="674"/>
      <c r="AU1855" s="270"/>
      <c r="AV1855" s="270"/>
      <c r="AW1855" s="270"/>
      <c r="AX1855" s="270"/>
      <c r="AY1855" s="270"/>
      <c r="AZ1855" s="270"/>
      <c r="BA1855" s="270" t="str">
        <f>IF(Table1[[#This Row],[Data de Início]]="","",YEAR(Table1[[#This Row],[Data de Início]]))</f>
        <v/>
      </c>
      <c r="BB1855" s="270" t="str">
        <f>IF(Table1[[#This Row],[Data de Início]]="","",MONTH(Table1[[#This Row],[Data de Início]]))</f>
        <v/>
      </c>
      <c r="BC1855" s="483"/>
    </row>
    <row r="1856" spans="2:55" x14ac:dyDescent="0.25">
      <c r="B1856" s="470"/>
      <c r="C1856" s="263"/>
      <c r="D1856" s="477" cm="1">
        <f t="array" ref="D1856">IFERROR(HorasUteisFabrica2Turnos(B1856,C1856), "")</f>
        <v>0</v>
      </c>
      <c r="E1856" s="478" t="str">
        <f t="shared" si="29"/>
        <v/>
      </c>
      <c r="F1856" s="266"/>
      <c r="G1856" s="656"/>
      <c r="H1856" s="479"/>
      <c r="I1856" s="268"/>
      <c r="J1856" s="268"/>
      <c r="K1856" s="268"/>
      <c r="L1856" s="269"/>
      <c r="M1856" s="511" t="str">
        <f>IFERROR(INDEX([1]Produtos!$C:$C,MATCH(L1856,[1]Produtos!$B:$B,0)), "-")</f>
        <v>-</v>
      </c>
      <c r="N1856" s="511" t="str">
        <f>IFERROR(INDEX([1]Produtos!$E:$E,MATCH(L1856,[1]Produtos!$B:$B,0)), "-")</f>
        <v>-</v>
      </c>
      <c r="O1856" s="483" t="str">
        <f>IFERROR(INDEX([1]Produtos!$F:$F,MATCH(L1856,[1]Produtos!$B:$B,0)), "-")</f>
        <v>-</v>
      </c>
      <c r="P1856" s="477" t="str">
        <f>IFERROR(INDEX([1]Produtos!$G:$G,MATCH(L1856,[1]Produtos!$B:$B,0)), "-")</f>
        <v>-</v>
      </c>
      <c r="Q1856" s="483" t="str">
        <f>IFERROR(INDEX([1]Produtos!$H:$H,MATCH(L1856,[1]Produtos!$B:$B,0)), "-")</f>
        <v>-</v>
      </c>
      <c r="R1856" s="483" t="str">
        <f>IFERROR(INDEX([1]Produtos!$I:$I,MATCH(L1856,[1]Produtos!$B:$B,0)), "-")</f>
        <v>-</v>
      </c>
      <c r="S1856" s="483" t="str">
        <f>IFERROR(INDEX([1]Produtos!$J:$J,MATCH(L1856,[1]Produtos!$B:$B,0)), "-")</f>
        <v>-</v>
      </c>
      <c r="T1856" s="484"/>
      <c r="U1856" s="483"/>
      <c r="V1856" s="483"/>
      <c r="W1856" s="483"/>
      <c r="X1856" s="483"/>
      <c r="Y1856" s="483"/>
      <c r="Z1856" s="483"/>
      <c r="AA1856" s="483"/>
      <c r="AB1856" s="483"/>
      <c r="AC1856" s="483"/>
      <c r="AD1856" s="483"/>
      <c r="AE1856" s="483"/>
      <c r="AF1856" s="483"/>
      <c r="AG1856" s="483"/>
      <c r="AH1856" s="483"/>
      <c r="AI1856" s="483"/>
      <c r="AJ1856" s="483"/>
      <c r="AK1856" s="483"/>
      <c r="AL1856" s="483"/>
      <c r="AM1856" s="670"/>
      <c r="AN1856" s="670"/>
      <c r="AO1856" s="711" t="str">
        <f>IF(OR(Table1[[#This Row],[Início Setup Envase]]="",Table1[[#This Row],[Final Setup Envase]]=""),"",Table1[[#This Row],[Final Setup Envase]]-Table1[[#This Row],[Início Setup Envase]])</f>
        <v/>
      </c>
      <c r="AP1856" s="670"/>
      <c r="AQ1856" s="670"/>
      <c r="AR1856" s="483"/>
      <c r="AS1856" s="483"/>
      <c r="AT1856" s="483"/>
      <c r="AU1856" s="483"/>
      <c r="AV1856" s="483"/>
      <c r="AW1856" s="483"/>
      <c r="AX1856" s="483"/>
      <c r="AY1856" s="270"/>
      <c r="AZ1856" s="270"/>
      <c r="BA1856" s="270" t="str">
        <f>IF(Table1[[#This Row],[Data de Início]]="","",YEAR(Table1[[#This Row],[Data de Início]]))</f>
        <v/>
      </c>
      <c r="BB1856" s="270" t="str">
        <f>IF(Table1[[#This Row],[Data de Início]]="","",MONTH(Table1[[#This Row],[Data de Início]]))</f>
        <v/>
      </c>
      <c r="BC1856" s="270"/>
    </row>
    <row r="1857" spans="2:55" x14ac:dyDescent="0.25">
      <c r="B1857" s="470"/>
      <c r="C1857" s="263"/>
      <c r="D1857" s="477" cm="1">
        <f t="array" ref="D1857">IFERROR(HorasUteisFabrica2Turnos(B1857,C1857), "")</f>
        <v>0</v>
      </c>
      <c r="E1857" s="697" t="str">
        <f t="shared" si="29"/>
        <v/>
      </c>
      <c r="F1857" s="266"/>
      <c r="G1857" s="698"/>
      <c r="H1857" s="266"/>
      <c r="I1857" s="268"/>
      <c r="J1857" s="268"/>
      <c r="K1857" s="268"/>
      <c r="L1857" s="269"/>
      <c r="M1857" s="510" t="str">
        <f>IFERROR(INDEX([1]Produtos!$C:$C,MATCH(L1857,[1]Produtos!$B:$B,0)), "-")</f>
        <v>-</v>
      </c>
      <c r="N1857" s="510" t="str">
        <f>IFERROR(INDEX([1]Produtos!$E:$E,MATCH(L1857,[1]Produtos!$B:$B,0)), "-")</f>
        <v>-</v>
      </c>
      <c r="O1857" s="270" t="str">
        <f>IFERROR(INDEX([1]Produtos!$F:$F,MATCH(L1857,[1]Produtos!$B:$B,0)), "-")</f>
        <v>-</v>
      </c>
      <c r="P1857" s="264" t="str">
        <f>IFERROR(INDEX([1]Produtos!$G:$G,MATCH(L1857,[1]Produtos!$B:$B,0)), "-")</f>
        <v>-</v>
      </c>
      <c r="Q1857" s="270" t="str">
        <f>IFERROR(INDEX([1]Produtos!$H:$H,MATCH(L1857,[1]Produtos!$B:$B,0)), "-")</f>
        <v>-</v>
      </c>
      <c r="R1857" s="270" t="str">
        <f>IFERROR(INDEX([1]Produtos!$I:$I,MATCH(L1857,[1]Produtos!$B:$B,0)), "-")</f>
        <v>-</v>
      </c>
      <c r="S1857" s="270" t="str">
        <f>IFERROR(INDEX([1]Produtos!$J:$J,MATCH(L1857,[1]Produtos!$B:$B,0)), "-")</f>
        <v>-</v>
      </c>
      <c r="T1857" s="475"/>
      <c r="U1857" s="270"/>
      <c r="V1857" s="270"/>
      <c r="W1857" s="270"/>
      <c r="X1857" s="270"/>
      <c r="Y1857" s="270"/>
      <c r="Z1857" s="270"/>
      <c r="AA1857" s="270"/>
      <c r="AB1857" s="270"/>
      <c r="AC1857" s="270"/>
      <c r="AD1857" s="270"/>
      <c r="AE1857" s="270"/>
      <c r="AF1857" s="270"/>
      <c r="AG1857" s="270"/>
      <c r="AH1857" s="270"/>
      <c r="AI1857" s="270"/>
      <c r="AJ1857" s="270"/>
      <c r="AK1857" s="270"/>
      <c r="AL1857" s="270"/>
      <c r="AM1857" s="663"/>
      <c r="AN1857" s="663"/>
      <c r="AO1857" s="708" t="str">
        <f>IF(OR(Table1[[#This Row],[Início Setup Envase]]="",Table1[[#This Row],[Final Setup Envase]]=""),"",Table1[[#This Row],[Final Setup Envase]]-Table1[[#This Row],[Início Setup Envase]])</f>
        <v/>
      </c>
      <c r="AP1857" s="663"/>
      <c r="AQ1857" s="663"/>
      <c r="AR1857" s="270"/>
      <c r="AS1857" s="674"/>
      <c r="AT1857" s="674"/>
      <c r="AU1857" s="270"/>
      <c r="AV1857" s="270"/>
      <c r="AW1857" s="270"/>
      <c r="AX1857" s="270"/>
      <c r="AY1857" s="270"/>
      <c r="AZ1857" s="270"/>
      <c r="BA1857" s="270" t="str">
        <f>IF(Table1[[#This Row],[Data de Início]]="","",YEAR(Table1[[#This Row],[Data de Início]]))</f>
        <v/>
      </c>
      <c r="BB1857" s="270" t="str">
        <f>IF(Table1[[#This Row],[Data de Início]]="","",MONTH(Table1[[#This Row],[Data de Início]]))</f>
        <v/>
      </c>
      <c r="BC1857" s="483"/>
    </row>
    <row r="1858" spans="2:55" x14ac:dyDescent="0.25">
      <c r="B1858" s="470"/>
      <c r="C1858" s="263"/>
      <c r="D1858" s="477" cm="1">
        <f t="array" ref="D1858">IFERROR(HorasUteisFabrica2Turnos(B1858,C1858), "")</f>
        <v>0</v>
      </c>
      <c r="E1858" s="478" t="str">
        <f t="shared" si="29"/>
        <v/>
      </c>
      <c r="F1858" s="266"/>
      <c r="G1858" s="656"/>
      <c r="H1858" s="479"/>
      <c r="I1858" s="268"/>
      <c r="J1858" s="268"/>
      <c r="K1858" s="268"/>
      <c r="L1858" s="269"/>
      <c r="M1858" s="511" t="str">
        <f>IFERROR(INDEX([1]Produtos!$C:$C,MATCH(L1858,[1]Produtos!$B:$B,0)), "-")</f>
        <v>-</v>
      </c>
      <c r="N1858" s="511" t="str">
        <f>IFERROR(INDEX([1]Produtos!$E:$E,MATCH(L1858,[1]Produtos!$B:$B,0)), "-")</f>
        <v>-</v>
      </c>
      <c r="O1858" s="483" t="str">
        <f>IFERROR(INDEX([1]Produtos!$F:$F,MATCH(L1858,[1]Produtos!$B:$B,0)), "-")</f>
        <v>-</v>
      </c>
      <c r="P1858" s="477" t="str">
        <f>IFERROR(INDEX([1]Produtos!$G:$G,MATCH(L1858,[1]Produtos!$B:$B,0)), "-")</f>
        <v>-</v>
      </c>
      <c r="Q1858" s="483" t="str">
        <f>IFERROR(INDEX([1]Produtos!$H:$H,MATCH(L1858,[1]Produtos!$B:$B,0)), "-")</f>
        <v>-</v>
      </c>
      <c r="R1858" s="483" t="str">
        <f>IFERROR(INDEX([1]Produtos!$I:$I,MATCH(L1858,[1]Produtos!$B:$B,0)), "-")</f>
        <v>-</v>
      </c>
      <c r="S1858" s="483" t="str">
        <f>IFERROR(INDEX([1]Produtos!$J:$J,MATCH(L1858,[1]Produtos!$B:$B,0)), "-")</f>
        <v>-</v>
      </c>
      <c r="T1858" s="484"/>
      <c r="U1858" s="483"/>
      <c r="V1858" s="483"/>
      <c r="W1858" s="483"/>
      <c r="X1858" s="483"/>
      <c r="Y1858" s="483"/>
      <c r="Z1858" s="483"/>
      <c r="AA1858" s="483"/>
      <c r="AB1858" s="483"/>
      <c r="AC1858" s="483"/>
      <c r="AD1858" s="483"/>
      <c r="AE1858" s="483"/>
      <c r="AF1858" s="483"/>
      <c r="AG1858" s="483"/>
      <c r="AH1858" s="483"/>
      <c r="AI1858" s="483"/>
      <c r="AJ1858" s="483"/>
      <c r="AK1858" s="483"/>
      <c r="AL1858" s="483"/>
      <c r="AM1858" s="670"/>
      <c r="AN1858" s="670"/>
      <c r="AO1858" s="711" t="str">
        <f>IF(OR(Table1[[#This Row],[Início Setup Envase]]="",Table1[[#This Row],[Final Setup Envase]]=""),"",Table1[[#This Row],[Final Setup Envase]]-Table1[[#This Row],[Início Setup Envase]])</f>
        <v/>
      </c>
      <c r="AP1858" s="670"/>
      <c r="AQ1858" s="670"/>
      <c r="AR1858" s="483"/>
      <c r="AS1858" s="483"/>
      <c r="AT1858" s="483"/>
      <c r="AU1858" s="483"/>
      <c r="AV1858" s="483"/>
      <c r="AW1858" s="483"/>
      <c r="AX1858" s="483"/>
      <c r="AY1858" s="270"/>
      <c r="AZ1858" s="270"/>
      <c r="BA1858" s="270" t="str">
        <f>IF(Table1[[#This Row],[Data de Início]]="","",YEAR(Table1[[#This Row],[Data de Início]]))</f>
        <v/>
      </c>
      <c r="BB1858" s="270" t="str">
        <f>IF(Table1[[#This Row],[Data de Início]]="","",MONTH(Table1[[#This Row],[Data de Início]]))</f>
        <v/>
      </c>
      <c r="BC1858" s="270"/>
    </row>
    <row r="1859" spans="2:55" x14ac:dyDescent="0.25">
      <c r="B1859" s="470"/>
      <c r="C1859" s="263"/>
      <c r="D1859" s="477" cm="1">
        <f t="array" ref="D1859">IFERROR(HorasUteisFabrica2Turnos(B1859,C1859), "")</f>
        <v>0</v>
      </c>
      <c r="E1859" s="697" t="str">
        <f t="shared" si="29"/>
        <v/>
      </c>
      <c r="F1859" s="266"/>
      <c r="G1859" s="698"/>
      <c r="H1859" s="266"/>
      <c r="I1859" s="268"/>
      <c r="J1859" s="268"/>
      <c r="K1859" s="268"/>
      <c r="L1859" s="269"/>
      <c r="M1859" s="510" t="str">
        <f>IFERROR(INDEX([1]Produtos!$C:$C,MATCH(L1859,[1]Produtos!$B:$B,0)), "-")</f>
        <v>-</v>
      </c>
      <c r="N1859" s="510" t="str">
        <f>IFERROR(INDEX([1]Produtos!$E:$E,MATCH(L1859,[1]Produtos!$B:$B,0)), "-")</f>
        <v>-</v>
      </c>
      <c r="O1859" s="270" t="str">
        <f>IFERROR(INDEX([1]Produtos!$F:$F,MATCH(L1859,[1]Produtos!$B:$B,0)), "-")</f>
        <v>-</v>
      </c>
      <c r="P1859" s="264" t="str">
        <f>IFERROR(INDEX([1]Produtos!$G:$G,MATCH(L1859,[1]Produtos!$B:$B,0)), "-")</f>
        <v>-</v>
      </c>
      <c r="Q1859" s="270" t="str">
        <f>IFERROR(INDEX([1]Produtos!$H:$H,MATCH(L1859,[1]Produtos!$B:$B,0)), "-")</f>
        <v>-</v>
      </c>
      <c r="R1859" s="270" t="str">
        <f>IFERROR(INDEX([1]Produtos!$I:$I,MATCH(L1859,[1]Produtos!$B:$B,0)), "-")</f>
        <v>-</v>
      </c>
      <c r="S1859" s="270" t="str">
        <f>IFERROR(INDEX([1]Produtos!$J:$J,MATCH(L1859,[1]Produtos!$B:$B,0)), "-")</f>
        <v>-</v>
      </c>
      <c r="T1859" s="475"/>
      <c r="U1859" s="270"/>
      <c r="V1859" s="270"/>
      <c r="W1859" s="270"/>
      <c r="X1859" s="270"/>
      <c r="Y1859" s="270"/>
      <c r="Z1859" s="270"/>
      <c r="AA1859" s="270"/>
      <c r="AB1859" s="270"/>
      <c r="AC1859" s="270"/>
      <c r="AD1859" s="270"/>
      <c r="AE1859" s="270"/>
      <c r="AF1859" s="270"/>
      <c r="AG1859" s="270"/>
      <c r="AH1859" s="270"/>
      <c r="AI1859" s="270"/>
      <c r="AJ1859" s="270"/>
      <c r="AK1859" s="270"/>
      <c r="AL1859" s="270"/>
      <c r="AM1859" s="663"/>
      <c r="AN1859" s="663"/>
      <c r="AO1859" s="708" t="str">
        <f>IF(OR(Table1[[#This Row],[Início Setup Envase]]="",Table1[[#This Row],[Final Setup Envase]]=""),"",Table1[[#This Row],[Final Setup Envase]]-Table1[[#This Row],[Início Setup Envase]])</f>
        <v/>
      </c>
      <c r="AP1859" s="663"/>
      <c r="AQ1859" s="663"/>
      <c r="AR1859" s="270"/>
      <c r="AS1859" s="674"/>
      <c r="AT1859" s="674"/>
      <c r="AU1859" s="270"/>
      <c r="AV1859" s="270"/>
      <c r="AW1859" s="270"/>
      <c r="AX1859" s="270"/>
      <c r="AY1859" s="270"/>
      <c r="AZ1859" s="270"/>
      <c r="BA1859" s="270" t="str">
        <f>IF(Table1[[#This Row],[Data de Início]]="","",YEAR(Table1[[#This Row],[Data de Início]]))</f>
        <v/>
      </c>
      <c r="BB1859" s="270" t="str">
        <f>IF(Table1[[#This Row],[Data de Início]]="","",MONTH(Table1[[#This Row],[Data de Início]]))</f>
        <v/>
      </c>
      <c r="BC1859" s="483"/>
    </row>
    <row r="1860" spans="2:55" x14ac:dyDescent="0.25">
      <c r="B1860" s="470"/>
      <c r="C1860" s="263"/>
      <c r="D1860" s="477" cm="1">
        <f t="array" ref="D1860">IFERROR(HorasUteisFabrica2Turnos(B1860,C1860), "")</f>
        <v>0</v>
      </c>
      <c r="E1860" s="478" t="str">
        <f t="shared" si="29"/>
        <v/>
      </c>
      <c r="F1860" s="266"/>
      <c r="G1860" s="656"/>
      <c r="H1860" s="479"/>
      <c r="I1860" s="268"/>
      <c r="J1860" s="268"/>
      <c r="K1860" s="268"/>
      <c r="L1860" s="269"/>
      <c r="M1860" s="511" t="str">
        <f>IFERROR(INDEX([1]Produtos!$C:$C,MATCH(L1860,[1]Produtos!$B:$B,0)), "-")</f>
        <v>-</v>
      </c>
      <c r="N1860" s="511" t="str">
        <f>IFERROR(INDEX([1]Produtos!$E:$E,MATCH(L1860,[1]Produtos!$B:$B,0)), "-")</f>
        <v>-</v>
      </c>
      <c r="O1860" s="483" t="str">
        <f>IFERROR(INDEX([1]Produtos!$F:$F,MATCH(L1860,[1]Produtos!$B:$B,0)), "-")</f>
        <v>-</v>
      </c>
      <c r="P1860" s="477" t="str">
        <f>IFERROR(INDEX([1]Produtos!$G:$G,MATCH(L1860,[1]Produtos!$B:$B,0)), "-")</f>
        <v>-</v>
      </c>
      <c r="Q1860" s="483" t="str">
        <f>IFERROR(INDEX([1]Produtos!$H:$H,MATCH(L1860,[1]Produtos!$B:$B,0)), "-")</f>
        <v>-</v>
      </c>
      <c r="R1860" s="483" t="str">
        <f>IFERROR(INDEX([1]Produtos!$I:$I,MATCH(L1860,[1]Produtos!$B:$B,0)), "-")</f>
        <v>-</v>
      </c>
      <c r="S1860" s="483" t="str">
        <f>IFERROR(INDEX([1]Produtos!$J:$J,MATCH(L1860,[1]Produtos!$B:$B,0)), "-")</f>
        <v>-</v>
      </c>
      <c r="T1860" s="484"/>
      <c r="U1860" s="483"/>
      <c r="V1860" s="483"/>
      <c r="W1860" s="483"/>
      <c r="X1860" s="483"/>
      <c r="Y1860" s="483"/>
      <c r="Z1860" s="483"/>
      <c r="AA1860" s="483"/>
      <c r="AB1860" s="483"/>
      <c r="AC1860" s="483"/>
      <c r="AD1860" s="483"/>
      <c r="AE1860" s="483"/>
      <c r="AF1860" s="483"/>
      <c r="AG1860" s="483"/>
      <c r="AH1860" s="483"/>
      <c r="AI1860" s="483"/>
      <c r="AJ1860" s="483"/>
      <c r="AK1860" s="483"/>
      <c r="AL1860" s="483"/>
      <c r="AM1860" s="670"/>
      <c r="AN1860" s="670"/>
      <c r="AO1860" s="711" t="str">
        <f>IF(OR(Table1[[#This Row],[Início Setup Envase]]="",Table1[[#This Row],[Final Setup Envase]]=""),"",Table1[[#This Row],[Final Setup Envase]]-Table1[[#This Row],[Início Setup Envase]])</f>
        <v/>
      </c>
      <c r="AP1860" s="670"/>
      <c r="AQ1860" s="670"/>
      <c r="AR1860" s="483"/>
      <c r="AS1860" s="483"/>
      <c r="AT1860" s="483"/>
      <c r="AU1860" s="483"/>
      <c r="AV1860" s="483"/>
      <c r="AW1860" s="483"/>
      <c r="AX1860" s="483"/>
      <c r="AY1860" s="270"/>
      <c r="AZ1860" s="270"/>
      <c r="BA1860" s="270" t="str">
        <f>IF(Table1[[#This Row],[Data de Início]]="","",YEAR(Table1[[#This Row],[Data de Início]]))</f>
        <v/>
      </c>
      <c r="BB1860" s="270" t="str">
        <f>IF(Table1[[#This Row],[Data de Início]]="","",MONTH(Table1[[#This Row],[Data de Início]]))</f>
        <v/>
      </c>
      <c r="BC1860" s="270"/>
    </row>
    <row r="1861" spans="2:55" x14ac:dyDescent="0.25">
      <c r="B1861" s="470"/>
      <c r="C1861" s="263"/>
      <c r="D1861" s="477" cm="1">
        <f t="array" ref="D1861">IFERROR(HorasUteisFabrica2Turnos(B1861,C1861), "")</f>
        <v>0</v>
      </c>
      <c r="E1861" s="697" t="str">
        <f t="shared" si="29"/>
        <v/>
      </c>
      <c r="F1861" s="266"/>
      <c r="G1861" s="698"/>
      <c r="H1861" s="266"/>
      <c r="I1861" s="268"/>
      <c r="J1861" s="268"/>
      <c r="K1861" s="268"/>
      <c r="L1861" s="269"/>
      <c r="M1861" s="510" t="str">
        <f>IFERROR(INDEX([1]Produtos!$C:$C,MATCH(L1861,[1]Produtos!$B:$B,0)), "-")</f>
        <v>-</v>
      </c>
      <c r="N1861" s="510" t="str">
        <f>IFERROR(INDEX([1]Produtos!$E:$E,MATCH(L1861,[1]Produtos!$B:$B,0)), "-")</f>
        <v>-</v>
      </c>
      <c r="O1861" s="270" t="str">
        <f>IFERROR(INDEX([1]Produtos!$F:$F,MATCH(L1861,[1]Produtos!$B:$B,0)), "-")</f>
        <v>-</v>
      </c>
      <c r="P1861" s="264" t="str">
        <f>IFERROR(INDEX([1]Produtos!$G:$G,MATCH(L1861,[1]Produtos!$B:$B,0)), "-")</f>
        <v>-</v>
      </c>
      <c r="Q1861" s="270" t="str">
        <f>IFERROR(INDEX([1]Produtos!$H:$H,MATCH(L1861,[1]Produtos!$B:$B,0)), "-")</f>
        <v>-</v>
      </c>
      <c r="R1861" s="270" t="str">
        <f>IFERROR(INDEX([1]Produtos!$I:$I,MATCH(L1861,[1]Produtos!$B:$B,0)), "-")</f>
        <v>-</v>
      </c>
      <c r="S1861" s="270" t="str">
        <f>IFERROR(INDEX([1]Produtos!$J:$J,MATCH(L1861,[1]Produtos!$B:$B,0)), "-")</f>
        <v>-</v>
      </c>
      <c r="T1861" s="475"/>
      <c r="U1861" s="270"/>
      <c r="V1861" s="270"/>
      <c r="W1861" s="270"/>
      <c r="X1861" s="270"/>
      <c r="Y1861" s="270"/>
      <c r="Z1861" s="270"/>
      <c r="AA1861" s="270"/>
      <c r="AB1861" s="270"/>
      <c r="AC1861" s="270"/>
      <c r="AD1861" s="270"/>
      <c r="AE1861" s="270"/>
      <c r="AF1861" s="270"/>
      <c r="AG1861" s="270"/>
      <c r="AH1861" s="270"/>
      <c r="AI1861" s="270"/>
      <c r="AJ1861" s="270"/>
      <c r="AK1861" s="270"/>
      <c r="AL1861" s="270"/>
      <c r="AM1861" s="663"/>
      <c r="AN1861" s="663"/>
      <c r="AO1861" s="708" t="str">
        <f>IF(OR(Table1[[#This Row],[Início Setup Envase]]="",Table1[[#This Row],[Final Setup Envase]]=""),"",Table1[[#This Row],[Final Setup Envase]]-Table1[[#This Row],[Início Setup Envase]])</f>
        <v/>
      </c>
      <c r="AP1861" s="663"/>
      <c r="AQ1861" s="663"/>
      <c r="AR1861" s="270"/>
      <c r="AS1861" s="674"/>
      <c r="AT1861" s="674"/>
      <c r="AU1861" s="270"/>
      <c r="AV1861" s="270"/>
      <c r="AW1861" s="270"/>
      <c r="AX1861" s="270"/>
      <c r="AY1861" s="270"/>
      <c r="AZ1861" s="270"/>
      <c r="BA1861" s="270" t="str">
        <f>IF(Table1[[#This Row],[Data de Início]]="","",YEAR(Table1[[#This Row],[Data de Início]]))</f>
        <v/>
      </c>
      <c r="BB1861" s="270" t="str">
        <f>IF(Table1[[#This Row],[Data de Início]]="","",MONTH(Table1[[#This Row],[Data de Início]]))</f>
        <v/>
      </c>
      <c r="BC1861" s="483"/>
    </row>
    <row r="1862" spans="2:55" x14ac:dyDescent="0.25">
      <c r="B1862" s="470"/>
      <c r="C1862" s="263"/>
      <c r="D1862" s="477" cm="1">
        <f t="array" ref="D1862">IFERROR(HorasUteisFabrica2Turnos(B1862,C1862), "")</f>
        <v>0</v>
      </c>
      <c r="E1862" s="478" t="str">
        <f t="shared" si="29"/>
        <v/>
      </c>
      <c r="F1862" s="266"/>
      <c r="G1862" s="656"/>
      <c r="H1862" s="479"/>
      <c r="I1862" s="268"/>
      <c r="J1862" s="268"/>
      <c r="K1862" s="268"/>
      <c r="L1862" s="269"/>
      <c r="M1862" s="511" t="str">
        <f>IFERROR(INDEX([1]Produtos!$C:$C,MATCH(L1862,[1]Produtos!$B:$B,0)), "-")</f>
        <v>-</v>
      </c>
      <c r="N1862" s="511" t="str">
        <f>IFERROR(INDEX([1]Produtos!$E:$E,MATCH(L1862,[1]Produtos!$B:$B,0)), "-")</f>
        <v>-</v>
      </c>
      <c r="O1862" s="483" t="str">
        <f>IFERROR(INDEX([1]Produtos!$F:$F,MATCH(L1862,[1]Produtos!$B:$B,0)), "-")</f>
        <v>-</v>
      </c>
      <c r="P1862" s="477" t="str">
        <f>IFERROR(INDEX([1]Produtos!$G:$G,MATCH(L1862,[1]Produtos!$B:$B,0)), "-")</f>
        <v>-</v>
      </c>
      <c r="Q1862" s="483" t="str">
        <f>IFERROR(INDEX([1]Produtos!$H:$H,MATCH(L1862,[1]Produtos!$B:$B,0)), "-")</f>
        <v>-</v>
      </c>
      <c r="R1862" s="483" t="str">
        <f>IFERROR(INDEX([1]Produtos!$I:$I,MATCH(L1862,[1]Produtos!$B:$B,0)), "-")</f>
        <v>-</v>
      </c>
      <c r="S1862" s="483" t="str">
        <f>IFERROR(INDEX([1]Produtos!$J:$J,MATCH(L1862,[1]Produtos!$B:$B,0)), "-")</f>
        <v>-</v>
      </c>
      <c r="T1862" s="484"/>
      <c r="U1862" s="483"/>
      <c r="V1862" s="483"/>
      <c r="W1862" s="483"/>
      <c r="X1862" s="483"/>
      <c r="Y1862" s="483"/>
      <c r="Z1862" s="483"/>
      <c r="AA1862" s="483"/>
      <c r="AB1862" s="483"/>
      <c r="AC1862" s="483"/>
      <c r="AD1862" s="483"/>
      <c r="AE1862" s="483"/>
      <c r="AF1862" s="483"/>
      <c r="AG1862" s="483"/>
      <c r="AH1862" s="483"/>
      <c r="AI1862" s="483"/>
      <c r="AJ1862" s="483"/>
      <c r="AK1862" s="483"/>
      <c r="AL1862" s="483"/>
      <c r="AM1862" s="670"/>
      <c r="AN1862" s="670"/>
      <c r="AO1862" s="711" t="str">
        <f>IF(OR(Table1[[#This Row],[Início Setup Envase]]="",Table1[[#This Row],[Final Setup Envase]]=""),"",Table1[[#This Row],[Final Setup Envase]]-Table1[[#This Row],[Início Setup Envase]])</f>
        <v/>
      </c>
      <c r="AP1862" s="670"/>
      <c r="AQ1862" s="670"/>
      <c r="AR1862" s="483"/>
      <c r="AS1862" s="483"/>
      <c r="AT1862" s="483"/>
      <c r="AU1862" s="483"/>
      <c r="AV1862" s="483"/>
      <c r="AW1862" s="483"/>
      <c r="AX1862" s="483"/>
      <c r="AY1862" s="270"/>
      <c r="AZ1862" s="270"/>
      <c r="BA1862" s="270" t="str">
        <f>IF(Table1[[#This Row],[Data de Início]]="","",YEAR(Table1[[#This Row],[Data de Início]]))</f>
        <v/>
      </c>
      <c r="BB1862" s="270" t="str">
        <f>IF(Table1[[#This Row],[Data de Início]]="","",MONTH(Table1[[#This Row],[Data de Início]]))</f>
        <v/>
      </c>
      <c r="BC1862" s="270"/>
    </row>
    <row r="1863" spans="2:55" x14ac:dyDescent="0.25">
      <c r="B1863" s="470"/>
      <c r="C1863" s="263"/>
      <c r="D1863" s="477" cm="1">
        <f t="array" ref="D1863">IFERROR(HorasUteisFabrica2Turnos(B1863,C1863), "")</f>
        <v>0</v>
      </c>
      <c r="E1863" s="697" t="str">
        <f t="shared" si="29"/>
        <v/>
      </c>
      <c r="F1863" s="266"/>
      <c r="G1863" s="698"/>
      <c r="H1863" s="266"/>
      <c r="I1863" s="268"/>
      <c r="J1863" s="268"/>
      <c r="K1863" s="268"/>
      <c r="L1863" s="269"/>
      <c r="M1863" s="510" t="str">
        <f>IFERROR(INDEX([1]Produtos!$C:$C,MATCH(L1863,[1]Produtos!$B:$B,0)), "-")</f>
        <v>-</v>
      </c>
      <c r="N1863" s="510" t="str">
        <f>IFERROR(INDEX([1]Produtos!$E:$E,MATCH(L1863,[1]Produtos!$B:$B,0)), "-")</f>
        <v>-</v>
      </c>
      <c r="O1863" s="270" t="str">
        <f>IFERROR(INDEX([1]Produtos!$F:$F,MATCH(L1863,[1]Produtos!$B:$B,0)), "-")</f>
        <v>-</v>
      </c>
      <c r="P1863" s="264" t="str">
        <f>IFERROR(INDEX([1]Produtos!$G:$G,MATCH(L1863,[1]Produtos!$B:$B,0)), "-")</f>
        <v>-</v>
      </c>
      <c r="Q1863" s="270" t="str">
        <f>IFERROR(INDEX([1]Produtos!$H:$H,MATCH(L1863,[1]Produtos!$B:$B,0)), "-")</f>
        <v>-</v>
      </c>
      <c r="R1863" s="270" t="str">
        <f>IFERROR(INDEX([1]Produtos!$I:$I,MATCH(L1863,[1]Produtos!$B:$B,0)), "-")</f>
        <v>-</v>
      </c>
      <c r="S1863" s="270" t="str">
        <f>IFERROR(INDEX([1]Produtos!$J:$J,MATCH(L1863,[1]Produtos!$B:$B,0)), "-")</f>
        <v>-</v>
      </c>
      <c r="T1863" s="475"/>
      <c r="U1863" s="270"/>
      <c r="V1863" s="270"/>
      <c r="W1863" s="270"/>
      <c r="X1863" s="270"/>
      <c r="Y1863" s="270"/>
      <c r="Z1863" s="270"/>
      <c r="AA1863" s="270"/>
      <c r="AB1863" s="270"/>
      <c r="AC1863" s="270"/>
      <c r="AD1863" s="270"/>
      <c r="AE1863" s="270"/>
      <c r="AF1863" s="270"/>
      <c r="AG1863" s="270"/>
      <c r="AH1863" s="270"/>
      <c r="AI1863" s="270"/>
      <c r="AJ1863" s="270"/>
      <c r="AK1863" s="270"/>
      <c r="AL1863" s="270"/>
      <c r="AM1863" s="663"/>
      <c r="AN1863" s="663"/>
      <c r="AO1863" s="708" t="str">
        <f>IF(OR(Table1[[#This Row],[Início Setup Envase]]="",Table1[[#This Row],[Final Setup Envase]]=""),"",Table1[[#This Row],[Final Setup Envase]]-Table1[[#This Row],[Início Setup Envase]])</f>
        <v/>
      </c>
      <c r="AP1863" s="663"/>
      <c r="AQ1863" s="663"/>
      <c r="AR1863" s="270"/>
      <c r="AS1863" s="674"/>
      <c r="AT1863" s="674"/>
      <c r="AU1863" s="270"/>
      <c r="AV1863" s="270"/>
      <c r="AW1863" s="270"/>
      <c r="AX1863" s="270"/>
      <c r="AY1863" s="270"/>
      <c r="AZ1863" s="270"/>
      <c r="BA1863" s="270" t="str">
        <f>IF(Table1[[#This Row],[Data de Início]]="","",YEAR(Table1[[#This Row],[Data de Início]]))</f>
        <v/>
      </c>
      <c r="BB1863" s="270" t="str">
        <f>IF(Table1[[#This Row],[Data de Início]]="","",MONTH(Table1[[#This Row],[Data de Início]]))</f>
        <v/>
      </c>
      <c r="BC1863" s="483"/>
    </row>
    <row r="1864" spans="2:55" x14ac:dyDescent="0.25">
      <c r="B1864" s="470"/>
      <c r="C1864" s="263"/>
      <c r="D1864" s="477" cm="1">
        <f t="array" ref="D1864">IFERROR(HorasUteisFabrica2Turnos(B1864,C1864), "")</f>
        <v>0</v>
      </c>
      <c r="E1864" s="478" t="str">
        <f t="shared" si="29"/>
        <v/>
      </c>
      <c r="F1864" s="266"/>
      <c r="G1864" s="656"/>
      <c r="H1864" s="479"/>
      <c r="I1864" s="268"/>
      <c r="J1864" s="268"/>
      <c r="K1864" s="268"/>
      <c r="L1864" s="269"/>
      <c r="M1864" s="511" t="str">
        <f>IFERROR(INDEX([1]Produtos!$C:$C,MATCH(L1864,[1]Produtos!$B:$B,0)), "-")</f>
        <v>-</v>
      </c>
      <c r="N1864" s="511" t="str">
        <f>IFERROR(INDEX([1]Produtos!$E:$E,MATCH(L1864,[1]Produtos!$B:$B,0)), "-")</f>
        <v>-</v>
      </c>
      <c r="O1864" s="483" t="str">
        <f>IFERROR(INDEX([1]Produtos!$F:$F,MATCH(L1864,[1]Produtos!$B:$B,0)), "-")</f>
        <v>-</v>
      </c>
      <c r="P1864" s="477" t="str">
        <f>IFERROR(INDEX([1]Produtos!$G:$G,MATCH(L1864,[1]Produtos!$B:$B,0)), "-")</f>
        <v>-</v>
      </c>
      <c r="Q1864" s="483" t="str">
        <f>IFERROR(INDEX([1]Produtos!$H:$H,MATCH(L1864,[1]Produtos!$B:$B,0)), "-")</f>
        <v>-</v>
      </c>
      <c r="R1864" s="483" t="str">
        <f>IFERROR(INDEX([1]Produtos!$I:$I,MATCH(L1864,[1]Produtos!$B:$B,0)), "-")</f>
        <v>-</v>
      </c>
      <c r="S1864" s="483" t="str">
        <f>IFERROR(INDEX([1]Produtos!$J:$J,MATCH(L1864,[1]Produtos!$B:$B,0)), "-")</f>
        <v>-</v>
      </c>
      <c r="T1864" s="484"/>
      <c r="U1864" s="483"/>
      <c r="V1864" s="483"/>
      <c r="W1864" s="483"/>
      <c r="X1864" s="483"/>
      <c r="Y1864" s="483"/>
      <c r="Z1864" s="483"/>
      <c r="AA1864" s="483"/>
      <c r="AB1864" s="483"/>
      <c r="AC1864" s="483"/>
      <c r="AD1864" s="483"/>
      <c r="AE1864" s="483"/>
      <c r="AF1864" s="483"/>
      <c r="AG1864" s="483"/>
      <c r="AH1864" s="483"/>
      <c r="AI1864" s="483"/>
      <c r="AJ1864" s="483"/>
      <c r="AK1864" s="483"/>
      <c r="AL1864" s="483"/>
      <c r="AM1864" s="670"/>
      <c r="AN1864" s="670"/>
      <c r="AO1864" s="711" t="str">
        <f>IF(OR(Table1[[#This Row],[Início Setup Envase]]="",Table1[[#This Row],[Final Setup Envase]]=""),"",Table1[[#This Row],[Final Setup Envase]]-Table1[[#This Row],[Início Setup Envase]])</f>
        <v/>
      </c>
      <c r="AP1864" s="670"/>
      <c r="AQ1864" s="670"/>
      <c r="AR1864" s="483"/>
      <c r="AS1864" s="483"/>
      <c r="AT1864" s="483"/>
      <c r="AU1864" s="483"/>
      <c r="AV1864" s="483"/>
      <c r="AW1864" s="483"/>
      <c r="AX1864" s="483"/>
      <c r="AY1864" s="270"/>
      <c r="AZ1864" s="270"/>
      <c r="BA1864" s="270" t="str">
        <f>IF(Table1[[#This Row],[Data de Início]]="","",YEAR(Table1[[#This Row],[Data de Início]]))</f>
        <v/>
      </c>
      <c r="BB1864" s="270" t="str">
        <f>IF(Table1[[#This Row],[Data de Início]]="","",MONTH(Table1[[#This Row],[Data de Início]]))</f>
        <v/>
      </c>
      <c r="BC1864" s="270"/>
    </row>
    <row r="1865" spans="2:55" x14ac:dyDescent="0.25">
      <c r="B1865" s="470"/>
      <c r="C1865" s="263"/>
      <c r="D1865" s="477" cm="1">
        <f t="array" ref="D1865">IFERROR(HorasUteisFabrica2Turnos(B1865,C1865), "")</f>
        <v>0</v>
      </c>
      <c r="E1865" s="697" t="str">
        <f t="shared" si="29"/>
        <v/>
      </c>
      <c r="F1865" s="266"/>
      <c r="G1865" s="698"/>
      <c r="H1865" s="266"/>
      <c r="I1865" s="268"/>
      <c r="J1865" s="268"/>
      <c r="K1865" s="268"/>
      <c r="L1865" s="269"/>
      <c r="M1865" s="510" t="str">
        <f>IFERROR(INDEX([1]Produtos!$C:$C,MATCH(L1865,[1]Produtos!$B:$B,0)), "-")</f>
        <v>-</v>
      </c>
      <c r="N1865" s="510" t="str">
        <f>IFERROR(INDEX([1]Produtos!$E:$E,MATCH(L1865,[1]Produtos!$B:$B,0)), "-")</f>
        <v>-</v>
      </c>
      <c r="O1865" s="270" t="str">
        <f>IFERROR(INDEX([1]Produtos!$F:$F,MATCH(L1865,[1]Produtos!$B:$B,0)), "-")</f>
        <v>-</v>
      </c>
      <c r="P1865" s="264" t="str">
        <f>IFERROR(INDEX([1]Produtos!$G:$G,MATCH(L1865,[1]Produtos!$B:$B,0)), "-")</f>
        <v>-</v>
      </c>
      <c r="Q1865" s="270" t="str">
        <f>IFERROR(INDEX([1]Produtos!$H:$H,MATCH(L1865,[1]Produtos!$B:$B,0)), "-")</f>
        <v>-</v>
      </c>
      <c r="R1865" s="270" t="str">
        <f>IFERROR(INDEX([1]Produtos!$I:$I,MATCH(L1865,[1]Produtos!$B:$B,0)), "-")</f>
        <v>-</v>
      </c>
      <c r="S1865" s="270" t="str">
        <f>IFERROR(INDEX([1]Produtos!$J:$J,MATCH(L1865,[1]Produtos!$B:$B,0)), "-")</f>
        <v>-</v>
      </c>
      <c r="T1865" s="475"/>
      <c r="U1865" s="270"/>
      <c r="V1865" s="270"/>
      <c r="W1865" s="270"/>
      <c r="X1865" s="270"/>
      <c r="Y1865" s="270"/>
      <c r="Z1865" s="270"/>
      <c r="AA1865" s="270"/>
      <c r="AB1865" s="270"/>
      <c r="AC1865" s="270"/>
      <c r="AD1865" s="270"/>
      <c r="AE1865" s="270"/>
      <c r="AF1865" s="270"/>
      <c r="AG1865" s="270"/>
      <c r="AH1865" s="270"/>
      <c r="AI1865" s="270"/>
      <c r="AJ1865" s="270"/>
      <c r="AK1865" s="270"/>
      <c r="AL1865" s="270"/>
      <c r="AM1865" s="663"/>
      <c r="AN1865" s="663"/>
      <c r="AO1865" s="708" t="str">
        <f>IF(OR(Table1[[#This Row],[Início Setup Envase]]="",Table1[[#This Row],[Final Setup Envase]]=""),"",Table1[[#This Row],[Final Setup Envase]]-Table1[[#This Row],[Início Setup Envase]])</f>
        <v/>
      </c>
      <c r="AP1865" s="663"/>
      <c r="AQ1865" s="663"/>
      <c r="AR1865" s="270"/>
      <c r="AS1865" s="674"/>
      <c r="AT1865" s="674"/>
      <c r="AU1865" s="270"/>
      <c r="AV1865" s="270"/>
      <c r="AW1865" s="270"/>
      <c r="AX1865" s="270"/>
      <c r="AY1865" s="270"/>
      <c r="AZ1865" s="270"/>
      <c r="BA1865" s="270" t="str">
        <f>IF(Table1[[#This Row],[Data de Início]]="","",YEAR(Table1[[#This Row],[Data de Início]]))</f>
        <v/>
      </c>
      <c r="BB1865" s="270" t="str">
        <f>IF(Table1[[#This Row],[Data de Início]]="","",MONTH(Table1[[#This Row],[Data de Início]]))</f>
        <v/>
      </c>
      <c r="BC1865" s="483"/>
    </row>
    <row r="1866" spans="2:55" x14ac:dyDescent="0.25">
      <c r="B1866" s="470"/>
      <c r="C1866" s="263"/>
      <c r="D1866" s="477" cm="1">
        <f t="array" ref="D1866">IFERROR(HorasUteisFabrica2Turnos(B1866,C1866), "")</f>
        <v>0</v>
      </c>
      <c r="E1866" s="478" t="str">
        <f t="shared" si="29"/>
        <v/>
      </c>
      <c r="F1866" s="266"/>
      <c r="G1866" s="656"/>
      <c r="H1866" s="479"/>
      <c r="I1866" s="268"/>
      <c r="J1866" s="268"/>
      <c r="K1866" s="268"/>
      <c r="L1866" s="269"/>
      <c r="M1866" s="511" t="str">
        <f>IFERROR(INDEX([1]Produtos!$C:$C,MATCH(L1866,[1]Produtos!$B:$B,0)), "-")</f>
        <v>-</v>
      </c>
      <c r="N1866" s="511" t="str">
        <f>IFERROR(INDEX([1]Produtos!$E:$E,MATCH(L1866,[1]Produtos!$B:$B,0)), "-")</f>
        <v>-</v>
      </c>
      <c r="O1866" s="483" t="str">
        <f>IFERROR(INDEX([1]Produtos!$F:$F,MATCH(L1866,[1]Produtos!$B:$B,0)), "-")</f>
        <v>-</v>
      </c>
      <c r="P1866" s="477" t="str">
        <f>IFERROR(INDEX([1]Produtos!$G:$G,MATCH(L1866,[1]Produtos!$B:$B,0)), "-")</f>
        <v>-</v>
      </c>
      <c r="Q1866" s="483" t="str">
        <f>IFERROR(INDEX([1]Produtos!$H:$H,MATCH(L1866,[1]Produtos!$B:$B,0)), "-")</f>
        <v>-</v>
      </c>
      <c r="R1866" s="483" t="str">
        <f>IFERROR(INDEX([1]Produtos!$I:$I,MATCH(L1866,[1]Produtos!$B:$B,0)), "-")</f>
        <v>-</v>
      </c>
      <c r="S1866" s="483" t="str">
        <f>IFERROR(INDEX([1]Produtos!$J:$J,MATCH(L1866,[1]Produtos!$B:$B,0)), "-")</f>
        <v>-</v>
      </c>
      <c r="T1866" s="484"/>
      <c r="U1866" s="483"/>
      <c r="V1866" s="483"/>
      <c r="W1866" s="483"/>
      <c r="X1866" s="483"/>
      <c r="Y1866" s="483"/>
      <c r="Z1866" s="483"/>
      <c r="AA1866" s="483"/>
      <c r="AB1866" s="483"/>
      <c r="AC1866" s="483"/>
      <c r="AD1866" s="483"/>
      <c r="AE1866" s="483"/>
      <c r="AF1866" s="483"/>
      <c r="AG1866" s="483"/>
      <c r="AH1866" s="483"/>
      <c r="AI1866" s="483"/>
      <c r="AJ1866" s="483"/>
      <c r="AK1866" s="483"/>
      <c r="AL1866" s="483"/>
      <c r="AM1866" s="670"/>
      <c r="AN1866" s="670"/>
      <c r="AO1866" s="711" t="str">
        <f>IF(OR(Table1[[#This Row],[Início Setup Envase]]="",Table1[[#This Row],[Final Setup Envase]]=""),"",Table1[[#This Row],[Final Setup Envase]]-Table1[[#This Row],[Início Setup Envase]])</f>
        <v/>
      </c>
      <c r="AP1866" s="670"/>
      <c r="AQ1866" s="670"/>
      <c r="AR1866" s="483"/>
      <c r="AS1866" s="483"/>
      <c r="AT1866" s="483"/>
      <c r="AU1866" s="483"/>
      <c r="AV1866" s="483"/>
      <c r="AW1866" s="483"/>
      <c r="AX1866" s="483"/>
      <c r="AY1866" s="270"/>
      <c r="AZ1866" s="270"/>
      <c r="BA1866" s="270" t="str">
        <f>IF(Table1[[#This Row],[Data de Início]]="","",YEAR(Table1[[#This Row],[Data de Início]]))</f>
        <v/>
      </c>
      <c r="BB1866" s="270" t="str">
        <f>IF(Table1[[#This Row],[Data de Início]]="","",MONTH(Table1[[#This Row],[Data de Início]]))</f>
        <v/>
      </c>
      <c r="BC1866" s="270"/>
    </row>
    <row r="1867" spans="2:55" x14ac:dyDescent="0.25">
      <c r="B1867" s="470"/>
      <c r="C1867" s="263"/>
      <c r="D1867" s="477" cm="1">
        <f t="array" ref="D1867">IFERROR(HorasUteisFabrica2Turnos(B1867,C1867), "")</f>
        <v>0</v>
      </c>
      <c r="E1867" s="697" t="str">
        <f t="shared" si="29"/>
        <v/>
      </c>
      <c r="F1867" s="266"/>
      <c r="G1867" s="698"/>
      <c r="H1867" s="266"/>
      <c r="I1867" s="268"/>
      <c r="J1867" s="268"/>
      <c r="K1867" s="268"/>
      <c r="L1867" s="269"/>
      <c r="M1867" s="510" t="str">
        <f>IFERROR(INDEX([1]Produtos!$C:$C,MATCH(L1867,[1]Produtos!$B:$B,0)), "-")</f>
        <v>-</v>
      </c>
      <c r="N1867" s="510" t="str">
        <f>IFERROR(INDEX([1]Produtos!$E:$E,MATCH(L1867,[1]Produtos!$B:$B,0)), "-")</f>
        <v>-</v>
      </c>
      <c r="O1867" s="270" t="str">
        <f>IFERROR(INDEX([1]Produtos!$F:$F,MATCH(L1867,[1]Produtos!$B:$B,0)), "-")</f>
        <v>-</v>
      </c>
      <c r="P1867" s="264" t="str">
        <f>IFERROR(INDEX([1]Produtos!$G:$G,MATCH(L1867,[1]Produtos!$B:$B,0)), "-")</f>
        <v>-</v>
      </c>
      <c r="Q1867" s="270" t="str">
        <f>IFERROR(INDEX([1]Produtos!$H:$H,MATCH(L1867,[1]Produtos!$B:$B,0)), "-")</f>
        <v>-</v>
      </c>
      <c r="R1867" s="270" t="str">
        <f>IFERROR(INDEX([1]Produtos!$I:$I,MATCH(L1867,[1]Produtos!$B:$B,0)), "-")</f>
        <v>-</v>
      </c>
      <c r="S1867" s="270" t="str">
        <f>IFERROR(INDEX([1]Produtos!$J:$J,MATCH(L1867,[1]Produtos!$B:$B,0)), "-")</f>
        <v>-</v>
      </c>
      <c r="T1867" s="475"/>
      <c r="U1867" s="270"/>
      <c r="V1867" s="270"/>
      <c r="W1867" s="270"/>
      <c r="X1867" s="270"/>
      <c r="Y1867" s="270"/>
      <c r="Z1867" s="270"/>
      <c r="AA1867" s="270"/>
      <c r="AB1867" s="270"/>
      <c r="AC1867" s="270"/>
      <c r="AD1867" s="270"/>
      <c r="AE1867" s="270"/>
      <c r="AF1867" s="270"/>
      <c r="AG1867" s="270"/>
      <c r="AH1867" s="270"/>
      <c r="AI1867" s="270"/>
      <c r="AJ1867" s="270"/>
      <c r="AK1867" s="270"/>
      <c r="AL1867" s="270"/>
      <c r="AM1867" s="663"/>
      <c r="AN1867" s="663"/>
      <c r="AO1867" s="708" t="str">
        <f>IF(OR(Table1[[#This Row],[Início Setup Envase]]="",Table1[[#This Row],[Final Setup Envase]]=""),"",Table1[[#This Row],[Final Setup Envase]]-Table1[[#This Row],[Início Setup Envase]])</f>
        <v/>
      </c>
      <c r="AP1867" s="663"/>
      <c r="AQ1867" s="663"/>
      <c r="AR1867" s="270"/>
      <c r="AS1867" s="674"/>
      <c r="AT1867" s="674"/>
      <c r="AU1867" s="270"/>
      <c r="AV1867" s="270"/>
      <c r="AW1867" s="270"/>
      <c r="AX1867" s="270"/>
      <c r="AY1867" s="270"/>
      <c r="AZ1867" s="270"/>
      <c r="BA1867" s="270" t="str">
        <f>IF(Table1[[#This Row],[Data de Início]]="","",YEAR(Table1[[#This Row],[Data de Início]]))</f>
        <v/>
      </c>
      <c r="BB1867" s="270" t="str">
        <f>IF(Table1[[#This Row],[Data de Início]]="","",MONTH(Table1[[#This Row],[Data de Início]]))</f>
        <v/>
      </c>
      <c r="BC1867" s="483"/>
    </row>
    <row r="1868" spans="2:55" x14ac:dyDescent="0.25">
      <c r="B1868" s="470"/>
      <c r="C1868" s="263"/>
      <c r="D1868" s="477" cm="1">
        <f t="array" ref="D1868">IFERROR(HorasUteisFabrica2Turnos(B1868,C1868), "")</f>
        <v>0</v>
      </c>
      <c r="E1868" s="478" t="str">
        <f t="shared" si="29"/>
        <v/>
      </c>
      <c r="F1868" s="266"/>
      <c r="G1868" s="656"/>
      <c r="H1868" s="479"/>
      <c r="I1868" s="268"/>
      <c r="J1868" s="268"/>
      <c r="K1868" s="268"/>
      <c r="L1868" s="269"/>
      <c r="M1868" s="511" t="str">
        <f>IFERROR(INDEX([1]Produtos!$C:$C,MATCH(L1868,[1]Produtos!$B:$B,0)), "-")</f>
        <v>-</v>
      </c>
      <c r="N1868" s="511" t="str">
        <f>IFERROR(INDEX([1]Produtos!$E:$E,MATCH(L1868,[1]Produtos!$B:$B,0)), "-")</f>
        <v>-</v>
      </c>
      <c r="O1868" s="483" t="str">
        <f>IFERROR(INDEX([1]Produtos!$F:$F,MATCH(L1868,[1]Produtos!$B:$B,0)), "-")</f>
        <v>-</v>
      </c>
      <c r="P1868" s="477" t="str">
        <f>IFERROR(INDEX([1]Produtos!$G:$G,MATCH(L1868,[1]Produtos!$B:$B,0)), "-")</f>
        <v>-</v>
      </c>
      <c r="Q1868" s="483" t="str">
        <f>IFERROR(INDEX([1]Produtos!$H:$H,MATCH(L1868,[1]Produtos!$B:$B,0)), "-")</f>
        <v>-</v>
      </c>
      <c r="R1868" s="483" t="str">
        <f>IFERROR(INDEX([1]Produtos!$I:$I,MATCH(L1868,[1]Produtos!$B:$B,0)), "-")</f>
        <v>-</v>
      </c>
      <c r="S1868" s="483" t="str">
        <f>IFERROR(INDEX([1]Produtos!$J:$J,MATCH(L1868,[1]Produtos!$B:$B,0)), "-")</f>
        <v>-</v>
      </c>
      <c r="T1868" s="484"/>
      <c r="U1868" s="483"/>
      <c r="V1868" s="483"/>
      <c r="W1868" s="483"/>
      <c r="X1868" s="483"/>
      <c r="Y1868" s="483"/>
      <c r="Z1868" s="483"/>
      <c r="AA1868" s="483"/>
      <c r="AB1868" s="483"/>
      <c r="AC1868" s="483"/>
      <c r="AD1868" s="483"/>
      <c r="AE1868" s="483"/>
      <c r="AF1868" s="483"/>
      <c r="AG1868" s="483"/>
      <c r="AH1868" s="483"/>
      <c r="AI1868" s="483"/>
      <c r="AJ1868" s="483"/>
      <c r="AK1868" s="483"/>
      <c r="AL1868" s="483"/>
      <c r="AM1868" s="670"/>
      <c r="AN1868" s="670"/>
      <c r="AO1868" s="711" t="str">
        <f>IF(OR(Table1[[#This Row],[Início Setup Envase]]="",Table1[[#This Row],[Final Setup Envase]]=""),"",Table1[[#This Row],[Final Setup Envase]]-Table1[[#This Row],[Início Setup Envase]])</f>
        <v/>
      </c>
      <c r="AP1868" s="670"/>
      <c r="AQ1868" s="670"/>
      <c r="AR1868" s="483"/>
      <c r="AS1868" s="483"/>
      <c r="AT1868" s="483"/>
      <c r="AU1868" s="483"/>
      <c r="AV1868" s="483"/>
      <c r="AW1868" s="483"/>
      <c r="AX1868" s="483"/>
      <c r="AY1868" s="270"/>
      <c r="AZ1868" s="270"/>
      <c r="BA1868" s="270" t="str">
        <f>IF(Table1[[#This Row],[Data de Início]]="","",YEAR(Table1[[#This Row],[Data de Início]]))</f>
        <v/>
      </c>
      <c r="BB1868" s="270" t="str">
        <f>IF(Table1[[#This Row],[Data de Início]]="","",MONTH(Table1[[#This Row],[Data de Início]]))</f>
        <v/>
      </c>
      <c r="BC1868" s="270"/>
    </row>
    <row r="1869" spans="2:55" x14ac:dyDescent="0.25">
      <c r="B1869" s="470"/>
      <c r="C1869" s="263"/>
      <c r="D1869" s="477" cm="1">
        <f t="array" ref="D1869">IFERROR(HorasUteisFabrica2Turnos(B1869,C1869), "")</f>
        <v>0</v>
      </c>
      <c r="E1869" s="697" t="str">
        <f t="shared" si="29"/>
        <v/>
      </c>
      <c r="F1869" s="266"/>
      <c r="G1869" s="698"/>
      <c r="H1869" s="266"/>
      <c r="I1869" s="268"/>
      <c r="J1869" s="268"/>
      <c r="K1869" s="268"/>
      <c r="L1869" s="269"/>
      <c r="M1869" s="510" t="str">
        <f>IFERROR(INDEX([1]Produtos!$C:$C,MATCH(L1869,[1]Produtos!$B:$B,0)), "-")</f>
        <v>-</v>
      </c>
      <c r="N1869" s="510" t="str">
        <f>IFERROR(INDEX([1]Produtos!$E:$E,MATCH(L1869,[1]Produtos!$B:$B,0)), "-")</f>
        <v>-</v>
      </c>
      <c r="O1869" s="270" t="str">
        <f>IFERROR(INDEX([1]Produtos!$F:$F,MATCH(L1869,[1]Produtos!$B:$B,0)), "-")</f>
        <v>-</v>
      </c>
      <c r="P1869" s="264" t="str">
        <f>IFERROR(INDEX([1]Produtos!$G:$G,MATCH(L1869,[1]Produtos!$B:$B,0)), "-")</f>
        <v>-</v>
      </c>
      <c r="Q1869" s="270" t="str">
        <f>IFERROR(INDEX([1]Produtos!$H:$H,MATCH(L1869,[1]Produtos!$B:$B,0)), "-")</f>
        <v>-</v>
      </c>
      <c r="R1869" s="270" t="str">
        <f>IFERROR(INDEX([1]Produtos!$I:$I,MATCH(L1869,[1]Produtos!$B:$B,0)), "-")</f>
        <v>-</v>
      </c>
      <c r="S1869" s="270" t="str">
        <f>IFERROR(INDEX([1]Produtos!$J:$J,MATCH(L1869,[1]Produtos!$B:$B,0)), "-")</f>
        <v>-</v>
      </c>
      <c r="T1869" s="475"/>
      <c r="U1869" s="270"/>
      <c r="V1869" s="270"/>
      <c r="W1869" s="270"/>
      <c r="X1869" s="270"/>
      <c r="Y1869" s="270"/>
      <c r="Z1869" s="270"/>
      <c r="AA1869" s="270"/>
      <c r="AB1869" s="270"/>
      <c r="AC1869" s="270"/>
      <c r="AD1869" s="270"/>
      <c r="AE1869" s="270"/>
      <c r="AF1869" s="270"/>
      <c r="AG1869" s="270"/>
      <c r="AH1869" s="270"/>
      <c r="AI1869" s="270"/>
      <c r="AJ1869" s="270"/>
      <c r="AK1869" s="270"/>
      <c r="AL1869" s="270"/>
      <c r="AM1869" s="663"/>
      <c r="AN1869" s="663"/>
      <c r="AO1869" s="708" t="str">
        <f>IF(OR(Table1[[#This Row],[Início Setup Envase]]="",Table1[[#This Row],[Final Setup Envase]]=""),"",Table1[[#This Row],[Final Setup Envase]]-Table1[[#This Row],[Início Setup Envase]])</f>
        <v/>
      </c>
      <c r="AP1869" s="663"/>
      <c r="AQ1869" s="663"/>
      <c r="AR1869" s="270"/>
      <c r="AS1869" s="674"/>
      <c r="AT1869" s="674"/>
      <c r="AU1869" s="270"/>
      <c r="AV1869" s="270"/>
      <c r="AW1869" s="270"/>
      <c r="AX1869" s="270"/>
      <c r="AY1869" s="270"/>
      <c r="AZ1869" s="270"/>
      <c r="BA1869" s="270" t="str">
        <f>IF(Table1[[#This Row],[Data de Início]]="","",YEAR(Table1[[#This Row],[Data de Início]]))</f>
        <v/>
      </c>
      <c r="BB1869" s="270" t="str">
        <f>IF(Table1[[#This Row],[Data de Início]]="","",MONTH(Table1[[#This Row],[Data de Início]]))</f>
        <v/>
      </c>
      <c r="BC1869" s="483"/>
    </row>
    <row r="1870" spans="2:55" x14ac:dyDescent="0.25">
      <c r="B1870" s="470"/>
      <c r="C1870" s="263"/>
      <c r="D1870" s="477" cm="1">
        <f t="array" ref="D1870">IFERROR(HorasUteisFabrica2Turnos(B1870,C1870), "")</f>
        <v>0</v>
      </c>
      <c r="E1870" s="478" t="str">
        <f t="shared" si="29"/>
        <v/>
      </c>
      <c r="F1870" s="266"/>
      <c r="G1870" s="656"/>
      <c r="H1870" s="479"/>
      <c r="I1870" s="268"/>
      <c r="J1870" s="268"/>
      <c r="K1870" s="268"/>
      <c r="L1870" s="269"/>
      <c r="M1870" s="511" t="str">
        <f>IFERROR(INDEX([1]Produtos!$C:$C,MATCH(L1870,[1]Produtos!$B:$B,0)), "-")</f>
        <v>-</v>
      </c>
      <c r="N1870" s="511" t="str">
        <f>IFERROR(INDEX([1]Produtos!$E:$E,MATCH(L1870,[1]Produtos!$B:$B,0)), "-")</f>
        <v>-</v>
      </c>
      <c r="O1870" s="483" t="str">
        <f>IFERROR(INDEX([1]Produtos!$F:$F,MATCH(L1870,[1]Produtos!$B:$B,0)), "-")</f>
        <v>-</v>
      </c>
      <c r="P1870" s="477" t="str">
        <f>IFERROR(INDEX([1]Produtos!$G:$G,MATCH(L1870,[1]Produtos!$B:$B,0)), "-")</f>
        <v>-</v>
      </c>
      <c r="Q1870" s="483" t="str">
        <f>IFERROR(INDEX([1]Produtos!$H:$H,MATCH(L1870,[1]Produtos!$B:$B,0)), "-")</f>
        <v>-</v>
      </c>
      <c r="R1870" s="483" t="str">
        <f>IFERROR(INDEX([1]Produtos!$I:$I,MATCH(L1870,[1]Produtos!$B:$B,0)), "-")</f>
        <v>-</v>
      </c>
      <c r="S1870" s="483" t="str">
        <f>IFERROR(INDEX([1]Produtos!$J:$J,MATCH(L1870,[1]Produtos!$B:$B,0)), "-")</f>
        <v>-</v>
      </c>
      <c r="T1870" s="484"/>
      <c r="U1870" s="483"/>
      <c r="V1870" s="483"/>
      <c r="W1870" s="483"/>
      <c r="X1870" s="483"/>
      <c r="Y1870" s="483"/>
      <c r="Z1870" s="483"/>
      <c r="AA1870" s="483"/>
      <c r="AB1870" s="483"/>
      <c r="AC1870" s="483"/>
      <c r="AD1870" s="483"/>
      <c r="AE1870" s="483"/>
      <c r="AF1870" s="483"/>
      <c r="AG1870" s="483"/>
      <c r="AH1870" s="483"/>
      <c r="AI1870" s="483"/>
      <c r="AJ1870" s="483"/>
      <c r="AK1870" s="483"/>
      <c r="AL1870" s="483"/>
      <c r="AM1870" s="670"/>
      <c r="AN1870" s="670"/>
      <c r="AO1870" s="711" t="str">
        <f>IF(OR(Table1[[#This Row],[Início Setup Envase]]="",Table1[[#This Row],[Final Setup Envase]]=""),"",Table1[[#This Row],[Final Setup Envase]]-Table1[[#This Row],[Início Setup Envase]])</f>
        <v/>
      </c>
      <c r="AP1870" s="670"/>
      <c r="AQ1870" s="670"/>
      <c r="AR1870" s="483"/>
      <c r="AS1870" s="483"/>
      <c r="AT1870" s="483"/>
      <c r="AU1870" s="483"/>
      <c r="AV1870" s="483"/>
      <c r="AW1870" s="483"/>
      <c r="AX1870" s="483"/>
      <c r="AY1870" s="270"/>
      <c r="AZ1870" s="270"/>
      <c r="BA1870" s="270" t="str">
        <f>IF(Table1[[#This Row],[Data de Início]]="","",YEAR(Table1[[#This Row],[Data de Início]]))</f>
        <v/>
      </c>
      <c r="BB1870" s="270" t="str">
        <f>IF(Table1[[#This Row],[Data de Início]]="","",MONTH(Table1[[#This Row],[Data de Início]]))</f>
        <v/>
      </c>
      <c r="BC1870" s="270"/>
    </row>
    <row r="1871" spans="2:55" x14ac:dyDescent="0.25">
      <c r="B1871" s="470"/>
      <c r="C1871" s="263"/>
      <c r="D1871" s="477" cm="1">
        <f t="array" ref="D1871">IFERROR(HorasUteisFabrica2Turnos(B1871,C1871), "")</f>
        <v>0</v>
      </c>
      <c r="E1871" s="697" t="str">
        <f t="shared" si="29"/>
        <v/>
      </c>
      <c r="F1871" s="266"/>
      <c r="G1871" s="698"/>
      <c r="H1871" s="266"/>
      <c r="I1871" s="268"/>
      <c r="J1871" s="268"/>
      <c r="K1871" s="268"/>
      <c r="L1871" s="269"/>
      <c r="M1871" s="510" t="str">
        <f>IFERROR(INDEX([1]Produtos!$C:$C,MATCH(L1871,[1]Produtos!$B:$B,0)), "-")</f>
        <v>-</v>
      </c>
      <c r="N1871" s="510" t="str">
        <f>IFERROR(INDEX([1]Produtos!$E:$E,MATCH(L1871,[1]Produtos!$B:$B,0)), "-")</f>
        <v>-</v>
      </c>
      <c r="O1871" s="270" t="str">
        <f>IFERROR(INDEX([1]Produtos!$F:$F,MATCH(L1871,[1]Produtos!$B:$B,0)), "-")</f>
        <v>-</v>
      </c>
      <c r="P1871" s="264" t="str">
        <f>IFERROR(INDEX([1]Produtos!$G:$G,MATCH(L1871,[1]Produtos!$B:$B,0)), "-")</f>
        <v>-</v>
      </c>
      <c r="Q1871" s="270" t="str">
        <f>IFERROR(INDEX([1]Produtos!$H:$H,MATCH(L1871,[1]Produtos!$B:$B,0)), "-")</f>
        <v>-</v>
      </c>
      <c r="R1871" s="270" t="str">
        <f>IFERROR(INDEX([1]Produtos!$I:$I,MATCH(L1871,[1]Produtos!$B:$B,0)), "-")</f>
        <v>-</v>
      </c>
      <c r="S1871" s="270" t="str">
        <f>IFERROR(INDEX([1]Produtos!$J:$J,MATCH(L1871,[1]Produtos!$B:$B,0)), "-")</f>
        <v>-</v>
      </c>
      <c r="T1871" s="475"/>
      <c r="U1871" s="270"/>
      <c r="V1871" s="270"/>
      <c r="W1871" s="270"/>
      <c r="X1871" s="270"/>
      <c r="Y1871" s="270"/>
      <c r="Z1871" s="270"/>
      <c r="AA1871" s="270"/>
      <c r="AB1871" s="270"/>
      <c r="AC1871" s="270"/>
      <c r="AD1871" s="270"/>
      <c r="AE1871" s="270"/>
      <c r="AF1871" s="270"/>
      <c r="AG1871" s="270"/>
      <c r="AH1871" s="270"/>
      <c r="AI1871" s="270"/>
      <c r="AJ1871" s="270"/>
      <c r="AK1871" s="270"/>
      <c r="AL1871" s="270"/>
      <c r="AM1871" s="663"/>
      <c r="AN1871" s="663"/>
      <c r="AO1871" s="708" t="str">
        <f>IF(OR(Table1[[#This Row],[Início Setup Envase]]="",Table1[[#This Row],[Final Setup Envase]]=""),"",Table1[[#This Row],[Final Setup Envase]]-Table1[[#This Row],[Início Setup Envase]])</f>
        <v/>
      </c>
      <c r="AP1871" s="663"/>
      <c r="AQ1871" s="663"/>
      <c r="AR1871" s="270"/>
      <c r="AS1871" s="674"/>
      <c r="AT1871" s="674"/>
      <c r="AU1871" s="270"/>
      <c r="AV1871" s="270"/>
      <c r="AW1871" s="270"/>
      <c r="AX1871" s="270"/>
      <c r="AY1871" s="270"/>
      <c r="AZ1871" s="270"/>
      <c r="BA1871" s="270" t="str">
        <f>IF(Table1[[#This Row],[Data de Início]]="","",YEAR(Table1[[#This Row],[Data de Início]]))</f>
        <v/>
      </c>
      <c r="BB1871" s="270" t="str">
        <f>IF(Table1[[#This Row],[Data de Início]]="","",MONTH(Table1[[#This Row],[Data de Início]]))</f>
        <v/>
      </c>
      <c r="BC1871" s="483"/>
    </row>
    <row r="1872" spans="2:55" x14ac:dyDescent="0.25">
      <c r="B1872" s="470"/>
      <c r="C1872" s="263"/>
      <c r="D1872" s="477" cm="1">
        <f t="array" ref="D1872">IFERROR(HorasUteisFabrica2Turnos(B1872,C1872), "")</f>
        <v>0</v>
      </c>
      <c r="E1872" s="478" t="str">
        <f t="shared" si="29"/>
        <v/>
      </c>
      <c r="F1872" s="266"/>
      <c r="G1872" s="656"/>
      <c r="H1872" s="479"/>
      <c r="I1872" s="268"/>
      <c r="J1872" s="268"/>
      <c r="K1872" s="268"/>
      <c r="L1872" s="269"/>
      <c r="M1872" s="511" t="str">
        <f>IFERROR(INDEX([1]Produtos!$C:$C,MATCH(L1872,[1]Produtos!$B:$B,0)), "-")</f>
        <v>-</v>
      </c>
      <c r="N1872" s="511" t="str">
        <f>IFERROR(INDEX([1]Produtos!$E:$E,MATCH(L1872,[1]Produtos!$B:$B,0)), "-")</f>
        <v>-</v>
      </c>
      <c r="O1872" s="483" t="str">
        <f>IFERROR(INDEX([1]Produtos!$F:$F,MATCH(L1872,[1]Produtos!$B:$B,0)), "-")</f>
        <v>-</v>
      </c>
      <c r="P1872" s="477" t="str">
        <f>IFERROR(INDEX([1]Produtos!$G:$G,MATCH(L1872,[1]Produtos!$B:$B,0)), "-")</f>
        <v>-</v>
      </c>
      <c r="Q1872" s="483" t="str">
        <f>IFERROR(INDEX([1]Produtos!$H:$H,MATCH(L1872,[1]Produtos!$B:$B,0)), "-")</f>
        <v>-</v>
      </c>
      <c r="R1872" s="483" t="str">
        <f>IFERROR(INDEX([1]Produtos!$I:$I,MATCH(L1872,[1]Produtos!$B:$B,0)), "-")</f>
        <v>-</v>
      </c>
      <c r="S1872" s="483" t="str">
        <f>IFERROR(INDEX([1]Produtos!$J:$J,MATCH(L1872,[1]Produtos!$B:$B,0)), "-")</f>
        <v>-</v>
      </c>
      <c r="T1872" s="484"/>
      <c r="U1872" s="483"/>
      <c r="V1872" s="483"/>
      <c r="W1872" s="483"/>
      <c r="X1872" s="483"/>
      <c r="Y1872" s="483"/>
      <c r="Z1872" s="483"/>
      <c r="AA1872" s="483"/>
      <c r="AB1872" s="483"/>
      <c r="AC1872" s="483"/>
      <c r="AD1872" s="483"/>
      <c r="AE1872" s="483"/>
      <c r="AF1872" s="483"/>
      <c r="AG1872" s="483"/>
      <c r="AH1872" s="483"/>
      <c r="AI1872" s="483"/>
      <c r="AJ1872" s="483"/>
      <c r="AK1872" s="483"/>
      <c r="AL1872" s="483"/>
      <c r="AM1872" s="670"/>
      <c r="AN1872" s="670"/>
      <c r="AO1872" s="711" t="str">
        <f>IF(OR(Table1[[#This Row],[Início Setup Envase]]="",Table1[[#This Row],[Final Setup Envase]]=""),"",Table1[[#This Row],[Final Setup Envase]]-Table1[[#This Row],[Início Setup Envase]])</f>
        <v/>
      </c>
      <c r="AP1872" s="670"/>
      <c r="AQ1872" s="670"/>
      <c r="AR1872" s="483"/>
      <c r="AS1872" s="483"/>
      <c r="AT1872" s="483"/>
      <c r="AU1872" s="483"/>
      <c r="AV1872" s="483"/>
      <c r="AW1872" s="483"/>
      <c r="AX1872" s="483"/>
      <c r="AY1872" s="270"/>
      <c r="AZ1872" s="270"/>
      <c r="BA1872" s="270" t="str">
        <f>IF(Table1[[#This Row],[Data de Início]]="","",YEAR(Table1[[#This Row],[Data de Início]]))</f>
        <v/>
      </c>
      <c r="BB1872" s="270" t="str">
        <f>IF(Table1[[#This Row],[Data de Início]]="","",MONTH(Table1[[#This Row],[Data de Início]]))</f>
        <v/>
      </c>
      <c r="BC1872" s="270"/>
    </row>
    <row r="1873" spans="2:55" x14ac:dyDescent="0.25">
      <c r="B1873" s="470"/>
      <c r="C1873" s="263"/>
      <c r="D1873" s="477" cm="1">
        <f t="array" ref="D1873">IFERROR(HorasUteisFabrica2Turnos(B1873,C1873), "")</f>
        <v>0</v>
      </c>
      <c r="E1873" s="697" t="str">
        <f t="shared" si="29"/>
        <v/>
      </c>
      <c r="F1873" s="266"/>
      <c r="G1873" s="698"/>
      <c r="H1873" s="266"/>
      <c r="I1873" s="268"/>
      <c r="J1873" s="268"/>
      <c r="K1873" s="268"/>
      <c r="L1873" s="269"/>
      <c r="M1873" s="510" t="str">
        <f>IFERROR(INDEX([1]Produtos!$C:$C,MATCH(L1873,[1]Produtos!$B:$B,0)), "-")</f>
        <v>-</v>
      </c>
      <c r="N1873" s="510" t="str">
        <f>IFERROR(INDEX([1]Produtos!$E:$E,MATCH(L1873,[1]Produtos!$B:$B,0)), "-")</f>
        <v>-</v>
      </c>
      <c r="O1873" s="270" t="str">
        <f>IFERROR(INDEX([1]Produtos!$F:$F,MATCH(L1873,[1]Produtos!$B:$B,0)), "-")</f>
        <v>-</v>
      </c>
      <c r="P1873" s="264" t="str">
        <f>IFERROR(INDEX([1]Produtos!$G:$G,MATCH(L1873,[1]Produtos!$B:$B,0)), "-")</f>
        <v>-</v>
      </c>
      <c r="Q1873" s="270" t="str">
        <f>IFERROR(INDEX([1]Produtos!$H:$H,MATCH(L1873,[1]Produtos!$B:$B,0)), "-")</f>
        <v>-</v>
      </c>
      <c r="R1873" s="270" t="str">
        <f>IFERROR(INDEX([1]Produtos!$I:$I,MATCH(L1873,[1]Produtos!$B:$B,0)), "-")</f>
        <v>-</v>
      </c>
      <c r="S1873" s="270" t="str">
        <f>IFERROR(INDEX([1]Produtos!$J:$J,MATCH(L1873,[1]Produtos!$B:$B,0)), "-")</f>
        <v>-</v>
      </c>
      <c r="T1873" s="475"/>
      <c r="U1873" s="270"/>
      <c r="V1873" s="270"/>
      <c r="W1873" s="270"/>
      <c r="X1873" s="270"/>
      <c r="Y1873" s="270"/>
      <c r="Z1873" s="270"/>
      <c r="AA1873" s="270"/>
      <c r="AB1873" s="270"/>
      <c r="AC1873" s="270"/>
      <c r="AD1873" s="270"/>
      <c r="AE1873" s="270"/>
      <c r="AF1873" s="270"/>
      <c r="AG1873" s="270"/>
      <c r="AH1873" s="270"/>
      <c r="AI1873" s="270"/>
      <c r="AJ1873" s="270"/>
      <c r="AK1873" s="270"/>
      <c r="AL1873" s="270"/>
      <c r="AM1873" s="663"/>
      <c r="AN1873" s="663"/>
      <c r="AO1873" s="708" t="str">
        <f>IF(OR(Table1[[#This Row],[Início Setup Envase]]="",Table1[[#This Row],[Final Setup Envase]]=""),"",Table1[[#This Row],[Final Setup Envase]]-Table1[[#This Row],[Início Setup Envase]])</f>
        <v/>
      </c>
      <c r="AP1873" s="663"/>
      <c r="AQ1873" s="663"/>
      <c r="AR1873" s="270"/>
      <c r="AS1873" s="674"/>
      <c r="AT1873" s="674"/>
      <c r="AU1873" s="270"/>
      <c r="AV1873" s="270"/>
      <c r="AW1873" s="270"/>
      <c r="AX1873" s="270"/>
      <c r="AY1873" s="270"/>
      <c r="AZ1873" s="270"/>
      <c r="BA1873" s="270" t="str">
        <f>IF(Table1[[#This Row],[Data de Início]]="","",YEAR(Table1[[#This Row],[Data de Início]]))</f>
        <v/>
      </c>
      <c r="BB1873" s="270" t="str">
        <f>IF(Table1[[#This Row],[Data de Início]]="","",MONTH(Table1[[#This Row],[Data de Início]]))</f>
        <v/>
      </c>
      <c r="BC1873" s="483"/>
    </row>
    <row r="1874" spans="2:55" x14ac:dyDescent="0.25">
      <c r="B1874" s="470"/>
      <c r="C1874" s="263"/>
      <c r="D1874" s="477" cm="1">
        <f t="array" ref="D1874">IFERROR(HorasUteisFabrica2Turnos(B1874,C1874), "")</f>
        <v>0</v>
      </c>
      <c r="E1874" s="478" t="str">
        <f t="shared" si="29"/>
        <v/>
      </c>
      <c r="F1874" s="266"/>
      <c r="G1874" s="656"/>
      <c r="H1874" s="479"/>
      <c r="I1874" s="268"/>
      <c r="J1874" s="268"/>
      <c r="K1874" s="268"/>
      <c r="L1874" s="269"/>
      <c r="M1874" s="511" t="str">
        <f>IFERROR(INDEX([1]Produtos!$C:$C,MATCH(L1874,[1]Produtos!$B:$B,0)), "-")</f>
        <v>-</v>
      </c>
      <c r="N1874" s="511" t="str">
        <f>IFERROR(INDEX([1]Produtos!$E:$E,MATCH(L1874,[1]Produtos!$B:$B,0)), "-")</f>
        <v>-</v>
      </c>
      <c r="O1874" s="483" t="str">
        <f>IFERROR(INDEX([1]Produtos!$F:$F,MATCH(L1874,[1]Produtos!$B:$B,0)), "-")</f>
        <v>-</v>
      </c>
      <c r="P1874" s="477" t="str">
        <f>IFERROR(INDEX([1]Produtos!$G:$G,MATCH(L1874,[1]Produtos!$B:$B,0)), "-")</f>
        <v>-</v>
      </c>
      <c r="Q1874" s="483" t="str">
        <f>IFERROR(INDEX([1]Produtos!$H:$H,MATCH(L1874,[1]Produtos!$B:$B,0)), "-")</f>
        <v>-</v>
      </c>
      <c r="R1874" s="483" t="str">
        <f>IFERROR(INDEX([1]Produtos!$I:$I,MATCH(L1874,[1]Produtos!$B:$B,0)), "-")</f>
        <v>-</v>
      </c>
      <c r="S1874" s="483" t="str">
        <f>IFERROR(INDEX([1]Produtos!$J:$J,MATCH(L1874,[1]Produtos!$B:$B,0)), "-")</f>
        <v>-</v>
      </c>
      <c r="T1874" s="484"/>
      <c r="U1874" s="483"/>
      <c r="V1874" s="483"/>
      <c r="W1874" s="483"/>
      <c r="X1874" s="483"/>
      <c r="Y1874" s="483"/>
      <c r="Z1874" s="483"/>
      <c r="AA1874" s="483"/>
      <c r="AB1874" s="483"/>
      <c r="AC1874" s="483"/>
      <c r="AD1874" s="483"/>
      <c r="AE1874" s="483"/>
      <c r="AF1874" s="483"/>
      <c r="AG1874" s="483"/>
      <c r="AH1874" s="483"/>
      <c r="AI1874" s="483"/>
      <c r="AJ1874" s="483"/>
      <c r="AK1874" s="483"/>
      <c r="AL1874" s="483"/>
      <c r="AM1874" s="670"/>
      <c r="AN1874" s="670"/>
      <c r="AO1874" s="711" t="str">
        <f>IF(OR(Table1[[#This Row],[Início Setup Envase]]="",Table1[[#This Row],[Final Setup Envase]]=""),"",Table1[[#This Row],[Final Setup Envase]]-Table1[[#This Row],[Início Setup Envase]])</f>
        <v/>
      </c>
      <c r="AP1874" s="670"/>
      <c r="AQ1874" s="670"/>
      <c r="AR1874" s="483"/>
      <c r="AS1874" s="483"/>
      <c r="AT1874" s="483"/>
      <c r="AU1874" s="483"/>
      <c r="AV1874" s="483"/>
      <c r="AW1874" s="483"/>
      <c r="AX1874" s="483"/>
      <c r="AY1874" s="270"/>
      <c r="AZ1874" s="270"/>
      <c r="BA1874" s="270" t="str">
        <f>IF(Table1[[#This Row],[Data de Início]]="","",YEAR(Table1[[#This Row],[Data de Início]]))</f>
        <v/>
      </c>
      <c r="BB1874" s="270" t="str">
        <f>IF(Table1[[#This Row],[Data de Início]]="","",MONTH(Table1[[#This Row],[Data de Início]]))</f>
        <v/>
      </c>
      <c r="BC1874" s="270"/>
    </row>
    <row r="1875" spans="2:55" x14ac:dyDescent="0.25">
      <c r="B1875" s="470"/>
      <c r="C1875" s="263"/>
      <c r="D1875" s="477" cm="1">
        <f t="array" ref="D1875">IFERROR(HorasUteisFabrica2Turnos(B1875,C1875), "")</f>
        <v>0</v>
      </c>
      <c r="E1875" s="697" t="str">
        <f t="shared" si="29"/>
        <v/>
      </c>
      <c r="F1875" s="266"/>
      <c r="G1875" s="698"/>
      <c r="H1875" s="266"/>
      <c r="I1875" s="268"/>
      <c r="J1875" s="268"/>
      <c r="K1875" s="268"/>
      <c r="L1875" s="269"/>
      <c r="M1875" s="510" t="str">
        <f>IFERROR(INDEX([1]Produtos!$C:$C,MATCH(L1875,[1]Produtos!$B:$B,0)), "-")</f>
        <v>-</v>
      </c>
      <c r="N1875" s="510" t="str">
        <f>IFERROR(INDEX([1]Produtos!$E:$E,MATCH(L1875,[1]Produtos!$B:$B,0)), "-")</f>
        <v>-</v>
      </c>
      <c r="O1875" s="270" t="str">
        <f>IFERROR(INDEX([1]Produtos!$F:$F,MATCH(L1875,[1]Produtos!$B:$B,0)), "-")</f>
        <v>-</v>
      </c>
      <c r="P1875" s="264" t="str">
        <f>IFERROR(INDEX([1]Produtos!$G:$G,MATCH(L1875,[1]Produtos!$B:$B,0)), "-")</f>
        <v>-</v>
      </c>
      <c r="Q1875" s="270" t="str">
        <f>IFERROR(INDEX([1]Produtos!$H:$H,MATCH(L1875,[1]Produtos!$B:$B,0)), "-")</f>
        <v>-</v>
      </c>
      <c r="R1875" s="270" t="str">
        <f>IFERROR(INDEX([1]Produtos!$I:$I,MATCH(L1875,[1]Produtos!$B:$B,0)), "-")</f>
        <v>-</v>
      </c>
      <c r="S1875" s="270" t="str">
        <f>IFERROR(INDEX([1]Produtos!$J:$J,MATCH(L1875,[1]Produtos!$B:$B,0)), "-")</f>
        <v>-</v>
      </c>
      <c r="T1875" s="475"/>
      <c r="U1875" s="270"/>
      <c r="V1875" s="270"/>
      <c r="W1875" s="270"/>
      <c r="X1875" s="270"/>
      <c r="Y1875" s="270"/>
      <c r="Z1875" s="270"/>
      <c r="AA1875" s="270"/>
      <c r="AB1875" s="270"/>
      <c r="AC1875" s="270"/>
      <c r="AD1875" s="270"/>
      <c r="AE1875" s="270"/>
      <c r="AF1875" s="270"/>
      <c r="AG1875" s="270"/>
      <c r="AH1875" s="270"/>
      <c r="AI1875" s="270"/>
      <c r="AJ1875" s="270"/>
      <c r="AK1875" s="270"/>
      <c r="AL1875" s="270"/>
      <c r="AM1875" s="663"/>
      <c r="AN1875" s="663"/>
      <c r="AO1875" s="708" t="str">
        <f>IF(OR(Table1[[#This Row],[Início Setup Envase]]="",Table1[[#This Row],[Final Setup Envase]]=""),"",Table1[[#This Row],[Final Setup Envase]]-Table1[[#This Row],[Início Setup Envase]])</f>
        <v/>
      </c>
      <c r="AP1875" s="663"/>
      <c r="AQ1875" s="663"/>
      <c r="AR1875" s="270"/>
      <c r="AS1875" s="674"/>
      <c r="AT1875" s="674"/>
      <c r="AU1875" s="270"/>
      <c r="AV1875" s="270"/>
      <c r="AW1875" s="270"/>
      <c r="AX1875" s="270"/>
      <c r="AY1875" s="270"/>
      <c r="AZ1875" s="270"/>
      <c r="BA1875" s="270" t="str">
        <f>IF(Table1[[#This Row],[Data de Início]]="","",YEAR(Table1[[#This Row],[Data de Início]]))</f>
        <v/>
      </c>
      <c r="BB1875" s="270" t="str">
        <f>IF(Table1[[#This Row],[Data de Início]]="","",MONTH(Table1[[#This Row],[Data de Início]]))</f>
        <v/>
      </c>
      <c r="BC1875" s="483"/>
    </row>
    <row r="1876" spans="2:55" x14ac:dyDescent="0.25">
      <c r="B1876" s="470"/>
      <c r="C1876" s="263"/>
      <c r="D1876" s="477" cm="1">
        <f t="array" ref="D1876">IFERROR(HorasUteisFabrica2Turnos(B1876,C1876), "")</f>
        <v>0</v>
      </c>
      <c r="E1876" s="478" t="str">
        <f t="shared" si="29"/>
        <v/>
      </c>
      <c r="F1876" s="266"/>
      <c r="G1876" s="656"/>
      <c r="H1876" s="479"/>
      <c r="I1876" s="268"/>
      <c r="J1876" s="268"/>
      <c r="K1876" s="268"/>
      <c r="L1876" s="269"/>
      <c r="M1876" s="511" t="str">
        <f>IFERROR(INDEX([1]Produtos!$C:$C,MATCH(L1876,[1]Produtos!$B:$B,0)), "-")</f>
        <v>-</v>
      </c>
      <c r="N1876" s="511" t="str">
        <f>IFERROR(INDEX([1]Produtos!$E:$E,MATCH(L1876,[1]Produtos!$B:$B,0)), "-")</f>
        <v>-</v>
      </c>
      <c r="O1876" s="483" t="str">
        <f>IFERROR(INDEX([1]Produtos!$F:$F,MATCH(L1876,[1]Produtos!$B:$B,0)), "-")</f>
        <v>-</v>
      </c>
      <c r="P1876" s="477" t="str">
        <f>IFERROR(INDEX([1]Produtos!$G:$G,MATCH(L1876,[1]Produtos!$B:$B,0)), "-")</f>
        <v>-</v>
      </c>
      <c r="Q1876" s="483" t="str">
        <f>IFERROR(INDEX([1]Produtos!$H:$H,MATCH(L1876,[1]Produtos!$B:$B,0)), "-")</f>
        <v>-</v>
      </c>
      <c r="R1876" s="483" t="str">
        <f>IFERROR(INDEX([1]Produtos!$I:$I,MATCH(L1876,[1]Produtos!$B:$B,0)), "-")</f>
        <v>-</v>
      </c>
      <c r="S1876" s="483" t="str">
        <f>IFERROR(INDEX([1]Produtos!$J:$J,MATCH(L1876,[1]Produtos!$B:$B,0)), "-")</f>
        <v>-</v>
      </c>
      <c r="T1876" s="484"/>
      <c r="U1876" s="483"/>
      <c r="V1876" s="483"/>
      <c r="W1876" s="483"/>
      <c r="X1876" s="483"/>
      <c r="Y1876" s="483"/>
      <c r="Z1876" s="483"/>
      <c r="AA1876" s="483"/>
      <c r="AB1876" s="483"/>
      <c r="AC1876" s="483"/>
      <c r="AD1876" s="483"/>
      <c r="AE1876" s="483"/>
      <c r="AF1876" s="483"/>
      <c r="AG1876" s="483"/>
      <c r="AH1876" s="483"/>
      <c r="AI1876" s="483"/>
      <c r="AJ1876" s="483"/>
      <c r="AK1876" s="483"/>
      <c r="AL1876" s="483"/>
      <c r="AM1876" s="670"/>
      <c r="AN1876" s="670"/>
      <c r="AO1876" s="711" t="str">
        <f>IF(OR(Table1[[#This Row],[Início Setup Envase]]="",Table1[[#This Row],[Final Setup Envase]]=""),"",Table1[[#This Row],[Final Setup Envase]]-Table1[[#This Row],[Início Setup Envase]])</f>
        <v/>
      </c>
      <c r="AP1876" s="670"/>
      <c r="AQ1876" s="670"/>
      <c r="AR1876" s="483"/>
      <c r="AS1876" s="483"/>
      <c r="AT1876" s="483"/>
      <c r="AU1876" s="483"/>
      <c r="AV1876" s="483"/>
      <c r="AW1876" s="483"/>
      <c r="AX1876" s="483"/>
      <c r="AY1876" s="270"/>
      <c r="AZ1876" s="270"/>
      <c r="BA1876" s="270" t="str">
        <f>IF(Table1[[#This Row],[Data de Início]]="","",YEAR(Table1[[#This Row],[Data de Início]]))</f>
        <v/>
      </c>
      <c r="BB1876" s="270" t="str">
        <f>IF(Table1[[#This Row],[Data de Início]]="","",MONTH(Table1[[#This Row],[Data de Início]]))</f>
        <v/>
      </c>
      <c r="BC1876" s="270"/>
    </row>
    <row r="1877" spans="2:55" x14ac:dyDescent="0.25">
      <c r="B1877" s="470"/>
      <c r="C1877" s="263"/>
      <c r="D1877" s="477" cm="1">
        <f t="array" ref="D1877">IFERROR(HorasUteisFabrica2Turnos(B1877,C1877), "")</f>
        <v>0</v>
      </c>
      <c r="E1877" s="697" t="str">
        <f t="shared" si="29"/>
        <v/>
      </c>
      <c r="F1877" s="266"/>
      <c r="G1877" s="698"/>
      <c r="H1877" s="266"/>
      <c r="I1877" s="268"/>
      <c r="J1877" s="268"/>
      <c r="K1877" s="268"/>
      <c r="L1877" s="269"/>
      <c r="M1877" s="510" t="str">
        <f>IFERROR(INDEX([1]Produtos!$C:$C,MATCH(L1877,[1]Produtos!$B:$B,0)), "-")</f>
        <v>-</v>
      </c>
      <c r="N1877" s="510" t="str">
        <f>IFERROR(INDEX([1]Produtos!$E:$E,MATCH(L1877,[1]Produtos!$B:$B,0)), "-")</f>
        <v>-</v>
      </c>
      <c r="O1877" s="270" t="str">
        <f>IFERROR(INDEX([1]Produtos!$F:$F,MATCH(L1877,[1]Produtos!$B:$B,0)), "-")</f>
        <v>-</v>
      </c>
      <c r="P1877" s="264" t="str">
        <f>IFERROR(INDEX([1]Produtos!$G:$G,MATCH(L1877,[1]Produtos!$B:$B,0)), "-")</f>
        <v>-</v>
      </c>
      <c r="Q1877" s="270" t="str">
        <f>IFERROR(INDEX([1]Produtos!$H:$H,MATCH(L1877,[1]Produtos!$B:$B,0)), "-")</f>
        <v>-</v>
      </c>
      <c r="R1877" s="270" t="str">
        <f>IFERROR(INDEX([1]Produtos!$I:$I,MATCH(L1877,[1]Produtos!$B:$B,0)), "-")</f>
        <v>-</v>
      </c>
      <c r="S1877" s="270" t="str">
        <f>IFERROR(INDEX([1]Produtos!$J:$J,MATCH(L1877,[1]Produtos!$B:$B,0)), "-")</f>
        <v>-</v>
      </c>
      <c r="T1877" s="475"/>
      <c r="U1877" s="270"/>
      <c r="V1877" s="270"/>
      <c r="W1877" s="270"/>
      <c r="X1877" s="270"/>
      <c r="Y1877" s="270"/>
      <c r="Z1877" s="270"/>
      <c r="AA1877" s="270"/>
      <c r="AB1877" s="270"/>
      <c r="AC1877" s="270"/>
      <c r="AD1877" s="270"/>
      <c r="AE1877" s="270"/>
      <c r="AF1877" s="270"/>
      <c r="AG1877" s="270"/>
      <c r="AH1877" s="270"/>
      <c r="AI1877" s="270"/>
      <c r="AJ1877" s="270"/>
      <c r="AK1877" s="270"/>
      <c r="AL1877" s="270"/>
      <c r="AM1877" s="663"/>
      <c r="AN1877" s="663"/>
      <c r="AO1877" s="708" t="str">
        <f>IF(OR(Table1[[#This Row],[Início Setup Envase]]="",Table1[[#This Row],[Final Setup Envase]]=""),"",Table1[[#This Row],[Final Setup Envase]]-Table1[[#This Row],[Início Setup Envase]])</f>
        <v/>
      </c>
      <c r="AP1877" s="663"/>
      <c r="AQ1877" s="663"/>
      <c r="AR1877" s="270"/>
      <c r="AS1877" s="674"/>
      <c r="AT1877" s="674"/>
      <c r="AU1877" s="270"/>
      <c r="AV1877" s="270"/>
      <c r="AW1877" s="270"/>
      <c r="AX1877" s="270"/>
      <c r="AY1877" s="270"/>
      <c r="AZ1877" s="270"/>
      <c r="BA1877" s="270" t="str">
        <f>IF(Table1[[#This Row],[Data de Início]]="","",YEAR(Table1[[#This Row],[Data de Início]]))</f>
        <v/>
      </c>
      <c r="BB1877" s="270" t="str">
        <f>IF(Table1[[#This Row],[Data de Início]]="","",MONTH(Table1[[#This Row],[Data de Início]]))</f>
        <v/>
      </c>
      <c r="BC1877" s="483"/>
    </row>
    <row r="1878" spans="2:55" x14ac:dyDescent="0.25">
      <c r="B1878" s="470"/>
      <c r="C1878" s="263"/>
      <c r="D1878" s="477" cm="1">
        <f t="array" ref="D1878">IFERROR(HorasUteisFabrica2Turnos(B1878,C1878), "")</f>
        <v>0</v>
      </c>
      <c r="E1878" s="478" t="str">
        <f t="shared" si="29"/>
        <v/>
      </c>
      <c r="F1878" s="266"/>
      <c r="G1878" s="656"/>
      <c r="H1878" s="479"/>
      <c r="I1878" s="268"/>
      <c r="J1878" s="268"/>
      <c r="K1878" s="268"/>
      <c r="L1878" s="269"/>
      <c r="M1878" s="511" t="str">
        <f>IFERROR(INDEX([1]Produtos!$C:$C,MATCH(L1878,[1]Produtos!$B:$B,0)), "-")</f>
        <v>-</v>
      </c>
      <c r="N1878" s="511" t="str">
        <f>IFERROR(INDEX([1]Produtos!$E:$E,MATCH(L1878,[1]Produtos!$B:$B,0)), "-")</f>
        <v>-</v>
      </c>
      <c r="O1878" s="483" t="str">
        <f>IFERROR(INDEX([1]Produtos!$F:$F,MATCH(L1878,[1]Produtos!$B:$B,0)), "-")</f>
        <v>-</v>
      </c>
      <c r="P1878" s="477" t="str">
        <f>IFERROR(INDEX([1]Produtos!$G:$G,MATCH(L1878,[1]Produtos!$B:$B,0)), "-")</f>
        <v>-</v>
      </c>
      <c r="Q1878" s="483" t="str">
        <f>IFERROR(INDEX([1]Produtos!$H:$H,MATCH(L1878,[1]Produtos!$B:$B,0)), "-")</f>
        <v>-</v>
      </c>
      <c r="R1878" s="483" t="str">
        <f>IFERROR(INDEX([1]Produtos!$I:$I,MATCH(L1878,[1]Produtos!$B:$B,0)), "-")</f>
        <v>-</v>
      </c>
      <c r="S1878" s="483" t="str">
        <f>IFERROR(INDEX([1]Produtos!$J:$J,MATCH(L1878,[1]Produtos!$B:$B,0)), "-")</f>
        <v>-</v>
      </c>
      <c r="T1878" s="484"/>
      <c r="U1878" s="483"/>
      <c r="V1878" s="483"/>
      <c r="W1878" s="483"/>
      <c r="X1878" s="483"/>
      <c r="Y1878" s="483"/>
      <c r="Z1878" s="483"/>
      <c r="AA1878" s="483"/>
      <c r="AB1878" s="483"/>
      <c r="AC1878" s="483"/>
      <c r="AD1878" s="483"/>
      <c r="AE1878" s="483"/>
      <c r="AF1878" s="483"/>
      <c r="AG1878" s="483"/>
      <c r="AH1878" s="483"/>
      <c r="AI1878" s="483"/>
      <c r="AJ1878" s="483"/>
      <c r="AK1878" s="483"/>
      <c r="AL1878" s="483"/>
      <c r="AM1878" s="670"/>
      <c r="AN1878" s="670"/>
      <c r="AO1878" s="711" t="str">
        <f>IF(OR(Table1[[#This Row],[Início Setup Envase]]="",Table1[[#This Row],[Final Setup Envase]]=""),"",Table1[[#This Row],[Final Setup Envase]]-Table1[[#This Row],[Início Setup Envase]])</f>
        <v/>
      </c>
      <c r="AP1878" s="670"/>
      <c r="AQ1878" s="670"/>
      <c r="AR1878" s="483"/>
      <c r="AS1878" s="483"/>
      <c r="AT1878" s="483"/>
      <c r="AU1878" s="483"/>
      <c r="AV1878" s="483"/>
      <c r="AW1878" s="483"/>
      <c r="AX1878" s="483"/>
      <c r="AY1878" s="270"/>
      <c r="AZ1878" s="270"/>
      <c r="BA1878" s="270" t="str">
        <f>IF(Table1[[#This Row],[Data de Início]]="","",YEAR(Table1[[#This Row],[Data de Início]]))</f>
        <v/>
      </c>
      <c r="BB1878" s="270" t="str">
        <f>IF(Table1[[#This Row],[Data de Início]]="","",MONTH(Table1[[#This Row],[Data de Início]]))</f>
        <v/>
      </c>
      <c r="BC1878" s="270"/>
    </row>
    <row r="1879" spans="2:55" x14ac:dyDescent="0.25">
      <c r="B1879" s="470"/>
      <c r="C1879" s="263"/>
      <c r="D1879" s="477" cm="1">
        <f t="array" ref="D1879">IFERROR(HorasUteisFabrica2Turnos(B1879,C1879), "")</f>
        <v>0</v>
      </c>
      <c r="E1879" s="697" t="str">
        <f t="shared" si="29"/>
        <v/>
      </c>
      <c r="F1879" s="266"/>
      <c r="G1879" s="698"/>
      <c r="H1879" s="266"/>
      <c r="I1879" s="268"/>
      <c r="J1879" s="268"/>
      <c r="K1879" s="268"/>
      <c r="L1879" s="269"/>
      <c r="M1879" s="510" t="str">
        <f>IFERROR(INDEX([1]Produtos!$C:$C,MATCH(L1879,[1]Produtos!$B:$B,0)), "-")</f>
        <v>-</v>
      </c>
      <c r="N1879" s="510" t="str">
        <f>IFERROR(INDEX([1]Produtos!$E:$E,MATCH(L1879,[1]Produtos!$B:$B,0)), "-")</f>
        <v>-</v>
      </c>
      <c r="O1879" s="270" t="str">
        <f>IFERROR(INDEX([1]Produtos!$F:$F,MATCH(L1879,[1]Produtos!$B:$B,0)), "-")</f>
        <v>-</v>
      </c>
      <c r="P1879" s="264" t="str">
        <f>IFERROR(INDEX([1]Produtos!$G:$G,MATCH(L1879,[1]Produtos!$B:$B,0)), "-")</f>
        <v>-</v>
      </c>
      <c r="Q1879" s="270" t="str">
        <f>IFERROR(INDEX([1]Produtos!$H:$H,MATCH(L1879,[1]Produtos!$B:$B,0)), "-")</f>
        <v>-</v>
      </c>
      <c r="R1879" s="270" t="str">
        <f>IFERROR(INDEX([1]Produtos!$I:$I,MATCH(L1879,[1]Produtos!$B:$B,0)), "-")</f>
        <v>-</v>
      </c>
      <c r="S1879" s="270" t="str">
        <f>IFERROR(INDEX([1]Produtos!$J:$J,MATCH(L1879,[1]Produtos!$B:$B,0)), "-")</f>
        <v>-</v>
      </c>
      <c r="T1879" s="475"/>
      <c r="U1879" s="270"/>
      <c r="V1879" s="270"/>
      <c r="W1879" s="270"/>
      <c r="X1879" s="270"/>
      <c r="Y1879" s="270"/>
      <c r="Z1879" s="270"/>
      <c r="AA1879" s="270"/>
      <c r="AB1879" s="270"/>
      <c r="AC1879" s="270"/>
      <c r="AD1879" s="270"/>
      <c r="AE1879" s="270"/>
      <c r="AF1879" s="270"/>
      <c r="AG1879" s="270"/>
      <c r="AH1879" s="270"/>
      <c r="AI1879" s="270"/>
      <c r="AJ1879" s="270"/>
      <c r="AK1879" s="270"/>
      <c r="AL1879" s="270"/>
      <c r="AM1879" s="663"/>
      <c r="AN1879" s="663"/>
      <c r="AO1879" s="708" t="str">
        <f>IF(OR(Table1[[#This Row],[Início Setup Envase]]="",Table1[[#This Row],[Final Setup Envase]]=""),"",Table1[[#This Row],[Final Setup Envase]]-Table1[[#This Row],[Início Setup Envase]])</f>
        <v/>
      </c>
      <c r="AP1879" s="663"/>
      <c r="AQ1879" s="663"/>
      <c r="AR1879" s="270"/>
      <c r="AS1879" s="674"/>
      <c r="AT1879" s="674"/>
      <c r="AU1879" s="270"/>
      <c r="AV1879" s="270"/>
      <c r="AW1879" s="270"/>
      <c r="AX1879" s="270"/>
      <c r="AY1879" s="270"/>
      <c r="AZ1879" s="270"/>
      <c r="BA1879" s="270" t="str">
        <f>IF(Table1[[#This Row],[Data de Início]]="","",YEAR(Table1[[#This Row],[Data de Início]]))</f>
        <v/>
      </c>
      <c r="BB1879" s="270" t="str">
        <f>IF(Table1[[#This Row],[Data de Início]]="","",MONTH(Table1[[#This Row],[Data de Início]]))</f>
        <v/>
      </c>
      <c r="BC1879" s="483"/>
    </row>
    <row r="1880" spans="2:55" x14ac:dyDescent="0.25">
      <c r="B1880" s="470"/>
      <c r="C1880" s="263"/>
      <c r="D1880" s="477" cm="1">
        <f t="array" ref="D1880">IFERROR(HorasUteisFabrica2Turnos(B1880,C1880), "")</f>
        <v>0</v>
      </c>
      <c r="E1880" s="478" t="str">
        <f t="shared" si="29"/>
        <v/>
      </c>
      <c r="F1880" s="266"/>
      <c r="G1880" s="656"/>
      <c r="H1880" s="479"/>
      <c r="I1880" s="268"/>
      <c r="J1880" s="268"/>
      <c r="K1880" s="268"/>
      <c r="L1880" s="269"/>
      <c r="M1880" s="511" t="str">
        <f>IFERROR(INDEX([1]Produtos!$C:$C,MATCH(L1880,[1]Produtos!$B:$B,0)), "-")</f>
        <v>-</v>
      </c>
      <c r="N1880" s="511" t="str">
        <f>IFERROR(INDEX([1]Produtos!$E:$E,MATCH(L1880,[1]Produtos!$B:$B,0)), "-")</f>
        <v>-</v>
      </c>
      <c r="O1880" s="483" t="str">
        <f>IFERROR(INDEX([1]Produtos!$F:$F,MATCH(L1880,[1]Produtos!$B:$B,0)), "-")</f>
        <v>-</v>
      </c>
      <c r="P1880" s="477" t="str">
        <f>IFERROR(INDEX([1]Produtos!$G:$G,MATCH(L1880,[1]Produtos!$B:$B,0)), "-")</f>
        <v>-</v>
      </c>
      <c r="Q1880" s="483" t="str">
        <f>IFERROR(INDEX([1]Produtos!$H:$H,MATCH(L1880,[1]Produtos!$B:$B,0)), "-")</f>
        <v>-</v>
      </c>
      <c r="R1880" s="483" t="str">
        <f>IFERROR(INDEX([1]Produtos!$I:$I,MATCH(L1880,[1]Produtos!$B:$B,0)), "-")</f>
        <v>-</v>
      </c>
      <c r="S1880" s="483" t="str">
        <f>IFERROR(INDEX([1]Produtos!$J:$J,MATCH(L1880,[1]Produtos!$B:$B,0)), "-")</f>
        <v>-</v>
      </c>
      <c r="T1880" s="484"/>
      <c r="U1880" s="483"/>
      <c r="V1880" s="483"/>
      <c r="W1880" s="483"/>
      <c r="X1880" s="483"/>
      <c r="Y1880" s="483"/>
      <c r="Z1880" s="483"/>
      <c r="AA1880" s="483"/>
      <c r="AB1880" s="483"/>
      <c r="AC1880" s="483"/>
      <c r="AD1880" s="483"/>
      <c r="AE1880" s="483"/>
      <c r="AF1880" s="483"/>
      <c r="AG1880" s="483"/>
      <c r="AH1880" s="483"/>
      <c r="AI1880" s="483"/>
      <c r="AJ1880" s="483"/>
      <c r="AK1880" s="483"/>
      <c r="AL1880" s="483"/>
      <c r="AM1880" s="670"/>
      <c r="AN1880" s="670"/>
      <c r="AO1880" s="711" t="str">
        <f>IF(OR(Table1[[#This Row],[Início Setup Envase]]="",Table1[[#This Row],[Final Setup Envase]]=""),"",Table1[[#This Row],[Final Setup Envase]]-Table1[[#This Row],[Início Setup Envase]])</f>
        <v/>
      </c>
      <c r="AP1880" s="670"/>
      <c r="AQ1880" s="670"/>
      <c r="AR1880" s="483"/>
      <c r="AS1880" s="483"/>
      <c r="AT1880" s="483"/>
      <c r="AU1880" s="483"/>
      <c r="AV1880" s="483"/>
      <c r="AW1880" s="483"/>
      <c r="AX1880" s="483"/>
      <c r="AY1880" s="270"/>
      <c r="AZ1880" s="270"/>
      <c r="BA1880" s="270" t="str">
        <f>IF(Table1[[#This Row],[Data de Início]]="","",YEAR(Table1[[#This Row],[Data de Início]]))</f>
        <v/>
      </c>
      <c r="BB1880" s="270" t="str">
        <f>IF(Table1[[#This Row],[Data de Início]]="","",MONTH(Table1[[#This Row],[Data de Início]]))</f>
        <v/>
      </c>
      <c r="BC1880" s="270"/>
    </row>
    <row r="1881" spans="2:55" x14ac:dyDescent="0.25">
      <c r="B1881" s="470"/>
      <c r="C1881" s="263"/>
      <c r="D1881" s="477" cm="1">
        <f t="array" ref="D1881">IFERROR(HorasUteisFabrica2Turnos(B1881,C1881), "")</f>
        <v>0</v>
      </c>
      <c r="E1881" s="697" t="str">
        <f t="shared" si="29"/>
        <v/>
      </c>
      <c r="F1881" s="266"/>
      <c r="G1881" s="698"/>
      <c r="H1881" s="266"/>
      <c r="I1881" s="268"/>
      <c r="J1881" s="268"/>
      <c r="K1881" s="268"/>
      <c r="L1881" s="269"/>
      <c r="M1881" s="510" t="str">
        <f>IFERROR(INDEX([1]Produtos!$C:$C,MATCH(L1881,[1]Produtos!$B:$B,0)), "-")</f>
        <v>-</v>
      </c>
      <c r="N1881" s="510" t="str">
        <f>IFERROR(INDEX([1]Produtos!$E:$E,MATCH(L1881,[1]Produtos!$B:$B,0)), "-")</f>
        <v>-</v>
      </c>
      <c r="O1881" s="270" t="str">
        <f>IFERROR(INDEX([1]Produtos!$F:$F,MATCH(L1881,[1]Produtos!$B:$B,0)), "-")</f>
        <v>-</v>
      </c>
      <c r="P1881" s="264" t="str">
        <f>IFERROR(INDEX([1]Produtos!$G:$G,MATCH(L1881,[1]Produtos!$B:$B,0)), "-")</f>
        <v>-</v>
      </c>
      <c r="Q1881" s="270" t="str">
        <f>IFERROR(INDEX([1]Produtos!$H:$H,MATCH(L1881,[1]Produtos!$B:$B,0)), "-")</f>
        <v>-</v>
      </c>
      <c r="R1881" s="270" t="str">
        <f>IFERROR(INDEX([1]Produtos!$I:$I,MATCH(L1881,[1]Produtos!$B:$B,0)), "-")</f>
        <v>-</v>
      </c>
      <c r="S1881" s="270" t="str">
        <f>IFERROR(INDEX([1]Produtos!$J:$J,MATCH(L1881,[1]Produtos!$B:$B,0)), "-")</f>
        <v>-</v>
      </c>
      <c r="T1881" s="475"/>
      <c r="U1881" s="270"/>
      <c r="V1881" s="270"/>
      <c r="W1881" s="270"/>
      <c r="X1881" s="270"/>
      <c r="Y1881" s="270"/>
      <c r="Z1881" s="270"/>
      <c r="AA1881" s="270"/>
      <c r="AB1881" s="270"/>
      <c r="AC1881" s="270"/>
      <c r="AD1881" s="270"/>
      <c r="AE1881" s="270"/>
      <c r="AF1881" s="270"/>
      <c r="AG1881" s="270"/>
      <c r="AH1881" s="270"/>
      <c r="AI1881" s="270"/>
      <c r="AJ1881" s="270"/>
      <c r="AK1881" s="270"/>
      <c r="AL1881" s="270"/>
      <c r="AM1881" s="663"/>
      <c r="AN1881" s="663"/>
      <c r="AO1881" s="708" t="str">
        <f>IF(OR(Table1[[#This Row],[Início Setup Envase]]="",Table1[[#This Row],[Final Setup Envase]]=""),"",Table1[[#This Row],[Final Setup Envase]]-Table1[[#This Row],[Início Setup Envase]])</f>
        <v/>
      </c>
      <c r="AP1881" s="663"/>
      <c r="AQ1881" s="663"/>
      <c r="AR1881" s="270"/>
      <c r="AS1881" s="674"/>
      <c r="AT1881" s="674"/>
      <c r="AU1881" s="270"/>
      <c r="AV1881" s="270"/>
      <c r="AW1881" s="270"/>
      <c r="AX1881" s="270"/>
      <c r="AY1881" s="270"/>
      <c r="AZ1881" s="270"/>
      <c r="BA1881" s="270" t="str">
        <f>IF(Table1[[#This Row],[Data de Início]]="","",YEAR(Table1[[#This Row],[Data de Início]]))</f>
        <v/>
      </c>
      <c r="BB1881" s="270" t="str">
        <f>IF(Table1[[#This Row],[Data de Início]]="","",MONTH(Table1[[#This Row],[Data de Início]]))</f>
        <v/>
      </c>
      <c r="BC1881" s="483"/>
    </row>
    <row r="1882" spans="2:55" x14ac:dyDescent="0.25">
      <c r="B1882" s="470"/>
      <c r="C1882" s="263"/>
      <c r="D1882" s="477" cm="1">
        <f t="array" ref="D1882">IFERROR(HorasUteisFabrica2Turnos(B1882,C1882), "")</f>
        <v>0</v>
      </c>
      <c r="E1882" s="478" t="str">
        <f t="shared" si="29"/>
        <v/>
      </c>
      <c r="F1882" s="266"/>
      <c r="G1882" s="656"/>
      <c r="H1882" s="479"/>
      <c r="I1882" s="268"/>
      <c r="J1882" s="268"/>
      <c r="K1882" s="268"/>
      <c r="L1882" s="269"/>
      <c r="M1882" s="511" t="str">
        <f>IFERROR(INDEX([1]Produtos!$C:$C,MATCH(L1882,[1]Produtos!$B:$B,0)), "-")</f>
        <v>-</v>
      </c>
      <c r="N1882" s="511" t="str">
        <f>IFERROR(INDEX([1]Produtos!$E:$E,MATCH(L1882,[1]Produtos!$B:$B,0)), "-")</f>
        <v>-</v>
      </c>
      <c r="O1882" s="483" t="str">
        <f>IFERROR(INDEX([1]Produtos!$F:$F,MATCH(L1882,[1]Produtos!$B:$B,0)), "-")</f>
        <v>-</v>
      </c>
      <c r="P1882" s="477" t="str">
        <f>IFERROR(INDEX([1]Produtos!$G:$G,MATCH(L1882,[1]Produtos!$B:$B,0)), "-")</f>
        <v>-</v>
      </c>
      <c r="Q1882" s="483" t="str">
        <f>IFERROR(INDEX([1]Produtos!$H:$H,MATCH(L1882,[1]Produtos!$B:$B,0)), "-")</f>
        <v>-</v>
      </c>
      <c r="R1882" s="483" t="str">
        <f>IFERROR(INDEX([1]Produtos!$I:$I,MATCH(L1882,[1]Produtos!$B:$B,0)), "-")</f>
        <v>-</v>
      </c>
      <c r="S1882" s="483" t="str">
        <f>IFERROR(INDEX([1]Produtos!$J:$J,MATCH(L1882,[1]Produtos!$B:$B,0)), "-")</f>
        <v>-</v>
      </c>
      <c r="T1882" s="484"/>
      <c r="U1882" s="483"/>
      <c r="V1882" s="483"/>
      <c r="W1882" s="483"/>
      <c r="X1882" s="483"/>
      <c r="Y1882" s="483"/>
      <c r="Z1882" s="483"/>
      <c r="AA1882" s="483"/>
      <c r="AB1882" s="483"/>
      <c r="AC1882" s="483"/>
      <c r="AD1882" s="483"/>
      <c r="AE1882" s="483"/>
      <c r="AF1882" s="483"/>
      <c r="AG1882" s="483"/>
      <c r="AH1882" s="483"/>
      <c r="AI1882" s="483"/>
      <c r="AJ1882" s="483"/>
      <c r="AK1882" s="483"/>
      <c r="AL1882" s="483"/>
      <c r="AM1882" s="670"/>
      <c r="AN1882" s="670"/>
      <c r="AO1882" s="711" t="str">
        <f>IF(OR(Table1[[#This Row],[Início Setup Envase]]="",Table1[[#This Row],[Final Setup Envase]]=""),"",Table1[[#This Row],[Final Setup Envase]]-Table1[[#This Row],[Início Setup Envase]])</f>
        <v/>
      </c>
      <c r="AP1882" s="670"/>
      <c r="AQ1882" s="670"/>
      <c r="AR1882" s="483"/>
      <c r="AS1882" s="483"/>
      <c r="AT1882" s="483"/>
      <c r="AU1882" s="483"/>
      <c r="AV1882" s="483"/>
      <c r="AW1882" s="483"/>
      <c r="AX1882" s="483"/>
      <c r="AY1882" s="270"/>
      <c r="AZ1882" s="270"/>
      <c r="BA1882" s="270" t="str">
        <f>IF(Table1[[#This Row],[Data de Início]]="","",YEAR(Table1[[#This Row],[Data de Início]]))</f>
        <v/>
      </c>
      <c r="BB1882" s="270" t="str">
        <f>IF(Table1[[#This Row],[Data de Início]]="","",MONTH(Table1[[#This Row],[Data de Início]]))</f>
        <v/>
      </c>
      <c r="BC1882" s="270"/>
    </row>
    <row r="1883" spans="2:55" x14ac:dyDescent="0.25">
      <c r="B1883" s="470"/>
      <c r="C1883" s="263"/>
      <c r="D1883" s="477" cm="1">
        <f t="array" ref="D1883">IFERROR(HorasUteisFabrica2Turnos(B1883,C1883), "")</f>
        <v>0</v>
      </c>
      <c r="E1883" s="697" t="str">
        <f t="shared" si="29"/>
        <v/>
      </c>
      <c r="F1883" s="266"/>
      <c r="G1883" s="698"/>
      <c r="H1883" s="266"/>
      <c r="I1883" s="268"/>
      <c r="J1883" s="268"/>
      <c r="K1883" s="268"/>
      <c r="L1883" s="269"/>
      <c r="M1883" s="510" t="str">
        <f>IFERROR(INDEX([1]Produtos!$C:$C,MATCH(L1883,[1]Produtos!$B:$B,0)), "-")</f>
        <v>-</v>
      </c>
      <c r="N1883" s="510" t="str">
        <f>IFERROR(INDEX([1]Produtos!$E:$E,MATCH(L1883,[1]Produtos!$B:$B,0)), "-")</f>
        <v>-</v>
      </c>
      <c r="O1883" s="270" t="str">
        <f>IFERROR(INDEX([1]Produtos!$F:$F,MATCH(L1883,[1]Produtos!$B:$B,0)), "-")</f>
        <v>-</v>
      </c>
      <c r="P1883" s="264" t="str">
        <f>IFERROR(INDEX([1]Produtos!$G:$G,MATCH(L1883,[1]Produtos!$B:$B,0)), "-")</f>
        <v>-</v>
      </c>
      <c r="Q1883" s="270" t="str">
        <f>IFERROR(INDEX([1]Produtos!$H:$H,MATCH(L1883,[1]Produtos!$B:$B,0)), "-")</f>
        <v>-</v>
      </c>
      <c r="R1883" s="270" t="str">
        <f>IFERROR(INDEX([1]Produtos!$I:$I,MATCH(L1883,[1]Produtos!$B:$B,0)), "-")</f>
        <v>-</v>
      </c>
      <c r="S1883" s="270" t="str">
        <f>IFERROR(INDEX([1]Produtos!$J:$J,MATCH(L1883,[1]Produtos!$B:$B,0)), "-")</f>
        <v>-</v>
      </c>
      <c r="T1883" s="475"/>
      <c r="U1883" s="270"/>
      <c r="V1883" s="270"/>
      <c r="W1883" s="270"/>
      <c r="X1883" s="270"/>
      <c r="Y1883" s="270"/>
      <c r="Z1883" s="270"/>
      <c r="AA1883" s="270"/>
      <c r="AB1883" s="270"/>
      <c r="AC1883" s="270"/>
      <c r="AD1883" s="270"/>
      <c r="AE1883" s="270"/>
      <c r="AF1883" s="270"/>
      <c r="AG1883" s="270"/>
      <c r="AH1883" s="270"/>
      <c r="AI1883" s="270"/>
      <c r="AJ1883" s="270"/>
      <c r="AK1883" s="270"/>
      <c r="AL1883" s="270"/>
      <c r="AM1883" s="663"/>
      <c r="AN1883" s="663"/>
      <c r="AO1883" s="708" t="str">
        <f>IF(OR(Table1[[#This Row],[Início Setup Envase]]="",Table1[[#This Row],[Final Setup Envase]]=""),"",Table1[[#This Row],[Final Setup Envase]]-Table1[[#This Row],[Início Setup Envase]])</f>
        <v/>
      </c>
      <c r="AP1883" s="663"/>
      <c r="AQ1883" s="663"/>
      <c r="AR1883" s="270"/>
      <c r="AS1883" s="674"/>
      <c r="AT1883" s="674"/>
      <c r="AU1883" s="270"/>
      <c r="AV1883" s="270"/>
      <c r="AW1883" s="270"/>
      <c r="AX1883" s="270"/>
      <c r="AY1883" s="270"/>
      <c r="AZ1883" s="270"/>
      <c r="BA1883" s="270" t="str">
        <f>IF(Table1[[#This Row],[Data de Início]]="","",YEAR(Table1[[#This Row],[Data de Início]]))</f>
        <v/>
      </c>
      <c r="BB1883" s="270" t="str">
        <f>IF(Table1[[#This Row],[Data de Início]]="","",MONTH(Table1[[#This Row],[Data de Início]]))</f>
        <v/>
      </c>
      <c r="BC1883" s="483"/>
    </row>
    <row r="1884" spans="2:55" x14ac:dyDescent="0.25">
      <c r="B1884" s="470"/>
      <c r="C1884" s="263"/>
      <c r="D1884" s="477" cm="1">
        <f t="array" ref="D1884">IFERROR(HorasUteisFabrica2Turnos(B1884,C1884), "")</f>
        <v>0</v>
      </c>
      <c r="E1884" s="478" t="str">
        <f t="shared" si="29"/>
        <v/>
      </c>
      <c r="F1884" s="266"/>
      <c r="G1884" s="656"/>
      <c r="H1884" s="479"/>
      <c r="I1884" s="268"/>
      <c r="J1884" s="268"/>
      <c r="K1884" s="268"/>
      <c r="L1884" s="269"/>
      <c r="M1884" s="511" t="str">
        <f>IFERROR(INDEX([1]Produtos!$C:$C,MATCH(L1884,[1]Produtos!$B:$B,0)), "-")</f>
        <v>-</v>
      </c>
      <c r="N1884" s="511" t="str">
        <f>IFERROR(INDEX([1]Produtos!$E:$E,MATCH(L1884,[1]Produtos!$B:$B,0)), "-")</f>
        <v>-</v>
      </c>
      <c r="O1884" s="483" t="str">
        <f>IFERROR(INDEX([1]Produtos!$F:$F,MATCH(L1884,[1]Produtos!$B:$B,0)), "-")</f>
        <v>-</v>
      </c>
      <c r="P1884" s="477" t="str">
        <f>IFERROR(INDEX([1]Produtos!$G:$G,MATCH(L1884,[1]Produtos!$B:$B,0)), "-")</f>
        <v>-</v>
      </c>
      <c r="Q1884" s="483" t="str">
        <f>IFERROR(INDEX([1]Produtos!$H:$H,MATCH(L1884,[1]Produtos!$B:$B,0)), "-")</f>
        <v>-</v>
      </c>
      <c r="R1884" s="483" t="str">
        <f>IFERROR(INDEX([1]Produtos!$I:$I,MATCH(L1884,[1]Produtos!$B:$B,0)), "-")</f>
        <v>-</v>
      </c>
      <c r="S1884" s="483" t="str">
        <f>IFERROR(INDEX([1]Produtos!$J:$J,MATCH(L1884,[1]Produtos!$B:$B,0)), "-")</f>
        <v>-</v>
      </c>
      <c r="T1884" s="484"/>
      <c r="U1884" s="483"/>
      <c r="V1884" s="483"/>
      <c r="W1884" s="483"/>
      <c r="X1884" s="483"/>
      <c r="Y1884" s="483"/>
      <c r="Z1884" s="483"/>
      <c r="AA1884" s="483"/>
      <c r="AB1884" s="483"/>
      <c r="AC1884" s="483"/>
      <c r="AD1884" s="483"/>
      <c r="AE1884" s="483"/>
      <c r="AF1884" s="483"/>
      <c r="AG1884" s="483"/>
      <c r="AH1884" s="483"/>
      <c r="AI1884" s="483"/>
      <c r="AJ1884" s="483"/>
      <c r="AK1884" s="483"/>
      <c r="AL1884" s="483"/>
      <c r="AM1884" s="670"/>
      <c r="AN1884" s="670"/>
      <c r="AO1884" s="711" t="str">
        <f>IF(OR(Table1[[#This Row],[Início Setup Envase]]="",Table1[[#This Row],[Final Setup Envase]]=""),"",Table1[[#This Row],[Final Setup Envase]]-Table1[[#This Row],[Início Setup Envase]])</f>
        <v/>
      </c>
      <c r="AP1884" s="670"/>
      <c r="AQ1884" s="670"/>
      <c r="AR1884" s="483"/>
      <c r="AS1884" s="483"/>
      <c r="AT1884" s="483"/>
      <c r="AU1884" s="483"/>
      <c r="AV1884" s="483"/>
      <c r="AW1884" s="483"/>
      <c r="AX1884" s="483"/>
      <c r="AY1884" s="270"/>
      <c r="AZ1884" s="270"/>
      <c r="BA1884" s="270" t="str">
        <f>IF(Table1[[#This Row],[Data de Início]]="","",YEAR(Table1[[#This Row],[Data de Início]]))</f>
        <v/>
      </c>
      <c r="BB1884" s="270" t="str">
        <f>IF(Table1[[#This Row],[Data de Início]]="","",MONTH(Table1[[#This Row],[Data de Início]]))</f>
        <v/>
      </c>
      <c r="BC1884" s="270"/>
    </row>
    <row r="1885" spans="2:55" x14ac:dyDescent="0.25">
      <c r="B1885" s="470"/>
      <c r="C1885" s="263"/>
      <c r="D1885" s="477" cm="1">
        <f t="array" ref="D1885">IFERROR(HorasUteisFabrica2Turnos(B1885,C1885), "")</f>
        <v>0</v>
      </c>
      <c r="E1885" s="697" t="str">
        <f t="shared" si="29"/>
        <v/>
      </c>
      <c r="F1885" s="266"/>
      <c r="G1885" s="698"/>
      <c r="H1885" s="266"/>
      <c r="I1885" s="268"/>
      <c r="J1885" s="268"/>
      <c r="K1885" s="268"/>
      <c r="L1885" s="269"/>
      <c r="M1885" s="510" t="str">
        <f>IFERROR(INDEX([1]Produtos!$C:$C,MATCH(L1885,[1]Produtos!$B:$B,0)), "-")</f>
        <v>-</v>
      </c>
      <c r="N1885" s="510" t="str">
        <f>IFERROR(INDEX([1]Produtos!$E:$E,MATCH(L1885,[1]Produtos!$B:$B,0)), "-")</f>
        <v>-</v>
      </c>
      <c r="O1885" s="270" t="str">
        <f>IFERROR(INDEX([1]Produtos!$F:$F,MATCH(L1885,[1]Produtos!$B:$B,0)), "-")</f>
        <v>-</v>
      </c>
      <c r="P1885" s="264" t="str">
        <f>IFERROR(INDEX([1]Produtos!$G:$G,MATCH(L1885,[1]Produtos!$B:$B,0)), "-")</f>
        <v>-</v>
      </c>
      <c r="Q1885" s="270" t="str">
        <f>IFERROR(INDEX([1]Produtos!$H:$H,MATCH(L1885,[1]Produtos!$B:$B,0)), "-")</f>
        <v>-</v>
      </c>
      <c r="R1885" s="270" t="str">
        <f>IFERROR(INDEX([1]Produtos!$I:$I,MATCH(L1885,[1]Produtos!$B:$B,0)), "-")</f>
        <v>-</v>
      </c>
      <c r="S1885" s="270" t="str">
        <f>IFERROR(INDEX([1]Produtos!$J:$J,MATCH(L1885,[1]Produtos!$B:$B,0)), "-")</f>
        <v>-</v>
      </c>
      <c r="T1885" s="475"/>
      <c r="U1885" s="270"/>
      <c r="V1885" s="270"/>
      <c r="W1885" s="270"/>
      <c r="X1885" s="270"/>
      <c r="Y1885" s="270"/>
      <c r="Z1885" s="270"/>
      <c r="AA1885" s="270"/>
      <c r="AB1885" s="270"/>
      <c r="AC1885" s="270"/>
      <c r="AD1885" s="270"/>
      <c r="AE1885" s="270"/>
      <c r="AF1885" s="270"/>
      <c r="AG1885" s="270"/>
      <c r="AH1885" s="270"/>
      <c r="AI1885" s="270"/>
      <c r="AJ1885" s="270"/>
      <c r="AK1885" s="270"/>
      <c r="AL1885" s="270"/>
      <c r="AM1885" s="663"/>
      <c r="AN1885" s="663"/>
      <c r="AO1885" s="708" t="str">
        <f>IF(OR(Table1[[#This Row],[Início Setup Envase]]="",Table1[[#This Row],[Final Setup Envase]]=""),"",Table1[[#This Row],[Final Setup Envase]]-Table1[[#This Row],[Início Setup Envase]])</f>
        <v/>
      </c>
      <c r="AP1885" s="663"/>
      <c r="AQ1885" s="663"/>
      <c r="AR1885" s="270"/>
      <c r="AS1885" s="674"/>
      <c r="AT1885" s="674"/>
      <c r="AU1885" s="270"/>
      <c r="AV1885" s="270"/>
      <c r="AW1885" s="270"/>
      <c r="AX1885" s="270"/>
      <c r="AY1885" s="270"/>
      <c r="AZ1885" s="270"/>
      <c r="BA1885" s="270" t="str">
        <f>IF(Table1[[#This Row],[Data de Início]]="","",YEAR(Table1[[#This Row],[Data de Início]]))</f>
        <v/>
      </c>
      <c r="BB1885" s="270" t="str">
        <f>IF(Table1[[#This Row],[Data de Início]]="","",MONTH(Table1[[#This Row],[Data de Início]]))</f>
        <v/>
      </c>
      <c r="BC1885" s="483"/>
    </row>
    <row r="1886" spans="2:55" x14ac:dyDescent="0.25">
      <c r="B1886" s="470"/>
      <c r="C1886" s="263"/>
      <c r="D1886" s="477" cm="1">
        <f t="array" ref="D1886">IFERROR(HorasUteisFabrica2Turnos(B1886,C1886), "")</f>
        <v>0</v>
      </c>
      <c r="E1886" s="478" t="str">
        <f t="shared" si="29"/>
        <v/>
      </c>
      <c r="F1886" s="266"/>
      <c r="G1886" s="656"/>
      <c r="H1886" s="479"/>
      <c r="I1886" s="268"/>
      <c r="J1886" s="268"/>
      <c r="K1886" s="268"/>
      <c r="L1886" s="269"/>
      <c r="M1886" s="511" t="str">
        <f>IFERROR(INDEX([1]Produtos!$C:$C,MATCH(L1886,[1]Produtos!$B:$B,0)), "-")</f>
        <v>-</v>
      </c>
      <c r="N1886" s="511" t="str">
        <f>IFERROR(INDEX([1]Produtos!$E:$E,MATCH(L1886,[1]Produtos!$B:$B,0)), "-")</f>
        <v>-</v>
      </c>
      <c r="O1886" s="483" t="str">
        <f>IFERROR(INDEX([1]Produtos!$F:$F,MATCH(L1886,[1]Produtos!$B:$B,0)), "-")</f>
        <v>-</v>
      </c>
      <c r="P1886" s="477" t="str">
        <f>IFERROR(INDEX([1]Produtos!$G:$G,MATCH(L1886,[1]Produtos!$B:$B,0)), "-")</f>
        <v>-</v>
      </c>
      <c r="Q1886" s="483" t="str">
        <f>IFERROR(INDEX([1]Produtos!$H:$H,MATCH(L1886,[1]Produtos!$B:$B,0)), "-")</f>
        <v>-</v>
      </c>
      <c r="R1886" s="483" t="str">
        <f>IFERROR(INDEX([1]Produtos!$I:$I,MATCH(L1886,[1]Produtos!$B:$B,0)), "-")</f>
        <v>-</v>
      </c>
      <c r="S1886" s="483" t="str">
        <f>IFERROR(INDEX([1]Produtos!$J:$J,MATCH(L1886,[1]Produtos!$B:$B,0)), "-")</f>
        <v>-</v>
      </c>
      <c r="T1886" s="484"/>
      <c r="U1886" s="483"/>
      <c r="V1886" s="483"/>
      <c r="W1886" s="483"/>
      <c r="X1886" s="483"/>
      <c r="Y1886" s="483"/>
      <c r="Z1886" s="483"/>
      <c r="AA1886" s="483"/>
      <c r="AB1886" s="483"/>
      <c r="AC1886" s="483"/>
      <c r="AD1886" s="483"/>
      <c r="AE1886" s="483"/>
      <c r="AF1886" s="483"/>
      <c r="AG1886" s="483"/>
      <c r="AH1886" s="483"/>
      <c r="AI1886" s="483"/>
      <c r="AJ1886" s="483"/>
      <c r="AK1886" s="483"/>
      <c r="AL1886" s="483"/>
      <c r="AM1886" s="670"/>
      <c r="AN1886" s="670"/>
      <c r="AO1886" s="711" t="str">
        <f>IF(OR(Table1[[#This Row],[Início Setup Envase]]="",Table1[[#This Row],[Final Setup Envase]]=""),"",Table1[[#This Row],[Final Setup Envase]]-Table1[[#This Row],[Início Setup Envase]])</f>
        <v/>
      </c>
      <c r="AP1886" s="670"/>
      <c r="AQ1886" s="670"/>
      <c r="AR1886" s="483"/>
      <c r="AS1886" s="483"/>
      <c r="AT1886" s="483"/>
      <c r="AU1886" s="483"/>
      <c r="AV1886" s="483"/>
      <c r="AW1886" s="483"/>
      <c r="AX1886" s="483"/>
      <c r="AY1886" s="270"/>
      <c r="AZ1886" s="270"/>
      <c r="BA1886" s="270" t="str">
        <f>IF(Table1[[#This Row],[Data de Início]]="","",YEAR(Table1[[#This Row],[Data de Início]]))</f>
        <v/>
      </c>
      <c r="BB1886" s="270" t="str">
        <f>IF(Table1[[#This Row],[Data de Início]]="","",MONTH(Table1[[#This Row],[Data de Início]]))</f>
        <v/>
      </c>
      <c r="BC1886" s="270"/>
    </row>
    <row r="1887" spans="2:55" x14ac:dyDescent="0.25">
      <c r="B1887" s="470"/>
      <c r="C1887" s="263"/>
      <c r="D1887" s="477" cm="1">
        <f t="array" ref="D1887">IFERROR(HorasUteisFabrica2Turnos(B1887,C1887), "")</f>
        <v>0</v>
      </c>
      <c r="E1887" s="697" t="str">
        <f t="shared" si="29"/>
        <v/>
      </c>
      <c r="F1887" s="266"/>
      <c r="G1887" s="698"/>
      <c r="H1887" s="266"/>
      <c r="I1887" s="268"/>
      <c r="J1887" s="268"/>
      <c r="K1887" s="268"/>
      <c r="L1887" s="269"/>
      <c r="M1887" s="510" t="str">
        <f>IFERROR(INDEX([1]Produtos!$C:$C,MATCH(L1887,[1]Produtos!$B:$B,0)), "-")</f>
        <v>-</v>
      </c>
      <c r="N1887" s="510" t="str">
        <f>IFERROR(INDEX([1]Produtos!$E:$E,MATCH(L1887,[1]Produtos!$B:$B,0)), "-")</f>
        <v>-</v>
      </c>
      <c r="O1887" s="270" t="str">
        <f>IFERROR(INDEX([1]Produtos!$F:$F,MATCH(L1887,[1]Produtos!$B:$B,0)), "-")</f>
        <v>-</v>
      </c>
      <c r="P1887" s="264" t="str">
        <f>IFERROR(INDEX([1]Produtos!$G:$G,MATCH(L1887,[1]Produtos!$B:$B,0)), "-")</f>
        <v>-</v>
      </c>
      <c r="Q1887" s="270" t="str">
        <f>IFERROR(INDEX([1]Produtos!$H:$H,MATCH(L1887,[1]Produtos!$B:$B,0)), "-")</f>
        <v>-</v>
      </c>
      <c r="R1887" s="270" t="str">
        <f>IFERROR(INDEX([1]Produtos!$I:$I,MATCH(L1887,[1]Produtos!$B:$B,0)), "-")</f>
        <v>-</v>
      </c>
      <c r="S1887" s="270" t="str">
        <f>IFERROR(INDEX([1]Produtos!$J:$J,MATCH(L1887,[1]Produtos!$B:$B,0)), "-")</f>
        <v>-</v>
      </c>
      <c r="T1887" s="475"/>
      <c r="U1887" s="270"/>
      <c r="V1887" s="270"/>
      <c r="W1887" s="270"/>
      <c r="X1887" s="270"/>
      <c r="Y1887" s="270"/>
      <c r="Z1887" s="270"/>
      <c r="AA1887" s="270"/>
      <c r="AB1887" s="270"/>
      <c r="AC1887" s="270"/>
      <c r="AD1887" s="270"/>
      <c r="AE1887" s="270"/>
      <c r="AF1887" s="270"/>
      <c r="AG1887" s="270"/>
      <c r="AH1887" s="270"/>
      <c r="AI1887" s="270"/>
      <c r="AJ1887" s="270"/>
      <c r="AK1887" s="270"/>
      <c r="AL1887" s="270"/>
      <c r="AM1887" s="663"/>
      <c r="AN1887" s="663"/>
      <c r="AO1887" s="708" t="str">
        <f>IF(OR(Table1[[#This Row],[Início Setup Envase]]="",Table1[[#This Row],[Final Setup Envase]]=""),"",Table1[[#This Row],[Final Setup Envase]]-Table1[[#This Row],[Início Setup Envase]])</f>
        <v/>
      </c>
      <c r="AP1887" s="663"/>
      <c r="AQ1887" s="663"/>
      <c r="AR1887" s="270"/>
      <c r="AS1887" s="674"/>
      <c r="AT1887" s="674"/>
      <c r="AU1887" s="270"/>
      <c r="AV1887" s="270"/>
      <c r="AW1887" s="270"/>
      <c r="AX1887" s="270"/>
      <c r="AY1887" s="270"/>
      <c r="AZ1887" s="270"/>
      <c r="BA1887" s="270" t="str">
        <f>IF(Table1[[#This Row],[Data de Início]]="","",YEAR(Table1[[#This Row],[Data de Início]]))</f>
        <v/>
      </c>
      <c r="BB1887" s="270" t="str">
        <f>IF(Table1[[#This Row],[Data de Início]]="","",MONTH(Table1[[#This Row],[Data de Início]]))</f>
        <v/>
      </c>
      <c r="BC1887" s="483"/>
    </row>
    <row r="1888" spans="2:55" x14ac:dyDescent="0.25">
      <c r="B1888" s="470"/>
      <c r="C1888" s="263"/>
      <c r="D1888" s="477" cm="1">
        <f t="array" ref="D1888">IFERROR(HorasUteisFabrica2Turnos(B1888,C1888), "")</f>
        <v>0</v>
      </c>
      <c r="E1888" s="478" t="str">
        <f t="shared" si="29"/>
        <v/>
      </c>
      <c r="F1888" s="266"/>
      <c r="G1888" s="656"/>
      <c r="H1888" s="479"/>
      <c r="I1888" s="268"/>
      <c r="J1888" s="268"/>
      <c r="K1888" s="268"/>
      <c r="L1888" s="269"/>
      <c r="M1888" s="511" t="str">
        <f>IFERROR(INDEX([1]Produtos!$C:$C,MATCH(L1888,[1]Produtos!$B:$B,0)), "-")</f>
        <v>-</v>
      </c>
      <c r="N1888" s="511" t="str">
        <f>IFERROR(INDEX([1]Produtos!$E:$E,MATCH(L1888,[1]Produtos!$B:$B,0)), "-")</f>
        <v>-</v>
      </c>
      <c r="O1888" s="483" t="str">
        <f>IFERROR(INDEX([1]Produtos!$F:$F,MATCH(L1888,[1]Produtos!$B:$B,0)), "-")</f>
        <v>-</v>
      </c>
      <c r="P1888" s="477" t="str">
        <f>IFERROR(INDEX([1]Produtos!$G:$G,MATCH(L1888,[1]Produtos!$B:$B,0)), "-")</f>
        <v>-</v>
      </c>
      <c r="Q1888" s="483" t="str">
        <f>IFERROR(INDEX([1]Produtos!$H:$H,MATCH(L1888,[1]Produtos!$B:$B,0)), "-")</f>
        <v>-</v>
      </c>
      <c r="R1888" s="483" t="str">
        <f>IFERROR(INDEX([1]Produtos!$I:$I,MATCH(L1888,[1]Produtos!$B:$B,0)), "-")</f>
        <v>-</v>
      </c>
      <c r="S1888" s="483" t="str">
        <f>IFERROR(INDEX([1]Produtos!$J:$J,MATCH(L1888,[1]Produtos!$B:$B,0)), "-")</f>
        <v>-</v>
      </c>
      <c r="T1888" s="484"/>
      <c r="U1888" s="483"/>
      <c r="V1888" s="483"/>
      <c r="W1888" s="483"/>
      <c r="X1888" s="483"/>
      <c r="Y1888" s="483"/>
      <c r="Z1888" s="483"/>
      <c r="AA1888" s="483"/>
      <c r="AB1888" s="483"/>
      <c r="AC1888" s="483"/>
      <c r="AD1888" s="483"/>
      <c r="AE1888" s="483"/>
      <c r="AF1888" s="483"/>
      <c r="AG1888" s="483"/>
      <c r="AH1888" s="483"/>
      <c r="AI1888" s="483"/>
      <c r="AJ1888" s="483"/>
      <c r="AK1888" s="483"/>
      <c r="AL1888" s="483"/>
      <c r="AM1888" s="670"/>
      <c r="AN1888" s="670"/>
      <c r="AO1888" s="711" t="str">
        <f>IF(OR(Table1[[#This Row],[Início Setup Envase]]="",Table1[[#This Row],[Final Setup Envase]]=""),"",Table1[[#This Row],[Final Setup Envase]]-Table1[[#This Row],[Início Setup Envase]])</f>
        <v/>
      </c>
      <c r="AP1888" s="670"/>
      <c r="AQ1888" s="670"/>
      <c r="AR1888" s="483"/>
      <c r="AS1888" s="483"/>
      <c r="AT1888" s="483"/>
      <c r="AU1888" s="483"/>
      <c r="AV1888" s="483"/>
      <c r="AW1888" s="483"/>
      <c r="AX1888" s="483"/>
      <c r="AY1888" s="270"/>
      <c r="AZ1888" s="270"/>
      <c r="BA1888" s="270" t="str">
        <f>IF(Table1[[#This Row],[Data de Início]]="","",YEAR(Table1[[#This Row],[Data de Início]]))</f>
        <v/>
      </c>
      <c r="BB1888" s="270" t="str">
        <f>IF(Table1[[#This Row],[Data de Início]]="","",MONTH(Table1[[#This Row],[Data de Início]]))</f>
        <v/>
      </c>
      <c r="BC1888" s="270"/>
    </row>
    <row r="1889" spans="2:55" x14ac:dyDescent="0.25">
      <c r="B1889" s="470"/>
      <c r="C1889" s="263"/>
      <c r="D1889" s="477" cm="1">
        <f t="array" ref="D1889">IFERROR(HorasUteisFabrica2Turnos(B1889,C1889), "")</f>
        <v>0</v>
      </c>
      <c r="E1889" s="697" t="str">
        <f t="shared" si="29"/>
        <v/>
      </c>
      <c r="F1889" s="266"/>
      <c r="G1889" s="698"/>
      <c r="H1889" s="266"/>
      <c r="I1889" s="268"/>
      <c r="J1889" s="268"/>
      <c r="K1889" s="268"/>
      <c r="L1889" s="269"/>
      <c r="M1889" s="510" t="str">
        <f>IFERROR(INDEX([1]Produtos!$C:$C,MATCH(L1889,[1]Produtos!$B:$B,0)), "-")</f>
        <v>-</v>
      </c>
      <c r="N1889" s="510" t="str">
        <f>IFERROR(INDEX([1]Produtos!$E:$E,MATCH(L1889,[1]Produtos!$B:$B,0)), "-")</f>
        <v>-</v>
      </c>
      <c r="O1889" s="270" t="str">
        <f>IFERROR(INDEX([1]Produtos!$F:$F,MATCH(L1889,[1]Produtos!$B:$B,0)), "-")</f>
        <v>-</v>
      </c>
      <c r="P1889" s="264" t="str">
        <f>IFERROR(INDEX([1]Produtos!$G:$G,MATCH(L1889,[1]Produtos!$B:$B,0)), "-")</f>
        <v>-</v>
      </c>
      <c r="Q1889" s="270" t="str">
        <f>IFERROR(INDEX([1]Produtos!$H:$H,MATCH(L1889,[1]Produtos!$B:$B,0)), "-")</f>
        <v>-</v>
      </c>
      <c r="R1889" s="270" t="str">
        <f>IFERROR(INDEX([1]Produtos!$I:$I,MATCH(L1889,[1]Produtos!$B:$B,0)), "-")</f>
        <v>-</v>
      </c>
      <c r="S1889" s="270" t="str">
        <f>IFERROR(INDEX([1]Produtos!$J:$J,MATCH(L1889,[1]Produtos!$B:$B,0)), "-")</f>
        <v>-</v>
      </c>
      <c r="T1889" s="475"/>
      <c r="U1889" s="270"/>
      <c r="V1889" s="270"/>
      <c r="W1889" s="270"/>
      <c r="X1889" s="270"/>
      <c r="Y1889" s="270"/>
      <c r="Z1889" s="270"/>
      <c r="AA1889" s="270"/>
      <c r="AB1889" s="270"/>
      <c r="AC1889" s="270"/>
      <c r="AD1889" s="270"/>
      <c r="AE1889" s="270"/>
      <c r="AF1889" s="270"/>
      <c r="AG1889" s="270"/>
      <c r="AH1889" s="270"/>
      <c r="AI1889" s="270"/>
      <c r="AJ1889" s="270"/>
      <c r="AK1889" s="270"/>
      <c r="AL1889" s="270"/>
      <c r="AM1889" s="663"/>
      <c r="AN1889" s="663"/>
      <c r="AO1889" s="708" t="str">
        <f>IF(OR(Table1[[#This Row],[Início Setup Envase]]="",Table1[[#This Row],[Final Setup Envase]]=""),"",Table1[[#This Row],[Final Setup Envase]]-Table1[[#This Row],[Início Setup Envase]])</f>
        <v/>
      </c>
      <c r="AP1889" s="663"/>
      <c r="AQ1889" s="663"/>
      <c r="AR1889" s="270"/>
      <c r="AS1889" s="674"/>
      <c r="AT1889" s="674"/>
      <c r="AU1889" s="270"/>
      <c r="AV1889" s="270"/>
      <c r="AW1889" s="270"/>
      <c r="AX1889" s="270"/>
      <c r="AY1889" s="270"/>
      <c r="AZ1889" s="270"/>
      <c r="BA1889" s="270" t="str">
        <f>IF(Table1[[#This Row],[Data de Início]]="","",YEAR(Table1[[#This Row],[Data de Início]]))</f>
        <v/>
      </c>
      <c r="BB1889" s="270" t="str">
        <f>IF(Table1[[#This Row],[Data de Início]]="","",MONTH(Table1[[#This Row],[Data de Início]]))</f>
        <v/>
      </c>
      <c r="BC1889" s="483"/>
    </row>
    <row r="1890" spans="2:55" x14ac:dyDescent="0.25">
      <c r="B1890" s="470"/>
      <c r="C1890" s="263"/>
      <c r="D1890" s="477" cm="1">
        <f t="array" ref="D1890">IFERROR(HorasUteisFabrica2Turnos(B1890,C1890), "")</f>
        <v>0</v>
      </c>
      <c r="E1890" s="478" t="str">
        <f t="shared" si="29"/>
        <v/>
      </c>
      <c r="F1890" s="266"/>
      <c r="G1890" s="656"/>
      <c r="H1890" s="479"/>
      <c r="I1890" s="268"/>
      <c r="J1890" s="268"/>
      <c r="K1890" s="268"/>
      <c r="L1890" s="269"/>
      <c r="M1890" s="511" t="str">
        <f>IFERROR(INDEX([1]Produtos!$C:$C,MATCH(L1890,[1]Produtos!$B:$B,0)), "-")</f>
        <v>-</v>
      </c>
      <c r="N1890" s="511" t="str">
        <f>IFERROR(INDEX([1]Produtos!$E:$E,MATCH(L1890,[1]Produtos!$B:$B,0)), "-")</f>
        <v>-</v>
      </c>
      <c r="O1890" s="483" t="str">
        <f>IFERROR(INDEX([1]Produtos!$F:$F,MATCH(L1890,[1]Produtos!$B:$B,0)), "-")</f>
        <v>-</v>
      </c>
      <c r="P1890" s="477" t="str">
        <f>IFERROR(INDEX([1]Produtos!$G:$G,MATCH(L1890,[1]Produtos!$B:$B,0)), "-")</f>
        <v>-</v>
      </c>
      <c r="Q1890" s="483" t="str">
        <f>IFERROR(INDEX([1]Produtos!$H:$H,MATCH(L1890,[1]Produtos!$B:$B,0)), "-")</f>
        <v>-</v>
      </c>
      <c r="R1890" s="483" t="str">
        <f>IFERROR(INDEX([1]Produtos!$I:$I,MATCH(L1890,[1]Produtos!$B:$B,0)), "-")</f>
        <v>-</v>
      </c>
      <c r="S1890" s="483" t="str">
        <f>IFERROR(INDEX([1]Produtos!$J:$J,MATCH(L1890,[1]Produtos!$B:$B,0)), "-")</f>
        <v>-</v>
      </c>
      <c r="T1890" s="484"/>
      <c r="U1890" s="483"/>
      <c r="V1890" s="483"/>
      <c r="W1890" s="483"/>
      <c r="X1890" s="483"/>
      <c r="Y1890" s="483"/>
      <c r="Z1890" s="483"/>
      <c r="AA1890" s="483"/>
      <c r="AB1890" s="483"/>
      <c r="AC1890" s="483"/>
      <c r="AD1890" s="483"/>
      <c r="AE1890" s="483"/>
      <c r="AF1890" s="483"/>
      <c r="AG1890" s="483"/>
      <c r="AH1890" s="483"/>
      <c r="AI1890" s="483"/>
      <c r="AJ1890" s="483"/>
      <c r="AK1890" s="483"/>
      <c r="AL1890" s="483"/>
      <c r="AM1890" s="670"/>
      <c r="AN1890" s="670"/>
      <c r="AO1890" s="711" t="str">
        <f>IF(OR(Table1[[#This Row],[Início Setup Envase]]="",Table1[[#This Row],[Final Setup Envase]]=""),"",Table1[[#This Row],[Final Setup Envase]]-Table1[[#This Row],[Início Setup Envase]])</f>
        <v/>
      </c>
      <c r="AP1890" s="670"/>
      <c r="AQ1890" s="670"/>
      <c r="AR1890" s="483"/>
      <c r="AS1890" s="483"/>
      <c r="AT1890" s="483"/>
      <c r="AU1890" s="483"/>
      <c r="AV1890" s="483"/>
      <c r="AW1890" s="483"/>
      <c r="AX1890" s="483"/>
      <c r="AY1890" s="270"/>
      <c r="AZ1890" s="270"/>
      <c r="BA1890" s="270" t="str">
        <f>IF(Table1[[#This Row],[Data de Início]]="","",YEAR(Table1[[#This Row],[Data de Início]]))</f>
        <v/>
      </c>
      <c r="BB1890" s="270" t="str">
        <f>IF(Table1[[#This Row],[Data de Início]]="","",MONTH(Table1[[#This Row],[Data de Início]]))</f>
        <v/>
      </c>
      <c r="BC1890" s="270"/>
    </row>
    <row r="1891" spans="2:55" x14ac:dyDescent="0.25">
      <c r="B1891" s="470"/>
      <c r="C1891" s="263"/>
      <c r="D1891" s="477" cm="1">
        <f t="array" ref="D1891">IFERROR(HorasUteisFabrica2Turnos(B1891,C1891), "")</f>
        <v>0</v>
      </c>
      <c r="E1891" s="697" t="str">
        <f t="shared" si="29"/>
        <v/>
      </c>
      <c r="F1891" s="266"/>
      <c r="G1891" s="698"/>
      <c r="H1891" s="266"/>
      <c r="I1891" s="268"/>
      <c r="J1891" s="268"/>
      <c r="K1891" s="268"/>
      <c r="L1891" s="269"/>
      <c r="M1891" s="510" t="str">
        <f>IFERROR(INDEX([1]Produtos!$C:$C,MATCH(L1891,[1]Produtos!$B:$B,0)), "-")</f>
        <v>-</v>
      </c>
      <c r="N1891" s="510" t="str">
        <f>IFERROR(INDEX([1]Produtos!$E:$E,MATCH(L1891,[1]Produtos!$B:$B,0)), "-")</f>
        <v>-</v>
      </c>
      <c r="O1891" s="270" t="str">
        <f>IFERROR(INDEX([1]Produtos!$F:$F,MATCH(L1891,[1]Produtos!$B:$B,0)), "-")</f>
        <v>-</v>
      </c>
      <c r="P1891" s="264" t="str">
        <f>IFERROR(INDEX([1]Produtos!$G:$G,MATCH(L1891,[1]Produtos!$B:$B,0)), "-")</f>
        <v>-</v>
      </c>
      <c r="Q1891" s="270" t="str">
        <f>IFERROR(INDEX([1]Produtos!$H:$H,MATCH(L1891,[1]Produtos!$B:$B,0)), "-")</f>
        <v>-</v>
      </c>
      <c r="R1891" s="270" t="str">
        <f>IFERROR(INDEX([1]Produtos!$I:$I,MATCH(L1891,[1]Produtos!$B:$B,0)), "-")</f>
        <v>-</v>
      </c>
      <c r="S1891" s="270" t="str">
        <f>IFERROR(INDEX([1]Produtos!$J:$J,MATCH(L1891,[1]Produtos!$B:$B,0)), "-")</f>
        <v>-</v>
      </c>
      <c r="T1891" s="475"/>
      <c r="U1891" s="270"/>
      <c r="V1891" s="270"/>
      <c r="W1891" s="270"/>
      <c r="X1891" s="270"/>
      <c r="Y1891" s="270"/>
      <c r="Z1891" s="270"/>
      <c r="AA1891" s="270"/>
      <c r="AB1891" s="270"/>
      <c r="AC1891" s="270"/>
      <c r="AD1891" s="270"/>
      <c r="AE1891" s="270"/>
      <c r="AF1891" s="270"/>
      <c r="AG1891" s="270"/>
      <c r="AH1891" s="270"/>
      <c r="AI1891" s="270"/>
      <c r="AJ1891" s="270"/>
      <c r="AK1891" s="270"/>
      <c r="AL1891" s="270"/>
      <c r="AM1891" s="663"/>
      <c r="AN1891" s="663"/>
      <c r="AO1891" s="708" t="str">
        <f>IF(OR(Table1[[#This Row],[Início Setup Envase]]="",Table1[[#This Row],[Final Setup Envase]]=""),"",Table1[[#This Row],[Final Setup Envase]]-Table1[[#This Row],[Início Setup Envase]])</f>
        <v/>
      </c>
      <c r="AP1891" s="663"/>
      <c r="AQ1891" s="663"/>
      <c r="AR1891" s="270"/>
      <c r="AS1891" s="674"/>
      <c r="AT1891" s="674"/>
      <c r="AU1891" s="270"/>
      <c r="AV1891" s="270"/>
      <c r="AW1891" s="270"/>
      <c r="AX1891" s="270"/>
      <c r="AY1891" s="270"/>
      <c r="AZ1891" s="270"/>
      <c r="BA1891" s="270" t="str">
        <f>IF(Table1[[#This Row],[Data de Início]]="","",YEAR(Table1[[#This Row],[Data de Início]]))</f>
        <v/>
      </c>
      <c r="BB1891" s="270" t="str">
        <f>IF(Table1[[#This Row],[Data de Início]]="","",MONTH(Table1[[#This Row],[Data de Início]]))</f>
        <v/>
      </c>
      <c r="BC1891" s="483"/>
    </row>
    <row r="1892" spans="2:55" x14ac:dyDescent="0.25">
      <c r="B1892" s="470"/>
      <c r="C1892" s="263"/>
      <c r="D1892" s="477" cm="1">
        <f t="array" ref="D1892">IFERROR(HorasUteisFabrica2Turnos(B1892,C1892), "")</f>
        <v>0</v>
      </c>
      <c r="E1892" s="478" t="str">
        <f t="shared" si="29"/>
        <v/>
      </c>
      <c r="F1892" s="266"/>
      <c r="G1892" s="656"/>
      <c r="H1892" s="479"/>
      <c r="I1892" s="268"/>
      <c r="J1892" s="268"/>
      <c r="K1892" s="268"/>
      <c r="L1892" s="269"/>
      <c r="M1892" s="511" t="str">
        <f>IFERROR(INDEX([1]Produtos!$C:$C,MATCH(L1892,[1]Produtos!$B:$B,0)), "-")</f>
        <v>-</v>
      </c>
      <c r="N1892" s="511" t="str">
        <f>IFERROR(INDEX([1]Produtos!$E:$E,MATCH(L1892,[1]Produtos!$B:$B,0)), "-")</f>
        <v>-</v>
      </c>
      <c r="O1892" s="483" t="str">
        <f>IFERROR(INDEX([1]Produtos!$F:$F,MATCH(L1892,[1]Produtos!$B:$B,0)), "-")</f>
        <v>-</v>
      </c>
      <c r="P1892" s="477" t="str">
        <f>IFERROR(INDEX([1]Produtos!$G:$G,MATCH(L1892,[1]Produtos!$B:$B,0)), "-")</f>
        <v>-</v>
      </c>
      <c r="Q1892" s="483" t="str">
        <f>IFERROR(INDEX([1]Produtos!$H:$H,MATCH(L1892,[1]Produtos!$B:$B,0)), "-")</f>
        <v>-</v>
      </c>
      <c r="R1892" s="483" t="str">
        <f>IFERROR(INDEX([1]Produtos!$I:$I,MATCH(L1892,[1]Produtos!$B:$B,0)), "-")</f>
        <v>-</v>
      </c>
      <c r="S1892" s="483" t="str">
        <f>IFERROR(INDEX([1]Produtos!$J:$J,MATCH(L1892,[1]Produtos!$B:$B,0)), "-")</f>
        <v>-</v>
      </c>
      <c r="T1892" s="484"/>
      <c r="U1892" s="483"/>
      <c r="V1892" s="483"/>
      <c r="W1892" s="483"/>
      <c r="X1892" s="483"/>
      <c r="Y1892" s="483"/>
      <c r="Z1892" s="483"/>
      <c r="AA1892" s="483"/>
      <c r="AB1892" s="483"/>
      <c r="AC1892" s="483"/>
      <c r="AD1892" s="483"/>
      <c r="AE1892" s="483"/>
      <c r="AF1892" s="483"/>
      <c r="AG1892" s="483"/>
      <c r="AH1892" s="483"/>
      <c r="AI1892" s="483"/>
      <c r="AJ1892" s="483"/>
      <c r="AK1892" s="483"/>
      <c r="AL1892" s="483"/>
      <c r="AM1892" s="670"/>
      <c r="AN1892" s="670"/>
      <c r="AO1892" s="711" t="str">
        <f>IF(OR(Table1[[#This Row],[Início Setup Envase]]="",Table1[[#This Row],[Final Setup Envase]]=""),"",Table1[[#This Row],[Final Setup Envase]]-Table1[[#This Row],[Início Setup Envase]])</f>
        <v/>
      </c>
      <c r="AP1892" s="670"/>
      <c r="AQ1892" s="670"/>
      <c r="AR1892" s="483"/>
      <c r="AS1892" s="483"/>
      <c r="AT1892" s="483"/>
      <c r="AU1892" s="483"/>
      <c r="AV1892" s="483"/>
      <c r="AW1892" s="483"/>
      <c r="AX1892" s="483"/>
      <c r="AY1892" s="270"/>
      <c r="AZ1892" s="270"/>
      <c r="BA1892" s="270" t="str">
        <f>IF(Table1[[#This Row],[Data de Início]]="","",YEAR(Table1[[#This Row],[Data de Início]]))</f>
        <v/>
      </c>
      <c r="BB1892" s="270" t="str">
        <f>IF(Table1[[#This Row],[Data de Início]]="","",MONTH(Table1[[#This Row],[Data de Início]]))</f>
        <v/>
      </c>
      <c r="BC1892" s="270"/>
    </row>
    <row r="1893" spans="2:55" x14ac:dyDescent="0.25">
      <c r="B1893" s="470"/>
      <c r="C1893" s="263"/>
      <c r="D1893" s="477" cm="1">
        <f t="array" ref="D1893">IFERROR(HorasUteisFabrica2Turnos(B1893,C1893), "")</f>
        <v>0</v>
      </c>
      <c r="E1893" s="697" t="str">
        <f t="shared" ref="E1893:E1956" si="30">IFERROR(K1893/D1893, "")</f>
        <v/>
      </c>
      <c r="F1893" s="266"/>
      <c r="G1893" s="698"/>
      <c r="H1893" s="266"/>
      <c r="I1893" s="268"/>
      <c r="J1893" s="268"/>
      <c r="K1893" s="268"/>
      <c r="L1893" s="269"/>
      <c r="M1893" s="510" t="str">
        <f>IFERROR(INDEX([1]Produtos!$C:$C,MATCH(L1893,[1]Produtos!$B:$B,0)), "-")</f>
        <v>-</v>
      </c>
      <c r="N1893" s="510" t="str">
        <f>IFERROR(INDEX([1]Produtos!$E:$E,MATCH(L1893,[1]Produtos!$B:$B,0)), "-")</f>
        <v>-</v>
      </c>
      <c r="O1893" s="270" t="str">
        <f>IFERROR(INDEX([1]Produtos!$F:$F,MATCH(L1893,[1]Produtos!$B:$B,0)), "-")</f>
        <v>-</v>
      </c>
      <c r="P1893" s="264" t="str">
        <f>IFERROR(INDEX([1]Produtos!$G:$G,MATCH(L1893,[1]Produtos!$B:$B,0)), "-")</f>
        <v>-</v>
      </c>
      <c r="Q1893" s="270" t="str">
        <f>IFERROR(INDEX([1]Produtos!$H:$H,MATCH(L1893,[1]Produtos!$B:$B,0)), "-")</f>
        <v>-</v>
      </c>
      <c r="R1893" s="270" t="str">
        <f>IFERROR(INDEX([1]Produtos!$I:$I,MATCH(L1893,[1]Produtos!$B:$B,0)), "-")</f>
        <v>-</v>
      </c>
      <c r="S1893" s="270" t="str">
        <f>IFERROR(INDEX([1]Produtos!$J:$J,MATCH(L1893,[1]Produtos!$B:$B,0)), "-")</f>
        <v>-</v>
      </c>
      <c r="T1893" s="475"/>
      <c r="U1893" s="270"/>
      <c r="V1893" s="270"/>
      <c r="W1893" s="270"/>
      <c r="X1893" s="270"/>
      <c r="Y1893" s="270"/>
      <c r="Z1893" s="270"/>
      <c r="AA1893" s="270"/>
      <c r="AB1893" s="270"/>
      <c r="AC1893" s="270"/>
      <c r="AD1893" s="270"/>
      <c r="AE1893" s="270"/>
      <c r="AF1893" s="270"/>
      <c r="AG1893" s="270"/>
      <c r="AH1893" s="270"/>
      <c r="AI1893" s="270"/>
      <c r="AJ1893" s="270"/>
      <c r="AK1893" s="270"/>
      <c r="AL1893" s="270"/>
      <c r="AM1893" s="663"/>
      <c r="AN1893" s="663"/>
      <c r="AO1893" s="708" t="str">
        <f>IF(OR(Table1[[#This Row],[Início Setup Envase]]="",Table1[[#This Row],[Final Setup Envase]]=""),"",Table1[[#This Row],[Final Setup Envase]]-Table1[[#This Row],[Início Setup Envase]])</f>
        <v/>
      </c>
      <c r="AP1893" s="663"/>
      <c r="AQ1893" s="663"/>
      <c r="AR1893" s="270"/>
      <c r="AS1893" s="674"/>
      <c r="AT1893" s="674"/>
      <c r="AU1893" s="270"/>
      <c r="AV1893" s="270"/>
      <c r="AW1893" s="270"/>
      <c r="AX1893" s="270"/>
      <c r="AY1893" s="270"/>
      <c r="AZ1893" s="270"/>
      <c r="BA1893" s="270" t="str">
        <f>IF(Table1[[#This Row],[Data de Início]]="","",YEAR(Table1[[#This Row],[Data de Início]]))</f>
        <v/>
      </c>
      <c r="BB1893" s="270" t="str">
        <f>IF(Table1[[#This Row],[Data de Início]]="","",MONTH(Table1[[#This Row],[Data de Início]]))</f>
        <v/>
      </c>
      <c r="BC1893" s="483"/>
    </row>
    <row r="1894" spans="2:55" x14ac:dyDescent="0.25">
      <c r="B1894" s="470"/>
      <c r="C1894" s="263"/>
      <c r="D1894" s="477" cm="1">
        <f t="array" ref="D1894">IFERROR(HorasUteisFabrica2Turnos(B1894,C1894), "")</f>
        <v>0</v>
      </c>
      <c r="E1894" s="478" t="str">
        <f t="shared" si="30"/>
        <v/>
      </c>
      <c r="F1894" s="266"/>
      <c r="G1894" s="656"/>
      <c r="H1894" s="479"/>
      <c r="I1894" s="268"/>
      <c r="J1894" s="268"/>
      <c r="K1894" s="268"/>
      <c r="L1894" s="269"/>
      <c r="M1894" s="511" t="str">
        <f>IFERROR(INDEX([1]Produtos!$C:$C,MATCH(L1894,[1]Produtos!$B:$B,0)), "-")</f>
        <v>-</v>
      </c>
      <c r="N1894" s="511" t="str">
        <f>IFERROR(INDEX([1]Produtos!$E:$E,MATCH(L1894,[1]Produtos!$B:$B,0)), "-")</f>
        <v>-</v>
      </c>
      <c r="O1894" s="483" t="str">
        <f>IFERROR(INDEX([1]Produtos!$F:$F,MATCH(L1894,[1]Produtos!$B:$B,0)), "-")</f>
        <v>-</v>
      </c>
      <c r="P1894" s="477" t="str">
        <f>IFERROR(INDEX([1]Produtos!$G:$G,MATCH(L1894,[1]Produtos!$B:$B,0)), "-")</f>
        <v>-</v>
      </c>
      <c r="Q1894" s="483" t="str">
        <f>IFERROR(INDEX([1]Produtos!$H:$H,MATCH(L1894,[1]Produtos!$B:$B,0)), "-")</f>
        <v>-</v>
      </c>
      <c r="R1894" s="483" t="str">
        <f>IFERROR(INDEX([1]Produtos!$I:$I,MATCH(L1894,[1]Produtos!$B:$B,0)), "-")</f>
        <v>-</v>
      </c>
      <c r="S1894" s="483" t="str">
        <f>IFERROR(INDEX([1]Produtos!$J:$J,MATCH(L1894,[1]Produtos!$B:$B,0)), "-")</f>
        <v>-</v>
      </c>
      <c r="T1894" s="484"/>
      <c r="U1894" s="483"/>
      <c r="V1894" s="483"/>
      <c r="W1894" s="483"/>
      <c r="X1894" s="483"/>
      <c r="Y1894" s="483"/>
      <c r="Z1894" s="483"/>
      <c r="AA1894" s="483"/>
      <c r="AB1894" s="483"/>
      <c r="AC1894" s="483"/>
      <c r="AD1894" s="483"/>
      <c r="AE1894" s="483"/>
      <c r="AF1894" s="483"/>
      <c r="AG1894" s="483"/>
      <c r="AH1894" s="483"/>
      <c r="AI1894" s="483"/>
      <c r="AJ1894" s="483"/>
      <c r="AK1894" s="483"/>
      <c r="AL1894" s="483"/>
      <c r="AM1894" s="670"/>
      <c r="AN1894" s="670"/>
      <c r="AO1894" s="711" t="str">
        <f>IF(OR(Table1[[#This Row],[Início Setup Envase]]="",Table1[[#This Row],[Final Setup Envase]]=""),"",Table1[[#This Row],[Final Setup Envase]]-Table1[[#This Row],[Início Setup Envase]])</f>
        <v/>
      </c>
      <c r="AP1894" s="670"/>
      <c r="AQ1894" s="670"/>
      <c r="AR1894" s="483"/>
      <c r="AS1894" s="483"/>
      <c r="AT1894" s="483"/>
      <c r="AU1894" s="483"/>
      <c r="AV1894" s="483"/>
      <c r="AW1894" s="483"/>
      <c r="AX1894" s="483"/>
      <c r="AY1894" s="270"/>
      <c r="AZ1894" s="270"/>
      <c r="BA1894" s="270" t="str">
        <f>IF(Table1[[#This Row],[Data de Início]]="","",YEAR(Table1[[#This Row],[Data de Início]]))</f>
        <v/>
      </c>
      <c r="BB1894" s="270" t="str">
        <f>IF(Table1[[#This Row],[Data de Início]]="","",MONTH(Table1[[#This Row],[Data de Início]]))</f>
        <v/>
      </c>
      <c r="BC1894" s="270"/>
    </row>
    <row r="1895" spans="2:55" x14ac:dyDescent="0.25">
      <c r="B1895" s="470"/>
      <c r="C1895" s="263"/>
      <c r="D1895" s="477" cm="1">
        <f t="array" ref="D1895">IFERROR(HorasUteisFabrica2Turnos(B1895,C1895), "")</f>
        <v>0</v>
      </c>
      <c r="E1895" s="697" t="str">
        <f t="shared" si="30"/>
        <v/>
      </c>
      <c r="F1895" s="266"/>
      <c r="G1895" s="698"/>
      <c r="H1895" s="266"/>
      <c r="I1895" s="268"/>
      <c r="J1895" s="268"/>
      <c r="K1895" s="268"/>
      <c r="L1895" s="269"/>
      <c r="M1895" s="510" t="str">
        <f>IFERROR(INDEX([1]Produtos!$C:$C,MATCH(L1895,[1]Produtos!$B:$B,0)), "-")</f>
        <v>-</v>
      </c>
      <c r="N1895" s="510" t="str">
        <f>IFERROR(INDEX([1]Produtos!$E:$E,MATCH(L1895,[1]Produtos!$B:$B,0)), "-")</f>
        <v>-</v>
      </c>
      <c r="O1895" s="270" t="str">
        <f>IFERROR(INDEX([1]Produtos!$F:$F,MATCH(L1895,[1]Produtos!$B:$B,0)), "-")</f>
        <v>-</v>
      </c>
      <c r="P1895" s="264" t="str">
        <f>IFERROR(INDEX([1]Produtos!$G:$G,MATCH(L1895,[1]Produtos!$B:$B,0)), "-")</f>
        <v>-</v>
      </c>
      <c r="Q1895" s="270" t="str">
        <f>IFERROR(INDEX([1]Produtos!$H:$H,MATCH(L1895,[1]Produtos!$B:$B,0)), "-")</f>
        <v>-</v>
      </c>
      <c r="R1895" s="270" t="str">
        <f>IFERROR(INDEX([1]Produtos!$I:$I,MATCH(L1895,[1]Produtos!$B:$B,0)), "-")</f>
        <v>-</v>
      </c>
      <c r="S1895" s="270" t="str">
        <f>IFERROR(INDEX([1]Produtos!$J:$J,MATCH(L1895,[1]Produtos!$B:$B,0)), "-")</f>
        <v>-</v>
      </c>
      <c r="T1895" s="475"/>
      <c r="U1895" s="270"/>
      <c r="V1895" s="270"/>
      <c r="W1895" s="270"/>
      <c r="X1895" s="270"/>
      <c r="Y1895" s="270"/>
      <c r="Z1895" s="270"/>
      <c r="AA1895" s="270"/>
      <c r="AB1895" s="270"/>
      <c r="AC1895" s="270"/>
      <c r="AD1895" s="270"/>
      <c r="AE1895" s="270"/>
      <c r="AF1895" s="270"/>
      <c r="AG1895" s="270"/>
      <c r="AH1895" s="270"/>
      <c r="AI1895" s="270"/>
      <c r="AJ1895" s="270"/>
      <c r="AK1895" s="270"/>
      <c r="AL1895" s="270"/>
      <c r="AM1895" s="663"/>
      <c r="AN1895" s="663"/>
      <c r="AO1895" s="708" t="str">
        <f>IF(OR(Table1[[#This Row],[Início Setup Envase]]="",Table1[[#This Row],[Final Setup Envase]]=""),"",Table1[[#This Row],[Final Setup Envase]]-Table1[[#This Row],[Início Setup Envase]])</f>
        <v/>
      </c>
      <c r="AP1895" s="663"/>
      <c r="AQ1895" s="663"/>
      <c r="AR1895" s="270"/>
      <c r="AS1895" s="674"/>
      <c r="AT1895" s="674"/>
      <c r="AU1895" s="270"/>
      <c r="AV1895" s="270"/>
      <c r="AW1895" s="270"/>
      <c r="AX1895" s="270"/>
      <c r="AY1895" s="270"/>
      <c r="AZ1895" s="270"/>
      <c r="BA1895" s="270" t="str">
        <f>IF(Table1[[#This Row],[Data de Início]]="","",YEAR(Table1[[#This Row],[Data de Início]]))</f>
        <v/>
      </c>
      <c r="BB1895" s="270" t="str">
        <f>IF(Table1[[#This Row],[Data de Início]]="","",MONTH(Table1[[#This Row],[Data de Início]]))</f>
        <v/>
      </c>
      <c r="BC1895" s="483"/>
    </row>
    <row r="1896" spans="2:55" x14ac:dyDescent="0.25">
      <c r="B1896" s="470"/>
      <c r="C1896" s="263"/>
      <c r="D1896" s="477" cm="1">
        <f t="array" ref="D1896">IFERROR(HorasUteisFabrica2Turnos(B1896,C1896), "")</f>
        <v>0</v>
      </c>
      <c r="E1896" s="478" t="str">
        <f t="shared" si="30"/>
        <v/>
      </c>
      <c r="F1896" s="266"/>
      <c r="G1896" s="656"/>
      <c r="H1896" s="479"/>
      <c r="I1896" s="268"/>
      <c r="J1896" s="268"/>
      <c r="K1896" s="268"/>
      <c r="L1896" s="269"/>
      <c r="M1896" s="511" t="str">
        <f>IFERROR(INDEX([1]Produtos!$C:$C,MATCH(L1896,[1]Produtos!$B:$B,0)), "-")</f>
        <v>-</v>
      </c>
      <c r="N1896" s="511" t="str">
        <f>IFERROR(INDEX([1]Produtos!$E:$E,MATCH(L1896,[1]Produtos!$B:$B,0)), "-")</f>
        <v>-</v>
      </c>
      <c r="O1896" s="483" t="str">
        <f>IFERROR(INDEX([1]Produtos!$F:$F,MATCH(L1896,[1]Produtos!$B:$B,0)), "-")</f>
        <v>-</v>
      </c>
      <c r="P1896" s="477" t="str">
        <f>IFERROR(INDEX([1]Produtos!$G:$G,MATCH(L1896,[1]Produtos!$B:$B,0)), "-")</f>
        <v>-</v>
      </c>
      <c r="Q1896" s="483" t="str">
        <f>IFERROR(INDEX([1]Produtos!$H:$H,MATCH(L1896,[1]Produtos!$B:$B,0)), "-")</f>
        <v>-</v>
      </c>
      <c r="R1896" s="483" t="str">
        <f>IFERROR(INDEX([1]Produtos!$I:$I,MATCH(L1896,[1]Produtos!$B:$B,0)), "-")</f>
        <v>-</v>
      </c>
      <c r="S1896" s="483" t="str">
        <f>IFERROR(INDEX([1]Produtos!$J:$J,MATCH(L1896,[1]Produtos!$B:$B,0)), "-")</f>
        <v>-</v>
      </c>
      <c r="T1896" s="484"/>
      <c r="U1896" s="483"/>
      <c r="V1896" s="483"/>
      <c r="W1896" s="483"/>
      <c r="X1896" s="483"/>
      <c r="Y1896" s="483"/>
      <c r="Z1896" s="483"/>
      <c r="AA1896" s="483"/>
      <c r="AB1896" s="483"/>
      <c r="AC1896" s="483"/>
      <c r="AD1896" s="483"/>
      <c r="AE1896" s="483"/>
      <c r="AF1896" s="483"/>
      <c r="AG1896" s="483"/>
      <c r="AH1896" s="483"/>
      <c r="AI1896" s="483"/>
      <c r="AJ1896" s="483"/>
      <c r="AK1896" s="483"/>
      <c r="AL1896" s="483"/>
      <c r="AM1896" s="670"/>
      <c r="AN1896" s="670"/>
      <c r="AO1896" s="711" t="str">
        <f>IF(OR(Table1[[#This Row],[Início Setup Envase]]="",Table1[[#This Row],[Final Setup Envase]]=""),"",Table1[[#This Row],[Final Setup Envase]]-Table1[[#This Row],[Início Setup Envase]])</f>
        <v/>
      </c>
      <c r="AP1896" s="670"/>
      <c r="AQ1896" s="670"/>
      <c r="AR1896" s="483"/>
      <c r="AS1896" s="483"/>
      <c r="AT1896" s="483"/>
      <c r="AU1896" s="483"/>
      <c r="AV1896" s="483"/>
      <c r="AW1896" s="483"/>
      <c r="AX1896" s="483"/>
      <c r="AY1896" s="270"/>
      <c r="AZ1896" s="270"/>
      <c r="BA1896" s="270" t="str">
        <f>IF(Table1[[#This Row],[Data de Início]]="","",YEAR(Table1[[#This Row],[Data de Início]]))</f>
        <v/>
      </c>
      <c r="BB1896" s="270" t="str">
        <f>IF(Table1[[#This Row],[Data de Início]]="","",MONTH(Table1[[#This Row],[Data de Início]]))</f>
        <v/>
      </c>
      <c r="BC1896" s="270"/>
    </row>
    <row r="1897" spans="2:55" x14ac:dyDescent="0.25">
      <c r="B1897" s="470"/>
      <c r="C1897" s="263"/>
      <c r="D1897" s="477" cm="1">
        <f t="array" ref="D1897">IFERROR(HorasUteisFabrica2Turnos(B1897,C1897), "")</f>
        <v>0</v>
      </c>
      <c r="E1897" s="697" t="str">
        <f t="shared" si="30"/>
        <v/>
      </c>
      <c r="F1897" s="266"/>
      <c r="G1897" s="698"/>
      <c r="H1897" s="266"/>
      <c r="I1897" s="268"/>
      <c r="J1897" s="268"/>
      <c r="K1897" s="268"/>
      <c r="L1897" s="269"/>
      <c r="M1897" s="510" t="str">
        <f>IFERROR(INDEX([1]Produtos!$C:$C,MATCH(L1897,[1]Produtos!$B:$B,0)), "-")</f>
        <v>-</v>
      </c>
      <c r="N1897" s="510" t="str">
        <f>IFERROR(INDEX([1]Produtos!$E:$E,MATCH(L1897,[1]Produtos!$B:$B,0)), "-")</f>
        <v>-</v>
      </c>
      <c r="O1897" s="270" t="str">
        <f>IFERROR(INDEX([1]Produtos!$F:$F,MATCH(L1897,[1]Produtos!$B:$B,0)), "-")</f>
        <v>-</v>
      </c>
      <c r="P1897" s="264" t="str">
        <f>IFERROR(INDEX([1]Produtos!$G:$G,MATCH(L1897,[1]Produtos!$B:$B,0)), "-")</f>
        <v>-</v>
      </c>
      <c r="Q1897" s="270" t="str">
        <f>IFERROR(INDEX([1]Produtos!$H:$H,MATCH(L1897,[1]Produtos!$B:$B,0)), "-")</f>
        <v>-</v>
      </c>
      <c r="R1897" s="270" t="str">
        <f>IFERROR(INDEX([1]Produtos!$I:$I,MATCH(L1897,[1]Produtos!$B:$B,0)), "-")</f>
        <v>-</v>
      </c>
      <c r="S1897" s="270" t="str">
        <f>IFERROR(INDEX([1]Produtos!$J:$J,MATCH(L1897,[1]Produtos!$B:$B,0)), "-")</f>
        <v>-</v>
      </c>
      <c r="T1897" s="475"/>
      <c r="U1897" s="270"/>
      <c r="V1897" s="270"/>
      <c r="W1897" s="270"/>
      <c r="X1897" s="270"/>
      <c r="Y1897" s="270"/>
      <c r="Z1897" s="270"/>
      <c r="AA1897" s="270"/>
      <c r="AB1897" s="270"/>
      <c r="AC1897" s="270"/>
      <c r="AD1897" s="270"/>
      <c r="AE1897" s="270"/>
      <c r="AF1897" s="270"/>
      <c r="AG1897" s="270"/>
      <c r="AH1897" s="270"/>
      <c r="AI1897" s="270"/>
      <c r="AJ1897" s="270"/>
      <c r="AK1897" s="270"/>
      <c r="AL1897" s="270"/>
      <c r="AM1897" s="663"/>
      <c r="AN1897" s="663"/>
      <c r="AO1897" s="708" t="str">
        <f>IF(OR(Table1[[#This Row],[Início Setup Envase]]="",Table1[[#This Row],[Final Setup Envase]]=""),"",Table1[[#This Row],[Final Setup Envase]]-Table1[[#This Row],[Início Setup Envase]])</f>
        <v/>
      </c>
      <c r="AP1897" s="663"/>
      <c r="AQ1897" s="663"/>
      <c r="AR1897" s="270"/>
      <c r="AS1897" s="674"/>
      <c r="AT1897" s="674"/>
      <c r="AU1897" s="270"/>
      <c r="AV1897" s="270"/>
      <c r="AW1897" s="270"/>
      <c r="AX1897" s="270"/>
      <c r="AY1897" s="270"/>
      <c r="AZ1897" s="270"/>
      <c r="BA1897" s="270" t="str">
        <f>IF(Table1[[#This Row],[Data de Início]]="","",YEAR(Table1[[#This Row],[Data de Início]]))</f>
        <v/>
      </c>
      <c r="BB1897" s="270" t="str">
        <f>IF(Table1[[#This Row],[Data de Início]]="","",MONTH(Table1[[#This Row],[Data de Início]]))</f>
        <v/>
      </c>
      <c r="BC1897" s="483"/>
    </row>
    <row r="1898" spans="2:55" x14ac:dyDescent="0.25">
      <c r="B1898" s="470"/>
      <c r="C1898" s="263"/>
      <c r="D1898" s="477" cm="1">
        <f t="array" ref="D1898">IFERROR(HorasUteisFabrica2Turnos(B1898,C1898), "")</f>
        <v>0</v>
      </c>
      <c r="E1898" s="478" t="str">
        <f t="shared" si="30"/>
        <v/>
      </c>
      <c r="F1898" s="266"/>
      <c r="G1898" s="656"/>
      <c r="H1898" s="479"/>
      <c r="I1898" s="268"/>
      <c r="J1898" s="268"/>
      <c r="K1898" s="268"/>
      <c r="L1898" s="269"/>
      <c r="M1898" s="511" t="str">
        <f>IFERROR(INDEX([1]Produtos!$C:$C,MATCH(L1898,[1]Produtos!$B:$B,0)), "-")</f>
        <v>-</v>
      </c>
      <c r="N1898" s="511" t="str">
        <f>IFERROR(INDEX([1]Produtos!$E:$E,MATCH(L1898,[1]Produtos!$B:$B,0)), "-")</f>
        <v>-</v>
      </c>
      <c r="O1898" s="483" t="str">
        <f>IFERROR(INDEX([1]Produtos!$F:$F,MATCH(L1898,[1]Produtos!$B:$B,0)), "-")</f>
        <v>-</v>
      </c>
      <c r="P1898" s="477" t="str">
        <f>IFERROR(INDEX([1]Produtos!$G:$G,MATCH(L1898,[1]Produtos!$B:$B,0)), "-")</f>
        <v>-</v>
      </c>
      <c r="Q1898" s="483" t="str">
        <f>IFERROR(INDEX([1]Produtos!$H:$H,MATCH(L1898,[1]Produtos!$B:$B,0)), "-")</f>
        <v>-</v>
      </c>
      <c r="R1898" s="483" t="str">
        <f>IFERROR(INDEX([1]Produtos!$I:$I,MATCH(L1898,[1]Produtos!$B:$B,0)), "-")</f>
        <v>-</v>
      </c>
      <c r="S1898" s="483" t="str">
        <f>IFERROR(INDEX([1]Produtos!$J:$J,MATCH(L1898,[1]Produtos!$B:$B,0)), "-")</f>
        <v>-</v>
      </c>
      <c r="T1898" s="484"/>
      <c r="U1898" s="483"/>
      <c r="V1898" s="483"/>
      <c r="W1898" s="483"/>
      <c r="X1898" s="483"/>
      <c r="Y1898" s="483"/>
      <c r="Z1898" s="483"/>
      <c r="AA1898" s="483"/>
      <c r="AB1898" s="483"/>
      <c r="AC1898" s="483"/>
      <c r="AD1898" s="483"/>
      <c r="AE1898" s="483"/>
      <c r="AF1898" s="483"/>
      <c r="AG1898" s="483"/>
      <c r="AH1898" s="483"/>
      <c r="AI1898" s="483"/>
      <c r="AJ1898" s="483"/>
      <c r="AK1898" s="483"/>
      <c r="AL1898" s="483"/>
      <c r="AM1898" s="670"/>
      <c r="AN1898" s="670"/>
      <c r="AO1898" s="711" t="str">
        <f>IF(OR(Table1[[#This Row],[Início Setup Envase]]="",Table1[[#This Row],[Final Setup Envase]]=""),"",Table1[[#This Row],[Final Setup Envase]]-Table1[[#This Row],[Início Setup Envase]])</f>
        <v/>
      </c>
      <c r="AP1898" s="670"/>
      <c r="AQ1898" s="670"/>
      <c r="AR1898" s="483"/>
      <c r="AS1898" s="483"/>
      <c r="AT1898" s="483"/>
      <c r="AU1898" s="483"/>
      <c r="AV1898" s="483"/>
      <c r="AW1898" s="483"/>
      <c r="AX1898" s="483"/>
      <c r="AY1898" s="270"/>
      <c r="AZ1898" s="270"/>
      <c r="BA1898" s="270" t="str">
        <f>IF(Table1[[#This Row],[Data de Início]]="","",YEAR(Table1[[#This Row],[Data de Início]]))</f>
        <v/>
      </c>
      <c r="BB1898" s="270" t="str">
        <f>IF(Table1[[#This Row],[Data de Início]]="","",MONTH(Table1[[#This Row],[Data de Início]]))</f>
        <v/>
      </c>
      <c r="BC1898" s="270"/>
    </row>
    <row r="1899" spans="2:55" x14ac:dyDescent="0.25">
      <c r="B1899" s="470"/>
      <c r="C1899" s="263"/>
      <c r="D1899" s="477" cm="1">
        <f t="array" ref="D1899">IFERROR(HorasUteisFabrica2Turnos(B1899,C1899), "")</f>
        <v>0</v>
      </c>
      <c r="E1899" s="697" t="str">
        <f t="shared" si="30"/>
        <v/>
      </c>
      <c r="F1899" s="266"/>
      <c r="G1899" s="698"/>
      <c r="H1899" s="266"/>
      <c r="I1899" s="268"/>
      <c r="J1899" s="268"/>
      <c r="K1899" s="268"/>
      <c r="L1899" s="269"/>
      <c r="M1899" s="510" t="str">
        <f>IFERROR(INDEX([1]Produtos!$C:$C,MATCH(L1899,[1]Produtos!$B:$B,0)), "-")</f>
        <v>-</v>
      </c>
      <c r="N1899" s="510" t="str">
        <f>IFERROR(INDEX([1]Produtos!$E:$E,MATCH(L1899,[1]Produtos!$B:$B,0)), "-")</f>
        <v>-</v>
      </c>
      <c r="O1899" s="270" t="str">
        <f>IFERROR(INDEX([1]Produtos!$F:$F,MATCH(L1899,[1]Produtos!$B:$B,0)), "-")</f>
        <v>-</v>
      </c>
      <c r="P1899" s="264" t="str">
        <f>IFERROR(INDEX([1]Produtos!$G:$G,MATCH(L1899,[1]Produtos!$B:$B,0)), "-")</f>
        <v>-</v>
      </c>
      <c r="Q1899" s="270" t="str">
        <f>IFERROR(INDEX([1]Produtos!$H:$H,MATCH(L1899,[1]Produtos!$B:$B,0)), "-")</f>
        <v>-</v>
      </c>
      <c r="R1899" s="270" t="str">
        <f>IFERROR(INDEX([1]Produtos!$I:$I,MATCH(L1899,[1]Produtos!$B:$B,0)), "-")</f>
        <v>-</v>
      </c>
      <c r="S1899" s="270" t="str">
        <f>IFERROR(INDEX([1]Produtos!$J:$J,MATCH(L1899,[1]Produtos!$B:$B,0)), "-")</f>
        <v>-</v>
      </c>
      <c r="T1899" s="475"/>
      <c r="U1899" s="270"/>
      <c r="V1899" s="270"/>
      <c r="W1899" s="270"/>
      <c r="X1899" s="270"/>
      <c r="Y1899" s="270"/>
      <c r="Z1899" s="270"/>
      <c r="AA1899" s="270"/>
      <c r="AB1899" s="270"/>
      <c r="AC1899" s="270"/>
      <c r="AD1899" s="270"/>
      <c r="AE1899" s="270"/>
      <c r="AF1899" s="270"/>
      <c r="AG1899" s="270"/>
      <c r="AH1899" s="270"/>
      <c r="AI1899" s="270"/>
      <c r="AJ1899" s="270"/>
      <c r="AK1899" s="270"/>
      <c r="AL1899" s="270"/>
      <c r="AM1899" s="663"/>
      <c r="AN1899" s="663"/>
      <c r="AO1899" s="708" t="str">
        <f>IF(OR(Table1[[#This Row],[Início Setup Envase]]="",Table1[[#This Row],[Final Setup Envase]]=""),"",Table1[[#This Row],[Final Setup Envase]]-Table1[[#This Row],[Início Setup Envase]])</f>
        <v/>
      </c>
      <c r="AP1899" s="663"/>
      <c r="AQ1899" s="663"/>
      <c r="AR1899" s="270"/>
      <c r="AS1899" s="674"/>
      <c r="AT1899" s="674"/>
      <c r="AU1899" s="270"/>
      <c r="AV1899" s="270"/>
      <c r="AW1899" s="270"/>
      <c r="AX1899" s="270"/>
      <c r="AY1899" s="270"/>
      <c r="AZ1899" s="270"/>
      <c r="BA1899" s="270" t="str">
        <f>IF(Table1[[#This Row],[Data de Início]]="","",YEAR(Table1[[#This Row],[Data de Início]]))</f>
        <v/>
      </c>
      <c r="BB1899" s="270" t="str">
        <f>IF(Table1[[#This Row],[Data de Início]]="","",MONTH(Table1[[#This Row],[Data de Início]]))</f>
        <v/>
      </c>
      <c r="BC1899" s="483"/>
    </row>
    <row r="1900" spans="2:55" x14ac:dyDescent="0.25">
      <c r="B1900" s="470"/>
      <c r="C1900" s="263"/>
      <c r="D1900" s="477" cm="1">
        <f t="array" ref="D1900">IFERROR(HorasUteisFabrica2Turnos(B1900,C1900), "")</f>
        <v>0</v>
      </c>
      <c r="E1900" s="478" t="str">
        <f t="shared" si="30"/>
        <v/>
      </c>
      <c r="F1900" s="266"/>
      <c r="G1900" s="656"/>
      <c r="H1900" s="479"/>
      <c r="I1900" s="268"/>
      <c r="J1900" s="268"/>
      <c r="K1900" s="268"/>
      <c r="L1900" s="269"/>
      <c r="M1900" s="511" t="str">
        <f>IFERROR(INDEX([1]Produtos!$C:$C,MATCH(L1900,[1]Produtos!$B:$B,0)), "-")</f>
        <v>-</v>
      </c>
      <c r="N1900" s="511" t="str">
        <f>IFERROR(INDEX([1]Produtos!$E:$E,MATCH(L1900,[1]Produtos!$B:$B,0)), "-")</f>
        <v>-</v>
      </c>
      <c r="O1900" s="483" t="str">
        <f>IFERROR(INDEX([1]Produtos!$F:$F,MATCH(L1900,[1]Produtos!$B:$B,0)), "-")</f>
        <v>-</v>
      </c>
      <c r="P1900" s="477" t="str">
        <f>IFERROR(INDEX([1]Produtos!$G:$G,MATCH(L1900,[1]Produtos!$B:$B,0)), "-")</f>
        <v>-</v>
      </c>
      <c r="Q1900" s="483" t="str">
        <f>IFERROR(INDEX([1]Produtos!$H:$H,MATCH(L1900,[1]Produtos!$B:$B,0)), "-")</f>
        <v>-</v>
      </c>
      <c r="R1900" s="483" t="str">
        <f>IFERROR(INDEX([1]Produtos!$I:$I,MATCH(L1900,[1]Produtos!$B:$B,0)), "-")</f>
        <v>-</v>
      </c>
      <c r="S1900" s="483" t="str">
        <f>IFERROR(INDEX([1]Produtos!$J:$J,MATCH(L1900,[1]Produtos!$B:$B,0)), "-")</f>
        <v>-</v>
      </c>
      <c r="T1900" s="484"/>
      <c r="U1900" s="483"/>
      <c r="V1900" s="483"/>
      <c r="W1900" s="483"/>
      <c r="X1900" s="483"/>
      <c r="Y1900" s="483"/>
      <c r="Z1900" s="483"/>
      <c r="AA1900" s="483"/>
      <c r="AB1900" s="483"/>
      <c r="AC1900" s="483"/>
      <c r="AD1900" s="483"/>
      <c r="AE1900" s="483"/>
      <c r="AF1900" s="483"/>
      <c r="AG1900" s="483"/>
      <c r="AH1900" s="483"/>
      <c r="AI1900" s="483"/>
      <c r="AJ1900" s="483"/>
      <c r="AK1900" s="483"/>
      <c r="AL1900" s="483"/>
      <c r="AM1900" s="670"/>
      <c r="AN1900" s="670"/>
      <c r="AO1900" s="711" t="str">
        <f>IF(OR(Table1[[#This Row],[Início Setup Envase]]="",Table1[[#This Row],[Final Setup Envase]]=""),"",Table1[[#This Row],[Final Setup Envase]]-Table1[[#This Row],[Início Setup Envase]])</f>
        <v/>
      </c>
      <c r="AP1900" s="670"/>
      <c r="AQ1900" s="670"/>
      <c r="AR1900" s="483"/>
      <c r="AS1900" s="483"/>
      <c r="AT1900" s="483"/>
      <c r="AU1900" s="483"/>
      <c r="AV1900" s="483"/>
      <c r="AW1900" s="483"/>
      <c r="AX1900" s="483"/>
      <c r="AY1900" s="270"/>
      <c r="AZ1900" s="270"/>
      <c r="BA1900" s="270" t="str">
        <f>IF(Table1[[#This Row],[Data de Início]]="","",YEAR(Table1[[#This Row],[Data de Início]]))</f>
        <v/>
      </c>
      <c r="BB1900" s="270" t="str">
        <f>IF(Table1[[#This Row],[Data de Início]]="","",MONTH(Table1[[#This Row],[Data de Início]]))</f>
        <v/>
      </c>
      <c r="BC1900" s="270"/>
    </row>
    <row r="1901" spans="2:55" x14ac:dyDescent="0.25">
      <c r="B1901" s="470"/>
      <c r="C1901" s="263"/>
      <c r="D1901" s="477" cm="1">
        <f t="array" ref="D1901">IFERROR(HorasUteisFabrica2Turnos(B1901,C1901), "")</f>
        <v>0</v>
      </c>
      <c r="E1901" s="697" t="str">
        <f t="shared" si="30"/>
        <v/>
      </c>
      <c r="F1901" s="266"/>
      <c r="G1901" s="698"/>
      <c r="H1901" s="266"/>
      <c r="I1901" s="268"/>
      <c r="J1901" s="268"/>
      <c r="K1901" s="268"/>
      <c r="L1901" s="269"/>
      <c r="M1901" s="510" t="str">
        <f>IFERROR(INDEX([1]Produtos!$C:$C,MATCH(L1901,[1]Produtos!$B:$B,0)), "-")</f>
        <v>-</v>
      </c>
      <c r="N1901" s="510" t="str">
        <f>IFERROR(INDEX([1]Produtos!$E:$E,MATCH(L1901,[1]Produtos!$B:$B,0)), "-")</f>
        <v>-</v>
      </c>
      <c r="O1901" s="270" t="str">
        <f>IFERROR(INDEX([1]Produtos!$F:$F,MATCH(L1901,[1]Produtos!$B:$B,0)), "-")</f>
        <v>-</v>
      </c>
      <c r="P1901" s="264" t="str">
        <f>IFERROR(INDEX([1]Produtos!$G:$G,MATCH(L1901,[1]Produtos!$B:$B,0)), "-")</f>
        <v>-</v>
      </c>
      <c r="Q1901" s="270" t="str">
        <f>IFERROR(INDEX([1]Produtos!$H:$H,MATCH(L1901,[1]Produtos!$B:$B,0)), "-")</f>
        <v>-</v>
      </c>
      <c r="R1901" s="270" t="str">
        <f>IFERROR(INDEX([1]Produtos!$I:$I,MATCH(L1901,[1]Produtos!$B:$B,0)), "-")</f>
        <v>-</v>
      </c>
      <c r="S1901" s="270" t="str">
        <f>IFERROR(INDEX([1]Produtos!$J:$J,MATCH(L1901,[1]Produtos!$B:$B,0)), "-")</f>
        <v>-</v>
      </c>
      <c r="T1901" s="475"/>
      <c r="U1901" s="270"/>
      <c r="V1901" s="270"/>
      <c r="W1901" s="270"/>
      <c r="X1901" s="270"/>
      <c r="Y1901" s="270"/>
      <c r="Z1901" s="270"/>
      <c r="AA1901" s="270"/>
      <c r="AB1901" s="270"/>
      <c r="AC1901" s="270"/>
      <c r="AD1901" s="270"/>
      <c r="AE1901" s="270"/>
      <c r="AF1901" s="270"/>
      <c r="AG1901" s="270"/>
      <c r="AH1901" s="270"/>
      <c r="AI1901" s="270"/>
      <c r="AJ1901" s="270"/>
      <c r="AK1901" s="270"/>
      <c r="AL1901" s="270"/>
      <c r="AM1901" s="663"/>
      <c r="AN1901" s="663"/>
      <c r="AO1901" s="708" t="str">
        <f>IF(OR(Table1[[#This Row],[Início Setup Envase]]="",Table1[[#This Row],[Final Setup Envase]]=""),"",Table1[[#This Row],[Final Setup Envase]]-Table1[[#This Row],[Início Setup Envase]])</f>
        <v/>
      </c>
      <c r="AP1901" s="663"/>
      <c r="AQ1901" s="663"/>
      <c r="AR1901" s="270"/>
      <c r="AS1901" s="674"/>
      <c r="AT1901" s="674"/>
      <c r="AU1901" s="270"/>
      <c r="AV1901" s="270"/>
      <c r="AW1901" s="270"/>
      <c r="AX1901" s="270"/>
      <c r="AY1901" s="270"/>
      <c r="AZ1901" s="270"/>
      <c r="BA1901" s="270" t="str">
        <f>IF(Table1[[#This Row],[Data de Início]]="","",YEAR(Table1[[#This Row],[Data de Início]]))</f>
        <v/>
      </c>
      <c r="BB1901" s="270" t="str">
        <f>IF(Table1[[#This Row],[Data de Início]]="","",MONTH(Table1[[#This Row],[Data de Início]]))</f>
        <v/>
      </c>
      <c r="BC1901" s="483"/>
    </row>
    <row r="1902" spans="2:55" x14ac:dyDescent="0.25">
      <c r="B1902" s="470"/>
      <c r="C1902" s="263"/>
      <c r="D1902" s="477" cm="1">
        <f t="array" ref="D1902">IFERROR(HorasUteisFabrica2Turnos(B1902,C1902), "")</f>
        <v>0</v>
      </c>
      <c r="E1902" s="478" t="str">
        <f t="shared" si="30"/>
        <v/>
      </c>
      <c r="F1902" s="266"/>
      <c r="G1902" s="656"/>
      <c r="H1902" s="479"/>
      <c r="I1902" s="268"/>
      <c r="J1902" s="268"/>
      <c r="K1902" s="268"/>
      <c r="L1902" s="269"/>
      <c r="M1902" s="511" t="str">
        <f>IFERROR(INDEX([1]Produtos!$C:$C,MATCH(L1902,[1]Produtos!$B:$B,0)), "-")</f>
        <v>-</v>
      </c>
      <c r="N1902" s="511" t="str">
        <f>IFERROR(INDEX([1]Produtos!$E:$E,MATCH(L1902,[1]Produtos!$B:$B,0)), "-")</f>
        <v>-</v>
      </c>
      <c r="O1902" s="483" t="str">
        <f>IFERROR(INDEX([1]Produtos!$F:$F,MATCH(L1902,[1]Produtos!$B:$B,0)), "-")</f>
        <v>-</v>
      </c>
      <c r="P1902" s="477" t="str">
        <f>IFERROR(INDEX([1]Produtos!$G:$G,MATCH(L1902,[1]Produtos!$B:$B,0)), "-")</f>
        <v>-</v>
      </c>
      <c r="Q1902" s="483" t="str">
        <f>IFERROR(INDEX([1]Produtos!$H:$H,MATCH(L1902,[1]Produtos!$B:$B,0)), "-")</f>
        <v>-</v>
      </c>
      <c r="R1902" s="483" t="str">
        <f>IFERROR(INDEX([1]Produtos!$I:$I,MATCH(L1902,[1]Produtos!$B:$B,0)), "-")</f>
        <v>-</v>
      </c>
      <c r="S1902" s="483" t="str">
        <f>IFERROR(INDEX([1]Produtos!$J:$J,MATCH(L1902,[1]Produtos!$B:$B,0)), "-")</f>
        <v>-</v>
      </c>
      <c r="T1902" s="484"/>
      <c r="U1902" s="483"/>
      <c r="V1902" s="483"/>
      <c r="W1902" s="483"/>
      <c r="X1902" s="483"/>
      <c r="Y1902" s="483"/>
      <c r="Z1902" s="483"/>
      <c r="AA1902" s="483"/>
      <c r="AB1902" s="483"/>
      <c r="AC1902" s="483"/>
      <c r="AD1902" s="483"/>
      <c r="AE1902" s="483"/>
      <c r="AF1902" s="483"/>
      <c r="AG1902" s="483"/>
      <c r="AH1902" s="483"/>
      <c r="AI1902" s="483"/>
      <c r="AJ1902" s="483"/>
      <c r="AK1902" s="483"/>
      <c r="AL1902" s="483"/>
      <c r="AM1902" s="670"/>
      <c r="AN1902" s="670"/>
      <c r="AO1902" s="711" t="str">
        <f>IF(OR(Table1[[#This Row],[Início Setup Envase]]="",Table1[[#This Row],[Final Setup Envase]]=""),"",Table1[[#This Row],[Final Setup Envase]]-Table1[[#This Row],[Início Setup Envase]])</f>
        <v/>
      </c>
      <c r="AP1902" s="670"/>
      <c r="AQ1902" s="670"/>
      <c r="AR1902" s="483"/>
      <c r="AS1902" s="483"/>
      <c r="AT1902" s="483"/>
      <c r="AU1902" s="483"/>
      <c r="AV1902" s="483"/>
      <c r="AW1902" s="483"/>
      <c r="AX1902" s="483"/>
      <c r="AY1902" s="270"/>
      <c r="AZ1902" s="270"/>
      <c r="BA1902" s="270" t="str">
        <f>IF(Table1[[#This Row],[Data de Início]]="","",YEAR(Table1[[#This Row],[Data de Início]]))</f>
        <v/>
      </c>
      <c r="BB1902" s="270" t="str">
        <f>IF(Table1[[#This Row],[Data de Início]]="","",MONTH(Table1[[#This Row],[Data de Início]]))</f>
        <v/>
      </c>
      <c r="BC1902" s="270"/>
    </row>
    <row r="1903" spans="2:55" x14ac:dyDescent="0.25">
      <c r="B1903" s="470"/>
      <c r="C1903" s="263"/>
      <c r="D1903" s="477" cm="1">
        <f t="array" ref="D1903">IFERROR(HorasUteisFabrica2Turnos(B1903,C1903), "")</f>
        <v>0</v>
      </c>
      <c r="E1903" s="697" t="str">
        <f t="shared" si="30"/>
        <v/>
      </c>
      <c r="F1903" s="266"/>
      <c r="G1903" s="698"/>
      <c r="H1903" s="266"/>
      <c r="I1903" s="268"/>
      <c r="J1903" s="268"/>
      <c r="K1903" s="268"/>
      <c r="L1903" s="269"/>
      <c r="M1903" s="510" t="str">
        <f>IFERROR(INDEX([1]Produtos!$C:$C,MATCH(L1903,[1]Produtos!$B:$B,0)), "-")</f>
        <v>-</v>
      </c>
      <c r="N1903" s="510" t="str">
        <f>IFERROR(INDEX([1]Produtos!$E:$E,MATCH(L1903,[1]Produtos!$B:$B,0)), "-")</f>
        <v>-</v>
      </c>
      <c r="O1903" s="270" t="str">
        <f>IFERROR(INDEX([1]Produtos!$F:$F,MATCH(L1903,[1]Produtos!$B:$B,0)), "-")</f>
        <v>-</v>
      </c>
      <c r="P1903" s="264" t="str">
        <f>IFERROR(INDEX([1]Produtos!$G:$G,MATCH(L1903,[1]Produtos!$B:$B,0)), "-")</f>
        <v>-</v>
      </c>
      <c r="Q1903" s="270" t="str">
        <f>IFERROR(INDEX([1]Produtos!$H:$H,MATCH(L1903,[1]Produtos!$B:$B,0)), "-")</f>
        <v>-</v>
      </c>
      <c r="R1903" s="270" t="str">
        <f>IFERROR(INDEX([1]Produtos!$I:$I,MATCH(L1903,[1]Produtos!$B:$B,0)), "-")</f>
        <v>-</v>
      </c>
      <c r="S1903" s="270" t="str">
        <f>IFERROR(INDEX([1]Produtos!$J:$J,MATCH(L1903,[1]Produtos!$B:$B,0)), "-")</f>
        <v>-</v>
      </c>
      <c r="T1903" s="475"/>
      <c r="U1903" s="270"/>
      <c r="V1903" s="270"/>
      <c r="W1903" s="270"/>
      <c r="X1903" s="270"/>
      <c r="Y1903" s="270"/>
      <c r="Z1903" s="270"/>
      <c r="AA1903" s="270"/>
      <c r="AB1903" s="270"/>
      <c r="AC1903" s="270"/>
      <c r="AD1903" s="270"/>
      <c r="AE1903" s="270"/>
      <c r="AF1903" s="270"/>
      <c r="AG1903" s="270"/>
      <c r="AH1903" s="270"/>
      <c r="AI1903" s="270"/>
      <c r="AJ1903" s="270"/>
      <c r="AK1903" s="270"/>
      <c r="AL1903" s="270"/>
      <c r="AM1903" s="663"/>
      <c r="AN1903" s="663"/>
      <c r="AO1903" s="708" t="str">
        <f>IF(OR(Table1[[#This Row],[Início Setup Envase]]="",Table1[[#This Row],[Final Setup Envase]]=""),"",Table1[[#This Row],[Final Setup Envase]]-Table1[[#This Row],[Início Setup Envase]])</f>
        <v/>
      </c>
      <c r="AP1903" s="663"/>
      <c r="AQ1903" s="663"/>
      <c r="AR1903" s="270"/>
      <c r="AS1903" s="674"/>
      <c r="AT1903" s="674"/>
      <c r="AU1903" s="270"/>
      <c r="AV1903" s="270"/>
      <c r="AW1903" s="270"/>
      <c r="AX1903" s="270"/>
      <c r="AY1903" s="270"/>
      <c r="AZ1903" s="270"/>
      <c r="BA1903" s="270" t="str">
        <f>IF(Table1[[#This Row],[Data de Início]]="","",YEAR(Table1[[#This Row],[Data de Início]]))</f>
        <v/>
      </c>
      <c r="BB1903" s="270" t="str">
        <f>IF(Table1[[#This Row],[Data de Início]]="","",MONTH(Table1[[#This Row],[Data de Início]]))</f>
        <v/>
      </c>
      <c r="BC1903" s="483"/>
    </row>
    <row r="1904" spans="2:55" x14ac:dyDescent="0.25">
      <c r="B1904" s="470"/>
      <c r="C1904" s="263"/>
      <c r="D1904" s="477" cm="1">
        <f t="array" ref="D1904">IFERROR(HorasUteisFabrica2Turnos(B1904,C1904), "")</f>
        <v>0</v>
      </c>
      <c r="E1904" s="478" t="str">
        <f t="shared" si="30"/>
        <v/>
      </c>
      <c r="F1904" s="266"/>
      <c r="G1904" s="656"/>
      <c r="H1904" s="479"/>
      <c r="I1904" s="268"/>
      <c r="J1904" s="268"/>
      <c r="K1904" s="268"/>
      <c r="L1904" s="269"/>
      <c r="M1904" s="511" t="str">
        <f>IFERROR(INDEX([1]Produtos!$C:$C,MATCH(L1904,[1]Produtos!$B:$B,0)), "-")</f>
        <v>-</v>
      </c>
      <c r="N1904" s="511" t="str">
        <f>IFERROR(INDEX([1]Produtos!$E:$E,MATCH(L1904,[1]Produtos!$B:$B,0)), "-")</f>
        <v>-</v>
      </c>
      <c r="O1904" s="483" t="str">
        <f>IFERROR(INDEX([1]Produtos!$F:$F,MATCH(L1904,[1]Produtos!$B:$B,0)), "-")</f>
        <v>-</v>
      </c>
      <c r="P1904" s="477" t="str">
        <f>IFERROR(INDEX([1]Produtos!$G:$G,MATCH(L1904,[1]Produtos!$B:$B,0)), "-")</f>
        <v>-</v>
      </c>
      <c r="Q1904" s="483" t="str">
        <f>IFERROR(INDEX([1]Produtos!$H:$H,MATCH(L1904,[1]Produtos!$B:$B,0)), "-")</f>
        <v>-</v>
      </c>
      <c r="R1904" s="483" t="str">
        <f>IFERROR(INDEX([1]Produtos!$I:$I,MATCH(L1904,[1]Produtos!$B:$B,0)), "-")</f>
        <v>-</v>
      </c>
      <c r="S1904" s="483" t="str">
        <f>IFERROR(INDEX([1]Produtos!$J:$J,MATCH(L1904,[1]Produtos!$B:$B,0)), "-")</f>
        <v>-</v>
      </c>
      <c r="T1904" s="484"/>
      <c r="U1904" s="483"/>
      <c r="V1904" s="483"/>
      <c r="W1904" s="483"/>
      <c r="X1904" s="483"/>
      <c r="Y1904" s="483"/>
      <c r="Z1904" s="483"/>
      <c r="AA1904" s="483"/>
      <c r="AB1904" s="483"/>
      <c r="AC1904" s="483"/>
      <c r="AD1904" s="483"/>
      <c r="AE1904" s="483"/>
      <c r="AF1904" s="483"/>
      <c r="AG1904" s="483"/>
      <c r="AH1904" s="483"/>
      <c r="AI1904" s="483"/>
      <c r="AJ1904" s="483"/>
      <c r="AK1904" s="483"/>
      <c r="AL1904" s="483"/>
      <c r="AM1904" s="670"/>
      <c r="AN1904" s="670"/>
      <c r="AO1904" s="711" t="str">
        <f>IF(OR(Table1[[#This Row],[Início Setup Envase]]="",Table1[[#This Row],[Final Setup Envase]]=""),"",Table1[[#This Row],[Final Setup Envase]]-Table1[[#This Row],[Início Setup Envase]])</f>
        <v/>
      </c>
      <c r="AP1904" s="670"/>
      <c r="AQ1904" s="670"/>
      <c r="AR1904" s="483"/>
      <c r="AS1904" s="483"/>
      <c r="AT1904" s="483"/>
      <c r="AU1904" s="483"/>
      <c r="AV1904" s="483"/>
      <c r="AW1904" s="483"/>
      <c r="AX1904" s="483"/>
      <c r="AY1904" s="270"/>
      <c r="AZ1904" s="270"/>
      <c r="BA1904" s="270" t="str">
        <f>IF(Table1[[#This Row],[Data de Início]]="","",YEAR(Table1[[#This Row],[Data de Início]]))</f>
        <v/>
      </c>
      <c r="BB1904" s="270" t="str">
        <f>IF(Table1[[#This Row],[Data de Início]]="","",MONTH(Table1[[#This Row],[Data de Início]]))</f>
        <v/>
      </c>
      <c r="BC1904" s="270"/>
    </row>
    <row r="1905" spans="2:55" x14ac:dyDescent="0.25">
      <c r="B1905" s="470"/>
      <c r="C1905" s="263"/>
      <c r="D1905" s="477" cm="1">
        <f t="array" ref="D1905">IFERROR(HorasUteisFabrica2Turnos(B1905,C1905), "")</f>
        <v>0</v>
      </c>
      <c r="E1905" s="697" t="str">
        <f t="shared" si="30"/>
        <v/>
      </c>
      <c r="F1905" s="266"/>
      <c r="G1905" s="698"/>
      <c r="H1905" s="266"/>
      <c r="I1905" s="268"/>
      <c r="J1905" s="268"/>
      <c r="K1905" s="268"/>
      <c r="L1905" s="269"/>
      <c r="M1905" s="510" t="str">
        <f>IFERROR(INDEX([1]Produtos!$C:$C,MATCH(L1905,[1]Produtos!$B:$B,0)), "-")</f>
        <v>-</v>
      </c>
      <c r="N1905" s="510" t="str">
        <f>IFERROR(INDEX([1]Produtos!$E:$E,MATCH(L1905,[1]Produtos!$B:$B,0)), "-")</f>
        <v>-</v>
      </c>
      <c r="O1905" s="270" t="str">
        <f>IFERROR(INDEX([1]Produtos!$F:$F,MATCH(L1905,[1]Produtos!$B:$B,0)), "-")</f>
        <v>-</v>
      </c>
      <c r="P1905" s="264" t="str">
        <f>IFERROR(INDEX([1]Produtos!$G:$G,MATCH(L1905,[1]Produtos!$B:$B,0)), "-")</f>
        <v>-</v>
      </c>
      <c r="Q1905" s="270" t="str">
        <f>IFERROR(INDEX([1]Produtos!$H:$H,MATCH(L1905,[1]Produtos!$B:$B,0)), "-")</f>
        <v>-</v>
      </c>
      <c r="R1905" s="270" t="str">
        <f>IFERROR(INDEX([1]Produtos!$I:$I,MATCH(L1905,[1]Produtos!$B:$B,0)), "-")</f>
        <v>-</v>
      </c>
      <c r="S1905" s="270" t="str">
        <f>IFERROR(INDEX([1]Produtos!$J:$J,MATCH(L1905,[1]Produtos!$B:$B,0)), "-")</f>
        <v>-</v>
      </c>
      <c r="T1905" s="475"/>
      <c r="U1905" s="270"/>
      <c r="V1905" s="270"/>
      <c r="W1905" s="270"/>
      <c r="X1905" s="270"/>
      <c r="Y1905" s="270"/>
      <c r="Z1905" s="270"/>
      <c r="AA1905" s="270"/>
      <c r="AB1905" s="270"/>
      <c r="AC1905" s="270"/>
      <c r="AD1905" s="270"/>
      <c r="AE1905" s="270"/>
      <c r="AF1905" s="270"/>
      <c r="AG1905" s="270"/>
      <c r="AH1905" s="270"/>
      <c r="AI1905" s="270"/>
      <c r="AJ1905" s="270"/>
      <c r="AK1905" s="270"/>
      <c r="AL1905" s="270"/>
      <c r="AM1905" s="663"/>
      <c r="AN1905" s="663"/>
      <c r="AO1905" s="708" t="str">
        <f>IF(OR(Table1[[#This Row],[Início Setup Envase]]="",Table1[[#This Row],[Final Setup Envase]]=""),"",Table1[[#This Row],[Final Setup Envase]]-Table1[[#This Row],[Início Setup Envase]])</f>
        <v/>
      </c>
      <c r="AP1905" s="663"/>
      <c r="AQ1905" s="663"/>
      <c r="AR1905" s="270"/>
      <c r="AS1905" s="674"/>
      <c r="AT1905" s="674"/>
      <c r="AU1905" s="270"/>
      <c r="AV1905" s="270"/>
      <c r="AW1905" s="270"/>
      <c r="AX1905" s="270"/>
      <c r="AY1905" s="270"/>
      <c r="AZ1905" s="270"/>
      <c r="BA1905" s="270" t="str">
        <f>IF(Table1[[#This Row],[Data de Início]]="","",YEAR(Table1[[#This Row],[Data de Início]]))</f>
        <v/>
      </c>
      <c r="BB1905" s="270" t="str">
        <f>IF(Table1[[#This Row],[Data de Início]]="","",MONTH(Table1[[#This Row],[Data de Início]]))</f>
        <v/>
      </c>
      <c r="BC1905" s="483"/>
    </row>
    <row r="1906" spans="2:55" x14ac:dyDescent="0.25">
      <c r="B1906" s="470"/>
      <c r="C1906" s="263"/>
      <c r="D1906" s="477" cm="1">
        <f t="array" ref="D1906">IFERROR(HorasUteisFabrica2Turnos(B1906,C1906), "")</f>
        <v>0</v>
      </c>
      <c r="E1906" s="478" t="str">
        <f t="shared" si="30"/>
        <v/>
      </c>
      <c r="F1906" s="266"/>
      <c r="G1906" s="656"/>
      <c r="H1906" s="479"/>
      <c r="I1906" s="268"/>
      <c r="J1906" s="268"/>
      <c r="K1906" s="268"/>
      <c r="L1906" s="269"/>
      <c r="M1906" s="511" t="str">
        <f>IFERROR(INDEX([1]Produtos!$C:$C,MATCH(L1906,[1]Produtos!$B:$B,0)), "-")</f>
        <v>-</v>
      </c>
      <c r="N1906" s="511" t="str">
        <f>IFERROR(INDEX([1]Produtos!$E:$E,MATCH(L1906,[1]Produtos!$B:$B,0)), "-")</f>
        <v>-</v>
      </c>
      <c r="O1906" s="483" t="str">
        <f>IFERROR(INDEX([1]Produtos!$F:$F,MATCH(L1906,[1]Produtos!$B:$B,0)), "-")</f>
        <v>-</v>
      </c>
      <c r="P1906" s="477" t="str">
        <f>IFERROR(INDEX([1]Produtos!$G:$G,MATCH(L1906,[1]Produtos!$B:$B,0)), "-")</f>
        <v>-</v>
      </c>
      <c r="Q1906" s="483" t="str">
        <f>IFERROR(INDEX([1]Produtos!$H:$H,MATCH(L1906,[1]Produtos!$B:$B,0)), "-")</f>
        <v>-</v>
      </c>
      <c r="R1906" s="483" t="str">
        <f>IFERROR(INDEX([1]Produtos!$I:$I,MATCH(L1906,[1]Produtos!$B:$B,0)), "-")</f>
        <v>-</v>
      </c>
      <c r="S1906" s="483" t="str">
        <f>IFERROR(INDEX([1]Produtos!$J:$J,MATCH(L1906,[1]Produtos!$B:$B,0)), "-")</f>
        <v>-</v>
      </c>
      <c r="T1906" s="484"/>
      <c r="U1906" s="483"/>
      <c r="V1906" s="483"/>
      <c r="W1906" s="483"/>
      <c r="X1906" s="483"/>
      <c r="Y1906" s="483"/>
      <c r="Z1906" s="483"/>
      <c r="AA1906" s="483"/>
      <c r="AB1906" s="483"/>
      <c r="AC1906" s="483"/>
      <c r="AD1906" s="483"/>
      <c r="AE1906" s="483"/>
      <c r="AF1906" s="483"/>
      <c r="AG1906" s="483"/>
      <c r="AH1906" s="483"/>
      <c r="AI1906" s="483"/>
      <c r="AJ1906" s="483"/>
      <c r="AK1906" s="483"/>
      <c r="AL1906" s="483"/>
      <c r="AM1906" s="670"/>
      <c r="AN1906" s="670"/>
      <c r="AO1906" s="711" t="str">
        <f>IF(OR(Table1[[#This Row],[Início Setup Envase]]="",Table1[[#This Row],[Final Setup Envase]]=""),"",Table1[[#This Row],[Final Setup Envase]]-Table1[[#This Row],[Início Setup Envase]])</f>
        <v/>
      </c>
      <c r="AP1906" s="670"/>
      <c r="AQ1906" s="670"/>
      <c r="AR1906" s="483"/>
      <c r="AS1906" s="483"/>
      <c r="AT1906" s="483"/>
      <c r="AU1906" s="483"/>
      <c r="AV1906" s="483"/>
      <c r="AW1906" s="483"/>
      <c r="AX1906" s="483"/>
      <c r="AY1906" s="270"/>
      <c r="AZ1906" s="270"/>
      <c r="BA1906" s="270" t="str">
        <f>IF(Table1[[#This Row],[Data de Início]]="","",YEAR(Table1[[#This Row],[Data de Início]]))</f>
        <v/>
      </c>
      <c r="BB1906" s="270" t="str">
        <f>IF(Table1[[#This Row],[Data de Início]]="","",MONTH(Table1[[#This Row],[Data de Início]]))</f>
        <v/>
      </c>
      <c r="BC1906" s="270"/>
    </row>
    <row r="1907" spans="2:55" x14ac:dyDescent="0.25">
      <c r="B1907" s="470"/>
      <c r="C1907" s="263"/>
      <c r="D1907" s="477" cm="1">
        <f t="array" ref="D1907">IFERROR(HorasUteisFabrica2Turnos(B1907,C1907), "")</f>
        <v>0</v>
      </c>
      <c r="E1907" s="697" t="str">
        <f t="shared" si="30"/>
        <v/>
      </c>
      <c r="F1907" s="266"/>
      <c r="G1907" s="698"/>
      <c r="H1907" s="266"/>
      <c r="I1907" s="268"/>
      <c r="J1907" s="268"/>
      <c r="K1907" s="268"/>
      <c r="L1907" s="269"/>
      <c r="M1907" s="510" t="str">
        <f>IFERROR(INDEX([1]Produtos!$C:$C,MATCH(L1907,[1]Produtos!$B:$B,0)), "-")</f>
        <v>-</v>
      </c>
      <c r="N1907" s="510" t="str">
        <f>IFERROR(INDEX([1]Produtos!$E:$E,MATCH(L1907,[1]Produtos!$B:$B,0)), "-")</f>
        <v>-</v>
      </c>
      <c r="O1907" s="270" t="str">
        <f>IFERROR(INDEX([1]Produtos!$F:$F,MATCH(L1907,[1]Produtos!$B:$B,0)), "-")</f>
        <v>-</v>
      </c>
      <c r="P1907" s="264" t="str">
        <f>IFERROR(INDEX([1]Produtos!$G:$G,MATCH(L1907,[1]Produtos!$B:$B,0)), "-")</f>
        <v>-</v>
      </c>
      <c r="Q1907" s="270" t="str">
        <f>IFERROR(INDEX([1]Produtos!$H:$H,MATCH(L1907,[1]Produtos!$B:$B,0)), "-")</f>
        <v>-</v>
      </c>
      <c r="R1907" s="270" t="str">
        <f>IFERROR(INDEX([1]Produtos!$I:$I,MATCH(L1907,[1]Produtos!$B:$B,0)), "-")</f>
        <v>-</v>
      </c>
      <c r="S1907" s="270" t="str">
        <f>IFERROR(INDEX([1]Produtos!$J:$J,MATCH(L1907,[1]Produtos!$B:$B,0)), "-")</f>
        <v>-</v>
      </c>
      <c r="T1907" s="475"/>
      <c r="U1907" s="270"/>
      <c r="V1907" s="270"/>
      <c r="W1907" s="270"/>
      <c r="X1907" s="270"/>
      <c r="Y1907" s="270"/>
      <c r="Z1907" s="270"/>
      <c r="AA1907" s="270"/>
      <c r="AB1907" s="270"/>
      <c r="AC1907" s="270"/>
      <c r="AD1907" s="270"/>
      <c r="AE1907" s="270"/>
      <c r="AF1907" s="270"/>
      <c r="AG1907" s="270"/>
      <c r="AH1907" s="270"/>
      <c r="AI1907" s="270"/>
      <c r="AJ1907" s="270"/>
      <c r="AK1907" s="270"/>
      <c r="AL1907" s="270"/>
      <c r="AM1907" s="663"/>
      <c r="AN1907" s="663"/>
      <c r="AO1907" s="708" t="str">
        <f>IF(OR(Table1[[#This Row],[Início Setup Envase]]="",Table1[[#This Row],[Final Setup Envase]]=""),"",Table1[[#This Row],[Final Setup Envase]]-Table1[[#This Row],[Início Setup Envase]])</f>
        <v/>
      </c>
      <c r="AP1907" s="663"/>
      <c r="AQ1907" s="663"/>
      <c r="AR1907" s="270"/>
      <c r="AS1907" s="674"/>
      <c r="AT1907" s="674"/>
      <c r="AU1907" s="270"/>
      <c r="AV1907" s="270"/>
      <c r="AW1907" s="270"/>
      <c r="AX1907" s="270"/>
      <c r="AY1907" s="270"/>
      <c r="AZ1907" s="270"/>
      <c r="BA1907" s="270" t="str">
        <f>IF(Table1[[#This Row],[Data de Início]]="","",YEAR(Table1[[#This Row],[Data de Início]]))</f>
        <v/>
      </c>
      <c r="BB1907" s="270" t="str">
        <f>IF(Table1[[#This Row],[Data de Início]]="","",MONTH(Table1[[#This Row],[Data de Início]]))</f>
        <v/>
      </c>
      <c r="BC1907" s="483"/>
    </row>
    <row r="1908" spans="2:55" x14ac:dyDescent="0.25">
      <c r="B1908" s="470"/>
      <c r="C1908" s="263"/>
      <c r="D1908" s="477" cm="1">
        <f t="array" ref="D1908">IFERROR(HorasUteisFabrica2Turnos(B1908,C1908), "")</f>
        <v>0</v>
      </c>
      <c r="E1908" s="478" t="str">
        <f t="shared" si="30"/>
        <v/>
      </c>
      <c r="F1908" s="266"/>
      <c r="G1908" s="656"/>
      <c r="H1908" s="479"/>
      <c r="I1908" s="268"/>
      <c r="J1908" s="268"/>
      <c r="K1908" s="268"/>
      <c r="L1908" s="269"/>
      <c r="M1908" s="511" t="str">
        <f>IFERROR(INDEX([1]Produtos!$C:$C,MATCH(L1908,[1]Produtos!$B:$B,0)), "-")</f>
        <v>-</v>
      </c>
      <c r="N1908" s="511" t="str">
        <f>IFERROR(INDEX([1]Produtos!$E:$E,MATCH(L1908,[1]Produtos!$B:$B,0)), "-")</f>
        <v>-</v>
      </c>
      <c r="O1908" s="483" t="str">
        <f>IFERROR(INDEX([1]Produtos!$F:$F,MATCH(L1908,[1]Produtos!$B:$B,0)), "-")</f>
        <v>-</v>
      </c>
      <c r="P1908" s="477" t="str">
        <f>IFERROR(INDEX([1]Produtos!$G:$G,MATCH(L1908,[1]Produtos!$B:$B,0)), "-")</f>
        <v>-</v>
      </c>
      <c r="Q1908" s="483" t="str">
        <f>IFERROR(INDEX([1]Produtos!$H:$H,MATCH(L1908,[1]Produtos!$B:$B,0)), "-")</f>
        <v>-</v>
      </c>
      <c r="R1908" s="483" t="str">
        <f>IFERROR(INDEX([1]Produtos!$I:$I,MATCH(L1908,[1]Produtos!$B:$B,0)), "-")</f>
        <v>-</v>
      </c>
      <c r="S1908" s="483" t="str">
        <f>IFERROR(INDEX([1]Produtos!$J:$J,MATCH(L1908,[1]Produtos!$B:$B,0)), "-")</f>
        <v>-</v>
      </c>
      <c r="T1908" s="484"/>
      <c r="U1908" s="483"/>
      <c r="V1908" s="483"/>
      <c r="W1908" s="483"/>
      <c r="X1908" s="483"/>
      <c r="Y1908" s="483"/>
      <c r="Z1908" s="483"/>
      <c r="AA1908" s="483"/>
      <c r="AB1908" s="483"/>
      <c r="AC1908" s="483"/>
      <c r="AD1908" s="483"/>
      <c r="AE1908" s="483"/>
      <c r="AF1908" s="483"/>
      <c r="AG1908" s="483"/>
      <c r="AH1908" s="483"/>
      <c r="AI1908" s="483"/>
      <c r="AJ1908" s="483"/>
      <c r="AK1908" s="483"/>
      <c r="AL1908" s="483"/>
      <c r="AM1908" s="670"/>
      <c r="AN1908" s="670"/>
      <c r="AO1908" s="711" t="str">
        <f>IF(OR(Table1[[#This Row],[Início Setup Envase]]="",Table1[[#This Row],[Final Setup Envase]]=""),"",Table1[[#This Row],[Final Setup Envase]]-Table1[[#This Row],[Início Setup Envase]])</f>
        <v/>
      </c>
      <c r="AP1908" s="670"/>
      <c r="AQ1908" s="670"/>
      <c r="AR1908" s="483"/>
      <c r="AS1908" s="483"/>
      <c r="AT1908" s="483"/>
      <c r="AU1908" s="483"/>
      <c r="AV1908" s="483"/>
      <c r="AW1908" s="483"/>
      <c r="AX1908" s="483"/>
      <c r="AY1908" s="270"/>
      <c r="AZ1908" s="270"/>
      <c r="BA1908" s="270" t="str">
        <f>IF(Table1[[#This Row],[Data de Início]]="","",YEAR(Table1[[#This Row],[Data de Início]]))</f>
        <v/>
      </c>
      <c r="BB1908" s="270" t="str">
        <f>IF(Table1[[#This Row],[Data de Início]]="","",MONTH(Table1[[#This Row],[Data de Início]]))</f>
        <v/>
      </c>
      <c r="BC1908" s="270"/>
    </row>
    <row r="1909" spans="2:55" x14ac:dyDescent="0.25">
      <c r="B1909" s="470"/>
      <c r="C1909" s="263"/>
      <c r="D1909" s="477" cm="1">
        <f t="array" ref="D1909">IFERROR(HorasUteisFabrica2Turnos(B1909,C1909), "")</f>
        <v>0</v>
      </c>
      <c r="E1909" s="697" t="str">
        <f t="shared" si="30"/>
        <v/>
      </c>
      <c r="F1909" s="266"/>
      <c r="G1909" s="698"/>
      <c r="H1909" s="266"/>
      <c r="I1909" s="268"/>
      <c r="J1909" s="268"/>
      <c r="K1909" s="268"/>
      <c r="L1909" s="269"/>
      <c r="M1909" s="510" t="str">
        <f>IFERROR(INDEX([1]Produtos!$C:$C,MATCH(L1909,[1]Produtos!$B:$B,0)), "-")</f>
        <v>-</v>
      </c>
      <c r="N1909" s="510" t="str">
        <f>IFERROR(INDEX([1]Produtos!$E:$E,MATCH(L1909,[1]Produtos!$B:$B,0)), "-")</f>
        <v>-</v>
      </c>
      <c r="O1909" s="270" t="str">
        <f>IFERROR(INDEX([1]Produtos!$F:$F,MATCH(L1909,[1]Produtos!$B:$B,0)), "-")</f>
        <v>-</v>
      </c>
      <c r="P1909" s="264" t="str">
        <f>IFERROR(INDEX([1]Produtos!$G:$G,MATCH(L1909,[1]Produtos!$B:$B,0)), "-")</f>
        <v>-</v>
      </c>
      <c r="Q1909" s="270" t="str">
        <f>IFERROR(INDEX([1]Produtos!$H:$H,MATCH(L1909,[1]Produtos!$B:$B,0)), "-")</f>
        <v>-</v>
      </c>
      <c r="R1909" s="270" t="str">
        <f>IFERROR(INDEX([1]Produtos!$I:$I,MATCH(L1909,[1]Produtos!$B:$B,0)), "-")</f>
        <v>-</v>
      </c>
      <c r="S1909" s="270" t="str">
        <f>IFERROR(INDEX([1]Produtos!$J:$J,MATCH(L1909,[1]Produtos!$B:$B,0)), "-")</f>
        <v>-</v>
      </c>
      <c r="T1909" s="475"/>
      <c r="U1909" s="270"/>
      <c r="V1909" s="270"/>
      <c r="W1909" s="270"/>
      <c r="X1909" s="270"/>
      <c r="Y1909" s="270"/>
      <c r="Z1909" s="270"/>
      <c r="AA1909" s="270"/>
      <c r="AB1909" s="270"/>
      <c r="AC1909" s="270"/>
      <c r="AD1909" s="270"/>
      <c r="AE1909" s="270"/>
      <c r="AF1909" s="270"/>
      <c r="AG1909" s="270"/>
      <c r="AH1909" s="270"/>
      <c r="AI1909" s="270"/>
      <c r="AJ1909" s="270"/>
      <c r="AK1909" s="270"/>
      <c r="AL1909" s="270"/>
      <c r="AM1909" s="663"/>
      <c r="AN1909" s="663"/>
      <c r="AO1909" s="708" t="str">
        <f>IF(OR(Table1[[#This Row],[Início Setup Envase]]="",Table1[[#This Row],[Final Setup Envase]]=""),"",Table1[[#This Row],[Final Setup Envase]]-Table1[[#This Row],[Início Setup Envase]])</f>
        <v/>
      </c>
      <c r="AP1909" s="663"/>
      <c r="AQ1909" s="663"/>
      <c r="AR1909" s="270"/>
      <c r="AS1909" s="674"/>
      <c r="AT1909" s="674"/>
      <c r="AU1909" s="270"/>
      <c r="AV1909" s="270"/>
      <c r="AW1909" s="270"/>
      <c r="AX1909" s="270"/>
      <c r="AY1909" s="270"/>
      <c r="AZ1909" s="270"/>
      <c r="BA1909" s="270" t="str">
        <f>IF(Table1[[#This Row],[Data de Início]]="","",YEAR(Table1[[#This Row],[Data de Início]]))</f>
        <v/>
      </c>
      <c r="BB1909" s="270" t="str">
        <f>IF(Table1[[#This Row],[Data de Início]]="","",MONTH(Table1[[#This Row],[Data de Início]]))</f>
        <v/>
      </c>
      <c r="BC1909" s="483"/>
    </row>
    <row r="1910" spans="2:55" x14ac:dyDescent="0.25">
      <c r="B1910" s="470"/>
      <c r="C1910" s="263"/>
      <c r="D1910" s="477" cm="1">
        <f t="array" ref="D1910">IFERROR(HorasUteisFabrica2Turnos(B1910,C1910), "")</f>
        <v>0</v>
      </c>
      <c r="E1910" s="478" t="str">
        <f t="shared" si="30"/>
        <v/>
      </c>
      <c r="F1910" s="266"/>
      <c r="G1910" s="656"/>
      <c r="H1910" s="479"/>
      <c r="I1910" s="268"/>
      <c r="J1910" s="268"/>
      <c r="K1910" s="268"/>
      <c r="L1910" s="269"/>
      <c r="M1910" s="511" t="str">
        <f>IFERROR(INDEX([1]Produtos!$C:$C,MATCH(L1910,[1]Produtos!$B:$B,0)), "-")</f>
        <v>-</v>
      </c>
      <c r="N1910" s="511" t="str">
        <f>IFERROR(INDEX([1]Produtos!$E:$E,MATCH(L1910,[1]Produtos!$B:$B,0)), "-")</f>
        <v>-</v>
      </c>
      <c r="O1910" s="483" t="str">
        <f>IFERROR(INDEX([1]Produtos!$F:$F,MATCH(L1910,[1]Produtos!$B:$B,0)), "-")</f>
        <v>-</v>
      </c>
      <c r="P1910" s="477" t="str">
        <f>IFERROR(INDEX([1]Produtos!$G:$G,MATCH(L1910,[1]Produtos!$B:$B,0)), "-")</f>
        <v>-</v>
      </c>
      <c r="Q1910" s="483" t="str">
        <f>IFERROR(INDEX([1]Produtos!$H:$H,MATCH(L1910,[1]Produtos!$B:$B,0)), "-")</f>
        <v>-</v>
      </c>
      <c r="R1910" s="483" t="str">
        <f>IFERROR(INDEX([1]Produtos!$I:$I,MATCH(L1910,[1]Produtos!$B:$B,0)), "-")</f>
        <v>-</v>
      </c>
      <c r="S1910" s="483" t="str">
        <f>IFERROR(INDEX([1]Produtos!$J:$J,MATCH(L1910,[1]Produtos!$B:$B,0)), "-")</f>
        <v>-</v>
      </c>
      <c r="T1910" s="484"/>
      <c r="U1910" s="483"/>
      <c r="V1910" s="483"/>
      <c r="W1910" s="483"/>
      <c r="X1910" s="483"/>
      <c r="Y1910" s="483"/>
      <c r="Z1910" s="483"/>
      <c r="AA1910" s="483"/>
      <c r="AB1910" s="483"/>
      <c r="AC1910" s="483"/>
      <c r="AD1910" s="483"/>
      <c r="AE1910" s="483"/>
      <c r="AF1910" s="483"/>
      <c r="AG1910" s="483"/>
      <c r="AH1910" s="483"/>
      <c r="AI1910" s="483"/>
      <c r="AJ1910" s="483"/>
      <c r="AK1910" s="483"/>
      <c r="AL1910" s="483"/>
      <c r="AM1910" s="670"/>
      <c r="AN1910" s="670"/>
      <c r="AO1910" s="711" t="str">
        <f>IF(OR(Table1[[#This Row],[Início Setup Envase]]="",Table1[[#This Row],[Final Setup Envase]]=""),"",Table1[[#This Row],[Final Setup Envase]]-Table1[[#This Row],[Início Setup Envase]])</f>
        <v/>
      </c>
      <c r="AP1910" s="670"/>
      <c r="AQ1910" s="670"/>
      <c r="AR1910" s="483"/>
      <c r="AS1910" s="483"/>
      <c r="AT1910" s="483"/>
      <c r="AU1910" s="483"/>
      <c r="AV1910" s="483"/>
      <c r="AW1910" s="483"/>
      <c r="AX1910" s="483"/>
      <c r="AY1910" s="270"/>
      <c r="AZ1910" s="270"/>
      <c r="BA1910" s="270" t="str">
        <f>IF(Table1[[#This Row],[Data de Início]]="","",YEAR(Table1[[#This Row],[Data de Início]]))</f>
        <v/>
      </c>
      <c r="BB1910" s="270" t="str">
        <f>IF(Table1[[#This Row],[Data de Início]]="","",MONTH(Table1[[#This Row],[Data de Início]]))</f>
        <v/>
      </c>
      <c r="BC1910" s="270"/>
    </row>
    <row r="1911" spans="2:55" x14ac:dyDescent="0.25">
      <c r="B1911" s="470"/>
      <c r="C1911" s="263"/>
      <c r="D1911" s="477" cm="1">
        <f t="array" ref="D1911">IFERROR(HorasUteisFabrica2Turnos(B1911,C1911), "")</f>
        <v>0</v>
      </c>
      <c r="E1911" s="697" t="str">
        <f t="shared" si="30"/>
        <v/>
      </c>
      <c r="F1911" s="266"/>
      <c r="G1911" s="698"/>
      <c r="H1911" s="266"/>
      <c r="I1911" s="268"/>
      <c r="J1911" s="268"/>
      <c r="K1911" s="268"/>
      <c r="L1911" s="269"/>
      <c r="M1911" s="510" t="str">
        <f>IFERROR(INDEX([1]Produtos!$C:$C,MATCH(L1911,[1]Produtos!$B:$B,0)), "-")</f>
        <v>-</v>
      </c>
      <c r="N1911" s="510" t="str">
        <f>IFERROR(INDEX([1]Produtos!$E:$E,MATCH(L1911,[1]Produtos!$B:$B,0)), "-")</f>
        <v>-</v>
      </c>
      <c r="O1911" s="270" t="str">
        <f>IFERROR(INDEX([1]Produtos!$F:$F,MATCH(L1911,[1]Produtos!$B:$B,0)), "-")</f>
        <v>-</v>
      </c>
      <c r="P1911" s="264" t="str">
        <f>IFERROR(INDEX([1]Produtos!$G:$G,MATCH(L1911,[1]Produtos!$B:$B,0)), "-")</f>
        <v>-</v>
      </c>
      <c r="Q1911" s="270" t="str">
        <f>IFERROR(INDEX([1]Produtos!$H:$H,MATCH(L1911,[1]Produtos!$B:$B,0)), "-")</f>
        <v>-</v>
      </c>
      <c r="R1911" s="270" t="str">
        <f>IFERROR(INDEX([1]Produtos!$I:$I,MATCH(L1911,[1]Produtos!$B:$B,0)), "-")</f>
        <v>-</v>
      </c>
      <c r="S1911" s="270" t="str">
        <f>IFERROR(INDEX([1]Produtos!$J:$J,MATCH(L1911,[1]Produtos!$B:$B,0)), "-")</f>
        <v>-</v>
      </c>
      <c r="T1911" s="475"/>
      <c r="U1911" s="270"/>
      <c r="V1911" s="270"/>
      <c r="W1911" s="270"/>
      <c r="X1911" s="270"/>
      <c r="Y1911" s="270"/>
      <c r="Z1911" s="270"/>
      <c r="AA1911" s="270"/>
      <c r="AB1911" s="270"/>
      <c r="AC1911" s="270"/>
      <c r="AD1911" s="270"/>
      <c r="AE1911" s="270"/>
      <c r="AF1911" s="270"/>
      <c r="AG1911" s="270"/>
      <c r="AH1911" s="270"/>
      <c r="AI1911" s="270"/>
      <c r="AJ1911" s="270"/>
      <c r="AK1911" s="270"/>
      <c r="AL1911" s="270"/>
      <c r="AM1911" s="663"/>
      <c r="AN1911" s="663"/>
      <c r="AO1911" s="708" t="str">
        <f>IF(OR(Table1[[#This Row],[Início Setup Envase]]="",Table1[[#This Row],[Final Setup Envase]]=""),"",Table1[[#This Row],[Final Setup Envase]]-Table1[[#This Row],[Início Setup Envase]])</f>
        <v/>
      </c>
      <c r="AP1911" s="663"/>
      <c r="AQ1911" s="663"/>
      <c r="AR1911" s="270"/>
      <c r="AS1911" s="674"/>
      <c r="AT1911" s="674"/>
      <c r="AU1911" s="270"/>
      <c r="AV1911" s="270"/>
      <c r="AW1911" s="270"/>
      <c r="AX1911" s="270"/>
      <c r="AY1911" s="270"/>
      <c r="AZ1911" s="270"/>
      <c r="BA1911" s="270" t="str">
        <f>IF(Table1[[#This Row],[Data de Início]]="","",YEAR(Table1[[#This Row],[Data de Início]]))</f>
        <v/>
      </c>
      <c r="BB1911" s="270" t="str">
        <f>IF(Table1[[#This Row],[Data de Início]]="","",MONTH(Table1[[#This Row],[Data de Início]]))</f>
        <v/>
      </c>
      <c r="BC1911" s="483"/>
    </row>
    <row r="1912" spans="2:55" x14ac:dyDescent="0.25">
      <c r="B1912" s="470"/>
      <c r="C1912" s="263"/>
      <c r="D1912" s="477" cm="1">
        <f t="array" ref="D1912">IFERROR(HorasUteisFabrica2Turnos(B1912,C1912), "")</f>
        <v>0</v>
      </c>
      <c r="E1912" s="478" t="str">
        <f t="shared" si="30"/>
        <v/>
      </c>
      <c r="F1912" s="266"/>
      <c r="G1912" s="656"/>
      <c r="H1912" s="479"/>
      <c r="I1912" s="268"/>
      <c r="J1912" s="268"/>
      <c r="K1912" s="268"/>
      <c r="L1912" s="269"/>
      <c r="M1912" s="511" t="str">
        <f>IFERROR(INDEX([1]Produtos!$C:$C,MATCH(L1912,[1]Produtos!$B:$B,0)), "-")</f>
        <v>-</v>
      </c>
      <c r="N1912" s="511" t="str">
        <f>IFERROR(INDEX([1]Produtos!$E:$E,MATCH(L1912,[1]Produtos!$B:$B,0)), "-")</f>
        <v>-</v>
      </c>
      <c r="O1912" s="483" t="str">
        <f>IFERROR(INDEX([1]Produtos!$F:$F,MATCH(L1912,[1]Produtos!$B:$B,0)), "-")</f>
        <v>-</v>
      </c>
      <c r="P1912" s="477" t="str">
        <f>IFERROR(INDEX([1]Produtos!$G:$G,MATCH(L1912,[1]Produtos!$B:$B,0)), "-")</f>
        <v>-</v>
      </c>
      <c r="Q1912" s="483" t="str">
        <f>IFERROR(INDEX([1]Produtos!$H:$H,MATCH(L1912,[1]Produtos!$B:$B,0)), "-")</f>
        <v>-</v>
      </c>
      <c r="R1912" s="483" t="str">
        <f>IFERROR(INDEX([1]Produtos!$I:$I,MATCH(L1912,[1]Produtos!$B:$B,0)), "-")</f>
        <v>-</v>
      </c>
      <c r="S1912" s="483" t="str">
        <f>IFERROR(INDEX([1]Produtos!$J:$J,MATCH(L1912,[1]Produtos!$B:$B,0)), "-")</f>
        <v>-</v>
      </c>
      <c r="T1912" s="484"/>
      <c r="U1912" s="483"/>
      <c r="V1912" s="483"/>
      <c r="W1912" s="483"/>
      <c r="X1912" s="483"/>
      <c r="Y1912" s="483"/>
      <c r="Z1912" s="483"/>
      <c r="AA1912" s="483"/>
      <c r="AB1912" s="483"/>
      <c r="AC1912" s="483"/>
      <c r="AD1912" s="483"/>
      <c r="AE1912" s="483"/>
      <c r="AF1912" s="483"/>
      <c r="AG1912" s="483"/>
      <c r="AH1912" s="483"/>
      <c r="AI1912" s="483"/>
      <c r="AJ1912" s="483"/>
      <c r="AK1912" s="483"/>
      <c r="AL1912" s="483"/>
      <c r="AM1912" s="670"/>
      <c r="AN1912" s="670"/>
      <c r="AO1912" s="711" t="str">
        <f>IF(OR(Table1[[#This Row],[Início Setup Envase]]="",Table1[[#This Row],[Final Setup Envase]]=""),"",Table1[[#This Row],[Final Setup Envase]]-Table1[[#This Row],[Início Setup Envase]])</f>
        <v/>
      </c>
      <c r="AP1912" s="670"/>
      <c r="AQ1912" s="670"/>
      <c r="AR1912" s="483"/>
      <c r="AS1912" s="483"/>
      <c r="AT1912" s="483"/>
      <c r="AU1912" s="483"/>
      <c r="AV1912" s="483"/>
      <c r="AW1912" s="483"/>
      <c r="AX1912" s="483"/>
      <c r="AY1912" s="270"/>
      <c r="AZ1912" s="270"/>
      <c r="BA1912" s="270" t="str">
        <f>IF(Table1[[#This Row],[Data de Início]]="","",YEAR(Table1[[#This Row],[Data de Início]]))</f>
        <v/>
      </c>
      <c r="BB1912" s="270" t="str">
        <f>IF(Table1[[#This Row],[Data de Início]]="","",MONTH(Table1[[#This Row],[Data de Início]]))</f>
        <v/>
      </c>
      <c r="BC1912" s="270"/>
    </row>
    <row r="1913" spans="2:55" x14ac:dyDescent="0.25">
      <c r="B1913" s="470"/>
      <c r="C1913" s="263"/>
      <c r="D1913" s="477" cm="1">
        <f t="array" ref="D1913">IFERROR(HorasUteisFabrica2Turnos(B1913,C1913), "")</f>
        <v>0</v>
      </c>
      <c r="E1913" s="697" t="str">
        <f t="shared" si="30"/>
        <v/>
      </c>
      <c r="F1913" s="266"/>
      <c r="G1913" s="698"/>
      <c r="H1913" s="266"/>
      <c r="I1913" s="268"/>
      <c r="J1913" s="268"/>
      <c r="K1913" s="268"/>
      <c r="L1913" s="269"/>
      <c r="M1913" s="510" t="str">
        <f>IFERROR(INDEX([1]Produtos!$C:$C,MATCH(L1913,[1]Produtos!$B:$B,0)), "-")</f>
        <v>-</v>
      </c>
      <c r="N1913" s="510" t="str">
        <f>IFERROR(INDEX([1]Produtos!$E:$E,MATCH(L1913,[1]Produtos!$B:$B,0)), "-")</f>
        <v>-</v>
      </c>
      <c r="O1913" s="270" t="str">
        <f>IFERROR(INDEX([1]Produtos!$F:$F,MATCH(L1913,[1]Produtos!$B:$B,0)), "-")</f>
        <v>-</v>
      </c>
      <c r="P1913" s="264" t="str">
        <f>IFERROR(INDEX([1]Produtos!$G:$G,MATCH(L1913,[1]Produtos!$B:$B,0)), "-")</f>
        <v>-</v>
      </c>
      <c r="Q1913" s="270" t="str">
        <f>IFERROR(INDEX([1]Produtos!$H:$H,MATCH(L1913,[1]Produtos!$B:$B,0)), "-")</f>
        <v>-</v>
      </c>
      <c r="R1913" s="270" t="str">
        <f>IFERROR(INDEX([1]Produtos!$I:$I,MATCH(L1913,[1]Produtos!$B:$B,0)), "-")</f>
        <v>-</v>
      </c>
      <c r="S1913" s="270" t="str">
        <f>IFERROR(INDEX([1]Produtos!$J:$J,MATCH(L1913,[1]Produtos!$B:$B,0)), "-")</f>
        <v>-</v>
      </c>
      <c r="T1913" s="475"/>
      <c r="U1913" s="270"/>
      <c r="V1913" s="270"/>
      <c r="W1913" s="270"/>
      <c r="X1913" s="270"/>
      <c r="Y1913" s="270"/>
      <c r="Z1913" s="270"/>
      <c r="AA1913" s="270"/>
      <c r="AB1913" s="270"/>
      <c r="AC1913" s="270"/>
      <c r="AD1913" s="270"/>
      <c r="AE1913" s="270"/>
      <c r="AF1913" s="270"/>
      <c r="AG1913" s="270"/>
      <c r="AH1913" s="270"/>
      <c r="AI1913" s="270"/>
      <c r="AJ1913" s="270"/>
      <c r="AK1913" s="270"/>
      <c r="AL1913" s="270"/>
      <c r="AM1913" s="663"/>
      <c r="AN1913" s="663"/>
      <c r="AO1913" s="708" t="str">
        <f>IF(OR(Table1[[#This Row],[Início Setup Envase]]="",Table1[[#This Row],[Final Setup Envase]]=""),"",Table1[[#This Row],[Final Setup Envase]]-Table1[[#This Row],[Início Setup Envase]])</f>
        <v/>
      </c>
      <c r="AP1913" s="663"/>
      <c r="AQ1913" s="663"/>
      <c r="AR1913" s="270"/>
      <c r="AS1913" s="674"/>
      <c r="AT1913" s="674"/>
      <c r="AU1913" s="270"/>
      <c r="AV1913" s="270"/>
      <c r="AW1913" s="270"/>
      <c r="AX1913" s="270"/>
      <c r="AY1913" s="270"/>
      <c r="AZ1913" s="270"/>
      <c r="BA1913" s="270" t="str">
        <f>IF(Table1[[#This Row],[Data de Início]]="","",YEAR(Table1[[#This Row],[Data de Início]]))</f>
        <v/>
      </c>
      <c r="BB1913" s="270" t="str">
        <f>IF(Table1[[#This Row],[Data de Início]]="","",MONTH(Table1[[#This Row],[Data de Início]]))</f>
        <v/>
      </c>
      <c r="BC1913" s="483"/>
    </row>
    <row r="1914" spans="2:55" x14ac:dyDescent="0.25">
      <c r="B1914" s="470"/>
      <c r="C1914" s="263"/>
      <c r="D1914" s="477" cm="1">
        <f t="array" ref="D1914">IFERROR(HorasUteisFabrica2Turnos(B1914,C1914), "")</f>
        <v>0</v>
      </c>
      <c r="E1914" s="478" t="str">
        <f t="shared" si="30"/>
        <v/>
      </c>
      <c r="F1914" s="266"/>
      <c r="G1914" s="656"/>
      <c r="H1914" s="479"/>
      <c r="I1914" s="268"/>
      <c r="J1914" s="268"/>
      <c r="K1914" s="268"/>
      <c r="L1914" s="269"/>
      <c r="M1914" s="511" t="str">
        <f>IFERROR(INDEX([1]Produtos!$C:$C,MATCH(L1914,[1]Produtos!$B:$B,0)), "-")</f>
        <v>-</v>
      </c>
      <c r="N1914" s="511" t="str">
        <f>IFERROR(INDEX([1]Produtos!$E:$E,MATCH(L1914,[1]Produtos!$B:$B,0)), "-")</f>
        <v>-</v>
      </c>
      <c r="O1914" s="483" t="str">
        <f>IFERROR(INDEX([1]Produtos!$F:$F,MATCH(L1914,[1]Produtos!$B:$B,0)), "-")</f>
        <v>-</v>
      </c>
      <c r="P1914" s="477" t="str">
        <f>IFERROR(INDEX([1]Produtos!$G:$G,MATCH(L1914,[1]Produtos!$B:$B,0)), "-")</f>
        <v>-</v>
      </c>
      <c r="Q1914" s="483" t="str">
        <f>IFERROR(INDEX([1]Produtos!$H:$H,MATCH(L1914,[1]Produtos!$B:$B,0)), "-")</f>
        <v>-</v>
      </c>
      <c r="R1914" s="483" t="str">
        <f>IFERROR(INDEX([1]Produtos!$I:$I,MATCH(L1914,[1]Produtos!$B:$B,0)), "-")</f>
        <v>-</v>
      </c>
      <c r="S1914" s="483" t="str">
        <f>IFERROR(INDEX([1]Produtos!$J:$J,MATCH(L1914,[1]Produtos!$B:$B,0)), "-")</f>
        <v>-</v>
      </c>
      <c r="T1914" s="484"/>
      <c r="U1914" s="483"/>
      <c r="V1914" s="483"/>
      <c r="W1914" s="483"/>
      <c r="X1914" s="483"/>
      <c r="Y1914" s="483"/>
      <c r="Z1914" s="483"/>
      <c r="AA1914" s="483"/>
      <c r="AB1914" s="483"/>
      <c r="AC1914" s="483"/>
      <c r="AD1914" s="483"/>
      <c r="AE1914" s="483"/>
      <c r="AF1914" s="483"/>
      <c r="AG1914" s="483"/>
      <c r="AH1914" s="483"/>
      <c r="AI1914" s="483"/>
      <c r="AJ1914" s="483"/>
      <c r="AK1914" s="483"/>
      <c r="AL1914" s="483"/>
      <c r="AM1914" s="670"/>
      <c r="AN1914" s="670"/>
      <c r="AO1914" s="711" t="str">
        <f>IF(OR(Table1[[#This Row],[Início Setup Envase]]="",Table1[[#This Row],[Final Setup Envase]]=""),"",Table1[[#This Row],[Final Setup Envase]]-Table1[[#This Row],[Início Setup Envase]])</f>
        <v/>
      </c>
      <c r="AP1914" s="670"/>
      <c r="AQ1914" s="670"/>
      <c r="AR1914" s="483"/>
      <c r="AS1914" s="483"/>
      <c r="AT1914" s="483"/>
      <c r="AU1914" s="483"/>
      <c r="AV1914" s="483"/>
      <c r="AW1914" s="483"/>
      <c r="AX1914" s="483"/>
      <c r="AY1914" s="270"/>
      <c r="AZ1914" s="270"/>
      <c r="BA1914" s="270" t="str">
        <f>IF(Table1[[#This Row],[Data de Início]]="","",YEAR(Table1[[#This Row],[Data de Início]]))</f>
        <v/>
      </c>
      <c r="BB1914" s="270" t="str">
        <f>IF(Table1[[#This Row],[Data de Início]]="","",MONTH(Table1[[#This Row],[Data de Início]]))</f>
        <v/>
      </c>
      <c r="BC1914" s="270"/>
    </row>
    <row r="1915" spans="2:55" x14ac:dyDescent="0.25">
      <c r="B1915" s="470"/>
      <c r="C1915" s="263"/>
      <c r="D1915" s="477" cm="1">
        <f t="array" ref="D1915">IFERROR(HorasUteisFabrica2Turnos(B1915,C1915), "")</f>
        <v>0</v>
      </c>
      <c r="E1915" s="697" t="str">
        <f t="shared" si="30"/>
        <v/>
      </c>
      <c r="F1915" s="266"/>
      <c r="G1915" s="698"/>
      <c r="H1915" s="266"/>
      <c r="I1915" s="268"/>
      <c r="J1915" s="268"/>
      <c r="K1915" s="268"/>
      <c r="L1915" s="269"/>
      <c r="M1915" s="510" t="str">
        <f>IFERROR(INDEX([1]Produtos!$C:$C,MATCH(L1915,[1]Produtos!$B:$B,0)), "-")</f>
        <v>-</v>
      </c>
      <c r="N1915" s="510" t="str">
        <f>IFERROR(INDEX([1]Produtos!$E:$E,MATCH(L1915,[1]Produtos!$B:$B,0)), "-")</f>
        <v>-</v>
      </c>
      <c r="O1915" s="270" t="str">
        <f>IFERROR(INDEX([1]Produtos!$F:$F,MATCH(L1915,[1]Produtos!$B:$B,0)), "-")</f>
        <v>-</v>
      </c>
      <c r="P1915" s="264" t="str">
        <f>IFERROR(INDEX([1]Produtos!$G:$G,MATCH(L1915,[1]Produtos!$B:$B,0)), "-")</f>
        <v>-</v>
      </c>
      <c r="Q1915" s="270" t="str">
        <f>IFERROR(INDEX([1]Produtos!$H:$H,MATCH(L1915,[1]Produtos!$B:$B,0)), "-")</f>
        <v>-</v>
      </c>
      <c r="R1915" s="270" t="str">
        <f>IFERROR(INDEX([1]Produtos!$I:$I,MATCH(L1915,[1]Produtos!$B:$B,0)), "-")</f>
        <v>-</v>
      </c>
      <c r="S1915" s="270" t="str">
        <f>IFERROR(INDEX([1]Produtos!$J:$J,MATCH(L1915,[1]Produtos!$B:$B,0)), "-")</f>
        <v>-</v>
      </c>
      <c r="T1915" s="475"/>
      <c r="U1915" s="270"/>
      <c r="V1915" s="270"/>
      <c r="W1915" s="270"/>
      <c r="X1915" s="270"/>
      <c r="Y1915" s="270"/>
      <c r="Z1915" s="270"/>
      <c r="AA1915" s="270"/>
      <c r="AB1915" s="270"/>
      <c r="AC1915" s="270"/>
      <c r="AD1915" s="270"/>
      <c r="AE1915" s="270"/>
      <c r="AF1915" s="270"/>
      <c r="AG1915" s="270"/>
      <c r="AH1915" s="270"/>
      <c r="AI1915" s="270"/>
      <c r="AJ1915" s="270"/>
      <c r="AK1915" s="270"/>
      <c r="AL1915" s="270"/>
      <c r="AM1915" s="663"/>
      <c r="AN1915" s="663"/>
      <c r="AO1915" s="708" t="str">
        <f>IF(OR(Table1[[#This Row],[Início Setup Envase]]="",Table1[[#This Row],[Final Setup Envase]]=""),"",Table1[[#This Row],[Final Setup Envase]]-Table1[[#This Row],[Início Setup Envase]])</f>
        <v/>
      </c>
      <c r="AP1915" s="663"/>
      <c r="AQ1915" s="663"/>
      <c r="AR1915" s="270"/>
      <c r="AS1915" s="674"/>
      <c r="AT1915" s="674"/>
      <c r="AU1915" s="270"/>
      <c r="AV1915" s="270"/>
      <c r="AW1915" s="270"/>
      <c r="AX1915" s="270"/>
      <c r="AY1915" s="270"/>
      <c r="AZ1915" s="270"/>
      <c r="BA1915" s="270" t="str">
        <f>IF(Table1[[#This Row],[Data de Início]]="","",YEAR(Table1[[#This Row],[Data de Início]]))</f>
        <v/>
      </c>
      <c r="BB1915" s="270" t="str">
        <f>IF(Table1[[#This Row],[Data de Início]]="","",MONTH(Table1[[#This Row],[Data de Início]]))</f>
        <v/>
      </c>
      <c r="BC1915" s="483"/>
    </row>
    <row r="1916" spans="2:55" x14ac:dyDescent="0.25">
      <c r="B1916" s="470"/>
      <c r="C1916" s="263"/>
      <c r="D1916" s="477" cm="1">
        <f t="array" ref="D1916">IFERROR(HorasUteisFabrica2Turnos(B1916,C1916), "")</f>
        <v>0</v>
      </c>
      <c r="E1916" s="478" t="str">
        <f t="shared" si="30"/>
        <v/>
      </c>
      <c r="F1916" s="266"/>
      <c r="G1916" s="656"/>
      <c r="H1916" s="479"/>
      <c r="I1916" s="268"/>
      <c r="J1916" s="268"/>
      <c r="K1916" s="268"/>
      <c r="L1916" s="269"/>
      <c r="M1916" s="511" t="str">
        <f>IFERROR(INDEX([1]Produtos!$C:$C,MATCH(L1916,[1]Produtos!$B:$B,0)), "-")</f>
        <v>-</v>
      </c>
      <c r="N1916" s="511" t="str">
        <f>IFERROR(INDEX([1]Produtos!$E:$E,MATCH(L1916,[1]Produtos!$B:$B,0)), "-")</f>
        <v>-</v>
      </c>
      <c r="O1916" s="483" t="str">
        <f>IFERROR(INDEX([1]Produtos!$F:$F,MATCH(L1916,[1]Produtos!$B:$B,0)), "-")</f>
        <v>-</v>
      </c>
      <c r="P1916" s="477" t="str">
        <f>IFERROR(INDEX([1]Produtos!$G:$G,MATCH(L1916,[1]Produtos!$B:$B,0)), "-")</f>
        <v>-</v>
      </c>
      <c r="Q1916" s="483" t="str">
        <f>IFERROR(INDEX([1]Produtos!$H:$H,MATCH(L1916,[1]Produtos!$B:$B,0)), "-")</f>
        <v>-</v>
      </c>
      <c r="R1916" s="483" t="str">
        <f>IFERROR(INDEX([1]Produtos!$I:$I,MATCH(L1916,[1]Produtos!$B:$B,0)), "-")</f>
        <v>-</v>
      </c>
      <c r="S1916" s="483" t="str">
        <f>IFERROR(INDEX([1]Produtos!$J:$J,MATCH(L1916,[1]Produtos!$B:$B,0)), "-")</f>
        <v>-</v>
      </c>
      <c r="T1916" s="484"/>
      <c r="U1916" s="483"/>
      <c r="V1916" s="483"/>
      <c r="W1916" s="483"/>
      <c r="X1916" s="483"/>
      <c r="Y1916" s="483"/>
      <c r="Z1916" s="483"/>
      <c r="AA1916" s="483"/>
      <c r="AB1916" s="483"/>
      <c r="AC1916" s="483"/>
      <c r="AD1916" s="483"/>
      <c r="AE1916" s="483"/>
      <c r="AF1916" s="483"/>
      <c r="AG1916" s="483"/>
      <c r="AH1916" s="483"/>
      <c r="AI1916" s="483"/>
      <c r="AJ1916" s="483"/>
      <c r="AK1916" s="483"/>
      <c r="AL1916" s="483"/>
      <c r="AM1916" s="670"/>
      <c r="AN1916" s="670"/>
      <c r="AO1916" s="711" t="str">
        <f>IF(OR(Table1[[#This Row],[Início Setup Envase]]="",Table1[[#This Row],[Final Setup Envase]]=""),"",Table1[[#This Row],[Final Setup Envase]]-Table1[[#This Row],[Início Setup Envase]])</f>
        <v/>
      </c>
      <c r="AP1916" s="670"/>
      <c r="AQ1916" s="670"/>
      <c r="AR1916" s="483"/>
      <c r="AS1916" s="483"/>
      <c r="AT1916" s="483"/>
      <c r="AU1916" s="483"/>
      <c r="AV1916" s="483"/>
      <c r="AW1916" s="483"/>
      <c r="AX1916" s="483"/>
      <c r="AY1916" s="270"/>
      <c r="AZ1916" s="270"/>
      <c r="BA1916" s="270" t="str">
        <f>IF(Table1[[#This Row],[Data de Início]]="","",YEAR(Table1[[#This Row],[Data de Início]]))</f>
        <v/>
      </c>
      <c r="BB1916" s="270" t="str">
        <f>IF(Table1[[#This Row],[Data de Início]]="","",MONTH(Table1[[#This Row],[Data de Início]]))</f>
        <v/>
      </c>
      <c r="BC1916" s="270"/>
    </row>
    <row r="1917" spans="2:55" x14ac:dyDescent="0.25">
      <c r="B1917" s="470"/>
      <c r="C1917" s="263"/>
      <c r="D1917" s="477" cm="1">
        <f t="array" ref="D1917">IFERROR(HorasUteisFabrica2Turnos(B1917,C1917), "")</f>
        <v>0</v>
      </c>
      <c r="E1917" s="697" t="str">
        <f t="shared" si="30"/>
        <v/>
      </c>
      <c r="F1917" s="266"/>
      <c r="G1917" s="698"/>
      <c r="H1917" s="266"/>
      <c r="I1917" s="268"/>
      <c r="J1917" s="268"/>
      <c r="K1917" s="268"/>
      <c r="L1917" s="269"/>
      <c r="M1917" s="510" t="str">
        <f>IFERROR(INDEX([1]Produtos!$C:$C,MATCH(L1917,[1]Produtos!$B:$B,0)), "-")</f>
        <v>-</v>
      </c>
      <c r="N1917" s="510" t="str">
        <f>IFERROR(INDEX([1]Produtos!$E:$E,MATCH(L1917,[1]Produtos!$B:$B,0)), "-")</f>
        <v>-</v>
      </c>
      <c r="O1917" s="270" t="str">
        <f>IFERROR(INDEX([1]Produtos!$F:$F,MATCH(L1917,[1]Produtos!$B:$B,0)), "-")</f>
        <v>-</v>
      </c>
      <c r="P1917" s="264" t="str">
        <f>IFERROR(INDEX([1]Produtos!$G:$G,MATCH(L1917,[1]Produtos!$B:$B,0)), "-")</f>
        <v>-</v>
      </c>
      <c r="Q1917" s="270" t="str">
        <f>IFERROR(INDEX([1]Produtos!$H:$H,MATCH(L1917,[1]Produtos!$B:$B,0)), "-")</f>
        <v>-</v>
      </c>
      <c r="R1917" s="270" t="str">
        <f>IFERROR(INDEX([1]Produtos!$I:$I,MATCH(L1917,[1]Produtos!$B:$B,0)), "-")</f>
        <v>-</v>
      </c>
      <c r="S1917" s="270" t="str">
        <f>IFERROR(INDEX([1]Produtos!$J:$J,MATCH(L1917,[1]Produtos!$B:$B,0)), "-")</f>
        <v>-</v>
      </c>
      <c r="T1917" s="475"/>
      <c r="U1917" s="270"/>
      <c r="V1917" s="270"/>
      <c r="W1917" s="270"/>
      <c r="X1917" s="270"/>
      <c r="Y1917" s="270"/>
      <c r="Z1917" s="270"/>
      <c r="AA1917" s="270"/>
      <c r="AB1917" s="270"/>
      <c r="AC1917" s="270"/>
      <c r="AD1917" s="270"/>
      <c r="AE1917" s="270"/>
      <c r="AF1917" s="270"/>
      <c r="AG1917" s="270"/>
      <c r="AH1917" s="270"/>
      <c r="AI1917" s="270"/>
      <c r="AJ1917" s="270"/>
      <c r="AK1917" s="270"/>
      <c r="AL1917" s="270"/>
      <c r="AM1917" s="663"/>
      <c r="AN1917" s="663"/>
      <c r="AO1917" s="708" t="str">
        <f>IF(OR(Table1[[#This Row],[Início Setup Envase]]="",Table1[[#This Row],[Final Setup Envase]]=""),"",Table1[[#This Row],[Final Setup Envase]]-Table1[[#This Row],[Início Setup Envase]])</f>
        <v/>
      </c>
      <c r="AP1917" s="663"/>
      <c r="AQ1917" s="663"/>
      <c r="AR1917" s="270"/>
      <c r="AS1917" s="674"/>
      <c r="AT1917" s="674"/>
      <c r="AU1917" s="270"/>
      <c r="AV1917" s="270"/>
      <c r="AW1917" s="270"/>
      <c r="AX1917" s="270"/>
      <c r="AY1917" s="270"/>
      <c r="AZ1917" s="270"/>
      <c r="BA1917" s="270" t="str">
        <f>IF(Table1[[#This Row],[Data de Início]]="","",YEAR(Table1[[#This Row],[Data de Início]]))</f>
        <v/>
      </c>
      <c r="BB1917" s="270" t="str">
        <f>IF(Table1[[#This Row],[Data de Início]]="","",MONTH(Table1[[#This Row],[Data de Início]]))</f>
        <v/>
      </c>
      <c r="BC1917" s="483"/>
    </row>
    <row r="1918" spans="2:55" x14ac:dyDescent="0.25">
      <c r="B1918" s="470"/>
      <c r="C1918" s="263"/>
      <c r="D1918" s="477" cm="1">
        <f t="array" ref="D1918">IFERROR(HorasUteisFabrica2Turnos(B1918,C1918), "")</f>
        <v>0</v>
      </c>
      <c r="E1918" s="478" t="str">
        <f t="shared" si="30"/>
        <v/>
      </c>
      <c r="F1918" s="266"/>
      <c r="G1918" s="656"/>
      <c r="H1918" s="479"/>
      <c r="I1918" s="268"/>
      <c r="J1918" s="268"/>
      <c r="K1918" s="268"/>
      <c r="L1918" s="269"/>
      <c r="M1918" s="511" t="str">
        <f>IFERROR(INDEX([1]Produtos!$C:$C,MATCH(L1918,[1]Produtos!$B:$B,0)), "-")</f>
        <v>-</v>
      </c>
      <c r="N1918" s="511" t="str">
        <f>IFERROR(INDEX([1]Produtos!$E:$E,MATCH(L1918,[1]Produtos!$B:$B,0)), "-")</f>
        <v>-</v>
      </c>
      <c r="O1918" s="483" t="str">
        <f>IFERROR(INDEX([1]Produtos!$F:$F,MATCH(L1918,[1]Produtos!$B:$B,0)), "-")</f>
        <v>-</v>
      </c>
      <c r="P1918" s="477" t="str">
        <f>IFERROR(INDEX([1]Produtos!$G:$G,MATCH(L1918,[1]Produtos!$B:$B,0)), "-")</f>
        <v>-</v>
      </c>
      <c r="Q1918" s="483" t="str">
        <f>IFERROR(INDEX([1]Produtos!$H:$H,MATCH(L1918,[1]Produtos!$B:$B,0)), "-")</f>
        <v>-</v>
      </c>
      <c r="R1918" s="483" t="str">
        <f>IFERROR(INDEX([1]Produtos!$I:$I,MATCH(L1918,[1]Produtos!$B:$B,0)), "-")</f>
        <v>-</v>
      </c>
      <c r="S1918" s="483" t="str">
        <f>IFERROR(INDEX([1]Produtos!$J:$J,MATCH(L1918,[1]Produtos!$B:$B,0)), "-")</f>
        <v>-</v>
      </c>
      <c r="T1918" s="484"/>
      <c r="U1918" s="483"/>
      <c r="V1918" s="483"/>
      <c r="W1918" s="483"/>
      <c r="X1918" s="483"/>
      <c r="Y1918" s="483"/>
      <c r="Z1918" s="483"/>
      <c r="AA1918" s="483"/>
      <c r="AB1918" s="483"/>
      <c r="AC1918" s="483"/>
      <c r="AD1918" s="483"/>
      <c r="AE1918" s="483"/>
      <c r="AF1918" s="483"/>
      <c r="AG1918" s="483"/>
      <c r="AH1918" s="483"/>
      <c r="AI1918" s="483"/>
      <c r="AJ1918" s="483"/>
      <c r="AK1918" s="483"/>
      <c r="AL1918" s="483"/>
      <c r="AM1918" s="670"/>
      <c r="AN1918" s="670"/>
      <c r="AO1918" s="711" t="str">
        <f>IF(OR(Table1[[#This Row],[Início Setup Envase]]="",Table1[[#This Row],[Final Setup Envase]]=""),"",Table1[[#This Row],[Final Setup Envase]]-Table1[[#This Row],[Início Setup Envase]])</f>
        <v/>
      </c>
      <c r="AP1918" s="670"/>
      <c r="AQ1918" s="670"/>
      <c r="AR1918" s="483"/>
      <c r="AS1918" s="483"/>
      <c r="AT1918" s="483"/>
      <c r="AU1918" s="483"/>
      <c r="AV1918" s="483"/>
      <c r="AW1918" s="483"/>
      <c r="AX1918" s="483"/>
      <c r="AY1918" s="270"/>
      <c r="AZ1918" s="270"/>
      <c r="BA1918" s="270" t="str">
        <f>IF(Table1[[#This Row],[Data de Início]]="","",YEAR(Table1[[#This Row],[Data de Início]]))</f>
        <v/>
      </c>
      <c r="BB1918" s="270" t="str">
        <f>IF(Table1[[#This Row],[Data de Início]]="","",MONTH(Table1[[#This Row],[Data de Início]]))</f>
        <v/>
      </c>
      <c r="BC1918" s="270"/>
    </row>
    <row r="1919" spans="2:55" x14ac:dyDescent="0.25">
      <c r="B1919" s="470"/>
      <c r="C1919" s="263"/>
      <c r="D1919" s="477" cm="1">
        <f t="array" ref="D1919">IFERROR(HorasUteisFabrica2Turnos(B1919,C1919), "")</f>
        <v>0</v>
      </c>
      <c r="E1919" s="697" t="str">
        <f t="shared" si="30"/>
        <v/>
      </c>
      <c r="F1919" s="266"/>
      <c r="G1919" s="698"/>
      <c r="H1919" s="266"/>
      <c r="I1919" s="268"/>
      <c r="J1919" s="268"/>
      <c r="K1919" s="268"/>
      <c r="L1919" s="269"/>
      <c r="M1919" s="510" t="str">
        <f>IFERROR(INDEX([1]Produtos!$C:$C,MATCH(L1919,[1]Produtos!$B:$B,0)), "-")</f>
        <v>-</v>
      </c>
      <c r="N1919" s="510" t="str">
        <f>IFERROR(INDEX([1]Produtos!$E:$E,MATCH(L1919,[1]Produtos!$B:$B,0)), "-")</f>
        <v>-</v>
      </c>
      <c r="O1919" s="270" t="str">
        <f>IFERROR(INDEX([1]Produtos!$F:$F,MATCH(L1919,[1]Produtos!$B:$B,0)), "-")</f>
        <v>-</v>
      </c>
      <c r="P1919" s="264" t="str">
        <f>IFERROR(INDEX([1]Produtos!$G:$G,MATCH(L1919,[1]Produtos!$B:$B,0)), "-")</f>
        <v>-</v>
      </c>
      <c r="Q1919" s="270" t="str">
        <f>IFERROR(INDEX([1]Produtos!$H:$H,MATCH(L1919,[1]Produtos!$B:$B,0)), "-")</f>
        <v>-</v>
      </c>
      <c r="R1919" s="270" t="str">
        <f>IFERROR(INDEX([1]Produtos!$I:$I,MATCH(L1919,[1]Produtos!$B:$B,0)), "-")</f>
        <v>-</v>
      </c>
      <c r="S1919" s="270" t="str">
        <f>IFERROR(INDEX([1]Produtos!$J:$J,MATCH(L1919,[1]Produtos!$B:$B,0)), "-")</f>
        <v>-</v>
      </c>
      <c r="T1919" s="475"/>
      <c r="U1919" s="270"/>
      <c r="V1919" s="270"/>
      <c r="W1919" s="270"/>
      <c r="X1919" s="270"/>
      <c r="Y1919" s="270"/>
      <c r="Z1919" s="270"/>
      <c r="AA1919" s="270"/>
      <c r="AB1919" s="270"/>
      <c r="AC1919" s="270"/>
      <c r="AD1919" s="270"/>
      <c r="AE1919" s="270"/>
      <c r="AF1919" s="270"/>
      <c r="AG1919" s="270"/>
      <c r="AH1919" s="270"/>
      <c r="AI1919" s="270"/>
      <c r="AJ1919" s="270"/>
      <c r="AK1919" s="270"/>
      <c r="AL1919" s="270"/>
      <c r="AM1919" s="663"/>
      <c r="AN1919" s="663"/>
      <c r="AO1919" s="708" t="str">
        <f>IF(OR(Table1[[#This Row],[Início Setup Envase]]="",Table1[[#This Row],[Final Setup Envase]]=""),"",Table1[[#This Row],[Final Setup Envase]]-Table1[[#This Row],[Início Setup Envase]])</f>
        <v/>
      </c>
      <c r="AP1919" s="663"/>
      <c r="AQ1919" s="663"/>
      <c r="AR1919" s="270"/>
      <c r="AS1919" s="674"/>
      <c r="AT1919" s="674"/>
      <c r="AU1919" s="270"/>
      <c r="AV1919" s="270"/>
      <c r="AW1919" s="270"/>
      <c r="AX1919" s="270"/>
      <c r="AY1919" s="270"/>
      <c r="AZ1919" s="270"/>
      <c r="BA1919" s="270" t="str">
        <f>IF(Table1[[#This Row],[Data de Início]]="","",YEAR(Table1[[#This Row],[Data de Início]]))</f>
        <v/>
      </c>
      <c r="BB1919" s="270" t="str">
        <f>IF(Table1[[#This Row],[Data de Início]]="","",MONTH(Table1[[#This Row],[Data de Início]]))</f>
        <v/>
      </c>
      <c r="BC1919" s="483"/>
    </row>
    <row r="1920" spans="2:55" x14ac:dyDescent="0.25">
      <c r="B1920" s="470"/>
      <c r="C1920" s="263"/>
      <c r="D1920" s="477" cm="1">
        <f t="array" ref="D1920">IFERROR(HorasUteisFabrica2Turnos(B1920,C1920), "")</f>
        <v>0</v>
      </c>
      <c r="E1920" s="478" t="str">
        <f t="shared" si="30"/>
        <v/>
      </c>
      <c r="F1920" s="266"/>
      <c r="G1920" s="656"/>
      <c r="H1920" s="479"/>
      <c r="I1920" s="268"/>
      <c r="J1920" s="268"/>
      <c r="K1920" s="268"/>
      <c r="L1920" s="269"/>
      <c r="M1920" s="511" t="str">
        <f>IFERROR(INDEX([1]Produtos!$C:$C,MATCH(L1920,[1]Produtos!$B:$B,0)), "-")</f>
        <v>-</v>
      </c>
      <c r="N1920" s="511" t="str">
        <f>IFERROR(INDEX([1]Produtos!$E:$E,MATCH(L1920,[1]Produtos!$B:$B,0)), "-")</f>
        <v>-</v>
      </c>
      <c r="O1920" s="483" t="str">
        <f>IFERROR(INDEX([1]Produtos!$F:$F,MATCH(L1920,[1]Produtos!$B:$B,0)), "-")</f>
        <v>-</v>
      </c>
      <c r="P1920" s="477" t="str">
        <f>IFERROR(INDEX([1]Produtos!$G:$G,MATCH(L1920,[1]Produtos!$B:$B,0)), "-")</f>
        <v>-</v>
      </c>
      <c r="Q1920" s="483" t="str">
        <f>IFERROR(INDEX([1]Produtos!$H:$H,MATCH(L1920,[1]Produtos!$B:$B,0)), "-")</f>
        <v>-</v>
      </c>
      <c r="R1920" s="483" t="str">
        <f>IFERROR(INDEX([1]Produtos!$I:$I,MATCH(L1920,[1]Produtos!$B:$B,0)), "-")</f>
        <v>-</v>
      </c>
      <c r="S1920" s="483" t="str">
        <f>IFERROR(INDEX([1]Produtos!$J:$J,MATCH(L1920,[1]Produtos!$B:$B,0)), "-")</f>
        <v>-</v>
      </c>
      <c r="T1920" s="484"/>
      <c r="U1920" s="483"/>
      <c r="V1920" s="483"/>
      <c r="W1920" s="483"/>
      <c r="X1920" s="483"/>
      <c r="Y1920" s="483"/>
      <c r="Z1920" s="483"/>
      <c r="AA1920" s="483"/>
      <c r="AB1920" s="483"/>
      <c r="AC1920" s="483"/>
      <c r="AD1920" s="483"/>
      <c r="AE1920" s="483"/>
      <c r="AF1920" s="483"/>
      <c r="AG1920" s="483"/>
      <c r="AH1920" s="483"/>
      <c r="AI1920" s="483"/>
      <c r="AJ1920" s="483"/>
      <c r="AK1920" s="483"/>
      <c r="AL1920" s="483"/>
      <c r="AM1920" s="670"/>
      <c r="AN1920" s="670"/>
      <c r="AO1920" s="711" t="str">
        <f>IF(OR(Table1[[#This Row],[Início Setup Envase]]="",Table1[[#This Row],[Final Setup Envase]]=""),"",Table1[[#This Row],[Final Setup Envase]]-Table1[[#This Row],[Início Setup Envase]])</f>
        <v/>
      </c>
      <c r="AP1920" s="670"/>
      <c r="AQ1920" s="670"/>
      <c r="AR1920" s="483"/>
      <c r="AS1920" s="483"/>
      <c r="AT1920" s="483"/>
      <c r="AU1920" s="483"/>
      <c r="AV1920" s="483"/>
      <c r="AW1920" s="483"/>
      <c r="AX1920" s="483"/>
      <c r="AY1920" s="270"/>
      <c r="AZ1920" s="270"/>
      <c r="BA1920" s="270" t="str">
        <f>IF(Table1[[#This Row],[Data de Início]]="","",YEAR(Table1[[#This Row],[Data de Início]]))</f>
        <v/>
      </c>
      <c r="BB1920" s="270" t="str">
        <f>IF(Table1[[#This Row],[Data de Início]]="","",MONTH(Table1[[#This Row],[Data de Início]]))</f>
        <v/>
      </c>
      <c r="BC1920" s="270"/>
    </row>
    <row r="1921" spans="2:55" x14ac:dyDescent="0.25">
      <c r="B1921" s="470"/>
      <c r="C1921" s="263"/>
      <c r="D1921" s="477" cm="1">
        <f t="array" ref="D1921">IFERROR(HorasUteisFabrica2Turnos(B1921,C1921), "")</f>
        <v>0</v>
      </c>
      <c r="E1921" s="697" t="str">
        <f t="shared" si="30"/>
        <v/>
      </c>
      <c r="F1921" s="266"/>
      <c r="G1921" s="698"/>
      <c r="H1921" s="266"/>
      <c r="I1921" s="268"/>
      <c r="J1921" s="268"/>
      <c r="K1921" s="268"/>
      <c r="L1921" s="269"/>
      <c r="M1921" s="510" t="str">
        <f>IFERROR(INDEX([1]Produtos!$C:$C,MATCH(L1921,[1]Produtos!$B:$B,0)), "-")</f>
        <v>-</v>
      </c>
      <c r="N1921" s="510" t="str">
        <f>IFERROR(INDEX([1]Produtos!$E:$E,MATCH(L1921,[1]Produtos!$B:$B,0)), "-")</f>
        <v>-</v>
      </c>
      <c r="O1921" s="270" t="str">
        <f>IFERROR(INDEX([1]Produtos!$F:$F,MATCH(L1921,[1]Produtos!$B:$B,0)), "-")</f>
        <v>-</v>
      </c>
      <c r="P1921" s="264" t="str">
        <f>IFERROR(INDEX([1]Produtos!$G:$G,MATCH(L1921,[1]Produtos!$B:$B,0)), "-")</f>
        <v>-</v>
      </c>
      <c r="Q1921" s="270" t="str">
        <f>IFERROR(INDEX([1]Produtos!$H:$H,MATCH(L1921,[1]Produtos!$B:$B,0)), "-")</f>
        <v>-</v>
      </c>
      <c r="R1921" s="270" t="str">
        <f>IFERROR(INDEX([1]Produtos!$I:$I,MATCH(L1921,[1]Produtos!$B:$B,0)), "-")</f>
        <v>-</v>
      </c>
      <c r="S1921" s="270" t="str">
        <f>IFERROR(INDEX([1]Produtos!$J:$J,MATCH(L1921,[1]Produtos!$B:$B,0)), "-")</f>
        <v>-</v>
      </c>
      <c r="T1921" s="475"/>
      <c r="U1921" s="270"/>
      <c r="V1921" s="270"/>
      <c r="W1921" s="270"/>
      <c r="X1921" s="270"/>
      <c r="Y1921" s="270"/>
      <c r="Z1921" s="270"/>
      <c r="AA1921" s="270"/>
      <c r="AB1921" s="270"/>
      <c r="AC1921" s="270"/>
      <c r="AD1921" s="270"/>
      <c r="AE1921" s="270"/>
      <c r="AF1921" s="270"/>
      <c r="AG1921" s="270"/>
      <c r="AH1921" s="270"/>
      <c r="AI1921" s="270"/>
      <c r="AJ1921" s="270"/>
      <c r="AK1921" s="270"/>
      <c r="AL1921" s="270"/>
      <c r="AM1921" s="663"/>
      <c r="AN1921" s="663"/>
      <c r="AO1921" s="708" t="str">
        <f>IF(OR(Table1[[#This Row],[Início Setup Envase]]="",Table1[[#This Row],[Final Setup Envase]]=""),"",Table1[[#This Row],[Final Setup Envase]]-Table1[[#This Row],[Início Setup Envase]])</f>
        <v/>
      </c>
      <c r="AP1921" s="663"/>
      <c r="AQ1921" s="663"/>
      <c r="AR1921" s="270"/>
      <c r="AS1921" s="674"/>
      <c r="AT1921" s="674"/>
      <c r="AU1921" s="270"/>
      <c r="AV1921" s="270"/>
      <c r="AW1921" s="270"/>
      <c r="AX1921" s="270"/>
      <c r="AY1921" s="270"/>
      <c r="AZ1921" s="270"/>
      <c r="BA1921" s="270" t="str">
        <f>IF(Table1[[#This Row],[Data de Início]]="","",YEAR(Table1[[#This Row],[Data de Início]]))</f>
        <v/>
      </c>
      <c r="BB1921" s="270" t="str">
        <f>IF(Table1[[#This Row],[Data de Início]]="","",MONTH(Table1[[#This Row],[Data de Início]]))</f>
        <v/>
      </c>
      <c r="BC1921" s="483"/>
    </row>
    <row r="1922" spans="2:55" x14ac:dyDescent="0.25">
      <c r="B1922" s="470"/>
      <c r="C1922" s="263"/>
      <c r="D1922" s="477" cm="1">
        <f t="array" ref="D1922">IFERROR(HorasUteisFabrica2Turnos(B1922,C1922), "")</f>
        <v>0</v>
      </c>
      <c r="E1922" s="478" t="str">
        <f t="shared" si="30"/>
        <v/>
      </c>
      <c r="F1922" s="266"/>
      <c r="G1922" s="656"/>
      <c r="H1922" s="479"/>
      <c r="I1922" s="268"/>
      <c r="J1922" s="268"/>
      <c r="K1922" s="268"/>
      <c r="L1922" s="269"/>
      <c r="M1922" s="511" t="str">
        <f>IFERROR(INDEX([1]Produtos!$C:$C,MATCH(L1922,[1]Produtos!$B:$B,0)), "-")</f>
        <v>-</v>
      </c>
      <c r="N1922" s="511" t="str">
        <f>IFERROR(INDEX([1]Produtos!$E:$E,MATCH(L1922,[1]Produtos!$B:$B,0)), "-")</f>
        <v>-</v>
      </c>
      <c r="O1922" s="483" t="str">
        <f>IFERROR(INDEX([1]Produtos!$F:$F,MATCH(L1922,[1]Produtos!$B:$B,0)), "-")</f>
        <v>-</v>
      </c>
      <c r="P1922" s="477" t="str">
        <f>IFERROR(INDEX([1]Produtos!$G:$G,MATCH(L1922,[1]Produtos!$B:$B,0)), "-")</f>
        <v>-</v>
      </c>
      <c r="Q1922" s="483" t="str">
        <f>IFERROR(INDEX([1]Produtos!$H:$H,MATCH(L1922,[1]Produtos!$B:$B,0)), "-")</f>
        <v>-</v>
      </c>
      <c r="R1922" s="483" t="str">
        <f>IFERROR(INDEX([1]Produtos!$I:$I,MATCH(L1922,[1]Produtos!$B:$B,0)), "-")</f>
        <v>-</v>
      </c>
      <c r="S1922" s="483" t="str">
        <f>IFERROR(INDEX([1]Produtos!$J:$J,MATCH(L1922,[1]Produtos!$B:$B,0)), "-")</f>
        <v>-</v>
      </c>
      <c r="T1922" s="484"/>
      <c r="U1922" s="483"/>
      <c r="V1922" s="483"/>
      <c r="W1922" s="483"/>
      <c r="X1922" s="483"/>
      <c r="Y1922" s="483"/>
      <c r="Z1922" s="483"/>
      <c r="AA1922" s="483"/>
      <c r="AB1922" s="483"/>
      <c r="AC1922" s="483"/>
      <c r="AD1922" s="483"/>
      <c r="AE1922" s="483"/>
      <c r="AF1922" s="483"/>
      <c r="AG1922" s="483"/>
      <c r="AH1922" s="483"/>
      <c r="AI1922" s="483"/>
      <c r="AJ1922" s="483"/>
      <c r="AK1922" s="483"/>
      <c r="AL1922" s="483"/>
      <c r="AM1922" s="670"/>
      <c r="AN1922" s="670"/>
      <c r="AO1922" s="711" t="str">
        <f>IF(OR(Table1[[#This Row],[Início Setup Envase]]="",Table1[[#This Row],[Final Setup Envase]]=""),"",Table1[[#This Row],[Final Setup Envase]]-Table1[[#This Row],[Início Setup Envase]])</f>
        <v/>
      </c>
      <c r="AP1922" s="670"/>
      <c r="AQ1922" s="670"/>
      <c r="AR1922" s="483"/>
      <c r="AS1922" s="483"/>
      <c r="AT1922" s="483"/>
      <c r="AU1922" s="483"/>
      <c r="AV1922" s="483"/>
      <c r="AW1922" s="483"/>
      <c r="AX1922" s="483"/>
      <c r="AY1922" s="270"/>
      <c r="AZ1922" s="270"/>
      <c r="BA1922" s="270" t="str">
        <f>IF(Table1[[#This Row],[Data de Início]]="","",YEAR(Table1[[#This Row],[Data de Início]]))</f>
        <v/>
      </c>
      <c r="BB1922" s="270" t="str">
        <f>IF(Table1[[#This Row],[Data de Início]]="","",MONTH(Table1[[#This Row],[Data de Início]]))</f>
        <v/>
      </c>
      <c r="BC1922" s="270"/>
    </row>
    <row r="1923" spans="2:55" x14ac:dyDescent="0.25">
      <c r="B1923" s="470"/>
      <c r="C1923" s="263"/>
      <c r="D1923" s="477" cm="1">
        <f t="array" ref="D1923">IFERROR(HorasUteisFabrica2Turnos(B1923,C1923), "")</f>
        <v>0</v>
      </c>
      <c r="E1923" s="697" t="str">
        <f t="shared" si="30"/>
        <v/>
      </c>
      <c r="F1923" s="266"/>
      <c r="G1923" s="698"/>
      <c r="H1923" s="266"/>
      <c r="I1923" s="268"/>
      <c r="J1923" s="268"/>
      <c r="K1923" s="268"/>
      <c r="L1923" s="269"/>
      <c r="M1923" s="510" t="str">
        <f>IFERROR(INDEX([1]Produtos!$C:$C,MATCH(L1923,[1]Produtos!$B:$B,0)), "-")</f>
        <v>-</v>
      </c>
      <c r="N1923" s="510" t="str">
        <f>IFERROR(INDEX([1]Produtos!$E:$E,MATCH(L1923,[1]Produtos!$B:$B,0)), "-")</f>
        <v>-</v>
      </c>
      <c r="O1923" s="270" t="str">
        <f>IFERROR(INDEX([1]Produtos!$F:$F,MATCH(L1923,[1]Produtos!$B:$B,0)), "-")</f>
        <v>-</v>
      </c>
      <c r="P1923" s="264" t="str">
        <f>IFERROR(INDEX([1]Produtos!$G:$G,MATCH(L1923,[1]Produtos!$B:$B,0)), "-")</f>
        <v>-</v>
      </c>
      <c r="Q1923" s="270" t="str">
        <f>IFERROR(INDEX([1]Produtos!$H:$H,MATCH(L1923,[1]Produtos!$B:$B,0)), "-")</f>
        <v>-</v>
      </c>
      <c r="R1923" s="270" t="str">
        <f>IFERROR(INDEX([1]Produtos!$I:$I,MATCH(L1923,[1]Produtos!$B:$B,0)), "-")</f>
        <v>-</v>
      </c>
      <c r="S1923" s="270" t="str">
        <f>IFERROR(INDEX([1]Produtos!$J:$J,MATCH(L1923,[1]Produtos!$B:$B,0)), "-")</f>
        <v>-</v>
      </c>
      <c r="T1923" s="475"/>
      <c r="U1923" s="270"/>
      <c r="V1923" s="270"/>
      <c r="W1923" s="270"/>
      <c r="X1923" s="270"/>
      <c r="Y1923" s="270"/>
      <c r="Z1923" s="270"/>
      <c r="AA1923" s="270"/>
      <c r="AB1923" s="270"/>
      <c r="AC1923" s="270"/>
      <c r="AD1923" s="270"/>
      <c r="AE1923" s="270"/>
      <c r="AF1923" s="270"/>
      <c r="AG1923" s="270"/>
      <c r="AH1923" s="270"/>
      <c r="AI1923" s="270"/>
      <c r="AJ1923" s="270"/>
      <c r="AK1923" s="270"/>
      <c r="AL1923" s="270"/>
      <c r="AM1923" s="663"/>
      <c r="AN1923" s="663"/>
      <c r="AO1923" s="708" t="str">
        <f>IF(OR(Table1[[#This Row],[Início Setup Envase]]="",Table1[[#This Row],[Final Setup Envase]]=""),"",Table1[[#This Row],[Final Setup Envase]]-Table1[[#This Row],[Início Setup Envase]])</f>
        <v/>
      </c>
      <c r="AP1923" s="663"/>
      <c r="AQ1923" s="663"/>
      <c r="AR1923" s="270"/>
      <c r="AS1923" s="674"/>
      <c r="AT1923" s="674"/>
      <c r="AU1923" s="270"/>
      <c r="AV1923" s="270"/>
      <c r="AW1923" s="270"/>
      <c r="AX1923" s="270"/>
      <c r="AY1923" s="270"/>
      <c r="AZ1923" s="270"/>
      <c r="BA1923" s="270" t="str">
        <f>IF(Table1[[#This Row],[Data de Início]]="","",YEAR(Table1[[#This Row],[Data de Início]]))</f>
        <v/>
      </c>
      <c r="BB1923" s="270" t="str">
        <f>IF(Table1[[#This Row],[Data de Início]]="","",MONTH(Table1[[#This Row],[Data de Início]]))</f>
        <v/>
      </c>
      <c r="BC1923" s="483"/>
    </row>
    <row r="1924" spans="2:55" x14ac:dyDescent="0.25">
      <c r="B1924" s="470"/>
      <c r="C1924" s="263"/>
      <c r="D1924" s="477" cm="1">
        <f t="array" ref="D1924">IFERROR(HorasUteisFabrica2Turnos(B1924,C1924), "")</f>
        <v>0</v>
      </c>
      <c r="E1924" s="478" t="str">
        <f t="shared" si="30"/>
        <v/>
      </c>
      <c r="F1924" s="266"/>
      <c r="G1924" s="656"/>
      <c r="H1924" s="479"/>
      <c r="I1924" s="268"/>
      <c r="J1924" s="268"/>
      <c r="K1924" s="268"/>
      <c r="L1924" s="269"/>
      <c r="M1924" s="511" t="str">
        <f>IFERROR(INDEX([1]Produtos!$C:$C,MATCH(L1924,[1]Produtos!$B:$B,0)), "-")</f>
        <v>-</v>
      </c>
      <c r="N1924" s="511" t="str">
        <f>IFERROR(INDEX([1]Produtos!$E:$E,MATCH(L1924,[1]Produtos!$B:$B,0)), "-")</f>
        <v>-</v>
      </c>
      <c r="O1924" s="483" t="str">
        <f>IFERROR(INDEX([1]Produtos!$F:$F,MATCH(L1924,[1]Produtos!$B:$B,0)), "-")</f>
        <v>-</v>
      </c>
      <c r="P1924" s="477" t="str">
        <f>IFERROR(INDEX([1]Produtos!$G:$G,MATCH(L1924,[1]Produtos!$B:$B,0)), "-")</f>
        <v>-</v>
      </c>
      <c r="Q1924" s="483" t="str">
        <f>IFERROR(INDEX([1]Produtos!$H:$H,MATCH(L1924,[1]Produtos!$B:$B,0)), "-")</f>
        <v>-</v>
      </c>
      <c r="R1924" s="483" t="str">
        <f>IFERROR(INDEX([1]Produtos!$I:$I,MATCH(L1924,[1]Produtos!$B:$B,0)), "-")</f>
        <v>-</v>
      </c>
      <c r="S1924" s="483" t="str">
        <f>IFERROR(INDEX([1]Produtos!$J:$J,MATCH(L1924,[1]Produtos!$B:$B,0)), "-")</f>
        <v>-</v>
      </c>
      <c r="T1924" s="484"/>
      <c r="U1924" s="483"/>
      <c r="V1924" s="483"/>
      <c r="W1924" s="483"/>
      <c r="X1924" s="483"/>
      <c r="Y1924" s="483"/>
      <c r="Z1924" s="483"/>
      <c r="AA1924" s="483"/>
      <c r="AB1924" s="483"/>
      <c r="AC1924" s="483"/>
      <c r="AD1924" s="483"/>
      <c r="AE1924" s="483"/>
      <c r="AF1924" s="483"/>
      <c r="AG1924" s="483"/>
      <c r="AH1924" s="483"/>
      <c r="AI1924" s="483"/>
      <c r="AJ1924" s="483"/>
      <c r="AK1924" s="483"/>
      <c r="AL1924" s="483"/>
      <c r="AM1924" s="670"/>
      <c r="AN1924" s="670"/>
      <c r="AO1924" s="711" t="str">
        <f>IF(OR(Table1[[#This Row],[Início Setup Envase]]="",Table1[[#This Row],[Final Setup Envase]]=""),"",Table1[[#This Row],[Final Setup Envase]]-Table1[[#This Row],[Início Setup Envase]])</f>
        <v/>
      </c>
      <c r="AP1924" s="670"/>
      <c r="AQ1924" s="670"/>
      <c r="AR1924" s="483"/>
      <c r="AS1924" s="483"/>
      <c r="AT1924" s="483"/>
      <c r="AU1924" s="483"/>
      <c r="AV1924" s="483"/>
      <c r="AW1924" s="483"/>
      <c r="AX1924" s="483"/>
      <c r="AY1924" s="270"/>
      <c r="AZ1924" s="270"/>
      <c r="BA1924" s="270" t="str">
        <f>IF(Table1[[#This Row],[Data de Início]]="","",YEAR(Table1[[#This Row],[Data de Início]]))</f>
        <v/>
      </c>
      <c r="BB1924" s="270" t="str">
        <f>IF(Table1[[#This Row],[Data de Início]]="","",MONTH(Table1[[#This Row],[Data de Início]]))</f>
        <v/>
      </c>
      <c r="BC1924" s="270"/>
    </row>
    <row r="1925" spans="2:55" x14ac:dyDescent="0.25">
      <c r="B1925" s="470"/>
      <c r="C1925" s="263"/>
      <c r="D1925" s="477" cm="1">
        <f t="array" ref="D1925">IFERROR(HorasUteisFabrica2Turnos(B1925,C1925), "")</f>
        <v>0</v>
      </c>
      <c r="E1925" s="697" t="str">
        <f t="shared" si="30"/>
        <v/>
      </c>
      <c r="F1925" s="266"/>
      <c r="G1925" s="698"/>
      <c r="H1925" s="266"/>
      <c r="I1925" s="268"/>
      <c r="J1925" s="268"/>
      <c r="K1925" s="268"/>
      <c r="L1925" s="269"/>
      <c r="M1925" s="510" t="str">
        <f>IFERROR(INDEX([1]Produtos!$C:$C,MATCH(L1925,[1]Produtos!$B:$B,0)), "-")</f>
        <v>-</v>
      </c>
      <c r="N1925" s="510" t="str">
        <f>IFERROR(INDEX([1]Produtos!$E:$E,MATCH(L1925,[1]Produtos!$B:$B,0)), "-")</f>
        <v>-</v>
      </c>
      <c r="O1925" s="270" t="str">
        <f>IFERROR(INDEX([1]Produtos!$F:$F,MATCH(L1925,[1]Produtos!$B:$B,0)), "-")</f>
        <v>-</v>
      </c>
      <c r="P1925" s="264" t="str">
        <f>IFERROR(INDEX([1]Produtos!$G:$G,MATCH(L1925,[1]Produtos!$B:$B,0)), "-")</f>
        <v>-</v>
      </c>
      <c r="Q1925" s="270" t="str">
        <f>IFERROR(INDEX([1]Produtos!$H:$H,MATCH(L1925,[1]Produtos!$B:$B,0)), "-")</f>
        <v>-</v>
      </c>
      <c r="R1925" s="270" t="str">
        <f>IFERROR(INDEX([1]Produtos!$I:$I,MATCH(L1925,[1]Produtos!$B:$B,0)), "-")</f>
        <v>-</v>
      </c>
      <c r="S1925" s="270" t="str">
        <f>IFERROR(INDEX([1]Produtos!$J:$J,MATCH(L1925,[1]Produtos!$B:$B,0)), "-")</f>
        <v>-</v>
      </c>
      <c r="T1925" s="475"/>
      <c r="U1925" s="270"/>
      <c r="V1925" s="270"/>
      <c r="W1925" s="270"/>
      <c r="X1925" s="270"/>
      <c r="Y1925" s="270"/>
      <c r="Z1925" s="270"/>
      <c r="AA1925" s="270"/>
      <c r="AB1925" s="270"/>
      <c r="AC1925" s="270"/>
      <c r="AD1925" s="270"/>
      <c r="AE1925" s="270"/>
      <c r="AF1925" s="270"/>
      <c r="AG1925" s="270"/>
      <c r="AH1925" s="270"/>
      <c r="AI1925" s="270"/>
      <c r="AJ1925" s="270"/>
      <c r="AK1925" s="270"/>
      <c r="AL1925" s="270"/>
      <c r="AM1925" s="663"/>
      <c r="AN1925" s="663"/>
      <c r="AO1925" s="708" t="str">
        <f>IF(OR(Table1[[#This Row],[Início Setup Envase]]="",Table1[[#This Row],[Final Setup Envase]]=""),"",Table1[[#This Row],[Final Setup Envase]]-Table1[[#This Row],[Início Setup Envase]])</f>
        <v/>
      </c>
      <c r="AP1925" s="663"/>
      <c r="AQ1925" s="663"/>
      <c r="AR1925" s="270"/>
      <c r="AS1925" s="674"/>
      <c r="AT1925" s="674"/>
      <c r="AU1925" s="270"/>
      <c r="AV1925" s="270"/>
      <c r="AW1925" s="270"/>
      <c r="AX1925" s="270"/>
      <c r="AY1925" s="270"/>
      <c r="AZ1925" s="270"/>
      <c r="BA1925" s="270" t="str">
        <f>IF(Table1[[#This Row],[Data de Início]]="","",YEAR(Table1[[#This Row],[Data de Início]]))</f>
        <v/>
      </c>
      <c r="BB1925" s="270" t="str">
        <f>IF(Table1[[#This Row],[Data de Início]]="","",MONTH(Table1[[#This Row],[Data de Início]]))</f>
        <v/>
      </c>
      <c r="BC1925" s="483"/>
    </row>
    <row r="1926" spans="2:55" x14ac:dyDescent="0.25">
      <c r="B1926" s="470"/>
      <c r="C1926" s="263"/>
      <c r="D1926" s="477" cm="1">
        <f t="array" ref="D1926">IFERROR(HorasUteisFabrica2Turnos(B1926,C1926), "")</f>
        <v>0</v>
      </c>
      <c r="E1926" s="478" t="str">
        <f t="shared" si="30"/>
        <v/>
      </c>
      <c r="F1926" s="266"/>
      <c r="G1926" s="656"/>
      <c r="H1926" s="479"/>
      <c r="I1926" s="268"/>
      <c r="J1926" s="268"/>
      <c r="K1926" s="268"/>
      <c r="L1926" s="269"/>
      <c r="M1926" s="511" t="str">
        <f>IFERROR(INDEX([1]Produtos!$C:$C,MATCH(L1926,[1]Produtos!$B:$B,0)), "-")</f>
        <v>-</v>
      </c>
      <c r="N1926" s="511" t="str">
        <f>IFERROR(INDEX([1]Produtos!$E:$E,MATCH(L1926,[1]Produtos!$B:$B,0)), "-")</f>
        <v>-</v>
      </c>
      <c r="O1926" s="483" t="str">
        <f>IFERROR(INDEX([1]Produtos!$F:$F,MATCH(L1926,[1]Produtos!$B:$B,0)), "-")</f>
        <v>-</v>
      </c>
      <c r="P1926" s="477" t="str">
        <f>IFERROR(INDEX([1]Produtos!$G:$G,MATCH(L1926,[1]Produtos!$B:$B,0)), "-")</f>
        <v>-</v>
      </c>
      <c r="Q1926" s="483" t="str">
        <f>IFERROR(INDEX([1]Produtos!$H:$H,MATCH(L1926,[1]Produtos!$B:$B,0)), "-")</f>
        <v>-</v>
      </c>
      <c r="R1926" s="483" t="str">
        <f>IFERROR(INDEX([1]Produtos!$I:$I,MATCH(L1926,[1]Produtos!$B:$B,0)), "-")</f>
        <v>-</v>
      </c>
      <c r="S1926" s="483" t="str">
        <f>IFERROR(INDEX([1]Produtos!$J:$J,MATCH(L1926,[1]Produtos!$B:$B,0)), "-")</f>
        <v>-</v>
      </c>
      <c r="T1926" s="484"/>
      <c r="U1926" s="483"/>
      <c r="V1926" s="483"/>
      <c r="W1926" s="483"/>
      <c r="X1926" s="483"/>
      <c r="Y1926" s="483"/>
      <c r="Z1926" s="483"/>
      <c r="AA1926" s="483"/>
      <c r="AB1926" s="483"/>
      <c r="AC1926" s="483"/>
      <c r="AD1926" s="483"/>
      <c r="AE1926" s="483"/>
      <c r="AF1926" s="483"/>
      <c r="AG1926" s="483"/>
      <c r="AH1926" s="483"/>
      <c r="AI1926" s="483"/>
      <c r="AJ1926" s="483"/>
      <c r="AK1926" s="483"/>
      <c r="AL1926" s="483"/>
      <c r="AM1926" s="670"/>
      <c r="AN1926" s="670"/>
      <c r="AO1926" s="711" t="str">
        <f>IF(OR(Table1[[#This Row],[Início Setup Envase]]="",Table1[[#This Row],[Final Setup Envase]]=""),"",Table1[[#This Row],[Final Setup Envase]]-Table1[[#This Row],[Início Setup Envase]])</f>
        <v/>
      </c>
      <c r="AP1926" s="670"/>
      <c r="AQ1926" s="670"/>
      <c r="AR1926" s="483"/>
      <c r="AS1926" s="483"/>
      <c r="AT1926" s="483"/>
      <c r="AU1926" s="483"/>
      <c r="AV1926" s="483"/>
      <c r="AW1926" s="483"/>
      <c r="AX1926" s="483"/>
      <c r="AY1926" s="270"/>
      <c r="AZ1926" s="270"/>
      <c r="BA1926" s="270" t="str">
        <f>IF(Table1[[#This Row],[Data de Início]]="","",YEAR(Table1[[#This Row],[Data de Início]]))</f>
        <v/>
      </c>
      <c r="BB1926" s="270" t="str">
        <f>IF(Table1[[#This Row],[Data de Início]]="","",MONTH(Table1[[#This Row],[Data de Início]]))</f>
        <v/>
      </c>
      <c r="BC1926" s="270"/>
    </row>
    <row r="1927" spans="2:55" x14ac:dyDescent="0.25">
      <c r="B1927" s="470"/>
      <c r="C1927" s="263"/>
      <c r="D1927" s="477" cm="1">
        <f t="array" ref="D1927">IFERROR(HorasUteisFabrica2Turnos(B1927,C1927), "")</f>
        <v>0</v>
      </c>
      <c r="E1927" s="697" t="str">
        <f t="shared" si="30"/>
        <v/>
      </c>
      <c r="F1927" s="266"/>
      <c r="G1927" s="698"/>
      <c r="H1927" s="266"/>
      <c r="I1927" s="268"/>
      <c r="J1927" s="268"/>
      <c r="K1927" s="268"/>
      <c r="L1927" s="269"/>
      <c r="M1927" s="510" t="str">
        <f>IFERROR(INDEX([1]Produtos!$C:$C,MATCH(L1927,[1]Produtos!$B:$B,0)), "-")</f>
        <v>-</v>
      </c>
      <c r="N1927" s="510" t="str">
        <f>IFERROR(INDEX([1]Produtos!$E:$E,MATCH(L1927,[1]Produtos!$B:$B,0)), "-")</f>
        <v>-</v>
      </c>
      <c r="O1927" s="270" t="str">
        <f>IFERROR(INDEX([1]Produtos!$F:$F,MATCH(L1927,[1]Produtos!$B:$B,0)), "-")</f>
        <v>-</v>
      </c>
      <c r="P1927" s="264" t="str">
        <f>IFERROR(INDEX([1]Produtos!$G:$G,MATCH(L1927,[1]Produtos!$B:$B,0)), "-")</f>
        <v>-</v>
      </c>
      <c r="Q1927" s="270" t="str">
        <f>IFERROR(INDEX([1]Produtos!$H:$H,MATCH(L1927,[1]Produtos!$B:$B,0)), "-")</f>
        <v>-</v>
      </c>
      <c r="R1927" s="270" t="str">
        <f>IFERROR(INDEX([1]Produtos!$I:$I,MATCH(L1927,[1]Produtos!$B:$B,0)), "-")</f>
        <v>-</v>
      </c>
      <c r="S1927" s="270" t="str">
        <f>IFERROR(INDEX([1]Produtos!$J:$J,MATCH(L1927,[1]Produtos!$B:$B,0)), "-")</f>
        <v>-</v>
      </c>
      <c r="T1927" s="475"/>
      <c r="U1927" s="270"/>
      <c r="V1927" s="270"/>
      <c r="W1927" s="270"/>
      <c r="X1927" s="270"/>
      <c r="Y1927" s="270"/>
      <c r="Z1927" s="270"/>
      <c r="AA1927" s="270"/>
      <c r="AB1927" s="270"/>
      <c r="AC1927" s="270"/>
      <c r="AD1927" s="270"/>
      <c r="AE1927" s="270"/>
      <c r="AF1927" s="270"/>
      <c r="AG1927" s="270"/>
      <c r="AH1927" s="270"/>
      <c r="AI1927" s="270"/>
      <c r="AJ1927" s="270"/>
      <c r="AK1927" s="270"/>
      <c r="AL1927" s="270"/>
      <c r="AM1927" s="663"/>
      <c r="AN1927" s="663"/>
      <c r="AO1927" s="708" t="str">
        <f>IF(OR(Table1[[#This Row],[Início Setup Envase]]="",Table1[[#This Row],[Final Setup Envase]]=""),"",Table1[[#This Row],[Final Setup Envase]]-Table1[[#This Row],[Início Setup Envase]])</f>
        <v/>
      </c>
      <c r="AP1927" s="663"/>
      <c r="AQ1927" s="663"/>
      <c r="AR1927" s="270"/>
      <c r="AS1927" s="674"/>
      <c r="AT1927" s="674"/>
      <c r="AU1927" s="270"/>
      <c r="AV1927" s="270"/>
      <c r="AW1927" s="270"/>
      <c r="AX1927" s="270"/>
      <c r="AY1927" s="270"/>
      <c r="AZ1927" s="270"/>
      <c r="BA1927" s="270" t="str">
        <f>IF(Table1[[#This Row],[Data de Início]]="","",YEAR(Table1[[#This Row],[Data de Início]]))</f>
        <v/>
      </c>
      <c r="BB1927" s="270" t="str">
        <f>IF(Table1[[#This Row],[Data de Início]]="","",MONTH(Table1[[#This Row],[Data de Início]]))</f>
        <v/>
      </c>
      <c r="BC1927" s="483"/>
    </row>
    <row r="1928" spans="2:55" x14ac:dyDescent="0.25">
      <c r="B1928" s="470"/>
      <c r="C1928" s="263"/>
      <c r="D1928" s="477" cm="1">
        <f t="array" ref="D1928">IFERROR(HorasUteisFabrica2Turnos(B1928,C1928), "")</f>
        <v>0</v>
      </c>
      <c r="E1928" s="478" t="str">
        <f t="shared" si="30"/>
        <v/>
      </c>
      <c r="F1928" s="266"/>
      <c r="G1928" s="656"/>
      <c r="H1928" s="479"/>
      <c r="I1928" s="268"/>
      <c r="J1928" s="268"/>
      <c r="K1928" s="268"/>
      <c r="L1928" s="269"/>
      <c r="M1928" s="511" t="str">
        <f>IFERROR(INDEX([1]Produtos!$C:$C,MATCH(L1928,[1]Produtos!$B:$B,0)), "-")</f>
        <v>-</v>
      </c>
      <c r="N1928" s="511" t="str">
        <f>IFERROR(INDEX([1]Produtos!$E:$E,MATCH(L1928,[1]Produtos!$B:$B,0)), "-")</f>
        <v>-</v>
      </c>
      <c r="O1928" s="483" t="str">
        <f>IFERROR(INDEX([1]Produtos!$F:$F,MATCH(L1928,[1]Produtos!$B:$B,0)), "-")</f>
        <v>-</v>
      </c>
      <c r="P1928" s="477" t="str">
        <f>IFERROR(INDEX([1]Produtos!$G:$G,MATCH(L1928,[1]Produtos!$B:$B,0)), "-")</f>
        <v>-</v>
      </c>
      <c r="Q1928" s="483" t="str">
        <f>IFERROR(INDEX([1]Produtos!$H:$H,MATCH(L1928,[1]Produtos!$B:$B,0)), "-")</f>
        <v>-</v>
      </c>
      <c r="R1928" s="483" t="str">
        <f>IFERROR(INDEX([1]Produtos!$I:$I,MATCH(L1928,[1]Produtos!$B:$B,0)), "-")</f>
        <v>-</v>
      </c>
      <c r="S1928" s="483" t="str">
        <f>IFERROR(INDEX([1]Produtos!$J:$J,MATCH(L1928,[1]Produtos!$B:$B,0)), "-")</f>
        <v>-</v>
      </c>
      <c r="T1928" s="484"/>
      <c r="U1928" s="483"/>
      <c r="V1928" s="483"/>
      <c r="W1928" s="483"/>
      <c r="X1928" s="483"/>
      <c r="Y1928" s="483"/>
      <c r="Z1928" s="483"/>
      <c r="AA1928" s="483"/>
      <c r="AB1928" s="483"/>
      <c r="AC1928" s="483"/>
      <c r="AD1928" s="483"/>
      <c r="AE1928" s="483"/>
      <c r="AF1928" s="483"/>
      <c r="AG1928" s="483"/>
      <c r="AH1928" s="483"/>
      <c r="AI1928" s="483"/>
      <c r="AJ1928" s="483"/>
      <c r="AK1928" s="483"/>
      <c r="AL1928" s="483"/>
      <c r="AM1928" s="670"/>
      <c r="AN1928" s="670"/>
      <c r="AO1928" s="711" t="str">
        <f>IF(OR(Table1[[#This Row],[Início Setup Envase]]="",Table1[[#This Row],[Final Setup Envase]]=""),"",Table1[[#This Row],[Final Setup Envase]]-Table1[[#This Row],[Início Setup Envase]])</f>
        <v/>
      </c>
      <c r="AP1928" s="670"/>
      <c r="AQ1928" s="670"/>
      <c r="AR1928" s="483"/>
      <c r="AS1928" s="483"/>
      <c r="AT1928" s="483"/>
      <c r="AU1928" s="483"/>
      <c r="AV1928" s="483"/>
      <c r="AW1928" s="483"/>
      <c r="AX1928" s="483"/>
      <c r="AY1928" s="270"/>
      <c r="AZ1928" s="270"/>
      <c r="BA1928" s="270" t="str">
        <f>IF(Table1[[#This Row],[Data de Início]]="","",YEAR(Table1[[#This Row],[Data de Início]]))</f>
        <v/>
      </c>
      <c r="BB1928" s="270" t="str">
        <f>IF(Table1[[#This Row],[Data de Início]]="","",MONTH(Table1[[#This Row],[Data de Início]]))</f>
        <v/>
      </c>
      <c r="BC1928" s="270"/>
    </row>
    <row r="1929" spans="2:55" x14ac:dyDescent="0.25">
      <c r="B1929" s="470"/>
      <c r="C1929" s="263"/>
      <c r="D1929" s="477" cm="1">
        <f t="array" ref="D1929">IFERROR(HorasUteisFabrica2Turnos(B1929,C1929), "")</f>
        <v>0</v>
      </c>
      <c r="E1929" s="697" t="str">
        <f t="shared" si="30"/>
        <v/>
      </c>
      <c r="F1929" s="266"/>
      <c r="G1929" s="698"/>
      <c r="H1929" s="266"/>
      <c r="I1929" s="268"/>
      <c r="J1929" s="268"/>
      <c r="K1929" s="268"/>
      <c r="L1929" s="269"/>
      <c r="M1929" s="510" t="str">
        <f>IFERROR(INDEX([1]Produtos!$C:$C,MATCH(L1929,[1]Produtos!$B:$B,0)), "-")</f>
        <v>-</v>
      </c>
      <c r="N1929" s="510" t="str">
        <f>IFERROR(INDEX([1]Produtos!$E:$E,MATCH(L1929,[1]Produtos!$B:$B,0)), "-")</f>
        <v>-</v>
      </c>
      <c r="O1929" s="270" t="str">
        <f>IFERROR(INDEX([1]Produtos!$F:$F,MATCH(L1929,[1]Produtos!$B:$B,0)), "-")</f>
        <v>-</v>
      </c>
      <c r="P1929" s="264" t="str">
        <f>IFERROR(INDEX([1]Produtos!$G:$G,MATCH(L1929,[1]Produtos!$B:$B,0)), "-")</f>
        <v>-</v>
      </c>
      <c r="Q1929" s="270" t="str">
        <f>IFERROR(INDEX([1]Produtos!$H:$H,MATCH(L1929,[1]Produtos!$B:$B,0)), "-")</f>
        <v>-</v>
      </c>
      <c r="R1929" s="270" t="str">
        <f>IFERROR(INDEX([1]Produtos!$I:$I,MATCH(L1929,[1]Produtos!$B:$B,0)), "-")</f>
        <v>-</v>
      </c>
      <c r="S1929" s="270" t="str">
        <f>IFERROR(INDEX([1]Produtos!$J:$J,MATCH(L1929,[1]Produtos!$B:$B,0)), "-")</f>
        <v>-</v>
      </c>
      <c r="T1929" s="475"/>
      <c r="U1929" s="270"/>
      <c r="V1929" s="270"/>
      <c r="W1929" s="270"/>
      <c r="X1929" s="270"/>
      <c r="Y1929" s="270"/>
      <c r="Z1929" s="270"/>
      <c r="AA1929" s="270"/>
      <c r="AB1929" s="270"/>
      <c r="AC1929" s="270"/>
      <c r="AD1929" s="270"/>
      <c r="AE1929" s="270"/>
      <c r="AF1929" s="270"/>
      <c r="AG1929" s="270"/>
      <c r="AH1929" s="270"/>
      <c r="AI1929" s="270"/>
      <c r="AJ1929" s="270"/>
      <c r="AK1929" s="270"/>
      <c r="AL1929" s="270"/>
      <c r="AM1929" s="663"/>
      <c r="AN1929" s="663"/>
      <c r="AO1929" s="708" t="str">
        <f>IF(OR(Table1[[#This Row],[Início Setup Envase]]="",Table1[[#This Row],[Final Setup Envase]]=""),"",Table1[[#This Row],[Final Setup Envase]]-Table1[[#This Row],[Início Setup Envase]])</f>
        <v/>
      </c>
      <c r="AP1929" s="663"/>
      <c r="AQ1929" s="663"/>
      <c r="AR1929" s="270"/>
      <c r="AS1929" s="674"/>
      <c r="AT1929" s="674"/>
      <c r="AU1929" s="270"/>
      <c r="AV1929" s="270"/>
      <c r="AW1929" s="270"/>
      <c r="AX1929" s="270"/>
      <c r="AY1929" s="270"/>
      <c r="AZ1929" s="270"/>
      <c r="BA1929" s="270" t="str">
        <f>IF(Table1[[#This Row],[Data de Início]]="","",YEAR(Table1[[#This Row],[Data de Início]]))</f>
        <v/>
      </c>
      <c r="BB1929" s="270" t="str">
        <f>IF(Table1[[#This Row],[Data de Início]]="","",MONTH(Table1[[#This Row],[Data de Início]]))</f>
        <v/>
      </c>
      <c r="BC1929" s="483"/>
    </row>
    <row r="1930" spans="2:55" x14ac:dyDescent="0.25">
      <c r="B1930" s="470"/>
      <c r="C1930" s="263"/>
      <c r="D1930" s="477" cm="1">
        <f t="array" ref="D1930">IFERROR(HorasUteisFabrica2Turnos(B1930,C1930), "")</f>
        <v>0</v>
      </c>
      <c r="E1930" s="478" t="str">
        <f t="shared" si="30"/>
        <v/>
      </c>
      <c r="F1930" s="266"/>
      <c r="G1930" s="656"/>
      <c r="H1930" s="479"/>
      <c r="I1930" s="268"/>
      <c r="J1930" s="268"/>
      <c r="K1930" s="268"/>
      <c r="L1930" s="269"/>
      <c r="M1930" s="511" t="str">
        <f>IFERROR(INDEX([1]Produtos!$C:$C,MATCH(L1930,[1]Produtos!$B:$B,0)), "-")</f>
        <v>-</v>
      </c>
      <c r="N1930" s="511" t="str">
        <f>IFERROR(INDEX([1]Produtos!$E:$E,MATCH(L1930,[1]Produtos!$B:$B,0)), "-")</f>
        <v>-</v>
      </c>
      <c r="O1930" s="483" t="str">
        <f>IFERROR(INDEX([1]Produtos!$F:$F,MATCH(L1930,[1]Produtos!$B:$B,0)), "-")</f>
        <v>-</v>
      </c>
      <c r="P1930" s="477" t="str">
        <f>IFERROR(INDEX([1]Produtos!$G:$G,MATCH(L1930,[1]Produtos!$B:$B,0)), "-")</f>
        <v>-</v>
      </c>
      <c r="Q1930" s="483" t="str">
        <f>IFERROR(INDEX([1]Produtos!$H:$H,MATCH(L1930,[1]Produtos!$B:$B,0)), "-")</f>
        <v>-</v>
      </c>
      <c r="R1930" s="483" t="str">
        <f>IFERROR(INDEX([1]Produtos!$I:$I,MATCH(L1930,[1]Produtos!$B:$B,0)), "-")</f>
        <v>-</v>
      </c>
      <c r="S1930" s="483" t="str">
        <f>IFERROR(INDEX([1]Produtos!$J:$J,MATCH(L1930,[1]Produtos!$B:$B,0)), "-")</f>
        <v>-</v>
      </c>
      <c r="T1930" s="484"/>
      <c r="U1930" s="483"/>
      <c r="V1930" s="483"/>
      <c r="W1930" s="483"/>
      <c r="X1930" s="483"/>
      <c r="Y1930" s="483"/>
      <c r="Z1930" s="483"/>
      <c r="AA1930" s="483"/>
      <c r="AB1930" s="483"/>
      <c r="AC1930" s="483"/>
      <c r="AD1930" s="483"/>
      <c r="AE1930" s="483"/>
      <c r="AF1930" s="483"/>
      <c r="AG1930" s="483"/>
      <c r="AH1930" s="483"/>
      <c r="AI1930" s="483"/>
      <c r="AJ1930" s="483"/>
      <c r="AK1930" s="483"/>
      <c r="AL1930" s="483"/>
      <c r="AM1930" s="670"/>
      <c r="AN1930" s="670"/>
      <c r="AO1930" s="711" t="str">
        <f>IF(OR(Table1[[#This Row],[Início Setup Envase]]="",Table1[[#This Row],[Final Setup Envase]]=""),"",Table1[[#This Row],[Final Setup Envase]]-Table1[[#This Row],[Início Setup Envase]])</f>
        <v/>
      </c>
      <c r="AP1930" s="670"/>
      <c r="AQ1930" s="670"/>
      <c r="AR1930" s="483"/>
      <c r="AS1930" s="483"/>
      <c r="AT1930" s="483"/>
      <c r="AU1930" s="483"/>
      <c r="AV1930" s="483"/>
      <c r="AW1930" s="483"/>
      <c r="AX1930" s="483"/>
      <c r="AY1930" s="270"/>
      <c r="AZ1930" s="270"/>
      <c r="BA1930" s="270" t="str">
        <f>IF(Table1[[#This Row],[Data de Início]]="","",YEAR(Table1[[#This Row],[Data de Início]]))</f>
        <v/>
      </c>
      <c r="BB1930" s="270" t="str">
        <f>IF(Table1[[#This Row],[Data de Início]]="","",MONTH(Table1[[#This Row],[Data de Início]]))</f>
        <v/>
      </c>
      <c r="BC1930" s="270"/>
    </row>
    <row r="1931" spans="2:55" x14ac:dyDescent="0.25">
      <c r="B1931" s="470"/>
      <c r="C1931" s="263"/>
      <c r="D1931" s="477" cm="1">
        <f t="array" ref="D1931">IFERROR(HorasUteisFabrica2Turnos(B1931,C1931), "")</f>
        <v>0</v>
      </c>
      <c r="E1931" s="697" t="str">
        <f t="shared" si="30"/>
        <v/>
      </c>
      <c r="F1931" s="266"/>
      <c r="G1931" s="698"/>
      <c r="H1931" s="266"/>
      <c r="I1931" s="268"/>
      <c r="J1931" s="268"/>
      <c r="K1931" s="268"/>
      <c r="L1931" s="269"/>
      <c r="M1931" s="510" t="str">
        <f>IFERROR(INDEX([1]Produtos!$C:$C,MATCH(L1931,[1]Produtos!$B:$B,0)), "-")</f>
        <v>-</v>
      </c>
      <c r="N1931" s="510" t="str">
        <f>IFERROR(INDEX([1]Produtos!$E:$E,MATCH(L1931,[1]Produtos!$B:$B,0)), "-")</f>
        <v>-</v>
      </c>
      <c r="O1931" s="270" t="str">
        <f>IFERROR(INDEX([1]Produtos!$F:$F,MATCH(L1931,[1]Produtos!$B:$B,0)), "-")</f>
        <v>-</v>
      </c>
      <c r="P1931" s="264" t="str">
        <f>IFERROR(INDEX([1]Produtos!$G:$G,MATCH(L1931,[1]Produtos!$B:$B,0)), "-")</f>
        <v>-</v>
      </c>
      <c r="Q1931" s="270" t="str">
        <f>IFERROR(INDEX([1]Produtos!$H:$H,MATCH(L1931,[1]Produtos!$B:$B,0)), "-")</f>
        <v>-</v>
      </c>
      <c r="R1931" s="270" t="str">
        <f>IFERROR(INDEX([1]Produtos!$I:$I,MATCH(L1931,[1]Produtos!$B:$B,0)), "-")</f>
        <v>-</v>
      </c>
      <c r="S1931" s="270" t="str">
        <f>IFERROR(INDEX([1]Produtos!$J:$J,MATCH(L1931,[1]Produtos!$B:$B,0)), "-")</f>
        <v>-</v>
      </c>
      <c r="T1931" s="475"/>
      <c r="U1931" s="270"/>
      <c r="V1931" s="270"/>
      <c r="W1931" s="270"/>
      <c r="X1931" s="270"/>
      <c r="Y1931" s="270"/>
      <c r="Z1931" s="270"/>
      <c r="AA1931" s="270"/>
      <c r="AB1931" s="270"/>
      <c r="AC1931" s="270"/>
      <c r="AD1931" s="270"/>
      <c r="AE1931" s="270"/>
      <c r="AF1931" s="270"/>
      <c r="AG1931" s="270"/>
      <c r="AH1931" s="270"/>
      <c r="AI1931" s="270"/>
      <c r="AJ1931" s="270"/>
      <c r="AK1931" s="270"/>
      <c r="AL1931" s="270"/>
      <c r="AM1931" s="663"/>
      <c r="AN1931" s="663"/>
      <c r="AO1931" s="708" t="str">
        <f>IF(OR(Table1[[#This Row],[Início Setup Envase]]="",Table1[[#This Row],[Final Setup Envase]]=""),"",Table1[[#This Row],[Final Setup Envase]]-Table1[[#This Row],[Início Setup Envase]])</f>
        <v/>
      </c>
      <c r="AP1931" s="663"/>
      <c r="AQ1931" s="663"/>
      <c r="AR1931" s="270"/>
      <c r="AS1931" s="674"/>
      <c r="AT1931" s="674"/>
      <c r="AU1931" s="270"/>
      <c r="AV1931" s="270"/>
      <c r="AW1931" s="270"/>
      <c r="AX1931" s="270"/>
      <c r="AY1931" s="270"/>
      <c r="AZ1931" s="270"/>
      <c r="BA1931" s="270" t="str">
        <f>IF(Table1[[#This Row],[Data de Início]]="","",YEAR(Table1[[#This Row],[Data de Início]]))</f>
        <v/>
      </c>
      <c r="BB1931" s="270" t="str">
        <f>IF(Table1[[#This Row],[Data de Início]]="","",MONTH(Table1[[#This Row],[Data de Início]]))</f>
        <v/>
      </c>
      <c r="BC1931" s="483"/>
    </row>
    <row r="1932" spans="2:55" x14ac:dyDescent="0.25">
      <c r="B1932" s="470"/>
      <c r="C1932" s="263"/>
      <c r="D1932" s="477" cm="1">
        <f t="array" ref="D1932">IFERROR(HorasUteisFabrica2Turnos(B1932,C1932), "")</f>
        <v>0</v>
      </c>
      <c r="E1932" s="478" t="str">
        <f t="shared" si="30"/>
        <v/>
      </c>
      <c r="F1932" s="266"/>
      <c r="G1932" s="656"/>
      <c r="H1932" s="479"/>
      <c r="I1932" s="268"/>
      <c r="J1932" s="268"/>
      <c r="K1932" s="268"/>
      <c r="L1932" s="269"/>
      <c r="M1932" s="511" t="str">
        <f>IFERROR(INDEX([1]Produtos!$C:$C,MATCH(L1932,[1]Produtos!$B:$B,0)), "-")</f>
        <v>-</v>
      </c>
      <c r="N1932" s="511" t="str">
        <f>IFERROR(INDEX([1]Produtos!$E:$E,MATCH(L1932,[1]Produtos!$B:$B,0)), "-")</f>
        <v>-</v>
      </c>
      <c r="O1932" s="483" t="str">
        <f>IFERROR(INDEX([1]Produtos!$F:$F,MATCH(L1932,[1]Produtos!$B:$B,0)), "-")</f>
        <v>-</v>
      </c>
      <c r="P1932" s="477" t="str">
        <f>IFERROR(INDEX([1]Produtos!$G:$G,MATCH(L1932,[1]Produtos!$B:$B,0)), "-")</f>
        <v>-</v>
      </c>
      <c r="Q1932" s="483" t="str">
        <f>IFERROR(INDEX([1]Produtos!$H:$H,MATCH(L1932,[1]Produtos!$B:$B,0)), "-")</f>
        <v>-</v>
      </c>
      <c r="R1932" s="483" t="str">
        <f>IFERROR(INDEX([1]Produtos!$I:$I,MATCH(L1932,[1]Produtos!$B:$B,0)), "-")</f>
        <v>-</v>
      </c>
      <c r="S1932" s="483" t="str">
        <f>IFERROR(INDEX([1]Produtos!$J:$J,MATCH(L1932,[1]Produtos!$B:$B,0)), "-")</f>
        <v>-</v>
      </c>
      <c r="T1932" s="484"/>
      <c r="U1932" s="483"/>
      <c r="V1932" s="483"/>
      <c r="W1932" s="483"/>
      <c r="X1932" s="483"/>
      <c r="Y1932" s="483"/>
      <c r="Z1932" s="483"/>
      <c r="AA1932" s="483"/>
      <c r="AB1932" s="483"/>
      <c r="AC1932" s="483"/>
      <c r="AD1932" s="483"/>
      <c r="AE1932" s="483"/>
      <c r="AF1932" s="483"/>
      <c r="AG1932" s="483"/>
      <c r="AH1932" s="483"/>
      <c r="AI1932" s="483"/>
      <c r="AJ1932" s="483"/>
      <c r="AK1932" s="483"/>
      <c r="AL1932" s="483"/>
      <c r="AM1932" s="670"/>
      <c r="AN1932" s="670"/>
      <c r="AO1932" s="711" t="str">
        <f>IF(OR(Table1[[#This Row],[Início Setup Envase]]="",Table1[[#This Row],[Final Setup Envase]]=""),"",Table1[[#This Row],[Final Setup Envase]]-Table1[[#This Row],[Início Setup Envase]])</f>
        <v/>
      </c>
      <c r="AP1932" s="670"/>
      <c r="AQ1932" s="670"/>
      <c r="AR1932" s="483"/>
      <c r="AS1932" s="483"/>
      <c r="AT1932" s="483"/>
      <c r="AU1932" s="483"/>
      <c r="AV1932" s="483"/>
      <c r="AW1932" s="483"/>
      <c r="AX1932" s="483"/>
      <c r="AY1932" s="270"/>
      <c r="AZ1932" s="270"/>
      <c r="BA1932" s="270" t="str">
        <f>IF(Table1[[#This Row],[Data de Início]]="","",YEAR(Table1[[#This Row],[Data de Início]]))</f>
        <v/>
      </c>
      <c r="BB1932" s="270" t="str">
        <f>IF(Table1[[#This Row],[Data de Início]]="","",MONTH(Table1[[#This Row],[Data de Início]]))</f>
        <v/>
      </c>
      <c r="BC1932" s="270"/>
    </row>
    <row r="1933" spans="2:55" x14ac:dyDescent="0.25">
      <c r="B1933" s="470"/>
      <c r="C1933" s="263"/>
      <c r="D1933" s="477" cm="1">
        <f t="array" ref="D1933">IFERROR(HorasUteisFabrica2Turnos(B1933,C1933), "")</f>
        <v>0</v>
      </c>
      <c r="E1933" s="697" t="str">
        <f t="shared" si="30"/>
        <v/>
      </c>
      <c r="F1933" s="266"/>
      <c r="G1933" s="698"/>
      <c r="H1933" s="266"/>
      <c r="I1933" s="268"/>
      <c r="J1933" s="268"/>
      <c r="K1933" s="268"/>
      <c r="L1933" s="269"/>
      <c r="M1933" s="510" t="str">
        <f>IFERROR(INDEX([1]Produtos!$C:$C,MATCH(L1933,[1]Produtos!$B:$B,0)), "-")</f>
        <v>-</v>
      </c>
      <c r="N1933" s="510" t="str">
        <f>IFERROR(INDEX([1]Produtos!$E:$E,MATCH(L1933,[1]Produtos!$B:$B,0)), "-")</f>
        <v>-</v>
      </c>
      <c r="O1933" s="270" t="str">
        <f>IFERROR(INDEX([1]Produtos!$F:$F,MATCH(L1933,[1]Produtos!$B:$B,0)), "-")</f>
        <v>-</v>
      </c>
      <c r="P1933" s="264" t="str">
        <f>IFERROR(INDEX([1]Produtos!$G:$G,MATCH(L1933,[1]Produtos!$B:$B,0)), "-")</f>
        <v>-</v>
      </c>
      <c r="Q1933" s="270" t="str">
        <f>IFERROR(INDEX([1]Produtos!$H:$H,MATCH(L1933,[1]Produtos!$B:$B,0)), "-")</f>
        <v>-</v>
      </c>
      <c r="R1933" s="270" t="str">
        <f>IFERROR(INDEX([1]Produtos!$I:$I,MATCH(L1933,[1]Produtos!$B:$B,0)), "-")</f>
        <v>-</v>
      </c>
      <c r="S1933" s="270" t="str">
        <f>IFERROR(INDEX([1]Produtos!$J:$J,MATCH(L1933,[1]Produtos!$B:$B,0)), "-")</f>
        <v>-</v>
      </c>
      <c r="T1933" s="475"/>
      <c r="U1933" s="270"/>
      <c r="V1933" s="270"/>
      <c r="W1933" s="270"/>
      <c r="X1933" s="270"/>
      <c r="Y1933" s="270"/>
      <c r="Z1933" s="270"/>
      <c r="AA1933" s="270"/>
      <c r="AB1933" s="270"/>
      <c r="AC1933" s="270"/>
      <c r="AD1933" s="270"/>
      <c r="AE1933" s="270"/>
      <c r="AF1933" s="270"/>
      <c r="AG1933" s="270"/>
      <c r="AH1933" s="270"/>
      <c r="AI1933" s="270"/>
      <c r="AJ1933" s="270"/>
      <c r="AK1933" s="270"/>
      <c r="AL1933" s="270"/>
      <c r="AM1933" s="663"/>
      <c r="AN1933" s="663"/>
      <c r="AO1933" s="708" t="str">
        <f>IF(OR(Table1[[#This Row],[Início Setup Envase]]="",Table1[[#This Row],[Final Setup Envase]]=""),"",Table1[[#This Row],[Final Setup Envase]]-Table1[[#This Row],[Início Setup Envase]])</f>
        <v/>
      </c>
      <c r="AP1933" s="663"/>
      <c r="AQ1933" s="663"/>
      <c r="AR1933" s="270"/>
      <c r="AS1933" s="674"/>
      <c r="AT1933" s="674"/>
      <c r="AU1933" s="270"/>
      <c r="AV1933" s="270"/>
      <c r="AW1933" s="270"/>
      <c r="AX1933" s="270"/>
      <c r="AY1933" s="270"/>
      <c r="AZ1933" s="270"/>
      <c r="BA1933" s="270" t="str">
        <f>IF(Table1[[#This Row],[Data de Início]]="","",YEAR(Table1[[#This Row],[Data de Início]]))</f>
        <v/>
      </c>
      <c r="BB1933" s="270" t="str">
        <f>IF(Table1[[#This Row],[Data de Início]]="","",MONTH(Table1[[#This Row],[Data de Início]]))</f>
        <v/>
      </c>
      <c r="BC1933" s="483"/>
    </row>
    <row r="1934" spans="2:55" x14ac:dyDescent="0.25">
      <c r="B1934" s="470"/>
      <c r="C1934" s="263"/>
      <c r="D1934" s="477" cm="1">
        <f t="array" ref="D1934">IFERROR(HorasUteisFabrica2Turnos(B1934,C1934), "")</f>
        <v>0</v>
      </c>
      <c r="E1934" s="478" t="str">
        <f t="shared" si="30"/>
        <v/>
      </c>
      <c r="F1934" s="266"/>
      <c r="G1934" s="656"/>
      <c r="H1934" s="479"/>
      <c r="I1934" s="268"/>
      <c r="J1934" s="268"/>
      <c r="K1934" s="268"/>
      <c r="L1934" s="269"/>
      <c r="M1934" s="511" t="str">
        <f>IFERROR(INDEX([1]Produtos!$C:$C,MATCH(L1934,[1]Produtos!$B:$B,0)), "-")</f>
        <v>-</v>
      </c>
      <c r="N1934" s="511" t="str">
        <f>IFERROR(INDEX([1]Produtos!$E:$E,MATCH(L1934,[1]Produtos!$B:$B,0)), "-")</f>
        <v>-</v>
      </c>
      <c r="O1934" s="483" t="str">
        <f>IFERROR(INDEX([1]Produtos!$F:$F,MATCH(L1934,[1]Produtos!$B:$B,0)), "-")</f>
        <v>-</v>
      </c>
      <c r="P1934" s="477" t="str">
        <f>IFERROR(INDEX([1]Produtos!$G:$G,MATCH(L1934,[1]Produtos!$B:$B,0)), "-")</f>
        <v>-</v>
      </c>
      <c r="Q1934" s="483" t="str">
        <f>IFERROR(INDEX([1]Produtos!$H:$H,MATCH(L1934,[1]Produtos!$B:$B,0)), "-")</f>
        <v>-</v>
      </c>
      <c r="R1934" s="483" t="str">
        <f>IFERROR(INDEX([1]Produtos!$I:$I,MATCH(L1934,[1]Produtos!$B:$B,0)), "-")</f>
        <v>-</v>
      </c>
      <c r="S1934" s="483" t="str">
        <f>IFERROR(INDEX([1]Produtos!$J:$J,MATCH(L1934,[1]Produtos!$B:$B,0)), "-")</f>
        <v>-</v>
      </c>
      <c r="T1934" s="484"/>
      <c r="U1934" s="483"/>
      <c r="V1934" s="483"/>
      <c r="W1934" s="483"/>
      <c r="X1934" s="483"/>
      <c r="Y1934" s="483"/>
      <c r="Z1934" s="483"/>
      <c r="AA1934" s="483"/>
      <c r="AB1934" s="483"/>
      <c r="AC1934" s="483"/>
      <c r="AD1934" s="483"/>
      <c r="AE1934" s="483"/>
      <c r="AF1934" s="483"/>
      <c r="AG1934" s="483"/>
      <c r="AH1934" s="483"/>
      <c r="AI1934" s="483"/>
      <c r="AJ1934" s="483"/>
      <c r="AK1934" s="483"/>
      <c r="AL1934" s="483"/>
      <c r="AM1934" s="670"/>
      <c r="AN1934" s="670"/>
      <c r="AO1934" s="711" t="str">
        <f>IF(OR(Table1[[#This Row],[Início Setup Envase]]="",Table1[[#This Row],[Final Setup Envase]]=""),"",Table1[[#This Row],[Final Setup Envase]]-Table1[[#This Row],[Início Setup Envase]])</f>
        <v/>
      </c>
      <c r="AP1934" s="670"/>
      <c r="AQ1934" s="670"/>
      <c r="AR1934" s="483"/>
      <c r="AS1934" s="483"/>
      <c r="AT1934" s="483"/>
      <c r="AU1934" s="483"/>
      <c r="AV1934" s="483"/>
      <c r="AW1934" s="483"/>
      <c r="AX1934" s="483"/>
      <c r="AY1934" s="270"/>
      <c r="AZ1934" s="270"/>
      <c r="BA1934" s="270" t="str">
        <f>IF(Table1[[#This Row],[Data de Início]]="","",YEAR(Table1[[#This Row],[Data de Início]]))</f>
        <v/>
      </c>
      <c r="BB1934" s="270" t="str">
        <f>IF(Table1[[#This Row],[Data de Início]]="","",MONTH(Table1[[#This Row],[Data de Início]]))</f>
        <v/>
      </c>
      <c r="BC1934" s="270"/>
    </row>
    <row r="1935" spans="2:55" x14ac:dyDescent="0.25">
      <c r="B1935" s="470"/>
      <c r="C1935" s="263"/>
      <c r="D1935" s="477" cm="1">
        <f t="array" ref="D1935">IFERROR(HorasUteisFabrica2Turnos(B1935,C1935), "")</f>
        <v>0</v>
      </c>
      <c r="E1935" s="697" t="str">
        <f t="shared" si="30"/>
        <v/>
      </c>
      <c r="F1935" s="266"/>
      <c r="G1935" s="698"/>
      <c r="H1935" s="266"/>
      <c r="I1935" s="268"/>
      <c r="J1935" s="268"/>
      <c r="K1935" s="268"/>
      <c r="L1935" s="269"/>
      <c r="M1935" s="510" t="str">
        <f>IFERROR(INDEX([1]Produtos!$C:$C,MATCH(L1935,[1]Produtos!$B:$B,0)), "-")</f>
        <v>-</v>
      </c>
      <c r="N1935" s="510" t="str">
        <f>IFERROR(INDEX([1]Produtos!$E:$E,MATCH(L1935,[1]Produtos!$B:$B,0)), "-")</f>
        <v>-</v>
      </c>
      <c r="O1935" s="270" t="str">
        <f>IFERROR(INDEX([1]Produtos!$F:$F,MATCH(L1935,[1]Produtos!$B:$B,0)), "-")</f>
        <v>-</v>
      </c>
      <c r="P1935" s="264" t="str">
        <f>IFERROR(INDEX([1]Produtos!$G:$G,MATCH(L1935,[1]Produtos!$B:$B,0)), "-")</f>
        <v>-</v>
      </c>
      <c r="Q1935" s="270" t="str">
        <f>IFERROR(INDEX([1]Produtos!$H:$H,MATCH(L1935,[1]Produtos!$B:$B,0)), "-")</f>
        <v>-</v>
      </c>
      <c r="R1935" s="270" t="str">
        <f>IFERROR(INDEX([1]Produtos!$I:$I,MATCH(L1935,[1]Produtos!$B:$B,0)), "-")</f>
        <v>-</v>
      </c>
      <c r="S1935" s="270" t="str">
        <f>IFERROR(INDEX([1]Produtos!$J:$J,MATCH(L1935,[1]Produtos!$B:$B,0)), "-")</f>
        <v>-</v>
      </c>
      <c r="T1935" s="475"/>
      <c r="U1935" s="270"/>
      <c r="V1935" s="270"/>
      <c r="W1935" s="270"/>
      <c r="X1935" s="270"/>
      <c r="Y1935" s="270"/>
      <c r="Z1935" s="270"/>
      <c r="AA1935" s="270"/>
      <c r="AB1935" s="270"/>
      <c r="AC1935" s="270"/>
      <c r="AD1935" s="270"/>
      <c r="AE1935" s="270"/>
      <c r="AF1935" s="270"/>
      <c r="AG1935" s="270"/>
      <c r="AH1935" s="270"/>
      <c r="AI1935" s="270"/>
      <c r="AJ1935" s="270"/>
      <c r="AK1935" s="270"/>
      <c r="AL1935" s="270"/>
      <c r="AM1935" s="663"/>
      <c r="AN1935" s="663"/>
      <c r="AO1935" s="708" t="str">
        <f>IF(OR(Table1[[#This Row],[Início Setup Envase]]="",Table1[[#This Row],[Final Setup Envase]]=""),"",Table1[[#This Row],[Final Setup Envase]]-Table1[[#This Row],[Início Setup Envase]])</f>
        <v/>
      </c>
      <c r="AP1935" s="663"/>
      <c r="AQ1935" s="663"/>
      <c r="AR1935" s="270"/>
      <c r="AS1935" s="674"/>
      <c r="AT1935" s="674"/>
      <c r="AU1935" s="270"/>
      <c r="AV1935" s="270"/>
      <c r="AW1935" s="270"/>
      <c r="AX1935" s="270"/>
      <c r="AY1935" s="270"/>
      <c r="AZ1935" s="270"/>
      <c r="BA1935" s="270" t="str">
        <f>IF(Table1[[#This Row],[Data de Início]]="","",YEAR(Table1[[#This Row],[Data de Início]]))</f>
        <v/>
      </c>
      <c r="BB1935" s="270" t="str">
        <f>IF(Table1[[#This Row],[Data de Início]]="","",MONTH(Table1[[#This Row],[Data de Início]]))</f>
        <v/>
      </c>
      <c r="BC1935" s="483"/>
    </row>
    <row r="1936" spans="2:55" x14ac:dyDescent="0.25">
      <c r="B1936" s="470"/>
      <c r="C1936" s="263"/>
      <c r="D1936" s="477" cm="1">
        <f t="array" ref="D1936">IFERROR(HorasUteisFabrica2Turnos(B1936,C1936), "")</f>
        <v>0</v>
      </c>
      <c r="E1936" s="478" t="str">
        <f t="shared" si="30"/>
        <v/>
      </c>
      <c r="F1936" s="266"/>
      <c r="G1936" s="656"/>
      <c r="H1936" s="479"/>
      <c r="I1936" s="268"/>
      <c r="J1936" s="268"/>
      <c r="K1936" s="268"/>
      <c r="L1936" s="269"/>
      <c r="M1936" s="511" t="str">
        <f>IFERROR(INDEX([1]Produtos!$C:$C,MATCH(L1936,[1]Produtos!$B:$B,0)), "-")</f>
        <v>-</v>
      </c>
      <c r="N1936" s="511" t="str">
        <f>IFERROR(INDEX([1]Produtos!$E:$E,MATCH(L1936,[1]Produtos!$B:$B,0)), "-")</f>
        <v>-</v>
      </c>
      <c r="O1936" s="483" t="str">
        <f>IFERROR(INDEX([1]Produtos!$F:$F,MATCH(L1936,[1]Produtos!$B:$B,0)), "-")</f>
        <v>-</v>
      </c>
      <c r="P1936" s="477" t="str">
        <f>IFERROR(INDEX([1]Produtos!$G:$G,MATCH(L1936,[1]Produtos!$B:$B,0)), "-")</f>
        <v>-</v>
      </c>
      <c r="Q1936" s="483" t="str">
        <f>IFERROR(INDEX([1]Produtos!$H:$H,MATCH(L1936,[1]Produtos!$B:$B,0)), "-")</f>
        <v>-</v>
      </c>
      <c r="R1936" s="483" t="str">
        <f>IFERROR(INDEX([1]Produtos!$I:$I,MATCH(L1936,[1]Produtos!$B:$B,0)), "-")</f>
        <v>-</v>
      </c>
      <c r="S1936" s="483" t="str">
        <f>IFERROR(INDEX([1]Produtos!$J:$J,MATCH(L1936,[1]Produtos!$B:$B,0)), "-")</f>
        <v>-</v>
      </c>
      <c r="T1936" s="484"/>
      <c r="U1936" s="483"/>
      <c r="V1936" s="483"/>
      <c r="W1936" s="483"/>
      <c r="X1936" s="483"/>
      <c r="Y1936" s="483"/>
      <c r="Z1936" s="483"/>
      <c r="AA1936" s="483"/>
      <c r="AB1936" s="483"/>
      <c r="AC1936" s="483"/>
      <c r="AD1936" s="483"/>
      <c r="AE1936" s="483"/>
      <c r="AF1936" s="483"/>
      <c r="AG1936" s="483"/>
      <c r="AH1936" s="483"/>
      <c r="AI1936" s="483"/>
      <c r="AJ1936" s="483"/>
      <c r="AK1936" s="483"/>
      <c r="AL1936" s="483"/>
      <c r="AM1936" s="670"/>
      <c r="AN1936" s="670"/>
      <c r="AO1936" s="711" t="str">
        <f>IF(OR(Table1[[#This Row],[Início Setup Envase]]="",Table1[[#This Row],[Final Setup Envase]]=""),"",Table1[[#This Row],[Final Setup Envase]]-Table1[[#This Row],[Início Setup Envase]])</f>
        <v/>
      </c>
      <c r="AP1936" s="670"/>
      <c r="AQ1936" s="670"/>
      <c r="AR1936" s="483"/>
      <c r="AS1936" s="483"/>
      <c r="AT1936" s="483"/>
      <c r="AU1936" s="483"/>
      <c r="AV1936" s="483"/>
      <c r="AW1936" s="483"/>
      <c r="AX1936" s="483"/>
      <c r="AY1936" s="270"/>
      <c r="AZ1936" s="270"/>
      <c r="BA1936" s="270" t="str">
        <f>IF(Table1[[#This Row],[Data de Início]]="","",YEAR(Table1[[#This Row],[Data de Início]]))</f>
        <v/>
      </c>
      <c r="BB1936" s="270" t="str">
        <f>IF(Table1[[#This Row],[Data de Início]]="","",MONTH(Table1[[#This Row],[Data de Início]]))</f>
        <v/>
      </c>
      <c r="BC1936" s="270"/>
    </row>
    <row r="1937" spans="2:55" x14ac:dyDescent="0.25">
      <c r="B1937" s="470"/>
      <c r="C1937" s="263"/>
      <c r="D1937" s="477" cm="1">
        <f t="array" ref="D1937">IFERROR(HorasUteisFabrica2Turnos(B1937,C1937), "")</f>
        <v>0</v>
      </c>
      <c r="E1937" s="697" t="str">
        <f t="shared" si="30"/>
        <v/>
      </c>
      <c r="F1937" s="266"/>
      <c r="G1937" s="698"/>
      <c r="H1937" s="266"/>
      <c r="I1937" s="268"/>
      <c r="J1937" s="268"/>
      <c r="K1937" s="268"/>
      <c r="L1937" s="269"/>
      <c r="M1937" s="510" t="str">
        <f>IFERROR(INDEX([1]Produtos!$C:$C,MATCH(L1937,[1]Produtos!$B:$B,0)), "-")</f>
        <v>-</v>
      </c>
      <c r="N1937" s="510" t="str">
        <f>IFERROR(INDEX([1]Produtos!$E:$E,MATCH(L1937,[1]Produtos!$B:$B,0)), "-")</f>
        <v>-</v>
      </c>
      <c r="O1937" s="270" t="str">
        <f>IFERROR(INDEX([1]Produtos!$F:$F,MATCH(L1937,[1]Produtos!$B:$B,0)), "-")</f>
        <v>-</v>
      </c>
      <c r="P1937" s="264" t="str">
        <f>IFERROR(INDEX([1]Produtos!$G:$G,MATCH(L1937,[1]Produtos!$B:$B,0)), "-")</f>
        <v>-</v>
      </c>
      <c r="Q1937" s="270" t="str">
        <f>IFERROR(INDEX([1]Produtos!$H:$H,MATCH(L1937,[1]Produtos!$B:$B,0)), "-")</f>
        <v>-</v>
      </c>
      <c r="R1937" s="270" t="str">
        <f>IFERROR(INDEX([1]Produtos!$I:$I,MATCH(L1937,[1]Produtos!$B:$B,0)), "-")</f>
        <v>-</v>
      </c>
      <c r="S1937" s="270" t="str">
        <f>IFERROR(INDEX([1]Produtos!$J:$J,MATCH(L1937,[1]Produtos!$B:$B,0)), "-")</f>
        <v>-</v>
      </c>
      <c r="T1937" s="475"/>
      <c r="U1937" s="270"/>
      <c r="V1937" s="270"/>
      <c r="W1937" s="270"/>
      <c r="X1937" s="270"/>
      <c r="Y1937" s="270"/>
      <c r="Z1937" s="270"/>
      <c r="AA1937" s="270"/>
      <c r="AB1937" s="270"/>
      <c r="AC1937" s="270"/>
      <c r="AD1937" s="270"/>
      <c r="AE1937" s="270"/>
      <c r="AF1937" s="270"/>
      <c r="AG1937" s="270"/>
      <c r="AH1937" s="270"/>
      <c r="AI1937" s="270"/>
      <c r="AJ1937" s="270"/>
      <c r="AK1937" s="270"/>
      <c r="AL1937" s="270"/>
      <c r="AM1937" s="663"/>
      <c r="AN1937" s="663"/>
      <c r="AO1937" s="708" t="str">
        <f>IF(OR(Table1[[#This Row],[Início Setup Envase]]="",Table1[[#This Row],[Final Setup Envase]]=""),"",Table1[[#This Row],[Final Setup Envase]]-Table1[[#This Row],[Início Setup Envase]])</f>
        <v/>
      </c>
      <c r="AP1937" s="663"/>
      <c r="AQ1937" s="663"/>
      <c r="AR1937" s="270"/>
      <c r="AS1937" s="674"/>
      <c r="AT1937" s="674"/>
      <c r="AU1937" s="270"/>
      <c r="AV1937" s="270"/>
      <c r="AW1937" s="270"/>
      <c r="AX1937" s="270"/>
      <c r="AY1937" s="270"/>
      <c r="AZ1937" s="270"/>
      <c r="BA1937" s="270" t="str">
        <f>IF(Table1[[#This Row],[Data de Início]]="","",YEAR(Table1[[#This Row],[Data de Início]]))</f>
        <v/>
      </c>
      <c r="BB1937" s="270" t="str">
        <f>IF(Table1[[#This Row],[Data de Início]]="","",MONTH(Table1[[#This Row],[Data de Início]]))</f>
        <v/>
      </c>
      <c r="BC1937" s="483"/>
    </row>
    <row r="1938" spans="2:55" x14ac:dyDescent="0.25">
      <c r="B1938" s="470"/>
      <c r="C1938" s="263"/>
      <c r="D1938" s="477" cm="1">
        <f t="array" ref="D1938">IFERROR(HorasUteisFabrica2Turnos(B1938,C1938), "")</f>
        <v>0</v>
      </c>
      <c r="E1938" s="478" t="str">
        <f t="shared" si="30"/>
        <v/>
      </c>
      <c r="F1938" s="266"/>
      <c r="G1938" s="656"/>
      <c r="H1938" s="479"/>
      <c r="I1938" s="268"/>
      <c r="J1938" s="268"/>
      <c r="K1938" s="268"/>
      <c r="L1938" s="269"/>
      <c r="M1938" s="511" t="str">
        <f>IFERROR(INDEX([1]Produtos!$C:$C,MATCH(L1938,[1]Produtos!$B:$B,0)), "-")</f>
        <v>-</v>
      </c>
      <c r="N1938" s="511" t="str">
        <f>IFERROR(INDEX([1]Produtos!$E:$E,MATCH(L1938,[1]Produtos!$B:$B,0)), "-")</f>
        <v>-</v>
      </c>
      <c r="O1938" s="483" t="str">
        <f>IFERROR(INDEX([1]Produtos!$F:$F,MATCH(L1938,[1]Produtos!$B:$B,0)), "-")</f>
        <v>-</v>
      </c>
      <c r="P1938" s="477" t="str">
        <f>IFERROR(INDEX([1]Produtos!$G:$G,MATCH(L1938,[1]Produtos!$B:$B,0)), "-")</f>
        <v>-</v>
      </c>
      <c r="Q1938" s="483" t="str">
        <f>IFERROR(INDEX([1]Produtos!$H:$H,MATCH(L1938,[1]Produtos!$B:$B,0)), "-")</f>
        <v>-</v>
      </c>
      <c r="R1938" s="483" t="str">
        <f>IFERROR(INDEX([1]Produtos!$I:$I,MATCH(L1938,[1]Produtos!$B:$B,0)), "-")</f>
        <v>-</v>
      </c>
      <c r="S1938" s="483" t="str">
        <f>IFERROR(INDEX([1]Produtos!$J:$J,MATCH(L1938,[1]Produtos!$B:$B,0)), "-")</f>
        <v>-</v>
      </c>
      <c r="T1938" s="484"/>
      <c r="U1938" s="483"/>
      <c r="V1938" s="483"/>
      <c r="W1938" s="483"/>
      <c r="X1938" s="483"/>
      <c r="Y1938" s="483"/>
      <c r="Z1938" s="483"/>
      <c r="AA1938" s="483"/>
      <c r="AB1938" s="483"/>
      <c r="AC1938" s="483"/>
      <c r="AD1938" s="483"/>
      <c r="AE1938" s="483"/>
      <c r="AF1938" s="483"/>
      <c r="AG1938" s="483"/>
      <c r="AH1938" s="483"/>
      <c r="AI1938" s="483"/>
      <c r="AJ1938" s="483"/>
      <c r="AK1938" s="483"/>
      <c r="AL1938" s="483"/>
      <c r="AM1938" s="670"/>
      <c r="AN1938" s="670"/>
      <c r="AO1938" s="711" t="str">
        <f>IF(OR(Table1[[#This Row],[Início Setup Envase]]="",Table1[[#This Row],[Final Setup Envase]]=""),"",Table1[[#This Row],[Final Setup Envase]]-Table1[[#This Row],[Início Setup Envase]])</f>
        <v/>
      </c>
      <c r="AP1938" s="670"/>
      <c r="AQ1938" s="670"/>
      <c r="AR1938" s="483"/>
      <c r="AS1938" s="483"/>
      <c r="AT1938" s="483"/>
      <c r="AU1938" s="483"/>
      <c r="AV1938" s="483"/>
      <c r="AW1938" s="483"/>
      <c r="AX1938" s="483"/>
      <c r="AY1938" s="270"/>
      <c r="AZ1938" s="270"/>
      <c r="BA1938" s="270" t="str">
        <f>IF(Table1[[#This Row],[Data de Início]]="","",YEAR(Table1[[#This Row],[Data de Início]]))</f>
        <v/>
      </c>
      <c r="BB1938" s="270" t="str">
        <f>IF(Table1[[#This Row],[Data de Início]]="","",MONTH(Table1[[#This Row],[Data de Início]]))</f>
        <v/>
      </c>
      <c r="BC1938" s="270"/>
    </row>
    <row r="1939" spans="2:55" x14ac:dyDescent="0.25">
      <c r="B1939" s="470"/>
      <c r="C1939" s="263"/>
      <c r="D1939" s="477" cm="1">
        <f t="array" ref="D1939">IFERROR(HorasUteisFabrica2Turnos(B1939,C1939), "")</f>
        <v>0</v>
      </c>
      <c r="E1939" s="697" t="str">
        <f t="shared" si="30"/>
        <v/>
      </c>
      <c r="F1939" s="266"/>
      <c r="G1939" s="698"/>
      <c r="H1939" s="266"/>
      <c r="I1939" s="268"/>
      <c r="J1939" s="268"/>
      <c r="K1939" s="268"/>
      <c r="L1939" s="269"/>
      <c r="M1939" s="510" t="str">
        <f>IFERROR(INDEX([1]Produtos!$C:$C,MATCH(L1939,[1]Produtos!$B:$B,0)), "-")</f>
        <v>-</v>
      </c>
      <c r="N1939" s="510" t="str">
        <f>IFERROR(INDEX([1]Produtos!$E:$E,MATCH(L1939,[1]Produtos!$B:$B,0)), "-")</f>
        <v>-</v>
      </c>
      <c r="O1939" s="270" t="str">
        <f>IFERROR(INDEX([1]Produtos!$F:$F,MATCH(L1939,[1]Produtos!$B:$B,0)), "-")</f>
        <v>-</v>
      </c>
      <c r="P1939" s="264" t="str">
        <f>IFERROR(INDEX([1]Produtos!$G:$G,MATCH(L1939,[1]Produtos!$B:$B,0)), "-")</f>
        <v>-</v>
      </c>
      <c r="Q1939" s="270" t="str">
        <f>IFERROR(INDEX([1]Produtos!$H:$H,MATCH(L1939,[1]Produtos!$B:$B,0)), "-")</f>
        <v>-</v>
      </c>
      <c r="R1939" s="270" t="str">
        <f>IFERROR(INDEX([1]Produtos!$I:$I,MATCH(L1939,[1]Produtos!$B:$B,0)), "-")</f>
        <v>-</v>
      </c>
      <c r="S1939" s="270" t="str">
        <f>IFERROR(INDEX([1]Produtos!$J:$J,MATCH(L1939,[1]Produtos!$B:$B,0)), "-")</f>
        <v>-</v>
      </c>
      <c r="T1939" s="475"/>
      <c r="U1939" s="270"/>
      <c r="V1939" s="270"/>
      <c r="W1939" s="270"/>
      <c r="X1939" s="270"/>
      <c r="Y1939" s="270"/>
      <c r="Z1939" s="270"/>
      <c r="AA1939" s="270"/>
      <c r="AB1939" s="270"/>
      <c r="AC1939" s="270"/>
      <c r="AD1939" s="270"/>
      <c r="AE1939" s="270"/>
      <c r="AF1939" s="270"/>
      <c r="AG1939" s="270"/>
      <c r="AH1939" s="270"/>
      <c r="AI1939" s="270"/>
      <c r="AJ1939" s="270"/>
      <c r="AK1939" s="270"/>
      <c r="AL1939" s="270"/>
      <c r="AM1939" s="663"/>
      <c r="AN1939" s="663"/>
      <c r="AO1939" s="708" t="str">
        <f>IF(OR(Table1[[#This Row],[Início Setup Envase]]="",Table1[[#This Row],[Final Setup Envase]]=""),"",Table1[[#This Row],[Final Setup Envase]]-Table1[[#This Row],[Início Setup Envase]])</f>
        <v/>
      </c>
      <c r="AP1939" s="663"/>
      <c r="AQ1939" s="663"/>
      <c r="AR1939" s="270"/>
      <c r="AS1939" s="674"/>
      <c r="AT1939" s="674"/>
      <c r="AU1939" s="270"/>
      <c r="AV1939" s="270"/>
      <c r="AW1939" s="270"/>
      <c r="AX1939" s="270"/>
      <c r="AY1939" s="270"/>
      <c r="AZ1939" s="270"/>
      <c r="BA1939" s="270" t="str">
        <f>IF(Table1[[#This Row],[Data de Início]]="","",YEAR(Table1[[#This Row],[Data de Início]]))</f>
        <v/>
      </c>
      <c r="BB1939" s="270" t="str">
        <f>IF(Table1[[#This Row],[Data de Início]]="","",MONTH(Table1[[#This Row],[Data de Início]]))</f>
        <v/>
      </c>
      <c r="BC1939" s="483"/>
    </row>
    <row r="1940" spans="2:55" x14ac:dyDescent="0.25">
      <c r="B1940" s="470"/>
      <c r="C1940" s="263"/>
      <c r="D1940" s="477" cm="1">
        <f t="array" ref="D1940">IFERROR(HorasUteisFabrica2Turnos(B1940,C1940), "")</f>
        <v>0</v>
      </c>
      <c r="E1940" s="478" t="str">
        <f t="shared" si="30"/>
        <v/>
      </c>
      <c r="F1940" s="266"/>
      <c r="G1940" s="656"/>
      <c r="H1940" s="479"/>
      <c r="I1940" s="268"/>
      <c r="J1940" s="268"/>
      <c r="K1940" s="268"/>
      <c r="L1940" s="269"/>
      <c r="M1940" s="511" t="str">
        <f>IFERROR(INDEX([1]Produtos!$C:$C,MATCH(L1940,[1]Produtos!$B:$B,0)), "-")</f>
        <v>-</v>
      </c>
      <c r="N1940" s="511" t="str">
        <f>IFERROR(INDEX([1]Produtos!$E:$E,MATCH(L1940,[1]Produtos!$B:$B,0)), "-")</f>
        <v>-</v>
      </c>
      <c r="O1940" s="483" t="str">
        <f>IFERROR(INDEX([1]Produtos!$F:$F,MATCH(L1940,[1]Produtos!$B:$B,0)), "-")</f>
        <v>-</v>
      </c>
      <c r="P1940" s="477" t="str">
        <f>IFERROR(INDEX([1]Produtos!$G:$G,MATCH(L1940,[1]Produtos!$B:$B,0)), "-")</f>
        <v>-</v>
      </c>
      <c r="Q1940" s="483" t="str">
        <f>IFERROR(INDEX([1]Produtos!$H:$H,MATCH(L1940,[1]Produtos!$B:$B,0)), "-")</f>
        <v>-</v>
      </c>
      <c r="R1940" s="483" t="str">
        <f>IFERROR(INDEX([1]Produtos!$I:$I,MATCH(L1940,[1]Produtos!$B:$B,0)), "-")</f>
        <v>-</v>
      </c>
      <c r="S1940" s="483" t="str">
        <f>IFERROR(INDEX([1]Produtos!$J:$J,MATCH(L1940,[1]Produtos!$B:$B,0)), "-")</f>
        <v>-</v>
      </c>
      <c r="T1940" s="484"/>
      <c r="U1940" s="483"/>
      <c r="V1940" s="483"/>
      <c r="W1940" s="483"/>
      <c r="X1940" s="483"/>
      <c r="Y1940" s="483"/>
      <c r="Z1940" s="483"/>
      <c r="AA1940" s="483"/>
      <c r="AB1940" s="483"/>
      <c r="AC1940" s="483"/>
      <c r="AD1940" s="483"/>
      <c r="AE1940" s="483"/>
      <c r="AF1940" s="483"/>
      <c r="AG1940" s="483"/>
      <c r="AH1940" s="483"/>
      <c r="AI1940" s="483"/>
      <c r="AJ1940" s="483"/>
      <c r="AK1940" s="483"/>
      <c r="AL1940" s="483"/>
      <c r="AM1940" s="670"/>
      <c r="AN1940" s="670"/>
      <c r="AO1940" s="711" t="str">
        <f>IF(OR(Table1[[#This Row],[Início Setup Envase]]="",Table1[[#This Row],[Final Setup Envase]]=""),"",Table1[[#This Row],[Final Setup Envase]]-Table1[[#This Row],[Início Setup Envase]])</f>
        <v/>
      </c>
      <c r="AP1940" s="670"/>
      <c r="AQ1940" s="670"/>
      <c r="AR1940" s="483"/>
      <c r="AS1940" s="483"/>
      <c r="AT1940" s="483"/>
      <c r="AU1940" s="483"/>
      <c r="AV1940" s="483"/>
      <c r="AW1940" s="483"/>
      <c r="AX1940" s="483"/>
      <c r="AY1940" s="270"/>
      <c r="AZ1940" s="270"/>
      <c r="BA1940" s="270" t="str">
        <f>IF(Table1[[#This Row],[Data de Início]]="","",YEAR(Table1[[#This Row],[Data de Início]]))</f>
        <v/>
      </c>
      <c r="BB1940" s="270" t="str">
        <f>IF(Table1[[#This Row],[Data de Início]]="","",MONTH(Table1[[#This Row],[Data de Início]]))</f>
        <v/>
      </c>
      <c r="BC1940" s="270"/>
    </row>
    <row r="1941" spans="2:55" x14ac:dyDescent="0.25">
      <c r="B1941" s="470"/>
      <c r="C1941" s="263"/>
      <c r="D1941" s="477" cm="1">
        <f t="array" ref="D1941">IFERROR(HorasUteisFabrica2Turnos(B1941,C1941), "")</f>
        <v>0</v>
      </c>
      <c r="E1941" s="697" t="str">
        <f t="shared" si="30"/>
        <v/>
      </c>
      <c r="F1941" s="266"/>
      <c r="G1941" s="698"/>
      <c r="H1941" s="266"/>
      <c r="I1941" s="268"/>
      <c r="J1941" s="268"/>
      <c r="K1941" s="268"/>
      <c r="L1941" s="269"/>
      <c r="M1941" s="510" t="str">
        <f>IFERROR(INDEX([1]Produtos!$C:$C,MATCH(L1941,[1]Produtos!$B:$B,0)), "-")</f>
        <v>-</v>
      </c>
      <c r="N1941" s="510" t="str">
        <f>IFERROR(INDEX([1]Produtos!$E:$E,MATCH(L1941,[1]Produtos!$B:$B,0)), "-")</f>
        <v>-</v>
      </c>
      <c r="O1941" s="270" t="str">
        <f>IFERROR(INDEX([1]Produtos!$F:$F,MATCH(L1941,[1]Produtos!$B:$B,0)), "-")</f>
        <v>-</v>
      </c>
      <c r="P1941" s="264" t="str">
        <f>IFERROR(INDEX([1]Produtos!$G:$G,MATCH(L1941,[1]Produtos!$B:$B,0)), "-")</f>
        <v>-</v>
      </c>
      <c r="Q1941" s="270" t="str">
        <f>IFERROR(INDEX([1]Produtos!$H:$H,MATCH(L1941,[1]Produtos!$B:$B,0)), "-")</f>
        <v>-</v>
      </c>
      <c r="R1941" s="270" t="str">
        <f>IFERROR(INDEX([1]Produtos!$I:$I,MATCH(L1941,[1]Produtos!$B:$B,0)), "-")</f>
        <v>-</v>
      </c>
      <c r="S1941" s="270" t="str">
        <f>IFERROR(INDEX([1]Produtos!$J:$J,MATCH(L1941,[1]Produtos!$B:$B,0)), "-")</f>
        <v>-</v>
      </c>
      <c r="T1941" s="475"/>
      <c r="U1941" s="270"/>
      <c r="V1941" s="270"/>
      <c r="W1941" s="270"/>
      <c r="X1941" s="270"/>
      <c r="Y1941" s="270"/>
      <c r="Z1941" s="270"/>
      <c r="AA1941" s="270"/>
      <c r="AB1941" s="270"/>
      <c r="AC1941" s="270"/>
      <c r="AD1941" s="270"/>
      <c r="AE1941" s="270"/>
      <c r="AF1941" s="270"/>
      <c r="AG1941" s="270"/>
      <c r="AH1941" s="270"/>
      <c r="AI1941" s="270"/>
      <c r="AJ1941" s="270"/>
      <c r="AK1941" s="270"/>
      <c r="AL1941" s="270"/>
      <c r="AM1941" s="663"/>
      <c r="AN1941" s="663"/>
      <c r="AO1941" s="708" t="str">
        <f>IF(OR(Table1[[#This Row],[Início Setup Envase]]="",Table1[[#This Row],[Final Setup Envase]]=""),"",Table1[[#This Row],[Final Setup Envase]]-Table1[[#This Row],[Início Setup Envase]])</f>
        <v/>
      </c>
      <c r="AP1941" s="663"/>
      <c r="AQ1941" s="663"/>
      <c r="AR1941" s="270"/>
      <c r="AS1941" s="674"/>
      <c r="AT1941" s="674"/>
      <c r="AU1941" s="270"/>
      <c r="AV1941" s="270"/>
      <c r="AW1941" s="270"/>
      <c r="AX1941" s="270"/>
      <c r="AY1941" s="270"/>
      <c r="AZ1941" s="270"/>
      <c r="BA1941" s="270" t="str">
        <f>IF(Table1[[#This Row],[Data de Início]]="","",YEAR(Table1[[#This Row],[Data de Início]]))</f>
        <v/>
      </c>
      <c r="BB1941" s="270" t="str">
        <f>IF(Table1[[#This Row],[Data de Início]]="","",MONTH(Table1[[#This Row],[Data de Início]]))</f>
        <v/>
      </c>
      <c r="BC1941" s="483"/>
    </row>
    <row r="1942" spans="2:55" x14ac:dyDescent="0.25">
      <c r="B1942" s="470"/>
      <c r="C1942" s="263"/>
      <c r="D1942" s="477" cm="1">
        <f t="array" ref="D1942">IFERROR(HorasUteisFabrica2Turnos(B1942,C1942), "")</f>
        <v>0</v>
      </c>
      <c r="E1942" s="478" t="str">
        <f t="shared" si="30"/>
        <v/>
      </c>
      <c r="F1942" s="266"/>
      <c r="G1942" s="656"/>
      <c r="H1942" s="479"/>
      <c r="I1942" s="268"/>
      <c r="J1942" s="268"/>
      <c r="K1942" s="268"/>
      <c r="L1942" s="269"/>
      <c r="M1942" s="511" t="str">
        <f>IFERROR(INDEX([1]Produtos!$C:$C,MATCH(L1942,[1]Produtos!$B:$B,0)), "-")</f>
        <v>-</v>
      </c>
      <c r="N1942" s="511" t="str">
        <f>IFERROR(INDEX([1]Produtos!$E:$E,MATCH(L1942,[1]Produtos!$B:$B,0)), "-")</f>
        <v>-</v>
      </c>
      <c r="O1942" s="483" t="str">
        <f>IFERROR(INDEX([1]Produtos!$F:$F,MATCH(L1942,[1]Produtos!$B:$B,0)), "-")</f>
        <v>-</v>
      </c>
      <c r="P1942" s="477" t="str">
        <f>IFERROR(INDEX([1]Produtos!$G:$G,MATCH(L1942,[1]Produtos!$B:$B,0)), "-")</f>
        <v>-</v>
      </c>
      <c r="Q1942" s="483" t="str">
        <f>IFERROR(INDEX([1]Produtos!$H:$H,MATCH(L1942,[1]Produtos!$B:$B,0)), "-")</f>
        <v>-</v>
      </c>
      <c r="R1942" s="483" t="str">
        <f>IFERROR(INDEX([1]Produtos!$I:$I,MATCH(L1942,[1]Produtos!$B:$B,0)), "-")</f>
        <v>-</v>
      </c>
      <c r="S1942" s="483" t="str">
        <f>IFERROR(INDEX([1]Produtos!$J:$J,MATCH(L1942,[1]Produtos!$B:$B,0)), "-")</f>
        <v>-</v>
      </c>
      <c r="T1942" s="484"/>
      <c r="U1942" s="483"/>
      <c r="V1942" s="483"/>
      <c r="W1942" s="483"/>
      <c r="X1942" s="483"/>
      <c r="Y1942" s="483"/>
      <c r="Z1942" s="483"/>
      <c r="AA1942" s="483"/>
      <c r="AB1942" s="483"/>
      <c r="AC1942" s="483"/>
      <c r="AD1942" s="483"/>
      <c r="AE1942" s="483"/>
      <c r="AF1942" s="483"/>
      <c r="AG1942" s="483"/>
      <c r="AH1942" s="483"/>
      <c r="AI1942" s="483"/>
      <c r="AJ1942" s="483"/>
      <c r="AK1942" s="483"/>
      <c r="AL1942" s="483"/>
      <c r="AM1942" s="670"/>
      <c r="AN1942" s="670"/>
      <c r="AO1942" s="711" t="str">
        <f>IF(OR(Table1[[#This Row],[Início Setup Envase]]="",Table1[[#This Row],[Final Setup Envase]]=""),"",Table1[[#This Row],[Final Setup Envase]]-Table1[[#This Row],[Início Setup Envase]])</f>
        <v/>
      </c>
      <c r="AP1942" s="670"/>
      <c r="AQ1942" s="670"/>
      <c r="AR1942" s="483"/>
      <c r="AS1942" s="483"/>
      <c r="AT1942" s="483"/>
      <c r="AU1942" s="483"/>
      <c r="AV1942" s="483"/>
      <c r="AW1942" s="483"/>
      <c r="AX1942" s="483"/>
      <c r="AY1942" s="270"/>
      <c r="AZ1942" s="270"/>
      <c r="BA1942" s="270" t="str">
        <f>IF(Table1[[#This Row],[Data de Início]]="","",YEAR(Table1[[#This Row],[Data de Início]]))</f>
        <v/>
      </c>
      <c r="BB1942" s="270" t="str">
        <f>IF(Table1[[#This Row],[Data de Início]]="","",MONTH(Table1[[#This Row],[Data de Início]]))</f>
        <v/>
      </c>
      <c r="BC1942" s="270"/>
    </row>
    <row r="1943" spans="2:55" x14ac:dyDescent="0.25">
      <c r="B1943" s="470"/>
      <c r="C1943" s="263"/>
      <c r="D1943" s="477" cm="1">
        <f t="array" ref="D1943">IFERROR(HorasUteisFabrica2Turnos(B1943,C1943), "")</f>
        <v>0</v>
      </c>
      <c r="E1943" s="697" t="str">
        <f t="shared" si="30"/>
        <v/>
      </c>
      <c r="F1943" s="266"/>
      <c r="G1943" s="698"/>
      <c r="H1943" s="266"/>
      <c r="I1943" s="268"/>
      <c r="J1943" s="268"/>
      <c r="K1943" s="268"/>
      <c r="L1943" s="269"/>
      <c r="M1943" s="510" t="str">
        <f>IFERROR(INDEX([1]Produtos!$C:$C,MATCH(L1943,[1]Produtos!$B:$B,0)), "-")</f>
        <v>-</v>
      </c>
      <c r="N1943" s="510" t="str">
        <f>IFERROR(INDEX([1]Produtos!$E:$E,MATCH(L1943,[1]Produtos!$B:$B,0)), "-")</f>
        <v>-</v>
      </c>
      <c r="O1943" s="270" t="str">
        <f>IFERROR(INDEX([1]Produtos!$F:$F,MATCH(L1943,[1]Produtos!$B:$B,0)), "-")</f>
        <v>-</v>
      </c>
      <c r="P1943" s="264" t="str">
        <f>IFERROR(INDEX([1]Produtos!$G:$G,MATCH(L1943,[1]Produtos!$B:$B,0)), "-")</f>
        <v>-</v>
      </c>
      <c r="Q1943" s="270" t="str">
        <f>IFERROR(INDEX([1]Produtos!$H:$H,MATCH(L1943,[1]Produtos!$B:$B,0)), "-")</f>
        <v>-</v>
      </c>
      <c r="R1943" s="270" t="str">
        <f>IFERROR(INDEX([1]Produtos!$I:$I,MATCH(L1943,[1]Produtos!$B:$B,0)), "-")</f>
        <v>-</v>
      </c>
      <c r="S1943" s="270" t="str">
        <f>IFERROR(INDEX([1]Produtos!$J:$J,MATCH(L1943,[1]Produtos!$B:$B,0)), "-")</f>
        <v>-</v>
      </c>
      <c r="T1943" s="475"/>
      <c r="U1943" s="270"/>
      <c r="V1943" s="270"/>
      <c r="W1943" s="270"/>
      <c r="X1943" s="270"/>
      <c r="Y1943" s="270"/>
      <c r="Z1943" s="270"/>
      <c r="AA1943" s="270"/>
      <c r="AB1943" s="270"/>
      <c r="AC1943" s="270"/>
      <c r="AD1943" s="270"/>
      <c r="AE1943" s="270"/>
      <c r="AF1943" s="270"/>
      <c r="AG1943" s="270"/>
      <c r="AH1943" s="270"/>
      <c r="AI1943" s="270"/>
      <c r="AJ1943" s="270"/>
      <c r="AK1943" s="270"/>
      <c r="AL1943" s="270"/>
      <c r="AM1943" s="663"/>
      <c r="AN1943" s="663"/>
      <c r="AO1943" s="708" t="str">
        <f>IF(OR(Table1[[#This Row],[Início Setup Envase]]="",Table1[[#This Row],[Final Setup Envase]]=""),"",Table1[[#This Row],[Final Setup Envase]]-Table1[[#This Row],[Início Setup Envase]])</f>
        <v/>
      </c>
      <c r="AP1943" s="663"/>
      <c r="AQ1943" s="663"/>
      <c r="AR1943" s="270"/>
      <c r="AS1943" s="674"/>
      <c r="AT1943" s="674"/>
      <c r="AU1943" s="270"/>
      <c r="AV1943" s="270"/>
      <c r="AW1943" s="270"/>
      <c r="AX1943" s="270"/>
      <c r="AY1943" s="270"/>
      <c r="AZ1943" s="270"/>
      <c r="BA1943" s="270" t="str">
        <f>IF(Table1[[#This Row],[Data de Início]]="","",YEAR(Table1[[#This Row],[Data de Início]]))</f>
        <v/>
      </c>
      <c r="BB1943" s="270" t="str">
        <f>IF(Table1[[#This Row],[Data de Início]]="","",MONTH(Table1[[#This Row],[Data de Início]]))</f>
        <v/>
      </c>
      <c r="BC1943" s="483"/>
    </row>
    <row r="1944" spans="2:55" x14ac:dyDescent="0.25">
      <c r="B1944" s="470"/>
      <c r="C1944" s="263"/>
      <c r="D1944" s="477" cm="1">
        <f t="array" ref="D1944">IFERROR(HorasUteisFabrica2Turnos(B1944,C1944), "")</f>
        <v>0</v>
      </c>
      <c r="E1944" s="478" t="str">
        <f t="shared" si="30"/>
        <v/>
      </c>
      <c r="F1944" s="266"/>
      <c r="G1944" s="656"/>
      <c r="H1944" s="479"/>
      <c r="I1944" s="268"/>
      <c r="J1944" s="268"/>
      <c r="K1944" s="268"/>
      <c r="L1944" s="269"/>
      <c r="M1944" s="511" t="str">
        <f>IFERROR(INDEX([1]Produtos!$C:$C,MATCH(L1944,[1]Produtos!$B:$B,0)), "-")</f>
        <v>-</v>
      </c>
      <c r="N1944" s="511" t="str">
        <f>IFERROR(INDEX([1]Produtos!$E:$E,MATCH(L1944,[1]Produtos!$B:$B,0)), "-")</f>
        <v>-</v>
      </c>
      <c r="O1944" s="483" t="str">
        <f>IFERROR(INDEX([1]Produtos!$F:$F,MATCH(L1944,[1]Produtos!$B:$B,0)), "-")</f>
        <v>-</v>
      </c>
      <c r="P1944" s="477" t="str">
        <f>IFERROR(INDEX([1]Produtos!$G:$G,MATCH(L1944,[1]Produtos!$B:$B,0)), "-")</f>
        <v>-</v>
      </c>
      <c r="Q1944" s="483" t="str">
        <f>IFERROR(INDEX([1]Produtos!$H:$H,MATCH(L1944,[1]Produtos!$B:$B,0)), "-")</f>
        <v>-</v>
      </c>
      <c r="R1944" s="483" t="str">
        <f>IFERROR(INDEX([1]Produtos!$I:$I,MATCH(L1944,[1]Produtos!$B:$B,0)), "-")</f>
        <v>-</v>
      </c>
      <c r="S1944" s="483" t="str">
        <f>IFERROR(INDEX([1]Produtos!$J:$J,MATCH(L1944,[1]Produtos!$B:$B,0)), "-")</f>
        <v>-</v>
      </c>
      <c r="T1944" s="484"/>
      <c r="U1944" s="483"/>
      <c r="V1944" s="483"/>
      <c r="W1944" s="483"/>
      <c r="X1944" s="483"/>
      <c r="Y1944" s="483"/>
      <c r="Z1944" s="483"/>
      <c r="AA1944" s="483"/>
      <c r="AB1944" s="483"/>
      <c r="AC1944" s="483"/>
      <c r="AD1944" s="483"/>
      <c r="AE1944" s="483"/>
      <c r="AF1944" s="483"/>
      <c r="AG1944" s="483"/>
      <c r="AH1944" s="483"/>
      <c r="AI1944" s="483"/>
      <c r="AJ1944" s="483"/>
      <c r="AK1944" s="483"/>
      <c r="AL1944" s="483"/>
      <c r="AM1944" s="670"/>
      <c r="AN1944" s="670"/>
      <c r="AO1944" s="711" t="str">
        <f>IF(OR(Table1[[#This Row],[Início Setup Envase]]="",Table1[[#This Row],[Final Setup Envase]]=""),"",Table1[[#This Row],[Final Setup Envase]]-Table1[[#This Row],[Início Setup Envase]])</f>
        <v/>
      </c>
      <c r="AP1944" s="670"/>
      <c r="AQ1944" s="670"/>
      <c r="AR1944" s="483"/>
      <c r="AS1944" s="483"/>
      <c r="AT1944" s="483"/>
      <c r="AU1944" s="483"/>
      <c r="AV1944" s="483"/>
      <c r="AW1944" s="483"/>
      <c r="AX1944" s="483"/>
      <c r="AY1944" s="270"/>
      <c r="AZ1944" s="270"/>
      <c r="BA1944" s="270" t="str">
        <f>IF(Table1[[#This Row],[Data de Início]]="","",YEAR(Table1[[#This Row],[Data de Início]]))</f>
        <v/>
      </c>
      <c r="BB1944" s="270" t="str">
        <f>IF(Table1[[#This Row],[Data de Início]]="","",MONTH(Table1[[#This Row],[Data de Início]]))</f>
        <v/>
      </c>
      <c r="BC1944" s="270"/>
    </row>
    <row r="1945" spans="2:55" x14ac:dyDescent="0.25">
      <c r="B1945" s="470"/>
      <c r="C1945" s="263"/>
      <c r="D1945" s="477" cm="1">
        <f t="array" ref="D1945">IFERROR(HorasUteisFabrica2Turnos(B1945,C1945), "")</f>
        <v>0</v>
      </c>
      <c r="E1945" s="697" t="str">
        <f t="shared" si="30"/>
        <v/>
      </c>
      <c r="F1945" s="266"/>
      <c r="G1945" s="698"/>
      <c r="H1945" s="266"/>
      <c r="I1945" s="268"/>
      <c r="J1945" s="268"/>
      <c r="K1945" s="268"/>
      <c r="L1945" s="269"/>
      <c r="M1945" s="510" t="str">
        <f>IFERROR(INDEX([1]Produtos!$C:$C,MATCH(L1945,[1]Produtos!$B:$B,0)), "-")</f>
        <v>-</v>
      </c>
      <c r="N1945" s="510" t="str">
        <f>IFERROR(INDEX([1]Produtos!$E:$E,MATCH(L1945,[1]Produtos!$B:$B,0)), "-")</f>
        <v>-</v>
      </c>
      <c r="O1945" s="270" t="str">
        <f>IFERROR(INDEX([1]Produtos!$F:$F,MATCH(L1945,[1]Produtos!$B:$B,0)), "-")</f>
        <v>-</v>
      </c>
      <c r="P1945" s="264" t="str">
        <f>IFERROR(INDEX([1]Produtos!$G:$G,MATCH(L1945,[1]Produtos!$B:$B,0)), "-")</f>
        <v>-</v>
      </c>
      <c r="Q1945" s="270" t="str">
        <f>IFERROR(INDEX([1]Produtos!$H:$H,MATCH(L1945,[1]Produtos!$B:$B,0)), "-")</f>
        <v>-</v>
      </c>
      <c r="R1945" s="270" t="str">
        <f>IFERROR(INDEX([1]Produtos!$I:$I,MATCH(L1945,[1]Produtos!$B:$B,0)), "-")</f>
        <v>-</v>
      </c>
      <c r="S1945" s="270" t="str">
        <f>IFERROR(INDEX([1]Produtos!$J:$J,MATCH(L1945,[1]Produtos!$B:$B,0)), "-")</f>
        <v>-</v>
      </c>
      <c r="T1945" s="475"/>
      <c r="U1945" s="270"/>
      <c r="V1945" s="270"/>
      <c r="W1945" s="270"/>
      <c r="X1945" s="270"/>
      <c r="Y1945" s="270"/>
      <c r="Z1945" s="270"/>
      <c r="AA1945" s="270"/>
      <c r="AB1945" s="270"/>
      <c r="AC1945" s="270"/>
      <c r="AD1945" s="270"/>
      <c r="AE1945" s="270"/>
      <c r="AF1945" s="270"/>
      <c r="AG1945" s="270"/>
      <c r="AH1945" s="270"/>
      <c r="AI1945" s="270"/>
      <c r="AJ1945" s="270"/>
      <c r="AK1945" s="270"/>
      <c r="AL1945" s="270"/>
      <c r="AM1945" s="663"/>
      <c r="AN1945" s="663"/>
      <c r="AO1945" s="708" t="str">
        <f>IF(OR(Table1[[#This Row],[Início Setup Envase]]="",Table1[[#This Row],[Final Setup Envase]]=""),"",Table1[[#This Row],[Final Setup Envase]]-Table1[[#This Row],[Início Setup Envase]])</f>
        <v/>
      </c>
      <c r="AP1945" s="663"/>
      <c r="AQ1945" s="663"/>
      <c r="AR1945" s="270"/>
      <c r="AS1945" s="674"/>
      <c r="AT1945" s="674"/>
      <c r="AU1945" s="270"/>
      <c r="AV1945" s="270"/>
      <c r="AW1945" s="270"/>
      <c r="AX1945" s="270"/>
      <c r="AY1945" s="270"/>
      <c r="AZ1945" s="270"/>
      <c r="BA1945" s="270" t="str">
        <f>IF(Table1[[#This Row],[Data de Início]]="","",YEAR(Table1[[#This Row],[Data de Início]]))</f>
        <v/>
      </c>
      <c r="BB1945" s="270" t="str">
        <f>IF(Table1[[#This Row],[Data de Início]]="","",MONTH(Table1[[#This Row],[Data de Início]]))</f>
        <v/>
      </c>
      <c r="BC1945" s="483"/>
    </row>
    <row r="1946" spans="2:55" x14ac:dyDescent="0.25">
      <c r="B1946" s="470"/>
      <c r="C1946" s="263"/>
      <c r="D1946" s="477" cm="1">
        <f t="array" ref="D1946">IFERROR(HorasUteisFabrica2Turnos(B1946,C1946), "")</f>
        <v>0</v>
      </c>
      <c r="E1946" s="478" t="str">
        <f t="shared" si="30"/>
        <v/>
      </c>
      <c r="F1946" s="266"/>
      <c r="G1946" s="656"/>
      <c r="H1946" s="479"/>
      <c r="I1946" s="268"/>
      <c r="J1946" s="268"/>
      <c r="K1946" s="268"/>
      <c r="L1946" s="269"/>
      <c r="M1946" s="511" t="str">
        <f>IFERROR(INDEX([1]Produtos!$C:$C,MATCH(L1946,[1]Produtos!$B:$B,0)), "-")</f>
        <v>-</v>
      </c>
      <c r="N1946" s="511" t="str">
        <f>IFERROR(INDEX([1]Produtos!$E:$E,MATCH(L1946,[1]Produtos!$B:$B,0)), "-")</f>
        <v>-</v>
      </c>
      <c r="O1946" s="483" t="str">
        <f>IFERROR(INDEX([1]Produtos!$F:$F,MATCH(L1946,[1]Produtos!$B:$B,0)), "-")</f>
        <v>-</v>
      </c>
      <c r="P1946" s="477" t="str">
        <f>IFERROR(INDEX([1]Produtos!$G:$G,MATCH(L1946,[1]Produtos!$B:$B,0)), "-")</f>
        <v>-</v>
      </c>
      <c r="Q1946" s="483" t="str">
        <f>IFERROR(INDEX([1]Produtos!$H:$H,MATCH(L1946,[1]Produtos!$B:$B,0)), "-")</f>
        <v>-</v>
      </c>
      <c r="R1946" s="483" t="str">
        <f>IFERROR(INDEX([1]Produtos!$I:$I,MATCH(L1946,[1]Produtos!$B:$B,0)), "-")</f>
        <v>-</v>
      </c>
      <c r="S1946" s="483" t="str">
        <f>IFERROR(INDEX([1]Produtos!$J:$J,MATCH(L1946,[1]Produtos!$B:$B,0)), "-")</f>
        <v>-</v>
      </c>
      <c r="T1946" s="484"/>
      <c r="U1946" s="483"/>
      <c r="V1946" s="483"/>
      <c r="W1946" s="483"/>
      <c r="X1946" s="483"/>
      <c r="Y1946" s="483"/>
      <c r="Z1946" s="483"/>
      <c r="AA1946" s="483"/>
      <c r="AB1946" s="483"/>
      <c r="AC1946" s="483"/>
      <c r="AD1946" s="483"/>
      <c r="AE1946" s="483"/>
      <c r="AF1946" s="483"/>
      <c r="AG1946" s="483"/>
      <c r="AH1946" s="483"/>
      <c r="AI1946" s="483"/>
      <c r="AJ1946" s="483"/>
      <c r="AK1946" s="483"/>
      <c r="AL1946" s="483"/>
      <c r="AM1946" s="670"/>
      <c r="AN1946" s="670"/>
      <c r="AO1946" s="711" t="str">
        <f>IF(OR(Table1[[#This Row],[Início Setup Envase]]="",Table1[[#This Row],[Final Setup Envase]]=""),"",Table1[[#This Row],[Final Setup Envase]]-Table1[[#This Row],[Início Setup Envase]])</f>
        <v/>
      </c>
      <c r="AP1946" s="670"/>
      <c r="AQ1946" s="670"/>
      <c r="AR1946" s="483"/>
      <c r="AS1946" s="483"/>
      <c r="AT1946" s="483"/>
      <c r="AU1946" s="483"/>
      <c r="AV1946" s="483"/>
      <c r="AW1946" s="483"/>
      <c r="AX1946" s="483"/>
      <c r="AY1946" s="270"/>
      <c r="AZ1946" s="270"/>
      <c r="BA1946" s="270" t="str">
        <f>IF(Table1[[#This Row],[Data de Início]]="","",YEAR(Table1[[#This Row],[Data de Início]]))</f>
        <v/>
      </c>
      <c r="BB1946" s="270" t="str">
        <f>IF(Table1[[#This Row],[Data de Início]]="","",MONTH(Table1[[#This Row],[Data de Início]]))</f>
        <v/>
      </c>
      <c r="BC1946" s="270"/>
    </row>
    <row r="1947" spans="2:55" x14ac:dyDescent="0.25">
      <c r="B1947" s="470"/>
      <c r="C1947" s="263"/>
      <c r="D1947" s="477" cm="1">
        <f t="array" ref="D1947">IFERROR(HorasUteisFabrica2Turnos(B1947,C1947), "")</f>
        <v>0</v>
      </c>
      <c r="E1947" s="697" t="str">
        <f t="shared" si="30"/>
        <v/>
      </c>
      <c r="F1947" s="266"/>
      <c r="G1947" s="698"/>
      <c r="H1947" s="266"/>
      <c r="I1947" s="268"/>
      <c r="J1947" s="268"/>
      <c r="K1947" s="268"/>
      <c r="L1947" s="269"/>
      <c r="M1947" s="510" t="str">
        <f>IFERROR(INDEX([1]Produtos!$C:$C,MATCH(L1947,[1]Produtos!$B:$B,0)), "-")</f>
        <v>-</v>
      </c>
      <c r="N1947" s="510" t="str">
        <f>IFERROR(INDEX([1]Produtos!$E:$E,MATCH(L1947,[1]Produtos!$B:$B,0)), "-")</f>
        <v>-</v>
      </c>
      <c r="O1947" s="270" t="str">
        <f>IFERROR(INDEX([1]Produtos!$F:$F,MATCH(L1947,[1]Produtos!$B:$B,0)), "-")</f>
        <v>-</v>
      </c>
      <c r="P1947" s="264" t="str">
        <f>IFERROR(INDEX([1]Produtos!$G:$G,MATCH(L1947,[1]Produtos!$B:$B,0)), "-")</f>
        <v>-</v>
      </c>
      <c r="Q1947" s="270" t="str">
        <f>IFERROR(INDEX([1]Produtos!$H:$H,MATCH(L1947,[1]Produtos!$B:$B,0)), "-")</f>
        <v>-</v>
      </c>
      <c r="R1947" s="270" t="str">
        <f>IFERROR(INDEX([1]Produtos!$I:$I,MATCH(L1947,[1]Produtos!$B:$B,0)), "-")</f>
        <v>-</v>
      </c>
      <c r="S1947" s="270" t="str">
        <f>IFERROR(INDEX([1]Produtos!$J:$J,MATCH(L1947,[1]Produtos!$B:$B,0)), "-")</f>
        <v>-</v>
      </c>
      <c r="T1947" s="475"/>
      <c r="U1947" s="270"/>
      <c r="V1947" s="270"/>
      <c r="W1947" s="270"/>
      <c r="X1947" s="270"/>
      <c r="Y1947" s="270"/>
      <c r="Z1947" s="270"/>
      <c r="AA1947" s="270"/>
      <c r="AB1947" s="270"/>
      <c r="AC1947" s="270"/>
      <c r="AD1947" s="270"/>
      <c r="AE1947" s="270"/>
      <c r="AF1947" s="270"/>
      <c r="AG1947" s="270"/>
      <c r="AH1947" s="270"/>
      <c r="AI1947" s="270"/>
      <c r="AJ1947" s="270"/>
      <c r="AK1947" s="270"/>
      <c r="AL1947" s="270"/>
      <c r="AM1947" s="663"/>
      <c r="AN1947" s="663"/>
      <c r="AO1947" s="708" t="str">
        <f>IF(OR(Table1[[#This Row],[Início Setup Envase]]="",Table1[[#This Row],[Final Setup Envase]]=""),"",Table1[[#This Row],[Final Setup Envase]]-Table1[[#This Row],[Início Setup Envase]])</f>
        <v/>
      </c>
      <c r="AP1947" s="663"/>
      <c r="AQ1947" s="663"/>
      <c r="AR1947" s="270"/>
      <c r="AS1947" s="674"/>
      <c r="AT1947" s="674"/>
      <c r="AU1947" s="270"/>
      <c r="AV1947" s="270"/>
      <c r="AW1947" s="270"/>
      <c r="AX1947" s="270"/>
      <c r="AY1947" s="270"/>
      <c r="AZ1947" s="270"/>
      <c r="BA1947" s="270" t="str">
        <f>IF(Table1[[#This Row],[Data de Início]]="","",YEAR(Table1[[#This Row],[Data de Início]]))</f>
        <v/>
      </c>
      <c r="BB1947" s="270" t="str">
        <f>IF(Table1[[#This Row],[Data de Início]]="","",MONTH(Table1[[#This Row],[Data de Início]]))</f>
        <v/>
      </c>
      <c r="BC1947" s="483"/>
    </row>
    <row r="1948" spans="2:55" x14ac:dyDescent="0.25">
      <c r="B1948" s="470"/>
      <c r="C1948" s="263"/>
      <c r="D1948" s="477" cm="1">
        <f t="array" ref="D1948">IFERROR(HorasUteisFabrica2Turnos(B1948,C1948), "")</f>
        <v>0</v>
      </c>
      <c r="E1948" s="478" t="str">
        <f t="shared" si="30"/>
        <v/>
      </c>
      <c r="F1948" s="266"/>
      <c r="G1948" s="656"/>
      <c r="H1948" s="479"/>
      <c r="I1948" s="268"/>
      <c r="J1948" s="268"/>
      <c r="K1948" s="268"/>
      <c r="L1948" s="269"/>
      <c r="M1948" s="511" t="str">
        <f>IFERROR(INDEX([1]Produtos!$C:$C,MATCH(L1948,[1]Produtos!$B:$B,0)), "-")</f>
        <v>-</v>
      </c>
      <c r="N1948" s="511" t="str">
        <f>IFERROR(INDEX([1]Produtos!$E:$E,MATCH(L1948,[1]Produtos!$B:$B,0)), "-")</f>
        <v>-</v>
      </c>
      <c r="O1948" s="483" t="str">
        <f>IFERROR(INDEX([1]Produtos!$F:$F,MATCH(L1948,[1]Produtos!$B:$B,0)), "-")</f>
        <v>-</v>
      </c>
      <c r="P1948" s="477" t="str">
        <f>IFERROR(INDEX([1]Produtos!$G:$G,MATCH(L1948,[1]Produtos!$B:$B,0)), "-")</f>
        <v>-</v>
      </c>
      <c r="Q1948" s="483" t="str">
        <f>IFERROR(INDEX([1]Produtos!$H:$H,MATCH(L1948,[1]Produtos!$B:$B,0)), "-")</f>
        <v>-</v>
      </c>
      <c r="R1948" s="483" t="str">
        <f>IFERROR(INDEX([1]Produtos!$I:$I,MATCH(L1948,[1]Produtos!$B:$B,0)), "-")</f>
        <v>-</v>
      </c>
      <c r="S1948" s="483" t="str">
        <f>IFERROR(INDEX([1]Produtos!$J:$J,MATCH(L1948,[1]Produtos!$B:$B,0)), "-")</f>
        <v>-</v>
      </c>
      <c r="T1948" s="484"/>
      <c r="U1948" s="483"/>
      <c r="V1948" s="483"/>
      <c r="W1948" s="483"/>
      <c r="X1948" s="483"/>
      <c r="Y1948" s="483"/>
      <c r="Z1948" s="483"/>
      <c r="AA1948" s="483"/>
      <c r="AB1948" s="483"/>
      <c r="AC1948" s="483"/>
      <c r="AD1948" s="483"/>
      <c r="AE1948" s="483"/>
      <c r="AF1948" s="483"/>
      <c r="AG1948" s="483"/>
      <c r="AH1948" s="483"/>
      <c r="AI1948" s="483"/>
      <c r="AJ1948" s="483"/>
      <c r="AK1948" s="483"/>
      <c r="AL1948" s="483"/>
      <c r="AM1948" s="670"/>
      <c r="AN1948" s="670"/>
      <c r="AO1948" s="711" t="str">
        <f>IF(OR(Table1[[#This Row],[Início Setup Envase]]="",Table1[[#This Row],[Final Setup Envase]]=""),"",Table1[[#This Row],[Final Setup Envase]]-Table1[[#This Row],[Início Setup Envase]])</f>
        <v/>
      </c>
      <c r="AP1948" s="670"/>
      <c r="AQ1948" s="670"/>
      <c r="AR1948" s="483"/>
      <c r="AS1948" s="483"/>
      <c r="AT1948" s="483"/>
      <c r="AU1948" s="483"/>
      <c r="AV1948" s="483"/>
      <c r="AW1948" s="483"/>
      <c r="AX1948" s="483"/>
      <c r="AY1948" s="270"/>
      <c r="AZ1948" s="270"/>
      <c r="BA1948" s="270" t="str">
        <f>IF(Table1[[#This Row],[Data de Início]]="","",YEAR(Table1[[#This Row],[Data de Início]]))</f>
        <v/>
      </c>
      <c r="BB1948" s="270" t="str">
        <f>IF(Table1[[#This Row],[Data de Início]]="","",MONTH(Table1[[#This Row],[Data de Início]]))</f>
        <v/>
      </c>
      <c r="BC1948" s="270"/>
    </row>
    <row r="1949" spans="2:55" x14ac:dyDescent="0.25">
      <c r="B1949" s="470"/>
      <c r="C1949" s="263"/>
      <c r="D1949" s="477" cm="1">
        <f t="array" ref="D1949">IFERROR(HorasUteisFabrica2Turnos(B1949,C1949), "")</f>
        <v>0</v>
      </c>
      <c r="E1949" s="697" t="str">
        <f t="shared" si="30"/>
        <v/>
      </c>
      <c r="F1949" s="266"/>
      <c r="G1949" s="698"/>
      <c r="H1949" s="266"/>
      <c r="I1949" s="268"/>
      <c r="J1949" s="268"/>
      <c r="K1949" s="268"/>
      <c r="L1949" s="269"/>
      <c r="M1949" s="510" t="str">
        <f>IFERROR(INDEX([1]Produtos!$C:$C,MATCH(L1949,[1]Produtos!$B:$B,0)), "-")</f>
        <v>-</v>
      </c>
      <c r="N1949" s="510" t="str">
        <f>IFERROR(INDEX([1]Produtos!$E:$E,MATCH(L1949,[1]Produtos!$B:$B,0)), "-")</f>
        <v>-</v>
      </c>
      <c r="O1949" s="270" t="str">
        <f>IFERROR(INDEX([1]Produtos!$F:$F,MATCH(L1949,[1]Produtos!$B:$B,0)), "-")</f>
        <v>-</v>
      </c>
      <c r="P1949" s="264" t="str">
        <f>IFERROR(INDEX([1]Produtos!$G:$G,MATCH(L1949,[1]Produtos!$B:$B,0)), "-")</f>
        <v>-</v>
      </c>
      <c r="Q1949" s="270" t="str">
        <f>IFERROR(INDEX([1]Produtos!$H:$H,MATCH(L1949,[1]Produtos!$B:$B,0)), "-")</f>
        <v>-</v>
      </c>
      <c r="R1949" s="270" t="str">
        <f>IFERROR(INDEX([1]Produtos!$I:$I,MATCH(L1949,[1]Produtos!$B:$B,0)), "-")</f>
        <v>-</v>
      </c>
      <c r="S1949" s="270" t="str">
        <f>IFERROR(INDEX([1]Produtos!$J:$J,MATCH(L1949,[1]Produtos!$B:$B,0)), "-")</f>
        <v>-</v>
      </c>
      <c r="T1949" s="475"/>
      <c r="U1949" s="270"/>
      <c r="V1949" s="270"/>
      <c r="W1949" s="270"/>
      <c r="X1949" s="270"/>
      <c r="Y1949" s="270"/>
      <c r="Z1949" s="270"/>
      <c r="AA1949" s="270"/>
      <c r="AB1949" s="270"/>
      <c r="AC1949" s="270"/>
      <c r="AD1949" s="270"/>
      <c r="AE1949" s="270"/>
      <c r="AF1949" s="270"/>
      <c r="AG1949" s="270"/>
      <c r="AH1949" s="270"/>
      <c r="AI1949" s="270"/>
      <c r="AJ1949" s="270"/>
      <c r="AK1949" s="270"/>
      <c r="AL1949" s="270"/>
      <c r="AM1949" s="663"/>
      <c r="AN1949" s="663"/>
      <c r="AO1949" s="708" t="str">
        <f>IF(OR(Table1[[#This Row],[Início Setup Envase]]="",Table1[[#This Row],[Final Setup Envase]]=""),"",Table1[[#This Row],[Final Setup Envase]]-Table1[[#This Row],[Início Setup Envase]])</f>
        <v/>
      </c>
      <c r="AP1949" s="663"/>
      <c r="AQ1949" s="663"/>
      <c r="AR1949" s="270"/>
      <c r="AS1949" s="674"/>
      <c r="AT1949" s="674"/>
      <c r="AU1949" s="270"/>
      <c r="AV1949" s="270"/>
      <c r="AW1949" s="270"/>
      <c r="AX1949" s="270"/>
      <c r="AY1949" s="270"/>
      <c r="AZ1949" s="270"/>
      <c r="BA1949" s="270" t="str">
        <f>IF(Table1[[#This Row],[Data de Início]]="","",YEAR(Table1[[#This Row],[Data de Início]]))</f>
        <v/>
      </c>
      <c r="BB1949" s="270" t="str">
        <f>IF(Table1[[#This Row],[Data de Início]]="","",MONTH(Table1[[#This Row],[Data de Início]]))</f>
        <v/>
      </c>
      <c r="BC1949" s="483"/>
    </row>
    <row r="1950" spans="2:55" x14ac:dyDescent="0.25">
      <c r="B1950" s="470"/>
      <c r="C1950" s="263"/>
      <c r="D1950" s="477" cm="1">
        <f t="array" ref="D1950">IFERROR(HorasUteisFabrica2Turnos(B1950,C1950), "")</f>
        <v>0</v>
      </c>
      <c r="E1950" s="478" t="str">
        <f t="shared" si="30"/>
        <v/>
      </c>
      <c r="F1950" s="266"/>
      <c r="G1950" s="656"/>
      <c r="H1950" s="479"/>
      <c r="I1950" s="268"/>
      <c r="J1950" s="268"/>
      <c r="K1950" s="268"/>
      <c r="L1950" s="269"/>
      <c r="M1950" s="511" t="str">
        <f>IFERROR(INDEX([1]Produtos!$C:$C,MATCH(L1950,[1]Produtos!$B:$B,0)), "-")</f>
        <v>-</v>
      </c>
      <c r="N1950" s="511" t="str">
        <f>IFERROR(INDEX([1]Produtos!$E:$E,MATCH(L1950,[1]Produtos!$B:$B,0)), "-")</f>
        <v>-</v>
      </c>
      <c r="O1950" s="483" t="str">
        <f>IFERROR(INDEX([1]Produtos!$F:$F,MATCH(L1950,[1]Produtos!$B:$B,0)), "-")</f>
        <v>-</v>
      </c>
      <c r="P1950" s="477" t="str">
        <f>IFERROR(INDEX([1]Produtos!$G:$G,MATCH(L1950,[1]Produtos!$B:$B,0)), "-")</f>
        <v>-</v>
      </c>
      <c r="Q1950" s="483" t="str">
        <f>IFERROR(INDEX([1]Produtos!$H:$H,MATCH(L1950,[1]Produtos!$B:$B,0)), "-")</f>
        <v>-</v>
      </c>
      <c r="R1950" s="483" t="str">
        <f>IFERROR(INDEX([1]Produtos!$I:$I,MATCH(L1950,[1]Produtos!$B:$B,0)), "-")</f>
        <v>-</v>
      </c>
      <c r="S1950" s="483" t="str">
        <f>IFERROR(INDEX([1]Produtos!$J:$J,MATCH(L1950,[1]Produtos!$B:$B,0)), "-")</f>
        <v>-</v>
      </c>
      <c r="T1950" s="484"/>
      <c r="U1950" s="483"/>
      <c r="V1950" s="483"/>
      <c r="W1950" s="483"/>
      <c r="X1950" s="483"/>
      <c r="Y1950" s="483"/>
      <c r="Z1950" s="483"/>
      <c r="AA1950" s="483"/>
      <c r="AB1950" s="483"/>
      <c r="AC1950" s="483"/>
      <c r="AD1950" s="483"/>
      <c r="AE1950" s="483"/>
      <c r="AF1950" s="483"/>
      <c r="AG1950" s="483"/>
      <c r="AH1950" s="483"/>
      <c r="AI1950" s="483"/>
      <c r="AJ1950" s="483"/>
      <c r="AK1950" s="483"/>
      <c r="AL1950" s="483"/>
      <c r="AM1950" s="670"/>
      <c r="AN1950" s="670"/>
      <c r="AO1950" s="711" t="str">
        <f>IF(OR(Table1[[#This Row],[Início Setup Envase]]="",Table1[[#This Row],[Final Setup Envase]]=""),"",Table1[[#This Row],[Final Setup Envase]]-Table1[[#This Row],[Início Setup Envase]])</f>
        <v/>
      </c>
      <c r="AP1950" s="670"/>
      <c r="AQ1950" s="670"/>
      <c r="AR1950" s="483"/>
      <c r="AS1950" s="483"/>
      <c r="AT1950" s="483"/>
      <c r="AU1950" s="483"/>
      <c r="AV1950" s="483"/>
      <c r="AW1950" s="483"/>
      <c r="AX1950" s="483"/>
      <c r="AY1950" s="270"/>
      <c r="AZ1950" s="270"/>
      <c r="BA1950" s="270" t="str">
        <f>IF(Table1[[#This Row],[Data de Início]]="","",YEAR(Table1[[#This Row],[Data de Início]]))</f>
        <v/>
      </c>
      <c r="BB1950" s="270" t="str">
        <f>IF(Table1[[#This Row],[Data de Início]]="","",MONTH(Table1[[#This Row],[Data de Início]]))</f>
        <v/>
      </c>
      <c r="BC1950" s="270"/>
    </row>
    <row r="1951" spans="2:55" x14ac:dyDescent="0.25">
      <c r="B1951" s="470"/>
      <c r="C1951" s="263"/>
      <c r="D1951" s="477" cm="1">
        <f t="array" ref="D1951">IFERROR(HorasUteisFabrica2Turnos(B1951,C1951), "")</f>
        <v>0</v>
      </c>
      <c r="E1951" s="697" t="str">
        <f t="shared" si="30"/>
        <v/>
      </c>
      <c r="F1951" s="266"/>
      <c r="G1951" s="698"/>
      <c r="H1951" s="266"/>
      <c r="I1951" s="268"/>
      <c r="J1951" s="268"/>
      <c r="K1951" s="268"/>
      <c r="L1951" s="269"/>
      <c r="M1951" s="510" t="str">
        <f>IFERROR(INDEX([1]Produtos!$C:$C,MATCH(L1951,[1]Produtos!$B:$B,0)), "-")</f>
        <v>-</v>
      </c>
      <c r="N1951" s="510" t="str">
        <f>IFERROR(INDEX([1]Produtos!$E:$E,MATCH(L1951,[1]Produtos!$B:$B,0)), "-")</f>
        <v>-</v>
      </c>
      <c r="O1951" s="270" t="str">
        <f>IFERROR(INDEX([1]Produtos!$F:$F,MATCH(L1951,[1]Produtos!$B:$B,0)), "-")</f>
        <v>-</v>
      </c>
      <c r="P1951" s="264" t="str">
        <f>IFERROR(INDEX([1]Produtos!$G:$G,MATCH(L1951,[1]Produtos!$B:$B,0)), "-")</f>
        <v>-</v>
      </c>
      <c r="Q1951" s="270" t="str">
        <f>IFERROR(INDEX([1]Produtos!$H:$H,MATCH(L1951,[1]Produtos!$B:$B,0)), "-")</f>
        <v>-</v>
      </c>
      <c r="R1951" s="270" t="str">
        <f>IFERROR(INDEX([1]Produtos!$I:$I,MATCH(L1951,[1]Produtos!$B:$B,0)), "-")</f>
        <v>-</v>
      </c>
      <c r="S1951" s="270" t="str">
        <f>IFERROR(INDEX([1]Produtos!$J:$J,MATCH(L1951,[1]Produtos!$B:$B,0)), "-")</f>
        <v>-</v>
      </c>
      <c r="T1951" s="475"/>
      <c r="U1951" s="270"/>
      <c r="V1951" s="270"/>
      <c r="W1951" s="270"/>
      <c r="X1951" s="270"/>
      <c r="Y1951" s="270"/>
      <c r="Z1951" s="270"/>
      <c r="AA1951" s="270"/>
      <c r="AB1951" s="270"/>
      <c r="AC1951" s="270"/>
      <c r="AD1951" s="270"/>
      <c r="AE1951" s="270"/>
      <c r="AF1951" s="270"/>
      <c r="AG1951" s="270"/>
      <c r="AH1951" s="270"/>
      <c r="AI1951" s="270"/>
      <c r="AJ1951" s="270"/>
      <c r="AK1951" s="270"/>
      <c r="AL1951" s="270"/>
      <c r="AM1951" s="663"/>
      <c r="AN1951" s="663"/>
      <c r="AO1951" s="708" t="str">
        <f>IF(OR(Table1[[#This Row],[Início Setup Envase]]="",Table1[[#This Row],[Final Setup Envase]]=""),"",Table1[[#This Row],[Final Setup Envase]]-Table1[[#This Row],[Início Setup Envase]])</f>
        <v/>
      </c>
      <c r="AP1951" s="663"/>
      <c r="AQ1951" s="663"/>
      <c r="AR1951" s="270"/>
      <c r="AS1951" s="674"/>
      <c r="AT1951" s="674"/>
      <c r="AU1951" s="270"/>
      <c r="AV1951" s="270"/>
      <c r="AW1951" s="270"/>
      <c r="AX1951" s="270"/>
      <c r="AY1951" s="270"/>
      <c r="AZ1951" s="270"/>
      <c r="BA1951" s="270" t="str">
        <f>IF(Table1[[#This Row],[Data de Início]]="","",YEAR(Table1[[#This Row],[Data de Início]]))</f>
        <v/>
      </c>
      <c r="BB1951" s="270" t="str">
        <f>IF(Table1[[#This Row],[Data de Início]]="","",MONTH(Table1[[#This Row],[Data de Início]]))</f>
        <v/>
      </c>
      <c r="BC1951" s="483"/>
    </row>
    <row r="1952" spans="2:55" x14ac:dyDescent="0.25">
      <c r="B1952" s="470"/>
      <c r="C1952" s="263"/>
      <c r="D1952" s="477" cm="1">
        <f t="array" ref="D1952">IFERROR(HorasUteisFabrica2Turnos(B1952,C1952), "")</f>
        <v>0</v>
      </c>
      <c r="E1952" s="478" t="str">
        <f t="shared" si="30"/>
        <v/>
      </c>
      <c r="F1952" s="266"/>
      <c r="G1952" s="656"/>
      <c r="H1952" s="479"/>
      <c r="I1952" s="268"/>
      <c r="J1952" s="268"/>
      <c r="K1952" s="268"/>
      <c r="L1952" s="269"/>
      <c r="M1952" s="511" t="str">
        <f>IFERROR(INDEX([1]Produtos!$C:$C,MATCH(L1952,[1]Produtos!$B:$B,0)), "-")</f>
        <v>-</v>
      </c>
      <c r="N1952" s="511" t="str">
        <f>IFERROR(INDEX([1]Produtos!$E:$E,MATCH(L1952,[1]Produtos!$B:$B,0)), "-")</f>
        <v>-</v>
      </c>
      <c r="O1952" s="483" t="str">
        <f>IFERROR(INDEX([1]Produtos!$F:$F,MATCH(L1952,[1]Produtos!$B:$B,0)), "-")</f>
        <v>-</v>
      </c>
      <c r="P1952" s="477" t="str">
        <f>IFERROR(INDEX([1]Produtos!$G:$G,MATCH(L1952,[1]Produtos!$B:$B,0)), "-")</f>
        <v>-</v>
      </c>
      <c r="Q1952" s="483" t="str">
        <f>IFERROR(INDEX([1]Produtos!$H:$H,MATCH(L1952,[1]Produtos!$B:$B,0)), "-")</f>
        <v>-</v>
      </c>
      <c r="R1952" s="483" t="str">
        <f>IFERROR(INDEX([1]Produtos!$I:$I,MATCH(L1952,[1]Produtos!$B:$B,0)), "-")</f>
        <v>-</v>
      </c>
      <c r="S1952" s="483" t="str">
        <f>IFERROR(INDEX([1]Produtos!$J:$J,MATCH(L1952,[1]Produtos!$B:$B,0)), "-")</f>
        <v>-</v>
      </c>
      <c r="T1952" s="484"/>
      <c r="U1952" s="483"/>
      <c r="V1952" s="483"/>
      <c r="W1952" s="483"/>
      <c r="X1952" s="483"/>
      <c r="Y1952" s="483"/>
      <c r="Z1952" s="483"/>
      <c r="AA1952" s="483"/>
      <c r="AB1952" s="483"/>
      <c r="AC1952" s="483"/>
      <c r="AD1952" s="483"/>
      <c r="AE1952" s="483"/>
      <c r="AF1952" s="483"/>
      <c r="AG1952" s="483"/>
      <c r="AH1952" s="483"/>
      <c r="AI1952" s="483"/>
      <c r="AJ1952" s="483"/>
      <c r="AK1952" s="483"/>
      <c r="AL1952" s="483"/>
      <c r="AM1952" s="670"/>
      <c r="AN1952" s="670"/>
      <c r="AO1952" s="711" t="str">
        <f>IF(OR(Table1[[#This Row],[Início Setup Envase]]="",Table1[[#This Row],[Final Setup Envase]]=""),"",Table1[[#This Row],[Final Setup Envase]]-Table1[[#This Row],[Início Setup Envase]])</f>
        <v/>
      </c>
      <c r="AP1952" s="670"/>
      <c r="AQ1952" s="670"/>
      <c r="AR1952" s="483"/>
      <c r="AS1952" s="483"/>
      <c r="AT1952" s="483"/>
      <c r="AU1952" s="483"/>
      <c r="AV1952" s="483"/>
      <c r="AW1952" s="483"/>
      <c r="AX1952" s="483"/>
      <c r="AY1952" s="270"/>
      <c r="AZ1952" s="270"/>
      <c r="BA1952" s="270" t="str">
        <f>IF(Table1[[#This Row],[Data de Início]]="","",YEAR(Table1[[#This Row],[Data de Início]]))</f>
        <v/>
      </c>
      <c r="BB1952" s="270" t="str">
        <f>IF(Table1[[#This Row],[Data de Início]]="","",MONTH(Table1[[#This Row],[Data de Início]]))</f>
        <v/>
      </c>
      <c r="BC1952" s="270"/>
    </row>
    <row r="1953" spans="2:55" x14ac:dyDescent="0.25">
      <c r="B1953" s="470"/>
      <c r="C1953" s="263"/>
      <c r="D1953" s="477" cm="1">
        <f t="array" ref="D1953">IFERROR(HorasUteisFabrica2Turnos(B1953,C1953), "")</f>
        <v>0</v>
      </c>
      <c r="E1953" s="697" t="str">
        <f t="shared" si="30"/>
        <v/>
      </c>
      <c r="F1953" s="266"/>
      <c r="G1953" s="698"/>
      <c r="H1953" s="266"/>
      <c r="I1953" s="268"/>
      <c r="J1953" s="268"/>
      <c r="K1953" s="268"/>
      <c r="L1953" s="269"/>
      <c r="M1953" s="510" t="str">
        <f>IFERROR(INDEX([1]Produtos!$C:$C,MATCH(L1953,[1]Produtos!$B:$B,0)), "-")</f>
        <v>-</v>
      </c>
      <c r="N1953" s="510" t="str">
        <f>IFERROR(INDEX([1]Produtos!$E:$E,MATCH(L1953,[1]Produtos!$B:$B,0)), "-")</f>
        <v>-</v>
      </c>
      <c r="O1953" s="270" t="str">
        <f>IFERROR(INDEX([1]Produtos!$F:$F,MATCH(L1953,[1]Produtos!$B:$B,0)), "-")</f>
        <v>-</v>
      </c>
      <c r="P1953" s="264" t="str">
        <f>IFERROR(INDEX([1]Produtos!$G:$G,MATCH(L1953,[1]Produtos!$B:$B,0)), "-")</f>
        <v>-</v>
      </c>
      <c r="Q1953" s="270" t="str">
        <f>IFERROR(INDEX([1]Produtos!$H:$H,MATCH(L1953,[1]Produtos!$B:$B,0)), "-")</f>
        <v>-</v>
      </c>
      <c r="R1953" s="270" t="str">
        <f>IFERROR(INDEX([1]Produtos!$I:$I,MATCH(L1953,[1]Produtos!$B:$B,0)), "-")</f>
        <v>-</v>
      </c>
      <c r="S1953" s="270" t="str">
        <f>IFERROR(INDEX([1]Produtos!$J:$J,MATCH(L1953,[1]Produtos!$B:$B,0)), "-")</f>
        <v>-</v>
      </c>
      <c r="T1953" s="475"/>
      <c r="U1953" s="270"/>
      <c r="V1953" s="270"/>
      <c r="W1953" s="270"/>
      <c r="X1953" s="270"/>
      <c r="Y1953" s="270"/>
      <c r="Z1953" s="270"/>
      <c r="AA1953" s="270"/>
      <c r="AB1953" s="270"/>
      <c r="AC1953" s="270"/>
      <c r="AD1953" s="270"/>
      <c r="AE1953" s="270"/>
      <c r="AF1953" s="270"/>
      <c r="AG1953" s="270"/>
      <c r="AH1953" s="270"/>
      <c r="AI1953" s="270"/>
      <c r="AJ1953" s="270"/>
      <c r="AK1953" s="270"/>
      <c r="AL1953" s="270"/>
      <c r="AM1953" s="663"/>
      <c r="AN1953" s="663"/>
      <c r="AO1953" s="708" t="str">
        <f>IF(OR(Table1[[#This Row],[Início Setup Envase]]="",Table1[[#This Row],[Final Setup Envase]]=""),"",Table1[[#This Row],[Final Setup Envase]]-Table1[[#This Row],[Início Setup Envase]])</f>
        <v/>
      </c>
      <c r="AP1953" s="663"/>
      <c r="AQ1953" s="663"/>
      <c r="AR1953" s="270"/>
      <c r="AS1953" s="674"/>
      <c r="AT1953" s="674"/>
      <c r="AU1953" s="270"/>
      <c r="AV1953" s="270"/>
      <c r="AW1953" s="270"/>
      <c r="AX1953" s="270"/>
      <c r="AY1953" s="270"/>
      <c r="AZ1953" s="270"/>
      <c r="BA1953" s="270" t="str">
        <f>IF(Table1[[#This Row],[Data de Início]]="","",YEAR(Table1[[#This Row],[Data de Início]]))</f>
        <v/>
      </c>
      <c r="BB1953" s="270" t="str">
        <f>IF(Table1[[#This Row],[Data de Início]]="","",MONTH(Table1[[#This Row],[Data de Início]]))</f>
        <v/>
      </c>
      <c r="BC1953" s="483"/>
    </row>
    <row r="1954" spans="2:55" x14ac:dyDescent="0.25">
      <c r="B1954" s="470"/>
      <c r="C1954" s="263"/>
      <c r="D1954" s="477" cm="1">
        <f t="array" ref="D1954">IFERROR(HorasUteisFabrica2Turnos(B1954,C1954), "")</f>
        <v>0</v>
      </c>
      <c r="E1954" s="478" t="str">
        <f t="shared" si="30"/>
        <v/>
      </c>
      <c r="F1954" s="266"/>
      <c r="G1954" s="656"/>
      <c r="H1954" s="479"/>
      <c r="I1954" s="268"/>
      <c r="J1954" s="268"/>
      <c r="K1954" s="268"/>
      <c r="L1954" s="269"/>
      <c r="M1954" s="511" t="str">
        <f>IFERROR(INDEX([1]Produtos!$C:$C,MATCH(L1954,[1]Produtos!$B:$B,0)), "-")</f>
        <v>-</v>
      </c>
      <c r="N1954" s="511" t="str">
        <f>IFERROR(INDEX([1]Produtos!$E:$E,MATCH(L1954,[1]Produtos!$B:$B,0)), "-")</f>
        <v>-</v>
      </c>
      <c r="O1954" s="483" t="str">
        <f>IFERROR(INDEX([1]Produtos!$F:$F,MATCH(L1954,[1]Produtos!$B:$B,0)), "-")</f>
        <v>-</v>
      </c>
      <c r="P1954" s="477" t="str">
        <f>IFERROR(INDEX([1]Produtos!$G:$G,MATCH(L1954,[1]Produtos!$B:$B,0)), "-")</f>
        <v>-</v>
      </c>
      <c r="Q1954" s="483" t="str">
        <f>IFERROR(INDEX([1]Produtos!$H:$H,MATCH(L1954,[1]Produtos!$B:$B,0)), "-")</f>
        <v>-</v>
      </c>
      <c r="R1954" s="483" t="str">
        <f>IFERROR(INDEX([1]Produtos!$I:$I,MATCH(L1954,[1]Produtos!$B:$B,0)), "-")</f>
        <v>-</v>
      </c>
      <c r="S1954" s="483" t="str">
        <f>IFERROR(INDEX([1]Produtos!$J:$J,MATCH(L1954,[1]Produtos!$B:$B,0)), "-")</f>
        <v>-</v>
      </c>
      <c r="T1954" s="484"/>
      <c r="U1954" s="483"/>
      <c r="V1954" s="483"/>
      <c r="W1954" s="483"/>
      <c r="X1954" s="483"/>
      <c r="Y1954" s="483"/>
      <c r="Z1954" s="483"/>
      <c r="AA1954" s="483"/>
      <c r="AB1954" s="483"/>
      <c r="AC1954" s="483"/>
      <c r="AD1954" s="483"/>
      <c r="AE1954" s="483"/>
      <c r="AF1954" s="483"/>
      <c r="AG1954" s="483"/>
      <c r="AH1954" s="483"/>
      <c r="AI1954" s="483"/>
      <c r="AJ1954" s="483"/>
      <c r="AK1954" s="483"/>
      <c r="AL1954" s="483"/>
      <c r="AM1954" s="670"/>
      <c r="AN1954" s="670"/>
      <c r="AO1954" s="711" t="str">
        <f>IF(OR(Table1[[#This Row],[Início Setup Envase]]="",Table1[[#This Row],[Final Setup Envase]]=""),"",Table1[[#This Row],[Final Setup Envase]]-Table1[[#This Row],[Início Setup Envase]])</f>
        <v/>
      </c>
      <c r="AP1954" s="670"/>
      <c r="AQ1954" s="670"/>
      <c r="AR1954" s="483"/>
      <c r="AS1954" s="483"/>
      <c r="AT1954" s="483"/>
      <c r="AU1954" s="483"/>
      <c r="AV1954" s="483"/>
      <c r="AW1954" s="483"/>
      <c r="AX1954" s="483"/>
      <c r="AY1954" s="270"/>
      <c r="AZ1954" s="270"/>
      <c r="BA1954" s="270" t="str">
        <f>IF(Table1[[#This Row],[Data de Início]]="","",YEAR(Table1[[#This Row],[Data de Início]]))</f>
        <v/>
      </c>
      <c r="BB1954" s="270" t="str">
        <f>IF(Table1[[#This Row],[Data de Início]]="","",MONTH(Table1[[#This Row],[Data de Início]]))</f>
        <v/>
      </c>
      <c r="BC1954" s="270"/>
    </row>
    <row r="1955" spans="2:55" x14ac:dyDescent="0.25">
      <c r="B1955" s="470"/>
      <c r="C1955" s="263"/>
      <c r="D1955" s="477" cm="1">
        <f t="array" ref="D1955">IFERROR(HorasUteisFabrica2Turnos(B1955,C1955), "")</f>
        <v>0</v>
      </c>
      <c r="E1955" s="697" t="str">
        <f t="shared" si="30"/>
        <v/>
      </c>
      <c r="F1955" s="266"/>
      <c r="G1955" s="698"/>
      <c r="H1955" s="266"/>
      <c r="I1955" s="268"/>
      <c r="J1955" s="268"/>
      <c r="K1955" s="268"/>
      <c r="L1955" s="269"/>
      <c r="M1955" s="510" t="str">
        <f>IFERROR(INDEX([1]Produtos!$C:$C,MATCH(L1955,[1]Produtos!$B:$B,0)), "-")</f>
        <v>-</v>
      </c>
      <c r="N1955" s="510" t="str">
        <f>IFERROR(INDEX([1]Produtos!$E:$E,MATCH(L1955,[1]Produtos!$B:$B,0)), "-")</f>
        <v>-</v>
      </c>
      <c r="O1955" s="270" t="str">
        <f>IFERROR(INDEX([1]Produtos!$F:$F,MATCH(L1955,[1]Produtos!$B:$B,0)), "-")</f>
        <v>-</v>
      </c>
      <c r="P1955" s="264" t="str">
        <f>IFERROR(INDEX([1]Produtos!$G:$G,MATCH(L1955,[1]Produtos!$B:$B,0)), "-")</f>
        <v>-</v>
      </c>
      <c r="Q1955" s="270" t="str">
        <f>IFERROR(INDEX([1]Produtos!$H:$H,MATCH(L1955,[1]Produtos!$B:$B,0)), "-")</f>
        <v>-</v>
      </c>
      <c r="R1955" s="270" t="str">
        <f>IFERROR(INDEX([1]Produtos!$I:$I,MATCH(L1955,[1]Produtos!$B:$B,0)), "-")</f>
        <v>-</v>
      </c>
      <c r="S1955" s="270" t="str">
        <f>IFERROR(INDEX([1]Produtos!$J:$J,MATCH(L1955,[1]Produtos!$B:$B,0)), "-")</f>
        <v>-</v>
      </c>
      <c r="T1955" s="475"/>
      <c r="U1955" s="270"/>
      <c r="V1955" s="270"/>
      <c r="W1955" s="270"/>
      <c r="X1955" s="270"/>
      <c r="Y1955" s="270"/>
      <c r="Z1955" s="270"/>
      <c r="AA1955" s="270"/>
      <c r="AB1955" s="270"/>
      <c r="AC1955" s="270"/>
      <c r="AD1955" s="270"/>
      <c r="AE1955" s="270"/>
      <c r="AF1955" s="270"/>
      <c r="AG1955" s="270"/>
      <c r="AH1955" s="270"/>
      <c r="AI1955" s="270"/>
      <c r="AJ1955" s="270"/>
      <c r="AK1955" s="270"/>
      <c r="AL1955" s="270"/>
      <c r="AM1955" s="663"/>
      <c r="AN1955" s="663"/>
      <c r="AO1955" s="708" t="str">
        <f>IF(OR(Table1[[#This Row],[Início Setup Envase]]="",Table1[[#This Row],[Final Setup Envase]]=""),"",Table1[[#This Row],[Final Setup Envase]]-Table1[[#This Row],[Início Setup Envase]])</f>
        <v/>
      </c>
      <c r="AP1955" s="663"/>
      <c r="AQ1955" s="663"/>
      <c r="AR1955" s="270"/>
      <c r="AS1955" s="674"/>
      <c r="AT1955" s="674"/>
      <c r="AU1955" s="270"/>
      <c r="AV1955" s="270"/>
      <c r="AW1955" s="270"/>
      <c r="AX1955" s="270"/>
      <c r="AY1955" s="270"/>
      <c r="AZ1955" s="270"/>
      <c r="BA1955" s="270" t="str">
        <f>IF(Table1[[#This Row],[Data de Início]]="","",YEAR(Table1[[#This Row],[Data de Início]]))</f>
        <v/>
      </c>
      <c r="BB1955" s="270" t="str">
        <f>IF(Table1[[#This Row],[Data de Início]]="","",MONTH(Table1[[#This Row],[Data de Início]]))</f>
        <v/>
      </c>
      <c r="BC1955" s="483"/>
    </row>
    <row r="1956" spans="2:55" x14ac:dyDescent="0.25">
      <c r="B1956" s="470"/>
      <c r="C1956" s="263"/>
      <c r="D1956" s="477" cm="1">
        <f t="array" ref="D1956">IFERROR(HorasUteisFabrica2Turnos(B1956,C1956), "")</f>
        <v>0</v>
      </c>
      <c r="E1956" s="478" t="str">
        <f t="shared" si="30"/>
        <v/>
      </c>
      <c r="F1956" s="266"/>
      <c r="G1956" s="656"/>
      <c r="H1956" s="479"/>
      <c r="I1956" s="268"/>
      <c r="J1956" s="268"/>
      <c r="K1956" s="268"/>
      <c r="L1956" s="269"/>
      <c r="M1956" s="511" t="str">
        <f>IFERROR(INDEX([1]Produtos!$C:$C,MATCH(L1956,[1]Produtos!$B:$B,0)), "-")</f>
        <v>-</v>
      </c>
      <c r="N1956" s="511" t="str">
        <f>IFERROR(INDEX([1]Produtos!$E:$E,MATCH(L1956,[1]Produtos!$B:$B,0)), "-")</f>
        <v>-</v>
      </c>
      <c r="O1956" s="483" t="str">
        <f>IFERROR(INDEX([1]Produtos!$F:$F,MATCH(L1956,[1]Produtos!$B:$B,0)), "-")</f>
        <v>-</v>
      </c>
      <c r="P1956" s="477" t="str">
        <f>IFERROR(INDEX([1]Produtos!$G:$G,MATCH(L1956,[1]Produtos!$B:$B,0)), "-")</f>
        <v>-</v>
      </c>
      <c r="Q1956" s="483" t="str">
        <f>IFERROR(INDEX([1]Produtos!$H:$H,MATCH(L1956,[1]Produtos!$B:$B,0)), "-")</f>
        <v>-</v>
      </c>
      <c r="R1956" s="483" t="str">
        <f>IFERROR(INDEX([1]Produtos!$I:$I,MATCH(L1956,[1]Produtos!$B:$B,0)), "-")</f>
        <v>-</v>
      </c>
      <c r="S1956" s="483" t="str">
        <f>IFERROR(INDEX([1]Produtos!$J:$J,MATCH(L1956,[1]Produtos!$B:$B,0)), "-")</f>
        <v>-</v>
      </c>
      <c r="T1956" s="484"/>
      <c r="U1956" s="483"/>
      <c r="V1956" s="483"/>
      <c r="W1956" s="483"/>
      <c r="X1956" s="483"/>
      <c r="Y1956" s="483"/>
      <c r="Z1956" s="483"/>
      <c r="AA1956" s="483"/>
      <c r="AB1956" s="483"/>
      <c r="AC1956" s="483"/>
      <c r="AD1956" s="483"/>
      <c r="AE1956" s="483"/>
      <c r="AF1956" s="483"/>
      <c r="AG1956" s="483"/>
      <c r="AH1956" s="483"/>
      <c r="AI1956" s="483"/>
      <c r="AJ1956" s="483"/>
      <c r="AK1956" s="483"/>
      <c r="AL1956" s="483"/>
      <c r="AM1956" s="670"/>
      <c r="AN1956" s="670"/>
      <c r="AO1956" s="711" t="str">
        <f>IF(OR(Table1[[#This Row],[Início Setup Envase]]="",Table1[[#This Row],[Final Setup Envase]]=""),"",Table1[[#This Row],[Final Setup Envase]]-Table1[[#This Row],[Início Setup Envase]])</f>
        <v/>
      </c>
      <c r="AP1956" s="670"/>
      <c r="AQ1956" s="670"/>
      <c r="AR1956" s="483"/>
      <c r="AS1956" s="483"/>
      <c r="AT1956" s="483"/>
      <c r="AU1956" s="483"/>
      <c r="AV1956" s="483"/>
      <c r="AW1956" s="483"/>
      <c r="AX1956" s="483"/>
      <c r="AY1956" s="270"/>
      <c r="AZ1956" s="270"/>
      <c r="BA1956" s="270" t="str">
        <f>IF(Table1[[#This Row],[Data de Início]]="","",YEAR(Table1[[#This Row],[Data de Início]]))</f>
        <v/>
      </c>
      <c r="BB1956" s="270" t="str">
        <f>IF(Table1[[#This Row],[Data de Início]]="","",MONTH(Table1[[#This Row],[Data de Início]]))</f>
        <v/>
      </c>
      <c r="BC1956" s="270"/>
    </row>
    <row r="1957" spans="2:55" x14ac:dyDescent="0.25">
      <c r="B1957" s="470"/>
      <c r="C1957" s="263"/>
      <c r="D1957" s="477" cm="1">
        <f t="array" ref="D1957">IFERROR(HorasUteisFabrica2Turnos(B1957,C1957), "")</f>
        <v>0</v>
      </c>
      <c r="E1957" s="697" t="str">
        <f t="shared" ref="E1957:E2020" si="31">IFERROR(K1957/D1957, "")</f>
        <v/>
      </c>
      <c r="F1957" s="266"/>
      <c r="G1957" s="698"/>
      <c r="H1957" s="266"/>
      <c r="I1957" s="268"/>
      <c r="J1957" s="268"/>
      <c r="K1957" s="268"/>
      <c r="L1957" s="269"/>
      <c r="M1957" s="510" t="str">
        <f>IFERROR(INDEX([1]Produtos!$C:$C,MATCH(L1957,[1]Produtos!$B:$B,0)), "-")</f>
        <v>-</v>
      </c>
      <c r="N1957" s="510" t="str">
        <f>IFERROR(INDEX([1]Produtos!$E:$E,MATCH(L1957,[1]Produtos!$B:$B,0)), "-")</f>
        <v>-</v>
      </c>
      <c r="O1957" s="270" t="str">
        <f>IFERROR(INDEX([1]Produtos!$F:$F,MATCH(L1957,[1]Produtos!$B:$B,0)), "-")</f>
        <v>-</v>
      </c>
      <c r="P1957" s="264" t="str">
        <f>IFERROR(INDEX([1]Produtos!$G:$G,MATCH(L1957,[1]Produtos!$B:$B,0)), "-")</f>
        <v>-</v>
      </c>
      <c r="Q1957" s="270" t="str">
        <f>IFERROR(INDEX([1]Produtos!$H:$H,MATCH(L1957,[1]Produtos!$B:$B,0)), "-")</f>
        <v>-</v>
      </c>
      <c r="R1957" s="270" t="str">
        <f>IFERROR(INDEX([1]Produtos!$I:$I,MATCH(L1957,[1]Produtos!$B:$B,0)), "-")</f>
        <v>-</v>
      </c>
      <c r="S1957" s="270" t="str">
        <f>IFERROR(INDEX([1]Produtos!$J:$J,MATCH(L1957,[1]Produtos!$B:$B,0)), "-")</f>
        <v>-</v>
      </c>
      <c r="T1957" s="475"/>
      <c r="U1957" s="270"/>
      <c r="V1957" s="270"/>
      <c r="W1957" s="270"/>
      <c r="X1957" s="270"/>
      <c r="Y1957" s="270"/>
      <c r="Z1957" s="270"/>
      <c r="AA1957" s="270"/>
      <c r="AB1957" s="270"/>
      <c r="AC1957" s="270"/>
      <c r="AD1957" s="270"/>
      <c r="AE1957" s="270"/>
      <c r="AF1957" s="270"/>
      <c r="AG1957" s="270"/>
      <c r="AH1957" s="270"/>
      <c r="AI1957" s="270"/>
      <c r="AJ1957" s="270"/>
      <c r="AK1957" s="270"/>
      <c r="AL1957" s="270"/>
      <c r="AM1957" s="663"/>
      <c r="AN1957" s="663"/>
      <c r="AO1957" s="708" t="str">
        <f>IF(OR(Table1[[#This Row],[Início Setup Envase]]="",Table1[[#This Row],[Final Setup Envase]]=""),"",Table1[[#This Row],[Final Setup Envase]]-Table1[[#This Row],[Início Setup Envase]])</f>
        <v/>
      </c>
      <c r="AP1957" s="663"/>
      <c r="AQ1957" s="663"/>
      <c r="AR1957" s="270"/>
      <c r="AS1957" s="674"/>
      <c r="AT1957" s="674"/>
      <c r="AU1957" s="270"/>
      <c r="AV1957" s="270"/>
      <c r="AW1957" s="270"/>
      <c r="AX1957" s="270"/>
      <c r="AY1957" s="270"/>
      <c r="AZ1957" s="270"/>
      <c r="BA1957" s="270" t="str">
        <f>IF(Table1[[#This Row],[Data de Início]]="","",YEAR(Table1[[#This Row],[Data de Início]]))</f>
        <v/>
      </c>
      <c r="BB1957" s="270" t="str">
        <f>IF(Table1[[#This Row],[Data de Início]]="","",MONTH(Table1[[#This Row],[Data de Início]]))</f>
        <v/>
      </c>
      <c r="BC1957" s="483"/>
    </row>
    <row r="1958" spans="2:55" x14ac:dyDescent="0.25">
      <c r="B1958" s="470"/>
      <c r="C1958" s="263"/>
      <c r="D1958" s="477" cm="1">
        <f t="array" ref="D1958">IFERROR(HorasUteisFabrica2Turnos(B1958,C1958), "")</f>
        <v>0</v>
      </c>
      <c r="E1958" s="478" t="str">
        <f t="shared" si="31"/>
        <v/>
      </c>
      <c r="F1958" s="266"/>
      <c r="G1958" s="656"/>
      <c r="H1958" s="479"/>
      <c r="I1958" s="268"/>
      <c r="J1958" s="268"/>
      <c r="K1958" s="268"/>
      <c r="L1958" s="269"/>
      <c r="M1958" s="511" t="str">
        <f>IFERROR(INDEX([1]Produtos!$C:$C,MATCH(L1958,[1]Produtos!$B:$B,0)), "-")</f>
        <v>-</v>
      </c>
      <c r="N1958" s="511" t="str">
        <f>IFERROR(INDEX([1]Produtos!$E:$E,MATCH(L1958,[1]Produtos!$B:$B,0)), "-")</f>
        <v>-</v>
      </c>
      <c r="O1958" s="483" t="str">
        <f>IFERROR(INDEX([1]Produtos!$F:$F,MATCH(L1958,[1]Produtos!$B:$B,0)), "-")</f>
        <v>-</v>
      </c>
      <c r="P1958" s="477" t="str">
        <f>IFERROR(INDEX([1]Produtos!$G:$G,MATCH(L1958,[1]Produtos!$B:$B,0)), "-")</f>
        <v>-</v>
      </c>
      <c r="Q1958" s="483" t="str">
        <f>IFERROR(INDEX([1]Produtos!$H:$H,MATCH(L1958,[1]Produtos!$B:$B,0)), "-")</f>
        <v>-</v>
      </c>
      <c r="R1958" s="483" t="str">
        <f>IFERROR(INDEX([1]Produtos!$I:$I,MATCH(L1958,[1]Produtos!$B:$B,0)), "-")</f>
        <v>-</v>
      </c>
      <c r="S1958" s="483" t="str">
        <f>IFERROR(INDEX([1]Produtos!$J:$J,MATCH(L1958,[1]Produtos!$B:$B,0)), "-")</f>
        <v>-</v>
      </c>
      <c r="T1958" s="484"/>
      <c r="U1958" s="483"/>
      <c r="V1958" s="483"/>
      <c r="W1958" s="483"/>
      <c r="X1958" s="483"/>
      <c r="Y1958" s="483"/>
      <c r="Z1958" s="483"/>
      <c r="AA1958" s="483"/>
      <c r="AB1958" s="483"/>
      <c r="AC1958" s="483"/>
      <c r="AD1958" s="483"/>
      <c r="AE1958" s="483"/>
      <c r="AF1958" s="483"/>
      <c r="AG1958" s="483"/>
      <c r="AH1958" s="483"/>
      <c r="AI1958" s="483"/>
      <c r="AJ1958" s="483"/>
      <c r="AK1958" s="483"/>
      <c r="AL1958" s="483"/>
      <c r="AM1958" s="670"/>
      <c r="AN1958" s="670"/>
      <c r="AO1958" s="711" t="str">
        <f>IF(OR(Table1[[#This Row],[Início Setup Envase]]="",Table1[[#This Row],[Final Setup Envase]]=""),"",Table1[[#This Row],[Final Setup Envase]]-Table1[[#This Row],[Início Setup Envase]])</f>
        <v/>
      </c>
      <c r="AP1958" s="670"/>
      <c r="AQ1958" s="670"/>
      <c r="AR1958" s="483"/>
      <c r="AS1958" s="483"/>
      <c r="AT1958" s="483"/>
      <c r="AU1958" s="483"/>
      <c r="AV1958" s="483"/>
      <c r="AW1958" s="483"/>
      <c r="AX1958" s="483"/>
      <c r="AY1958" s="270"/>
      <c r="AZ1958" s="270"/>
      <c r="BA1958" s="270" t="str">
        <f>IF(Table1[[#This Row],[Data de Início]]="","",YEAR(Table1[[#This Row],[Data de Início]]))</f>
        <v/>
      </c>
      <c r="BB1958" s="270" t="str">
        <f>IF(Table1[[#This Row],[Data de Início]]="","",MONTH(Table1[[#This Row],[Data de Início]]))</f>
        <v/>
      </c>
      <c r="BC1958" s="270"/>
    </row>
    <row r="1959" spans="2:55" x14ac:dyDescent="0.25">
      <c r="B1959" s="470"/>
      <c r="C1959" s="263"/>
      <c r="D1959" s="477" cm="1">
        <f t="array" ref="D1959">IFERROR(HorasUteisFabrica2Turnos(B1959,C1959), "")</f>
        <v>0</v>
      </c>
      <c r="E1959" s="697" t="str">
        <f t="shared" si="31"/>
        <v/>
      </c>
      <c r="F1959" s="266"/>
      <c r="G1959" s="698"/>
      <c r="H1959" s="266"/>
      <c r="I1959" s="268"/>
      <c r="J1959" s="268"/>
      <c r="K1959" s="268"/>
      <c r="L1959" s="269"/>
      <c r="M1959" s="510" t="str">
        <f>IFERROR(INDEX([1]Produtos!$C:$C,MATCH(L1959,[1]Produtos!$B:$B,0)), "-")</f>
        <v>-</v>
      </c>
      <c r="N1959" s="510" t="str">
        <f>IFERROR(INDEX([1]Produtos!$E:$E,MATCH(L1959,[1]Produtos!$B:$B,0)), "-")</f>
        <v>-</v>
      </c>
      <c r="O1959" s="270" t="str">
        <f>IFERROR(INDEX([1]Produtos!$F:$F,MATCH(L1959,[1]Produtos!$B:$B,0)), "-")</f>
        <v>-</v>
      </c>
      <c r="P1959" s="264" t="str">
        <f>IFERROR(INDEX([1]Produtos!$G:$G,MATCH(L1959,[1]Produtos!$B:$B,0)), "-")</f>
        <v>-</v>
      </c>
      <c r="Q1959" s="270" t="str">
        <f>IFERROR(INDEX([1]Produtos!$H:$H,MATCH(L1959,[1]Produtos!$B:$B,0)), "-")</f>
        <v>-</v>
      </c>
      <c r="R1959" s="270" t="str">
        <f>IFERROR(INDEX([1]Produtos!$I:$I,MATCH(L1959,[1]Produtos!$B:$B,0)), "-")</f>
        <v>-</v>
      </c>
      <c r="S1959" s="270" t="str">
        <f>IFERROR(INDEX([1]Produtos!$J:$J,MATCH(L1959,[1]Produtos!$B:$B,0)), "-")</f>
        <v>-</v>
      </c>
      <c r="T1959" s="475"/>
      <c r="U1959" s="270"/>
      <c r="V1959" s="270"/>
      <c r="W1959" s="270"/>
      <c r="X1959" s="270"/>
      <c r="Y1959" s="270"/>
      <c r="Z1959" s="270"/>
      <c r="AA1959" s="270"/>
      <c r="AB1959" s="270"/>
      <c r="AC1959" s="270"/>
      <c r="AD1959" s="270"/>
      <c r="AE1959" s="270"/>
      <c r="AF1959" s="270"/>
      <c r="AG1959" s="270"/>
      <c r="AH1959" s="270"/>
      <c r="AI1959" s="270"/>
      <c r="AJ1959" s="270"/>
      <c r="AK1959" s="270"/>
      <c r="AL1959" s="270"/>
      <c r="AM1959" s="663"/>
      <c r="AN1959" s="663"/>
      <c r="AO1959" s="708" t="str">
        <f>IF(OR(Table1[[#This Row],[Início Setup Envase]]="",Table1[[#This Row],[Final Setup Envase]]=""),"",Table1[[#This Row],[Final Setup Envase]]-Table1[[#This Row],[Início Setup Envase]])</f>
        <v/>
      </c>
      <c r="AP1959" s="663"/>
      <c r="AQ1959" s="663"/>
      <c r="AR1959" s="270"/>
      <c r="AS1959" s="674"/>
      <c r="AT1959" s="674"/>
      <c r="AU1959" s="270"/>
      <c r="AV1959" s="270"/>
      <c r="AW1959" s="270"/>
      <c r="AX1959" s="270"/>
      <c r="AY1959" s="270"/>
      <c r="AZ1959" s="270"/>
      <c r="BA1959" s="270" t="str">
        <f>IF(Table1[[#This Row],[Data de Início]]="","",YEAR(Table1[[#This Row],[Data de Início]]))</f>
        <v/>
      </c>
      <c r="BB1959" s="270" t="str">
        <f>IF(Table1[[#This Row],[Data de Início]]="","",MONTH(Table1[[#This Row],[Data de Início]]))</f>
        <v/>
      </c>
      <c r="BC1959" s="483"/>
    </row>
    <row r="1960" spans="2:55" x14ac:dyDescent="0.25">
      <c r="B1960" s="470"/>
      <c r="C1960" s="263"/>
      <c r="D1960" s="477" cm="1">
        <f t="array" ref="D1960">IFERROR(HorasUteisFabrica2Turnos(B1960,C1960), "")</f>
        <v>0</v>
      </c>
      <c r="E1960" s="478" t="str">
        <f t="shared" si="31"/>
        <v/>
      </c>
      <c r="F1960" s="266"/>
      <c r="G1960" s="656"/>
      <c r="H1960" s="479"/>
      <c r="I1960" s="268"/>
      <c r="J1960" s="268"/>
      <c r="K1960" s="268"/>
      <c r="L1960" s="269"/>
      <c r="M1960" s="511" t="str">
        <f>IFERROR(INDEX([1]Produtos!$C:$C,MATCH(L1960,[1]Produtos!$B:$B,0)), "-")</f>
        <v>-</v>
      </c>
      <c r="N1960" s="511" t="str">
        <f>IFERROR(INDEX([1]Produtos!$E:$E,MATCH(L1960,[1]Produtos!$B:$B,0)), "-")</f>
        <v>-</v>
      </c>
      <c r="O1960" s="483" t="str">
        <f>IFERROR(INDEX([1]Produtos!$F:$F,MATCH(L1960,[1]Produtos!$B:$B,0)), "-")</f>
        <v>-</v>
      </c>
      <c r="P1960" s="477" t="str">
        <f>IFERROR(INDEX([1]Produtos!$G:$G,MATCH(L1960,[1]Produtos!$B:$B,0)), "-")</f>
        <v>-</v>
      </c>
      <c r="Q1960" s="483" t="str">
        <f>IFERROR(INDEX([1]Produtos!$H:$H,MATCH(L1960,[1]Produtos!$B:$B,0)), "-")</f>
        <v>-</v>
      </c>
      <c r="R1960" s="483" t="str">
        <f>IFERROR(INDEX([1]Produtos!$I:$I,MATCH(L1960,[1]Produtos!$B:$B,0)), "-")</f>
        <v>-</v>
      </c>
      <c r="S1960" s="483" t="str">
        <f>IFERROR(INDEX([1]Produtos!$J:$J,MATCH(L1960,[1]Produtos!$B:$B,0)), "-")</f>
        <v>-</v>
      </c>
      <c r="T1960" s="484"/>
      <c r="U1960" s="483"/>
      <c r="V1960" s="483"/>
      <c r="W1960" s="483"/>
      <c r="X1960" s="483"/>
      <c r="Y1960" s="483"/>
      <c r="Z1960" s="483"/>
      <c r="AA1960" s="483"/>
      <c r="AB1960" s="483"/>
      <c r="AC1960" s="483"/>
      <c r="AD1960" s="483"/>
      <c r="AE1960" s="483"/>
      <c r="AF1960" s="483"/>
      <c r="AG1960" s="483"/>
      <c r="AH1960" s="483"/>
      <c r="AI1960" s="483"/>
      <c r="AJ1960" s="483"/>
      <c r="AK1960" s="483"/>
      <c r="AL1960" s="483"/>
      <c r="AM1960" s="670"/>
      <c r="AN1960" s="670"/>
      <c r="AO1960" s="711" t="str">
        <f>IF(OR(Table1[[#This Row],[Início Setup Envase]]="",Table1[[#This Row],[Final Setup Envase]]=""),"",Table1[[#This Row],[Final Setup Envase]]-Table1[[#This Row],[Início Setup Envase]])</f>
        <v/>
      </c>
      <c r="AP1960" s="670"/>
      <c r="AQ1960" s="670"/>
      <c r="AR1960" s="483"/>
      <c r="AS1960" s="483"/>
      <c r="AT1960" s="483"/>
      <c r="AU1960" s="483"/>
      <c r="AV1960" s="483"/>
      <c r="AW1960" s="483"/>
      <c r="AX1960" s="483"/>
      <c r="AY1960" s="270"/>
      <c r="AZ1960" s="270"/>
      <c r="BA1960" s="270" t="str">
        <f>IF(Table1[[#This Row],[Data de Início]]="","",YEAR(Table1[[#This Row],[Data de Início]]))</f>
        <v/>
      </c>
      <c r="BB1960" s="270" t="str">
        <f>IF(Table1[[#This Row],[Data de Início]]="","",MONTH(Table1[[#This Row],[Data de Início]]))</f>
        <v/>
      </c>
      <c r="BC1960" s="270"/>
    </row>
    <row r="1961" spans="2:55" x14ac:dyDescent="0.25">
      <c r="B1961" s="470"/>
      <c r="C1961" s="263"/>
      <c r="D1961" s="477" cm="1">
        <f t="array" ref="D1961">IFERROR(HorasUteisFabrica2Turnos(B1961,C1961), "")</f>
        <v>0</v>
      </c>
      <c r="E1961" s="697" t="str">
        <f t="shared" si="31"/>
        <v/>
      </c>
      <c r="F1961" s="266"/>
      <c r="G1961" s="698"/>
      <c r="H1961" s="266"/>
      <c r="I1961" s="268"/>
      <c r="J1961" s="268"/>
      <c r="K1961" s="268"/>
      <c r="L1961" s="269"/>
      <c r="M1961" s="510" t="str">
        <f>IFERROR(INDEX([1]Produtos!$C:$C,MATCH(L1961,[1]Produtos!$B:$B,0)), "-")</f>
        <v>-</v>
      </c>
      <c r="N1961" s="510" t="str">
        <f>IFERROR(INDEX([1]Produtos!$E:$E,MATCH(L1961,[1]Produtos!$B:$B,0)), "-")</f>
        <v>-</v>
      </c>
      <c r="O1961" s="270" t="str">
        <f>IFERROR(INDEX([1]Produtos!$F:$F,MATCH(L1961,[1]Produtos!$B:$B,0)), "-")</f>
        <v>-</v>
      </c>
      <c r="P1961" s="264" t="str">
        <f>IFERROR(INDEX([1]Produtos!$G:$G,MATCH(L1961,[1]Produtos!$B:$B,0)), "-")</f>
        <v>-</v>
      </c>
      <c r="Q1961" s="270" t="str">
        <f>IFERROR(INDEX([1]Produtos!$H:$H,MATCH(L1961,[1]Produtos!$B:$B,0)), "-")</f>
        <v>-</v>
      </c>
      <c r="R1961" s="270" t="str">
        <f>IFERROR(INDEX([1]Produtos!$I:$I,MATCH(L1961,[1]Produtos!$B:$B,0)), "-")</f>
        <v>-</v>
      </c>
      <c r="S1961" s="270" t="str">
        <f>IFERROR(INDEX([1]Produtos!$J:$J,MATCH(L1961,[1]Produtos!$B:$B,0)), "-")</f>
        <v>-</v>
      </c>
      <c r="T1961" s="475"/>
      <c r="U1961" s="270"/>
      <c r="V1961" s="270"/>
      <c r="W1961" s="270"/>
      <c r="X1961" s="270"/>
      <c r="Y1961" s="270"/>
      <c r="Z1961" s="270"/>
      <c r="AA1961" s="270"/>
      <c r="AB1961" s="270"/>
      <c r="AC1961" s="270"/>
      <c r="AD1961" s="270"/>
      <c r="AE1961" s="270"/>
      <c r="AF1961" s="270"/>
      <c r="AG1961" s="270"/>
      <c r="AH1961" s="270"/>
      <c r="AI1961" s="270"/>
      <c r="AJ1961" s="270"/>
      <c r="AK1961" s="270"/>
      <c r="AL1961" s="270"/>
      <c r="AM1961" s="663"/>
      <c r="AN1961" s="663"/>
      <c r="AO1961" s="708" t="str">
        <f>IF(OR(Table1[[#This Row],[Início Setup Envase]]="",Table1[[#This Row],[Final Setup Envase]]=""),"",Table1[[#This Row],[Final Setup Envase]]-Table1[[#This Row],[Início Setup Envase]])</f>
        <v/>
      </c>
      <c r="AP1961" s="663"/>
      <c r="AQ1961" s="663"/>
      <c r="AR1961" s="270"/>
      <c r="AS1961" s="674"/>
      <c r="AT1961" s="674"/>
      <c r="AU1961" s="270"/>
      <c r="AV1961" s="270"/>
      <c r="AW1961" s="270"/>
      <c r="AX1961" s="270"/>
      <c r="AY1961" s="270"/>
      <c r="AZ1961" s="270"/>
      <c r="BA1961" s="270" t="str">
        <f>IF(Table1[[#This Row],[Data de Início]]="","",YEAR(Table1[[#This Row],[Data de Início]]))</f>
        <v/>
      </c>
      <c r="BB1961" s="270" t="str">
        <f>IF(Table1[[#This Row],[Data de Início]]="","",MONTH(Table1[[#This Row],[Data de Início]]))</f>
        <v/>
      </c>
      <c r="BC1961" s="483"/>
    </row>
    <row r="1962" spans="2:55" x14ac:dyDescent="0.25">
      <c r="B1962" s="470"/>
      <c r="C1962" s="263"/>
      <c r="D1962" s="477" cm="1">
        <f t="array" ref="D1962">IFERROR(HorasUteisFabrica2Turnos(B1962,C1962), "")</f>
        <v>0</v>
      </c>
      <c r="E1962" s="478" t="str">
        <f t="shared" si="31"/>
        <v/>
      </c>
      <c r="F1962" s="266"/>
      <c r="G1962" s="656"/>
      <c r="H1962" s="479"/>
      <c r="I1962" s="268"/>
      <c r="J1962" s="268"/>
      <c r="K1962" s="268"/>
      <c r="L1962" s="269"/>
      <c r="M1962" s="511" t="str">
        <f>IFERROR(INDEX([1]Produtos!$C:$C,MATCH(L1962,[1]Produtos!$B:$B,0)), "-")</f>
        <v>-</v>
      </c>
      <c r="N1962" s="511" t="str">
        <f>IFERROR(INDEX([1]Produtos!$E:$E,MATCH(L1962,[1]Produtos!$B:$B,0)), "-")</f>
        <v>-</v>
      </c>
      <c r="O1962" s="483" t="str">
        <f>IFERROR(INDEX([1]Produtos!$F:$F,MATCH(L1962,[1]Produtos!$B:$B,0)), "-")</f>
        <v>-</v>
      </c>
      <c r="P1962" s="477" t="str">
        <f>IFERROR(INDEX([1]Produtos!$G:$G,MATCH(L1962,[1]Produtos!$B:$B,0)), "-")</f>
        <v>-</v>
      </c>
      <c r="Q1962" s="483" t="str">
        <f>IFERROR(INDEX([1]Produtos!$H:$H,MATCH(L1962,[1]Produtos!$B:$B,0)), "-")</f>
        <v>-</v>
      </c>
      <c r="R1962" s="483" t="str">
        <f>IFERROR(INDEX([1]Produtos!$I:$I,MATCH(L1962,[1]Produtos!$B:$B,0)), "-")</f>
        <v>-</v>
      </c>
      <c r="S1962" s="483" t="str">
        <f>IFERROR(INDEX([1]Produtos!$J:$J,MATCH(L1962,[1]Produtos!$B:$B,0)), "-")</f>
        <v>-</v>
      </c>
      <c r="T1962" s="484"/>
      <c r="U1962" s="483"/>
      <c r="V1962" s="483"/>
      <c r="W1962" s="483"/>
      <c r="X1962" s="483"/>
      <c r="Y1962" s="483"/>
      <c r="Z1962" s="483"/>
      <c r="AA1962" s="483"/>
      <c r="AB1962" s="483"/>
      <c r="AC1962" s="483"/>
      <c r="AD1962" s="483"/>
      <c r="AE1962" s="483"/>
      <c r="AF1962" s="483"/>
      <c r="AG1962" s="483"/>
      <c r="AH1962" s="483"/>
      <c r="AI1962" s="483"/>
      <c r="AJ1962" s="483"/>
      <c r="AK1962" s="483"/>
      <c r="AL1962" s="483"/>
      <c r="AM1962" s="670"/>
      <c r="AN1962" s="670"/>
      <c r="AO1962" s="711" t="str">
        <f>IF(OR(Table1[[#This Row],[Início Setup Envase]]="",Table1[[#This Row],[Final Setup Envase]]=""),"",Table1[[#This Row],[Final Setup Envase]]-Table1[[#This Row],[Início Setup Envase]])</f>
        <v/>
      </c>
      <c r="AP1962" s="670"/>
      <c r="AQ1962" s="670"/>
      <c r="AR1962" s="483"/>
      <c r="AS1962" s="483"/>
      <c r="AT1962" s="483"/>
      <c r="AU1962" s="483"/>
      <c r="AV1962" s="483"/>
      <c r="AW1962" s="483"/>
      <c r="AX1962" s="483"/>
      <c r="AY1962" s="270"/>
      <c r="AZ1962" s="270"/>
      <c r="BA1962" s="270" t="str">
        <f>IF(Table1[[#This Row],[Data de Início]]="","",YEAR(Table1[[#This Row],[Data de Início]]))</f>
        <v/>
      </c>
      <c r="BB1962" s="270" t="str">
        <f>IF(Table1[[#This Row],[Data de Início]]="","",MONTH(Table1[[#This Row],[Data de Início]]))</f>
        <v/>
      </c>
      <c r="BC1962" s="270"/>
    </row>
    <row r="1963" spans="2:55" x14ac:dyDescent="0.25">
      <c r="B1963" s="470"/>
      <c r="C1963" s="263"/>
      <c r="D1963" s="477" cm="1">
        <f t="array" ref="D1963">IFERROR(HorasUteisFabrica2Turnos(B1963,C1963), "")</f>
        <v>0</v>
      </c>
      <c r="E1963" s="697" t="str">
        <f t="shared" si="31"/>
        <v/>
      </c>
      <c r="F1963" s="266"/>
      <c r="G1963" s="698"/>
      <c r="H1963" s="266"/>
      <c r="I1963" s="268"/>
      <c r="J1963" s="268"/>
      <c r="K1963" s="268"/>
      <c r="L1963" s="269"/>
      <c r="M1963" s="510" t="str">
        <f>IFERROR(INDEX([1]Produtos!$C:$C,MATCH(L1963,[1]Produtos!$B:$B,0)), "-")</f>
        <v>-</v>
      </c>
      <c r="N1963" s="510" t="str">
        <f>IFERROR(INDEX([1]Produtos!$E:$E,MATCH(L1963,[1]Produtos!$B:$B,0)), "-")</f>
        <v>-</v>
      </c>
      <c r="O1963" s="270" t="str">
        <f>IFERROR(INDEX([1]Produtos!$F:$F,MATCH(L1963,[1]Produtos!$B:$B,0)), "-")</f>
        <v>-</v>
      </c>
      <c r="P1963" s="264" t="str">
        <f>IFERROR(INDEX([1]Produtos!$G:$G,MATCH(L1963,[1]Produtos!$B:$B,0)), "-")</f>
        <v>-</v>
      </c>
      <c r="Q1963" s="270" t="str">
        <f>IFERROR(INDEX([1]Produtos!$H:$H,MATCH(L1963,[1]Produtos!$B:$B,0)), "-")</f>
        <v>-</v>
      </c>
      <c r="R1963" s="270" t="str">
        <f>IFERROR(INDEX([1]Produtos!$I:$I,MATCH(L1963,[1]Produtos!$B:$B,0)), "-")</f>
        <v>-</v>
      </c>
      <c r="S1963" s="270" t="str">
        <f>IFERROR(INDEX([1]Produtos!$J:$J,MATCH(L1963,[1]Produtos!$B:$B,0)), "-")</f>
        <v>-</v>
      </c>
      <c r="T1963" s="475"/>
      <c r="U1963" s="270"/>
      <c r="V1963" s="270"/>
      <c r="W1963" s="270"/>
      <c r="X1963" s="270"/>
      <c r="Y1963" s="270"/>
      <c r="Z1963" s="270"/>
      <c r="AA1963" s="270"/>
      <c r="AB1963" s="270"/>
      <c r="AC1963" s="270"/>
      <c r="AD1963" s="270"/>
      <c r="AE1963" s="270"/>
      <c r="AF1963" s="270"/>
      <c r="AG1963" s="270"/>
      <c r="AH1963" s="270"/>
      <c r="AI1963" s="270"/>
      <c r="AJ1963" s="270"/>
      <c r="AK1963" s="270"/>
      <c r="AL1963" s="270"/>
      <c r="AM1963" s="663"/>
      <c r="AN1963" s="663"/>
      <c r="AO1963" s="708" t="str">
        <f>IF(OR(Table1[[#This Row],[Início Setup Envase]]="",Table1[[#This Row],[Final Setup Envase]]=""),"",Table1[[#This Row],[Final Setup Envase]]-Table1[[#This Row],[Início Setup Envase]])</f>
        <v/>
      </c>
      <c r="AP1963" s="663"/>
      <c r="AQ1963" s="663"/>
      <c r="AR1963" s="270"/>
      <c r="AS1963" s="674"/>
      <c r="AT1963" s="674"/>
      <c r="AU1963" s="270"/>
      <c r="AV1963" s="270"/>
      <c r="AW1963" s="270"/>
      <c r="AX1963" s="270"/>
      <c r="AY1963" s="270"/>
      <c r="AZ1963" s="270"/>
      <c r="BA1963" s="270" t="str">
        <f>IF(Table1[[#This Row],[Data de Início]]="","",YEAR(Table1[[#This Row],[Data de Início]]))</f>
        <v/>
      </c>
      <c r="BB1963" s="270" t="str">
        <f>IF(Table1[[#This Row],[Data de Início]]="","",MONTH(Table1[[#This Row],[Data de Início]]))</f>
        <v/>
      </c>
      <c r="BC1963" s="483"/>
    </row>
    <row r="1964" spans="2:55" x14ac:dyDescent="0.25">
      <c r="B1964" s="470"/>
      <c r="C1964" s="263"/>
      <c r="D1964" s="477" cm="1">
        <f t="array" ref="D1964">IFERROR(HorasUteisFabrica2Turnos(B1964,C1964), "")</f>
        <v>0</v>
      </c>
      <c r="E1964" s="478" t="str">
        <f t="shared" si="31"/>
        <v/>
      </c>
      <c r="F1964" s="266"/>
      <c r="G1964" s="656"/>
      <c r="H1964" s="479"/>
      <c r="I1964" s="268"/>
      <c r="J1964" s="268"/>
      <c r="K1964" s="268"/>
      <c r="L1964" s="269"/>
      <c r="M1964" s="511" t="str">
        <f>IFERROR(INDEX([1]Produtos!$C:$C,MATCH(L1964,[1]Produtos!$B:$B,0)), "-")</f>
        <v>-</v>
      </c>
      <c r="N1964" s="511" t="str">
        <f>IFERROR(INDEX([1]Produtos!$E:$E,MATCH(L1964,[1]Produtos!$B:$B,0)), "-")</f>
        <v>-</v>
      </c>
      <c r="O1964" s="483" t="str">
        <f>IFERROR(INDEX([1]Produtos!$F:$F,MATCH(L1964,[1]Produtos!$B:$B,0)), "-")</f>
        <v>-</v>
      </c>
      <c r="P1964" s="477" t="str">
        <f>IFERROR(INDEX([1]Produtos!$G:$G,MATCH(L1964,[1]Produtos!$B:$B,0)), "-")</f>
        <v>-</v>
      </c>
      <c r="Q1964" s="483" t="str">
        <f>IFERROR(INDEX([1]Produtos!$H:$H,MATCH(L1964,[1]Produtos!$B:$B,0)), "-")</f>
        <v>-</v>
      </c>
      <c r="R1964" s="483" t="str">
        <f>IFERROR(INDEX([1]Produtos!$I:$I,MATCH(L1964,[1]Produtos!$B:$B,0)), "-")</f>
        <v>-</v>
      </c>
      <c r="S1964" s="483" t="str">
        <f>IFERROR(INDEX([1]Produtos!$J:$J,MATCH(L1964,[1]Produtos!$B:$B,0)), "-")</f>
        <v>-</v>
      </c>
      <c r="T1964" s="484"/>
      <c r="U1964" s="483"/>
      <c r="V1964" s="483"/>
      <c r="W1964" s="483"/>
      <c r="X1964" s="483"/>
      <c r="Y1964" s="483"/>
      <c r="Z1964" s="483"/>
      <c r="AA1964" s="483"/>
      <c r="AB1964" s="483"/>
      <c r="AC1964" s="483"/>
      <c r="AD1964" s="483"/>
      <c r="AE1964" s="483"/>
      <c r="AF1964" s="483"/>
      <c r="AG1964" s="483"/>
      <c r="AH1964" s="483"/>
      <c r="AI1964" s="483"/>
      <c r="AJ1964" s="483"/>
      <c r="AK1964" s="483"/>
      <c r="AL1964" s="483"/>
      <c r="AM1964" s="670"/>
      <c r="AN1964" s="670"/>
      <c r="AO1964" s="711" t="str">
        <f>IF(OR(Table1[[#This Row],[Início Setup Envase]]="",Table1[[#This Row],[Final Setup Envase]]=""),"",Table1[[#This Row],[Final Setup Envase]]-Table1[[#This Row],[Início Setup Envase]])</f>
        <v/>
      </c>
      <c r="AP1964" s="670"/>
      <c r="AQ1964" s="670"/>
      <c r="AR1964" s="483"/>
      <c r="AS1964" s="483"/>
      <c r="AT1964" s="483"/>
      <c r="AU1964" s="483"/>
      <c r="AV1964" s="483"/>
      <c r="AW1964" s="483"/>
      <c r="AX1964" s="483"/>
      <c r="AY1964" s="270"/>
      <c r="AZ1964" s="270"/>
      <c r="BA1964" s="270" t="str">
        <f>IF(Table1[[#This Row],[Data de Início]]="","",YEAR(Table1[[#This Row],[Data de Início]]))</f>
        <v/>
      </c>
      <c r="BB1964" s="270" t="str">
        <f>IF(Table1[[#This Row],[Data de Início]]="","",MONTH(Table1[[#This Row],[Data de Início]]))</f>
        <v/>
      </c>
      <c r="BC1964" s="270"/>
    </row>
    <row r="1965" spans="2:55" x14ac:dyDescent="0.25">
      <c r="B1965" s="470"/>
      <c r="C1965" s="263"/>
      <c r="D1965" s="477" cm="1">
        <f t="array" ref="D1965">IFERROR(HorasUteisFabrica2Turnos(B1965,C1965), "")</f>
        <v>0</v>
      </c>
      <c r="E1965" s="697" t="str">
        <f t="shared" si="31"/>
        <v/>
      </c>
      <c r="F1965" s="266"/>
      <c r="G1965" s="698"/>
      <c r="H1965" s="266"/>
      <c r="I1965" s="268"/>
      <c r="J1965" s="268"/>
      <c r="K1965" s="268"/>
      <c r="L1965" s="269"/>
      <c r="M1965" s="510" t="str">
        <f>IFERROR(INDEX([1]Produtos!$C:$C,MATCH(L1965,[1]Produtos!$B:$B,0)), "-")</f>
        <v>-</v>
      </c>
      <c r="N1965" s="510" t="str">
        <f>IFERROR(INDEX([1]Produtos!$E:$E,MATCH(L1965,[1]Produtos!$B:$B,0)), "-")</f>
        <v>-</v>
      </c>
      <c r="O1965" s="270" t="str">
        <f>IFERROR(INDEX([1]Produtos!$F:$F,MATCH(L1965,[1]Produtos!$B:$B,0)), "-")</f>
        <v>-</v>
      </c>
      <c r="P1965" s="264" t="str">
        <f>IFERROR(INDEX([1]Produtos!$G:$G,MATCH(L1965,[1]Produtos!$B:$B,0)), "-")</f>
        <v>-</v>
      </c>
      <c r="Q1965" s="270" t="str">
        <f>IFERROR(INDEX([1]Produtos!$H:$H,MATCH(L1965,[1]Produtos!$B:$B,0)), "-")</f>
        <v>-</v>
      </c>
      <c r="R1965" s="270" t="str">
        <f>IFERROR(INDEX([1]Produtos!$I:$I,MATCH(L1965,[1]Produtos!$B:$B,0)), "-")</f>
        <v>-</v>
      </c>
      <c r="S1965" s="270" t="str">
        <f>IFERROR(INDEX([1]Produtos!$J:$J,MATCH(L1965,[1]Produtos!$B:$B,0)), "-")</f>
        <v>-</v>
      </c>
      <c r="T1965" s="475"/>
      <c r="U1965" s="270"/>
      <c r="V1965" s="270"/>
      <c r="W1965" s="270"/>
      <c r="X1965" s="270"/>
      <c r="Y1965" s="270"/>
      <c r="Z1965" s="270"/>
      <c r="AA1965" s="270"/>
      <c r="AB1965" s="270"/>
      <c r="AC1965" s="270"/>
      <c r="AD1965" s="270"/>
      <c r="AE1965" s="270"/>
      <c r="AF1965" s="270"/>
      <c r="AG1965" s="270"/>
      <c r="AH1965" s="270"/>
      <c r="AI1965" s="270"/>
      <c r="AJ1965" s="270"/>
      <c r="AK1965" s="270"/>
      <c r="AL1965" s="270"/>
      <c r="AM1965" s="663"/>
      <c r="AN1965" s="663"/>
      <c r="AO1965" s="708" t="str">
        <f>IF(OR(Table1[[#This Row],[Início Setup Envase]]="",Table1[[#This Row],[Final Setup Envase]]=""),"",Table1[[#This Row],[Final Setup Envase]]-Table1[[#This Row],[Início Setup Envase]])</f>
        <v/>
      </c>
      <c r="AP1965" s="663"/>
      <c r="AQ1965" s="663"/>
      <c r="AR1965" s="270"/>
      <c r="AS1965" s="674"/>
      <c r="AT1965" s="674"/>
      <c r="AU1965" s="270"/>
      <c r="AV1965" s="270"/>
      <c r="AW1965" s="270"/>
      <c r="AX1965" s="270"/>
      <c r="AY1965" s="270"/>
      <c r="AZ1965" s="270"/>
      <c r="BA1965" s="270" t="str">
        <f>IF(Table1[[#This Row],[Data de Início]]="","",YEAR(Table1[[#This Row],[Data de Início]]))</f>
        <v/>
      </c>
      <c r="BB1965" s="270" t="str">
        <f>IF(Table1[[#This Row],[Data de Início]]="","",MONTH(Table1[[#This Row],[Data de Início]]))</f>
        <v/>
      </c>
      <c r="BC1965" s="483"/>
    </row>
    <row r="1966" spans="2:55" x14ac:dyDescent="0.25">
      <c r="B1966" s="470"/>
      <c r="C1966" s="263"/>
      <c r="D1966" s="477" cm="1">
        <f t="array" ref="D1966">IFERROR(HorasUteisFabrica2Turnos(B1966,C1966), "")</f>
        <v>0</v>
      </c>
      <c r="E1966" s="478" t="str">
        <f t="shared" si="31"/>
        <v/>
      </c>
      <c r="F1966" s="266"/>
      <c r="G1966" s="656"/>
      <c r="H1966" s="479"/>
      <c r="I1966" s="268"/>
      <c r="J1966" s="268"/>
      <c r="K1966" s="268"/>
      <c r="L1966" s="269"/>
      <c r="M1966" s="511" t="str">
        <f>IFERROR(INDEX([1]Produtos!$C:$C,MATCH(L1966,[1]Produtos!$B:$B,0)), "-")</f>
        <v>-</v>
      </c>
      <c r="N1966" s="511" t="str">
        <f>IFERROR(INDEX([1]Produtos!$E:$E,MATCH(L1966,[1]Produtos!$B:$B,0)), "-")</f>
        <v>-</v>
      </c>
      <c r="O1966" s="483" t="str">
        <f>IFERROR(INDEX([1]Produtos!$F:$F,MATCH(L1966,[1]Produtos!$B:$B,0)), "-")</f>
        <v>-</v>
      </c>
      <c r="P1966" s="477" t="str">
        <f>IFERROR(INDEX([1]Produtos!$G:$G,MATCH(L1966,[1]Produtos!$B:$B,0)), "-")</f>
        <v>-</v>
      </c>
      <c r="Q1966" s="483" t="str">
        <f>IFERROR(INDEX([1]Produtos!$H:$H,MATCH(L1966,[1]Produtos!$B:$B,0)), "-")</f>
        <v>-</v>
      </c>
      <c r="R1966" s="483" t="str">
        <f>IFERROR(INDEX([1]Produtos!$I:$I,MATCH(L1966,[1]Produtos!$B:$B,0)), "-")</f>
        <v>-</v>
      </c>
      <c r="S1966" s="483" t="str">
        <f>IFERROR(INDEX([1]Produtos!$J:$J,MATCH(L1966,[1]Produtos!$B:$B,0)), "-")</f>
        <v>-</v>
      </c>
      <c r="T1966" s="484"/>
      <c r="U1966" s="483"/>
      <c r="V1966" s="483"/>
      <c r="W1966" s="483"/>
      <c r="X1966" s="483"/>
      <c r="Y1966" s="483"/>
      <c r="Z1966" s="483"/>
      <c r="AA1966" s="483"/>
      <c r="AB1966" s="483"/>
      <c r="AC1966" s="483"/>
      <c r="AD1966" s="483"/>
      <c r="AE1966" s="483"/>
      <c r="AF1966" s="483"/>
      <c r="AG1966" s="483"/>
      <c r="AH1966" s="483"/>
      <c r="AI1966" s="483"/>
      <c r="AJ1966" s="483"/>
      <c r="AK1966" s="483"/>
      <c r="AL1966" s="483"/>
      <c r="AM1966" s="670"/>
      <c r="AN1966" s="670"/>
      <c r="AO1966" s="711" t="str">
        <f>IF(OR(Table1[[#This Row],[Início Setup Envase]]="",Table1[[#This Row],[Final Setup Envase]]=""),"",Table1[[#This Row],[Final Setup Envase]]-Table1[[#This Row],[Início Setup Envase]])</f>
        <v/>
      </c>
      <c r="AP1966" s="670"/>
      <c r="AQ1966" s="670"/>
      <c r="AR1966" s="483"/>
      <c r="AS1966" s="483"/>
      <c r="AT1966" s="483"/>
      <c r="AU1966" s="483"/>
      <c r="AV1966" s="483"/>
      <c r="AW1966" s="483"/>
      <c r="AX1966" s="483"/>
      <c r="AY1966" s="270"/>
      <c r="AZ1966" s="270"/>
      <c r="BA1966" s="270" t="str">
        <f>IF(Table1[[#This Row],[Data de Início]]="","",YEAR(Table1[[#This Row],[Data de Início]]))</f>
        <v/>
      </c>
      <c r="BB1966" s="270" t="str">
        <f>IF(Table1[[#This Row],[Data de Início]]="","",MONTH(Table1[[#This Row],[Data de Início]]))</f>
        <v/>
      </c>
      <c r="BC1966" s="270"/>
    </row>
    <row r="1967" spans="2:55" x14ac:dyDescent="0.25">
      <c r="B1967" s="470"/>
      <c r="C1967" s="263"/>
      <c r="D1967" s="477" cm="1">
        <f t="array" ref="D1967">IFERROR(HorasUteisFabrica2Turnos(B1967,C1967), "")</f>
        <v>0</v>
      </c>
      <c r="E1967" s="697" t="str">
        <f t="shared" si="31"/>
        <v/>
      </c>
      <c r="F1967" s="266"/>
      <c r="G1967" s="698"/>
      <c r="H1967" s="266"/>
      <c r="I1967" s="268"/>
      <c r="J1967" s="268"/>
      <c r="K1967" s="268"/>
      <c r="L1967" s="269"/>
      <c r="M1967" s="510" t="str">
        <f>IFERROR(INDEX([1]Produtos!$C:$C,MATCH(L1967,[1]Produtos!$B:$B,0)), "-")</f>
        <v>-</v>
      </c>
      <c r="N1967" s="510" t="str">
        <f>IFERROR(INDEX([1]Produtos!$E:$E,MATCH(L1967,[1]Produtos!$B:$B,0)), "-")</f>
        <v>-</v>
      </c>
      <c r="O1967" s="270" t="str">
        <f>IFERROR(INDEX([1]Produtos!$F:$F,MATCH(L1967,[1]Produtos!$B:$B,0)), "-")</f>
        <v>-</v>
      </c>
      <c r="P1967" s="264" t="str">
        <f>IFERROR(INDEX([1]Produtos!$G:$G,MATCH(L1967,[1]Produtos!$B:$B,0)), "-")</f>
        <v>-</v>
      </c>
      <c r="Q1967" s="270" t="str">
        <f>IFERROR(INDEX([1]Produtos!$H:$H,MATCH(L1967,[1]Produtos!$B:$B,0)), "-")</f>
        <v>-</v>
      </c>
      <c r="R1967" s="270" t="str">
        <f>IFERROR(INDEX([1]Produtos!$I:$I,MATCH(L1967,[1]Produtos!$B:$B,0)), "-")</f>
        <v>-</v>
      </c>
      <c r="S1967" s="270" t="str">
        <f>IFERROR(INDEX([1]Produtos!$J:$J,MATCH(L1967,[1]Produtos!$B:$B,0)), "-")</f>
        <v>-</v>
      </c>
      <c r="T1967" s="475"/>
      <c r="U1967" s="270"/>
      <c r="V1967" s="270"/>
      <c r="W1967" s="270"/>
      <c r="X1967" s="270"/>
      <c r="Y1967" s="270"/>
      <c r="Z1967" s="270"/>
      <c r="AA1967" s="270"/>
      <c r="AB1967" s="270"/>
      <c r="AC1967" s="270"/>
      <c r="AD1967" s="270"/>
      <c r="AE1967" s="270"/>
      <c r="AF1967" s="270"/>
      <c r="AG1967" s="270"/>
      <c r="AH1967" s="270"/>
      <c r="AI1967" s="270"/>
      <c r="AJ1967" s="270"/>
      <c r="AK1967" s="270"/>
      <c r="AL1967" s="270"/>
      <c r="AM1967" s="663"/>
      <c r="AN1967" s="663"/>
      <c r="AO1967" s="708" t="str">
        <f>IF(OR(Table1[[#This Row],[Início Setup Envase]]="",Table1[[#This Row],[Final Setup Envase]]=""),"",Table1[[#This Row],[Final Setup Envase]]-Table1[[#This Row],[Início Setup Envase]])</f>
        <v/>
      </c>
      <c r="AP1967" s="663"/>
      <c r="AQ1967" s="663"/>
      <c r="AR1967" s="270"/>
      <c r="AS1967" s="674"/>
      <c r="AT1967" s="674"/>
      <c r="AU1967" s="270"/>
      <c r="AV1967" s="270"/>
      <c r="AW1967" s="270"/>
      <c r="AX1967" s="270"/>
      <c r="AY1967" s="270"/>
      <c r="AZ1967" s="270"/>
      <c r="BA1967" s="270" t="str">
        <f>IF(Table1[[#This Row],[Data de Início]]="","",YEAR(Table1[[#This Row],[Data de Início]]))</f>
        <v/>
      </c>
      <c r="BB1967" s="270" t="str">
        <f>IF(Table1[[#This Row],[Data de Início]]="","",MONTH(Table1[[#This Row],[Data de Início]]))</f>
        <v/>
      </c>
      <c r="BC1967" s="483"/>
    </row>
    <row r="1968" spans="2:55" x14ac:dyDescent="0.25">
      <c r="B1968" s="470"/>
      <c r="C1968" s="263"/>
      <c r="D1968" s="477" cm="1">
        <f t="array" ref="D1968">IFERROR(HorasUteisFabrica2Turnos(B1968,C1968), "")</f>
        <v>0</v>
      </c>
      <c r="E1968" s="478" t="str">
        <f t="shared" si="31"/>
        <v/>
      </c>
      <c r="F1968" s="266"/>
      <c r="G1968" s="656"/>
      <c r="H1968" s="479"/>
      <c r="I1968" s="268"/>
      <c r="J1968" s="268"/>
      <c r="K1968" s="268"/>
      <c r="L1968" s="269"/>
      <c r="M1968" s="511" t="str">
        <f>IFERROR(INDEX([1]Produtos!$C:$C,MATCH(L1968,[1]Produtos!$B:$B,0)), "-")</f>
        <v>-</v>
      </c>
      <c r="N1968" s="511" t="str">
        <f>IFERROR(INDEX([1]Produtos!$E:$E,MATCH(L1968,[1]Produtos!$B:$B,0)), "-")</f>
        <v>-</v>
      </c>
      <c r="O1968" s="483" t="str">
        <f>IFERROR(INDEX([1]Produtos!$F:$F,MATCH(L1968,[1]Produtos!$B:$B,0)), "-")</f>
        <v>-</v>
      </c>
      <c r="P1968" s="477" t="str">
        <f>IFERROR(INDEX([1]Produtos!$G:$G,MATCH(L1968,[1]Produtos!$B:$B,0)), "-")</f>
        <v>-</v>
      </c>
      <c r="Q1968" s="483" t="str">
        <f>IFERROR(INDEX([1]Produtos!$H:$H,MATCH(L1968,[1]Produtos!$B:$B,0)), "-")</f>
        <v>-</v>
      </c>
      <c r="R1968" s="483" t="str">
        <f>IFERROR(INDEX([1]Produtos!$I:$I,MATCH(L1968,[1]Produtos!$B:$B,0)), "-")</f>
        <v>-</v>
      </c>
      <c r="S1968" s="483" t="str">
        <f>IFERROR(INDEX([1]Produtos!$J:$J,MATCH(L1968,[1]Produtos!$B:$B,0)), "-")</f>
        <v>-</v>
      </c>
      <c r="T1968" s="484"/>
      <c r="U1968" s="483"/>
      <c r="V1968" s="483"/>
      <c r="W1968" s="483"/>
      <c r="X1968" s="483"/>
      <c r="Y1968" s="483"/>
      <c r="Z1968" s="483"/>
      <c r="AA1968" s="483"/>
      <c r="AB1968" s="483"/>
      <c r="AC1968" s="483"/>
      <c r="AD1968" s="483"/>
      <c r="AE1968" s="483"/>
      <c r="AF1968" s="483"/>
      <c r="AG1968" s="483"/>
      <c r="AH1968" s="483"/>
      <c r="AI1968" s="483"/>
      <c r="AJ1968" s="483"/>
      <c r="AK1968" s="483"/>
      <c r="AL1968" s="483"/>
      <c r="AM1968" s="670"/>
      <c r="AN1968" s="670"/>
      <c r="AO1968" s="711" t="str">
        <f>IF(OR(Table1[[#This Row],[Início Setup Envase]]="",Table1[[#This Row],[Final Setup Envase]]=""),"",Table1[[#This Row],[Final Setup Envase]]-Table1[[#This Row],[Início Setup Envase]])</f>
        <v/>
      </c>
      <c r="AP1968" s="670"/>
      <c r="AQ1968" s="670"/>
      <c r="AR1968" s="483"/>
      <c r="AS1968" s="483"/>
      <c r="AT1968" s="483"/>
      <c r="AU1968" s="483"/>
      <c r="AV1968" s="483"/>
      <c r="AW1968" s="483"/>
      <c r="AX1968" s="483"/>
      <c r="AY1968" s="270"/>
      <c r="AZ1968" s="270"/>
      <c r="BA1968" s="270" t="str">
        <f>IF(Table1[[#This Row],[Data de Início]]="","",YEAR(Table1[[#This Row],[Data de Início]]))</f>
        <v/>
      </c>
      <c r="BB1968" s="270" t="str">
        <f>IF(Table1[[#This Row],[Data de Início]]="","",MONTH(Table1[[#This Row],[Data de Início]]))</f>
        <v/>
      </c>
      <c r="BC1968" s="270"/>
    </row>
    <row r="1969" spans="2:55" x14ac:dyDescent="0.25">
      <c r="B1969" s="470"/>
      <c r="C1969" s="263"/>
      <c r="D1969" s="477" cm="1">
        <f t="array" ref="D1969">IFERROR(HorasUteisFabrica2Turnos(B1969,C1969), "")</f>
        <v>0</v>
      </c>
      <c r="E1969" s="697" t="str">
        <f t="shared" si="31"/>
        <v/>
      </c>
      <c r="F1969" s="266"/>
      <c r="G1969" s="698"/>
      <c r="H1969" s="266"/>
      <c r="I1969" s="268"/>
      <c r="J1969" s="268"/>
      <c r="K1969" s="268"/>
      <c r="L1969" s="269"/>
      <c r="M1969" s="510" t="str">
        <f>IFERROR(INDEX([1]Produtos!$C:$C,MATCH(L1969,[1]Produtos!$B:$B,0)), "-")</f>
        <v>-</v>
      </c>
      <c r="N1969" s="510" t="str">
        <f>IFERROR(INDEX([1]Produtos!$E:$E,MATCH(L1969,[1]Produtos!$B:$B,0)), "-")</f>
        <v>-</v>
      </c>
      <c r="O1969" s="270" t="str">
        <f>IFERROR(INDEX([1]Produtos!$F:$F,MATCH(L1969,[1]Produtos!$B:$B,0)), "-")</f>
        <v>-</v>
      </c>
      <c r="P1969" s="264" t="str">
        <f>IFERROR(INDEX([1]Produtos!$G:$G,MATCH(L1969,[1]Produtos!$B:$B,0)), "-")</f>
        <v>-</v>
      </c>
      <c r="Q1969" s="270" t="str">
        <f>IFERROR(INDEX([1]Produtos!$H:$H,MATCH(L1969,[1]Produtos!$B:$B,0)), "-")</f>
        <v>-</v>
      </c>
      <c r="R1969" s="270" t="str">
        <f>IFERROR(INDEX([1]Produtos!$I:$I,MATCH(L1969,[1]Produtos!$B:$B,0)), "-")</f>
        <v>-</v>
      </c>
      <c r="S1969" s="270" t="str">
        <f>IFERROR(INDEX([1]Produtos!$J:$J,MATCH(L1969,[1]Produtos!$B:$B,0)), "-")</f>
        <v>-</v>
      </c>
      <c r="T1969" s="475"/>
      <c r="U1969" s="270"/>
      <c r="V1969" s="270"/>
      <c r="W1969" s="270"/>
      <c r="X1969" s="270"/>
      <c r="Y1969" s="270"/>
      <c r="Z1969" s="270"/>
      <c r="AA1969" s="270"/>
      <c r="AB1969" s="270"/>
      <c r="AC1969" s="270"/>
      <c r="AD1969" s="270"/>
      <c r="AE1969" s="270"/>
      <c r="AF1969" s="270"/>
      <c r="AG1969" s="270"/>
      <c r="AH1969" s="270"/>
      <c r="AI1969" s="270"/>
      <c r="AJ1969" s="270"/>
      <c r="AK1969" s="270"/>
      <c r="AL1969" s="270"/>
      <c r="AM1969" s="663"/>
      <c r="AN1969" s="663"/>
      <c r="AO1969" s="708" t="str">
        <f>IF(OR(Table1[[#This Row],[Início Setup Envase]]="",Table1[[#This Row],[Final Setup Envase]]=""),"",Table1[[#This Row],[Final Setup Envase]]-Table1[[#This Row],[Início Setup Envase]])</f>
        <v/>
      </c>
      <c r="AP1969" s="663"/>
      <c r="AQ1969" s="663"/>
      <c r="AR1969" s="270"/>
      <c r="AS1969" s="674"/>
      <c r="AT1969" s="674"/>
      <c r="AU1969" s="270"/>
      <c r="AV1969" s="270"/>
      <c r="AW1969" s="270"/>
      <c r="AX1969" s="270"/>
      <c r="AY1969" s="270"/>
      <c r="AZ1969" s="270"/>
      <c r="BA1969" s="270" t="str">
        <f>IF(Table1[[#This Row],[Data de Início]]="","",YEAR(Table1[[#This Row],[Data de Início]]))</f>
        <v/>
      </c>
      <c r="BB1969" s="270" t="str">
        <f>IF(Table1[[#This Row],[Data de Início]]="","",MONTH(Table1[[#This Row],[Data de Início]]))</f>
        <v/>
      </c>
      <c r="BC1969" s="483"/>
    </row>
    <row r="1970" spans="2:55" x14ac:dyDescent="0.25">
      <c r="B1970" s="470"/>
      <c r="C1970" s="263"/>
      <c r="D1970" s="477" cm="1">
        <f t="array" ref="D1970">IFERROR(HorasUteisFabrica2Turnos(B1970,C1970), "")</f>
        <v>0</v>
      </c>
      <c r="E1970" s="478" t="str">
        <f t="shared" si="31"/>
        <v/>
      </c>
      <c r="F1970" s="266"/>
      <c r="G1970" s="656"/>
      <c r="H1970" s="479"/>
      <c r="I1970" s="268"/>
      <c r="J1970" s="268"/>
      <c r="K1970" s="268"/>
      <c r="L1970" s="269"/>
      <c r="M1970" s="511" t="str">
        <f>IFERROR(INDEX([1]Produtos!$C:$C,MATCH(L1970,[1]Produtos!$B:$B,0)), "-")</f>
        <v>-</v>
      </c>
      <c r="N1970" s="511" t="str">
        <f>IFERROR(INDEX([1]Produtos!$E:$E,MATCH(L1970,[1]Produtos!$B:$B,0)), "-")</f>
        <v>-</v>
      </c>
      <c r="O1970" s="483" t="str">
        <f>IFERROR(INDEX([1]Produtos!$F:$F,MATCH(L1970,[1]Produtos!$B:$B,0)), "-")</f>
        <v>-</v>
      </c>
      <c r="P1970" s="477" t="str">
        <f>IFERROR(INDEX([1]Produtos!$G:$G,MATCH(L1970,[1]Produtos!$B:$B,0)), "-")</f>
        <v>-</v>
      </c>
      <c r="Q1970" s="483" t="str">
        <f>IFERROR(INDEX([1]Produtos!$H:$H,MATCH(L1970,[1]Produtos!$B:$B,0)), "-")</f>
        <v>-</v>
      </c>
      <c r="R1970" s="483" t="str">
        <f>IFERROR(INDEX([1]Produtos!$I:$I,MATCH(L1970,[1]Produtos!$B:$B,0)), "-")</f>
        <v>-</v>
      </c>
      <c r="S1970" s="483" t="str">
        <f>IFERROR(INDEX([1]Produtos!$J:$J,MATCH(L1970,[1]Produtos!$B:$B,0)), "-")</f>
        <v>-</v>
      </c>
      <c r="T1970" s="484"/>
      <c r="U1970" s="483"/>
      <c r="V1970" s="483"/>
      <c r="W1970" s="483"/>
      <c r="X1970" s="483"/>
      <c r="Y1970" s="483"/>
      <c r="Z1970" s="483"/>
      <c r="AA1970" s="483"/>
      <c r="AB1970" s="483"/>
      <c r="AC1970" s="483"/>
      <c r="AD1970" s="483"/>
      <c r="AE1970" s="483"/>
      <c r="AF1970" s="483"/>
      <c r="AG1970" s="483"/>
      <c r="AH1970" s="483"/>
      <c r="AI1970" s="483"/>
      <c r="AJ1970" s="483"/>
      <c r="AK1970" s="483"/>
      <c r="AL1970" s="483"/>
      <c r="AM1970" s="670"/>
      <c r="AN1970" s="670"/>
      <c r="AO1970" s="711" t="str">
        <f>IF(OR(Table1[[#This Row],[Início Setup Envase]]="",Table1[[#This Row],[Final Setup Envase]]=""),"",Table1[[#This Row],[Final Setup Envase]]-Table1[[#This Row],[Início Setup Envase]])</f>
        <v/>
      </c>
      <c r="AP1970" s="670"/>
      <c r="AQ1970" s="670"/>
      <c r="AR1970" s="483"/>
      <c r="AS1970" s="483"/>
      <c r="AT1970" s="483"/>
      <c r="AU1970" s="483"/>
      <c r="AV1970" s="483"/>
      <c r="AW1970" s="483"/>
      <c r="AX1970" s="483"/>
      <c r="AY1970" s="270"/>
      <c r="AZ1970" s="270"/>
      <c r="BA1970" s="270" t="str">
        <f>IF(Table1[[#This Row],[Data de Início]]="","",YEAR(Table1[[#This Row],[Data de Início]]))</f>
        <v/>
      </c>
      <c r="BB1970" s="270" t="str">
        <f>IF(Table1[[#This Row],[Data de Início]]="","",MONTH(Table1[[#This Row],[Data de Início]]))</f>
        <v/>
      </c>
      <c r="BC1970" s="270"/>
    </row>
    <row r="1971" spans="2:55" x14ac:dyDescent="0.25">
      <c r="B1971" s="470"/>
      <c r="C1971" s="263"/>
      <c r="D1971" s="477" cm="1">
        <f t="array" ref="D1971">IFERROR(HorasUteisFabrica2Turnos(B1971,C1971), "")</f>
        <v>0</v>
      </c>
      <c r="E1971" s="697" t="str">
        <f t="shared" si="31"/>
        <v/>
      </c>
      <c r="F1971" s="266"/>
      <c r="G1971" s="698"/>
      <c r="H1971" s="266"/>
      <c r="I1971" s="268"/>
      <c r="J1971" s="268"/>
      <c r="K1971" s="268"/>
      <c r="L1971" s="269"/>
      <c r="M1971" s="510" t="str">
        <f>IFERROR(INDEX([1]Produtos!$C:$C,MATCH(L1971,[1]Produtos!$B:$B,0)), "-")</f>
        <v>-</v>
      </c>
      <c r="N1971" s="510" t="str">
        <f>IFERROR(INDEX([1]Produtos!$E:$E,MATCH(L1971,[1]Produtos!$B:$B,0)), "-")</f>
        <v>-</v>
      </c>
      <c r="O1971" s="270" t="str">
        <f>IFERROR(INDEX([1]Produtos!$F:$F,MATCH(L1971,[1]Produtos!$B:$B,0)), "-")</f>
        <v>-</v>
      </c>
      <c r="P1971" s="264" t="str">
        <f>IFERROR(INDEX([1]Produtos!$G:$G,MATCH(L1971,[1]Produtos!$B:$B,0)), "-")</f>
        <v>-</v>
      </c>
      <c r="Q1971" s="270" t="str">
        <f>IFERROR(INDEX([1]Produtos!$H:$H,MATCH(L1971,[1]Produtos!$B:$B,0)), "-")</f>
        <v>-</v>
      </c>
      <c r="R1971" s="270" t="str">
        <f>IFERROR(INDEX([1]Produtos!$I:$I,MATCH(L1971,[1]Produtos!$B:$B,0)), "-")</f>
        <v>-</v>
      </c>
      <c r="S1971" s="270" t="str">
        <f>IFERROR(INDEX([1]Produtos!$J:$J,MATCH(L1971,[1]Produtos!$B:$B,0)), "-")</f>
        <v>-</v>
      </c>
      <c r="T1971" s="475"/>
      <c r="U1971" s="270"/>
      <c r="V1971" s="270"/>
      <c r="W1971" s="270"/>
      <c r="X1971" s="270"/>
      <c r="Y1971" s="270"/>
      <c r="Z1971" s="270"/>
      <c r="AA1971" s="270"/>
      <c r="AB1971" s="270"/>
      <c r="AC1971" s="270"/>
      <c r="AD1971" s="270"/>
      <c r="AE1971" s="270"/>
      <c r="AF1971" s="270"/>
      <c r="AG1971" s="270"/>
      <c r="AH1971" s="270"/>
      <c r="AI1971" s="270"/>
      <c r="AJ1971" s="270"/>
      <c r="AK1971" s="270"/>
      <c r="AL1971" s="270"/>
      <c r="AM1971" s="663"/>
      <c r="AN1971" s="663"/>
      <c r="AO1971" s="708" t="str">
        <f>IF(OR(Table1[[#This Row],[Início Setup Envase]]="",Table1[[#This Row],[Final Setup Envase]]=""),"",Table1[[#This Row],[Final Setup Envase]]-Table1[[#This Row],[Início Setup Envase]])</f>
        <v/>
      </c>
      <c r="AP1971" s="663"/>
      <c r="AQ1971" s="663"/>
      <c r="AR1971" s="270"/>
      <c r="AS1971" s="674"/>
      <c r="AT1971" s="674"/>
      <c r="AU1971" s="270"/>
      <c r="AV1971" s="270"/>
      <c r="AW1971" s="270"/>
      <c r="AX1971" s="270"/>
      <c r="AY1971" s="270"/>
      <c r="AZ1971" s="270"/>
      <c r="BA1971" s="270" t="str">
        <f>IF(Table1[[#This Row],[Data de Início]]="","",YEAR(Table1[[#This Row],[Data de Início]]))</f>
        <v/>
      </c>
      <c r="BB1971" s="270" t="str">
        <f>IF(Table1[[#This Row],[Data de Início]]="","",MONTH(Table1[[#This Row],[Data de Início]]))</f>
        <v/>
      </c>
      <c r="BC1971" s="483"/>
    </row>
    <row r="1972" spans="2:55" x14ac:dyDescent="0.25">
      <c r="B1972" s="470"/>
      <c r="C1972" s="263"/>
      <c r="D1972" s="477" cm="1">
        <f t="array" ref="D1972">IFERROR(HorasUteisFabrica2Turnos(B1972,C1972), "")</f>
        <v>0</v>
      </c>
      <c r="E1972" s="478" t="str">
        <f t="shared" si="31"/>
        <v/>
      </c>
      <c r="F1972" s="266"/>
      <c r="G1972" s="656"/>
      <c r="H1972" s="479"/>
      <c r="I1972" s="268"/>
      <c r="J1972" s="268"/>
      <c r="K1972" s="268"/>
      <c r="L1972" s="269"/>
      <c r="M1972" s="511" t="str">
        <f>IFERROR(INDEX([1]Produtos!$C:$C,MATCH(L1972,[1]Produtos!$B:$B,0)), "-")</f>
        <v>-</v>
      </c>
      <c r="N1972" s="511" t="str">
        <f>IFERROR(INDEX([1]Produtos!$E:$E,MATCH(L1972,[1]Produtos!$B:$B,0)), "-")</f>
        <v>-</v>
      </c>
      <c r="O1972" s="483" t="str">
        <f>IFERROR(INDEX([1]Produtos!$F:$F,MATCH(L1972,[1]Produtos!$B:$B,0)), "-")</f>
        <v>-</v>
      </c>
      <c r="P1972" s="477" t="str">
        <f>IFERROR(INDEX([1]Produtos!$G:$G,MATCH(L1972,[1]Produtos!$B:$B,0)), "-")</f>
        <v>-</v>
      </c>
      <c r="Q1972" s="483" t="str">
        <f>IFERROR(INDEX([1]Produtos!$H:$H,MATCH(L1972,[1]Produtos!$B:$B,0)), "-")</f>
        <v>-</v>
      </c>
      <c r="R1972" s="483" t="str">
        <f>IFERROR(INDEX([1]Produtos!$I:$I,MATCH(L1972,[1]Produtos!$B:$B,0)), "-")</f>
        <v>-</v>
      </c>
      <c r="S1972" s="483" t="str">
        <f>IFERROR(INDEX([1]Produtos!$J:$J,MATCH(L1972,[1]Produtos!$B:$B,0)), "-")</f>
        <v>-</v>
      </c>
      <c r="T1972" s="484"/>
      <c r="U1972" s="483"/>
      <c r="V1972" s="483"/>
      <c r="W1972" s="483"/>
      <c r="X1972" s="483"/>
      <c r="Y1972" s="483"/>
      <c r="Z1972" s="483"/>
      <c r="AA1972" s="483"/>
      <c r="AB1972" s="483"/>
      <c r="AC1972" s="483"/>
      <c r="AD1972" s="483"/>
      <c r="AE1972" s="483"/>
      <c r="AF1972" s="483"/>
      <c r="AG1972" s="483"/>
      <c r="AH1972" s="483"/>
      <c r="AI1972" s="483"/>
      <c r="AJ1972" s="483"/>
      <c r="AK1972" s="483"/>
      <c r="AL1972" s="483"/>
      <c r="AM1972" s="670"/>
      <c r="AN1972" s="670"/>
      <c r="AO1972" s="711" t="str">
        <f>IF(OR(Table1[[#This Row],[Início Setup Envase]]="",Table1[[#This Row],[Final Setup Envase]]=""),"",Table1[[#This Row],[Final Setup Envase]]-Table1[[#This Row],[Início Setup Envase]])</f>
        <v/>
      </c>
      <c r="AP1972" s="670"/>
      <c r="AQ1972" s="670"/>
      <c r="AR1972" s="483"/>
      <c r="AS1972" s="483"/>
      <c r="AT1972" s="483"/>
      <c r="AU1972" s="483"/>
      <c r="AV1972" s="483"/>
      <c r="AW1972" s="483"/>
      <c r="AX1972" s="483"/>
      <c r="AY1972" s="270"/>
      <c r="AZ1972" s="270"/>
      <c r="BA1972" s="270" t="str">
        <f>IF(Table1[[#This Row],[Data de Início]]="","",YEAR(Table1[[#This Row],[Data de Início]]))</f>
        <v/>
      </c>
      <c r="BB1972" s="270" t="str">
        <f>IF(Table1[[#This Row],[Data de Início]]="","",MONTH(Table1[[#This Row],[Data de Início]]))</f>
        <v/>
      </c>
      <c r="BC1972" s="270"/>
    </row>
    <row r="1973" spans="2:55" x14ac:dyDescent="0.25">
      <c r="B1973" s="470"/>
      <c r="C1973" s="263"/>
      <c r="D1973" s="477" cm="1">
        <f t="array" ref="D1973">IFERROR(HorasUteisFabrica2Turnos(B1973,C1973), "")</f>
        <v>0</v>
      </c>
      <c r="E1973" s="697" t="str">
        <f t="shared" si="31"/>
        <v/>
      </c>
      <c r="F1973" s="266"/>
      <c r="G1973" s="698"/>
      <c r="H1973" s="266"/>
      <c r="I1973" s="268"/>
      <c r="J1973" s="268"/>
      <c r="K1973" s="268"/>
      <c r="L1973" s="269"/>
      <c r="M1973" s="510" t="str">
        <f>IFERROR(INDEX([1]Produtos!$C:$C,MATCH(L1973,[1]Produtos!$B:$B,0)), "-")</f>
        <v>-</v>
      </c>
      <c r="N1973" s="510" t="str">
        <f>IFERROR(INDEX([1]Produtos!$E:$E,MATCH(L1973,[1]Produtos!$B:$B,0)), "-")</f>
        <v>-</v>
      </c>
      <c r="O1973" s="270" t="str">
        <f>IFERROR(INDEX([1]Produtos!$F:$F,MATCH(L1973,[1]Produtos!$B:$B,0)), "-")</f>
        <v>-</v>
      </c>
      <c r="P1973" s="264" t="str">
        <f>IFERROR(INDEX([1]Produtos!$G:$G,MATCH(L1973,[1]Produtos!$B:$B,0)), "-")</f>
        <v>-</v>
      </c>
      <c r="Q1973" s="270" t="str">
        <f>IFERROR(INDEX([1]Produtos!$H:$H,MATCH(L1973,[1]Produtos!$B:$B,0)), "-")</f>
        <v>-</v>
      </c>
      <c r="R1973" s="270" t="str">
        <f>IFERROR(INDEX([1]Produtos!$I:$I,MATCH(L1973,[1]Produtos!$B:$B,0)), "-")</f>
        <v>-</v>
      </c>
      <c r="S1973" s="270" t="str">
        <f>IFERROR(INDEX([1]Produtos!$J:$J,MATCH(L1973,[1]Produtos!$B:$B,0)), "-")</f>
        <v>-</v>
      </c>
      <c r="T1973" s="475"/>
      <c r="U1973" s="270"/>
      <c r="V1973" s="270"/>
      <c r="W1973" s="270"/>
      <c r="X1973" s="270"/>
      <c r="Y1973" s="270"/>
      <c r="Z1973" s="270"/>
      <c r="AA1973" s="270"/>
      <c r="AB1973" s="270"/>
      <c r="AC1973" s="270"/>
      <c r="AD1973" s="270"/>
      <c r="AE1973" s="270"/>
      <c r="AF1973" s="270"/>
      <c r="AG1973" s="270"/>
      <c r="AH1973" s="270"/>
      <c r="AI1973" s="270"/>
      <c r="AJ1973" s="270"/>
      <c r="AK1973" s="270"/>
      <c r="AL1973" s="270"/>
      <c r="AM1973" s="663"/>
      <c r="AN1973" s="663"/>
      <c r="AO1973" s="708" t="str">
        <f>IF(OR(Table1[[#This Row],[Início Setup Envase]]="",Table1[[#This Row],[Final Setup Envase]]=""),"",Table1[[#This Row],[Final Setup Envase]]-Table1[[#This Row],[Início Setup Envase]])</f>
        <v/>
      </c>
      <c r="AP1973" s="663"/>
      <c r="AQ1973" s="663"/>
      <c r="AR1973" s="270"/>
      <c r="AS1973" s="674"/>
      <c r="AT1973" s="674"/>
      <c r="AU1973" s="270"/>
      <c r="AV1973" s="270"/>
      <c r="AW1973" s="270"/>
      <c r="AX1973" s="270"/>
      <c r="AY1973" s="270"/>
      <c r="AZ1973" s="270"/>
      <c r="BA1973" s="270" t="str">
        <f>IF(Table1[[#This Row],[Data de Início]]="","",YEAR(Table1[[#This Row],[Data de Início]]))</f>
        <v/>
      </c>
      <c r="BB1973" s="270" t="str">
        <f>IF(Table1[[#This Row],[Data de Início]]="","",MONTH(Table1[[#This Row],[Data de Início]]))</f>
        <v/>
      </c>
      <c r="BC1973" s="483"/>
    </row>
    <row r="1974" spans="2:55" x14ac:dyDescent="0.25">
      <c r="B1974" s="470"/>
      <c r="C1974" s="263"/>
      <c r="D1974" s="477" cm="1">
        <f t="array" ref="D1974">IFERROR(HorasUteisFabrica2Turnos(B1974,C1974), "")</f>
        <v>0</v>
      </c>
      <c r="E1974" s="478" t="str">
        <f t="shared" si="31"/>
        <v/>
      </c>
      <c r="F1974" s="266"/>
      <c r="G1974" s="656"/>
      <c r="H1974" s="479"/>
      <c r="I1974" s="268"/>
      <c r="J1974" s="268"/>
      <c r="K1974" s="268"/>
      <c r="L1974" s="269"/>
      <c r="M1974" s="511" t="str">
        <f>IFERROR(INDEX([1]Produtos!$C:$C,MATCH(L1974,[1]Produtos!$B:$B,0)), "-")</f>
        <v>-</v>
      </c>
      <c r="N1974" s="511" t="str">
        <f>IFERROR(INDEX([1]Produtos!$E:$E,MATCH(L1974,[1]Produtos!$B:$B,0)), "-")</f>
        <v>-</v>
      </c>
      <c r="O1974" s="483" t="str">
        <f>IFERROR(INDEX([1]Produtos!$F:$F,MATCH(L1974,[1]Produtos!$B:$B,0)), "-")</f>
        <v>-</v>
      </c>
      <c r="P1974" s="477" t="str">
        <f>IFERROR(INDEX([1]Produtos!$G:$G,MATCH(L1974,[1]Produtos!$B:$B,0)), "-")</f>
        <v>-</v>
      </c>
      <c r="Q1974" s="483" t="str">
        <f>IFERROR(INDEX([1]Produtos!$H:$H,MATCH(L1974,[1]Produtos!$B:$B,0)), "-")</f>
        <v>-</v>
      </c>
      <c r="R1974" s="483" t="str">
        <f>IFERROR(INDEX([1]Produtos!$I:$I,MATCH(L1974,[1]Produtos!$B:$B,0)), "-")</f>
        <v>-</v>
      </c>
      <c r="S1974" s="483" t="str">
        <f>IFERROR(INDEX([1]Produtos!$J:$J,MATCH(L1974,[1]Produtos!$B:$B,0)), "-")</f>
        <v>-</v>
      </c>
      <c r="T1974" s="484"/>
      <c r="U1974" s="483"/>
      <c r="V1974" s="483"/>
      <c r="W1974" s="483"/>
      <c r="X1974" s="483"/>
      <c r="Y1974" s="483"/>
      <c r="Z1974" s="483"/>
      <c r="AA1974" s="483"/>
      <c r="AB1974" s="483"/>
      <c r="AC1974" s="483"/>
      <c r="AD1974" s="483"/>
      <c r="AE1974" s="483"/>
      <c r="AF1974" s="483"/>
      <c r="AG1974" s="483"/>
      <c r="AH1974" s="483"/>
      <c r="AI1974" s="483"/>
      <c r="AJ1974" s="483"/>
      <c r="AK1974" s="483"/>
      <c r="AL1974" s="483"/>
      <c r="AM1974" s="670"/>
      <c r="AN1974" s="670"/>
      <c r="AO1974" s="711" t="str">
        <f>IF(OR(Table1[[#This Row],[Início Setup Envase]]="",Table1[[#This Row],[Final Setup Envase]]=""),"",Table1[[#This Row],[Final Setup Envase]]-Table1[[#This Row],[Início Setup Envase]])</f>
        <v/>
      </c>
      <c r="AP1974" s="670"/>
      <c r="AQ1974" s="670"/>
      <c r="AR1974" s="483"/>
      <c r="AS1974" s="483"/>
      <c r="AT1974" s="483"/>
      <c r="AU1974" s="483"/>
      <c r="AV1974" s="483"/>
      <c r="AW1974" s="483"/>
      <c r="AX1974" s="483"/>
      <c r="AY1974" s="270"/>
      <c r="AZ1974" s="270"/>
      <c r="BA1974" s="270" t="str">
        <f>IF(Table1[[#This Row],[Data de Início]]="","",YEAR(Table1[[#This Row],[Data de Início]]))</f>
        <v/>
      </c>
      <c r="BB1974" s="270" t="str">
        <f>IF(Table1[[#This Row],[Data de Início]]="","",MONTH(Table1[[#This Row],[Data de Início]]))</f>
        <v/>
      </c>
      <c r="BC1974" s="270"/>
    </row>
    <row r="1975" spans="2:55" x14ac:dyDescent="0.25">
      <c r="B1975" s="470"/>
      <c r="C1975" s="263"/>
      <c r="D1975" s="477" cm="1">
        <f t="array" ref="D1975">IFERROR(HorasUteisFabrica2Turnos(B1975,C1975), "")</f>
        <v>0</v>
      </c>
      <c r="E1975" s="697" t="str">
        <f t="shared" si="31"/>
        <v/>
      </c>
      <c r="F1975" s="266"/>
      <c r="G1975" s="698"/>
      <c r="H1975" s="266"/>
      <c r="I1975" s="268"/>
      <c r="J1975" s="268"/>
      <c r="K1975" s="268"/>
      <c r="L1975" s="269"/>
      <c r="M1975" s="510" t="str">
        <f>IFERROR(INDEX([1]Produtos!$C:$C,MATCH(L1975,[1]Produtos!$B:$B,0)), "-")</f>
        <v>-</v>
      </c>
      <c r="N1975" s="510" t="str">
        <f>IFERROR(INDEX([1]Produtos!$E:$E,MATCH(L1975,[1]Produtos!$B:$B,0)), "-")</f>
        <v>-</v>
      </c>
      <c r="O1975" s="270" t="str">
        <f>IFERROR(INDEX([1]Produtos!$F:$F,MATCH(L1975,[1]Produtos!$B:$B,0)), "-")</f>
        <v>-</v>
      </c>
      <c r="P1975" s="264" t="str">
        <f>IFERROR(INDEX([1]Produtos!$G:$G,MATCH(L1975,[1]Produtos!$B:$B,0)), "-")</f>
        <v>-</v>
      </c>
      <c r="Q1975" s="270" t="str">
        <f>IFERROR(INDEX([1]Produtos!$H:$H,MATCH(L1975,[1]Produtos!$B:$B,0)), "-")</f>
        <v>-</v>
      </c>
      <c r="R1975" s="270" t="str">
        <f>IFERROR(INDEX([1]Produtos!$I:$I,MATCH(L1975,[1]Produtos!$B:$B,0)), "-")</f>
        <v>-</v>
      </c>
      <c r="S1975" s="270" t="str">
        <f>IFERROR(INDEX([1]Produtos!$J:$J,MATCH(L1975,[1]Produtos!$B:$B,0)), "-")</f>
        <v>-</v>
      </c>
      <c r="T1975" s="475"/>
      <c r="U1975" s="270"/>
      <c r="V1975" s="270"/>
      <c r="W1975" s="270"/>
      <c r="X1975" s="270"/>
      <c r="Y1975" s="270"/>
      <c r="Z1975" s="270"/>
      <c r="AA1975" s="270"/>
      <c r="AB1975" s="270"/>
      <c r="AC1975" s="270"/>
      <c r="AD1975" s="270"/>
      <c r="AE1975" s="270"/>
      <c r="AF1975" s="270"/>
      <c r="AG1975" s="270"/>
      <c r="AH1975" s="270"/>
      <c r="AI1975" s="270"/>
      <c r="AJ1975" s="270"/>
      <c r="AK1975" s="270"/>
      <c r="AL1975" s="270"/>
      <c r="AM1975" s="663"/>
      <c r="AN1975" s="663"/>
      <c r="AO1975" s="708" t="str">
        <f>IF(OR(Table1[[#This Row],[Início Setup Envase]]="",Table1[[#This Row],[Final Setup Envase]]=""),"",Table1[[#This Row],[Final Setup Envase]]-Table1[[#This Row],[Início Setup Envase]])</f>
        <v/>
      </c>
      <c r="AP1975" s="663"/>
      <c r="AQ1975" s="663"/>
      <c r="AR1975" s="270"/>
      <c r="AS1975" s="674"/>
      <c r="AT1975" s="674"/>
      <c r="AU1975" s="270"/>
      <c r="AV1975" s="270"/>
      <c r="AW1975" s="270"/>
      <c r="AX1975" s="270"/>
      <c r="AY1975" s="270"/>
      <c r="AZ1975" s="270"/>
      <c r="BA1975" s="270" t="str">
        <f>IF(Table1[[#This Row],[Data de Início]]="","",YEAR(Table1[[#This Row],[Data de Início]]))</f>
        <v/>
      </c>
      <c r="BB1975" s="270" t="str">
        <f>IF(Table1[[#This Row],[Data de Início]]="","",MONTH(Table1[[#This Row],[Data de Início]]))</f>
        <v/>
      </c>
      <c r="BC1975" s="483"/>
    </row>
    <row r="1976" spans="2:55" x14ac:dyDescent="0.25">
      <c r="B1976" s="470"/>
      <c r="C1976" s="263"/>
      <c r="D1976" s="477" cm="1">
        <f t="array" ref="D1976">IFERROR(HorasUteisFabrica2Turnos(B1976,C1976), "")</f>
        <v>0</v>
      </c>
      <c r="E1976" s="478" t="str">
        <f t="shared" si="31"/>
        <v/>
      </c>
      <c r="F1976" s="266"/>
      <c r="G1976" s="656"/>
      <c r="H1976" s="479"/>
      <c r="I1976" s="268"/>
      <c r="J1976" s="268"/>
      <c r="K1976" s="268"/>
      <c r="L1976" s="269"/>
      <c r="M1976" s="511" t="str">
        <f>IFERROR(INDEX([1]Produtos!$C:$C,MATCH(L1976,[1]Produtos!$B:$B,0)), "-")</f>
        <v>-</v>
      </c>
      <c r="N1976" s="511" t="str">
        <f>IFERROR(INDEX([1]Produtos!$E:$E,MATCH(L1976,[1]Produtos!$B:$B,0)), "-")</f>
        <v>-</v>
      </c>
      <c r="O1976" s="483" t="str">
        <f>IFERROR(INDEX([1]Produtos!$F:$F,MATCH(L1976,[1]Produtos!$B:$B,0)), "-")</f>
        <v>-</v>
      </c>
      <c r="P1976" s="477" t="str">
        <f>IFERROR(INDEX([1]Produtos!$G:$G,MATCH(L1976,[1]Produtos!$B:$B,0)), "-")</f>
        <v>-</v>
      </c>
      <c r="Q1976" s="483" t="str">
        <f>IFERROR(INDEX([1]Produtos!$H:$H,MATCH(L1976,[1]Produtos!$B:$B,0)), "-")</f>
        <v>-</v>
      </c>
      <c r="R1976" s="483" t="str">
        <f>IFERROR(INDEX([1]Produtos!$I:$I,MATCH(L1976,[1]Produtos!$B:$B,0)), "-")</f>
        <v>-</v>
      </c>
      <c r="S1976" s="483" t="str">
        <f>IFERROR(INDEX([1]Produtos!$J:$J,MATCH(L1976,[1]Produtos!$B:$B,0)), "-")</f>
        <v>-</v>
      </c>
      <c r="T1976" s="484"/>
      <c r="U1976" s="483"/>
      <c r="V1976" s="483"/>
      <c r="W1976" s="483"/>
      <c r="X1976" s="483"/>
      <c r="Y1976" s="483"/>
      <c r="Z1976" s="483"/>
      <c r="AA1976" s="483"/>
      <c r="AB1976" s="483"/>
      <c r="AC1976" s="483"/>
      <c r="AD1976" s="483"/>
      <c r="AE1976" s="483"/>
      <c r="AF1976" s="483"/>
      <c r="AG1976" s="483"/>
      <c r="AH1976" s="483"/>
      <c r="AI1976" s="483"/>
      <c r="AJ1976" s="483"/>
      <c r="AK1976" s="483"/>
      <c r="AL1976" s="483"/>
      <c r="AM1976" s="670"/>
      <c r="AN1976" s="670"/>
      <c r="AO1976" s="711" t="str">
        <f>IF(OR(Table1[[#This Row],[Início Setup Envase]]="",Table1[[#This Row],[Final Setup Envase]]=""),"",Table1[[#This Row],[Final Setup Envase]]-Table1[[#This Row],[Início Setup Envase]])</f>
        <v/>
      </c>
      <c r="AP1976" s="670"/>
      <c r="AQ1976" s="670"/>
      <c r="AR1976" s="483"/>
      <c r="AS1976" s="483"/>
      <c r="AT1976" s="483"/>
      <c r="AU1976" s="483"/>
      <c r="AV1976" s="483"/>
      <c r="AW1976" s="483"/>
      <c r="AX1976" s="483"/>
      <c r="AY1976" s="270"/>
      <c r="AZ1976" s="270"/>
      <c r="BA1976" s="270" t="str">
        <f>IF(Table1[[#This Row],[Data de Início]]="","",YEAR(Table1[[#This Row],[Data de Início]]))</f>
        <v/>
      </c>
      <c r="BB1976" s="270" t="str">
        <f>IF(Table1[[#This Row],[Data de Início]]="","",MONTH(Table1[[#This Row],[Data de Início]]))</f>
        <v/>
      </c>
      <c r="BC1976" s="270"/>
    </row>
    <row r="1977" spans="2:55" x14ac:dyDescent="0.25">
      <c r="B1977" s="470"/>
      <c r="C1977" s="263"/>
      <c r="D1977" s="477" cm="1">
        <f t="array" ref="D1977">IFERROR(HorasUteisFabrica2Turnos(B1977,C1977), "")</f>
        <v>0</v>
      </c>
      <c r="E1977" s="697" t="str">
        <f t="shared" si="31"/>
        <v/>
      </c>
      <c r="F1977" s="266"/>
      <c r="G1977" s="698"/>
      <c r="H1977" s="266"/>
      <c r="I1977" s="268"/>
      <c r="J1977" s="268"/>
      <c r="K1977" s="268"/>
      <c r="L1977" s="269"/>
      <c r="M1977" s="510" t="str">
        <f>IFERROR(INDEX([1]Produtos!$C:$C,MATCH(L1977,[1]Produtos!$B:$B,0)), "-")</f>
        <v>-</v>
      </c>
      <c r="N1977" s="510" t="str">
        <f>IFERROR(INDEX([1]Produtos!$E:$E,MATCH(L1977,[1]Produtos!$B:$B,0)), "-")</f>
        <v>-</v>
      </c>
      <c r="O1977" s="270" t="str">
        <f>IFERROR(INDEX([1]Produtos!$F:$F,MATCH(L1977,[1]Produtos!$B:$B,0)), "-")</f>
        <v>-</v>
      </c>
      <c r="P1977" s="264" t="str">
        <f>IFERROR(INDEX([1]Produtos!$G:$G,MATCH(L1977,[1]Produtos!$B:$B,0)), "-")</f>
        <v>-</v>
      </c>
      <c r="Q1977" s="270" t="str">
        <f>IFERROR(INDEX([1]Produtos!$H:$H,MATCH(L1977,[1]Produtos!$B:$B,0)), "-")</f>
        <v>-</v>
      </c>
      <c r="R1977" s="270" t="str">
        <f>IFERROR(INDEX([1]Produtos!$I:$I,MATCH(L1977,[1]Produtos!$B:$B,0)), "-")</f>
        <v>-</v>
      </c>
      <c r="S1977" s="270" t="str">
        <f>IFERROR(INDEX([1]Produtos!$J:$J,MATCH(L1977,[1]Produtos!$B:$B,0)), "-")</f>
        <v>-</v>
      </c>
      <c r="T1977" s="475"/>
      <c r="U1977" s="270"/>
      <c r="V1977" s="270"/>
      <c r="W1977" s="270"/>
      <c r="X1977" s="270"/>
      <c r="Y1977" s="270"/>
      <c r="Z1977" s="270"/>
      <c r="AA1977" s="270"/>
      <c r="AB1977" s="270"/>
      <c r="AC1977" s="270"/>
      <c r="AD1977" s="270"/>
      <c r="AE1977" s="270"/>
      <c r="AF1977" s="270"/>
      <c r="AG1977" s="270"/>
      <c r="AH1977" s="270"/>
      <c r="AI1977" s="270"/>
      <c r="AJ1977" s="270"/>
      <c r="AK1977" s="270"/>
      <c r="AL1977" s="270"/>
      <c r="AM1977" s="663"/>
      <c r="AN1977" s="663"/>
      <c r="AO1977" s="708" t="str">
        <f>IF(OR(Table1[[#This Row],[Início Setup Envase]]="",Table1[[#This Row],[Final Setup Envase]]=""),"",Table1[[#This Row],[Final Setup Envase]]-Table1[[#This Row],[Início Setup Envase]])</f>
        <v/>
      </c>
      <c r="AP1977" s="663"/>
      <c r="AQ1977" s="663"/>
      <c r="AR1977" s="270"/>
      <c r="AS1977" s="674"/>
      <c r="AT1977" s="674"/>
      <c r="AU1977" s="270"/>
      <c r="AV1977" s="270"/>
      <c r="AW1977" s="270"/>
      <c r="AX1977" s="270"/>
      <c r="AY1977" s="270"/>
      <c r="AZ1977" s="270"/>
      <c r="BA1977" s="270" t="str">
        <f>IF(Table1[[#This Row],[Data de Início]]="","",YEAR(Table1[[#This Row],[Data de Início]]))</f>
        <v/>
      </c>
      <c r="BB1977" s="270" t="str">
        <f>IF(Table1[[#This Row],[Data de Início]]="","",MONTH(Table1[[#This Row],[Data de Início]]))</f>
        <v/>
      </c>
      <c r="BC1977" s="483"/>
    </row>
    <row r="1978" spans="2:55" x14ac:dyDescent="0.25">
      <c r="B1978" s="470"/>
      <c r="C1978" s="263"/>
      <c r="D1978" s="477" cm="1">
        <f t="array" ref="D1978">IFERROR(HorasUteisFabrica2Turnos(B1978,C1978), "")</f>
        <v>0</v>
      </c>
      <c r="E1978" s="478" t="str">
        <f t="shared" si="31"/>
        <v/>
      </c>
      <c r="F1978" s="266"/>
      <c r="G1978" s="656"/>
      <c r="H1978" s="479"/>
      <c r="I1978" s="268"/>
      <c r="J1978" s="268"/>
      <c r="K1978" s="268"/>
      <c r="L1978" s="269"/>
      <c r="M1978" s="511" t="str">
        <f>IFERROR(INDEX([1]Produtos!$C:$C,MATCH(L1978,[1]Produtos!$B:$B,0)), "-")</f>
        <v>-</v>
      </c>
      <c r="N1978" s="511" t="str">
        <f>IFERROR(INDEX([1]Produtos!$E:$E,MATCH(L1978,[1]Produtos!$B:$B,0)), "-")</f>
        <v>-</v>
      </c>
      <c r="O1978" s="483" t="str">
        <f>IFERROR(INDEX([1]Produtos!$F:$F,MATCH(L1978,[1]Produtos!$B:$B,0)), "-")</f>
        <v>-</v>
      </c>
      <c r="P1978" s="477" t="str">
        <f>IFERROR(INDEX([1]Produtos!$G:$G,MATCH(L1978,[1]Produtos!$B:$B,0)), "-")</f>
        <v>-</v>
      </c>
      <c r="Q1978" s="483" t="str">
        <f>IFERROR(INDEX([1]Produtos!$H:$H,MATCH(L1978,[1]Produtos!$B:$B,0)), "-")</f>
        <v>-</v>
      </c>
      <c r="R1978" s="483" t="str">
        <f>IFERROR(INDEX([1]Produtos!$I:$I,MATCH(L1978,[1]Produtos!$B:$B,0)), "-")</f>
        <v>-</v>
      </c>
      <c r="S1978" s="483" t="str">
        <f>IFERROR(INDEX([1]Produtos!$J:$J,MATCH(L1978,[1]Produtos!$B:$B,0)), "-")</f>
        <v>-</v>
      </c>
      <c r="T1978" s="484"/>
      <c r="U1978" s="483"/>
      <c r="V1978" s="483"/>
      <c r="W1978" s="483"/>
      <c r="X1978" s="483"/>
      <c r="Y1978" s="483"/>
      <c r="Z1978" s="483"/>
      <c r="AA1978" s="483"/>
      <c r="AB1978" s="483"/>
      <c r="AC1978" s="483"/>
      <c r="AD1978" s="483"/>
      <c r="AE1978" s="483"/>
      <c r="AF1978" s="483"/>
      <c r="AG1978" s="483"/>
      <c r="AH1978" s="483"/>
      <c r="AI1978" s="483"/>
      <c r="AJ1978" s="483"/>
      <c r="AK1978" s="483"/>
      <c r="AL1978" s="483"/>
      <c r="AM1978" s="670"/>
      <c r="AN1978" s="670"/>
      <c r="AO1978" s="711" t="str">
        <f>IF(OR(Table1[[#This Row],[Início Setup Envase]]="",Table1[[#This Row],[Final Setup Envase]]=""),"",Table1[[#This Row],[Final Setup Envase]]-Table1[[#This Row],[Início Setup Envase]])</f>
        <v/>
      </c>
      <c r="AP1978" s="670"/>
      <c r="AQ1978" s="670"/>
      <c r="AR1978" s="483"/>
      <c r="AS1978" s="483"/>
      <c r="AT1978" s="483"/>
      <c r="AU1978" s="483"/>
      <c r="AV1978" s="483"/>
      <c r="AW1978" s="483"/>
      <c r="AX1978" s="483"/>
      <c r="AY1978" s="270"/>
      <c r="AZ1978" s="270"/>
      <c r="BA1978" s="270" t="str">
        <f>IF(Table1[[#This Row],[Data de Início]]="","",YEAR(Table1[[#This Row],[Data de Início]]))</f>
        <v/>
      </c>
      <c r="BB1978" s="270" t="str">
        <f>IF(Table1[[#This Row],[Data de Início]]="","",MONTH(Table1[[#This Row],[Data de Início]]))</f>
        <v/>
      </c>
      <c r="BC1978" s="270"/>
    </row>
    <row r="1979" spans="2:55" x14ac:dyDescent="0.25">
      <c r="B1979" s="470"/>
      <c r="C1979" s="263"/>
      <c r="D1979" s="477" cm="1">
        <f t="array" ref="D1979">IFERROR(HorasUteisFabrica2Turnos(B1979,C1979), "")</f>
        <v>0</v>
      </c>
      <c r="E1979" s="697" t="str">
        <f t="shared" si="31"/>
        <v/>
      </c>
      <c r="F1979" s="266"/>
      <c r="G1979" s="698"/>
      <c r="H1979" s="266"/>
      <c r="I1979" s="268"/>
      <c r="J1979" s="268"/>
      <c r="K1979" s="268"/>
      <c r="L1979" s="269"/>
      <c r="M1979" s="510" t="str">
        <f>IFERROR(INDEX([1]Produtos!$C:$C,MATCH(L1979,[1]Produtos!$B:$B,0)), "-")</f>
        <v>-</v>
      </c>
      <c r="N1979" s="510" t="str">
        <f>IFERROR(INDEX([1]Produtos!$E:$E,MATCH(L1979,[1]Produtos!$B:$B,0)), "-")</f>
        <v>-</v>
      </c>
      <c r="O1979" s="270" t="str">
        <f>IFERROR(INDEX([1]Produtos!$F:$F,MATCH(L1979,[1]Produtos!$B:$B,0)), "-")</f>
        <v>-</v>
      </c>
      <c r="P1979" s="264" t="str">
        <f>IFERROR(INDEX([1]Produtos!$G:$G,MATCH(L1979,[1]Produtos!$B:$B,0)), "-")</f>
        <v>-</v>
      </c>
      <c r="Q1979" s="270" t="str">
        <f>IFERROR(INDEX([1]Produtos!$H:$H,MATCH(L1979,[1]Produtos!$B:$B,0)), "-")</f>
        <v>-</v>
      </c>
      <c r="R1979" s="270" t="str">
        <f>IFERROR(INDEX([1]Produtos!$I:$I,MATCH(L1979,[1]Produtos!$B:$B,0)), "-")</f>
        <v>-</v>
      </c>
      <c r="S1979" s="270" t="str">
        <f>IFERROR(INDEX([1]Produtos!$J:$J,MATCH(L1979,[1]Produtos!$B:$B,0)), "-")</f>
        <v>-</v>
      </c>
      <c r="T1979" s="475"/>
      <c r="U1979" s="270"/>
      <c r="V1979" s="270"/>
      <c r="W1979" s="270"/>
      <c r="X1979" s="270"/>
      <c r="Y1979" s="270"/>
      <c r="Z1979" s="270"/>
      <c r="AA1979" s="270"/>
      <c r="AB1979" s="270"/>
      <c r="AC1979" s="270"/>
      <c r="AD1979" s="270"/>
      <c r="AE1979" s="270"/>
      <c r="AF1979" s="270"/>
      <c r="AG1979" s="270"/>
      <c r="AH1979" s="270"/>
      <c r="AI1979" s="270"/>
      <c r="AJ1979" s="270"/>
      <c r="AK1979" s="270"/>
      <c r="AL1979" s="270"/>
      <c r="AM1979" s="663"/>
      <c r="AN1979" s="663"/>
      <c r="AO1979" s="708" t="str">
        <f>IF(OR(Table1[[#This Row],[Início Setup Envase]]="",Table1[[#This Row],[Final Setup Envase]]=""),"",Table1[[#This Row],[Final Setup Envase]]-Table1[[#This Row],[Início Setup Envase]])</f>
        <v/>
      </c>
      <c r="AP1979" s="663"/>
      <c r="AQ1979" s="663"/>
      <c r="AR1979" s="270"/>
      <c r="AS1979" s="674"/>
      <c r="AT1979" s="674"/>
      <c r="AU1979" s="270"/>
      <c r="AV1979" s="270"/>
      <c r="AW1979" s="270"/>
      <c r="AX1979" s="270"/>
      <c r="AY1979" s="270"/>
      <c r="AZ1979" s="270"/>
      <c r="BA1979" s="270" t="str">
        <f>IF(Table1[[#This Row],[Data de Início]]="","",YEAR(Table1[[#This Row],[Data de Início]]))</f>
        <v/>
      </c>
      <c r="BB1979" s="270" t="str">
        <f>IF(Table1[[#This Row],[Data de Início]]="","",MONTH(Table1[[#This Row],[Data de Início]]))</f>
        <v/>
      </c>
      <c r="BC1979" s="483"/>
    </row>
    <row r="1980" spans="2:55" x14ac:dyDescent="0.25">
      <c r="B1980" s="470"/>
      <c r="C1980" s="263"/>
      <c r="D1980" s="477" cm="1">
        <f t="array" ref="D1980">IFERROR(HorasUteisFabrica2Turnos(B1980,C1980), "")</f>
        <v>0</v>
      </c>
      <c r="E1980" s="478" t="str">
        <f t="shared" si="31"/>
        <v/>
      </c>
      <c r="F1980" s="266"/>
      <c r="G1980" s="656"/>
      <c r="H1980" s="479"/>
      <c r="I1980" s="268"/>
      <c r="J1980" s="268"/>
      <c r="K1980" s="268"/>
      <c r="L1980" s="269"/>
      <c r="M1980" s="511" t="str">
        <f>IFERROR(INDEX([1]Produtos!$C:$C,MATCH(L1980,[1]Produtos!$B:$B,0)), "-")</f>
        <v>-</v>
      </c>
      <c r="N1980" s="511" t="str">
        <f>IFERROR(INDEX([1]Produtos!$E:$E,MATCH(L1980,[1]Produtos!$B:$B,0)), "-")</f>
        <v>-</v>
      </c>
      <c r="O1980" s="483" t="str">
        <f>IFERROR(INDEX([1]Produtos!$F:$F,MATCH(L1980,[1]Produtos!$B:$B,0)), "-")</f>
        <v>-</v>
      </c>
      <c r="P1980" s="477" t="str">
        <f>IFERROR(INDEX([1]Produtos!$G:$G,MATCH(L1980,[1]Produtos!$B:$B,0)), "-")</f>
        <v>-</v>
      </c>
      <c r="Q1980" s="483" t="str">
        <f>IFERROR(INDEX([1]Produtos!$H:$H,MATCH(L1980,[1]Produtos!$B:$B,0)), "-")</f>
        <v>-</v>
      </c>
      <c r="R1980" s="483" t="str">
        <f>IFERROR(INDEX([1]Produtos!$I:$I,MATCH(L1980,[1]Produtos!$B:$B,0)), "-")</f>
        <v>-</v>
      </c>
      <c r="S1980" s="483" t="str">
        <f>IFERROR(INDEX([1]Produtos!$J:$J,MATCH(L1980,[1]Produtos!$B:$B,0)), "-")</f>
        <v>-</v>
      </c>
      <c r="T1980" s="484"/>
      <c r="U1980" s="483"/>
      <c r="V1980" s="483"/>
      <c r="W1980" s="483"/>
      <c r="X1980" s="483"/>
      <c r="Y1980" s="483"/>
      <c r="Z1980" s="483"/>
      <c r="AA1980" s="483"/>
      <c r="AB1980" s="483"/>
      <c r="AC1980" s="483"/>
      <c r="AD1980" s="483"/>
      <c r="AE1980" s="483"/>
      <c r="AF1980" s="483"/>
      <c r="AG1980" s="483"/>
      <c r="AH1980" s="483"/>
      <c r="AI1980" s="483"/>
      <c r="AJ1980" s="483"/>
      <c r="AK1980" s="483"/>
      <c r="AL1980" s="483"/>
      <c r="AM1980" s="670"/>
      <c r="AN1980" s="670"/>
      <c r="AO1980" s="711" t="str">
        <f>IF(OR(Table1[[#This Row],[Início Setup Envase]]="",Table1[[#This Row],[Final Setup Envase]]=""),"",Table1[[#This Row],[Final Setup Envase]]-Table1[[#This Row],[Início Setup Envase]])</f>
        <v/>
      </c>
      <c r="AP1980" s="670"/>
      <c r="AQ1980" s="670"/>
      <c r="AR1980" s="483"/>
      <c r="AS1980" s="483"/>
      <c r="AT1980" s="483"/>
      <c r="AU1980" s="483"/>
      <c r="AV1980" s="483"/>
      <c r="AW1980" s="483"/>
      <c r="AX1980" s="483"/>
      <c r="AY1980" s="270"/>
      <c r="AZ1980" s="270"/>
      <c r="BA1980" s="270" t="str">
        <f>IF(Table1[[#This Row],[Data de Início]]="","",YEAR(Table1[[#This Row],[Data de Início]]))</f>
        <v/>
      </c>
      <c r="BB1980" s="270" t="str">
        <f>IF(Table1[[#This Row],[Data de Início]]="","",MONTH(Table1[[#This Row],[Data de Início]]))</f>
        <v/>
      </c>
      <c r="BC1980" s="270"/>
    </row>
    <row r="1981" spans="2:55" x14ac:dyDescent="0.25">
      <c r="B1981" s="470"/>
      <c r="C1981" s="263"/>
      <c r="D1981" s="477" cm="1">
        <f t="array" ref="D1981">IFERROR(HorasUteisFabrica2Turnos(B1981,C1981), "")</f>
        <v>0</v>
      </c>
      <c r="E1981" s="697" t="str">
        <f t="shared" si="31"/>
        <v/>
      </c>
      <c r="F1981" s="266"/>
      <c r="G1981" s="698"/>
      <c r="H1981" s="266"/>
      <c r="I1981" s="268"/>
      <c r="J1981" s="268"/>
      <c r="K1981" s="268"/>
      <c r="L1981" s="269"/>
      <c r="M1981" s="510" t="str">
        <f>IFERROR(INDEX([1]Produtos!$C:$C,MATCH(L1981,[1]Produtos!$B:$B,0)), "-")</f>
        <v>-</v>
      </c>
      <c r="N1981" s="510" t="str">
        <f>IFERROR(INDEX([1]Produtos!$E:$E,MATCH(L1981,[1]Produtos!$B:$B,0)), "-")</f>
        <v>-</v>
      </c>
      <c r="O1981" s="270" t="str">
        <f>IFERROR(INDEX([1]Produtos!$F:$F,MATCH(L1981,[1]Produtos!$B:$B,0)), "-")</f>
        <v>-</v>
      </c>
      <c r="P1981" s="264" t="str">
        <f>IFERROR(INDEX([1]Produtos!$G:$G,MATCH(L1981,[1]Produtos!$B:$B,0)), "-")</f>
        <v>-</v>
      </c>
      <c r="Q1981" s="270" t="str">
        <f>IFERROR(INDEX([1]Produtos!$H:$H,MATCH(L1981,[1]Produtos!$B:$B,0)), "-")</f>
        <v>-</v>
      </c>
      <c r="R1981" s="270" t="str">
        <f>IFERROR(INDEX([1]Produtos!$I:$I,MATCH(L1981,[1]Produtos!$B:$B,0)), "-")</f>
        <v>-</v>
      </c>
      <c r="S1981" s="270" t="str">
        <f>IFERROR(INDEX([1]Produtos!$J:$J,MATCH(L1981,[1]Produtos!$B:$B,0)), "-")</f>
        <v>-</v>
      </c>
      <c r="T1981" s="475"/>
      <c r="U1981" s="270"/>
      <c r="V1981" s="270"/>
      <c r="W1981" s="270"/>
      <c r="X1981" s="270"/>
      <c r="Y1981" s="270"/>
      <c r="Z1981" s="270"/>
      <c r="AA1981" s="270"/>
      <c r="AB1981" s="270"/>
      <c r="AC1981" s="270"/>
      <c r="AD1981" s="270"/>
      <c r="AE1981" s="270"/>
      <c r="AF1981" s="270"/>
      <c r="AG1981" s="270"/>
      <c r="AH1981" s="270"/>
      <c r="AI1981" s="270"/>
      <c r="AJ1981" s="270"/>
      <c r="AK1981" s="270"/>
      <c r="AL1981" s="270"/>
      <c r="AM1981" s="663"/>
      <c r="AN1981" s="663"/>
      <c r="AO1981" s="708" t="str">
        <f>IF(OR(Table1[[#This Row],[Início Setup Envase]]="",Table1[[#This Row],[Final Setup Envase]]=""),"",Table1[[#This Row],[Final Setup Envase]]-Table1[[#This Row],[Início Setup Envase]])</f>
        <v/>
      </c>
      <c r="AP1981" s="663"/>
      <c r="AQ1981" s="663"/>
      <c r="AR1981" s="270"/>
      <c r="AS1981" s="674"/>
      <c r="AT1981" s="674"/>
      <c r="AU1981" s="270"/>
      <c r="AV1981" s="270"/>
      <c r="AW1981" s="270"/>
      <c r="AX1981" s="270"/>
      <c r="AY1981" s="270"/>
      <c r="AZ1981" s="270"/>
      <c r="BA1981" s="270" t="str">
        <f>IF(Table1[[#This Row],[Data de Início]]="","",YEAR(Table1[[#This Row],[Data de Início]]))</f>
        <v/>
      </c>
      <c r="BB1981" s="270" t="str">
        <f>IF(Table1[[#This Row],[Data de Início]]="","",MONTH(Table1[[#This Row],[Data de Início]]))</f>
        <v/>
      </c>
      <c r="BC1981" s="483"/>
    </row>
    <row r="1982" spans="2:55" x14ac:dyDescent="0.25">
      <c r="B1982" s="470"/>
      <c r="C1982" s="263"/>
      <c r="D1982" s="477" cm="1">
        <f t="array" ref="D1982">IFERROR(HorasUteisFabrica2Turnos(B1982,C1982), "")</f>
        <v>0</v>
      </c>
      <c r="E1982" s="478" t="str">
        <f t="shared" si="31"/>
        <v/>
      </c>
      <c r="F1982" s="266"/>
      <c r="G1982" s="656"/>
      <c r="H1982" s="479"/>
      <c r="I1982" s="268"/>
      <c r="J1982" s="268"/>
      <c r="K1982" s="268"/>
      <c r="L1982" s="269"/>
      <c r="M1982" s="511" t="str">
        <f>IFERROR(INDEX([1]Produtos!$C:$C,MATCH(L1982,[1]Produtos!$B:$B,0)), "-")</f>
        <v>-</v>
      </c>
      <c r="N1982" s="511" t="str">
        <f>IFERROR(INDEX([1]Produtos!$E:$E,MATCH(L1982,[1]Produtos!$B:$B,0)), "-")</f>
        <v>-</v>
      </c>
      <c r="O1982" s="483" t="str">
        <f>IFERROR(INDEX([1]Produtos!$F:$F,MATCH(L1982,[1]Produtos!$B:$B,0)), "-")</f>
        <v>-</v>
      </c>
      <c r="P1982" s="477" t="str">
        <f>IFERROR(INDEX([1]Produtos!$G:$G,MATCH(L1982,[1]Produtos!$B:$B,0)), "-")</f>
        <v>-</v>
      </c>
      <c r="Q1982" s="483" t="str">
        <f>IFERROR(INDEX([1]Produtos!$H:$H,MATCH(L1982,[1]Produtos!$B:$B,0)), "-")</f>
        <v>-</v>
      </c>
      <c r="R1982" s="483" t="str">
        <f>IFERROR(INDEX([1]Produtos!$I:$I,MATCH(L1982,[1]Produtos!$B:$B,0)), "-")</f>
        <v>-</v>
      </c>
      <c r="S1982" s="483" t="str">
        <f>IFERROR(INDEX([1]Produtos!$J:$J,MATCH(L1982,[1]Produtos!$B:$B,0)), "-")</f>
        <v>-</v>
      </c>
      <c r="T1982" s="484"/>
      <c r="U1982" s="483"/>
      <c r="V1982" s="483"/>
      <c r="W1982" s="483"/>
      <c r="X1982" s="483"/>
      <c r="Y1982" s="483"/>
      <c r="Z1982" s="483"/>
      <c r="AA1982" s="483"/>
      <c r="AB1982" s="483"/>
      <c r="AC1982" s="483"/>
      <c r="AD1982" s="483"/>
      <c r="AE1982" s="483"/>
      <c r="AF1982" s="483"/>
      <c r="AG1982" s="483"/>
      <c r="AH1982" s="483"/>
      <c r="AI1982" s="483"/>
      <c r="AJ1982" s="483"/>
      <c r="AK1982" s="483"/>
      <c r="AL1982" s="483"/>
      <c r="AM1982" s="670"/>
      <c r="AN1982" s="670"/>
      <c r="AO1982" s="711" t="str">
        <f>IF(OR(Table1[[#This Row],[Início Setup Envase]]="",Table1[[#This Row],[Final Setup Envase]]=""),"",Table1[[#This Row],[Final Setup Envase]]-Table1[[#This Row],[Início Setup Envase]])</f>
        <v/>
      </c>
      <c r="AP1982" s="670"/>
      <c r="AQ1982" s="670"/>
      <c r="AR1982" s="483"/>
      <c r="AS1982" s="483"/>
      <c r="AT1982" s="483"/>
      <c r="AU1982" s="483"/>
      <c r="AV1982" s="483"/>
      <c r="AW1982" s="483"/>
      <c r="AX1982" s="483"/>
      <c r="AY1982" s="270"/>
      <c r="AZ1982" s="270"/>
      <c r="BA1982" s="270" t="str">
        <f>IF(Table1[[#This Row],[Data de Início]]="","",YEAR(Table1[[#This Row],[Data de Início]]))</f>
        <v/>
      </c>
      <c r="BB1982" s="270" t="str">
        <f>IF(Table1[[#This Row],[Data de Início]]="","",MONTH(Table1[[#This Row],[Data de Início]]))</f>
        <v/>
      </c>
      <c r="BC1982" s="270"/>
    </row>
    <row r="1983" spans="2:55" x14ac:dyDescent="0.25">
      <c r="B1983" s="470"/>
      <c r="C1983" s="263"/>
      <c r="D1983" s="477" cm="1">
        <f t="array" ref="D1983">IFERROR(HorasUteisFabrica2Turnos(B1983,C1983), "")</f>
        <v>0</v>
      </c>
      <c r="E1983" s="697" t="str">
        <f t="shared" si="31"/>
        <v/>
      </c>
      <c r="F1983" s="266"/>
      <c r="G1983" s="698"/>
      <c r="H1983" s="266"/>
      <c r="I1983" s="268"/>
      <c r="J1983" s="268"/>
      <c r="K1983" s="268"/>
      <c r="L1983" s="269"/>
      <c r="M1983" s="510" t="str">
        <f>IFERROR(INDEX([1]Produtos!$C:$C,MATCH(L1983,[1]Produtos!$B:$B,0)), "-")</f>
        <v>-</v>
      </c>
      <c r="N1983" s="510" t="str">
        <f>IFERROR(INDEX([1]Produtos!$E:$E,MATCH(L1983,[1]Produtos!$B:$B,0)), "-")</f>
        <v>-</v>
      </c>
      <c r="O1983" s="270" t="str">
        <f>IFERROR(INDEX([1]Produtos!$F:$F,MATCH(L1983,[1]Produtos!$B:$B,0)), "-")</f>
        <v>-</v>
      </c>
      <c r="P1983" s="264" t="str">
        <f>IFERROR(INDEX([1]Produtos!$G:$G,MATCH(L1983,[1]Produtos!$B:$B,0)), "-")</f>
        <v>-</v>
      </c>
      <c r="Q1983" s="270" t="str">
        <f>IFERROR(INDEX([1]Produtos!$H:$H,MATCH(L1983,[1]Produtos!$B:$B,0)), "-")</f>
        <v>-</v>
      </c>
      <c r="R1983" s="270" t="str">
        <f>IFERROR(INDEX([1]Produtos!$I:$I,MATCH(L1983,[1]Produtos!$B:$B,0)), "-")</f>
        <v>-</v>
      </c>
      <c r="S1983" s="270" t="str">
        <f>IFERROR(INDEX([1]Produtos!$J:$J,MATCH(L1983,[1]Produtos!$B:$B,0)), "-")</f>
        <v>-</v>
      </c>
      <c r="T1983" s="475"/>
      <c r="U1983" s="270"/>
      <c r="V1983" s="270"/>
      <c r="W1983" s="270"/>
      <c r="X1983" s="270"/>
      <c r="Y1983" s="270"/>
      <c r="Z1983" s="270"/>
      <c r="AA1983" s="270"/>
      <c r="AB1983" s="270"/>
      <c r="AC1983" s="270"/>
      <c r="AD1983" s="270"/>
      <c r="AE1983" s="270"/>
      <c r="AF1983" s="270"/>
      <c r="AG1983" s="270"/>
      <c r="AH1983" s="270"/>
      <c r="AI1983" s="270"/>
      <c r="AJ1983" s="270"/>
      <c r="AK1983" s="270"/>
      <c r="AL1983" s="270"/>
      <c r="AM1983" s="663"/>
      <c r="AN1983" s="663"/>
      <c r="AO1983" s="708" t="str">
        <f>IF(OR(Table1[[#This Row],[Início Setup Envase]]="",Table1[[#This Row],[Final Setup Envase]]=""),"",Table1[[#This Row],[Final Setup Envase]]-Table1[[#This Row],[Início Setup Envase]])</f>
        <v/>
      </c>
      <c r="AP1983" s="663"/>
      <c r="AQ1983" s="663"/>
      <c r="AR1983" s="270"/>
      <c r="AS1983" s="674"/>
      <c r="AT1983" s="674"/>
      <c r="AU1983" s="270"/>
      <c r="AV1983" s="270"/>
      <c r="AW1983" s="270"/>
      <c r="AX1983" s="270"/>
      <c r="AY1983" s="270"/>
      <c r="AZ1983" s="270"/>
      <c r="BA1983" s="270" t="str">
        <f>IF(Table1[[#This Row],[Data de Início]]="","",YEAR(Table1[[#This Row],[Data de Início]]))</f>
        <v/>
      </c>
      <c r="BB1983" s="270" t="str">
        <f>IF(Table1[[#This Row],[Data de Início]]="","",MONTH(Table1[[#This Row],[Data de Início]]))</f>
        <v/>
      </c>
      <c r="BC1983" s="483"/>
    </row>
    <row r="1984" spans="2:55" x14ac:dyDescent="0.25">
      <c r="B1984" s="470"/>
      <c r="C1984" s="263"/>
      <c r="D1984" s="477" cm="1">
        <f t="array" ref="D1984">IFERROR(HorasUteisFabrica2Turnos(B1984,C1984), "")</f>
        <v>0</v>
      </c>
      <c r="E1984" s="478" t="str">
        <f t="shared" si="31"/>
        <v/>
      </c>
      <c r="F1984" s="266"/>
      <c r="G1984" s="656"/>
      <c r="H1984" s="479"/>
      <c r="I1984" s="268"/>
      <c r="J1984" s="268"/>
      <c r="K1984" s="268"/>
      <c r="L1984" s="269"/>
      <c r="M1984" s="511" t="str">
        <f>IFERROR(INDEX([1]Produtos!$C:$C,MATCH(L1984,[1]Produtos!$B:$B,0)), "-")</f>
        <v>-</v>
      </c>
      <c r="N1984" s="511" t="str">
        <f>IFERROR(INDEX([1]Produtos!$E:$E,MATCH(L1984,[1]Produtos!$B:$B,0)), "-")</f>
        <v>-</v>
      </c>
      <c r="O1984" s="483" t="str">
        <f>IFERROR(INDEX([1]Produtos!$F:$F,MATCH(L1984,[1]Produtos!$B:$B,0)), "-")</f>
        <v>-</v>
      </c>
      <c r="P1984" s="477" t="str">
        <f>IFERROR(INDEX([1]Produtos!$G:$G,MATCH(L1984,[1]Produtos!$B:$B,0)), "-")</f>
        <v>-</v>
      </c>
      <c r="Q1984" s="483" t="str">
        <f>IFERROR(INDEX([1]Produtos!$H:$H,MATCH(L1984,[1]Produtos!$B:$B,0)), "-")</f>
        <v>-</v>
      </c>
      <c r="R1984" s="483" t="str">
        <f>IFERROR(INDEX([1]Produtos!$I:$I,MATCH(L1984,[1]Produtos!$B:$B,0)), "-")</f>
        <v>-</v>
      </c>
      <c r="S1984" s="483" t="str">
        <f>IFERROR(INDEX([1]Produtos!$J:$J,MATCH(L1984,[1]Produtos!$B:$B,0)), "-")</f>
        <v>-</v>
      </c>
      <c r="T1984" s="484"/>
      <c r="U1984" s="483"/>
      <c r="V1984" s="483"/>
      <c r="W1984" s="483"/>
      <c r="X1984" s="483"/>
      <c r="Y1984" s="483"/>
      <c r="Z1984" s="483"/>
      <c r="AA1984" s="483"/>
      <c r="AB1984" s="483"/>
      <c r="AC1984" s="483"/>
      <c r="AD1984" s="483"/>
      <c r="AE1984" s="483"/>
      <c r="AF1984" s="483"/>
      <c r="AG1984" s="483"/>
      <c r="AH1984" s="483"/>
      <c r="AI1984" s="483"/>
      <c r="AJ1984" s="483"/>
      <c r="AK1984" s="483"/>
      <c r="AL1984" s="483"/>
      <c r="AM1984" s="670"/>
      <c r="AN1984" s="670"/>
      <c r="AO1984" s="711" t="str">
        <f>IF(OR(Table1[[#This Row],[Início Setup Envase]]="",Table1[[#This Row],[Final Setup Envase]]=""),"",Table1[[#This Row],[Final Setup Envase]]-Table1[[#This Row],[Início Setup Envase]])</f>
        <v/>
      </c>
      <c r="AP1984" s="670"/>
      <c r="AQ1984" s="670"/>
      <c r="AR1984" s="483"/>
      <c r="AS1984" s="483"/>
      <c r="AT1984" s="483"/>
      <c r="AU1984" s="483"/>
      <c r="AV1984" s="483"/>
      <c r="AW1984" s="483"/>
      <c r="AX1984" s="483"/>
      <c r="AY1984" s="270"/>
      <c r="AZ1984" s="270"/>
      <c r="BA1984" s="270" t="str">
        <f>IF(Table1[[#This Row],[Data de Início]]="","",YEAR(Table1[[#This Row],[Data de Início]]))</f>
        <v/>
      </c>
      <c r="BB1984" s="270" t="str">
        <f>IF(Table1[[#This Row],[Data de Início]]="","",MONTH(Table1[[#This Row],[Data de Início]]))</f>
        <v/>
      </c>
      <c r="BC1984" s="270"/>
    </row>
    <row r="1985" spans="2:55" x14ac:dyDescent="0.25">
      <c r="B1985" s="470"/>
      <c r="C1985" s="263"/>
      <c r="D1985" s="477" cm="1">
        <f t="array" ref="D1985">IFERROR(HorasUteisFabrica2Turnos(B1985,C1985), "")</f>
        <v>0</v>
      </c>
      <c r="E1985" s="697" t="str">
        <f t="shared" si="31"/>
        <v/>
      </c>
      <c r="F1985" s="266"/>
      <c r="G1985" s="698"/>
      <c r="H1985" s="266"/>
      <c r="I1985" s="268"/>
      <c r="J1985" s="268"/>
      <c r="K1985" s="268"/>
      <c r="L1985" s="269"/>
      <c r="M1985" s="510" t="str">
        <f>IFERROR(INDEX([1]Produtos!$C:$C,MATCH(L1985,[1]Produtos!$B:$B,0)), "-")</f>
        <v>-</v>
      </c>
      <c r="N1985" s="510" t="str">
        <f>IFERROR(INDEX([1]Produtos!$E:$E,MATCH(L1985,[1]Produtos!$B:$B,0)), "-")</f>
        <v>-</v>
      </c>
      <c r="O1985" s="270" t="str">
        <f>IFERROR(INDEX([1]Produtos!$F:$F,MATCH(L1985,[1]Produtos!$B:$B,0)), "-")</f>
        <v>-</v>
      </c>
      <c r="P1985" s="264" t="str">
        <f>IFERROR(INDEX([1]Produtos!$G:$G,MATCH(L1985,[1]Produtos!$B:$B,0)), "-")</f>
        <v>-</v>
      </c>
      <c r="Q1985" s="270" t="str">
        <f>IFERROR(INDEX([1]Produtos!$H:$H,MATCH(L1985,[1]Produtos!$B:$B,0)), "-")</f>
        <v>-</v>
      </c>
      <c r="R1985" s="270" t="str">
        <f>IFERROR(INDEX([1]Produtos!$I:$I,MATCH(L1985,[1]Produtos!$B:$B,0)), "-")</f>
        <v>-</v>
      </c>
      <c r="S1985" s="270" t="str">
        <f>IFERROR(INDEX([1]Produtos!$J:$J,MATCH(L1985,[1]Produtos!$B:$B,0)), "-")</f>
        <v>-</v>
      </c>
      <c r="T1985" s="475"/>
      <c r="U1985" s="270"/>
      <c r="V1985" s="270"/>
      <c r="W1985" s="270"/>
      <c r="X1985" s="270"/>
      <c r="Y1985" s="270"/>
      <c r="Z1985" s="270"/>
      <c r="AA1985" s="270"/>
      <c r="AB1985" s="270"/>
      <c r="AC1985" s="270"/>
      <c r="AD1985" s="270"/>
      <c r="AE1985" s="270"/>
      <c r="AF1985" s="270"/>
      <c r="AG1985" s="270"/>
      <c r="AH1985" s="270"/>
      <c r="AI1985" s="270"/>
      <c r="AJ1985" s="270"/>
      <c r="AK1985" s="270"/>
      <c r="AL1985" s="270"/>
      <c r="AM1985" s="663"/>
      <c r="AN1985" s="663"/>
      <c r="AO1985" s="708" t="str">
        <f>IF(OR(Table1[[#This Row],[Início Setup Envase]]="",Table1[[#This Row],[Final Setup Envase]]=""),"",Table1[[#This Row],[Final Setup Envase]]-Table1[[#This Row],[Início Setup Envase]])</f>
        <v/>
      </c>
      <c r="AP1985" s="663"/>
      <c r="AQ1985" s="663"/>
      <c r="AR1985" s="270"/>
      <c r="AS1985" s="674"/>
      <c r="AT1985" s="674"/>
      <c r="AU1985" s="270"/>
      <c r="AV1985" s="270"/>
      <c r="AW1985" s="270"/>
      <c r="AX1985" s="270"/>
      <c r="AY1985" s="270"/>
      <c r="AZ1985" s="270"/>
      <c r="BA1985" s="270" t="str">
        <f>IF(Table1[[#This Row],[Data de Início]]="","",YEAR(Table1[[#This Row],[Data de Início]]))</f>
        <v/>
      </c>
      <c r="BB1985" s="270" t="str">
        <f>IF(Table1[[#This Row],[Data de Início]]="","",MONTH(Table1[[#This Row],[Data de Início]]))</f>
        <v/>
      </c>
      <c r="BC1985" s="483"/>
    </row>
    <row r="1986" spans="2:55" x14ac:dyDescent="0.25">
      <c r="B1986" s="470"/>
      <c r="C1986" s="263"/>
      <c r="D1986" s="477" cm="1">
        <f t="array" ref="D1986">IFERROR(HorasUteisFabrica2Turnos(B1986,C1986), "")</f>
        <v>0</v>
      </c>
      <c r="E1986" s="478" t="str">
        <f t="shared" si="31"/>
        <v/>
      </c>
      <c r="F1986" s="266"/>
      <c r="G1986" s="656"/>
      <c r="H1986" s="479"/>
      <c r="I1986" s="268"/>
      <c r="J1986" s="268"/>
      <c r="K1986" s="268"/>
      <c r="L1986" s="269"/>
      <c r="M1986" s="511" t="str">
        <f>IFERROR(INDEX([1]Produtos!$C:$C,MATCH(L1986,[1]Produtos!$B:$B,0)), "-")</f>
        <v>-</v>
      </c>
      <c r="N1986" s="511" t="str">
        <f>IFERROR(INDEX([1]Produtos!$E:$E,MATCH(L1986,[1]Produtos!$B:$B,0)), "-")</f>
        <v>-</v>
      </c>
      <c r="O1986" s="483" t="str">
        <f>IFERROR(INDEX([1]Produtos!$F:$F,MATCH(L1986,[1]Produtos!$B:$B,0)), "-")</f>
        <v>-</v>
      </c>
      <c r="P1986" s="477" t="str">
        <f>IFERROR(INDEX([1]Produtos!$G:$G,MATCH(L1986,[1]Produtos!$B:$B,0)), "-")</f>
        <v>-</v>
      </c>
      <c r="Q1986" s="483" t="str">
        <f>IFERROR(INDEX([1]Produtos!$H:$H,MATCH(L1986,[1]Produtos!$B:$B,0)), "-")</f>
        <v>-</v>
      </c>
      <c r="R1986" s="483" t="str">
        <f>IFERROR(INDEX([1]Produtos!$I:$I,MATCH(L1986,[1]Produtos!$B:$B,0)), "-")</f>
        <v>-</v>
      </c>
      <c r="S1986" s="483" t="str">
        <f>IFERROR(INDEX([1]Produtos!$J:$J,MATCH(L1986,[1]Produtos!$B:$B,0)), "-")</f>
        <v>-</v>
      </c>
      <c r="T1986" s="484"/>
      <c r="U1986" s="483"/>
      <c r="V1986" s="483"/>
      <c r="W1986" s="483"/>
      <c r="X1986" s="483"/>
      <c r="Y1986" s="483"/>
      <c r="Z1986" s="483"/>
      <c r="AA1986" s="483"/>
      <c r="AB1986" s="483"/>
      <c r="AC1986" s="483"/>
      <c r="AD1986" s="483"/>
      <c r="AE1986" s="483"/>
      <c r="AF1986" s="483"/>
      <c r="AG1986" s="483"/>
      <c r="AH1986" s="483"/>
      <c r="AI1986" s="483"/>
      <c r="AJ1986" s="483"/>
      <c r="AK1986" s="483"/>
      <c r="AL1986" s="483"/>
      <c r="AM1986" s="670"/>
      <c r="AN1986" s="670"/>
      <c r="AO1986" s="711" t="str">
        <f>IF(OR(Table1[[#This Row],[Início Setup Envase]]="",Table1[[#This Row],[Final Setup Envase]]=""),"",Table1[[#This Row],[Final Setup Envase]]-Table1[[#This Row],[Início Setup Envase]])</f>
        <v/>
      </c>
      <c r="AP1986" s="670"/>
      <c r="AQ1986" s="670"/>
      <c r="AR1986" s="483"/>
      <c r="AS1986" s="483"/>
      <c r="AT1986" s="483"/>
      <c r="AU1986" s="483"/>
      <c r="AV1986" s="483"/>
      <c r="AW1986" s="483"/>
      <c r="AX1986" s="483"/>
      <c r="AY1986" s="270"/>
      <c r="AZ1986" s="270"/>
      <c r="BA1986" s="270" t="str">
        <f>IF(Table1[[#This Row],[Data de Início]]="","",YEAR(Table1[[#This Row],[Data de Início]]))</f>
        <v/>
      </c>
      <c r="BB1986" s="270" t="str">
        <f>IF(Table1[[#This Row],[Data de Início]]="","",MONTH(Table1[[#This Row],[Data de Início]]))</f>
        <v/>
      </c>
      <c r="BC1986" s="270"/>
    </row>
    <row r="1987" spans="2:55" x14ac:dyDescent="0.25">
      <c r="B1987" s="470"/>
      <c r="C1987" s="263"/>
      <c r="D1987" s="477" cm="1">
        <f t="array" ref="D1987">IFERROR(HorasUteisFabrica2Turnos(B1987,C1987), "")</f>
        <v>0</v>
      </c>
      <c r="E1987" s="697" t="str">
        <f t="shared" si="31"/>
        <v/>
      </c>
      <c r="F1987" s="266"/>
      <c r="G1987" s="698"/>
      <c r="H1987" s="266"/>
      <c r="I1987" s="268"/>
      <c r="J1987" s="268"/>
      <c r="K1987" s="268"/>
      <c r="L1987" s="269"/>
      <c r="M1987" s="510" t="str">
        <f>IFERROR(INDEX([1]Produtos!$C:$C,MATCH(L1987,[1]Produtos!$B:$B,0)), "-")</f>
        <v>-</v>
      </c>
      <c r="N1987" s="510" t="str">
        <f>IFERROR(INDEX([1]Produtos!$E:$E,MATCH(L1987,[1]Produtos!$B:$B,0)), "-")</f>
        <v>-</v>
      </c>
      <c r="O1987" s="270" t="str">
        <f>IFERROR(INDEX([1]Produtos!$F:$F,MATCH(L1987,[1]Produtos!$B:$B,0)), "-")</f>
        <v>-</v>
      </c>
      <c r="P1987" s="264" t="str">
        <f>IFERROR(INDEX([1]Produtos!$G:$G,MATCH(L1987,[1]Produtos!$B:$B,0)), "-")</f>
        <v>-</v>
      </c>
      <c r="Q1987" s="270" t="str">
        <f>IFERROR(INDEX([1]Produtos!$H:$H,MATCH(L1987,[1]Produtos!$B:$B,0)), "-")</f>
        <v>-</v>
      </c>
      <c r="R1987" s="270" t="str">
        <f>IFERROR(INDEX([1]Produtos!$I:$I,MATCH(L1987,[1]Produtos!$B:$B,0)), "-")</f>
        <v>-</v>
      </c>
      <c r="S1987" s="270" t="str">
        <f>IFERROR(INDEX([1]Produtos!$J:$J,MATCH(L1987,[1]Produtos!$B:$B,0)), "-")</f>
        <v>-</v>
      </c>
      <c r="T1987" s="475"/>
      <c r="U1987" s="270"/>
      <c r="V1987" s="270"/>
      <c r="W1987" s="270"/>
      <c r="X1987" s="270"/>
      <c r="Y1987" s="270"/>
      <c r="Z1987" s="270"/>
      <c r="AA1987" s="270"/>
      <c r="AB1987" s="270"/>
      <c r="AC1987" s="270"/>
      <c r="AD1987" s="270"/>
      <c r="AE1987" s="270"/>
      <c r="AF1987" s="270"/>
      <c r="AG1987" s="270"/>
      <c r="AH1987" s="270"/>
      <c r="AI1987" s="270"/>
      <c r="AJ1987" s="270"/>
      <c r="AK1987" s="270"/>
      <c r="AL1987" s="270"/>
      <c r="AM1987" s="663"/>
      <c r="AN1987" s="663"/>
      <c r="AO1987" s="708" t="str">
        <f>IF(OR(Table1[[#This Row],[Início Setup Envase]]="",Table1[[#This Row],[Final Setup Envase]]=""),"",Table1[[#This Row],[Final Setup Envase]]-Table1[[#This Row],[Início Setup Envase]])</f>
        <v/>
      </c>
      <c r="AP1987" s="663"/>
      <c r="AQ1987" s="663"/>
      <c r="AR1987" s="270"/>
      <c r="AS1987" s="674"/>
      <c r="AT1987" s="674"/>
      <c r="AU1987" s="270"/>
      <c r="AV1987" s="270"/>
      <c r="AW1987" s="270"/>
      <c r="AX1987" s="270"/>
      <c r="AY1987" s="270"/>
      <c r="AZ1987" s="270"/>
      <c r="BA1987" s="270" t="str">
        <f>IF(Table1[[#This Row],[Data de Início]]="","",YEAR(Table1[[#This Row],[Data de Início]]))</f>
        <v/>
      </c>
      <c r="BB1987" s="270" t="str">
        <f>IF(Table1[[#This Row],[Data de Início]]="","",MONTH(Table1[[#This Row],[Data de Início]]))</f>
        <v/>
      </c>
      <c r="BC1987" s="483"/>
    </row>
    <row r="1988" spans="2:55" x14ac:dyDescent="0.25">
      <c r="B1988" s="470"/>
      <c r="C1988" s="263"/>
      <c r="D1988" s="477" cm="1">
        <f t="array" ref="D1988">IFERROR(HorasUteisFabrica2Turnos(B1988,C1988), "")</f>
        <v>0</v>
      </c>
      <c r="E1988" s="478" t="str">
        <f t="shared" si="31"/>
        <v/>
      </c>
      <c r="F1988" s="266"/>
      <c r="G1988" s="656"/>
      <c r="H1988" s="479"/>
      <c r="I1988" s="268"/>
      <c r="J1988" s="268"/>
      <c r="K1988" s="268"/>
      <c r="L1988" s="269"/>
      <c r="M1988" s="511" t="str">
        <f>IFERROR(INDEX([1]Produtos!$C:$C,MATCH(L1988,[1]Produtos!$B:$B,0)), "-")</f>
        <v>-</v>
      </c>
      <c r="N1988" s="511" t="str">
        <f>IFERROR(INDEX([1]Produtos!$E:$E,MATCH(L1988,[1]Produtos!$B:$B,0)), "-")</f>
        <v>-</v>
      </c>
      <c r="O1988" s="483" t="str">
        <f>IFERROR(INDEX([1]Produtos!$F:$F,MATCH(L1988,[1]Produtos!$B:$B,0)), "-")</f>
        <v>-</v>
      </c>
      <c r="P1988" s="477" t="str">
        <f>IFERROR(INDEX([1]Produtos!$G:$G,MATCH(L1988,[1]Produtos!$B:$B,0)), "-")</f>
        <v>-</v>
      </c>
      <c r="Q1988" s="483" t="str">
        <f>IFERROR(INDEX([1]Produtos!$H:$H,MATCH(L1988,[1]Produtos!$B:$B,0)), "-")</f>
        <v>-</v>
      </c>
      <c r="R1988" s="483" t="str">
        <f>IFERROR(INDEX([1]Produtos!$I:$I,MATCH(L1988,[1]Produtos!$B:$B,0)), "-")</f>
        <v>-</v>
      </c>
      <c r="S1988" s="483" t="str">
        <f>IFERROR(INDEX([1]Produtos!$J:$J,MATCH(L1988,[1]Produtos!$B:$B,0)), "-")</f>
        <v>-</v>
      </c>
      <c r="T1988" s="484"/>
      <c r="U1988" s="483"/>
      <c r="V1988" s="483"/>
      <c r="W1988" s="483"/>
      <c r="X1988" s="483"/>
      <c r="Y1988" s="483"/>
      <c r="Z1988" s="483"/>
      <c r="AA1988" s="483"/>
      <c r="AB1988" s="483"/>
      <c r="AC1988" s="483"/>
      <c r="AD1988" s="483"/>
      <c r="AE1988" s="483"/>
      <c r="AF1988" s="483"/>
      <c r="AG1988" s="483"/>
      <c r="AH1988" s="483"/>
      <c r="AI1988" s="483"/>
      <c r="AJ1988" s="483"/>
      <c r="AK1988" s="483"/>
      <c r="AL1988" s="483"/>
      <c r="AM1988" s="670"/>
      <c r="AN1988" s="670"/>
      <c r="AO1988" s="711" t="str">
        <f>IF(OR(Table1[[#This Row],[Início Setup Envase]]="",Table1[[#This Row],[Final Setup Envase]]=""),"",Table1[[#This Row],[Final Setup Envase]]-Table1[[#This Row],[Início Setup Envase]])</f>
        <v/>
      </c>
      <c r="AP1988" s="670"/>
      <c r="AQ1988" s="670"/>
      <c r="AR1988" s="483"/>
      <c r="AS1988" s="483"/>
      <c r="AT1988" s="483"/>
      <c r="AU1988" s="483"/>
      <c r="AV1988" s="483"/>
      <c r="AW1988" s="483"/>
      <c r="AX1988" s="483"/>
      <c r="AY1988" s="270"/>
      <c r="AZ1988" s="270"/>
      <c r="BA1988" s="270" t="str">
        <f>IF(Table1[[#This Row],[Data de Início]]="","",YEAR(Table1[[#This Row],[Data de Início]]))</f>
        <v/>
      </c>
      <c r="BB1988" s="270" t="str">
        <f>IF(Table1[[#This Row],[Data de Início]]="","",MONTH(Table1[[#This Row],[Data de Início]]))</f>
        <v/>
      </c>
      <c r="BC1988" s="270"/>
    </row>
    <row r="1989" spans="2:55" x14ac:dyDescent="0.25">
      <c r="B1989" s="470"/>
      <c r="C1989" s="263"/>
      <c r="D1989" s="477" cm="1">
        <f t="array" ref="D1989">IFERROR(HorasUteisFabrica2Turnos(B1989,C1989), "")</f>
        <v>0</v>
      </c>
      <c r="E1989" s="697" t="str">
        <f t="shared" si="31"/>
        <v/>
      </c>
      <c r="F1989" s="266"/>
      <c r="G1989" s="698"/>
      <c r="H1989" s="266"/>
      <c r="I1989" s="268"/>
      <c r="J1989" s="268"/>
      <c r="K1989" s="268"/>
      <c r="L1989" s="269"/>
      <c r="M1989" s="510" t="str">
        <f>IFERROR(INDEX([1]Produtos!$C:$C,MATCH(L1989,[1]Produtos!$B:$B,0)), "-")</f>
        <v>-</v>
      </c>
      <c r="N1989" s="510" t="str">
        <f>IFERROR(INDEX([1]Produtos!$E:$E,MATCH(L1989,[1]Produtos!$B:$B,0)), "-")</f>
        <v>-</v>
      </c>
      <c r="O1989" s="270" t="str">
        <f>IFERROR(INDEX([1]Produtos!$F:$F,MATCH(L1989,[1]Produtos!$B:$B,0)), "-")</f>
        <v>-</v>
      </c>
      <c r="P1989" s="264" t="str">
        <f>IFERROR(INDEX([1]Produtos!$G:$G,MATCH(L1989,[1]Produtos!$B:$B,0)), "-")</f>
        <v>-</v>
      </c>
      <c r="Q1989" s="270" t="str">
        <f>IFERROR(INDEX([1]Produtos!$H:$H,MATCH(L1989,[1]Produtos!$B:$B,0)), "-")</f>
        <v>-</v>
      </c>
      <c r="R1989" s="270" t="str">
        <f>IFERROR(INDEX([1]Produtos!$I:$I,MATCH(L1989,[1]Produtos!$B:$B,0)), "-")</f>
        <v>-</v>
      </c>
      <c r="S1989" s="270" t="str">
        <f>IFERROR(INDEX([1]Produtos!$J:$J,MATCH(L1989,[1]Produtos!$B:$B,0)), "-")</f>
        <v>-</v>
      </c>
      <c r="T1989" s="475"/>
      <c r="U1989" s="270"/>
      <c r="V1989" s="270"/>
      <c r="W1989" s="270"/>
      <c r="X1989" s="270"/>
      <c r="Y1989" s="270"/>
      <c r="Z1989" s="270"/>
      <c r="AA1989" s="270"/>
      <c r="AB1989" s="270"/>
      <c r="AC1989" s="270"/>
      <c r="AD1989" s="270"/>
      <c r="AE1989" s="270"/>
      <c r="AF1989" s="270"/>
      <c r="AG1989" s="270"/>
      <c r="AH1989" s="270"/>
      <c r="AI1989" s="270"/>
      <c r="AJ1989" s="270"/>
      <c r="AK1989" s="270"/>
      <c r="AL1989" s="270"/>
      <c r="AM1989" s="663"/>
      <c r="AN1989" s="663"/>
      <c r="AO1989" s="708" t="str">
        <f>IF(OR(Table1[[#This Row],[Início Setup Envase]]="",Table1[[#This Row],[Final Setup Envase]]=""),"",Table1[[#This Row],[Final Setup Envase]]-Table1[[#This Row],[Início Setup Envase]])</f>
        <v/>
      </c>
      <c r="AP1989" s="663"/>
      <c r="AQ1989" s="663"/>
      <c r="AR1989" s="270"/>
      <c r="AS1989" s="674"/>
      <c r="AT1989" s="674"/>
      <c r="AU1989" s="270"/>
      <c r="AV1989" s="270"/>
      <c r="AW1989" s="270"/>
      <c r="AX1989" s="270"/>
      <c r="AY1989" s="270"/>
      <c r="AZ1989" s="270"/>
      <c r="BA1989" s="270" t="str">
        <f>IF(Table1[[#This Row],[Data de Início]]="","",YEAR(Table1[[#This Row],[Data de Início]]))</f>
        <v/>
      </c>
      <c r="BB1989" s="270" t="str">
        <f>IF(Table1[[#This Row],[Data de Início]]="","",MONTH(Table1[[#This Row],[Data de Início]]))</f>
        <v/>
      </c>
      <c r="BC1989" s="483"/>
    </row>
    <row r="1990" spans="2:55" x14ac:dyDescent="0.25">
      <c r="B1990" s="470"/>
      <c r="C1990" s="263"/>
      <c r="D1990" s="477" cm="1">
        <f t="array" ref="D1990">IFERROR(HorasUteisFabrica2Turnos(B1990,C1990), "")</f>
        <v>0</v>
      </c>
      <c r="E1990" s="478" t="str">
        <f t="shared" si="31"/>
        <v/>
      </c>
      <c r="F1990" s="266"/>
      <c r="G1990" s="656"/>
      <c r="H1990" s="479"/>
      <c r="I1990" s="268"/>
      <c r="J1990" s="268"/>
      <c r="K1990" s="268"/>
      <c r="L1990" s="269"/>
      <c r="M1990" s="511" t="str">
        <f>IFERROR(INDEX([1]Produtos!$C:$C,MATCH(L1990,[1]Produtos!$B:$B,0)), "-")</f>
        <v>-</v>
      </c>
      <c r="N1990" s="511" t="str">
        <f>IFERROR(INDEX([1]Produtos!$E:$E,MATCH(L1990,[1]Produtos!$B:$B,0)), "-")</f>
        <v>-</v>
      </c>
      <c r="O1990" s="483" t="str">
        <f>IFERROR(INDEX([1]Produtos!$F:$F,MATCH(L1990,[1]Produtos!$B:$B,0)), "-")</f>
        <v>-</v>
      </c>
      <c r="P1990" s="477" t="str">
        <f>IFERROR(INDEX([1]Produtos!$G:$G,MATCH(L1990,[1]Produtos!$B:$B,0)), "-")</f>
        <v>-</v>
      </c>
      <c r="Q1990" s="483" t="str">
        <f>IFERROR(INDEX([1]Produtos!$H:$H,MATCH(L1990,[1]Produtos!$B:$B,0)), "-")</f>
        <v>-</v>
      </c>
      <c r="R1990" s="483" t="str">
        <f>IFERROR(INDEX([1]Produtos!$I:$I,MATCH(L1990,[1]Produtos!$B:$B,0)), "-")</f>
        <v>-</v>
      </c>
      <c r="S1990" s="483" t="str">
        <f>IFERROR(INDEX([1]Produtos!$J:$J,MATCH(L1990,[1]Produtos!$B:$B,0)), "-")</f>
        <v>-</v>
      </c>
      <c r="T1990" s="484"/>
      <c r="U1990" s="483"/>
      <c r="V1990" s="483"/>
      <c r="W1990" s="483"/>
      <c r="X1990" s="483"/>
      <c r="Y1990" s="483"/>
      <c r="Z1990" s="483"/>
      <c r="AA1990" s="483"/>
      <c r="AB1990" s="483"/>
      <c r="AC1990" s="483"/>
      <c r="AD1990" s="483"/>
      <c r="AE1990" s="483"/>
      <c r="AF1990" s="483"/>
      <c r="AG1990" s="483"/>
      <c r="AH1990" s="483"/>
      <c r="AI1990" s="483"/>
      <c r="AJ1990" s="483"/>
      <c r="AK1990" s="483"/>
      <c r="AL1990" s="483"/>
      <c r="AM1990" s="670"/>
      <c r="AN1990" s="670"/>
      <c r="AO1990" s="711" t="str">
        <f>IF(OR(Table1[[#This Row],[Início Setup Envase]]="",Table1[[#This Row],[Final Setup Envase]]=""),"",Table1[[#This Row],[Final Setup Envase]]-Table1[[#This Row],[Início Setup Envase]])</f>
        <v/>
      </c>
      <c r="AP1990" s="670"/>
      <c r="AQ1990" s="670"/>
      <c r="AR1990" s="483"/>
      <c r="AS1990" s="483"/>
      <c r="AT1990" s="483"/>
      <c r="AU1990" s="483"/>
      <c r="AV1990" s="483"/>
      <c r="AW1990" s="483"/>
      <c r="AX1990" s="483"/>
      <c r="AY1990" s="270"/>
      <c r="AZ1990" s="270"/>
      <c r="BA1990" s="270" t="str">
        <f>IF(Table1[[#This Row],[Data de Início]]="","",YEAR(Table1[[#This Row],[Data de Início]]))</f>
        <v/>
      </c>
      <c r="BB1990" s="270" t="str">
        <f>IF(Table1[[#This Row],[Data de Início]]="","",MONTH(Table1[[#This Row],[Data de Início]]))</f>
        <v/>
      </c>
      <c r="BC1990" s="270"/>
    </row>
    <row r="1991" spans="2:55" x14ac:dyDescent="0.25">
      <c r="B1991" s="470"/>
      <c r="C1991" s="263"/>
      <c r="D1991" s="477" cm="1">
        <f t="array" ref="D1991">IFERROR(HorasUteisFabrica2Turnos(B1991,C1991), "")</f>
        <v>0</v>
      </c>
      <c r="E1991" s="697" t="str">
        <f t="shared" si="31"/>
        <v/>
      </c>
      <c r="F1991" s="266"/>
      <c r="G1991" s="698"/>
      <c r="H1991" s="266"/>
      <c r="I1991" s="268"/>
      <c r="J1991" s="268"/>
      <c r="K1991" s="268"/>
      <c r="L1991" s="269"/>
      <c r="M1991" s="510" t="str">
        <f>IFERROR(INDEX([1]Produtos!$C:$C,MATCH(L1991,[1]Produtos!$B:$B,0)), "-")</f>
        <v>-</v>
      </c>
      <c r="N1991" s="510" t="str">
        <f>IFERROR(INDEX([1]Produtos!$E:$E,MATCH(L1991,[1]Produtos!$B:$B,0)), "-")</f>
        <v>-</v>
      </c>
      <c r="O1991" s="270" t="str">
        <f>IFERROR(INDEX([1]Produtos!$F:$F,MATCH(L1991,[1]Produtos!$B:$B,0)), "-")</f>
        <v>-</v>
      </c>
      <c r="P1991" s="264" t="str">
        <f>IFERROR(INDEX([1]Produtos!$G:$G,MATCH(L1991,[1]Produtos!$B:$B,0)), "-")</f>
        <v>-</v>
      </c>
      <c r="Q1991" s="270" t="str">
        <f>IFERROR(INDEX([1]Produtos!$H:$H,MATCH(L1991,[1]Produtos!$B:$B,0)), "-")</f>
        <v>-</v>
      </c>
      <c r="R1991" s="270" t="str">
        <f>IFERROR(INDEX([1]Produtos!$I:$I,MATCH(L1991,[1]Produtos!$B:$B,0)), "-")</f>
        <v>-</v>
      </c>
      <c r="S1991" s="270" t="str">
        <f>IFERROR(INDEX([1]Produtos!$J:$J,MATCH(L1991,[1]Produtos!$B:$B,0)), "-")</f>
        <v>-</v>
      </c>
      <c r="T1991" s="475"/>
      <c r="U1991" s="270"/>
      <c r="V1991" s="270"/>
      <c r="W1991" s="270"/>
      <c r="X1991" s="270"/>
      <c r="Y1991" s="270"/>
      <c r="Z1991" s="270"/>
      <c r="AA1991" s="270"/>
      <c r="AB1991" s="270"/>
      <c r="AC1991" s="270"/>
      <c r="AD1991" s="270"/>
      <c r="AE1991" s="270"/>
      <c r="AF1991" s="270"/>
      <c r="AG1991" s="270"/>
      <c r="AH1991" s="270"/>
      <c r="AI1991" s="270"/>
      <c r="AJ1991" s="270"/>
      <c r="AK1991" s="270"/>
      <c r="AL1991" s="270"/>
      <c r="AM1991" s="663"/>
      <c r="AN1991" s="663"/>
      <c r="AO1991" s="708" t="str">
        <f>IF(OR(Table1[[#This Row],[Início Setup Envase]]="",Table1[[#This Row],[Final Setup Envase]]=""),"",Table1[[#This Row],[Final Setup Envase]]-Table1[[#This Row],[Início Setup Envase]])</f>
        <v/>
      </c>
      <c r="AP1991" s="663"/>
      <c r="AQ1991" s="663"/>
      <c r="AR1991" s="270"/>
      <c r="AS1991" s="674"/>
      <c r="AT1991" s="674"/>
      <c r="AU1991" s="270"/>
      <c r="AV1991" s="270"/>
      <c r="AW1991" s="270"/>
      <c r="AX1991" s="270"/>
      <c r="AY1991" s="270"/>
      <c r="AZ1991" s="270"/>
      <c r="BA1991" s="270" t="str">
        <f>IF(Table1[[#This Row],[Data de Início]]="","",YEAR(Table1[[#This Row],[Data de Início]]))</f>
        <v/>
      </c>
      <c r="BB1991" s="270" t="str">
        <f>IF(Table1[[#This Row],[Data de Início]]="","",MONTH(Table1[[#This Row],[Data de Início]]))</f>
        <v/>
      </c>
      <c r="BC1991" s="483"/>
    </row>
    <row r="1992" spans="2:55" x14ac:dyDescent="0.25">
      <c r="B1992" s="470"/>
      <c r="C1992" s="263"/>
      <c r="D1992" s="477" cm="1">
        <f t="array" ref="D1992">IFERROR(HorasUteisFabrica2Turnos(B1992,C1992), "")</f>
        <v>0</v>
      </c>
      <c r="E1992" s="478" t="str">
        <f t="shared" si="31"/>
        <v/>
      </c>
      <c r="F1992" s="266"/>
      <c r="G1992" s="656"/>
      <c r="H1992" s="479"/>
      <c r="I1992" s="268"/>
      <c r="J1992" s="268"/>
      <c r="K1992" s="268"/>
      <c r="L1992" s="269"/>
      <c r="M1992" s="511" t="str">
        <f>IFERROR(INDEX([1]Produtos!$C:$C,MATCH(L1992,[1]Produtos!$B:$B,0)), "-")</f>
        <v>-</v>
      </c>
      <c r="N1992" s="511" t="str">
        <f>IFERROR(INDEX([1]Produtos!$E:$E,MATCH(L1992,[1]Produtos!$B:$B,0)), "-")</f>
        <v>-</v>
      </c>
      <c r="O1992" s="483" t="str">
        <f>IFERROR(INDEX([1]Produtos!$F:$F,MATCH(L1992,[1]Produtos!$B:$B,0)), "-")</f>
        <v>-</v>
      </c>
      <c r="P1992" s="477" t="str">
        <f>IFERROR(INDEX([1]Produtos!$G:$G,MATCH(L1992,[1]Produtos!$B:$B,0)), "-")</f>
        <v>-</v>
      </c>
      <c r="Q1992" s="483" t="str">
        <f>IFERROR(INDEX([1]Produtos!$H:$H,MATCH(L1992,[1]Produtos!$B:$B,0)), "-")</f>
        <v>-</v>
      </c>
      <c r="R1992" s="483" t="str">
        <f>IFERROR(INDEX([1]Produtos!$I:$I,MATCH(L1992,[1]Produtos!$B:$B,0)), "-")</f>
        <v>-</v>
      </c>
      <c r="S1992" s="483" t="str">
        <f>IFERROR(INDEX([1]Produtos!$J:$J,MATCH(L1992,[1]Produtos!$B:$B,0)), "-")</f>
        <v>-</v>
      </c>
      <c r="T1992" s="484"/>
      <c r="U1992" s="483"/>
      <c r="V1992" s="483"/>
      <c r="W1992" s="483"/>
      <c r="X1992" s="483"/>
      <c r="Y1992" s="483"/>
      <c r="Z1992" s="483"/>
      <c r="AA1992" s="483"/>
      <c r="AB1992" s="483"/>
      <c r="AC1992" s="483"/>
      <c r="AD1992" s="483"/>
      <c r="AE1992" s="483"/>
      <c r="AF1992" s="483"/>
      <c r="AG1992" s="483"/>
      <c r="AH1992" s="483"/>
      <c r="AI1992" s="483"/>
      <c r="AJ1992" s="483"/>
      <c r="AK1992" s="483"/>
      <c r="AL1992" s="483"/>
      <c r="AM1992" s="670"/>
      <c r="AN1992" s="670"/>
      <c r="AO1992" s="711" t="str">
        <f>IF(OR(Table1[[#This Row],[Início Setup Envase]]="",Table1[[#This Row],[Final Setup Envase]]=""),"",Table1[[#This Row],[Final Setup Envase]]-Table1[[#This Row],[Início Setup Envase]])</f>
        <v/>
      </c>
      <c r="AP1992" s="670"/>
      <c r="AQ1992" s="670"/>
      <c r="AR1992" s="483"/>
      <c r="AS1992" s="483"/>
      <c r="AT1992" s="483"/>
      <c r="AU1992" s="483"/>
      <c r="AV1992" s="483"/>
      <c r="AW1992" s="483"/>
      <c r="AX1992" s="483"/>
      <c r="AY1992" s="270"/>
      <c r="AZ1992" s="270"/>
      <c r="BA1992" s="270" t="str">
        <f>IF(Table1[[#This Row],[Data de Início]]="","",YEAR(Table1[[#This Row],[Data de Início]]))</f>
        <v/>
      </c>
      <c r="BB1992" s="270" t="str">
        <f>IF(Table1[[#This Row],[Data de Início]]="","",MONTH(Table1[[#This Row],[Data de Início]]))</f>
        <v/>
      </c>
      <c r="BC1992" s="270"/>
    </row>
    <row r="1993" spans="2:55" x14ac:dyDescent="0.25">
      <c r="B1993" s="470"/>
      <c r="C1993" s="263"/>
      <c r="D1993" s="477" cm="1">
        <f t="array" ref="D1993">IFERROR(HorasUteisFabrica2Turnos(B1993,C1993), "")</f>
        <v>0</v>
      </c>
      <c r="E1993" s="697" t="str">
        <f t="shared" si="31"/>
        <v/>
      </c>
      <c r="F1993" s="266"/>
      <c r="G1993" s="698"/>
      <c r="H1993" s="266"/>
      <c r="I1993" s="268"/>
      <c r="J1993" s="268"/>
      <c r="K1993" s="268"/>
      <c r="L1993" s="269"/>
      <c r="M1993" s="510" t="str">
        <f>IFERROR(INDEX([1]Produtos!$C:$C,MATCH(L1993,[1]Produtos!$B:$B,0)), "-")</f>
        <v>-</v>
      </c>
      <c r="N1993" s="510" t="str">
        <f>IFERROR(INDEX([1]Produtos!$E:$E,MATCH(L1993,[1]Produtos!$B:$B,0)), "-")</f>
        <v>-</v>
      </c>
      <c r="O1993" s="270" t="str">
        <f>IFERROR(INDEX([1]Produtos!$F:$F,MATCH(L1993,[1]Produtos!$B:$B,0)), "-")</f>
        <v>-</v>
      </c>
      <c r="P1993" s="264" t="str">
        <f>IFERROR(INDEX([1]Produtos!$G:$G,MATCH(L1993,[1]Produtos!$B:$B,0)), "-")</f>
        <v>-</v>
      </c>
      <c r="Q1993" s="270" t="str">
        <f>IFERROR(INDEX([1]Produtos!$H:$H,MATCH(L1993,[1]Produtos!$B:$B,0)), "-")</f>
        <v>-</v>
      </c>
      <c r="R1993" s="270" t="str">
        <f>IFERROR(INDEX([1]Produtos!$I:$I,MATCH(L1993,[1]Produtos!$B:$B,0)), "-")</f>
        <v>-</v>
      </c>
      <c r="S1993" s="270" t="str">
        <f>IFERROR(INDEX([1]Produtos!$J:$J,MATCH(L1993,[1]Produtos!$B:$B,0)), "-")</f>
        <v>-</v>
      </c>
      <c r="T1993" s="475"/>
      <c r="U1993" s="270"/>
      <c r="V1993" s="270"/>
      <c r="W1993" s="270"/>
      <c r="X1993" s="270"/>
      <c r="Y1993" s="270"/>
      <c r="Z1993" s="270"/>
      <c r="AA1993" s="270"/>
      <c r="AB1993" s="270"/>
      <c r="AC1993" s="270"/>
      <c r="AD1993" s="270"/>
      <c r="AE1993" s="270"/>
      <c r="AF1993" s="270"/>
      <c r="AG1993" s="270"/>
      <c r="AH1993" s="270"/>
      <c r="AI1993" s="270"/>
      <c r="AJ1993" s="270"/>
      <c r="AK1993" s="270"/>
      <c r="AL1993" s="270"/>
      <c r="AM1993" s="663"/>
      <c r="AN1993" s="663"/>
      <c r="AO1993" s="708" t="str">
        <f>IF(OR(Table1[[#This Row],[Início Setup Envase]]="",Table1[[#This Row],[Final Setup Envase]]=""),"",Table1[[#This Row],[Final Setup Envase]]-Table1[[#This Row],[Início Setup Envase]])</f>
        <v/>
      </c>
      <c r="AP1993" s="663"/>
      <c r="AQ1993" s="663"/>
      <c r="AR1993" s="270"/>
      <c r="AS1993" s="674"/>
      <c r="AT1993" s="674"/>
      <c r="AU1993" s="270"/>
      <c r="AV1993" s="270"/>
      <c r="AW1993" s="270"/>
      <c r="AX1993" s="270"/>
      <c r="AY1993" s="270"/>
      <c r="AZ1993" s="270"/>
      <c r="BA1993" s="270" t="str">
        <f>IF(Table1[[#This Row],[Data de Início]]="","",YEAR(Table1[[#This Row],[Data de Início]]))</f>
        <v/>
      </c>
      <c r="BB1993" s="270" t="str">
        <f>IF(Table1[[#This Row],[Data de Início]]="","",MONTH(Table1[[#This Row],[Data de Início]]))</f>
        <v/>
      </c>
      <c r="BC1993" s="483"/>
    </row>
    <row r="1994" spans="2:55" x14ac:dyDescent="0.25">
      <c r="B1994" s="470"/>
      <c r="C1994" s="263"/>
      <c r="D1994" s="477" cm="1">
        <f t="array" ref="D1994">IFERROR(HorasUteisFabrica2Turnos(B1994,C1994), "")</f>
        <v>0</v>
      </c>
      <c r="E1994" s="478" t="str">
        <f t="shared" si="31"/>
        <v/>
      </c>
      <c r="F1994" s="266"/>
      <c r="G1994" s="656"/>
      <c r="H1994" s="479"/>
      <c r="I1994" s="268"/>
      <c r="J1994" s="268"/>
      <c r="K1994" s="268"/>
      <c r="L1994" s="269"/>
      <c r="M1994" s="511" t="str">
        <f>IFERROR(INDEX([1]Produtos!$C:$C,MATCH(L1994,[1]Produtos!$B:$B,0)), "-")</f>
        <v>-</v>
      </c>
      <c r="N1994" s="511" t="str">
        <f>IFERROR(INDEX([1]Produtos!$E:$E,MATCH(L1994,[1]Produtos!$B:$B,0)), "-")</f>
        <v>-</v>
      </c>
      <c r="O1994" s="483" t="str">
        <f>IFERROR(INDEX([1]Produtos!$F:$F,MATCH(L1994,[1]Produtos!$B:$B,0)), "-")</f>
        <v>-</v>
      </c>
      <c r="P1994" s="477" t="str">
        <f>IFERROR(INDEX([1]Produtos!$G:$G,MATCH(L1994,[1]Produtos!$B:$B,0)), "-")</f>
        <v>-</v>
      </c>
      <c r="Q1994" s="483" t="str">
        <f>IFERROR(INDEX([1]Produtos!$H:$H,MATCH(L1994,[1]Produtos!$B:$B,0)), "-")</f>
        <v>-</v>
      </c>
      <c r="R1994" s="483" t="str">
        <f>IFERROR(INDEX([1]Produtos!$I:$I,MATCH(L1994,[1]Produtos!$B:$B,0)), "-")</f>
        <v>-</v>
      </c>
      <c r="S1994" s="483" t="str">
        <f>IFERROR(INDEX([1]Produtos!$J:$J,MATCH(L1994,[1]Produtos!$B:$B,0)), "-")</f>
        <v>-</v>
      </c>
      <c r="T1994" s="484"/>
      <c r="U1994" s="483"/>
      <c r="V1994" s="483"/>
      <c r="W1994" s="483"/>
      <c r="X1994" s="483"/>
      <c r="Y1994" s="483"/>
      <c r="Z1994" s="483"/>
      <c r="AA1994" s="483"/>
      <c r="AB1994" s="483"/>
      <c r="AC1994" s="483"/>
      <c r="AD1994" s="483"/>
      <c r="AE1994" s="483"/>
      <c r="AF1994" s="483"/>
      <c r="AG1994" s="483"/>
      <c r="AH1994" s="483"/>
      <c r="AI1994" s="483"/>
      <c r="AJ1994" s="483"/>
      <c r="AK1994" s="483"/>
      <c r="AL1994" s="483"/>
      <c r="AM1994" s="670"/>
      <c r="AN1994" s="670"/>
      <c r="AO1994" s="711" t="str">
        <f>IF(OR(Table1[[#This Row],[Início Setup Envase]]="",Table1[[#This Row],[Final Setup Envase]]=""),"",Table1[[#This Row],[Final Setup Envase]]-Table1[[#This Row],[Início Setup Envase]])</f>
        <v/>
      </c>
      <c r="AP1994" s="670"/>
      <c r="AQ1994" s="670"/>
      <c r="AR1994" s="483"/>
      <c r="AS1994" s="483"/>
      <c r="AT1994" s="483"/>
      <c r="AU1994" s="483"/>
      <c r="AV1994" s="483"/>
      <c r="AW1994" s="483"/>
      <c r="AX1994" s="483"/>
      <c r="AY1994" s="270"/>
      <c r="AZ1994" s="270"/>
      <c r="BA1994" s="270" t="str">
        <f>IF(Table1[[#This Row],[Data de Início]]="","",YEAR(Table1[[#This Row],[Data de Início]]))</f>
        <v/>
      </c>
      <c r="BB1994" s="270" t="str">
        <f>IF(Table1[[#This Row],[Data de Início]]="","",MONTH(Table1[[#This Row],[Data de Início]]))</f>
        <v/>
      </c>
      <c r="BC1994" s="270"/>
    </row>
    <row r="1995" spans="2:55" x14ac:dyDescent="0.25">
      <c r="B1995" s="470"/>
      <c r="C1995" s="263"/>
      <c r="D1995" s="477" cm="1">
        <f t="array" ref="D1995">IFERROR(HorasUteisFabrica2Turnos(B1995,C1995), "")</f>
        <v>0</v>
      </c>
      <c r="E1995" s="697" t="str">
        <f t="shared" si="31"/>
        <v/>
      </c>
      <c r="F1995" s="266"/>
      <c r="G1995" s="698"/>
      <c r="H1995" s="266"/>
      <c r="I1995" s="268"/>
      <c r="J1995" s="268"/>
      <c r="K1995" s="268"/>
      <c r="L1995" s="269"/>
      <c r="M1995" s="510" t="str">
        <f>IFERROR(INDEX([1]Produtos!$C:$C,MATCH(L1995,[1]Produtos!$B:$B,0)), "-")</f>
        <v>-</v>
      </c>
      <c r="N1995" s="510" t="str">
        <f>IFERROR(INDEX([1]Produtos!$E:$E,MATCH(L1995,[1]Produtos!$B:$B,0)), "-")</f>
        <v>-</v>
      </c>
      <c r="O1995" s="270" t="str">
        <f>IFERROR(INDEX([1]Produtos!$F:$F,MATCH(L1995,[1]Produtos!$B:$B,0)), "-")</f>
        <v>-</v>
      </c>
      <c r="P1995" s="264" t="str">
        <f>IFERROR(INDEX([1]Produtos!$G:$G,MATCH(L1995,[1]Produtos!$B:$B,0)), "-")</f>
        <v>-</v>
      </c>
      <c r="Q1995" s="270" t="str">
        <f>IFERROR(INDEX([1]Produtos!$H:$H,MATCH(L1995,[1]Produtos!$B:$B,0)), "-")</f>
        <v>-</v>
      </c>
      <c r="R1995" s="270" t="str">
        <f>IFERROR(INDEX([1]Produtos!$I:$I,MATCH(L1995,[1]Produtos!$B:$B,0)), "-")</f>
        <v>-</v>
      </c>
      <c r="S1995" s="270" t="str">
        <f>IFERROR(INDEX([1]Produtos!$J:$J,MATCH(L1995,[1]Produtos!$B:$B,0)), "-")</f>
        <v>-</v>
      </c>
      <c r="T1995" s="475"/>
      <c r="U1995" s="270"/>
      <c r="V1995" s="270"/>
      <c r="W1995" s="270"/>
      <c r="X1995" s="270"/>
      <c r="Y1995" s="270"/>
      <c r="Z1995" s="270"/>
      <c r="AA1995" s="270"/>
      <c r="AB1995" s="270"/>
      <c r="AC1995" s="270"/>
      <c r="AD1995" s="270"/>
      <c r="AE1995" s="270"/>
      <c r="AF1995" s="270"/>
      <c r="AG1995" s="270"/>
      <c r="AH1995" s="270"/>
      <c r="AI1995" s="270"/>
      <c r="AJ1995" s="270"/>
      <c r="AK1995" s="270"/>
      <c r="AL1995" s="270"/>
      <c r="AM1995" s="663"/>
      <c r="AN1995" s="663"/>
      <c r="AO1995" s="708" t="str">
        <f>IF(OR(Table1[[#This Row],[Início Setup Envase]]="",Table1[[#This Row],[Final Setup Envase]]=""),"",Table1[[#This Row],[Final Setup Envase]]-Table1[[#This Row],[Início Setup Envase]])</f>
        <v/>
      </c>
      <c r="AP1995" s="663"/>
      <c r="AQ1995" s="663"/>
      <c r="AR1995" s="270"/>
      <c r="AS1995" s="674"/>
      <c r="AT1995" s="674"/>
      <c r="AU1995" s="270"/>
      <c r="AV1995" s="270"/>
      <c r="AW1995" s="270"/>
      <c r="AX1995" s="270"/>
      <c r="AY1995" s="270"/>
      <c r="AZ1995" s="270"/>
      <c r="BA1995" s="270" t="str">
        <f>IF(Table1[[#This Row],[Data de Início]]="","",YEAR(Table1[[#This Row],[Data de Início]]))</f>
        <v/>
      </c>
      <c r="BB1995" s="270" t="str">
        <f>IF(Table1[[#This Row],[Data de Início]]="","",MONTH(Table1[[#This Row],[Data de Início]]))</f>
        <v/>
      </c>
      <c r="BC1995" s="483"/>
    </row>
    <row r="1996" spans="2:55" x14ac:dyDescent="0.25">
      <c r="B1996" s="470"/>
      <c r="C1996" s="263"/>
      <c r="D1996" s="477" cm="1">
        <f t="array" ref="D1996">IFERROR(HorasUteisFabrica2Turnos(B1996,C1996), "")</f>
        <v>0</v>
      </c>
      <c r="E1996" s="478" t="str">
        <f t="shared" si="31"/>
        <v/>
      </c>
      <c r="F1996" s="266"/>
      <c r="G1996" s="656"/>
      <c r="H1996" s="479"/>
      <c r="I1996" s="268"/>
      <c r="J1996" s="268"/>
      <c r="K1996" s="268"/>
      <c r="L1996" s="269"/>
      <c r="M1996" s="511" t="str">
        <f>IFERROR(INDEX([1]Produtos!$C:$C,MATCH(L1996,[1]Produtos!$B:$B,0)), "-")</f>
        <v>-</v>
      </c>
      <c r="N1996" s="511" t="str">
        <f>IFERROR(INDEX([1]Produtos!$E:$E,MATCH(L1996,[1]Produtos!$B:$B,0)), "-")</f>
        <v>-</v>
      </c>
      <c r="O1996" s="483" t="str">
        <f>IFERROR(INDEX([1]Produtos!$F:$F,MATCH(L1996,[1]Produtos!$B:$B,0)), "-")</f>
        <v>-</v>
      </c>
      <c r="P1996" s="477" t="str">
        <f>IFERROR(INDEX([1]Produtos!$G:$G,MATCH(L1996,[1]Produtos!$B:$B,0)), "-")</f>
        <v>-</v>
      </c>
      <c r="Q1996" s="483" t="str">
        <f>IFERROR(INDEX([1]Produtos!$H:$H,MATCH(L1996,[1]Produtos!$B:$B,0)), "-")</f>
        <v>-</v>
      </c>
      <c r="R1996" s="483" t="str">
        <f>IFERROR(INDEX([1]Produtos!$I:$I,MATCH(L1996,[1]Produtos!$B:$B,0)), "-")</f>
        <v>-</v>
      </c>
      <c r="S1996" s="483" t="str">
        <f>IFERROR(INDEX([1]Produtos!$J:$J,MATCH(L1996,[1]Produtos!$B:$B,0)), "-")</f>
        <v>-</v>
      </c>
      <c r="T1996" s="484"/>
      <c r="U1996" s="483"/>
      <c r="V1996" s="483"/>
      <c r="W1996" s="483"/>
      <c r="X1996" s="483"/>
      <c r="Y1996" s="483"/>
      <c r="Z1996" s="483"/>
      <c r="AA1996" s="483"/>
      <c r="AB1996" s="483"/>
      <c r="AC1996" s="483"/>
      <c r="AD1996" s="483"/>
      <c r="AE1996" s="483"/>
      <c r="AF1996" s="483"/>
      <c r="AG1996" s="483"/>
      <c r="AH1996" s="483"/>
      <c r="AI1996" s="483"/>
      <c r="AJ1996" s="483"/>
      <c r="AK1996" s="483"/>
      <c r="AL1996" s="483"/>
      <c r="AM1996" s="670"/>
      <c r="AN1996" s="670"/>
      <c r="AO1996" s="711" t="str">
        <f>IF(OR(Table1[[#This Row],[Início Setup Envase]]="",Table1[[#This Row],[Final Setup Envase]]=""),"",Table1[[#This Row],[Final Setup Envase]]-Table1[[#This Row],[Início Setup Envase]])</f>
        <v/>
      </c>
      <c r="AP1996" s="670"/>
      <c r="AQ1996" s="670"/>
      <c r="AR1996" s="483"/>
      <c r="AS1996" s="483"/>
      <c r="AT1996" s="483"/>
      <c r="AU1996" s="483"/>
      <c r="AV1996" s="483"/>
      <c r="AW1996" s="483"/>
      <c r="AX1996" s="483"/>
      <c r="AY1996" s="270"/>
      <c r="AZ1996" s="270"/>
      <c r="BA1996" s="270" t="str">
        <f>IF(Table1[[#This Row],[Data de Início]]="","",YEAR(Table1[[#This Row],[Data de Início]]))</f>
        <v/>
      </c>
      <c r="BB1996" s="270" t="str">
        <f>IF(Table1[[#This Row],[Data de Início]]="","",MONTH(Table1[[#This Row],[Data de Início]]))</f>
        <v/>
      </c>
      <c r="BC1996" s="270"/>
    </row>
    <row r="1997" spans="2:55" x14ac:dyDescent="0.25">
      <c r="B1997" s="470"/>
      <c r="C1997" s="263"/>
      <c r="D1997" s="477" cm="1">
        <f t="array" ref="D1997">IFERROR(HorasUteisFabrica2Turnos(B1997,C1997), "")</f>
        <v>0</v>
      </c>
      <c r="E1997" s="697" t="str">
        <f t="shared" si="31"/>
        <v/>
      </c>
      <c r="F1997" s="266"/>
      <c r="G1997" s="698"/>
      <c r="H1997" s="266"/>
      <c r="I1997" s="268"/>
      <c r="J1997" s="268"/>
      <c r="K1997" s="268"/>
      <c r="L1997" s="269"/>
      <c r="M1997" s="510" t="str">
        <f>IFERROR(INDEX([1]Produtos!$C:$C,MATCH(L1997,[1]Produtos!$B:$B,0)), "-")</f>
        <v>-</v>
      </c>
      <c r="N1997" s="510" t="str">
        <f>IFERROR(INDEX([1]Produtos!$E:$E,MATCH(L1997,[1]Produtos!$B:$B,0)), "-")</f>
        <v>-</v>
      </c>
      <c r="O1997" s="270" t="str">
        <f>IFERROR(INDEX([1]Produtos!$F:$F,MATCH(L1997,[1]Produtos!$B:$B,0)), "-")</f>
        <v>-</v>
      </c>
      <c r="P1997" s="264" t="str">
        <f>IFERROR(INDEX([1]Produtos!$G:$G,MATCH(L1997,[1]Produtos!$B:$B,0)), "-")</f>
        <v>-</v>
      </c>
      <c r="Q1997" s="270" t="str">
        <f>IFERROR(INDEX([1]Produtos!$H:$H,MATCH(L1997,[1]Produtos!$B:$B,0)), "-")</f>
        <v>-</v>
      </c>
      <c r="R1997" s="270" t="str">
        <f>IFERROR(INDEX([1]Produtos!$I:$I,MATCH(L1997,[1]Produtos!$B:$B,0)), "-")</f>
        <v>-</v>
      </c>
      <c r="S1997" s="270" t="str">
        <f>IFERROR(INDEX([1]Produtos!$J:$J,MATCH(L1997,[1]Produtos!$B:$B,0)), "-")</f>
        <v>-</v>
      </c>
      <c r="T1997" s="475"/>
      <c r="U1997" s="270"/>
      <c r="V1997" s="270"/>
      <c r="W1997" s="270"/>
      <c r="X1997" s="270"/>
      <c r="Y1997" s="270"/>
      <c r="Z1997" s="270"/>
      <c r="AA1997" s="270"/>
      <c r="AB1997" s="270"/>
      <c r="AC1997" s="270"/>
      <c r="AD1997" s="270"/>
      <c r="AE1997" s="270"/>
      <c r="AF1997" s="270"/>
      <c r="AG1997" s="270"/>
      <c r="AH1997" s="270"/>
      <c r="AI1997" s="270"/>
      <c r="AJ1997" s="270"/>
      <c r="AK1997" s="270"/>
      <c r="AL1997" s="270"/>
      <c r="AM1997" s="663"/>
      <c r="AN1997" s="663"/>
      <c r="AO1997" s="708" t="str">
        <f>IF(OR(Table1[[#This Row],[Início Setup Envase]]="",Table1[[#This Row],[Final Setup Envase]]=""),"",Table1[[#This Row],[Final Setup Envase]]-Table1[[#This Row],[Início Setup Envase]])</f>
        <v/>
      </c>
      <c r="AP1997" s="663"/>
      <c r="AQ1997" s="663"/>
      <c r="AR1997" s="270"/>
      <c r="AS1997" s="674"/>
      <c r="AT1997" s="674"/>
      <c r="AU1997" s="270"/>
      <c r="AV1997" s="270"/>
      <c r="AW1997" s="270"/>
      <c r="AX1997" s="270"/>
      <c r="AY1997" s="270"/>
      <c r="AZ1997" s="270"/>
      <c r="BA1997" s="270" t="str">
        <f>IF(Table1[[#This Row],[Data de Início]]="","",YEAR(Table1[[#This Row],[Data de Início]]))</f>
        <v/>
      </c>
      <c r="BB1997" s="270" t="str">
        <f>IF(Table1[[#This Row],[Data de Início]]="","",MONTH(Table1[[#This Row],[Data de Início]]))</f>
        <v/>
      </c>
      <c r="BC1997" s="483"/>
    </row>
    <row r="1998" spans="2:55" x14ac:dyDescent="0.25">
      <c r="B1998" s="470"/>
      <c r="C1998" s="263"/>
      <c r="D1998" s="477" cm="1">
        <f t="array" ref="D1998">IFERROR(HorasUteisFabrica2Turnos(B1998,C1998), "")</f>
        <v>0</v>
      </c>
      <c r="E1998" s="478" t="str">
        <f t="shared" si="31"/>
        <v/>
      </c>
      <c r="F1998" s="266"/>
      <c r="G1998" s="656"/>
      <c r="H1998" s="479"/>
      <c r="I1998" s="268"/>
      <c r="J1998" s="268"/>
      <c r="K1998" s="268"/>
      <c r="L1998" s="269"/>
      <c r="M1998" s="511" t="str">
        <f>IFERROR(INDEX([1]Produtos!$C:$C,MATCH(L1998,[1]Produtos!$B:$B,0)), "-")</f>
        <v>-</v>
      </c>
      <c r="N1998" s="511" t="str">
        <f>IFERROR(INDEX([1]Produtos!$E:$E,MATCH(L1998,[1]Produtos!$B:$B,0)), "-")</f>
        <v>-</v>
      </c>
      <c r="O1998" s="483" t="str">
        <f>IFERROR(INDEX([1]Produtos!$F:$F,MATCH(L1998,[1]Produtos!$B:$B,0)), "-")</f>
        <v>-</v>
      </c>
      <c r="P1998" s="477" t="str">
        <f>IFERROR(INDEX([1]Produtos!$G:$G,MATCH(L1998,[1]Produtos!$B:$B,0)), "-")</f>
        <v>-</v>
      </c>
      <c r="Q1998" s="483" t="str">
        <f>IFERROR(INDEX([1]Produtos!$H:$H,MATCH(L1998,[1]Produtos!$B:$B,0)), "-")</f>
        <v>-</v>
      </c>
      <c r="R1998" s="483" t="str">
        <f>IFERROR(INDEX([1]Produtos!$I:$I,MATCH(L1998,[1]Produtos!$B:$B,0)), "-")</f>
        <v>-</v>
      </c>
      <c r="S1998" s="483" t="str">
        <f>IFERROR(INDEX([1]Produtos!$J:$J,MATCH(L1998,[1]Produtos!$B:$B,0)), "-")</f>
        <v>-</v>
      </c>
      <c r="T1998" s="484"/>
      <c r="U1998" s="483"/>
      <c r="V1998" s="483"/>
      <c r="W1998" s="483"/>
      <c r="X1998" s="483"/>
      <c r="Y1998" s="483"/>
      <c r="Z1998" s="483"/>
      <c r="AA1998" s="483"/>
      <c r="AB1998" s="483"/>
      <c r="AC1998" s="483"/>
      <c r="AD1998" s="483"/>
      <c r="AE1998" s="483"/>
      <c r="AF1998" s="483"/>
      <c r="AG1998" s="483"/>
      <c r="AH1998" s="483"/>
      <c r="AI1998" s="483"/>
      <c r="AJ1998" s="483"/>
      <c r="AK1998" s="483"/>
      <c r="AL1998" s="483"/>
      <c r="AM1998" s="670"/>
      <c r="AN1998" s="670"/>
      <c r="AO1998" s="711" t="str">
        <f>IF(OR(Table1[[#This Row],[Início Setup Envase]]="",Table1[[#This Row],[Final Setup Envase]]=""),"",Table1[[#This Row],[Final Setup Envase]]-Table1[[#This Row],[Início Setup Envase]])</f>
        <v/>
      </c>
      <c r="AP1998" s="670"/>
      <c r="AQ1998" s="670"/>
      <c r="AR1998" s="483"/>
      <c r="AS1998" s="483"/>
      <c r="AT1998" s="483"/>
      <c r="AU1998" s="483"/>
      <c r="AV1998" s="483"/>
      <c r="AW1998" s="483"/>
      <c r="AX1998" s="483"/>
      <c r="AY1998" s="270"/>
      <c r="AZ1998" s="270"/>
      <c r="BA1998" s="270" t="str">
        <f>IF(Table1[[#This Row],[Data de Início]]="","",YEAR(Table1[[#This Row],[Data de Início]]))</f>
        <v/>
      </c>
      <c r="BB1998" s="270" t="str">
        <f>IF(Table1[[#This Row],[Data de Início]]="","",MONTH(Table1[[#This Row],[Data de Início]]))</f>
        <v/>
      </c>
      <c r="BC1998" s="270"/>
    </row>
    <row r="1999" spans="2:55" x14ac:dyDescent="0.25">
      <c r="B1999" s="470"/>
      <c r="C1999" s="263"/>
      <c r="D1999" s="477" cm="1">
        <f t="array" ref="D1999">IFERROR(HorasUteisFabrica2Turnos(B1999,C1999), "")</f>
        <v>0</v>
      </c>
      <c r="E1999" s="697" t="str">
        <f t="shared" si="31"/>
        <v/>
      </c>
      <c r="F1999" s="266"/>
      <c r="G1999" s="698"/>
      <c r="H1999" s="266"/>
      <c r="I1999" s="268"/>
      <c r="J1999" s="268"/>
      <c r="K1999" s="268"/>
      <c r="L1999" s="269"/>
      <c r="M1999" s="510" t="str">
        <f>IFERROR(INDEX([1]Produtos!$C:$C,MATCH(L1999,[1]Produtos!$B:$B,0)), "-")</f>
        <v>-</v>
      </c>
      <c r="N1999" s="510" t="str">
        <f>IFERROR(INDEX([1]Produtos!$E:$E,MATCH(L1999,[1]Produtos!$B:$B,0)), "-")</f>
        <v>-</v>
      </c>
      <c r="O1999" s="270" t="str">
        <f>IFERROR(INDEX([1]Produtos!$F:$F,MATCH(L1999,[1]Produtos!$B:$B,0)), "-")</f>
        <v>-</v>
      </c>
      <c r="P1999" s="264" t="str">
        <f>IFERROR(INDEX([1]Produtos!$G:$G,MATCH(L1999,[1]Produtos!$B:$B,0)), "-")</f>
        <v>-</v>
      </c>
      <c r="Q1999" s="270" t="str">
        <f>IFERROR(INDEX([1]Produtos!$H:$H,MATCH(L1999,[1]Produtos!$B:$B,0)), "-")</f>
        <v>-</v>
      </c>
      <c r="R1999" s="270" t="str">
        <f>IFERROR(INDEX([1]Produtos!$I:$I,MATCH(L1999,[1]Produtos!$B:$B,0)), "-")</f>
        <v>-</v>
      </c>
      <c r="S1999" s="270" t="str">
        <f>IFERROR(INDEX([1]Produtos!$J:$J,MATCH(L1999,[1]Produtos!$B:$B,0)), "-")</f>
        <v>-</v>
      </c>
      <c r="T1999" s="475"/>
      <c r="U1999" s="270"/>
      <c r="V1999" s="270"/>
      <c r="W1999" s="270"/>
      <c r="X1999" s="270"/>
      <c r="Y1999" s="270"/>
      <c r="Z1999" s="270"/>
      <c r="AA1999" s="270"/>
      <c r="AB1999" s="270"/>
      <c r="AC1999" s="270"/>
      <c r="AD1999" s="270"/>
      <c r="AE1999" s="270"/>
      <c r="AF1999" s="270"/>
      <c r="AG1999" s="270"/>
      <c r="AH1999" s="270"/>
      <c r="AI1999" s="270"/>
      <c r="AJ1999" s="270"/>
      <c r="AK1999" s="270"/>
      <c r="AL1999" s="270"/>
      <c r="AM1999" s="663"/>
      <c r="AN1999" s="663"/>
      <c r="AO1999" s="708" t="str">
        <f>IF(OR(Table1[[#This Row],[Início Setup Envase]]="",Table1[[#This Row],[Final Setup Envase]]=""),"",Table1[[#This Row],[Final Setup Envase]]-Table1[[#This Row],[Início Setup Envase]])</f>
        <v/>
      </c>
      <c r="AP1999" s="663"/>
      <c r="AQ1999" s="663"/>
      <c r="AR1999" s="270"/>
      <c r="AS1999" s="674"/>
      <c r="AT1999" s="674"/>
      <c r="AU1999" s="270"/>
      <c r="AV1999" s="270"/>
      <c r="AW1999" s="270"/>
      <c r="AX1999" s="270"/>
      <c r="AY1999" s="270"/>
      <c r="AZ1999" s="270"/>
      <c r="BA1999" s="270" t="str">
        <f>IF(Table1[[#This Row],[Data de Início]]="","",YEAR(Table1[[#This Row],[Data de Início]]))</f>
        <v/>
      </c>
      <c r="BB1999" s="270" t="str">
        <f>IF(Table1[[#This Row],[Data de Início]]="","",MONTH(Table1[[#This Row],[Data de Início]]))</f>
        <v/>
      </c>
      <c r="BC1999" s="483"/>
    </row>
    <row r="2000" spans="2:55" x14ac:dyDescent="0.25">
      <c r="B2000" s="470"/>
      <c r="C2000" s="263"/>
      <c r="D2000" s="477" cm="1">
        <f t="array" ref="D2000">IFERROR(HorasUteisFabrica2Turnos(B2000,C2000), "")</f>
        <v>0</v>
      </c>
      <c r="E2000" s="478" t="str">
        <f t="shared" si="31"/>
        <v/>
      </c>
      <c r="F2000" s="266"/>
      <c r="G2000" s="656"/>
      <c r="H2000" s="479"/>
      <c r="I2000" s="268"/>
      <c r="J2000" s="268"/>
      <c r="K2000" s="268"/>
      <c r="L2000" s="269"/>
      <c r="M2000" s="511" t="str">
        <f>IFERROR(INDEX([1]Produtos!$C:$C,MATCH(L2000,[1]Produtos!$B:$B,0)), "-")</f>
        <v>-</v>
      </c>
      <c r="N2000" s="511" t="str">
        <f>IFERROR(INDEX([1]Produtos!$E:$E,MATCH(L2000,[1]Produtos!$B:$B,0)), "-")</f>
        <v>-</v>
      </c>
      <c r="O2000" s="483" t="str">
        <f>IFERROR(INDEX([1]Produtos!$F:$F,MATCH(L2000,[1]Produtos!$B:$B,0)), "-")</f>
        <v>-</v>
      </c>
      <c r="P2000" s="477" t="str">
        <f>IFERROR(INDEX([1]Produtos!$G:$G,MATCH(L2000,[1]Produtos!$B:$B,0)), "-")</f>
        <v>-</v>
      </c>
      <c r="Q2000" s="483" t="str">
        <f>IFERROR(INDEX([1]Produtos!$H:$H,MATCH(L2000,[1]Produtos!$B:$B,0)), "-")</f>
        <v>-</v>
      </c>
      <c r="R2000" s="483" t="str">
        <f>IFERROR(INDEX([1]Produtos!$I:$I,MATCH(L2000,[1]Produtos!$B:$B,0)), "-")</f>
        <v>-</v>
      </c>
      <c r="S2000" s="483" t="str">
        <f>IFERROR(INDEX([1]Produtos!$J:$J,MATCH(L2000,[1]Produtos!$B:$B,0)), "-")</f>
        <v>-</v>
      </c>
      <c r="T2000" s="484"/>
      <c r="U2000" s="483"/>
      <c r="V2000" s="483"/>
      <c r="W2000" s="483"/>
      <c r="X2000" s="483"/>
      <c r="Y2000" s="483"/>
      <c r="Z2000" s="483"/>
      <c r="AA2000" s="483"/>
      <c r="AB2000" s="483"/>
      <c r="AC2000" s="483"/>
      <c r="AD2000" s="483"/>
      <c r="AE2000" s="483"/>
      <c r="AF2000" s="483"/>
      <c r="AG2000" s="483"/>
      <c r="AH2000" s="483"/>
      <c r="AI2000" s="483"/>
      <c r="AJ2000" s="483"/>
      <c r="AK2000" s="483"/>
      <c r="AL2000" s="483"/>
      <c r="AM2000" s="670"/>
      <c r="AN2000" s="670"/>
      <c r="AO2000" s="711" t="str">
        <f>IF(OR(Table1[[#This Row],[Início Setup Envase]]="",Table1[[#This Row],[Final Setup Envase]]=""),"",Table1[[#This Row],[Final Setup Envase]]-Table1[[#This Row],[Início Setup Envase]])</f>
        <v/>
      </c>
      <c r="AP2000" s="670"/>
      <c r="AQ2000" s="670"/>
      <c r="AR2000" s="483"/>
      <c r="AS2000" s="483"/>
      <c r="AT2000" s="483"/>
      <c r="AU2000" s="483"/>
      <c r="AV2000" s="483"/>
      <c r="AW2000" s="483"/>
      <c r="AX2000" s="483"/>
      <c r="AY2000" s="270"/>
      <c r="AZ2000" s="270"/>
      <c r="BA2000" s="270" t="str">
        <f>IF(Table1[[#This Row],[Data de Início]]="","",YEAR(Table1[[#This Row],[Data de Início]]))</f>
        <v/>
      </c>
      <c r="BB2000" s="270" t="str">
        <f>IF(Table1[[#This Row],[Data de Início]]="","",MONTH(Table1[[#This Row],[Data de Início]]))</f>
        <v/>
      </c>
      <c r="BC2000" s="270"/>
    </row>
    <row r="2001" spans="2:55" x14ac:dyDescent="0.25">
      <c r="B2001" s="470"/>
      <c r="C2001" s="263"/>
      <c r="D2001" s="477" cm="1">
        <f t="array" ref="D2001">IFERROR(HorasUteisFabrica2Turnos(B2001,C2001), "")</f>
        <v>0</v>
      </c>
      <c r="E2001" s="697" t="str">
        <f t="shared" si="31"/>
        <v/>
      </c>
      <c r="F2001" s="266"/>
      <c r="G2001" s="698"/>
      <c r="H2001" s="266"/>
      <c r="I2001" s="268"/>
      <c r="J2001" s="268"/>
      <c r="K2001" s="268"/>
      <c r="L2001" s="269"/>
      <c r="M2001" s="510" t="str">
        <f>IFERROR(INDEX([1]Produtos!$C:$C,MATCH(L2001,[1]Produtos!$B:$B,0)), "-")</f>
        <v>-</v>
      </c>
      <c r="N2001" s="510" t="str">
        <f>IFERROR(INDEX([1]Produtos!$E:$E,MATCH(L2001,[1]Produtos!$B:$B,0)), "-")</f>
        <v>-</v>
      </c>
      <c r="O2001" s="270" t="str">
        <f>IFERROR(INDEX([1]Produtos!$F:$F,MATCH(L2001,[1]Produtos!$B:$B,0)), "-")</f>
        <v>-</v>
      </c>
      <c r="P2001" s="264" t="str">
        <f>IFERROR(INDEX([1]Produtos!$G:$G,MATCH(L2001,[1]Produtos!$B:$B,0)), "-")</f>
        <v>-</v>
      </c>
      <c r="Q2001" s="270" t="str">
        <f>IFERROR(INDEX([1]Produtos!$H:$H,MATCH(L2001,[1]Produtos!$B:$B,0)), "-")</f>
        <v>-</v>
      </c>
      <c r="R2001" s="270" t="str">
        <f>IFERROR(INDEX([1]Produtos!$I:$I,MATCH(L2001,[1]Produtos!$B:$B,0)), "-")</f>
        <v>-</v>
      </c>
      <c r="S2001" s="270" t="str">
        <f>IFERROR(INDEX([1]Produtos!$J:$J,MATCH(L2001,[1]Produtos!$B:$B,0)), "-")</f>
        <v>-</v>
      </c>
      <c r="T2001" s="475"/>
      <c r="U2001" s="270"/>
      <c r="V2001" s="270"/>
      <c r="W2001" s="270"/>
      <c r="X2001" s="270"/>
      <c r="Y2001" s="270"/>
      <c r="Z2001" s="270"/>
      <c r="AA2001" s="270"/>
      <c r="AB2001" s="270"/>
      <c r="AC2001" s="270"/>
      <c r="AD2001" s="270"/>
      <c r="AE2001" s="270"/>
      <c r="AF2001" s="270"/>
      <c r="AG2001" s="270"/>
      <c r="AH2001" s="270"/>
      <c r="AI2001" s="270"/>
      <c r="AJ2001" s="270"/>
      <c r="AK2001" s="270"/>
      <c r="AL2001" s="270"/>
      <c r="AM2001" s="663"/>
      <c r="AN2001" s="663"/>
      <c r="AO2001" s="708" t="str">
        <f>IF(OR(Table1[[#This Row],[Início Setup Envase]]="",Table1[[#This Row],[Final Setup Envase]]=""),"",Table1[[#This Row],[Final Setup Envase]]-Table1[[#This Row],[Início Setup Envase]])</f>
        <v/>
      </c>
      <c r="AP2001" s="663"/>
      <c r="AQ2001" s="663"/>
      <c r="AR2001" s="270"/>
      <c r="AS2001" s="674"/>
      <c r="AT2001" s="674"/>
      <c r="AU2001" s="270"/>
      <c r="AV2001" s="270"/>
      <c r="AW2001" s="270"/>
      <c r="AX2001" s="270"/>
      <c r="AY2001" s="270"/>
      <c r="AZ2001" s="270"/>
      <c r="BA2001" s="270" t="str">
        <f>IF(Table1[[#This Row],[Data de Início]]="","",YEAR(Table1[[#This Row],[Data de Início]]))</f>
        <v/>
      </c>
      <c r="BB2001" s="270" t="str">
        <f>IF(Table1[[#This Row],[Data de Início]]="","",MONTH(Table1[[#This Row],[Data de Início]]))</f>
        <v/>
      </c>
      <c r="BC2001" s="483"/>
    </row>
    <row r="2002" spans="2:55" x14ac:dyDescent="0.25">
      <c r="B2002" s="470"/>
      <c r="C2002" s="263"/>
      <c r="D2002" s="477" cm="1">
        <f t="array" ref="D2002">IFERROR(HorasUteisFabrica2Turnos(B2002,C2002), "")</f>
        <v>0</v>
      </c>
      <c r="E2002" s="478" t="str">
        <f t="shared" si="31"/>
        <v/>
      </c>
      <c r="F2002" s="266"/>
      <c r="G2002" s="656"/>
      <c r="H2002" s="479"/>
      <c r="I2002" s="268"/>
      <c r="J2002" s="268"/>
      <c r="K2002" s="268"/>
      <c r="L2002" s="269"/>
      <c r="M2002" s="511" t="str">
        <f>IFERROR(INDEX([1]Produtos!$C:$C,MATCH(L2002,[1]Produtos!$B:$B,0)), "-")</f>
        <v>-</v>
      </c>
      <c r="N2002" s="511" t="str">
        <f>IFERROR(INDEX([1]Produtos!$E:$E,MATCH(L2002,[1]Produtos!$B:$B,0)), "-")</f>
        <v>-</v>
      </c>
      <c r="O2002" s="483" t="str">
        <f>IFERROR(INDEX([1]Produtos!$F:$F,MATCH(L2002,[1]Produtos!$B:$B,0)), "-")</f>
        <v>-</v>
      </c>
      <c r="P2002" s="477" t="str">
        <f>IFERROR(INDEX([1]Produtos!$G:$G,MATCH(L2002,[1]Produtos!$B:$B,0)), "-")</f>
        <v>-</v>
      </c>
      <c r="Q2002" s="483" t="str">
        <f>IFERROR(INDEX([1]Produtos!$H:$H,MATCH(L2002,[1]Produtos!$B:$B,0)), "-")</f>
        <v>-</v>
      </c>
      <c r="R2002" s="483" t="str">
        <f>IFERROR(INDEX([1]Produtos!$I:$I,MATCH(L2002,[1]Produtos!$B:$B,0)), "-")</f>
        <v>-</v>
      </c>
      <c r="S2002" s="483" t="str">
        <f>IFERROR(INDEX([1]Produtos!$J:$J,MATCH(L2002,[1]Produtos!$B:$B,0)), "-")</f>
        <v>-</v>
      </c>
      <c r="T2002" s="484"/>
      <c r="U2002" s="483"/>
      <c r="V2002" s="483"/>
      <c r="W2002" s="483"/>
      <c r="X2002" s="483"/>
      <c r="Y2002" s="483"/>
      <c r="Z2002" s="483"/>
      <c r="AA2002" s="483"/>
      <c r="AB2002" s="483"/>
      <c r="AC2002" s="483"/>
      <c r="AD2002" s="483"/>
      <c r="AE2002" s="483"/>
      <c r="AF2002" s="483"/>
      <c r="AG2002" s="483"/>
      <c r="AH2002" s="483"/>
      <c r="AI2002" s="483"/>
      <c r="AJ2002" s="483"/>
      <c r="AK2002" s="483"/>
      <c r="AL2002" s="483"/>
      <c r="AM2002" s="670"/>
      <c r="AN2002" s="670"/>
      <c r="AO2002" s="711" t="str">
        <f>IF(OR(Table1[[#This Row],[Início Setup Envase]]="",Table1[[#This Row],[Final Setup Envase]]=""),"",Table1[[#This Row],[Final Setup Envase]]-Table1[[#This Row],[Início Setup Envase]])</f>
        <v/>
      </c>
      <c r="AP2002" s="670"/>
      <c r="AQ2002" s="670"/>
      <c r="AR2002" s="483"/>
      <c r="AS2002" s="483"/>
      <c r="AT2002" s="483"/>
      <c r="AU2002" s="483"/>
      <c r="AV2002" s="483"/>
      <c r="AW2002" s="483"/>
      <c r="AX2002" s="483"/>
      <c r="AY2002" s="270"/>
      <c r="AZ2002" s="270"/>
      <c r="BA2002" s="270" t="str">
        <f>IF(Table1[[#This Row],[Data de Início]]="","",YEAR(Table1[[#This Row],[Data de Início]]))</f>
        <v/>
      </c>
      <c r="BB2002" s="270" t="str">
        <f>IF(Table1[[#This Row],[Data de Início]]="","",MONTH(Table1[[#This Row],[Data de Início]]))</f>
        <v/>
      </c>
      <c r="BC2002" s="270"/>
    </row>
    <row r="2003" spans="2:55" x14ac:dyDescent="0.25">
      <c r="B2003" s="470"/>
      <c r="C2003" s="263"/>
      <c r="D2003" s="477" cm="1">
        <f t="array" ref="D2003">IFERROR(HorasUteisFabrica2Turnos(B2003,C2003), "")</f>
        <v>0</v>
      </c>
      <c r="E2003" s="697" t="str">
        <f t="shared" si="31"/>
        <v/>
      </c>
      <c r="F2003" s="266"/>
      <c r="G2003" s="698"/>
      <c r="H2003" s="266"/>
      <c r="I2003" s="268"/>
      <c r="J2003" s="268"/>
      <c r="K2003" s="268"/>
      <c r="L2003" s="269"/>
      <c r="M2003" s="510" t="str">
        <f>IFERROR(INDEX([1]Produtos!$C:$C,MATCH(L2003,[1]Produtos!$B:$B,0)), "-")</f>
        <v>-</v>
      </c>
      <c r="N2003" s="510" t="str">
        <f>IFERROR(INDEX([1]Produtos!$E:$E,MATCH(L2003,[1]Produtos!$B:$B,0)), "-")</f>
        <v>-</v>
      </c>
      <c r="O2003" s="270" t="str">
        <f>IFERROR(INDEX([1]Produtos!$F:$F,MATCH(L2003,[1]Produtos!$B:$B,0)), "-")</f>
        <v>-</v>
      </c>
      <c r="P2003" s="264" t="str">
        <f>IFERROR(INDEX([1]Produtos!$G:$G,MATCH(L2003,[1]Produtos!$B:$B,0)), "-")</f>
        <v>-</v>
      </c>
      <c r="Q2003" s="270" t="str">
        <f>IFERROR(INDEX([1]Produtos!$H:$H,MATCH(L2003,[1]Produtos!$B:$B,0)), "-")</f>
        <v>-</v>
      </c>
      <c r="R2003" s="270" t="str">
        <f>IFERROR(INDEX([1]Produtos!$I:$I,MATCH(L2003,[1]Produtos!$B:$B,0)), "-")</f>
        <v>-</v>
      </c>
      <c r="S2003" s="270" t="str">
        <f>IFERROR(INDEX([1]Produtos!$J:$J,MATCH(L2003,[1]Produtos!$B:$B,0)), "-")</f>
        <v>-</v>
      </c>
      <c r="T2003" s="475"/>
      <c r="U2003" s="270"/>
      <c r="V2003" s="270"/>
      <c r="W2003" s="270"/>
      <c r="X2003" s="270"/>
      <c r="Y2003" s="270"/>
      <c r="Z2003" s="270"/>
      <c r="AA2003" s="270"/>
      <c r="AB2003" s="270"/>
      <c r="AC2003" s="270"/>
      <c r="AD2003" s="270"/>
      <c r="AE2003" s="270"/>
      <c r="AF2003" s="270"/>
      <c r="AG2003" s="270"/>
      <c r="AH2003" s="270"/>
      <c r="AI2003" s="270"/>
      <c r="AJ2003" s="270"/>
      <c r="AK2003" s="270"/>
      <c r="AL2003" s="270"/>
      <c r="AM2003" s="663"/>
      <c r="AN2003" s="663"/>
      <c r="AO2003" s="708" t="str">
        <f>IF(OR(Table1[[#This Row],[Início Setup Envase]]="",Table1[[#This Row],[Final Setup Envase]]=""),"",Table1[[#This Row],[Final Setup Envase]]-Table1[[#This Row],[Início Setup Envase]])</f>
        <v/>
      </c>
      <c r="AP2003" s="663"/>
      <c r="AQ2003" s="663"/>
      <c r="AR2003" s="270"/>
      <c r="AS2003" s="674"/>
      <c r="AT2003" s="674"/>
      <c r="AU2003" s="270"/>
      <c r="AV2003" s="270"/>
      <c r="AW2003" s="270"/>
      <c r="AX2003" s="270"/>
      <c r="AY2003" s="270"/>
      <c r="AZ2003" s="270"/>
      <c r="BA2003" s="270" t="str">
        <f>IF(Table1[[#This Row],[Data de Início]]="","",YEAR(Table1[[#This Row],[Data de Início]]))</f>
        <v/>
      </c>
      <c r="BB2003" s="270" t="str">
        <f>IF(Table1[[#This Row],[Data de Início]]="","",MONTH(Table1[[#This Row],[Data de Início]]))</f>
        <v/>
      </c>
      <c r="BC2003" s="483"/>
    </row>
    <row r="2004" spans="2:55" x14ac:dyDescent="0.25">
      <c r="B2004" s="470"/>
      <c r="C2004" s="263"/>
      <c r="D2004" s="477" cm="1">
        <f t="array" ref="D2004">IFERROR(HorasUteisFabrica2Turnos(B2004,C2004), "")</f>
        <v>0</v>
      </c>
      <c r="E2004" s="478" t="str">
        <f t="shared" si="31"/>
        <v/>
      </c>
      <c r="F2004" s="266"/>
      <c r="G2004" s="656"/>
      <c r="H2004" s="479"/>
      <c r="I2004" s="268"/>
      <c r="J2004" s="268"/>
      <c r="K2004" s="268"/>
      <c r="L2004" s="269"/>
      <c r="M2004" s="511" t="str">
        <f>IFERROR(INDEX([1]Produtos!$C:$C,MATCH(L2004,[1]Produtos!$B:$B,0)), "-")</f>
        <v>-</v>
      </c>
      <c r="N2004" s="511" t="str">
        <f>IFERROR(INDEX([1]Produtos!$E:$E,MATCH(L2004,[1]Produtos!$B:$B,0)), "-")</f>
        <v>-</v>
      </c>
      <c r="O2004" s="483" t="str">
        <f>IFERROR(INDEX([1]Produtos!$F:$F,MATCH(L2004,[1]Produtos!$B:$B,0)), "-")</f>
        <v>-</v>
      </c>
      <c r="P2004" s="477" t="str">
        <f>IFERROR(INDEX([1]Produtos!$G:$G,MATCH(L2004,[1]Produtos!$B:$B,0)), "-")</f>
        <v>-</v>
      </c>
      <c r="Q2004" s="483" t="str">
        <f>IFERROR(INDEX([1]Produtos!$H:$H,MATCH(L2004,[1]Produtos!$B:$B,0)), "-")</f>
        <v>-</v>
      </c>
      <c r="R2004" s="483" t="str">
        <f>IFERROR(INDEX([1]Produtos!$I:$I,MATCH(L2004,[1]Produtos!$B:$B,0)), "-")</f>
        <v>-</v>
      </c>
      <c r="S2004" s="483" t="str">
        <f>IFERROR(INDEX([1]Produtos!$J:$J,MATCH(L2004,[1]Produtos!$B:$B,0)), "-")</f>
        <v>-</v>
      </c>
      <c r="T2004" s="484"/>
      <c r="U2004" s="483"/>
      <c r="V2004" s="483"/>
      <c r="W2004" s="483"/>
      <c r="X2004" s="483"/>
      <c r="Y2004" s="483"/>
      <c r="Z2004" s="483"/>
      <c r="AA2004" s="483"/>
      <c r="AB2004" s="483"/>
      <c r="AC2004" s="483"/>
      <c r="AD2004" s="483"/>
      <c r="AE2004" s="483"/>
      <c r="AF2004" s="483"/>
      <c r="AG2004" s="483"/>
      <c r="AH2004" s="483"/>
      <c r="AI2004" s="483"/>
      <c r="AJ2004" s="483"/>
      <c r="AK2004" s="483"/>
      <c r="AL2004" s="483"/>
      <c r="AM2004" s="670"/>
      <c r="AN2004" s="670"/>
      <c r="AO2004" s="711" t="str">
        <f>IF(OR(Table1[[#This Row],[Início Setup Envase]]="",Table1[[#This Row],[Final Setup Envase]]=""),"",Table1[[#This Row],[Final Setup Envase]]-Table1[[#This Row],[Início Setup Envase]])</f>
        <v/>
      </c>
      <c r="AP2004" s="670"/>
      <c r="AQ2004" s="670"/>
      <c r="AR2004" s="483"/>
      <c r="AS2004" s="483"/>
      <c r="AT2004" s="483"/>
      <c r="AU2004" s="483"/>
      <c r="AV2004" s="483"/>
      <c r="AW2004" s="483"/>
      <c r="AX2004" s="483"/>
      <c r="AY2004" s="270"/>
      <c r="AZ2004" s="270"/>
      <c r="BA2004" s="270" t="str">
        <f>IF(Table1[[#This Row],[Data de Início]]="","",YEAR(Table1[[#This Row],[Data de Início]]))</f>
        <v/>
      </c>
      <c r="BB2004" s="270" t="str">
        <f>IF(Table1[[#This Row],[Data de Início]]="","",MONTH(Table1[[#This Row],[Data de Início]]))</f>
        <v/>
      </c>
      <c r="BC2004" s="270"/>
    </row>
    <row r="2005" spans="2:55" x14ac:dyDescent="0.25">
      <c r="B2005" s="470"/>
      <c r="C2005" s="263"/>
      <c r="D2005" s="477" cm="1">
        <f t="array" ref="D2005">IFERROR(HorasUteisFabrica2Turnos(B2005,C2005), "")</f>
        <v>0</v>
      </c>
      <c r="E2005" s="697" t="str">
        <f t="shared" si="31"/>
        <v/>
      </c>
      <c r="F2005" s="266"/>
      <c r="G2005" s="698"/>
      <c r="H2005" s="266"/>
      <c r="I2005" s="268"/>
      <c r="J2005" s="268"/>
      <c r="K2005" s="268"/>
      <c r="L2005" s="269"/>
      <c r="M2005" s="510" t="str">
        <f>IFERROR(INDEX([1]Produtos!$C:$C,MATCH(L2005,[1]Produtos!$B:$B,0)), "-")</f>
        <v>-</v>
      </c>
      <c r="N2005" s="510" t="str">
        <f>IFERROR(INDEX([1]Produtos!$E:$E,MATCH(L2005,[1]Produtos!$B:$B,0)), "-")</f>
        <v>-</v>
      </c>
      <c r="O2005" s="270" t="str">
        <f>IFERROR(INDEX([1]Produtos!$F:$F,MATCH(L2005,[1]Produtos!$B:$B,0)), "-")</f>
        <v>-</v>
      </c>
      <c r="P2005" s="264" t="str">
        <f>IFERROR(INDEX([1]Produtos!$G:$G,MATCH(L2005,[1]Produtos!$B:$B,0)), "-")</f>
        <v>-</v>
      </c>
      <c r="Q2005" s="270" t="str">
        <f>IFERROR(INDEX([1]Produtos!$H:$H,MATCH(L2005,[1]Produtos!$B:$B,0)), "-")</f>
        <v>-</v>
      </c>
      <c r="R2005" s="270" t="str">
        <f>IFERROR(INDEX([1]Produtos!$I:$I,MATCH(L2005,[1]Produtos!$B:$B,0)), "-")</f>
        <v>-</v>
      </c>
      <c r="S2005" s="270" t="str">
        <f>IFERROR(INDEX([1]Produtos!$J:$J,MATCH(L2005,[1]Produtos!$B:$B,0)), "-")</f>
        <v>-</v>
      </c>
      <c r="T2005" s="475"/>
      <c r="U2005" s="270"/>
      <c r="V2005" s="270"/>
      <c r="W2005" s="270"/>
      <c r="X2005" s="270"/>
      <c r="Y2005" s="270"/>
      <c r="Z2005" s="270"/>
      <c r="AA2005" s="270"/>
      <c r="AB2005" s="270"/>
      <c r="AC2005" s="270"/>
      <c r="AD2005" s="270"/>
      <c r="AE2005" s="270"/>
      <c r="AF2005" s="270"/>
      <c r="AG2005" s="270"/>
      <c r="AH2005" s="270"/>
      <c r="AI2005" s="270"/>
      <c r="AJ2005" s="270"/>
      <c r="AK2005" s="270"/>
      <c r="AL2005" s="270"/>
      <c r="AM2005" s="663"/>
      <c r="AN2005" s="663"/>
      <c r="AO2005" s="708" t="str">
        <f>IF(OR(Table1[[#This Row],[Início Setup Envase]]="",Table1[[#This Row],[Final Setup Envase]]=""),"",Table1[[#This Row],[Final Setup Envase]]-Table1[[#This Row],[Início Setup Envase]])</f>
        <v/>
      </c>
      <c r="AP2005" s="663"/>
      <c r="AQ2005" s="663"/>
      <c r="AR2005" s="270"/>
      <c r="AS2005" s="674"/>
      <c r="AT2005" s="674"/>
      <c r="AU2005" s="270"/>
      <c r="AV2005" s="270"/>
      <c r="AW2005" s="270"/>
      <c r="AX2005" s="270"/>
      <c r="AY2005" s="270"/>
      <c r="AZ2005" s="270"/>
      <c r="BA2005" s="270" t="str">
        <f>IF(Table1[[#This Row],[Data de Início]]="","",YEAR(Table1[[#This Row],[Data de Início]]))</f>
        <v/>
      </c>
      <c r="BB2005" s="270" t="str">
        <f>IF(Table1[[#This Row],[Data de Início]]="","",MONTH(Table1[[#This Row],[Data de Início]]))</f>
        <v/>
      </c>
      <c r="BC2005" s="483"/>
    </row>
    <row r="2006" spans="2:55" x14ac:dyDescent="0.25">
      <c r="B2006" s="470"/>
      <c r="C2006" s="263"/>
      <c r="D2006" s="477" cm="1">
        <f t="array" ref="D2006">IFERROR(HorasUteisFabrica2Turnos(B2006,C2006), "")</f>
        <v>0</v>
      </c>
      <c r="E2006" s="478" t="str">
        <f t="shared" si="31"/>
        <v/>
      </c>
      <c r="F2006" s="266"/>
      <c r="G2006" s="656"/>
      <c r="H2006" s="479"/>
      <c r="I2006" s="268"/>
      <c r="J2006" s="268"/>
      <c r="K2006" s="268"/>
      <c r="L2006" s="269"/>
      <c r="M2006" s="511" t="str">
        <f>IFERROR(INDEX([1]Produtos!$C:$C,MATCH(L2006,[1]Produtos!$B:$B,0)), "-")</f>
        <v>-</v>
      </c>
      <c r="N2006" s="511" t="str">
        <f>IFERROR(INDEX([1]Produtos!$E:$E,MATCH(L2006,[1]Produtos!$B:$B,0)), "-")</f>
        <v>-</v>
      </c>
      <c r="O2006" s="483" t="str">
        <f>IFERROR(INDEX([1]Produtos!$F:$F,MATCH(L2006,[1]Produtos!$B:$B,0)), "-")</f>
        <v>-</v>
      </c>
      <c r="P2006" s="477" t="str">
        <f>IFERROR(INDEX([1]Produtos!$G:$G,MATCH(L2006,[1]Produtos!$B:$B,0)), "-")</f>
        <v>-</v>
      </c>
      <c r="Q2006" s="483" t="str">
        <f>IFERROR(INDEX([1]Produtos!$H:$H,MATCH(L2006,[1]Produtos!$B:$B,0)), "-")</f>
        <v>-</v>
      </c>
      <c r="R2006" s="483" t="str">
        <f>IFERROR(INDEX([1]Produtos!$I:$I,MATCH(L2006,[1]Produtos!$B:$B,0)), "-")</f>
        <v>-</v>
      </c>
      <c r="S2006" s="483" t="str">
        <f>IFERROR(INDEX([1]Produtos!$J:$J,MATCH(L2006,[1]Produtos!$B:$B,0)), "-")</f>
        <v>-</v>
      </c>
      <c r="T2006" s="484"/>
      <c r="U2006" s="483"/>
      <c r="V2006" s="483"/>
      <c r="W2006" s="483"/>
      <c r="X2006" s="483"/>
      <c r="Y2006" s="483"/>
      <c r="Z2006" s="483"/>
      <c r="AA2006" s="483"/>
      <c r="AB2006" s="483"/>
      <c r="AC2006" s="483"/>
      <c r="AD2006" s="483"/>
      <c r="AE2006" s="483"/>
      <c r="AF2006" s="483"/>
      <c r="AG2006" s="483"/>
      <c r="AH2006" s="483"/>
      <c r="AI2006" s="483"/>
      <c r="AJ2006" s="483"/>
      <c r="AK2006" s="483"/>
      <c r="AL2006" s="483"/>
      <c r="AM2006" s="670"/>
      <c r="AN2006" s="670"/>
      <c r="AO2006" s="711" t="str">
        <f>IF(OR(Table1[[#This Row],[Início Setup Envase]]="",Table1[[#This Row],[Final Setup Envase]]=""),"",Table1[[#This Row],[Final Setup Envase]]-Table1[[#This Row],[Início Setup Envase]])</f>
        <v/>
      </c>
      <c r="AP2006" s="670"/>
      <c r="AQ2006" s="670"/>
      <c r="AR2006" s="483"/>
      <c r="AS2006" s="483"/>
      <c r="AT2006" s="483"/>
      <c r="AU2006" s="483"/>
      <c r="AV2006" s="483"/>
      <c r="AW2006" s="483"/>
      <c r="AX2006" s="483"/>
      <c r="AY2006" s="270"/>
      <c r="AZ2006" s="270"/>
      <c r="BA2006" s="270" t="str">
        <f>IF(Table1[[#This Row],[Data de Início]]="","",YEAR(Table1[[#This Row],[Data de Início]]))</f>
        <v/>
      </c>
      <c r="BB2006" s="270" t="str">
        <f>IF(Table1[[#This Row],[Data de Início]]="","",MONTH(Table1[[#This Row],[Data de Início]]))</f>
        <v/>
      </c>
      <c r="BC2006" s="270"/>
    </row>
    <row r="2007" spans="2:55" x14ac:dyDescent="0.25">
      <c r="B2007" s="470"/>
      <c r="C2007" s="263"/>
      <c r="D2007" s="477" cm="1">
        <f t="array" ref="D2007">IFERROR(HorasUteisFabrica2Turnos(B2007,C2007), "")</f>
        <v>0</v>
      </c>
      <c r="E2007" s="697" t="str">
        <f t="shared" si="31"/>
        <v/>
      </c>
      <c r="F2007" s="266"/>
      <c r="G2007" s="698"/>
      <c r="H2007" s="266"/>
      <c r="I2007" s="268"/>
      <c r="J2007" s="268"/>
      <c r="K2007" s="268"/>
      <c r="L2007" s="269"/>
      <c r="M2007" s="510" t="str">
        <f>IFERROR(INDEX([1]Produtos!$C:$C,MATCH(L2007,[1]Produtos!$B:$B,0)), "-")</f>
        <v>-</v>
      </c>
      <c r="N2007" s="510" t="str">
        <f>IFERROR(INDEX([1]Produtos!$E:$E,MATCH(L2007,[1]Produtos!$B:$B,0)), "-")</f>
        <v>-</v>
      </c>
      <c r="O2007" s="270" t="str">
        <f>IFERROR(INDEX([1]Produtos!$F:$F,MATCH(L2007,[1]Produtos!$B:$B,0)), "-")</f>
        <v>-</v>
      </c>
      <c r="P2007" s="264" t="str">
        <f>IFERROR(INDEX([1]Produtos!$G:$G,MATCH(L2007,[1]Produtos!$B:$B,0)), "-")</f>
        <v>-</v>
      </c>
      <c r="Q2007" s="270" t="str">
        <f>IFERROR(INDEX([1]Produtos!$H:$H,MATCH(L2007,[1]Produtos!$B:$B,0)), "-")</f>
        <v>-</v>
      </c>
      <c r="R2007" s="270" t="str">
        <f>IFERROR(INDEX([1]Produtos!$I:$I,MATCH(L2007,[1]Produtos!$B:$B,0)), "-")</f>
        <v>-</v>
      </c>
      <c r="S2007" s="270" t="str">
        <f>IFERROR(INDEX([1]Produtos!$J:$J,MATCH(L2007,[1]Produtos!$B:$B,0)), "-")</f>
        <v>-</v>
      </c>
      <c r="T2007" s="475"/>
      <c r="U2007" s="270"/>
      <c r="V2007" s="270"/>
      <c r="W2007" s="270"/>
      <c r="X2007" s="270"/>
      <c r="Y2007" s="270"/>
      <c r="Z2007" s="270"/>
      <c r="AA2007" s="270"/>
      <c r="AB2007" s="270"/>
      <c r="AC2007" s="270"/>
      <c r="AD2007" s="270"/>
      <c r="AE2007" s="270"/>
      <c r="AF2007" s="270"/>
      <c r="AG2007" s="270"/>
      <c r="AH2007" s="270"/>
      <c r="AI2007" s="270"/>
      <c r="AJ2007" s="270"/>
      <c r="AK2007" s="270"/>
      <c r="AL2007" s="270"/>
      <c r="AM2007" s="663"/>
      <c r="AN2007" s="663"/>
      <c r="AO2007" s="708" t="str">
        <f>IF(OR(Table1[[#This Row],[Início Setup Envase]]="",Table1[[#This Row],[Final Setup Envase]]=""),"",Table1[[#This Row],[Final Setup Envase]]-Table1[[#This Row],[Início Setup Envase]])</f>
        <v/>
      </c>
      <c r="AP2007" s="663"/>
      <c r="AQ2007" s="663"/>
      <c r="AR2007" s="270"/>
      <c r="AS2007" s="674"/>
      <c r="AT2007" s="674"/>
      <c r="AU2007" s="270"/>
      <c r="AV2007" s="270"/>
      <c r="AW2007" s="270"/>
      <c r="AX2007" s="270"/>
      <c r="AY2007" s="270"/>
      <c r="AZ2007" s="270"/>
      <c r="BA2007" s="270" t="str">
        <f>IF(Table1[[#This Row],[Data de Início]]="","",YEAR(Table1[[#This Row],[Data de Início]]))</f>
        <v/>
      </c>
      <c r="BB2007" s="270" t="str">
        <f>IF(Table1[[#This Row],[Data de Início]]="","",MONTH(Table1[[#This Row],[Data de Início]]))</f>
        <v/>
      </c>
      <c r="BC2007" s="483"/>
    </row>
    <row r="2008" spans="2:55" x14ac:dyDescent="0.25">
      <c r="B2008" s="470"/>
      <c r="C2008" s="263"/>
      <c r="D2008" s="477" cm="1">
        <f t="array" ref="D2008">IFERROR(HorasUteisFabrica2Turnos(B2008,C2008), "")</f>
        <v>0</v>
      </c>
      <c r="E2008" s="478" t="str">
        <f t="shared" si="31"/>
        <v/>
      </c>
      <c r="F2008" s="266"/>
      <c r="G2008" s="656"/>
      <c r="H2008" s="479"/>
      <c r="I2008" s="268"/>
      <c r="J2008" s="268"/>
      <c r="K2008" s="268"/>
      <c r="L2008" s="269"/>
      <c r="M2008" s="511" t="str">
        <f>IFERROR(INDEX([1]Produtos!$C:$C,MATCH(L2008,[1]Produtos!$B:$B,0)), "-")</f>
        <v>-</v>
      </c>
      <c r="N2008" s="511" t="str">
        <f>IFERROR(INDEX([1]Produtos!$E:$E,MATCH(L2008,[1]Produtos!$B:$B,0)), "-")</f>
        <v>-</v>
      </c>
      <c r="O2008" s="483" t="str">
        <f>IFERROR(INDEX([1]Produtos!$F:$F,MATCH(L2008,[1]Produtos!$B:$B,0)), "-")</f>
        <v>-</v>
      </c>
      <c r="P2008" s="477" t="str">
        <f>IFERROR(INDEX([1]Produtos!$G:$G,MATCH(L2008,[1]Produtos!$B:$B,0)), "-")</f>
        <v>-</v>
      </c>
      <c r="Q2008" s="483" t="str">
        <f>IFERROR(INDEX([1]Produtos!$H:$H,MATCH(L2008,[1]Produtos!$B:$B,0)), "-")</f>
        <v>-</v>
      </c>
      <c r="R2008" s="483" t="str">
        <f>IFERROR(INDEX([1]Produtos!$I:$I,MATCH(L2008,[1]Produtos!$B:$B,0)), "-")</f>
        <v>-</v>
      </c>
      <c r="S2008" s="483" t="str">
        <f>IFERROR(INDEX([1]Produtos!$J:$J,MATCH(L2008,[1]Produtos!$B:$B,0)), "-")</f>
        <v>-</v>
      </c>
      <c r="T2008" s="484"/>
      <c r="U2008" s="483"/>
      <c r="V2008" s="483"/>
      <c r="W2008" s="483"/>
      <c r="X2008" s="483"/>
      <c r="Y2008" s="483"/>
      <c r="Z2008" s="483"/>
      <c r="AA2008" s="483"/>
      <c r="AB2008" s="483"/>
      <c r="AC2008" s="483"/>
      <c r="AD2008" s="483"/>
      <c r="AE2008" s="483"/>
      <c r="AF2008" s="483"/>
      <c r="AG2008" s="483"/>
      <c r="AH2008" s="483"/>
      <c r="AI2008" s="483"/>
      <c r="AJ2008" s="483"/>
      <c r="AK2008" s="483"/>
      <c r="AL2008" s="483"/>
      <c r="AM2008" s="670"/>
      <c r="AN2008" s="670"/>
      <c r="AO2008" s="711" t="str">
        <f>IF(OR(Table1[[#This Row],[Início Setup Envase]]="",Table1[[#This Row],[Final Setup Envase]]=""),"",Table1[[#This Row],[Final Setup Envase]]-Table1[[#This Row],[Início Setup Envase]])</f>
        <v/>
      </c>
      <c r="AP2008" s="670"/>
      <c r="AQ2008" s="670"/>
      <c r="AR2008" s="483"/>
      <c r="AS2008" s="483"/>
      <c r="AT2008" s="483"/>
      <c r="AU2008" s="483"/>
      <c r="AV2008" s="483"/>
      <c r="AW2008" s="483"/>
      <c r="AX2008" s="483"/>
      <c r="AY2008" s="270"/>
      <c r="AZ2008" s="270"/>
      <c r="BA2008" s="270" t="str">
        <f>IF(Table1[[#This Row],[Data de Início]]="","",YEAR(Table1[[#This Row],[Data de Início]]))</f>
        <v/>
      </c>
      <c r="BB2008" s="270" t="str">
        <f>IF(Table1[[#This Row],[Data de Início]]="","",MONTH(Table1[[#This Row],[Data de Início]]))</f>
        <v/>
      </c>
      <c r="BC2008" s="270"/>
    </row>
    <row r="2009" spans="2:55" x14ac:dyDescent="0.25">
      <c r="B2009" s="470"/>
      <c r="C2009" s="263"/>
      <c r="D2009" s="477" cm="1">
        <f t="array" ref="D2009">IFERROR(HorasUteisFabrica2Turnos(B2009,C2009), "")</f>
        <v>0</v>
      </c>
      <c r="E2009" s="697" t="str">
        <f t="shared" si="31"/>
        <v/>
      </c>
      <c r="F2009" s="266"/>
      <c r="G2009" s="698"/>
      <c r="H2009" s="266"/>
      <c r="I2009" s="268"/>
      <c r="J2009" s="268"/>
      <c r="K2009" s="268"/>
      <c r="L2009" s="269"/>
      <c r="M2009" s="510" t="str">
        <f>IFERROR(INDEX([1]Produtos!$C:$C,MATCH(L2009,[1]Produtos!$B:$B,0)), "-")</f>
        <v>-</v>
      </c>
      <c r="N2009" s="510" t="str">
        <f>IFERROR(INDEX([1]Produtos!$E:$E,MATCH(L2009,[1]Produtos!$B:$B,0)), "-")</f>
        <v>-</v>
      </c>
      <c r="O2009" s="270" t="str">
        <f>IFERROR(INDEX([1]Produtos!$F:$F,MATCH(L2009,[1]Produtos!$B:$B,0)), "-")</f>
        <v>-</v>
      </c>
      <c r="P2009" s="264" t="str">
        <f>IFERROR(INDEX([1]Produtos!$G:$G,MATCH(L2009,[1]Produtos!$B:$B,0)), "-")</f>
        <v>-</v>
      </c>
      <c r="Q2009" s="270" t="str">
        <f>IFERROR(INDEX([1]Produtos!$H:$H,MATCH(L2009,[1]Produtos!$B:$B,0)), "-")</f>
        <v>-</v>
      </c>
      <c r="R2009" s="270" t="str">
        <f>IFERROR(INDEX([1]Produtos!$I:$I,MATCH(L2009,[1]Produtos!$B:$B,0)), "-")</f>
        <v>-</v>
      </c>
      <c r="S2009" s="270" t="str">
        <f>IFERROR(INDEX([1]Produtos!$J:$J,MATCH(L2009,[1]Produtos!$B:$B,0)), "-")</f>
        <v>-</v>
      </c>
      <c r="T2009" s="475"/>
      <c r="U2009" s="270"/>
      <c r="V2009" s="270"/>
      <c r="W2009" s="270"/>
      <c r="X2009" s="270"/>
      <c r="Y2009" s="270"/>
      <c r="Z2009" s="270"/>
      <c r="AA2009" s="270"/>
      <c r="AB2009" s="270"/>
      <c r="AC2009" s="270"/>
      <c r="AD2009" s="270"/>
      <c r="AE2009" s="270"/>
      <c r="AF2009" s="270"/>
      <c r="AG2009" s="270"/>
      <c r="AH2009" s="270"/>
      <c r="AI2009" s="270"/>
      <c r="AJ2009" s="270"/>
      <c r="AK2009" s="270"/>
      <c r="AL2009" s="270"/>
      <c r="AM2009" s="663"/>
      <c r="AN2009" s="663"/>
      <c r="AO2009" s="708" t="str">
        <f>IF(OR(Table1[[#This Row],[Início Setup Envase]]="",Table1[[#This Row],[Final Setup Envase]]=""),"",Table1[[#This Row],[Final Setup Envase]]-Table1[[#This Row],[Início Setup Envase]])</f>
        <v/>
      </c>
      <c r="AP2009" s="663"/>
      <c r="AQ2009" s="663"/>
      <c r="AR2009" s="270"/>
      <c r="AS2009" s="674"/>
      <c r="AT2009" s="674"/>
      <c r="AU2009" s="270"/>
      <c r="AV2009" s="270"/>
      <c r="AW2009" s="270"/>
      <c r="AX2009" s="270"/>
      <c r="AY2009" s="270"/>
      <c r="AZ2009" s="270"/>
      <c r="BA2009" s="270" t="str">
        <f>IF(Table1[[#This Row],[Data de Início]]="","",YEAR(Table1[[#This Row],[Data de Início]]))</f>
        <v/>
      </c>
      <c r="BB2009" s="270" t="str">
        <f>IF(Table1[[#This Row],[Data de Início]]="","",MONTH(Table1[[#This Row],[Data de Início]]))</f>
        <v/>
      </c>
      <c r="BC2009" s="483"/>
    </row>
    <row r="2010" spans="2:55" x14ac:dyDescent="0.25">
      <c r="B2010" s="470"/>
      <c r="C2010" s="263"/>
      <c r="D2010" s="477" cm="1">
        <f t="array" ref="D2010">IFERROR(HorasUteisFabrica2Turnos(B2010,C2010), "")</f>
        <v>0</v>
      </c>
      <c r="E2010" s="478" t="str">
        <f t="shared" si="31"/>
        <v/>
      </c>
      <c r="F2010" s="266"/>
      <c r="G2010" s="656"/>
      <c r="H2010" s="479"/>
      <c r="I2010" s="268"/>
      <c r="J2010" s="268"/>
      <c r="K2010" s="268"/>
      <c r="L2010" s="269"/>
      <c r="M2010" s="511" t="str">
        <f>IFERROR(INDEX([1]Produtos!$C:$C,MATCH(L2010,[1]Produtos!$B:$B,0)), "-")</f>
        <v>-</v>
      </c>
      <c r="N2010" s="511" t="str">
        <f>IFERROR(INDEX([1]Produtos!$E:$E,MATCH(L2010,[1]Produtos!$B:$B,0)), "-")</f>
        <v>-</v>
      </c>
      <c r="O2010" s="483" t="str">
        <f>IFERROR(INDEX([1]Produtos!$F:$F,MATCH(L2010,[1]Produtos!$B:$B,0)), "-")</f>
        <v>-</v>
      </c>
      <c r="P2010" s="477" t="str">
        <f>IFERROR(INDEX([1]Produtos!$G:$G,MATCH(L2010,[1]Produtos!$B:$B,0)), "-")</f>
        <v>-</v>
      </c>
      <c r="Q2010" s="483" t="str">
        <f>IFERROR(INDEX([1]Produtos!$H:$H,MATCH(L2010,[1]Produtos!$B:$B,0)), "-")</f>
        <v>-</v>
      </c>
      <c r="R2010" s="483" t="str">
        <f>IFERROR(INDEX([1]Produtos!$I:$I,MATCH(L2010,[1]Produtos!$B:$B,0)), "-")</f>
        <v>-</v>
      </c>
      <c r="S2010" s="483" t="str">
        <f>IFERROR(INDEX([1]Produtos!$J:$J,MATCH(L2010,[1]Produtos!$B:$B,0)), "-")</f>
        <v>-</v>
      </c>
      <c r="T2010" s="484"/>
      <c r="U2010" s="483"/>
      <c r="V2010" s="483"/>
      <c r="W2010" s="483"/>
      <c r="X2010" s="483"/>
      <c r="Y2010" s="483"/>
      <c r="Z2010" s="483"/>
      <c r="AA2010" s="483"/>
      <c r="AB2010" s="483"/>
      <c r="AC2010" s="483"/>
      <c r="AD2010" s="483"/>
      <c r="AE2010" s="483"/>
      <c r="AF2010" s="483"/>
      <c r="AG2010" s="483"/>
      <c r="AH2010" s="483"/>
      <c r="AI2010" s="483"/>
      <c r="AJ2010" s="483"/>
      <c r="AK2010" s="483"/>
      <c r="AL2010" s="483"/>
      <c r="AM2010" s="670"/>
      <c r="AN2010" s="670"/>
      <c r="AO2010" s="711" t="str">
        <f>IF(OR(Table1[[#This Row],[Início Setup Envase]]="",Table1[[#This Row],[Final Setup Envase]]=""),"",Table1[[#This Row],[Final Setup Envase]]-Table1[[#This Row],[Início Setup Envase]])</f>
        <v/>
      </c>
      <c r="AP2010" s="670"/>
      <c r="AQ2010" s="670"/>
      <c r="AR2010" s="483"/>
      <c r="AS2010" s="483"/>
      <c r="AT2010" s="483"/>
      <c r="AU2010" s="483"/>
      <c r="AV2010" s="483"/>
      <c r="AW2010" s="483"/>
      <c r="AX2010" s="483"/>
      <c r="AY2010" s="270"/>
      <c r="AZ2010" s="270"/>
      <c r="BA2010" s="270" t="str">
        <f>IF(Table1[[#This Row],[Data de Início]]="","",YEAR(Table1[[#This Row],[Data de Início]]))</f>
        <v/>
      </c>
      <c r="BB2010" s="270" t="str">
        <f>IF(Table1[[#This Row],[Data de Início]]="","",MONTH(Table1[[#This Row],[Data de Início]]))</f>
        <v/>
      </c>
      <c r="BC2010" s="270"/>
    </row>
    <row r="2011" spans="2:55" x14ac:dyDescent="0.25">
      <c r="B2011" s="470"/>
      <c r="C2011" s="263"/>
      <c r="D2011" s="477" cm="1">
        <f t="array" ref="D2011">IFERROR(HorasUteisFabrica2Turnos(B2011,C2011), "")</f>
        <v>0</v>
      </c>
      <c r="E2011" s="697" t="str">
        <f t="shared" si="31"/>
        <v/>
      </c>
      <c r="F2011" s="266"/>
      <c r="G2011" s="698"/>
      <c r="H2011" s="266"/>
      <c r="I2011" s="268"/>
      <c r="J2011" s="268"/>
      <c r="K2011" s="268"/>
      <c r="L2011" s="269"/>
      <c r="M2011" s="510" t="str">
        <f>IFERROR(INDEX([1]Produtos!$C:$C,MATCH(L2011,[1]Produtos!$B:$B,0)), "-")</f>
        <v>-</v>
      </c>
      <c r="N2011" s="510" t="str">
        <f>IFERROR(INDEX([1]Produtos!$E:$E,MATCH(L2011,[1]Produtos!$B:$B,0)), "-")</f>
        <v>-</v>
      </c>
      <c r="O2011" s="270" t="str">
        <f>IFERROR(INDEX([1]Produtos!$F:$F,MATCH(L2011,[1]Produtos!$B:$B,0)), "-")</f>
        <v>-</v>
      </c>
      <c r="P2011" s="264" t="str">
        <f>IFERROR(INDEX([1]Produtos!$G:$G,MATCH(L2011,[1]Produtos!$B:$B,0)), "-")</f>
        <v>-</v>
      </c>
      <c r="Q2011" s="270" t="str">
        <f>IFERROR(INDEX([1]Produtos!$H:$H,MATCH(L2011,[1]Produtos!$B:$B,0)), "-")</f>
        <v>-</v>
      </c>
      <c r="R2011" s="270" t="str">
        <f>IFERROR(INDEX([1]Produtos!$I:$I,MATCH(L2011,[1]Produtos!$B:$B,0)), "-")</f>
        <v>-</v>
      </c>
      <c r="S2011" s="270" t="str">
        <f>IFERROR(INDEX([1]Produtos!$J:$J,MATCH(L2011,[1]Produtos!$B:$B,0)), "-")</f>
        <v>-</v>
      </c>
      <c r="T2011" s="475"/>
      <c r="U2011" s="270"/>
      <c r="V2011" s="270"/>
      <c r="W2011" s="270"/>
      <c r="X2011" s="270"/>
      <c r="Y2011" s="270"/>
      <c r="Z2011" s="270"/>
      <c r="AA2011" s="270"/>
      <c r="AB2011" s="270"/>
      <c r="AC2011" s="270"/>
      <c r="AD2011" s="270"/>
      <c r="AE2011" s="270"/>
      <c r="AF2011" s="270"/>
      <c r="AG2011" s="270"/>
      <c r="AH2011" s="270"/>
      <c r="AI2011" s="270"/>
      <c r="AJ2011" s="270"/>
      <c r="AK2011" s="270"/>
      <c r="AL2011" s="270"/>
      <c r="AM2011" s="663"/>
      <c r="AN2011" s="663"/>
      <c r="AO2011" s="708" t="str">
        <f>IF(OR(Table1[[#This Row],[Início Setup Envase]]="",Table1[[#This Row],[Final Setup Envase]]=""),"",Table1[[#This Row],[Final Setup Envase]]-Table1[[#This Row],[Início Setup Envase]])</f>
        <v/>
      </c>
      <c r="AP2011" s="663"/>
      <c r="AQ2011" s="663"/>
      <c r="AR2011" s="270"/>
      <c r="AS2011" s="674"/>
      <c r="AT2011" s="674"/>
      <c r="AU2011" s="270"/>
      <c r="AV2011" s="270"/>
      <c r="AW2011" s="270"/>
      <c r="AX2011" s="270"/>
      <c r="AY2011" s="270"/>
      <c r="AZ2011" s="270"/>
      <c r="BA2011" s="270" t="str">
        <f>IF(Table1[[#This Row],[Data de Início]]="","",YEAR(Table1[[#This Row],[Data de Início]]))</f>
        <v/>
      </c>
      <c r="BB2011" s="270" t="str">
        <f>IF(Table1[[#This Row],[Data de Início]]="","",MONTH(Table1[[#This Row],[Data de Início]]))</f>
        <v/>
      </c>
      <c r="BC2011" s="483"/>
    </row>
    <row r="2012" spans="2:55" x14ac:dyDescent="0.25">
      <c r="B2012" s="470"/>
      <c r="C2012" s="263"/>
      <c r="D2012" s="477" cm="1">
        <f t="array" ref="D2012">IFERROR(HorasUteisFabrica2Turnos(B2012,C2012), "")</f>
        <v>0</v>
      </c>
      <c r="E2012" s="478" t="str">
        <f t="shared" si="31"/>
        <v/>
      </c>
      <c r="F2012" s="266"/>
      <c r="G2012" s="656"/>
      <c r="H2012" s="479"/>
      <c r="I2012" s="268"/>
      <c r="J2012" s="268"/>
      <c r="K2012" s="268"/>
      <c r="L2012" s="269"/>
      <c r="M2012" s="511" t="str">
        <f>IFERROR(INDEX([1]Produtos!$C:$C,MATCH(L2012,[1]Produtos!$B:$B,0)), "-")</f>
        <v>-</v>
      </c>
      <c r="N2012" s="511" t="str">
        <f>IFERROR(INDEX([1]Produtos!$E:$E,MATCH(L2012,[1]Produtos!$B:$B,0)), "-")</f>
        <v>-</v>
      </c>
      <c r="O2012" s="483" t="str">
        <f>IFERROR(INDEX([1]Produtos!$F:$F,MATCH(L2012,[1]Produtos!$B:$B,0)), "-")</f>
        <v>-</v>
      </c>
      <c r="P2012" s="477" t="str">
        <f>IFERROR(INDEX([1]Produtos!$G:$G,MATCH(L2012,[1]Produtos!$B:$B,0)), "-")</f>
        <v>-</v>
      </c>
      <c r="Q2012" s="483" t="str">
        <f>IFERROR(INDEX([1]Produtos!$H:$H,MATCH(L2012,[1]Produtos!$B:$B,0)), "-")</f>
        <v>-</v>
      </c>
      <c r="R2012" s="483" t="str">
        <f>IFERROR(INDEX([1]Produtos!$I:$I,MATCH(L2012,[1]Produtos!$B:$B,0)), "-")</f>
        <v>-</v>
      </c>
      <c r="S2012" s="483" t="str">
        <f>IFERROR(INDEX([1]Produtos!$J:$J,MATCH(L2012,[1]Produtos!$B:$B,0)), "-")</f>
        <v>-</v>
      </c>
      <c r="T2012" s="484"/>
      <c r="U2012" s="483"/>
      <c r="V2012" s="483"/>
      <c r="W2012" s="483"/>
      <c r="X2012" s="483"/>
      <c r="Y2012" s="483"/>
      <c r="Z2012" s="483"/>
      <c r="AA2012" s="483"/>
      <c r="AB2012" s="483"/>
      <c r="AC2012" s="483"/>
      <c r="AD2012" s="483"/>
      <c r="AE2012" s="483"/>
      <c r="AF2012" s="483"/>
      <c r="AG2012" s="483"/>
      <c r="AH2012" s="483"/>
      <c r="AI2012" s="483"/>
      <c r="AJ2012" s="483"/>
      <c r="AK2012" s="483"/>
      <c r="AL2012" s="483"/>
      <c r="AM2012" s="670"/>
      <c r="AN2012" s="670"/>
      <c r="AO2012" s="711" t="str">
        <f>IF(OR(Table1[[#This Row],[Início Setup Envase]]="",Table1[[#This Row],[Final Setup Envase]]=""),"",Table1[[#This Row],[Final Setup Envase]]-Table1[[#This Row],[Início Setup Envase]])</f>
        <v/>
      </c>
      <c r="AP2012" s="670"/>
      <c r="AQ2012" s="670"/>
      <c r="AR2012" s="483"/>
      <c r="AS2012" s="483"/>
      <c r="AT2012" s="483"/>
      <c r="AU2012" s="483"/>
      <c r="AV2012" s="483"/>
      <c r="AW2012" s="483"/>
      <c r="AX2012" s="483"/>
      <c r="AY2012" s="270"/>
      <c r="AZ2012" s="270"/>
      <c r="BA2012" s="270" t="str">
        <f>IF(Table1[[#This Row],[Data de Início]]="","",YEAR(Table1[[#This Row],[Data de Início]]))</f>
        <v/>
      </c>
      <c r="BB2012" s="270" t="str">
        <f>IF(Table1[[#This Row],[Data de Início]]="","",MONTH(Table1[[#This Row],[Data de Início]]))</f>
        <v/>
      </c>
      <c r="BC2012" s="270"/>
    </row>
    <row r="2013" spans="2:55" x14ac:dyDescent="0.25">
      <c r="B2013" s="470"/>
      <c r="C2013" s="263"/>
      <c r="D2013" s="477" cm="1">
        <f t="array" ref="D2013">IFERROR(HorasUteisFabrica2Turnos(B2013,C2013), "")</f>
        <v>0</v>
      </c>
      <c r="E2013" s="697" t="str">
        <f t="shared" si="31"/>
        <v/>
      </c>
      <c r="F2013" s="266"/>
      <c r="G2013" s="698"/>
      <c r="H2013" s="266"/>
      <c r="I2013" s="268"/>
      <c r="J2013" s="268"/>
      <c r="K2013" s="268"/>
      <c r="L2013" s="269"/>
      <c r="M2013" s="510" t="str">
        <f>IFERROR(INDEX([1]Produtos!$C:$C,MATCH(L2013,[1]Produtos!$B:$B,0)), "-")</f>
        <v>-</v>
      </c>
      <c r="N2013" s="510" t="str">
        <f>IFERROR(INDEX([1]Produtos!$E:$E,MATCH(L2013,[1]Produtos!$B:$B,0)), "-")</f>
        <v>-</v>
      </c>
      <c r="O2013" s="270" t="str">
        <f>IFERROR(INDEX([1]Produtos!$F:$F,MATCH(L2013,[1]Produtos!$B:$B,0)), "-")</f>
        <v>-</v>
      </c>
      <c r="P2013" s="264" t="str">
        <f>IFERROR(INDEX([1]Produtos!$G:$G,MATCH(L2013,[1]Produtos!$B:$B,0)), "-")</f>
        <v>-</v>
      </c>
      <c r="Q2013" s="270" t="str">
        <f>IFERROR(INDEX([1]Produtos!$H:$H,MATCH(L2013,[1]Produtos!$B:$B,0)), "-")</f>
        <v>-</v>
      </c>
      <c r="R2013" s="270" t="str">
        <f>IFERROR(INDEX([1]Produtos!$I:$I,MATCH(L2013,[1]Produtos!$B:$B,0)), "-")</f>
        <v>-</v>
      </c>
      <c r="S2013" s="270" t="str">
        <f>IFERROR(INDEX([1]Produtos!$J:$J,MATCH(L2013,[1]Produtos!$B:$B,0)), "-")</f>
        <v>-</v>
      </c>
      <c r="T2013" s="475"/>
      <c r="U2013" s="270"/>
      <c r="V2013" s="270"/>
      <c r="W2013" s="270"/>
      <c r="X2013" s="270"/>
      <c r="Y2013" s="270"/>
      <c r="Z2013" s="270"/>
      <c r="AA2013" s="270"/>
      <c r="AB2013" s="270"/>
      <c r="AC2013" s="270"/>
      <c r="AD2013" s="270"/>
      <c r="AE2013" s="270"/>
      <c r="AF2013" s="270"/>
      <c r="AG2013" s="270"/>
      <c r="AH2013" s="270"/>
      <c r="AI2013" s="270"/>
      <c r="AJ2013" s="270"/>
      <c r="AK2013" s="270"/>
      <c r="AL2013" s="270"/>
      <c r="AM2013" s="663"/>
      <c r="AN2013" s="663"/>
      <c r="AO2013" s="708" t="str">
        <f>IF(OR(Table1[[#This Row],[Início Setup Envase]]="",Table1[[#This Row],[Final Setup Envase]]=""),"",Table1[[#This Row],[Final Setup Envase]]-Table1[[#This Row],[Início Setup Envase]])</f>
        <v/>
      </c>
      <c r="AP2013" s="663"/>
      <c r="AQ2013" s="663"/>
      <c r="AR2013" s="270"/>
      <c r="AS2013" s="674"/>
      <c r="AT2013" s="674"/>
      <c r="AU2013" s="270"/>
      <c r="AV2013" s="270"/>
      <c r="AW2013" s="270"/>
      <c r="AX2013" s="270"/>
      <c r="AY2013" s="270"/>
      <c r="AZ2013" s="270"/>
      <c r="BA2013" s="270" t="str">
        <f>IF(Table1[[#This Row],[Data de Início]]="","",YEAR(Table1[[#This Row],[Data de Início]]))</f>
        <v/>
      </c>
      <c r="BB2013" s="270" t="str">
        <f>IF(Table1[[#This Row],[Data de Início]]="","",MONTH(Table1[[#This Row],[Data de Início]]))</f>
        <v/>
      </c>
      <c r="BC2013" s="483"/>
    </row>
    <row r="2014" spans="2:55" x14ac:dyDescent="0.25">
      <c r="B2014" s="470"/>
      <c r="C2014" s="263"/>
      <c r="D2014" s="477" cm="1">
        <f t="array" ref="D2014">IFERROR(HorasUteisFabrica2Turnos(B2014,C2014), "")</f>
        <v>0</v>
      </c>
      <c r="E2014" s="478" t="str">
        <f t="shared" si="31"/>
        <v/>
      </c>
      <c r="F2014" s="266"/>
      <c r="G2014" s="656"/>
      <c r="H2014" s="479"/>
      <c r="I2014" s="268"/>
      <c r="J2014" s="268"/>
      <c r="K2014" s="268"/>
      <c r="L2014" s="269"/>
      <c r="M2014" s="511" t="str">
        <f>IFERROR(INDEX([1]Produtos!$C:$C,MATCH(L2014,[1]Produtos!$B:$B,0)), "-")</f>
        <v>-</v>
      </c>
      <c r="N2014" s="511" t="str">
        <f>IFERROR(INDEX([1]Produtos!$E:$E,MATCH(L2014,[1]Produtos!$B:$B,0)), "-")</f>
        <v>-</v>
      </c>
      <c r="O2014" s="483" t="str">
        <f>IFERROR(INDEX([1]Produtos!$F:$F,MATCH(L2014,[1]Produtos!$B:$B,0)), "-")</f>
        <v>-</v>
      </c>
      <c r="P2014" s="477" t="str">
        <f>IFERROR(INDEX([1]Produtos!$G:$G,MATCH(L2014,[1]Produtos!$B:$B,0)), "-")</f>
        <v>-</v>
      </c>
      <c r="Q2014" s="483" t="str">
        <f>IFERROR(INDEX([1]Produtos!$H:$H,MATCH(L2014,[1]Produtos!$B:$B,0)), "-")</f>
        <v>-</v>
      </c>
      <c r="R2014" s="483" t="str">
        <f>IFERROR(INDEX([1]Produtos!$I:$I,MATCH(L2014,[1]Produtos!$B:$B,0)), "-")</f>
        <v>-</v>
      </c>
      <c r="S2014" s="483" t="str">
        <f>IFERROR(INDEX([1]Produtos!$J:$J,MATCH(L2014,[1]Produtos!$B:$B,0)), "-")</f>
        <v>-</v>
      </c>
      <c r="T2014" s="484"/>
      <c r="U2014" s="483"/>
      <c r="V2014" s="483"/>
      <c r="W2014" s="483"/>
      <c r="X2014" s="483"/>
      <c r="Y2014" s="483"/>
      <c r="Z2014" s="483"/>
      <c r="AA2014" s="483"/>
      <c r="AB2014" s="483"/>
      <c r="AC2014" s="483"/>
      <c r="AD2014" s="483"/>
      <c r="AE2014" s="483"/>
      <c r="AF2014" s="483"/>
      <c r="AG2014" s="483"/>
      <c r="AH2014" s="483"/>
      <c r="AI2014" s="483"/>
      <c r="AJ2014" s="483"/>
      <c r="AK2014" s="483"/>
      <c r="AL2014" s="483"/>
      <c r="AM2014" s="670"/>
      <c r="AN2014" s="670"/>
      <c r="AO2014" s="711" t="str">
        <f>IF(OR(Table1[[#This Row],[Início Setup Envase]]="",Table1[[#This Row],[Final Setup Envase]]=""),"",Table1[[#This Row],[Final Setup Envase]]-Table1[[#This Row],[Início Setup Envase]])</f>
        <v/>
      </c>
      <c r="AP2014" s="670"/>
      <c r="AQ2014" s="670"/>
      <c r="AR2014" s="483"/>
      <c r="AS2014" s="483"/>
      <c r="AT2014" s="483"/>
      <c r="AU2014" s="483"/>
      <c r="AV2014" s="483"/>
      <c r="AW2014" s="483"/>
      <c r="AX2014" s="483"/>
      <c r="AY2014" s="270"/>
      <c r="AZ2014" s="270"/>
      <c r="BA2014" s="270" t="str">
        <f>IF(Table1[[#This Row],[Data de Início]]="","",YEAR(Table1[[#This Row],[Data de Início]]))</f>
        <v/>
      </c>
      <c r="BB2014" s="270" t="str">
        <f>IF(Table1[[#This Row],[Data de Início]]="","",MONTH(Table1[[#This Row],[Data de Início]]))</f>
        <v/>
      </c>
      <c r="BC2014" s="270"/>
    </row>
    <row r="2015" spans="2:55" x14ac:dyDescent="0.25">
      <c r="B2015" s="470"/>
      <c r="C2015" s="263"/>
      <c r="D2015" s="477" cm="1">
        <f t="array" ref="D2015">IFERROR(HorasUteisFabrica2Turnos(B2015,C2015), "")</f>
        <v>0</v>
      </c>
      <c r="E2015" s="697" t="str">
        <f t="shared" si="31"/>
        <v/>
      </c>
      <c r="F2015" s="266"/>
      <c r="G2015" s="698"/>
      <c r="H2015" s="266"/>
      <c r="I2015" s="268"/>
      <c r="J2015" s="268"/>
      <c r="K2015" s="268"/>
      <c r="L2015" s="269"/>
      <c r="M2015" s="510" t="str">
        <f>IFERROR(INDEX([1]Produtos!$C:$C,MATCH(L2015,[1]Produtos!$B:$B,0)), "-")</f>
        <v>-</v>
      </c>
      <c r="N2015" s="510" t="str">
        <f>IFERROR(INDEX([1]Produtos!$E:$E,MATCH(L2015,[1]Produtos!$B:$B,0)), "-")</f>
        <v>-</v>
      </c>
      <c r="O2015" s="270" t="str">
        <f>IFERROR(INDEX([1]Produtos!$F:$F,MATCH(L2015,[1]Produtos!$B:$B,0)), "-")</f>
        <v>-</v>
      </c>
      <c r="P2015" s="264" t="str">
        <f>IFERROR(INDEX([1]Produtos!$G:$G,MATCH(L2015,[1]Produtos!$B:$B,0)), "-")</f>
        <v>-</v>
      </c>
      <c r="Q2015" s="270" t="str">
        <f>IFERROR(INDEX([1]Produtos!$H:$H,MATCH(L2015,[1]Produtos!$B:$B,0)), "-")</f>
        <v>-</v>
      </c>
      <c r="R2015" s="270" t="str">
        <f>IFERROR(INDEX([1]Produtos!$I:$I,MATCH(L2015,[1]Produtos!$B:$B,0)), "-")</f>
        <v>-</v>
      </c>
      <c r="S2015" s="270" t="str">
        <f>IFERROR(INDEX([1]Produtos!$J:$J,MATCH(L2015,[1]Produtos!$B:$B,0)), "-")</f>
        <v>-</v>
      </c>
      <c r="T2015" s="475"/>
      <c r="U2015" s="270"/>
      <c r="V2015" s="270"/>
      <c r="W2015" s="270"/>
      <c r="X2015" s="270"/>
      <c r="Y2015" s="270"/>
      <c r="Z2015" s="270"/>
      <c r="AA2015" s="270"/>
      <c r="AB2015" s="270"/>
      <c r="AC2015" s="270"/>
      <c r="AD2015" s="270"/>
      <c r="AE2015" s="270"/>
      <c r="AF2015" s="270"/>
      <c r="AG2015" s="270"/>
      <c r="AH2015" s="270"/>
      <c r="AI2015" s="270"/>
      <c r="AJ2015" s="270"/>
      <c r="AK2015" s="270"/>
      <c r="AL2015" s="270"/>
      <c r="AM2015" s="663"/>
      <c r="AN2015" s="663"/>
      <c r="AO2015" s="708" t="str">
        <f>IF(OR(Table1[[#This Row],[Início Setup Envase]]="",Table1[[#This Row],[Final Setup Envase]]=""),"",Table1[[#This Row],[Final Setup Envase]]-Table1[[#This Row],[Início Setup Envase]])</f>
        <v/>
      </c>
      <c r="AP2015" s="663"/>
      <c r="AQ2015" s="663"/>
      <c r="AR2015" s="270"/>
      <c r="AS2015" s="674"/>
      <c r="AT2015" s="674"/>
      <c r="AU2015" s="270"/>
      <c r="AV2015" s="270"/>
      <c r="AW2015" s="270"/>
      <c r="AX2015" s="270"/>
      <c r="AY2015" s="270"/>
      <c r="AZ2015" s="270"/>
      <c r="BA2015" s="270" t="str">
        <f>IF(Table1[[#This Row],[Data de Início]]="","",YEAR(Table1[[#This Row],[Data de Início]]))</f>
        <v/>
      </c>
      <c r="BB2015" s="270" t="str">
        <f>IF(Table1[[#This Row],[Data de Início]]="","",MONTH(Table1[[#This Row],[Data de Início]]))</f>
        <v/>
      </c>
      <c r="BC2015" s="483"/>
    </row>
    <row r="2016" spans="2:55" x14ac:dyDescent="0.25">
      <c r="B2016" s="470"/>
      <c r="C2016" s="263"/>
      <c r="D2016" s="477" cm="1">
        <f t="array" ref="D2016">IFERROR(HorasUteisFabrica2Turnos(B2016,C2016), "")</f>
        <v>0</v>
      </c>
      <c r="E2016" s="478" t="str">
        <f t="shared" si="31"/>
        <v/>
      </c>
      <c r="F2016" s="266"/>
      <c r="G2016" s="656"/>
      <c r="H2016" s="479"/>
      <c r="I2016" s="268"/>
      <c r="J2016" s="268"/>
      <c r="K2016" s="268"/>
      <c r="L2016" s="269"/>
      <c r="M2016" s="511" t="str">
        <f>IFERROR(INDEX([1]Produtos!$C:$C,MATCH(L2016,[1]Produtos!$B:$B,0)), "-")</f>
        <v>-</v>
      </c>
      <c r="N2016" s="511" t="str">
        <f>IFERROR(INDEX([1]Produtos!$E:$E,MATCH(L2016,[1]Produtos!$B:$B,0)), "-")</f>
        <v>-</v>
      </c>
      <c r="O2016" s="483" t="str">
        <f>IFERROR(INDEX([1]Produtos!$F:$F,MATCH(L2016,[1]Produtos!$B:$B,0)), "-")</f>
        <v>-</v>
      </c>
      <c r="P2016" s="477" t="str">
        <f>IFERROR(INDEX([1]Produtos!$G:$G,MATCH(L2016,[1]Produtos!$B:$B,0)), "-")</f>
        <v>-</v>
      </c>
      <c r="Q2016" s="483" t="str">
        <f>IFERROR(INDEX([1]Produtos!$H:$H,MATCH(L2016,[1]Produtos!$B:$B,0)), "-")</f>
        <v>-</v>
      </c>
      <c r="R2016" s="483" t="str">
        <f>IFERROR(INDEX([1]Produtos!$I:$I,MATCH(L2016,[1]Produtos!$B:$B,0)), "-")</f>
        <v>-</v>
      </c>
      <c r="S2016" s="483" t="str">
        <f>IFERROR(INDEX([1]Produtos!$J:$J,MATCH(L2016,[1]Produtos!$B:$B,0)), "-")</f>
        <v>-</v>
      </c>
      <c r="T2016" s="484"/>
      <c r="U2016" s="483"/>
      <c r="V2016" s="483"/>
      <c r="W2016" s="483"/>
      <c r="X2016" s="483"/>
      <c r="Y2016" s="483"/>
      <c r="Z2016" s="483"/>
      <c r="AA2016" s="483"/>
      <c r="AB2016" s="483"/>
      <c r="AC2016" s="483"/>
      <c r="AD2016" s="483"/>
      <c r="AE2016" s="483"/>
      <c r="AF2016" s="483"/>
      <c r="AG2016" s="483"/>
      <c r="AH2016" s="483"/>
      <c r="AI2016" s="483"/>
      <c r="AJ2016" s="483"/>
      <c r="AK2016" s="483"/>
      <c r="AL2016" s="483"/>
      <c r="AM2016" s="670"/>
      <c r="AN2016" s="670"/>
      <c r="AO2016" s="711" t="str">
        <f>IF(OR(Table1[[#This Row],[Início Setup Envase]]="",Table1[[#This Row],[Final Setup Envase]]=""),"",Table1[[#This Row],[Final Setup Envase]]-Table1[[#This Row],[Início Setup Envase]])</f>
        <v/>
      </c>
      <c r="AP2016" s="670"/>
      <c r="AQ2016" s="670"/>
      <c r="AR2016" s="483"/>
      <c r="AS2016" s="483"/>
      <c r="AT2016" s="483"/>
      <c r="AU2016" s="483"/>
      <c r="AV2016" s="483"/>
      <c r="AW2016" s="483"/>
      <c r="AX2016" s="483"/>
      <c r="AY2016" s="270"/>
      <c r="AZ2016" s="270"/>
      <c r="BA2016" s="270" t="str">
        <f>IF(Table1[[#This Row],[Data de Início]]="","",YEAR(Table1[[#This Row],[Data de Início]]))</f>
        <v/>
      </c>
      <c r="BB2016" s="270" t="str">
        <f>IF(Table1[[#This Row],[Data de Início]]="","",MONTH(Table1[[#This Row],[Data de Início]]))</f>
        <v/>
      </c>
      <c r="BC2016" s="270"/>
    </row>
    <row r="2017" spans="2:55" x14ac:dyDescent="0.25">
      <c r="B2017" s="470"/>
      <c r="C2017" s="263"/>
      <c r="D2017" s="477" cm="1">
        <f t="array" ref="D2017">IFERROR(HorasUteisFabrica2Turnos(B2017,C2017), "")</f>
        <v>0</v>
      </c>
      <c r="E2017" s="697" t="str">
        <f t="shared" si="31"/>
        <v/>
      </c>
      <c r="F2017" s="266"/>
      <c r="G2017" s="698"/>
      <c r="H2017" s="266"/>
      <c r="I2017" s="268"/>
      <c r="J2017" s="268"/>
      <c r="K2017" s="268"/>
      <c r="L2017" s="269"/>
      <c r="M2017" s="510" t="str">
        <f>IFERROR(INDEX([1]Produtos!$C:$C,MATCH(L2017,[1]Produtos!$B:$B,0)), "-")</f>
        <v>-</v>
      </c>
      <c r="N2017" s="510" t="str">
        <f>IFERROR(INDEX([1]Produtos!$E:$E,MATCH(L2017,[1]Produtos!$B:$B,0)), "-")</f>
        <v>-</v>
      </c>
      <c r="O2017" s="270" t="str">
        <f>IFERROR(INDEX([1]Produtos!$F:$F,MATCH(L2017,[1]Produtos!$B:$B,0)), "-")</f>
        <v>-</v>
      </c>
      <c r="P2017" s="264" t="str">
        <f>IFERROR(INDEX([1]Produtos!$G:$G,MATCH(L2017,[1]Produtos!$B:$B,0)), "-")</f>
        <v>-</v>
      </c>
      <c r="Q2017" s="270" t="str">
        <f>IFERROR(INDEX([1]Produtos!$H:$H,MATCH(L2017,[1]Produtos!$B:$B,0)), "-")</f>
        <v>-</v>
      </c>
      <c r="R2017" s="270" t="str">
        <f>IFERROR(INDEX([1]Produtos!$I:$I,MATCH(L2017,[1]Produtos!$B:$B,0)), "-")</f>
        <v>-</v>
      </c>
      <c r="S2017" s="270" t="str">
        <f>IFERROR(INDEX([1]Produtos!$J:$J,MATCH(L2017,[1]Produtos!$B:$B,0)), "-")</f>
        <v>-</v>
      </c>
      <c r="T2017" s="475"/>
      <c r="U2017" s="270"/>
      <c r="V2017" s="270"/>
      <c r="W2017" s="270"/>
      <c r="X2017" s="270"/>
      <c r="Y2017" s="270"/>
      <c r="Z2017" s="270"/>
      <c r="AA2017" s="270"/>
      <c r="AB2017" s="270"/>
      <c r="AC2017" s="270"/>
      <c r="AD2017" s="270"/>
      <c r="AE2017" s="270"/>
      <c r="AF2017" s="270"/>
      <c r="AG2017" s="270"/>
      <c r="AH2017" s="270"/>
      <c r="AI2017" s="270"/>
      <c r="AJ2017" s="270"/>
      <c r="AK2017" s="270"/>
      <c r="AL2017" s="270"/>
      <c r="AM2017" s="663"/>
      <c r="AN2017" s="663"/>
      <c r="AO2017" s="708" t="str">
        <f>IF(OR(Table1[[#This Row],[Início Setup Envase]]="",Table1[[#This Row],[Final Setup Envase]]=""),"",Table1[[#This Row],[Final Setup Envase]]-Table1[[#This Row],[Início Setup Envase]])</f>
        <v/>
      </c>
      <c r="AP2017" s="663"/>
      <c r="AQ2017" s="663"/>
      <c r="AR2017" s="270"/>
      <c r="AS2017" s="674"/>
      <c r="AT2017" s="674"/>
      <c r="AU2017" s="270"/>
      <c r="AV2017" s="270"/>
      <c r="AW2017" s="270"/>
      <c r="AX2017" s="270"/>
      <c r="AY2017" s="270"/>
      <c r="AZ2017" s="270"/>
      <c r="BA2017" s="270" t="str">
        <f>IF(Table1[[#This Row],[Data de Início]]="","",YEAR(Table1[[#This Row],[Data de Início]]))</f>
        <v/>
      </c>
      <c r="BB2017" s="270" t="str">
        <f>IF(Table1[[#This Row],[Data de Início]]="","",MONTH(Table1[[#This Row],[Data de Início]]))</f>
        <v/>
      </c>
      <c r="BC2017" s="483"/>
    </row>
    <row r="2018" spans="2:55" x14ac:dyDescent="0.25">
      <c r="B2018" s="470"/>
      <c r="C2018" s="263"/>
      <c r="D2018" s="477" cm="1">
        <f t="array" ref="D2018">IFERROR(HorasUteisFabrica2Turnos(B2018,C2018), "")</f>
        <v>0</v>
      </c>
      <c r="E2018" s="478" t="str">
        <f t="shared" si="31"/>
        <v/>
      </c>
      <c r="F2018" s="266"/>
      <c r="G2018" s="656"/>
      <c r="H2018" s="479"/>
      <c r="I2018" s="268"/>
      <c r="J2018" s="268"/>
      <c r="K2018" s="268"/>
      <c r="L2018" s="269"/>
      <c r="M2018" s="511" t="str">
        <f>IFERROR(INDEX([1]Produtos!$C:$C,MATCH(L2018,[1]Produtos!$B:$B,0)), "-")</f>
        <v>-</v>
      </c>
      <c r="N2018" s="511" t="str">
        <f>IFERROR(INDEX([1]Produtos!$E:$E,MATCH(L2018,[1]Produtos!$B:$B,0)), "-")</f>
        <v>-</v>
      </c>
      <c r="O2018" s="483" t="str">
        <f>IFERROR(INDEX([1]Produtos!$F:$F,MATCH(L2018,[1]Produtos!$B:$B,0)), "-")</f>
        <v>-</v>
      </c>
      <c r="P2018" s="477" t="str">
        <f>IFERROR(INDEX([1]Produtos!$G:$G,MATCH(L2018,[1]Produtos!$B:$B,0)), "-")</f>
        <v>-</v>
      </c>
      <c r="Q2018" s="483" t="str">
        <f>IFERROR(INDEX([1]Produtos!$H:$H,MATCH(L2018,[1]Produtos!$B:$B,0)), "-")</f>
        <v>-</v>
      </c>
      <c r="R2018" s="483" t="str">
        <f>IFERROR(INDEX([1]Produtos!$I:$I,MATCH(L2018,[1]Produtos!$B:$B,0)), "-")</f>
        <v>-</v>
      </c>
      <c r="S2018" s="483" t="str">
        <f>IFERROR(INDEX([1]Produtos!$J:$J,MATCH(L2018,[1]Produtos!$B:$B,0)), "-")</f>
        <v>-</v>
      </c>
      <c r="T2018" s="484"/>
      <c r="U2018" s="483"/>
      <c r="V2018" s="483"/>
      <c r="W2018" s="483"/>
      <c r="X2018" s="483"/>
      <c r="Y2018" s="483"/>
      <c r="Z2018" s="483"/>
      <c r="AA2018" s="483"/>
      <c r="AB2018" s="483"/>
      <c r="AC2018" s="483"/>
      <c r="AD2018" s="483"/>
      <c r="AE2018" s="483"/>
      <c r="AF2018" s="483"/>
      <c r="AG2018" s="483"/>
      <c r="AH2018" s="483"/>
      <c r="AI2018" s="483"/>
      <c r="AJ2018" s="483"/>
      <c r="AK2018" s="483"/>
      <c r="AL2018" s="483"/>
      <c r="AM2018" s="670"/>
      <c r="AN2018" s="670"/>
      <c r="AO2018" s="711" t="str">
        <f>IF(OR(Table1[[#This Row],[Início Setup Envase]]="",Table1[[#This Row],[Final Setup Envase]]=""),"",Table1[[#This Row],[Final Setup Envase]]-Table1[[#This Row],[Início Setup Envase]])</f>
        <v/>
      </c>
      <c r="AP2018" s="670"/>
      <c r="AQ2018" s="670"/>
      <c r="AR2018" s="483"/>
      <c r="AS2018" s="483"/>
      <c r="AT2018" s="483"/>
      <c r="AU2018" s="483"/>
      <c r="AV2018" s="483"/>
      <c r="AW2018" s="483"/>
      <c r="AX2018" s="483"/>
      <c r="AY2018" s="270"/>
      <c r="AZ2018" s="270"/>
      <c r="BA2018" s="270" t="str">
        <f>IF(Table1[[#This Row],[Data de Início]]="","",YEAR(Table1[[#This Row],[Data de Início]]))</f>
        <v/>
      </c>
      <c r="BB2018" s="270" t="str">
        <f>IF(Table1[[#This Row],[Data de Início]]="","",MONTH(Table1[[#This Row],[Data de Início]]))</f>
        <v/>
      </c>
      <c r="BC2018" s="270"/>
    </row>
    <row r="2019" spans="2:55" x14ac:dyDescent="0.25">
      <c r="B2019" s="470"/>
      <c r="C2019" s="263"/>
      <c r="D2019" s="477" cm="1">
        <f t="array" ref="D2019">IFERROR(HorasUteisFabrica2Turnos(B2019,C2019), "")</f>
        <v>0</v>
      </c>
      <c r="E2019" s="697" t="str">
        <f t="shared" si="31"/>
        <v/>
      </c>
      <c r="F2019" s="266"/>
      <c r="G2019" s="698"/>
      <c r="H2019" s="266"/>
      <c r="I2019" s="268"/>
      <c r="J2019" s="268"/>
      <c r="K2019" s="268"/>
      <c r="L2019" s="269"/>
      <c r="M2019" s="510" t="str">
        <f>IFERROR(INDEX([1]Produtos!$C:$C,MATCH(L2019,[1]Produtos!$B:$B,0)), "-")</f>
        <v>-</v>
      </c>
      <c r="N2019" s="510" t="str">
        <f>IFERROR(INDEX([1]Produtos!$E:$E,MATCH(L2019,[1]Produtos!$B:$B,0)), "-")</f>
        <v>-</v>
      </c>
      <c r="O2019" s="270" t="str">
        <f>IFERROR(INDEX([1]Produtos!$F:$F,MATCH(L2019,[1]Produtos!$B:$B,0)), "-")</f>
        <v>-</v>
      </c>
      <c r="P2019" s="264" t="str">
        <f>IFERROR(INDEX([1]Produtos!$G:$G,MATCH(L2019,[1]Produtos!$B:$B,0)), "-")</f>
        <v>-</v>
      </c>
      <c r="Q2019" s="270" t="str">
        <f>IFERROR(INDEX([1]Produtos!$H:$H,MATCH(L2019,[1]Produtos!$B:$B,0)), "-")</f>
        <v>-</v>
      </c>
      <c r="R2019" s="270" t="str">
        <f>IFERROR(INDEX([1]Produtos!$I:$I,MATCH(L2019,[1]Produtos!$B:$B,0)), "-")</f>
        <v>-</v>
      </c>
      <c r="S2019" s="270" t="str">
        <f>IFERROR(INDEX([1]Produtos!$J:$J,MATCH(L2019,[1]Produtos!$B:$B,0)), "-")</f>
        <v>-</v>
      </c>
      <c r="T2019" s="475"/>
      <c r="U2019" s="270"/>
      <c r="V2019" s="270"/>
      <c r="W2019" s="270"/>
      <c r="X2019" s="270"/>
      <c r="Y2019" s="270"/>
      <c r="Z2019" s="270"/>
      <c r="AA2019" s="270"/>
      <c r="AB2019" s="270"/>
      <c r="AC2019" s="270"/>
      <c r="AD2019" s="270"/>
      <c r="AE2019" s="270"/>
      <c r="AF2019" s="270"/>
      <c r="AG2019" s="270"/>
      <c r="AH2019" s="270"/>
      <c r="AI2019" s="270"/>
      <c r="AJ2019" s="270"/>
      <c r="AK2019" s="270"/>
      <c r="AL2019" s="270"/>
      <c r="AM2019" s="663"/>
      <c r="AN2019" s="663"/>
      <c r="AO2019" s="708" t="str">
        <f>IF(OR(Table1[[#This Row],[Início Setup Envase]]="",Table1[[#This Row],[Final Setup Envase]]=""),"",Table1[[#This Row],[Final Setup Envase]]-Table1[[#This Row],[Início Setup Envase]])</f>
        <v/>
      </c>
      <c r="AP2019" s="663"/>
      <c r="AQ2019" s="663"/>
      <c r="AR2019" s="270"/>
      <c r="AS2019" s="674"/>
      <c r="AT2019" s="674"/>
      <c r="AU2019" s="270"/>
      <c r="AV2019" s="270"/>
      <c r="AW2019" s="270"/>
      <c r="AX2019" s="270"/>
      <c r="AY2019" s="270"/>
      <c r="AZ2019" s="270"/>
      <c r="BA2019" s="270" t="str">
        <f>IF(Table1[[#This Row],[Data de Início]]="","",YEAR(Table1[[#This Row],[Data de Início]]))</f>
        <v/>
      </c>
      <c r="BB2019" s="270" t="str">
        <f>IF(Table1[[#This Row],[Data de Início]]="","",MONTH(Table1[[#This Row],[Data de Início]]))</f>
        <v/>
      </c>
      <c r="BC2019" s="483"/>
    </row>
    <row r="2020" spans="2:55" x14ac:dyDescent="0.25">
      <c r="B2020" s="470"/>
      <c r="C2020" s="263"/>
      <c r="D2020" s="477" cm="1">
        <f t="array" ref="D2020">IFERROR(HorasUteisFabrica2Turnos(B2020,C2020), "")</f>
        <v>0</v>
      </c>
      <c r="E2020" s="478" t="str">
        <f t="shared" si="31"/>
        <v/>
      </c>
      <c r="F2020" s="266"/>
      <c r="G2020" s="656"/>
      <c r="H2020" s="479"/>
      <c r="I2020" s="268"/>
      <c r="J2020" s="268"/>
      <c r="K2020" s="268"/>
      <c r="L2020" s="269"/>
      <c r="M2020" s="511" t="str">
        <f>IFERROR(INDEX([1]Produtos!$C:$C,MATCH(L2020,[1]Produtos!$B:$B,0)), "-")</f>
        <v>-</v>
      </c>
      <c r="N2020" s="511" t="str">
        <f>IFERROR(INDEX([1]Produtos!$E:$E,MATCH(L2020,[1]Produtos!$B:$B,0)), "-")</f>
        <v>-</v>
      </c>
      <c r="O2020" s="483" t="str">
        <f>IFERROR(INDEX([1]Produtos!$F:$F,MATCH(L2020,[1]Produtos!$B:$B,0)), "-")</f>
        <v>-</v>
      </c>
      <c r="P2020" s="477" t="str">
        <f>IFERROR(INDEX([1]Produtos!$G:$G,MATCH(L2020,[1]Produtos!$B:$B,0)), "-")</f>
        <v>-</v>
      </c>
      <c r="Q2020" s="483" t="str">
        <f>IFERROR(INDEX([1]Produtos!$H:$H,MATCH(L2020,[1]Produtos!$B:$B,0)), "-")</f>
        <v>-</v>
      </c>
      <c r="R2020" s="483" t="str">
        <f>IFERROR(INDEX([1]Produtos!$I:$I,MATCH(L2020,[1]Produtos!$B:$B,0)), "-")</f>
        <v>-</v>
      </c>
      <c r="S2020" s="483" t="str">
        <f>IFERROR(INDEX([1]Produtos!$J:$J,MATCH(L2020,[1]Produtos!$B:$B,0)), "-")</f>
        <v>-</v>
      </c>
      <c r="T2020" s="484"/>
      <c r="U2020" s="483"/>
      <c r="V2020" s="483"/>
      <c r="W2020" s="483"/>
      <c r="X2020" s="483"/>
      <c r="Y2020" s="483"/>
      <c r="Z2020" s="483"/>
      <c r="AA2020" s="483"/>
      <c r="AB2020" s="483"/>
      <c r="AC2020" s="483"/>
      <c r="AD2020" s="483"/>
      <c r="AE2020" s="483"/>
      <c r="AF2020" s="483"/>
      <c r="AG2020" s="483"/>
      <c r="AH2020" s="483"/>
      <c r="AI2020" s="483"/>
      <c r="AJ2020" s="483"/>
      <c r="AK2020" s="483"/>
      <c r="AL2020" s="483"/>
      <c r="AM2020" s="670"/>
      <c r="AN2020" s="670"/>
      <c r="AO2020" s="711" t="str">
        <f>IF(OR(Table1[[#This Row],[Início Setup Envase]]="",Table1[[#This Row],[Final Setup Envase]]=""),"",Table1[[#This Row],[Final Setup Envase]]-Table1[[#This Row],[Início Setup Envase]])</f>
        <v/>
      </c>
      <c r="AP2020" s="670"/>
      <c r="AQ2020" s="670"/>
      <c r="AR2020" s="483"/>
      <c r="AS2020" s="483"/>
      <c r="AT2020" s="483"/>
      <c r="AU2020" s="483"/>
      <c r="AV2020" s="483"/>
      <c r="AW2020" s="483"/>
      <c r="AX2020" s="483"/>
      <c r="AY2020" s="270"/>
      <c r="AZ2020" s="270"/>
      <c r="BA2020" s="270" t="str">
        <f>IF(Table1[[#This Row],[Data de Início]]="","",YEAR(Table1[[#This Row],[Data de Início]]))</f>
        <v/>
      </c>
      <c r="BB2020" s="270" t="str">
        <f>IF(Table1[[#This Row],[Data de Início]]="","",MONTH(Table1[[#This Row],[Data de Início]]))</f>
        <v/>
      </c>
      <c r="BC2020" s="270"/>
    </row>
    <row r="2021" spans="2:55" x14ac:dyDescent="0.25">
      <c r="B2021" s="470"/>
      <c r="C2021" s="263"/>
      <c r="D2021" s="477" cm="1">
        <f t="array" ref="D2021">IFERROR(HorasUteisFabrica2Turnos(B2021,C2021), "")</f>
        <v>0</v>
      </c>
      <c r="E2021" s="697" t="str">
        <f t="shared" ref="E2021:E2084" si="32">IFERROR(K2021/D2021, "")</f>
        <v/>
      </c>
      <c r="F2021" s="266"/>
      <c r="G2021" s="698"/>
      <c r="H2021" s="266"/>
      <c r="I2021" s="268"/>
      <c r="J2021" s="268"/>
      <c r="K2021" s="268"/>
      <c r="L2021" s="269"/>
      <c r="M2021" s="510" t="str">
        <f>IFERROR(INDEX([1]Produtos!$C:$C,MATCH(L2021,[1]Produtos!$B:$B,0)), "-")</f>
        <v>-</v>
      </c>
      <c r="N2021" s="510" t="str">
        <f>IFERROR(INDEX([1]Produtos!$E:$E,MATCH(L2021,[1]Produtos!$B:$B,0)), "-")</f>
        <v>-</v>
      </c>
      <c r="O2021" s="270" t="str">
        <f>IFERROR(INDEX([1]Produtos!$F:$F,MATCH(L2021,[1]Produtos!$B:$B,0)), "-")</f>
        <v>-</v>
      </c>
      <c r="P2021" s="264" t="str">
        <f>IFERROR(INDEX([1]Produtos!$G:$G,MATCH(L2021,[1]Produtos!$B:$B,0)), "-")</f>
        <v>-</v>
      </c>
      <c r="Q2021" s="270" t="str">
        <f>IFERROR(INDEX([1]Produtos!$H:$H,MATCH(L2021,[1]Produtos!$B:$B,0)), "-")</f>
        <v>-</v>
      </c>
      <c r="R2021" s="270" t="str">
        <f>IFERROR(INDEX([1]Produtos!$I:$I,MATCH(L2021,[1]Produtos!$B:$B,0)), "-")</f>
        <v>-</v>
      </c>
      <c r="S2021" s="270" t="str">
        <f>IFERROR(INDEX([1]Produtos!$J:$J,MATCH(L2021,[1]Produtos!$B:$B,0)), "-")</f>
        <v>-</v>
      </c>
      <c r="T2021" s="475"/>
      <c r="U2021" s="270"/>
      <c r="V2021" s="270"/>
      <c r="W2021" s="270"/>
      <c r="X2021" s="270"/>
      <c r="Y2021" s="270"/>
      <c r="Z2021" s="270"/>
      <c r="AA2021" s="270"/>
      <c r="AB2021" s="270"/>
      <c r="AC2021" s="270"/>
      <c r="AD2021" s="270"/>
      <c r="AE2021" s="270"/>
      <c r="AF2021" s="270"/>
      <c r="AG2021" s="270"/>
      <c r="AH2021" s="270"/>
      <c r="AI2021" s="270"/>
      <c r="AJ2021" s="270"/>
      <c r="AK2021" s="270"/>
      <c r="AL2021" s="270"/>
      <c r="AM2021" s="663"/>
      <c r="AN2021" s="663"/>
      <c r="AO2021" s="708" t="str">
        <f>IF(OR(Table1[[#This Row],[Início Setup Envase]]="",Table1[[#This Row],[Final Setup Envase]]=""),"",Table1[[#This Row],[Final Setup Envase]]-Table1[[#This Row],[Início Setup Envase]])</f>
        <v/>
      </c>
      <c r="AP2021" s="663"/>
      <c r="AQ2021" s="663"/>
      <c r="AR2021" s="270"/>
      <c r="AS2021" s="674"/>
      <c r="AT2021" s="674"/>
      <c r="AU2021" s="270"/>
      <c r="AV2021" s="270"/>
      <c r="AW2021" s="270"/>
      <c r="AX2021" s="270"/>
      <c r="AY2021" s="270"/>
      <c r="AZ2021" s="270"/>
      <c r="BA2021" s="270" t="str">
        <f>IF(Table1[[#This Row],[Data de Início]]="","",YEAR(Table1[[#This Row],[Data de Início]]))</f>
        <v/>
      </c>
      <c r="BB2021" s="270" t="str">
        <f>IF(Table1[[#This Row],[Data de Início]]="","",MONTH(Table1[[#This Row],[Data de Início]]))</f>
        <v/>
      </c>
      <c r="BC2021" s="483"/>
    </row>
    <row r="2022" spans="2:55" x14ac:dyDescent="0.25">
      <c r="B2022" s="470"/>
      <c r="C2022" s="263"/>
      <c r="D2022" s="477" cm="1">
        <f t="array" ref="D2022">IFERROR(HorasUteisFabrica2Turnos(B2022,C2022), "")</f>
        <v>0</v>
      </c>
      <c r="E2022" s="478" t="str">
        <f t="shared" si="32"/>
        <v/>
      </c>
      <c r="F2022" s="266"/>
      <c r="G2022" s="656"/>
      <c r="H2022" s="479"/>
      <c r="I2022" s="268"/>
      <c r="J2022" s="268"/>
      <c r="K2022" s="268"/>
      <c r="L2022" s="269"/>
      <c r="M2022" s="511" t="str">
        <f>IFERROR(INDEX([1]Produtos!$C:$C,MATCH(L2022,[1]Produtos!$B:$B,0)), "-")</f>
        <v>-</v>
      </c>
      <c r="N2022" s="511" t="str">
        <f>IFERROR(INDEX([1]Produtos!$E:$E,MATCH(L2022,[1]Produtos!$B:$B,0)), "-")</f>
        <v>-</v>
      </c>
      <c r="O2022" s="483" t="str">
        <f>IFERROR(INDEX([1]Produtos!$F:$F,MATCH(L2022,[1]Produtos!$B:$B,0)), "-")</f>
        <v>-</v>
      </c>
      <c r="P2022" s="477" t="str">
        <f>IFERROR(INDEX([1]Produtos!$G:$G,MATCH(L2022,[1]Produtos!$B:$B,0)), "-")</f>
        <v>-</v>
      </c>
      <c r="Q2022" s="483" t="str">
        <f>IFERROR(INDEX([1]Produtos!$H:$H,MATCH(L2022,[1]Produtos!$B:$B,0)), "-")</f>
        <v>-</v>
      </c>
      <c r="R2022" s="483" t="str">
        <f>IFERROR(INDEX([1]Produtos!$I:$I,MATCH(L2022,[1]Produtos!$B:$B,0)), "-")</f>
        <v>-</v>
      </c>
      <c r="S2022" s="483" t="str">
        <f>IFERROR(INDEX([1]Produtos!$J:$J,MATCH(L2022,[1]Produtos!$B:$B,0)), "-")</f>
        <v>-</v>
      </c>
      <c r="T2022" s="484"/>
      <c r="U2022" s="483"/>
      <c r="V2022" s="483"/>
      <c r="W2022" s="483"/>
      <c r="X2022" s="483"/>
      <c r="Y2022" s="483"/>
      <c r="Z2022" s="483"/>
      <c r="AA2022" s="483"/>
      <c r="AB2022" s="483"/>
      <c r="AC2022" s="483"/>
      <c r="AD2022" s="483"/>
      <c r="AE2022" s="483"/>
      <c r="AF2022" s="483"/>
      <c r="AG2022" s="483"/>
      <c r="AH2022" s="483"/>
      <c r="AI2022" s="483"/>
      <c r="AJ2022" s="483"/>
      <c r="AK2022" s="483"/>
      <c r="AL2022" s="483"/>
      <c r="AM2022" s="670"/>
      <c r="AN2022" s="670"/>
      <c r="AO2022" s="711" t="str">
        <f>IF(OR(Table1[[#This Row],[Início Setup Envase]]="",Table1[[#This Row],[Final Setup Envase]]=""),"",Table1[[#This Row],[Final Setup Envase]]-Table1[[#This Row],[Início Setup Envase]])</f>
        <v/>
      </c>
      <c r="AP2022" s="670"/>
      <c r="AQ2022" s="670"/>
      <c r="AR2022" s="483"/>
      <c r="AS2022" s="483"/>
      <c r="AT2022" s="483"/>
      <c r="AU2022" s="483"/>
      <c r="AV2022" s="483"/>
      <c r="AW2022" s="483"/>
      <c r="AX2022" s="483"/>
      <c r="AY2022" s="270"/>
      <c r="AZ2022" s="270"/>
      <c r="BA2022" s="270" t="str">
        <f>IF(Table1[[#This Row],[Data de Início]]="","",YEAR(Table1[[#This Row],[Data de Início]]))</f>
        <v/>
      </c>
      <c r="BB2022" s="270" t="str">
        <f>IF(Table1[[#This Row],[Data de Início]]="","",MONTH(Table1[[#This Row],[Data de Início]]))</f>
        <v/>
      </c>
      <c r="BC2022" s="270"/>
    </row>
    <row r="2023" spans="2:55" x14ac:dyDescent="0.25">
      <c r="B2023" s="470"/>
      <c r="C2023" s="263"/>
      <c r="D2023" s="477" cm="1">
        <f t="array" ref="D2023">IFERROR(HorasUteisFabrica2Turnos(B2023,C2023), "")</f>
        <v>0</v>
      </c>
      <c r="E2023" s="697" t="str">
        <f t="shared" si="32"/>
        <v/>
      </c>
      <c r="F2023" s="266"/>
      <c r="G2023" s="698"/>
      <c r="H2023" s="266"/>
      <c r="I2023" s="268"/>
      <c r="J2023" s="268"/>
      <c r="K2023" s="268"/>
      <c r="L2023" s="269"/>
      <c r="M2023" s="510" t="str">
        <f>IFERROR(INDEX([1]Produtos!$C:$C,MATCH(L2023,[1]Produtos!$B:$B,0)), "-")</f>
        <v>-</v>
      </c>
      <c r="N2023" s="510" t="str">
        <f>IFERROR(INDEX([1]Produtos!$E:$E,MATCH(L2023,[1]Produtos!$B:$B,0)), "-")</f>
        <v>-</v>
      </c>
      <c r="O2023" s="270" t="str">
        <f>IFERROR(INDEX([1]Produtos!$F:$F,MATCH(L2023,[1]Produtos!$B:$B,0)), "-")</f>
        <v>-</v>
      </c>
      <c r="P2023" s="264" t="str">
        <f>IFERROR(INDEX([1]Produtos!$G:$G,MATCH(L2023,[1]Produtos!$B:$B,0)), "-")</f>
        <v>-</v>
      </c>
      <c r="Q2023" s="270" t="str">
        <f>IFERROR(INDEX([1]Produtos!$H:$H,MATCH(L2023,[1]Produtos!$B:$B,0)), "-")</f>
        <v>-</v>
      </c>
      <c r="R2023" s="270" t="str">
        <f>IFERROR(INDEX([1]Produtos!$I:$I,MATCH(L2023,[1]Produtos!$B:$B,0)), "-")</f>
        <v>-</v>
      </c>
      <c r="S2023" s="270" t="str">
        <f>IFERROR(INDEX([1]Produtos!$J:$J,MATCH(L2023,[1]Produtos!$B:$B,0)), "-")</f>
        <v>-</v>
      </c>
      <c r="T2023" s="475"/>
      <c r="U2023" s="270"/>
      <c r="V2023" s="270"/>
      <c r="W2023" s="270"/>
      <c r="X2023" s="270"/>
      <c r="Y2023" s="270"/>
      <c r="Z2023" s="270"/>
      <c r="AA2023" s="270"/>
      <c r="AB2023" s="270"/>
      <c r="AC2023" s="270"/>
      <c r="AD2023" s="270"/>
      <c r="AE2023" s="270"/>
      <c r="AF2023" s="270"/>
      <c r="AG2023" s="270"/>
      <c r="AH2023" s="270"/>
      <c r="AI2023" s="270"/>
      <c r="AJ2023" s="270"/>
      <c r="AK2023" s="270"/>
      <c r="AL2023" s="270"/>
      <c r="AM2023" s="663"/>
      <c r="AN2023" s="663"/>
      <c r="AO2023" s="708" t="str">
        <f>IF(OR(Table1[[#This Row],[Início Setup Envase]]="",Table1[[#This Row],[Final Setup Envase]]=""),"",Table1[[#This Row],[Final Setup Envase]]-Table1[[#This Row],[Início Setup Envase]])</f>
        <v/>
      </c>
      <c r="AP2023" s="663"/>
      <c r="AQ2023" s="663"/>
      <c r="AR2023" s="270"/>
      <c r="AS2023" s="674"/>
      <c r="AT2023" s="674"/>
      <c r="AU2023" s="270"/>
      <c r="AV2023" s="270"/>
      <c r="AW2023" s="270"/>
      <c r="AX2023" s="270"/>
      <c r="AY2023" s="270"/>
      <c r="AZ2023" s="270"/>
      <c r="BA2023" s="270" t="str">
        <f>IF(Table1[[#This Row],[Data de Início]]="","",YEAR(Table1[[#This Row],[Data de Início]]))</f>
        <v/>
      </c>
      <c r="BB2023" s="270" t="str">
        <f>IF(Table1[[#This Row],[Data de Início]]="","",MONTH(Table1[[#This Row],[Data de Início]]))</f>
        <v/>
      </c>
      <c r="BC2023" s="483"/>
    </row>
    <row r="2024" spans="2:55" x14ac:dyDescent="0.25">
      <c r="B2024" s="470"/>
      <c r="C2024" s="263"/>
      <c r="D2024" s="477" cm="1">
        <f t="array" ref="D2024">IFERROR(HorasUteisFabrica2Turnos(B2024,C2024), "")</f>
        <v>0</v>
      </c>
      <c r="E2024" s="478" t="str">
        <f t="shared" si="32"/>
        <v/>
      </c>
      <c r="F2024" s="266"/>
      <c r="G2024" s="656"/>
      <c r="H2024" s="479"/>
      <c r="I2024" s="268"/>
      <c r="J2024" s="268"/>
      <c r="K2024" s="268"/>
      <c r="L2024" s="269"/>
      <c r="M2024" s="511" t="str">
        <f>IFERROR(INDEX([1]Produtos!$C:$C,MATCH(L2024,[1]Produtos!$B:$B,0)), "-")</f>
        <v>-</v>
      </c>
      <c r="N2024" s="511" t="str">
        <f>IFERROR(INDEX([1]Produtos!$E:$E,MATCH(L2024,[1]Produtos!$B:$B,0)), "-")</f>
        <v>-</v>
      </c>
      <c r="O2024" s="483" t="str">
        <f>IFERROR(INDEX([1]Produtos!$F:$F,MATCH(L2024,[1]Produtos!$B:$B,0)), "-")</f>
        <v>-</v>
      </c>
      <c r="P2024" s="477" t="str">
        <f>IFERROR(INDEX([1]Produtos!$G:$G,MATCH(L2024,[1]Produtos!$B:$B,0)), "-")</f>
        <v>-</v>
      </c>
      <c r="Q2024" s="483" t="str">
        <f>IFERROR(INDEX([1]Produtos!$H:$H,MATCH(L2024,[1]Produtos!$B:$B,0)), "-")</f>
        <v>-</v>
      </c>
      <c r="R2024" s="483" t="str">
        <f>IFERROR(INDEX([1]Produtos!$I:$I,MATCH(L2024,[1]Produtos!$B:$B,0)), "-")</f>
        <v>-</v>
      </c>
      <c r="S2024" s="483" t="str">
        <f>IFERROR(INDEX([1]Produtos!$J:$J,MATCH(L2024,[1]Produtos!$B:$B,0)), "-")</f>
        <v>-</v>
      </c>
      <c r="T2024" s="484"/>
      <c r="U2024" s="483"/>
      <c r="V2024" s="483"/>
      <c r="W2024" s="483"/>
      <c r="X2024" s="483"/>
      <c r="Y2024" s="483"/>
      <c r="Z2024" s="483"/>
      <c r="AA2024" s="483"/>
      <c r="AB2024" s="483"/>
      <c r="AC2024" s="483"/>
      <c r="AD2024" s="483"/>
      <c r="AE2024" s="483"/>
      <c r="AF2024" s="483"/>
      <c r="AG2024" s="483"/>
      <c r="AH2024" s="483"/>
      <c r="AI2024" s="483"/>
      <c r="AJ2024" s="483"/>
      <c r="AK2024" s="483"/>
      <c r="AL2024" s="483"/>
      <c r="AM2024" s="670"/>
      <c r="AN2024" s="670"/>
      <c r="AO2024" s="711" t="str">
        <f>IF(OR(Table1[[#This Row],[Início Setup Envase]]="",Table1[[#This Row],[Final Setup Envase]]=""),"",Table1[[#This Row],[Final Setup Envase]]-Table1[[#This Row],[Início Setup Envase]])</f>
        <v/>
      </c>
      <c r="AP2024" s="670"/>
      <c r="AQ2024" s="670"/>
      <c r="AR2024" s="483"/>
      <c r="AS2024" s="483"/>
      <c r="AT2024" s="483"/>
      <c r="AU2024" s="483"/>
      <c r="AV2024" s="483"/>
      <c r="AW2024" s="483"/>
      <c r="AX2024" s="483"/>
      <c r="AY2024" s="270"/>
      <c r="AZ2024" s="270"/>
      <c r="BA2024" s="270" t="str">
        <f>IF(Table1[[#This Row],[Data de Início]]="","",YEAR(Table1[[#This Row],[Data de Início]]))</f>
        <v/>
      </c>
      <c r="BB2024" s="270" t="str">
        <f>IF(Table1[[#This Row],[Data de Início]]="","",MONTH(Table1[[#This Row],[Data de Início]]))</f>
        <v/>
      </c>
      <c r="BC2024" s="270"/>
    </row>
    <row r="2025" spans="2:55" x14ac:dyDescent="0.25">
      <c r="B2025" s="470"/>
      <c r="C2025" s="263"/>
      <c r="D2025" s="477" cm="1">
        <f t="array" ref="D2025">IFERROR(HorasUteisFabrica2Turnos(B2025,C2025), "")</f>
        <v>0</v>
      </c>
      <c r="E2025" s="697" t="str">
        <f t="shared" si="32"/>
        <v/>
      </c>
      <c r="F2025" s="266"/>
      <c r="G2025" s="698"/>
      <c r="H2025" s="266"/>
      <c r="I2025" s="268"/>
      <c r="J2025" s="268"/>
      <c r="K2025" s="268"/>
      <c r="L2025" s="269"/>
      <c r="M2025" s="510" t="str">
        <f>IFERROR(INDEX([1]Produtos!$C:$C,MATCH(L2025,[1]Produtos!$B:$B,0)), "-")</f>
        <v>-</v>
      </c>
      <c r="N2025" s="510" t="str">
        <f>IFERROR(INDEX([1]Produtos!$E:$E,MATCH(L2025,[1]Produtos!$B:$B,0)), "-")</f>
        <v>-</v>
      </c>
      <c r="O2025" s="270" t="str">
        <f>IFERROR(INDEX([1]Produtos!$F:$F,MATCH(L2025,[1]Produtos!$B:$B,0)), "-")</f>
        <v>-</v>
      </c>
      <c r="P2025" s="264" t="str">
        <f>IFERROR(INDEX([1]Produtos!$G:$G,MATCH(L2025,[1]Produtos!$B:$B,0)), "-")</f>
        <v>-</v>
      </c>
      <c r="Q2025" s="270" t="str">
        <f>IFERROR(INDEX([1]Produtos!$H:$H,MATCH(L2025,[1]Produtos!$B:$B,0)), "-")</f>
        <v>-</v>
      </c>
      <c r="R2025" s="270" t="str">
        <f>IFERROR(INDEX([1]Produtos!$I:$I,MATCH(L2025,[1]Produtos!$B:$B,0)), "-")</f>
        <v>-</v>
      </c>
      <c r="S2025" s="270" t="str">
        <f>IFERROR(INDEX([1]Produtos!$J:$J,MATCH(L2025,[1]Produtos!$B:$B,0)), "-")</f>
        <v>-</v>
      </c>
      <c r="T2025" s="475"/>
      <c r="U2025" s="270"/>
      <c r="V2025" s="270"/>
      <c r="W2025" s="270"/>
      <c r="X2025" s="270"/>
      <c r="Y2025" s="270"/>
      <c r="Z2025" s="270"/>
      <c r="AA2025" s="270"/>
      <c r="AB2025" s="270"/>
      <c r="AC2025" s="270"/>
      <c r="AD2025" s="270"/>
      <c r="AE2025" s="270"/>
      <c r="AF2025" s="270"/>
      <c r="AG2025" s="270"/>
      <c r="AH2025" s="270"/>
      <c r="AI2025" s="270"/>
      <c r="AJ2025" s="270"/>
      <c r="AK2025" s="270"/>
      <c r="AL2025" s="270"/>
      <c r="AM2025" s="663"/>
      <c r="AN2025" s="663"/>
      <c r="AO2025" s="708" t="str">
        <f>IF(OR(Table1[[#This Row],[Início Setup Envase]]="",Table1[[#This Row],[Final Setup Envase]]=""),"",Table1[[#This Row],[Final Setup Envase]]-Table1[[#This Row],[Início Setup Envase]])</f>
        <v/>
      </c>
      <c r="AP2025" s="663"/>
      <c r="AQ2025" s="663"/>
      <c r="AR2025" s="270"/>
      <c r="AS2025" s="674"/>
      <c r="AT2025" s="674"/>
      <c r="AU2025" s="270"/>
      <c r="AV2025" s="270"/>
      <c r="AW2025" s="270"/>
      <c r="AX2025" s="270"/>
      <c r="AY2025" s="270"/>
      <c r="AZ2025" s="270"/>
      <c r="BA2025" s="270" t="str">
        <f>IF(Table1[[#This Row],[Data de Início]]="","",YEAR(Table1[[#This Row],[Data de Início]]))</f>
        <v/>
      </c>
      <c r="BB2025" s="270" t="str">
        <f>IF(Table1[[#This Row],[Data de Início]]="","",MONTH(Table1[[#This Row],[Data de Início]]))</f>
        <v/>
      </c>
      <c r="BC2025" s="483"/>
    </row>
    <row r="2026" spans="2:55" x14ac:dyDescent="0.25">
      <c r="B2026" s="470"/>
      <c r="C2026" s="263"/>
      <c r="D2026" s="477" cm="1">
        <f t="array" ref="D2026">IFERROR(HorasUteisFabrica2Turnos(B2026,C2026), "")</f>
        <v>0</v>
      </c>
      <c r="E2026" s="478" t="str">
        <f t="shared" si="32"/>
        <v/>
      </c>
      <c r="F2026" s="266"/>
      <c r="G2026" s="656"/>
      <c r="H2026" s="479"/>
      <c r="I2026" s="268"/>
      <c r="J2026" s="268"/>
      <c r="K2026" s="268"/>
      <c r="L2026" s="269"/>
      <c r="M2026" s="511" t="str">
        <f>IFERROR(INDEX([1]Produtos!$C:$C,MATCH(L2026,[1]Produtos!$B:$B,0)), "-")</f>
        <v>-</v>
      </c>
      <c r="N2026" s="511" t="str">
        <f>IFERROR(INDEX([1]Produtos!$E:$E,MATCH(L2026,[1]Produtos!$B:$B,0)), "-")</f>
        <v>-</v>
      </c>
      <c r="O2026" s="483" t="str">
        <f>IFERROR(INDEX([1]Produtos!$F:$F,MATCH(L2026,[1]Produtos!$B:$B,0)), "-")</f>
        <v>-</v>
      </c>
      <c r="P2026" s="477" t="str">
        <f>IFERROR(INDEX([1]Produtos!$G:$G,MATCH(L2026,[1]Produtos!$B:$B,0)), "-")</f>
        <v>-</v>
      </c>
      <c r="Q2026" s="483" t="str">
        <f>IFERROR(INDEX([1]Produtos!$H:$H,MATCH(L2026,[1]Produtos!$B:$B,0)), "-")</f>
        <v>-</v>
      </c>
      <c r="R2026" s="483" t="str">
        <f>IFERROR(INDEX([1]Produtos!$I:$I,MATCH(L2026,[1]Produtos!$B:$B,0)), "-")</f>
        <v>-</v>
      </c>
      <c r="S2026" s="483" t="str">
        <f>IFERROR(INDEX([1]Produtos!$J:$J,MATCH(L2026,[1]Produtos!$B:$B,0)), "-")</f>
        <v>-</v>
      </c>
      <c r="T2026" s="484"/>
      <c r="U2026" s="483"/>
      <c r="V2026" s="483"/>
      <c r="W2026" s="483"/>
      <c r="X2026" s="483"/>
      <c r="Y2026" s="483"/>
      <c r="Z2026" s="483"/>
      <c r="AA2026" s="483"/>
      <c r="AB2026" s="483"/>
      <c r="AC2026" s="483"/>
      <c r="AD2026" s="483"/>
      <c r="AE2026" s="483"/>
      <c r="AF2026" s="483"/>
      <c r="AG2026" s="483"/>
      <c r="AH2026" s="483"/>
      <c r="AI2026" s="483"/>
      <c r="AJ2026" s="483"/>
      <c r="AK2026" s="483"/>
      <c r="AL2026" s="483"/>
      <c r="AM2026" s="670"/>
      <c r="AN2026" s="670"/>
      <c r="AO2026" s="711" t="str">
        <f>IF(OR(Table1[[#This Row],[Início Setup Envase]]="",Table1[[#This Row],[Final Setup Envase]]=""),"",Table1[[#This Row],[Final Setup Envase]]-Table1[[#This Row],[Início Setup Envase]])</f>
        <v/>
      </c>
      <c r="AP2026" s="670"/>
      <c r="AQ2026" s="670"/>
      <c r="AR2026" s="483"/>
      <c r="AS2026" s="483"/>
      <c r="AT2026" s="483"/>
      <c r="AU2026" s="483"/>
      <c r="AV2026" s="483"/>
      <c r="AW2026" s="483"/>
      <c r="AX2026" s="483"/>
      <c r="AY2026" s="270"/>
      <c r="AZ2026" s="270"/>
      <c r="BA2026" s="270" t="str">
        <f>IF(Table1[[#This Row],[Data de Início]]="","",YEAR(Table1[[#This Row],[Data de Início]]))</f>
        <v/>
      </c>
      <c r="BB2026" s="270" t="str">
        <f>IF(Table1[[#This Row],[Data de Início]]="","",MONTH(Table1[[#This Row],[Data de Início]]))</f>
        <v/>
      </c>
      <c r="BC2026" s="270"/>
    </row>
    <row r="2027" spans="2:55" x14ac:dyDescent="0.25">
      <c r="B2027" s="470"/>
      <c r="C2027" s="263"/>
      <c r="D2027" s="477" cm="1">
        <f t="array" ref="D2027">IFERROR(HorasUteisFabrica2Turnos(B2027,C2027), "")</f>
        <v>0</v>
      </c>
      <c r="E2027" s="697" t="str">
        <f t="shared" si="32"/>
        <v/>
      </c>
      <c r="F2027" s="266"/>
      <c r="G2027" s="698"/>
      <c r="H2027" s="266"/>
      <c r="I2027" s="268"/>
      <c r="J2027" s="268"/>
      <c r="K2027" s="268"/>
      <c r="L2027" s="269"/>
      <c r="M2027" s="510" t="str">
        <f>IFERROR(INDEX([1]Produtos!$C:$C,MATCH(L2027,[1]Produtos!$B:$B,0)), "-")</f>
        <v>-</v>
      </c>
      <c r="N2027" s="510" t="str">
        <f>IFERROR(INDEX([1]Produtos!$E:$E,MATCH(L2027,[1]Produtos!$B:$B,0)), "-")</f>
        <v>-</v>
      </c>
      <c r="O2027" s="270" t="str">
        <f>IFERROR(INDEX([1]Produtos!$F:$F,MATCH(L2027,[1]Produtos!$B:$B,0)), "-")</f>
        <v>-</v>
      </c>
      <c r="P2027" s="264" t="str">
        <f>IFERROR(INDEX([1]Produtos!$G:$G,MATCH(L2027,[1]Produtos!$B:$B,0)), "-")</f>
        <v>-</v>
      </c>
      <c r="Q2027" s="270" t="str">
        <f>IFERROR(INDEX([1]Produtos!$H:$H,MATCH(L2027,[1]Produtos!$B:$B,0)), "-")</f>
        <v>-</v>
      </c>
      <c r="R2027" s="270" t="str">
        <f>IFERROR(INDEX([1]Produtos!$I:$I,MATCH(L2027,[1]Produtos!$B:$B,0)), "-")</f>
        <v>-</v>
      </c>
      <c r="S2027" s="270" t="str">
        <f>IFERROR(INDEX([1]Produtos!$J:$J,MATCH(L2027,[1]Produtos!$B:$B,0)), "-")</f>
        <v>-</v>
      </c>
      <c r="T2027" s="475"/>
      <c r="U2027" s="270"/>
      <c r="V2027" s="270"/>
      <c r="W2027" s="270"/>
      <c r="X2027" s="270"/>
      <c r="Y2027" s="270"/>
      <c r="Z2027" s="270"/>
      <c r="AA2027" s="270"/>
      <c r="AB2027" s="270"/>
      <c r="AC2027" s="270"/>
      <c r="AD2027" s="270"/>
      <c r="AE2027" s="270"/>
      <c r="AF2027" s="270"/>
      <c r="AG2027" s="270"/>
      <c r="AH2027" s="270"/>
      <c r="AI2027" s="270"/>
      <c r="AJ2027" s="270"/>
      <c r="AK2027" s="270"/>
      <c r="AL2027" s="270"/>
      <c r="AM2027" s="663"/>
      <c r="AN2027" s="663"/>
      <c r="AO2027" s="708" t="str">
        <f>IF(OR(Table1[[#This Row],[Início Setup Envase]]="",Table1[[#This Row],[Final Setup Envase]]=""),"",Table1[[#This Row],[Final Setup Envase]]-Table1[[#This Row],[Início Setup Envase]])</f>
        <v/>
      </c>
      <c r="AP2027" s="663"/>
      <c r="AQ2027" s="663"/>
      <c r="AR2027" s="270"/>
      <c r="AS2027" s="674"/>
      <c r="AT2027" s="674"/>
      <c r="AU2027" s="270"/>
      <c r="AV2027" s="270"/>
      <c r="AW2027" s="270"/>
      <c r="AX2027" s="270"/>
      <c r="AY2027" s="270"/>
      <c r="AZ2027" s="270"/>
      <c r="BA2027" s="270" t="str">
        <f>IF(Table1[[#This Row],[Data de Início]]="","",YEAR(Table1[[#This Row],[Data de Início]]))</f>
        <v/>
      </c>
      <c r="BB2027" s="270" t="str">
        <f>IF(Table1[[#This Row],[Data de Início]]="","",MONTH(Table1[[#This Row],[Data de Início]]))</f>
        <v/>
      </c>
      <c r="BC2027" s="483"/>
    </row>
    <row r="2028" spans="2:55" x14ac:dyDescent="0.25">
      <c r="B2028" s="470"/>
      <c r="C2028" s="263"/>
      <c r="D2028" s="477" cm="1">
        <f t="array" ref="D2028">IFERROR(HorasUteisFabrica2Turnos(B2028,C2028), "")</f>
        <v>0</v>
      </c>
      <c r="E2028" s="478" t="str">
        <f t="shared" si="32"/>
        <v/>
      </c>
      <c r="F2028" s="266"/>
      <c r="G2028" s="656"/>
      <c r="H2028" s="479"/>
      <c r="I2028" s="268"/>
      <c r="J2028" s="268"/>
      <c r="K2028" s="268"/>
      <c r="L2028" s="269"/>
      <c r="M2028" s="511" t="str">
        <f>IFERROR(INDEX([1]Produtos!$C:$C,MATCH(L2028,[1]Produtos!$B:$B,0)), "-")</f>
        <v>-</v>
      </c>
      <c r="N2028" s="511" t="str">
        <f>IFERROR(INDEX([1]Produtos!$E:$E,MATCH(L2028,[1]Produtos!$B:$B,0)), "-")</f>
        <v>-</v>
      </c>
      <c r="O2028" s="483" t="str">
        <f>IFERROR(INDEX([1]Produtos!$F:$F,MATCH(L2028,[1]Produtos!$B:$B,0)), "-")</f>
        <v>-</v>
      </c>
      <c r="P2028" s="477" t="str">
        <f>IFERROR(INDEX([1]Produtos!$G:$G,MATCH(L2028,[1]Produtos!$B:$B,0)), "-")</f>
        <v>-</v>
      </c>
      <c r="Q2028" s="483" t="str">
        <f>IFERROR(INDEX([1]Produtos!$H:$H,MATCH(L2028,[1]Produtos!$B:$B,0)), "-")</f>
        <v>-</v>
      </c>
      <c r="R2028" s="483" t="str">
        <f>IFERROR(INDEX([1]Produtos!$I:$I,MATCH(L2028,[1]Produtos!$B:$B,0)), "-")</f>
        <v>-</v>
      </c>
      <c r="S2028" s="483" t="str">
        <f>IFERROR(INDEX([1]Produtos!$J:$J,MATCH(L2028,[1]Produtos!$B:$B,0)), "-")</f>
        <v>-</v>
      </c>
      <c r="T2028" s="484"/>
      <c r="U2028" s="483"/>
      <c r="V2028" s="483"/>
      <c r="W2028" s="483"/>
      <c r="X2028" s="483"/>
      <c r="Y2028" s="483"/>
      <c r="Z2028" s="483"/>
      <c r="AA2028" s="483"/>
      <c r="AB2028" s="483"/>
      <c r="AC2028" s="483"/>
      <c r="AD2028" s="483"/>
      <c r="AE2028" s="483"/>
      <c r="AF2028" s="483"/>
      <c r="AG2028" s="483"/>
      <c r="AH2028" s="483"/>
      <c r="AI2028" s="483"/>
      <c r="AJ2028" s="483"/>
      <c r="AK2028" s="483"/>
      <c r="AL2028" s="483"/>
      <c r="AM2028" s="670"/>
      <c r="AN2028" s="670"/>
      <c r="AO2028" s="711" t="str">
        <f>IF(OR(Table1[[#This Row],[Início Setup Envase]]="",Table1[[#This Row],[Final Setup Envase]]=""),"",Table1[[#This Row],[Final Setup Envase]]-Table1[[#This Row],[Início Setup Envase]])</f>
        <v/>
      </c>
      <c r="AP2028" s="670"/>
      <c r="AQ2028" s="670"/>
      <c r="AR2028" s="483"/>
      <c r="AS2028" s="483"/>
      <c r="AT2028" s="483"/>
      <c r="AU2028" s="483"/>
      <c r="AV2028" s="483"/>
      <c r="AW2028" s="483"/>
      <c r="AX2028" s="483"/>
      <c r="AY2028" s="270"/>
      <c r="AZ2028" s="270"/>
      <c r="BA2028" s="270" t="str">
        <f>IF(Table1[[#This Row],[Data de Início]]="","",YEAR(Table1[[#This Row],[Data de Início]]))</f>
        <v/>
      </c>
      <c r="BB2028" s="270" t="str">
        <f>IF(Table1[[#This Row],[Data de Início]]="","",MONTH(Table1[[#This Row],[Data de Início]]))</f>
        <v/>
      </c>
      <c r="BC2028" s="270"/>
    </row>
    <row r="2029" spans="2:55" x14ac:dyDescent="0.25">
      <c r="B2029" s="470"/>
      <c r="C2029" s="263"/>
      <c r="D2029" s="477" cm="1">
        <f t="array" ref="D2029">IFERROR(HorasUteisFabrica2Turnos(B2029,C2029), "")</f>
        <v>0</v>
      </c>
      <c r="E2029" s="697" t="str">
        <f t="shared" si="32"/>
        <v/>
      </c>
      <c r="F2029" s="266"/>
      <c r="G2029" s="698"/>
      <c r="H2029" s="266"/>
      <c r="I2029" s="268"/>
      <c r="J2029" s="268"/>
      <c r="K2029" s="268"/>
      <c r="L2029" s="269"/>
      <c r="M2029" s="510" t="str">
        <f>IFERROR(INDEX([1]Produtos!$C:$C,MATCH(L2029,[1]Produtos!$B:$B,0)), "-")</f>
        <v>-</v>
      </c>
      <c r="N2029" s="510" t="str">
        <f>IFERROR(INDEX([1]Produtos!$E:$E,MATCH(L2029,[1]Produtos!$B:$B,0)), "-")</f>
        <v>-</v>
      </c>
      <c r="O2029" s="270" t="str">
        <f>IFERROR(INDEX([1]Produtos!$F:$F,MATCH(L2029,[1]Produtos!$B:$B,0)), "-")</f>
        <v>-</v>
      </c>
      <c r="P2029" s="264" t="str">
        <f>IFERROR(INDEX([1]Produtos!$G:$G,MATCH(L2029,[1]Produtos!$B:$B,0)), "-")</f>
        <v>-</v>
      </c>
      <c r="Q2029" s="270" t="str">
        <f>IFERROR(INDEX([1]Produtos!$H:$H,MATCH(L2029,[1]Produtos!$B:$B,0)), "-")</f>
        <v>-</v>
      </c>
      <c r="R2029" s="270" t="str">
        <f>IFERROR(INDEX([1]Produtos!$I:$I,MATCH(L2029,[1]Produtos!$B:$B,0)), "-")</f>
        <v>-</v>
      </c>
      <c r="S2029" s="270" t="str">
        <f>IFERROR(INDEX([1]Produtos!$J:$J,MATCH(L2029,[1]Produtos!$B:$B,0)), "-")</f>
        <v>-</v>
      </c>
      <c r="T2029" s="475"/>
      <c r="U2029" s="270"/>
      <c r="V2029" s="270"/>
      <c r="W2029" s="270"/>
      <c r="X2029" s="270"/>
      <c r="Y2029" s="270"/>
      <c r="Z2029" s="270"/>
      <c r="AA2029" s="270"/>
      <c r="AB2029" s="270"/>
      <c r="AC2029" s="270"/>
      <c r="AD2029" s="270"/>
      <c r="AE2029" s="270"/>
      <c r="AF2029" s="270"/>
      <c r="AG2029" s="270"/>
      <c r="AH2029" s="270"/>
      <c r="AI2029" s="270"/>
      <c r="AJ2029" s="270"/>
      <c r="AK2029" s="270"/>
      <c r="AL2029" s="270"/>
      <c r="AM2029" s="663"/>
      <c r="AN2029" s="663"/>
      <c r="AO2029" s="708" t="str">
        <f>IF(OR(Table1[[#This Row],[Início Setup Envase]]="",Table1[[#This Row],[Final Setup Envase]]=""),"",Table1[[#This Row],[Final Setup Envase]]-Table1[[#This Row],[Início Setup Envase]])</f>
        <v/>
      </c>
      <c r="AP2029" s="663"/>
      <c r="AQ2029" s="663"/>
      <c r="AR2029" s="270"/>
      <c r="AS2029" s="674"/>
      <c r="AT2029" s="674"/>
      <c r="AU2029" s="270"/>
      <c r="AV2029" s="270"/>
      <c r="AW2029" s="270"/>
      <c r="AX2029" s="270"/>
      <c r="AY2029" s="270"/>
      <c r="AZ2029" s="270"/>
      <c r="BA2029" s="270" t="str">
        <f>IF(Table1[[#This Row],[Data de Início]]="","",YEAR(Table1[[#This Row],[Data de Início]]))</f>
        <v/>
      </c>
      <c r="BB2029" s="270" t="str">
        <f>IF(Table1[[#This Row],[Data de Início]]="","",MONTH(Table1[[#This Row],[Data de Início]]))</f>
        <v/>
      </c>
      <c r="BC2029" s="483"/>
    </row>
    <row r="2030" spans="2:55" x14ac:dyDescent="0.25">
      <c r="B2030" s="470"/>
      <c r="C2030" s="263"/>
      <c r="D2030" s="477" cm="1">
        <f t="array" ref="D2030">IFERROR(HorasUteisFabrica2Turnos(B2030,C2030), "")</f>
        <v>0</v>
      </c>
      <c r="E2030" s="478" t="str">
        <f t="shared" si="32"/>
        <v/>
      </c>
      <c r="F2030" s="266"/>
      <c r="G2030" s="656"/>
      <c r="H2030" s="479"/>
      <c r="I2030" s="268"/>
      <c r="J2030" s="268"/>
      <c r="K2030" s="268"/>
      <c r="L2030" s="269"/>
      <c r="M2030" s="511" t="str">
        <f>IFERROR(INDEX([1]Produtos!$C:$C,MATCH(L2030,[1]Produtos!$B:$B,0)), "-")</f>
        <v>-</v>
      </c>
      <c r="N2030" s="511" t="str">
        <f>IFERROR(INDEX([1]Produtos!$E:$E,MATCH(L2030,[1]Produtos!$B:$B,0)), "-")</f>
        <v>-</v>
      </c>
      <c r="O2030" s="483" t="str">
        <f>IFERROR(INDEX([1]Produtos!$F:$F,MATCH(L2030,[1]Produtos!$B:$B,0)), "-")</f>
        <v>-</v>
      </c>
      <c r="P2030" s="477" t="str">
        <f>IFERROR(INDEX([1]Produtos!$G:$G,MATCH(L2030,[1]Produtos!$B:$B,0)), "-")</f>
        <v>-</v>
      </c>
      <c r="Q2030" s="483" t="str">
        <f>IFERROR(INDEX([1]Produtos!$H:$H,MATCH(L2030,[1]Produtos!$B:$B,0)), "-")</f>
        <v>-</v>
      </c>
      <c r="R2030" s="483" t="str">
        <f>IFERROR(INDEX([1]Produtos!$I:$I,MATCH(L2030,[1]Produtos!$B:$B,0)), "-")</f>
        <v>-</v>
      </c>
      <c r="S2030" s="483" t="str">
        <f>IFERROR(INDEX([1]Produtos!$J:$J,MATCH(L2030,[1]Produtos!$B:$B,0)), "-")</f>
        <v>-</v>
      </c>
      <c r="T2030" s="484"/>
      <c r="U2030" s="483"/>
      <c r="V2030" s="483"/>
      <c r="W2030" s="483"/>
      <c r="X2030" s="483"/>
      <c r="Y2030" s="483"/>
      <c r="Z2030" s="483"/>
      <c r="AA2030" s="483"/>
      <c r="AB2030" s="483"/>
      <c r="AC2030" s="483"/>
      <c r="AD2030" s="483"/>
      <c r="AE2030" s="483"/>
      <c r="AF2030" s="483"/>
      <c r="AG2030" s="483"/>
      <c r="AH2030" s="483"/>
      <c r="AI2030" s="483"/>
      <c r="AJ2030" s="483"/>
      <c r="AK2030" s="483"/>
      <c r="AL2030" s="483"/>
      <c r="AM2030" s="670"/>
      <c r="AN2030" s="670"/>
      <c r="AO2030" s="711" t="str">
        <f>IF(OR(Table1[[#This Row],[Início Setup Envase]]="",Table1[[#This Row],[Final Setup Envase]]=""),"",Table1[[#This Row],[Final Setup Envase]]-Table1[[#This Row],[Início Setup Envase]])</f>
        <v/>
      </c>
      <c r="AP2030" s="670"/>
      <c r="AQ2030" s="670"/>
      <c r="AR2030" s="483"/>
      <c r="AS2030" s="483"/>
      <c r="AT2030" s="483"/>
      <c r="AU2030" s="483"/>
      <c r="AV2030" s="483"/>
      <c r="AW2030" s="483"/>
      <c r="AX2030" s="483"/>
      <c r="AY2030" s="270"/>
      <c r="AZ2030" s="270"/>
      <c r="BA2030" s="270" t="str">
        <f>IF(Table1[[#This Row],[Data de Início]]="","",YEAR(Table1[[#This Row],[Data de Início]]))</f>
        <v/>
      </c>
      <c r="BB2030" s="270" t="str">
        <f>IF(Table1[[#This Row],[Data de Início]]="","",MONTH(Table1[[#This Row],[Data de Início]]))</f>
        <v/>
      </c>
      <c r="BC2030" s="270"/>
    </row>
    <row r="2031" spans="2:55" x14ac:dyDescent="0.25">
      <c r="B2031" s="470"/>
      <c r="C2031" s="263"/>
      <c r="D2031" s="477" cm="1">
        <f t="array" ref="D2031">IFERROR(HorasUteisFabrica2Turnos(B2031,C2031), "")</f>
        <v>0</v>
      </c>
      <c r="E2031" s="697" t="str">
        <f t="shared" si="32"/>
        <v/>
      </c>
      <c r="F2031" s="266"/>
      <c r="G2031" s="698"/>
      <c r="H2031" s="266"/>
      <c r="I2031" s="268"/>
      <c r="J2031" s="268"/>
      <c r="K2031" s="268"/>
      <c r="L2031" s="269"/>
      <c r="M2031" s="510" t="str">
        <f>IFERROR(INDEX([1]Produtos!$C:$C,MATCH(L2031,[1]Produtos!$B:$B,0)), "-")</f>
        <v>-</v>
      </c>
      <c r="N2031" s="510" t="str">
        <f>IFERROR(INDEX([1]Produtos!$E:$E,MATCH(L2031,[1]Produtos!$B:$B,0)), "-")</f>
        <v>-</v>
      </c>
      <c r="O2031" s="270" t="str">
        <f>IFERROR(INDEX([1]Produtos!$F:$F,MATCH(L2031,[1]Produtos!$B:$B,0)), "-")</f>
        <v>-</v>
      </c>
      <c r="P2031" s="264" t="str">
        <f>IFERROR(INDEX([1]Produtos!$G:$G,MATCH(L2031,[1]Produtos!$B:$B,0)), "-")</f>
        <v>-</v>
      </c>
      <c r="Q2031" s="270" t="str">
        <f>IFERROR(INDEX([1]Produtos!$H:$H,MATCH(L2031,[1]Produtos!$B:$B,0)), "-")</f>
        <v>-</v>
      </c>
      <c r="R2031" s="270" t="str">
        <f>IFERROR(INDEX([1]Produtos!$I:$I,MATCH(L2031,[1]Produtos!$B:$B,0)), "-")</f>
        <v>-</v>
      </c>
      <c r="S2031" s="270" t="str">
        <f>IFERROR(INDEX([1]Produtos!$J:$J,MATCH(L2031,[1]Produtos!$B:$B,0)), "-")</f>
        <v>-</v>
      </c>
      <c r="T2031" s="475"/>
      <c r="U2031" s="270"/>
      <c r="V2031" s="270"/>
      <c r="W2031" s="270"/>
      <c r="X2031" s="270"/>
      <c r="Y2031" s="270"/>
      <c r="Z2031" s="270"/>
      <c r="AA2031" s="270"/>
      <c r="AB2031" s="270"/>
      <c r="AC2031" s="270"/>
      <c r="AD2031" s="270"/>
      <c r="AE2031" s="270"/>
      <c r="AF2031" s="270"/>
      <c r="AG2031" s="270"/>
      <c r="AH2031" s="270"/>
      <c r="AI2031" s="270"/>
      <c r="AJ2031" s="270"/>
      <c r="AK2031" s="270"/>
      <c r="AL2031" s="270"/>
      <c r="AM2031" s="663"/>
      <c r="AN2031" s="663"/>
      <c r="AO2031" s="708" t="str">
        <f>IF(OR(Table1[[#This Row],[Início Setup Envase]]="",Table1[[#This Row],[Final Setup Envase]]=""),"",Table1[[#This Row],[Final Setup Envase]]-Table1[[#This Row],[Início Setup Envase]])</f>
        <v/>
      </c>
      <c r="AP2031" s="663"/>
      <c r="AQ2031" s="663"/>
      <c r="AR2031" s="270"/>
      <c r="AS2031" s="674"/>
      <c r="AT2031" s="674"/>
      <c r="AU2031" s="270"/>
      <c r="AV2031" s="270"/>
      <c r="AW2031" s="270"/>
      <c r="AX2031" s="270"/>
      <c r="AY2031" s="270"/>
      <c r="AZ2031" s="270"/>
      <c r="BA2031" s="270" t="str">
        <f>IF(Table1[[#This Row],[Data de Início]]="","",YEAR(Table1[[#This Row],[Data de Início]]))</f>
        <v/>
      </c>
      <c r="BB2031" s="270" t="str">
        <f>IF(Table1[[#This Row],[Data de Início]]="","",MONTH(Table1[[#This Row],[Data de Início]]))</f>
        <v/>
      </c>
      <c r="BC2031" s="483"/>
    </row>
    <row r="2032" spans="2:55" x14ac:dyDescent="0.25">
      <c r="B2032" s="470"/>
      <c r="C2032" s="263"/>
      <c r="D2032" s="477" cm="1">
        <f t="array" ref="D2032">IFERROR(HorasUteisFabrica2Turnos(B2032,C2032), "")</f>
        <v>0</v>
      </c>
      <c r="E2032" s="478" t="str">
        <f t="shared" si="32"/>
        <v/>
      </c>
      <c r="F2032" s="266"/>
      <c r="G2032" s="656"/>
      <c r="H2032" s="479"/>
      <c r="I2032" s="268"/>
      <c r="J2032" s="268"/>
      <c r="K2032" s="268"/>
      <c r="L2032" s="269"/>
      <c r="M2032" s="511" t="str">
        <f>IFERROR(INDEX([1]Produtos!$C:$C,MATCH(L2032,[1]Produtos!$B:$B,0)), "-")</f>
        <v>-</v>
      </c>
      <c r="N2032" s="511" t="str">
        <f>IFERROR(INDEX([1]Produtos!$E:$E,MATCH(L2032,[1]Produtos!$B:$B,0)), "-")</f>
        <v>-</v>
      </c>
      <c r="O2032" s="483" t="str">
        <f>IFERROR(INDEX([1]Produtos!$F:$F,MATCH(L2032,[1]Produtos!$B:$B,0)), "-")</f>
        <v>-</v>
      </c>
      <c r="P2032" s="477" t="str">
        <f>IFERROR(INDEX([1]Produtos!$G:$G,MATCH(L2032,[1]Produtos!$B:$B,0)), "-")</f>
        <v>-</v>
      </c>
      <c r="Q2032" s="483" t="str">
        <f>IFERROR(INDEX([1]Produtos!$H:$H,MATCH(L2032,[1]Produtos!$B:$B,0)), "-")</f>
        <v>-</v>
      </c>
      <c r="R2032" s="483" t="str">
        <f>IFERROR(INDEX([1]Produtos!$I:$I,MATCH(L2032,[1]Produtos!$B:$B,0)), "-")</f>
        <v>-</v>
      </c>
      <c r="S2032" s="483" t="str">
        <f>IFERROR(INDEX([1]Produtos!$J:$J,MATCH(L2032,[1]Produtos!$B:$B,0)), "-")</f>
        <v>-</v>
      </c>
      <c r="T2032" s="484"/>
      <c r="U2032" s="483"/>
      <c r="V2032" s="483"/>
      <c r="W2032" s="483"/>
      <c r="X2032" s="483"/>
      <c r="Y2032" s="483"/>
      <c r="Z2032" s="483"/>
      <c r="AA2032" s="483"/>
      <c r="AB2032" s="483"/>
      <c r="AC2032" s="483"/>
      <c r="AD2032" s="483"/>
      <c r="AE2032" s="483"/>
      <c r="AF2032" s="483"/>
      <c r="AG2032" s="483"/>
      <c r="AH2032" s="483"/>
      <c r="AI2032" s="483"/>
      <c r="AJ2032" s="483"/>
      <c r="AK2032" s="483"/>
      <c r="AL2032" s="483"/>
      <c r="AM2032" s="670"/>
      <c r="AN2032" s="670"/>
      <c r="AO2032" s="711" t="str">
        <f>IF(OR(Table1[[#This Row],[Início Setup Envase]]="",Table1[[#This Row],[Final Setup Envase]]=""),"",Table1[[#This Row],[Final Setup Envase]]-Table1[[#This Row],[Início Setup Envase]])</f>
        <v/>
      </c>
      <c r="AP2032" s="670"/>
      <c r="AQ2032" s="670"/>
      <c r="AR2032" s="483"/>
      <c r="AS2032" s="483"/>
      <c r="AT2032" s="483"/>
      <c r="AU2032" s="483"/>
      <c r="AV2032" s="483"/>
      <c r="AW2032" s="483"/>
      <c r="AX2032" s="483"/>
      <c r="AY2032" s="270"/>
      <c r="AZ2032" s="270"/>
      <c r="BA2032" s="270" t="str">
        <f>IF(Table1[[#This Row],[Data de Início]]="","",YEAR(Table1[[#This Row],[Data de Início]]))</f>
        <v/>
      </c>
      <c r="BB2032" s="270" t="str">
        <f>IF(Table1[[#This Row],[Data de Início]]="","",MONTH(Table1[[#This Row],[Data de Início]]))</f>
        <v/>
      </c>
      <c r="BC2032" s="270"/>
    </row>
    <row r="2033" spans="2:55" x14ac:dyDescent="0.25">
      <c r="B2033" s="470"/>
      <c r="C2033" s="263"/>
      <c r="D2033" s="477" cm="1">
        <f t="array" ref="D2033">IFERROR(HorasUteisFabrica2Turnos(B2033,C2033), "")</f>
        <v>0</v>
      </c>
      <c r="E2033" s="697" t="str">
        <f t="shared" si="32"/>
        <v/>
      </c>
      <c r="F2033" s="266"/>
      <c r="G2033" s="698"/>
      <c r="H2033" s="266"/>
      <c r="I2033" s="268"/>
      <c r="J2033" s="268"/>
      <c r="K2033" s="268"/>
      <c r="L2033" s="269"/>
      <c r="M2033" s="510" t="str">
        <f>IFERROR(INDEX([1]Produtos!$C:$C,MATCH(L2033,[1]Produtos!$B:$B,0)), "-")</f>
        <v>-</v>
      </c>
      <c r="N2033" s="510" t="str">
        <f>IFERROR(INDEX([1]Produtos!$E:$E,MATCH(L2033,[1]Produtos!$B:$B,0)), "-")</f>
        <v>-</v>
      </c>
      <c r="O2033" s="270" t="str">
        <f>IFERROR(INDEX([1]Produtos!$F:$F,MATCH(L2033,[1]Produtos!$B:$B,0)), "-")</f>
        <v>-</v>
      </c>
      <c r="P2033" s="264" t="str">
        <f>IFERROR(INDEX([1]Produtos!$G:$G,MATCH(L2033,[1]Produtos!$B:$B,0)), "-")</f>
        <v>-</v>
      </c>
      <c r="Q2033" s="270" t="str">
        <f>IFERROR(INDEX([1]Produtos!$H:$H,MATCH(L2033,[1]Produtos!$B:$B,0)), "-")</f>
        <v>-</v>
      </c>
      <c r="R2033" s="270" t="str">
        <f>IFERROR(INDEX([1]Produtos!$I:$I,MATCH(L2033,[1]Produtos!$B:$B,0)), "-")</f>
        <v>-</v>
      </c>
      <c r="S2033" s="270" t="str">
        <f>IFERROR(INDEX([1]Produtos!$J:$J,MATCH(L2033,[1]Produtos!$B:$B,0)), "-")</f>
        <v>-</v>
      </c>
      <c r="T2033" s="475"/>
      <c r="U2033" s="270"/>
      <c r="V2033" s="270"/>
      <c r="W2033" s="270"/>
      <c r="X2033" s="270"/>
      <c r="Y2033" s="270"/>
      <c r="Z2033" s="270"/>
      <c r="AA2033" s="270"/>
      <c r="AB2033" s="270"/>
      <c r="AC2033" s="270"/>
      <c r="AD2033" s="270"/>
      <c r="AE2033" s="270"/>
      <c r="AF2033" s="270"/>
      <c r="AG2033" s="270"/>
      <c r="AH2033" s="270"/>
      <c r="AI2033" s="270"/>
      <c r="AJ2033" s="270"/>
      <c r="AK2033" s="270"/>
      <c r="AL2033" s="270"/>
      <c r="AM2033" s="663"/>
      <c r="AN2033" s="663"/>
      <c r="AO2033" s="708" t="str">
        <f>IF(OR(Table1[[#This Row],[Início Setup Envase]]="",Table1[[#This Row],[Final Setup Envase]]=""),"",Table1[[#This Row],[Final Setup Envase]]-Table1[[#This Row],[Início Setup Envase]])</f>
        <v/>
      </c>
      <c r="AP2033" s="663"/>
      <c r="AQ2033" s="663"/>
      <c r="AR2033" s="270"/>
      <c r="AS2033" s="674"/>
      <c r="AT2033" s="674"/>
      <c r="AU2033" s="270"/>
      <c r="AV2033" s="270"/>
      <c r="AW2033" s="270"/>
      <c r="AX2033" s="270"/>
      <c r="AY2033" s="270"/>
      <c r="AZ2033" s="270"/>
      <c r="BA2033" s="270" t="str">
        <f>IF(Table1[[#This Row],[Data de Início]]="","",YEAR(Table1[[#This Row],[Data de Início]]))</f>
        <v/>
      </c>
      <c r="BB2033" s="270" t="str">
        <f>IF(Table1[[#This Row],[Data de Início]]="","",MONTH(Table1[[#This Row],[Data de Início]]))</f>
        <v/>
      </c>
      <c r="BC2033" s="483"/>
    </row>
    <row r="2034" spans="2:55" x14ac:dyDescent="0.25">
      <c r="B2034" s="470"/>
      <c r="C2034" s="263"/>
      <c r="D2034" s="477" cm="1">
        <f t="array" ref="D2034">IFERROR(HorasUteisFabrica2Turnos(B2034,C2034), "")</f>
        <v>0</v>
      </c>
      <c r="E2034" s="478" t="str">
        <f t="shared" si="32"/>
        <v/>
      </c>
      <c r="F2034" s="266"/>
      <c r="G2034" s="656"/>
      <c r="H2034" s="479"/>
      <c r="I2034" s="268"/>
      <c r="J2034" s="268"/>
      <c r="K2034" s="268"/>
      <c r="L2034" s="269"/>
      <c r="M2034" s="511" t="str">
        <f>IFERROR(INDEX([1]Produtos!$C:$C,MATCH(L2034,[1]Produtos!$B:$B,0)), "-")</f>
        <v>-</v>
      </c>
      <c r="N2034" s="511" t="str">
        <f>IFERROR(INDEX([1]Produtos!$E:$E,MATCH(L2034,[1]Produtos!$B:$B,0)), "-")</f>
        <v>-</v>
      </c>
      <c r="O2034" s="483" t="str">
        <f>IFERROR(INDEX([1]Produtos!$F:$F,MATCH(L2034,[1]Produtos!$B:$B,0)), "-")</f>
        <v>-</v>
      </c>
      <c r="P2034" s="477" t="str">
        <f>IFERROR(INDEX([1]Produtos!$G:$G,MATCH(L2034,[1]Produtos!$B:$B,0)), "-")</f>
        <v>-</v>
      </c>
      <c r="Q2034" s="483" t="str">
        <f>IFERROR(INDEX([1]Produtos!$H:$H,MATCH(L2034,[1]Produtos!$B:$B,0)), "-")</f>
        <v>-</v>
      </c>
      <c r="R2034" s="483" t="str">
        <f>IFERROR(INDEX([1]Produtos!$I:$I,MATCH(L2034,[1]Produtos!$B:$B,0)), "-")</f>
        <v>-</v>
      </c>
      <c r="S2034" s="483" t="str">
        <f>IFERROR(INDEX([1]Produtos!$J:$J,MATCH(L2034,[1]Produtos!$B:$B,0)), "-")</f>
        <v>-</v>
      </c>
      <c r="T2034" s="484"/>
      <c r="U2034" s="483"/>
      <c r="V2034" s="483"/>
      <c r="W2034" s="483"/>
      <c r="X2034" s="483"/>
      <c r="Y2034" s="483"/>
      <c r="Z2034" s="483"/>
      <c r="AA2034" s="483"/>
      <c r="AB2034" s="483"/>
      <c r="AC2034" s="483"/>
      <c r="AD2034" s="483"/>
      <c r="AE2034" s="483"/>
      <c r="AF2034" s="483"/>
      <c r="AG2034" s="483"/>
      <c r="AH2034" s="483"/>
      <c r="AI2034" s="483"/>
      <c r="AJ2034" s="483"/>
      <c r="AK2034" s="483"/>
      <c r="AL2034" s="483"/>
      <c r="AM2034" s="670"/>
      <c r="AN2034" s="670"/>
      <c r="AO2034" s="711" t="str">
        <f>IF(OR(Table1[[#This Row],[Início Setup Envase]]="",Table1[[#This Row],[Final Setup Envase]]=""),"",Table1[[#This Row],[Final Setup Envase]]-Table1[[#This Row],[Início Setup Envase]])</f>
        <v/>
      </c>
      <c r="AP2034" s="670"/>
      <c r="AQ2034" s="670"/>
      <c r="AR2034" s="483"/>
      <c r="AS2034" s="483"/>
      <c r="AT2034" s="483"/>
      <c r="AU2034" s="483"/>
      <c r="AV2034" s="483"/>
      <c r="AW2034" s="483"/>
      <c r="AX2034" s="483"/>
      <c r="AY2034" s="270"/>
      <c r="AZ2034" s="270"/>
      <c r="BA2034" s="270" t="str">
        <f>IF(Table1[[#This Row],[Data de Início]]="","",YEAR(Table1[[#This Row],[Data de Início]]))</f>
        <v/>
      </c>
      <c r="BB2034" s="270" t="str">
        <f>IF(Table1[[#This Row],[Data de Início]]="","",MONTH(Table1[[#This Row],[Data de Início]]))</f>
        <v/>
      </c>
      <c r="BC2034" s="270"/>
    </row>
    <row r="2035" spans="2:55" x14ac:dyDescent="0.25">
      <c r="B2035" s="470"/>
      <c r="C2035" s="263"/>
      <c r="D2035" s="477" cm="1">
        <f t="array" ref="D2035">IFERROR(HorasUteisFabrica2Turnos(B2035,C2035), "")</f>
        <v>0</v>
      </c>
      <c r="E2035" s="697" t="str">
        <f t="shared" si="32"/>
        <v/>
      </c>
      <c r="F2035" s="266"/>
      <c r="G2035" s="698"/>
      <c r="H2035" s="266"/>
      <c r="I2035" s="268"/>
      <c r="J2035" s="268"/>
      <c r="K2035" s="268"/>
      <c r="L2035" s="269"/>
      <c r="M2035" s="510" t="str">
        <f>IFERROR(INDEX([1]Produtos!$C:$C,MATCH(L2035,[1]Produtos!$B:$B,0)), "-")</f>
        <v>-</v>
      </c>
      <c r="N2035" s="510" t="str">
        <f>IFERROR(INDEX([1]Produtos!$E:$E,MATCH(L2035,[1]Produtos!$B:$B,0)), "-")</f>
        <v>-</v>
      </c>
      <c r="O2035" s="270" t="str">
        <f>IFERROR(INDEX([1]Produtos!$F:$F,MATCH(L2035,[1]Produtos!$B:$B,0)), "-")</f>
        <v>-</v>
      </c>
      <c r="P2035" s="264" t="str">
        <f>IFERROR(INDEX([1]Produtos!$G:$G,MATCH(L2035,[1]Produtos!$B:$B,0)), "-")</f>
        <v>-</v>
      </c>
      <c r="Q2035" s="270" t="str">
        <f>IFERROR(INDEX([1]Produtos!$H:$H,MATCH(L2035,[1]Produtos!$B:$B,0)), "-")</f>
        <v>-</v>
      </c>
      <c r="R2035" s="270" t="str">
        <f>IFERROR(INDEX([1]Produtos!$I:$I,MATCH(L2035,[1]Produtos!$B:$B,0)), "-")</f>
        <v>-</v>
      </c>
      <c r="S2035" s="270" t="str">
        <f>IFERROR(INDEX([1]Produtos!$J:$J,MATCH(L2035,[1]Produtos!$B:$B,0)), "-")</f>
        <v>-</v>
      </c>
      <c r="T2035" s="475"/>
      <c r="U2035" s="270"/>
      <c r="V2035" s="270"/>
      <c r="W2035" s="270"/>
      <c r="X2035" s="270"/>
      <c r="Y2035" s="270"/>
      <c r="Z2035" s="270"/>
      <c r="AA2035" s="270"/>
      <c r="AB2035" s="270"/>
      <c r="AC2035" s="270"/>
      <c r="AD2035" s="270"/>
      <c r="AE2035" s="270"/>
      <c r="AF2035" s="270"/>
      <c r="AG2035" s="270"/>
      <c r="AH2035" s="270"/>
      <c r="AI2035" s="270"/>
      <c r="AJ2035" s="270"/>
      <c r="AK2035" s="270"/>
      <c r="AL2035" s="270"/>
      <c r="AM2035" s="663"/>
      <c r="AN2035" s="663"/>
      <c r="AO2035" s="708" t="str">
        <f>IF(OR(Table1[[#This Row],[Início Setup Envase]]="",Table1[[#This Row],[Final Setup Envase]]=""),"",Table1[[#This Row],[Final Setup Envase]]-Table1[[#This Row],[Início Setup Envase]])</f>
        <v/>
      </c>
      <c r="AP2035" s="663"/>
      <c r="AQ2035" s="663"/>
      <c r="AR2035" s="270"/>
      <c r="AS2035" s="674"/>
      <c r="AT2035" s="674"/>
      <c r="AU2035" s="270"/>
      <c r="AV2035" s="270"/>
      <c r="AW2035" s="270"/>
      <c r="AX2035" s="270"/>
      <c r="AY2035" s="270"/>
      <c r="AZ2035" s="270"/>
      <c r="BA2035" s="270" t="str">
        <f>IF(Table1[[#This Row],[Data de Início]]="","",YEAR(Table1[[#This Row],[Data de Início]]))</f>
        <v/>
      </c>
      <c r="BB2035" s="270" t="str">
        <f>IF(Table1[[#This Row],[Data de Início]]="","",MONTH(Table1[[#This Row],[Data de Início]]))</f>
        <v/>
      </c>
      <c r="BC2035" s="483"/>
    </row>
    <row r="2036" spans="2:55" x14ac:dyDescent="0.25">
      <c r="B2036" s="470"/>
      <c r="C2036" s="263"/>
      <c r="D2036" s="477" cm="1">
        <f t="array" ref="D2036">IFERROR(HorasUteisFabrica2Turnos(B2036,C2036), "")</f>
        <v>0</v>
      </c>
      <c r="E2036" s="478" t="str">
        <f t="shared" si="32"/>
        <v/>
      </c>
      <c r="F2036" s="266"/>
      <c r="G2036" s="656"/>
      <c r="H2036" s="479"/>
      <c r="I2036" s="268"/>
      <c r="J2036" s="268"/>
      <c r="K2036" s="268"/>
      <c r="L2036" s="269"/>
      <c r="M2036" s="511" t="str">
        <f>IFERROR(INDEX([1]Produtos!$C:$C,MATCH(L2036,[1]Produtos!$B:$B,0)), "-")</f>
        <v>-</v>
      </c>
      <c r="N2036" s="511" t="str">
        <f>IFERROR(INDEX([1]Produtos!$E:$E,MATCH(L2036,[1]Produtos!$B:$B,0)), "-")</f>
        <v>-</v>
      </c>
      <c r="O2036" s="483" t="str">
        <f>IFERROR(INDEX([1]Produtos!$F:$F,MATCH(L2036,[1]Produtos!$B:$B,0)), "-")</f>
        <v>-</v>
      </c>
      <c r="P2036" s="477" t="str">
        <f>IFERROR(INDEX([1]Produtos!$G:$G,MATCH(L2036,[1]Produtos!$B:$B,0)), "-")</f>
        <v>-</v>
      </c>
      <c r="Q2036" s="483" t="str">
        <f>IFERROR(INDEX([1]Produtos!$H:$H,MATCH(L2036,[1]Produtos!$B:$B,0)), "-")</f>
        <v>-</v>
      </c>
      <c r="R2036" s="483" t="str">
        <f>IFERROR(INDEX([1]Produtos!$I:$I,MATCH(L2036,[1]Produtos!$B:$B,0)), "-")</f>
        <v>-</v>
      </c>
      <c r="S2036" s="483" t="str">
        <f>IFERROR(INDEX([1]Produtos!$J:$J,MATCH(L2036,[1]Produtos!$B:$B,0)), "-")</f>
        <v>-</v>
      </c>
      <c r="T2036" s="484"/>
      <c r="U2036" s="483"/>
      <c r="V2036" s="483"/>
      <c r="W2036" s="483"/>
      <c r="X2036" s="483"/>
      <c r="Y2036" s="483"/>
      <c r="Z2036" s="483"/>
      <c r="AA2036" s="483"/>
      <c r="AB2036" s="483"/>
      <c r="AC2036" s="483"/>
      <c r="AD2036" s="483"/>
      <c r="AE2036" s="483"/>
      <c r="AF2036" s="483"/>
      <c r="AG2036" s="483"/>
      <c r="AH2036" s="483"/>
      <c r="AI2036" s="483"/>
      <c r="AJ2036" s="483"/>
      <c r="AK2036" s="483"/>
      <c r="AL2036" s="483"/>
      <c r="AM2036" s="670"/>
      <c r="AN2036" s="670"/>
      <c r="AO2036" s="711" t="str">
        <f>IF(OR(Table1[[#This Row],[Início Setup Envase]]="",Table1[[#This Row],[Final Setup Envase]]=""),"",Table1[[#This Row],[Final Setup Envase]]-Table1[[#This Row],[Início Setup Envase]])</f>
        <v/>
      </c>
      <c r="AP2036" s="670"/>
      <c r="AQ2036" s="670"/>
      <c r="AR2036" s="483"/>
      <c r="AS2036" s="483"/>
      <c r="AT2036" s="483"/>
      <c r="AU2036" s="483"/>
      <c r="AV2036" s="483"/>
      <c r="AW2036" s="483"/>
      <c r="AX2036" s="483"/>
      <c r="AY2036" s="270"/>
      <c r="AZ2036" s="270"/>
      <c r="BA2036" s="270" t="str">
        <f>IF(Table1[[#This Row],[Data de Início]]="","",YEAR(Table1[[#This Row],[Data de Início]]))</f>
        <v/>
      </c>
      <c r="BB2036" s="270" t="str">
        <f>IF(Table1[[#This Row],[Data de Início]]="","",MONTH(Table1[[#This Row],[Data de Início]]))</f>
        <v/>
      </c>
      <c r="BC2036" s="270"/>
    </row>
    <row r="2037" spans="2:55" x14ac:dyDescent="0.25">
      <c r="B2037" s="470"/>
      <c r="C2037" s="263"/>
      <c r="D2037" s="477" cm="1">
        <f t="array" ref="D2037">IFERROR(HorasUteisFabrica2Turnos(B2037,C2037), "")</f>
        <v>0</v>
      </c>
      <c r="E2037" s="697" t="str">
        <f t="shared" si="32"/>
        <v/>
      </c>
      <c r="F2037" s="266"/>
      <c r="G2037" s="698"/>
      <c r="H2037" s="266"/>
      <c r="I2037" s="268"/>
      <c r="J2037" s="268"/>
      <c r="K2037" s="268"/>
      <c r="L2037" s="269"/>
      <c r="M2037" s="510" t="str">
        <f>IFERROR(INDEX([1]Produtos!$C:$C,MATCH(L2037,[1]Produtos!$B:$B,0)), "-")</f>
        <v>-</v>
      </c>
      <c r="N2037" s="510" t="str">
        <f>IFERROR(INDEX([1]Produtos!$E:$E,MATCH(L2037,[1]Produtos!$B:$B,0)), "-")</f>
        <v>-</v>
      </c>
      <c r="O2037" s="270" t="str">
        <f>IFERROR(INDEX([1]Produtos!$F:$F,MATCH(L2037,[1]Produtos!$B:$B,0)), "-")</f>
        <v>-</v>
      </c>
      <c r="P2037" s="264" t="str">
        <f>IFERROR(INDEX([1]Produtos!$G:$G,MATCH(L2037,[1]Produtos!$B:$B,0)), "-")</f>
        <v>-</v>
      </c>
      <c r="Q2037" s="270" t="str">
        <f>IFERROR(INDEX([1]Produtos!$H:$H,MATCH(L2037,[1]Produtos!$B:$B,0)), "-")</f>
        <v>-</v>
      </c>
      <c r="R2037" s="270" t="str">
        <f>IFERROR(INDEX([1]Produtos!$I:$I,MATCH(L2037,[1]Produtos!$B:$B,0)), "-")</f>
        <v>-</v>
      </c>
      <c r="S2037" s="270" t="str">
        <f>IFERROR(INDEX([1]Produtos!$J:$J,MATCH(L2037,[1]Produtos!$B:$B,0)), "-")</f>
        <v>-</v>
      </c>
      <c r="T2037" s="475"/>
      <c r="U2037" s="270"/>
      <c r="V2037" s="270"/>
      <c r="W2037" s="270"/>
      <c r="X2037" s="270"/>
      <c r="Y2037" s="270"/>
      <c r="Z2037" s="270"/>
      <c r="AA2037" s="270"/>
      <c r="AB2037" s="270"/>
      <c r="AC2037" s="270"/>
      <c r="AD2037" s="270"/>
      <c r="AE2037" s="270"/>
      <c r="AF2037" s="270"/>
      <c r="AG2037" s="270"/>
      <c r="AH2037" s="270"/>
      <c r="AI2037" s="270"/>
      <c r="AJ2037" s="270"/>
      <c r="AK2037" s="270"/>
      <c r="AL2037" s="270"/>
      <c r="AM2037" s="663"/>
      <c r="AN2037" s="663"/>
      <c r="AO2037" s="708" t="str">
        <f>IF(OR(Table1[[#This Row],[Início Setup Envase]]="",Table1[[#This Row],[Final Setup Envase]]=""),"",Table1[[#This Row],[Final Setup Envase]]-Table1[[#This Row],[Início Setup Envase]])</f>
        <v/>
      </c>
      <c r="AP2037" s="663"/>
      <c r="AQ2037" s="663"/>
      <c r="AR2037" s="270"/>
      <c r="AS2037" s="674"/>
      <c r="AT2037" s="674"/>
      <c r="AU2037" s="270"/>
      <c r="AV2037" s="270"/>
      <c r="AW2037" s="270"/>
      <c r="AX2037" s="270"/>
      <c r="AY2037" s="270"/>
      <c r="AZ2037" s="270"/>
      <c r="BA2037" s="270" t="str">
        <f>IF(Table1[[#This Row],[Data de Início]]="","",YEAR(Table1[[#This Row],[Data de Início]]))</f>
        <v/>
      </c>
      <c r="BB2037" s="270" t="str">
        <f>IF(Table1[[#This Row],[Data de Início]]="","",MONTH(Table1[[#This Row],[Data de Início]]))</f>
        <v/>
      </c>
      <c r="BC2037" s="483"/>
    </row>
    <row r="2038" spans="2:55" x14ac:dyDescent="0.25">
      <c r="B2038" s="470"/>
      <c r="C2038" s="263"/>
      <c r="D2038" s="477" cm="1">
        <f t="array" ref="D2038">IFERROR(HorasUteisFabrica2Turnos(B2038,C2038), "")</f>
        <v>0</v>
      </c>
      <c r="E2038" s="478" t="str">
        <f t="shared" si="32"/>
        <v/>
      </c>
      <c r="F2038" s="266"/>
      <c r="G2038" s="656"/>
      <c r="H2038" s="479"/>
      <c r="I2038" s="268"/>
      <c r="J2038" s="268"/>
      <c r="K2038" s="268"/>
      <c r="L2038" s="269"/>
      <c r="M2038" s="511" t="str">
        <f>IFERROR(INDEX([1]Produtos!$C:$C,MATCH(L2038,[1]Produtos!$B:$B,0)), "-")</f>
        <v>-</v>
      </c>
      <c r="N2038" s="511" t="str">
        <f>IFERROR(INDEX([1]Produtos!$E:$E,MATCH(L2038,[1]Produtos!$B:$B,0)), "-")</f>
        <v>-</v>
      </c>
      <c r="O2038" s="483" t="str">
        <f>IFERROR(INDEX([1]Produtos!$F:$F,MATCH(L2038,[1]Produtos!$B:$B,0)), "-")</f>
        <v>-</v>
      </c>
      <c r="P2038" s="477" t="str">
        <f>IFERROR(INDEX([1]Produtos!$G:$G,MATCH(L2038,[1]Produtos!$B:$B,0)), "-")</f>
        <v>-</v>
      </c>
      <c r="Q2038" s="483" t="str">
        <f>IFERROR(INDEX([1]Produtos!$H:$H,MATCH(L2038,[1]Produtos!$B:$B,0)), "-")</f>
        <v>-</v>
      </c>
      <c r="R2038" s="483" t="str">
        <f>IFERROR(INDEX([1]Produtos!$I:$I,MATCH(L2038,[1]Produtos!$B:$B,0)), "-")</f>
        <v>-</v>
      </c>
      <c r="S2038" s="483" t="str">
        <f>IFERROR(INDEX([1]Produtos!$J:$J,MATCH(L2038,[1]Produtos!$B:$B,0)), "-")</f>
        <v>-</v>
      </c>
      <c r="T2038" s="484"/>
      <c r="U2038" s="483"/>
      <c r="V2038" s="483"/>
      <c r="W2038" s="483"/>
      <c r="X2038" s="483"/>
      <c r="Y2038" s="483"/>
      <c r="Z2038" s="483"/>
      <c r="AA2038" s="483"/>
      <c r="AB2038" s="483"/>
      <c r="AC2038" s="483"/>
      <c r="AD2038" s="483"/>
      <c r="AE2038" s="483"/>
      <c r="AF2038" s="483"/>
      <c r="AG2038" s="483"/>
      <c r="AH2038" s="483"/>
      <c r="AI2038" s="483"/>
      <c r="AJ2038" s="483"/>
      <c r="AK2038" s="483"/>
      <c r="AL2038" s="483"/>
      <c r="AM2038" s="670"/>
      <c r="AN2038" s="670"/>
      <c r="AO2038" s="711" t="str">
        <f>IF(OR(Table1[[#This Row],[Início Setup Envase]]="",Table1[[#This Row],[Final Setup Envase]]=""),"",Table1[[#This Row],[Final Setup Envase]]-Table1[[#This Row],[Início Setup Envase]])</f>
        <v/>
      </c>
      <c r="AP2038" s="670"/>
      <c r="AQ2038" s="670"/>
      <c r="AR2038" s="483"/>
      <c r="AS2038" s="483"/>
      <c r="AT2038" s="483"/>
      <c r="AU2038" s="483"/>
      <c r="AV2038" s="483"/>
      <c r="AW2038" s="483"/>
      <c r="AX2038" s="483"/>
      <c r="AY2038" s="270"/>
      <c r="AZ2038" s="270"/>
      <c r="BA2038" s="270" t="str">
        <f>IF(Table1[[#This Row],[Data de Início]]="","",YEAR(Table1[[#This Row],[Data de Início]]))</f>
        <v/>
      </c>
      <c r="BB2038" s="270" t="str">
        <f>IF(Table1[[#This Row],[Data de Início]]="","",MONTH(Table1[[#This Row],[Data de Início]]))</f>
        <v/>
      </c>
      <c r="BC2038" s="270"/>
    </row>
    <row r="2039" spans="2:55" x14ac:dyDescent="0.25">
      <c r="B2039" s="470"/>
      <c r="C2039" s="263"/>
      <c r="D2039" s="477" cm="1">
        <f t="array" ref="D2039">IFERROR(HorasUteisFabrica2Turnos(B2039,C2039), "")</f>
        <v>0</v>
      </c>
      <c r="E2039" s="697" t="str">
        <f t="shared" si="32"/>
        <v/>
      </c>
      <c r="F2039" s="266"/>
      <c r="G2039" s="698"/>
      <c r="H2039" s="266"/>
      <c r="I2039" s="268"/>
      <c r="J2039" s="268"/>
      <c r="K2039" s="268"/>
      <c r="L2039" s="269"/>
      <c r="M2039" s="510" t="str">
        <f>IFERROR(INDEX([1]Produtos!$C:$C,MATCH(L2039,[1]Produtos!$B:$B,0)), "-")</f>
        <v>-</v>
      </c>
      <c r="N2039" s="510" t="str">
        <f>IFERROR(INDEX([1]Produtos!$E:$E,MATCH(L2039,[1]Produtos!$B:$B,0)), "-")</f>
        <v>-</v>
      </c>
      <c r="O2039" s="270" t="str">
        <f>IFERROR(INDEX([1]Produtos!$F:$F,MATCH(L2039,[1]Produtos!$B:$B,0)), "-")</f>
        <v>-</v>
      </c>
      <c r="P2039" s="264" t="str">
        <f>IFERROR(INDEX([1]Produtos!$G:$G,MATCH(L2039,[1]Produtos!$B:$B,0)), "-")</f>
        <v>-</v>
      </c>
      <c r="Q2039" s="270" t="str">
        <f>IFERROR(INDEX([1]Produtos!$H:$H,MATCH(L2039,[1]Produtos!$B:$B,0)), "-")</f>
        <v>-</v>
      </c>
      <c r="R2039" s="270" t="str">
        <f>IFERROR(INDEX([1]Produtos!$I:$I,MATCH(L2039,[1]Produtos!$B:$B,0)), "-")</f>
        <v>-</v>
      </c>
      <c r="S2039" s="270" t="str">
        <f>IFERROR(INDEX([1]Produtos!$J:$J,MATCH(L2039,[1]Produtos!$B:$B,0)), "-")</f>
        <v>-</v>
      </c>
      <c r="T2039" s="475"/>
      <c r="U2039" s="270"/>
      <c r="V2039" s="270"/>
      <c r="W2039" s="270"/>
      <c r="X2039" s="270"/>
      <c r="Y2039" s="270"/>
      <c r="Z2039" s="270"/>
      <c r="AA2039" s="270"/>
      <c r="AB2039" s="270"/>
      <c r="AC2039" s="270"/>
      <c r="AD2039" s="270"/>
      <c r="AE2039" s="270"/>
      <c r="AF2039" s="270"/>
      <c r="AG2039" s="270"/>
      <c r="AH2039" s="270"/>
      <c r="AI2039" s="270"/>
      <c r="AJ2039" s="270"/>
      <c r="AK2039" s="270"/>
      <c r="AL2039" s="270"/>
      <c r="AM2039" s="663"/>
      <c r="AN2039" s="663"/>
      <c r="AO2039" s="708" t="str">
        <f>IF(OR(Table1[[#This Row],[Início Setup Envase]]="",Table1[[#This Row],[Final Setup Envase]]=""),"",Table1[[#This Row],[Final Setup Envase]]-Table1[[#This Row],[Início Setup Envase]])</f>
        <v/>
      </c>
      <c r="AP2039" s="663"/>
      <c r="AQ2039" s="663"/>
      <c r="AR2039" s="270"/>
      <c r="AS2039" s="674"/>
      <c r="AT2039" s="674"/>
      <c r="AU2039" s="270"/>
      <c r="AV2039" s="270"/>
      <c r="AW2039" s="270"/>
      <c r="AX2039" s="270"/>
      <c r="AY2039" s="270"/>
      <c r="AZ2039" s="270"/>
      <c r="BA2039" s="270" t="str">
        <f>IF(Table1[[#This Row],[Data de Início]]="","",YEAR(Table1[[#This Row],[Data de Início]]))</f>
        <v/>
      </c>
      <c r="BB2039" s="270" t="str">
        <f>IF(Table1[[#This Row],[Data de Início]]="","",MONTH(Table1[[#This Row],[Data de Início]]))</f>
        <v/>
      </c>
      <c r="BC2039" s="483"/>
    </row>
    <row r="2040" spans="2:55" x14ac:dyDescent="0.25">
      <c r="B2040" s="470"/>
      <c r="C2040" s="263"/>
      <c r="D2040" s="477" cm="1">
        <f t="array" ref="D2040">IFERROR(HorasUteisFabrica2Turnos(B2040,C2040), "")</f>
        <v>0</v>
      </c>
      <c r="E2040" s="478" t="str">
        <f t="shared" si="32"/>
        <v/>
      </c>
      <c r="F2040" s="266"/>
      <c r="G2040" s="656"/>
      <c r="H2040" s="479"/>
      <c r="I2040" s="268"/>
      <c r="J2040" s="268"/>
      <c r="K2040" s="268"/>
      <c r="L2040" s="269"/>
      <c r="M2040" s="511" t="str">
        <f>IFERROR(INDEX([1]Produtos!$C:$C,MATCH(L2040,[1]Produtos!$B:$B,0)), "-")</f>
        <v>-</v>
      </c>
      <c r="N2040" s="511" t="str">
        <f>IFERROR(INDEX([1]Produtos!$E:$E,MATCH(L2040,[1]Produtos!$B:$B,0)), "-")</f>
        <v>-</v>
      </c>
      <c r="O2040" s="483" t="str">
        <f>IFERROR(INDEX([1]Produtos!$F:$F,MATCH(L2040,[1]Produtos!$B:$B,0)), "-")</f>
        <v>-</v>
      </c>
      <c r="P2040" s="477" t="str">
        <f>IFERROR(INDEX([1]Produtos!$G:$G,MATCH(L2040,[1]Produtos!$B:$B,0)), "-")</f>
        <v>-</v>
      </c>
      <c r="Q2040" s="483" t="str">
        <f>IFERROR(INDEX([1]Produtos!$H:$H,MATCH(L2040,[1]Produtos!$B:$B,0)), "-")</f>
        <v>-</v>
      </c>
      <c r="R2040" s="483" t="str">
        <f>IFERROR(INDEX([1]Produtos!$I:$I,MATCH(L2040,[1]Produtos!$B:$B,0)), "-")</f>
        <v>-</v>
      </c>
      <c r="S2040" s="483" t="str">
        <f>IFERROR(INDEX([1]Produtos!$J:$J,MATCH(L2040,[1]Produtos!$B:$B,0)), "-")</f>
        <v>-</v>
      </c>
      <c r="T2040" s="484"/>
      <c r="U2040" s="483"/>
      <c r="V2040" s="483"/>
      <c r="W2040" s="483"/>
      <c r="X2040" s="483"/>
      <c r="Y2040" s="483"/>
      <c r="Z2040" s="483"/>
      <c r="AA2040" s="483"/>
      <c r="AB2040" s="483"/>
      <c r="AC2040" s="483"/>
      <c r="AD2040" s="483"/>
      <c r="AE2040" s="483"/>
      <c r="AF2040" s="483"/>
      <c r="AG2040" s="483"/>
      <c r="AH2040" s="483"/>
      <c r="AI2040" s="483"/>
      <c r="AJ2040" s="483"/>
      <c r="AK2040" s="483"/>
      <c r="AL2040" s="483"/>
      <c r="AM2040" s="670"/>
      <c r="AN2040" s="670"/>
      <c r="AO2040" s="711" t="str">
        <f>IF(OR(Table1[[#This Row],[Início Setup Envase]]="",Table1[[#This Row],[Final Setup Envase]]=""),"",Table1[[#This Row],[Final Setup Envase]]-Table1[[#This Row],[Início Setup Envase]])</f>
        <v/>
      </c>
      <c r="AP2040" s="670"/>
      <c r="AQ2040" s="670"/>
      <c r="AR2040" s="483"/>
      <c r="AS2040" s="483"/>
      <c r="AT2040" s="483"/>
      <c r="AU2040" s="483"/>
      <c r="AV2040" s="483"/>
      <c r="AW2040" s="483"/>
      <c r="AX2040" s="483"/>
      <c r="AY2040" s="270"/>
      <c r="AZ2040" s="270"/>
      <c r="BA2040" s="270" t="str">
        <f>IF(Table1[[#This Row],[Data de Início]]="","",YEAR(Table1[[#This Row],[Data de Início]]))</f>
        <v/>
      </c>
      <c r="BB2040" s="270" t="str">
        <f>IF(Table1[[#This Row],[Data de Início]]="","",MONTH(Table1[[#This Row],[Data de Início]]))</f>
        <v/>
      </c>
      <c r="BC2040" s="270"/>
    </row>
    <row r="2041" spans="2:55" x14ac:dyDescent="0.25">
      <c r="B2041" s="470"/>
      <c r="C2041" s="263"/>
      <c r="D2041" s="477" cm="1">
        <f t="array" ref="D2041">IFERROR(HorasUteisFabrica2Turnos(B2041,C2041), "")</f>
        <v>0</v>
      </c>
      <c r="E2041" s="697" t="str">
        <f t="shared" si="32"/>
        <v/>
      </c>
      <c r="F2041" s="266"/>
      <c r="G2041" s="698"/>
      <c r="H2041" s="266"/>
      <c r="I2041" s="268"/>
      <c r="J2041" s="268"/>
      <c r="K2041" s="268"/>
      <c r="L2041" s="269"/>
      <c r="M2041" s="510" t="str">
        <f>IFERROR(INDEX([1]Produtos!$C:$C,MATCH(L2041,[1]Produtos!$B:$B,0)), "-")</f>
        <v>-</v>
      </c>
      <c r="N2041" s="510" t="str">
        <f>IFERROR(INDEX([1]Produtos!$E:$E,MATCH(L2041,[1]Produtos!$B:$B,0)), "-")</f>
        <v>-</v>
      </c>
      <c r="O2041" s="270" t="str">
        <f>IFERROR(INDEX([1]Produtos!$F:$F,MATCH(L2041,[1]Produtos!$B:$B,0)), "-")</f>
        <v>-</v>
      </c>
      <c r="P2041" s="264" t="str">
        <f>IFERROR(INDEX([1]Produtos!$G:$G,MATCH(L2041,[1]Produtos!$B:$B,0)), "-")</f>
        <v>-</v>
      </c>
      <c r="Q2041" s="270" t="str">
        <f>IFERROR(INDEX([1]Produtos!$H:$H,MATCH(L2041,[1]Produtos!$B:$B,0)), "-")</f>
        <v>-</v>
      </c>
      <c r="R2041" s="270" t="str">
        <f>IFERROR(INDEX([1]Produtos!$I:$I,MATCH(L2041,[1]Produtos!$B:$B,0)), "-")</f>
        <v>-</v>
      </c>
      <c r="S2041" s="270" t="str">
        <f>IFERROR(INDEX([1]Produtos!$J:$J,MATCH(L2041,[1]Produtos!$B:$B,0)), "-")</f>
        <v>-</v>
      </c>
      <c r="T2041" s="475"/>
      <c r="U2041" s="270"/>
      <c r="V2041" s="270"/>
      <c r="W2041" s="270"/>
      <c r="X2041" s="270"/>
      <c r="Y2041" s="270"/>
      <c r="Z2041" s="270"/>
      <c r="AA2041" s="270"/>
      <c r="AB2041" s="270"/>
      <c r="AC2041" s="270"/>
      <c r="AD2041" s="270"/>
      <c r="AE2041" s="270"/>
      <c r="AF2041" s="270"/>
      <c r="AG2041" s="270"/>
      <c r="AH2041" s="270"/>
      <c r="AI2041" s="270"/>
      <c r="AJ2041" s="270"/>
      <c r="AK2041" s="270"/>
      <c r="AL2041" s="270"/>
      <c r="AM2041" s="663"/>
      <c r="AN2041" s="663"/>
      <c r="AO2041" s="708" t="str">
        <f>IF(OR(Table1[[#This Row],[Início Setup Envase]]="",Table1[[#This Row],[Final Setup Envase]]=""),"",Table1[[#This Row],[Final Setup Envase]]-Table1[[#This Row],[Início Setup Envase]])</f>
        <v/>
      </c>
      <c r="AP2041" s="663"/>
      <c r="AQ2041" s="663"/>
      <c r="AR2041" s="270"/>
      <c r="AS2041" s="674"/>
      <c r="AT2041" s="674"/>
      <c r="AU2041" s="270"/>
      <c r="AV2041" s="270"/>
      <c r="AW2041" s="270"/>
      <c r="AX2041" s="270"/>
      <c r="AY2041" s="270"/>
      <c r="AZ2041" s="270"/>
      <c r="BA2041" s="270" t="str">
        <f>IF(Table1[[#This Row],[Data de Início]]="","",YEAR(Table1[[#This Row],[Data de Início]]))</f>
        <v/>
      </c>
      <c r="BB2041" s="270" t="str">
        <f>IF(Table1[[#This Row],[Data de Início]]="","",MONTH(Table1[[#This Row],[Data de Início]]))</f>
        <v/>
      </c>
      <c r="BC2041" s="483"/>
    </row>
    <row r="2042" spans="2:55" x14ac:dyDescent="0.25">
      <c r="B2042" s="470"/>
      <c r="C2042" s="263"/>
      <c r="D2042" s="477" cm="1">
        <f t="array" ref="D2042">IFERROR(HorasUteisFabrica2Turnos(B2042,C2042), "")</f>
        <v>0</v>
      </c>
      <c r="E2042" s="478" t="str">
        <f t="shared" si="32"/>
        <v/>
      </c>
      <c r="F2042" s="266"/>
      <c r="G2042" s="656"/>
      <c r="H2042" s="479"/>
      <c r="I2042" s="268"/>
      <c r="J2042" s="268"/>
      <c r="K2042" s="268"/>
      <c r="L2042" s="269"/>
      <c r="M2042" s="511" t="str">
        <f>IFERROR(INDEX([1]Produtos!$C:$C,MATCH(L2042,[1]Produtos!$B:$B,0)), "-")</f>
        <v>-</v>
      </c>
      <c r="N2042" s="511" t="str">
        <f>IFERROR(INDEX([1]Produtos!$E:$E,MATCH(L2042,[1]Produtos!$B:$B,0)), "-")</f>
        <v>-</v>
      </c>
      <c r="O2042" s="483" t="str">
        <f>IFERROR(INDEX([1]Produtos!$F:$F,MATCH(L2042,[1]Produtos!$B:$B,0)), "-")</f>
        <v>-</v>
      </c>
      <c r="P2042" s="477" t="str">
        <f>IFERROR(INDEX([1]Produtos!$G:$G,MATCH(L2042,[1]Produtos!$B:$B,0)), "-")</f>
        <v>-</v>
      </c>
      <c r="Q2042" s="483" t="str">
        <f>IFERROR(INDEX([1]Produtos!$H:$H,MATCH(L2042,[1]Produtos!$B:$B,0)), "-")</f>
        <v>-</v>
      </c>
      <c r="R2042" s="483" t="str">
        <f>IFERROR(INDEX([1]Produtos!$I:$I,MATCH(L2042,[1]Produtos!$B:$B,0)), "-")</f>
        <v>-</v>
      </c>
      <c r="S2042" s="483" t="str">
        <f>IFERROR(INDEX([1]Produtos!$J:$J,MATCH(L2042,[1]Produtos!$B:$B,0)), "-")</f>
        <v>-</v>
      </c>
      <c r="T2042" s="484"/>
      <c r="U2042" s="483"/>
      <c r="V2042" s="483"/>
      <c r="W2042" s="483"/>
      <c r="X2042" s="483"/>
      <c r="Y2042" s="483"/>
      <c r="Z2042" s="483"/>
      <c r="AA2042" s="483"/>
      <c r="AB2042" s="483"/>
      <c r="AC2042" s="483"/>
      <c r="AD2042" s="483"/>
      <c r="AE2042" s="483"/>
      <c r="AF2042" s="483"/>
      <c r="AG2042" s="483"/>
      <c r="AH2042" s="483"/>
      <c r="AI2042" s="483"/>
      <c r="AJ2042" s="483"/>
      <c r="AK2042" s="483"/>
      <c r="AL2042" s="483"/>
      <c r="AM2042" s="670"/>
      <c r="AN2042" s="670"/>
      <c r="AO2042" s="711" t="str">
        <f>IF(OR(Table1[[#This Row],[Início Setup Envase]]="",Table1[[#This Row],[Final Setup Envase]]=""),"",Table1[[#This Row],[Final Setup Envase]]-Table1[[#This Row],[Início Setup Envase]])</f>
        <v/>
      </c>
      <c r="AP2042" s="670"/>
      <c r="AQ2042" s="670"/>
      <c r="AR2042" s="483"/>
      <c r="AS2042" s="483"/>
      <c r="AT2042" s="483"/>
      <c r="AU2042" s="483"/>
      <c r="AV2042" s="483"/>
      <c r="AW2042" s="483"/>
      <c r="AX2042" s="483"/>
      <c r="AY2042" s="270"/>
      <c r="AZ2042" s="270"/>
      <c r="BA2042" s="270" t="str">
        <f>IF(Table1[[#This Row],[Data de Início]]="","",YEAR(Table1[[#This Row],[Data de Início]]))</f>
        <v/>
      </c>
      <c r="BB2042" s="270" t="str">
        <f>IF(Table1[[#This Row],[Data de Início]]="","",MONTH(Table1[[#This Row],[Data de Início]]))</f>
        <v/>
      </c>
      <c r="BC2042" s="270"/>
    </row>
    <row r="2043" spans="2:55" x14ac:dyDescent="0.25">
      <c r="B2043" s="470"/>
      <c r="C2043" s="263"/>
      <c r="D2043" s="477" cm="1">
        <f t="array" ref="D2043">IFERROR(HorasUteisFabrica2Turnos(B2043,C2043), "")</f>
        <v>0</v>
      </c>
      <c r="E2043" s="697" t="str">
        <f t="shared" si="32"/>
        <v/>
      </c>
      <c r="F2043" s="266"/>
      <c r="G2043" s="698"/>
      <c r="H2043" s="266"/>
      <c r="I2043" s="268"/>
      <c r="J2043" s="268"/>
      <c r="K2043" s="268"/>
      <c r="L2043" s="269"/>
      <c r="M2043" s="510" t="str">
        <f>IFERROR(INDEX([1]Produtos!$C:$C,MATCH(L2043,[1]Produtos!$B:$B,0)), "-")</f>
        <v>-</v>
      </c>
      <c r="N2043" s="510" t="str">
        <f>IFERROR(INDEX([1]Produtos!$E:$E,MATCH(L2043,[1]Produtos!$B:$B,0)), "-")</f>
        <v>-</v>
      </c>
      <c r="O2043" s="270" t="str">
        <f>IFERROR(INDEX([1]Produtos!$F:$F,MATCH(L2043,[1]Produtos!$B:$B,0)), "-")</f>
        <v>-</v>
      </c>
      <c r="P2043" s="264" t="str">
        <f>IFERROR(INDEX([1]Produtos!$G:$G,MATCH(L2043,[1]Produtos!$B:$B,0)), "-")</f>
        <v>-</v>
      </c>
      <c r="Q2043" s="270" t="str">
        <f>IFERROR(INDEX([1]Produtos!$H:$H,MATCH(L2043,[1]Produtos!$B:$B,0)), "-")</f>
        <v>-</v>
      </c>
      <c r="R2043" s="270" t="str">
        <f>IFERROR(INDEX([1]Produtos!$I:$I,MATCH(L2043,[1]Produtos!$B:$B,0)), "-")</f>
        <v>-</v>
      </c>
      <c r="S2043" s="270" t="str">
        <f>IFERROR(INDEX([1]Produtos!$J:$J,MATCH(L2043,[1]Produtos!$B:$B,0)), "-")</f>
        <v>-</v>
      </c>
      <c r="T2043" s="475"/>
      <c r="U2043" s="270"/>
      <c r="V2043" s="270"/>
      <c r="W2043" s="270"/>
      <c r="X2043" s="270"/>
      <c r="Y2043" s="270"/>
      <c r="Z2043" s="270"/>
      <c r="AA2043" s="270"/>
      <c r="AB2043" s="270"/>
      <c r="AC2043" s="270"/>
      <c r="AD2043" s="270"/>
      <c r="AE2043" s="270"/>
      <c r="AF2043" s="270"/>
      <c r="AG2043" s="270"/>
      <c r="AH2043" s="270"/>
      <c r="AI2043" s="270"/>
      <c r="AJ2043" s="270"/>
      <c r="AK2043" s="270"/>
      <c r="AL2043" s="270"/>
      <c r="AM2043" s="663"/>
      <c r="AN2043" s="663"/>
      <c r="AO2043" s="708" t="str">
        <f>IF(OR(Table1[[#This Row],[Início Setup Envase]]="",Table1[[#This Row],[Final Setup Envase]]=""),"",Table1[[#This Row],[Final Setup Envase]]-Table1[[#This Row],[Início Setup Envase]])</f>
        <v/>
      </c>
      <c r="AP2043" s="663"/>
      <c r="AQ2043" s="663"/>
      <c r="AR2043" s="270"/>
      <c r="AS2043" s="674"/>
      <c r="AT2043" s="674"/>
      <c r="AU2043" s="270"/>
      <c r="AV2043" s="270"/>
      <c r="AW2043" s="270"/>
      <c r="AX2043" s="270"/>
      <c r="AY2043" s="270"/>
      <c r="AZ2043" s="270"/>
      <c r="BA2043" s="270" t="str">
        <f>IF(Table1[[#This Row],[Data de Início]]="","",YEAR(Table1[[#This Row],[Data de Início]]))</f>
        <v/>
      </c>
      <c r="BB2043" s="270" t="str">
        <f>IF(Table1[[#This Row],[Data de Início]]="","",MONTH(Table1[[#This Row],[Data de Início]]))</f>
        <v/>
      </c>
      <c r="BC2043" s="483"/>
    </row>
    <row r="2044" spans="2:55" x14ac:dyDescent="0.25">
      <c r="B2044" s="470"/>
      <c r="C2044" s="263"/>
      <c r="D2044" s="477" cm="1">
        <f t="array" ref="D2044">IFERROR(HorasUteisFabrica2Turnos(B2044,C2044), "")</f>
        <v>0</v>
      </c>
      <c r="E2044" s="478" t="str">
        <f t="shared" si="32"/>
        <v/>
      </c>
      <c r="F2044" s="266"/>
      <c r="G2044" s="656"/>
      <c r="H2044" s="479"/>
      <c r="I2044" s="268"/>
      <c r="J2044" s="268"/>
      <c r="K2044" s="268"/>
      <c r="L2044" s="269"/>
      <c r="M2044" s="511" t="str">
        <f>IFERROR(INDEX([1]Produtos!$C:$C,MATCH(L2044,[1]Produtos!$B:$B,0)), "-")</f>
        <v>-</v>
      </c>
      <c r="N2044" s="511" t="str">
        <f>IFERROR(INDEX([1]Produtos!$E:$E,MATCH(L2044,[1]Produtos!$B:$B,0)), "-")</f>
        <v>-</v>
      </c>
      <c r="O2044" s="483" t="str">
        <f>IFERROR(INDEX([1]Produtos!$F:$F,MATCH(L2044,[1]Produtos!$B:$B,0)), "-")</f>
        <v>-</v>
      </c>
      <c r="P2044" s="477" t="str">
        <f>IFERROR(INDEX([1]Produtos!$G:$G,MATCH(L2044,[1]Produtos!$B:$B,0)), "-")</f>
        <v>-</v>
      </c>
      <c r="Q2044" s="483" t="str">
        <f>IFERROR(INDEX([1]Produtos!$H:$H,MATCH(L2044,[1]Produtos!$B:$B,0)), "-")</f>
        <v>-</v>
      </c>
      <c r="R2044" s="483" t="str">
        <f>IFERROR(INDEX([1]Produtos!$I:$I,MATCH(L2044,[1]Produtos!$B:$B,0)), "-")</f>
        <v>-</v>
      </c>
      <c r="S2044" s="483" t="str">
        <f>IFERROR(INDEX([1]Produtos!$J:$J,MATCH(L2044,[1]Produtos!$B:$B,0)), "-")</f>
        <v>-</v>
      </c>
      <c r="T2044" s="484"/>
      <c r="U2044" s="483"/>
      <c r="V2044" s="483"/>
      <c r="W2044" s="483"/>
      <c r="X2044" s="483"/>
      <c r="Y2044" s="483"/>
      <c r="Z2044" s="483"/>
      <c r="AA2044" s="483"/>
      <c r="AB2044" s="483"/>
      <c r="AC2044" s="483"/>
      <c r="AD2044" s="483"/>
      <c r="AE2044" s="483"/>
      <c r="AF2044" s="483"/>
      <c r="AG2044" s="483"/>
      <c r="AH2044" s="483"/>
      <c r="AI2044" s="483"/>
      <c r="AJ2044" s="483"/>
      <c r="AK2044" s="483"/>
      <c r="AL2044" s="483"/>
      <c r="AM2044" s="670"/>
      <c r="AN2044" s="670"/>
      <c r="AO2044" s="711" t="str">
        <f>IF(OR(Table1[[#This Row],[Início Setup Envase]]="",Table1[[#This Row],[Final Setup Envase]]=""),"",Table1[[#This Row],[Final Setup Envase]]-Table1[[#This Row],[Início Setup Envase]])</f>
        <v/>
      </c>
      <c r="AP2044" s="670"/>
      <c r="AQ2044" s="670"/>
      <c r="AR2044" s="483"/>
      <c r="AS2044" s="483"/>
      <c r="AT2044" s="483"/>
      <c r="AU2044" s="483"/>
      <c r="AV2044" s="483"/>
      <c r="AW2044" s="483"/>
      <c r="AX2044" s="483"/>
      <c r="AY2044" s="270"/>
      <c r="AZ2044" s="270"/>
      <c r="BA2044" s="270" t="str">
        <f>IF(Table1[[#This Row],[Data de Início]]="","",YEAR(Table1[[#This Row],[Data de Início]]))</f>
        <v/>
      </c>
      <c r="BB2044" s="270" t="str">
        <f>IF(Table1[[#This Row],[Data de Início]]="","",MONTH(Table1[[#This Row],[Data de Início]]))</f>
        <v/>
      </c>
      <c r="BC2044" s="270"/>
    </row>
    <row r="2045" spans="2:55" x14ac:dyDescent="0.25">
      <c r="B2045" s="470"/>
      <c r="C2045" s="263"/>
      <c r="D2045" s="477" cm="1">
        <f t="array" ref="D2045">IFERROR(HorasUteisFabrica2Turnos(B2045,C2045), "")</f>
        <v>0</v>
      </c>
      <c r="E2045" s="697" t="str">
        <f t="shared" si="32"/>
        <v/>
      </c>
      <c r="F2045" s="266"/>
      <c r="G2045" s="698"/>
      <c r="H2045" s="266"/>
      <c r="I2045" s="268"/>
      <c r="J2045" s="268"/>
      <c r="K2045" s="268"/>
      <c r="L2045" s="269"/>
      <c r="M2045" s="510" t="str">
        <f>IFERROR(INDEX([1]Produtos!$C:$C,MATCH(L2045,[1]Produtos!$B:$B,0)), "-")</f>
        <v>-</v>
      </c>
      <c r="N2045" s="510" t="str">
        <f>IFERROR(INDEX([1]Produtos!$E:$E,MATCH(L2045,[1]Produtos!$B:$B,0)), "-")</f>
        <v>-</v>
      </c>
      <c r="O2045" s="270" t="str">
        <f>IFERROR(INDEX([1]Produtos!$F:$F,MATCH(L2045,[1]Produtos!$B:$B,0)), "-")</f>
        <v>-</v>
      </c>
      <c r="P2045" s="264" t="str">
        <f>IFERROR(INDEX([1]Produtos!$G:$G,MATCH(L2045,[1]Produtos!$B:$B,0)), "-")</f>
        <v>-</v>
      </c>
      <c r="Q2045" s="270" t="str">
        <f>IFERROR(INDEX([1]Produtos!$H:$H,MATCH(L2045,[1]Produtos!$B:$B,0)), "-")</f>
        <v>-</v>
      </c>
      <c r="R2045" s="270" t="str">
        <f>IFERROR(INDEX([1]Produtos!$I:$I,MATCH(L2045,[1]Produtos!$B:$B,0)), "-")</f>
        <v>-</v>
      </c>
      <c r="S2045" s="270" t="str">
        <f>IFERROR(INDEX([1]Produtos!$J:$J,MATCH(L2045,[1]Produtos!$B:$B,0)), "-")</f>
        <v>-</v>
      </c>
      <c r="T2045" s="475"/>
      <c r="U2045" s="270"/>
      <c r="V2045" s="270"/>
      <c r="W2045" s="270"/>
      <c r="X2045" s="270"/>
      <c r="Y2045" s="270"/>
      <c r="Z2045" s="270"/>
      <c r="AA2045" s="270"/>
      <c r="AB2045" s="270"/>
      <c r="AC2045" s="270"/>
      <c r="AD2045" s="270"/>
      <c r="AE2045" s="270"/>
      <c r="AF2045" s="270"/>
      <c r="AG2045" s="270"/>
      <c r="AH2045" s="270"/>
      <c r="AI2045" s="270"/>
      <c r="AJ2045" s="270"/>
      <c r="AK2045" s="270"/>
      <c r="AL2045" s="270"/>
      <c r="AM2045" s="663"/>
      <c r="AN2045" s="663"/>
      <c r="AO2045" s="708" t="str">
        <f>IF(OR(Table1[[#This Row],[Início Setup Envase]]="",Table1[[#This Row],[Final Setup Envase]]=""),"",Table1[[#This Row],[Final Setup Envase]]-Table1[[#This Row],[Início Setup Envase]])</f>
        <v/>
      </c>
      <c r="AP2045" s="663"/>
      <c r="AQ2045" s="663"/>
      <c r="AR2045" s="270"/>
      <c r="AS2045" s="674"/>
      <c r="AT2045" s="674"/>
      <c r="AU2045" s="270"/>
      <c r="AV2045" s="270"/>
      <c r="AW2045" s="270"/>
      <c r="AX2045" s="270"/>
      <c r="AY2045" s="270"/>
      <c r="AZ2045" s="270"/>
      <c r="BA2045" s="270" t="str">
        <f>IF(Table1[[#This Row],[Data de Início]]="","",YEAR(Table1[[#This Row],[Data de Início]]))</f>
        <v/>
      </c>
      <c r="BB2045" s="270" t="str">
        <f>IF(Table1[[#This Row],[Data de Início]]="","",MONTH(Table1[[#This Row],[Data de Início]]))</f>
        <v/>
      </c>
      <c r="BC2045" s="483"/>
    </row>
    <row r="2046" spans="2:55" x14ac:dyDescent="0.25">
      <c r="B2046" s="470"/>
      <c r="C2046" s="263"/>
      <c r="D2046" s="477" cm="1">
        <f t="array" ref="D2046">IFERROR(HorasUteisFabrica2Turnos(B2046,C2046), "")</f>
        <v>0</v>
      </c>
      <c r="E2046" s="478" t="str">
        <f t="shared" si="32"/>
        <v/>
      </c>
      <c r="F2046" s="266"/>
      <c r="G2046" s="656"/>
      <c r="H2046" s="479"/>
      <c r="I2046" s="268"/>
      <c r="J2046" s="268"/>
      <c r="K2046" s="268"/>
      <c r="L2046" s="269"/>
      <c r="M2046" s="511" t="str">
        <f>IFERROR(INDEX([1]Produtos!$C:$C,MATCH(L2046,[1]Produtos!$B:$B,0)), "-")</f>
        <v>-</v>
      </c>
      <c r="N2046" s="511" t="str">
        <f>IFERROR(INDEX([1]Produtos!$E:$E,MATCH(L2046,[1]Produtos!$B:$B,0)), "-")</f>
        <v>-</v>
      </c>
      <c r="O2046" s="483" t="str">
        <f>IFERROR(INDEX([1]Produtos!$F:$F,MATCH(L2046,[1]Produtos!$B:$B,0)), "-")</f>
        <v>-</v>
      </c>
      <c r="P2046" s="477" t="str">
        <f>IFERROR(INDEX([1]Produtos!$G:$G,MATCH(L2046,[1]Produtos!$B:$B,0)), "-")</f>
        <v>-</v>
      </c>
      <c r="Q2046" s="483" t="str">
        <f>IFERROR(INDEX([1]Produtos!$H:$H,MATCH(L2046,[1]Produtos!$B:$B,0)), "-")</f>
        <v>-</v>
      </c>
      <c r="R2046" s="483" t="str">
        <f>IFERROR(INDEX([1]Produtos!$I:$I,MATCH(L2046,[1]Produtos!$B:$B,0)), "-")</f>
        <v>-</v>
      </c>
      <c r="S2046" s="483" t="str">
        <f>IFERROR(INDEX([1]Produtos!$J:$J,MATCH(L2046,[1]Produtos!$B:$B,0)), "-")</f>
        <v>-</v>
      </c>
      <c r="T2046" s="484"/>
      <c r="U2046" s="483"/>
      <c r="V2046" s="483"/>
      <c r="W2046" s="483"/>
      <c r="X2046" s="483"/>
      <c r="Y2046" s="483"/>
      <c r="Z2046" s="483"/>
      <c r="AA2046" s="483"/>
      <c r="AB2046" s="483"/>
      <c r="AC2046" s="483"/>
      <c r="AD2046" s="483"/>
      <c r="AE2046" s="483"/>
      <c r="AF2046" s="483"/>
      <c r="AG2046" s="483"/>
      <c r="AH2046" s="483"/>
      <c r="AI2046" s="483"/>
      <c r="AJ2046" s="483"/>
      <c r="AK2046" s="483"/>
      <c r="AL2046" s="483"/>
      <c r="AM2046" s="670"/>
      <c r="AN2046" s="670"/>
      <c r="AO2046" s="711" t="str">
        <f>IF(OR(Table1[[#This Row],[Início Setup Envase]]="",Table1[[#This Row],[Final Setup Envase]]=""),"",Table1[[#This Row],[Final Setup Envase]]-Table1[[#This Row],[Início Setup Envase]])</f>
        <v/>
      </c>
      <c r="AP2046" s="670"/>
      <c r="AQ2046" s="670"/>
      <c r="AR2046" s="483"/>
      <c r="AS2046" s="483"/>
      <c r="AT2046" s="483"/>
      <c r="AU2046" s="483"/>
      <c r="AV2046" s="483"/>
      <c r="AW2046" s="483"/>
      <c r="AX2046" s="483"/>
      <c r="AY2046" s="270"/>
      <c r="AZ2046" s="270"/>
      <c r="BA2046" s="270" t="str">
        <f>IF(Table1[[#This Row],[Data de Início]]="","",YEAR(Table1[[#This Row],[Data de Início]]))</f>
        <v/>
      </c>
      <c r="BB2046" s="270" t="str">
        <f>IF(Table1[[#This Row],[Data de Início]]="","",MONTH(Table1[[#This Row],[Data de Início]]))</f>
        <v/>
      </c>
      <c r="BC2046" s="270"/>
    </row>
    <row r="2047" spans="2:55" x14ac:dyDescent="0.25">
      <c r="B2047" s="470"/>
      <c r="C2047" s="263"/>
      <c r="D2047" s="477" cm="1">
        <f t="array" ref="D2047">IFERROR(HorasUteisFabrica2Turnos(B2047,C2047), "")</f>
        <v>0</v>
      </c>
      <c r="E2047" s="697" t="str">
        <f t="shared" si="32"/>
        <v/>
      </c>
      <c r="F2047" s="266"/>
      <c r="G2047" s="698"/>
      <c r="H2047" s="266"/>
      <c r="I2047" s="268"/>
      <c r="J2047" s="268"/>
      <c r="K2047" s="268"/>
      <c r="L2047" s="269"/>
      <c r="M2047" s="510" t="str">
        <f>IFERROR(INDEX([1]Produtos!$C:$C,MATCH(L2047,[1]Produtos!$B:$B,0)), "-")</f>
        <v>-</v>
      </c>
      <c r="N2047" s="510" t="str">
        <f>IFERROR(INDEX([1]Produtos!$E:$E,MATCH(L2047,[1]Produtos!$B:$B,0)), "-")</f>
        <v>-</v>
      </c>
      <c r="O2047" s="270" t="str">
        <f>IFERROR(INDEX([1]Produtos!$F:$F,MATCH(L2047,[1]Produtos!$B:$B,0)), "-")</f>
        <v>-</v>
      </c>
      <c r="P2047" s="264" t="str">
        <f>IFERROR(INDEX([1]Produtos!$G:$G,MATCH(L2047,[1]Produtos!$B:$B,0)), "-")</f>
        <v>-</v>
      </c>
      <c r="Q2047" s="270" t="str">
        <f>IFERROR(INDEX([1]Produtos!$H:$H,MATCH(L2047,[1]Produtos!$B:$B,0)), "-")</f>
        <v>-</v>
      </c>
      <c r="R2047" s="270" t="str">
        <f>IFERROR(INDEX([1]Produtos!$I:$I,MATCH(L2047,[1]Produtos!$B:$B,0)), "-")</f>
        <v>-</v>
      </c>
      <c r="S2047" s="270" t="str">
        <f>IFERROR(INDEX([1]Produtos!$J:$J,MATCH(L2047,[1]Produtos!$B:$B,0)), "-")</f>
        <v>-</v>
      </c>
      <c r="T2047" s="475"/>
      <c r="U2047" s="270"/>
      <c r="V2047" s="270"/>
      <c r="W2047" s="270"/>
      <c r="X2047" s="270"/>
      <c r="Y2047" s="270"/>
      <c r="Z2047" s="270"/>
      <c r="AA2047" s="270"/>
      <c r="AB2047" s="270"/>
      <c r="AC2047" s="270"/>
      <c r="AD2047" s="270"/>
      <c r="AE2047" s="270"/>
      <c r="AF2047" s="270"/>
      <c r="AG2047" s="270"/>
      <c r="AH2047" s="270"/>
      <c r="AI2047" s="270"/>
      <c r="AJ2047" s="270"/>
      <c r="AK2047" s="270"/>
      <c r="AL2047" s="270"/>
      <c r="AM2047" s="663"/>
      <c r="AN2047" s="663"/>
      <c r="AO2047" s="708" t="str">
        <f>IF(OR(Table1[[#This Row],[Início Setup Envase]]="",Table1[[#This Row],[Final Setup Envase]]=""),"",Table1[[#This Row],[Final Setup Envase]]-Table1[[#This Row],[Início Setup Envase]])</f>
        <v/>
      </c>
      <c r="AP2047" s="663"/>
      <c r="AQ2047" s="663"/>
      <c r="AR2047" s="270"/>
      <c r="AS2047" s="674"/>
      <c r="AT2047" s="674"/>
      <c r="AU2047" s="270"/>
      <c r="AV2047" s="270"/>
      <c r="AW2047" s="270"/>
      <c r="AX2047" s="270"/>
      <c r="AY2047" s="270"/>
      <c r="AZ2047" s="270"/>
      <c r="BA2047" s="270" t="str">
        <f>IF(Table1[[#This Row],[Data de Início]]="","",YEAR(Table1[[#This Row],[Data de Início]]))</f>
        <v/>
      </c>
      <c r="BB2047" s="270" t="str">
        <f>IF(Table1[[#This Row],[Data de Início]]="","",MONTH(Table1[[#This Row],[Data de Início]]))</f>
        <v/>
      </c>
      <c r="BC2047" s="483"/>
    </row>
    <row r="2048" spans="2:55" x14ac:dyDescent="0.25">
      <c r="B2048" s="470"/>
      <c r="C2048" s="263"/>
      <c r="D2048" s="477" cm="1">
        <f t="array" ref="D2048">IFERROR(HorasUteisFabrica2Turnos(B2048,C2048), "")</f>
        <v>0</v>
      </c>
      <c r="E2048" s="478" t="str">
        <f t="shared" si="32"/>
        <v/>
      </c>
      <c r="F2048" s="266"/>
      <c r="G2048" s="656"/>
      <c r="H2048" s="479"/>
      <c r="I2048" s="268"/>
      <c r="J2048" s="268"/>
      <c r="K2048" s="268"/>
      <c r="L2048" s="269"/>
      <c r="M2048" s="511" t="str">
        <f>IFERROR(INDEX([1]Produtos!$C:$C,MATCH(L2048,[1]Produtos!$B:$B,0)), "-")</f>
        <v>-</v>
      </c>
      <c r="N2048" s="511" t="str">
        <f>IFERROR(INDEX([1]Produtos!$E:$E,MATCH(L2048,[1]Produtos!$B:$B,0)), "-")</f>
        <v>-</v>
      </c>
      <c r="O2048" s="483" t="str">
        <f>IFERROR(INDEX([1]Produtos!$F:$F,MATCH(L2048,[1]Produtos!$B:$B,0)), "-")</f>
        <v>-</v>
      </c>
      <c r="P2048" s="477" t="str">
        <f>IFERROR(INDEX([1]Produtos!$G:$G,MATCH(L2048,[1]Produtos!$B:$B,0)), "-")</f>
        <v>-</v>
      </c>
      <c r="Q2048" s="483" t="str">
        <f>IFERROR(INDEX([1]Produtos!$H:$H,MATCH(L2048,[1]Produtos!$B:$B,0)), "-")</f>
        <v>-</v>
      </c>
      <c r="R2048" s="483" t="str">
        <f>IFERROR(INDEX([1]Produtos!$I:$I,MATCH(L2048,[1]Produtos!$B:$B,0)), "-")</f>
        <v>-</v>
      </c>
      <c r="S2048" s="483" t="str">
        <f>IFERROR(INDEX([1]Produtos!$J:$J,MATCH(L2048,[1]Produtos!$B:$B,0)), "-")</f>
        <v>-</v>
      </c>
      <c r="T2048" s="484"/>
      <c r="U2048" s="483"/>
      <c r="V2048" s="483"/>
      <c r="W2048" s="483"/>
      <c r="X2048" s="483"/>
      <c r="Y2048" s="483"/>
      <c r="Z2048" s="483"/>
      <c r="AA2048" s="483"/>
      <c r="AB2048" s="483"/>
      <c r="AC2048" s="483"/>
      <c r="AD2048" s="483"/>
      <c r="AE2048" s="483"/>
      <c r="AF2048" s="483"/>
      <c r="AG2048" s="483"/>
      <c r="AH2048" s="483"/>
      <c r="AI2048" s="483"/>
      <c r="AJ2048" s="483"/>
      <c r="AK2048" s="483"/>
      <c r="AL2048" s="483"/>
      <c r="AM2048" s="670"/>
      <c r="AN2048" s="670"/>
      <c r="AO2048" s="711" t="str">
        <f>IF(OR(Table1[[#This Row],[Início Setup Envase]]="",Table1[[#This Row],[Final Setup Envase]]=""),"",Table1[[#This Row],[Final Setup Envase]]-Table1[[#This Row],[Início Setup Envase]])</f>
        <v/>
      </c>
      <c r="AP2048" s="670"/>
      <c r="AQ2048" s="670"/>
      <c r="AR2048" s="483"/>
      <c r="AS2048" s="483"/>
      <c r="AT2048" s="483"/>
      <c r="AU2048" s="483"/>
      <c r="AV2048" s="483"/>
      <c r="AW2048" s="483"/>
      <c r="AX2048" s="483"/>
      <c r="AY2048" s="270"/>
      <c r="AZ2048" s="270"/>
      <c r="BA2048" s="270" t="str">
        <f>IF(Table1[[#This Row],[Data de Início]]="","",YEAR(Table1[[#This Row],[Data de Início]]))</f>
        <v/>
      </c>
      <c r="BB2048" s="270" t="str">
        <f>IF(Table1[[#This Row],[Data de Início]]="","",MONTH(Table1[[#This Row],[Data de Início]]))</f>
        <v/>
      </c>
      <c r="BC2048" s="270"/>
    </row>
    <row r="2049" spans="2:55" x14ac:dyDescent="0.25">
      <c r="B2049" s="470"/>
      <c r="C2049" s="263"/>
      <c r="D2049" s="477" cm="1">
        <f t="array" ref="D2049">IFERROR(HorasUteisFabrica2Turnos(B2049,C2049), "")</f>
        <v>0</v>
      </c>
      <c r="E2049" s="697" t="str">
        <f t="shared" si="32"/>
        <v/>
      </c>
      <c r="F2049" s="266"/>
      <c r="G2049" s="698"/>
      <c r="H2049" s="266"/>
      <c r="I2049" s="268"/>
      <c r="J2049" s="268"/>
      <c r="K2049" s="268"/>
      <c r="L2049" s="269"/>
      <c r="M2049" s="510" t="str">
        <f>IFERROR(INDEX([1]Produtos!$C:$C,MATCH(L2049,[1]Produtos!$B:$B,0)), "-")</f>
        <v>-</v>
      </c>
      <c r="N2049" s="510" t="str">
        <f>IFERROR(INDEX([1]Produtos!$E:$E,MATCH(L2049,[1]Produtos!$B:$B,0)), "-")</f>
        <v>-</v>
      </c>
      <c r="O2049" s="270" t="str">
        <f>IFERROR(INDEX([1]Produtos!$F:$F,MATCH(L2049,[1]Produtos!$B:$B,0)), "-")</f>
        <v>-</v>
      </c>
      <c r="P2049" s="264" t="str">
        <f>IFERROR(INDEX([1]Produtos!$G:$G,MATCH(L2049,[1]Produtos!$B:$B,0)), "-")</f>
        <v>-</v>
      </c>
      <c r="Q2049" s="270" t="str">
        <f>IFERROR(INDEX([1]Produtos!$H:$H,MATCH(L2049,[1]Produtos!$B:$B,0)), "-")</f>
        <v>-</v>
      </c>
      <c r="R2049" s="270" t="str">
        <f>IFERROR(INDEX([1]Produtos!$I:$I,MATCH(L2049,[1]Produtos!$B:$B,0)), "-")</f>
        <v>-</v>
      </c>
      <c r="S2049" s="270" t="str">
        <f>IFERROR(INDEX([1]Produtos!$J:$J,MATCH(L2049,[1]Produtos!$B:$B,0)), "-")</f>
        <v>-</v>
      </c>
      <c r="T2049" s="475"/>
      <c r="U2049" s="270"/>
      <c r="V2049" s="270"/>
      <c r="W2049" s="270"/>
      <c r="X2049" s="270"/>
      <c r="Y2049" s="270"/>
      <c r="Z2049" s="270"/>
      <c r="AA2049" s="270"/>
      <c r="AB2049" s="270"/>
      <c r="AC2049" s="270"/>
      <c r="AD2049" s="270"/>
      <c r="AE2049" s="270"/>
      <c r="AF2049" s="270"/>
      <c r="AG2049" s="270"/>
      <c r="AH2049" s="270"/>
      <c r="AI2049" s="270"/>
      <c r="AJ2049" s="270"/>
      <c r="AK2049" s="270"/>
      <c r="AL2049" s="270"/>
      <c r="AM2049" s="663"/>
      <c r="AN2049" s="663"/>
      <c r="AO2049" s="708" t="str">
        <f>IF(OR(Table1[[#This Row],[Início Setup Envase]]="",Table1[[#This Row],[Final Setup Envase]]=""),"",Table1[[#This Row],[Final Setup Envase]]-Table1[[#This Row],[Início Setup Envase]])</f>
        <v/>
      </c>
      <c r="AP2049" s="663"/>
      <c r="AQ2049" s="663"/>
      <c r="AR2049" s="270"/>
      <c r="AS2049" s="674"/>
      <c r="AT2049" s="674"/>
      <c r="AU2049" s="270"/>
      <c r="AV2049" s="270"/>
      <c r="AW2049" s="270"/>
      <c r="AX2049" s="270"/>
      <c r="AY2049" s="270"/>
      <c r="AZ2049" s="270"/>
      <c r="BA2049" s="270" t="str">
        <f>IF(Table1[[#This Row],[Data de Início]]="","",YEAR(Table1[[#This Row],[Data de Início]]))</f>
        <v/>
      </c>
      <c r="BB2049" s="270" t="str">
        <f>IF(Table1[[#This Row],[Data de Início]]="","",MONTH(Table1[[#This Row],[Data de Início]]))</f>
        <v/>
      </c>
      <c r="BC2049" s="483"/>
    </row>
    <row r="2050" spans="2:55" x14ac:dyDescent="0.25">
      <c r="B2050" s="470"/>
      <c r="C2050" s="263"/>
      <c r="D2050" s="477" cm="1">
        <f t="array" ref="D2050">IFERROR(HorasUteisFabrica2Turnos(B2050,C2050), "")</f>
        <v>0</v>
      </c>
      <c r="E2050" s="478" t="str">
        <f t="shared" si="32"/>
        <v/>
      </c>
      <c r="F2050" s="266"/>
      <c r="G2050" s="656"/>
      <c r="H2050" s="479"/>
      <c r="I2050" s="268"/>
      <c r="J2050" s="268"/>
      <c r="K2050" s="268"/>
      <c r="L2050" s="269"/>
      <c r="M2050" s="511" t="str">
        <f>IFERROR(INDEX([1]Produtos!$C:$C,MATCH(L2050,[1]Produtos!$B:$B,0)), "-")</f>
        <v>-</v>
      </c>
      <c r="N2050" s="511" t="str">
        <f>IFERROR(INDEX([1]Produtos!$E:$E,MATCH(L2050,[1]Produtos!$B:$B,0)), "-")</f>
        <v>-</v>
      </c>
      <c r="O2050" s="483" t="str">
        <f>IFERROR(INDEX([1]Produtos!$F:$F,MATCH(L2050,[1]Produtos!$B:$B,0)), "-")</f>
        <v>-</v>
      </c>
      <c r="P2050" s="477" t="str">
        <f>IFERROR(INDEX([1]Produtos!$G:$G,MATCH(L2050,[1]Produtos!$B:$B,0)), "-")</f>
        <v>-</v>
      </c>
      <c r="Q2050" s="483" t="str">
        <f>IFERROR(INDEX([1]Produtos!$H:$H,MATCH(L2050,[1]Produtos!$B:$B,0)), "-")</f>
        <v>-</v>
      </c>
      <c r="R2050" s="483" t="str">
        <f>IFERROR(INDEX([1]Produtos!$I:$I,MATCH(L2050,[1]Produtos!$B:$B,0)), "-")</f>
        <v>-</v>
      </c>
      <c r="S2050" s="483" t="str">
        <f>IFERROR(INDEX([1]Produtos!$J:$J,MATCH(L2050,[1]Produtos!$B:$B,0)), "-")</f>
        <v>-</v>
      </c>
      <c r="T2050" s="484"/>
      <c r="U2050" s="483"/>
      <c r="V2050" s="483"/>
      <c r="W2050" s="483"/>
      <c r="X2050" s="483"/>
      <c r="Y2050" s="483"/>
      <c r="Z2050" s="483"/>
      <c r="AA2050" s="483"/>
      <c r="AB2050" s="483"/>
      <c r="AC2050" s="483"/>
      <c r="AD2050" s="483"/>
      <c r="AE2050" s="483"/>
      <c r="AF2050" s="483"/>
      <c r="AG2050" s="483"/>
      <c r="AH2050" s="483"/>
      <c r="AI2050" s="483"/>
      <c r="AJ2050" s="483"/>
      <c r="AK2050" s="483"/>
      <c r="AL2050" s="483"/>
      <c r="AM2050" s="670"/>
      <c r="AN2050" s="670"/>
      <c r="AO2050" s="711" t="str">
        <f>IF(OR(Table1[[#This Row],[Início Setup Envase]]="",Table1[[#This Row],[Final Setup Envase]]=""),"",Table1[[#This Row],[Final Setup Envase]]-Table1[[#This Row],[Início Setup Envase]])</f>
        <v/>
      </c>
      <c r="AP2050" s="670"/>
      <c r="AQ2050" s="670"/>
      <c r="AR2050" s="483"/>
      <c r="AS2050" s="483"/>
      <c r="AT2050" s="483"/>
      <c r="AU2050" s="483"/>
      <c r="AV2050" s="483"/>
      <c r="AW2050" s="483"/>
      <c r="AX2050" s="483"/>
      <c r="AY2050" s="270"/>
      <c r="AZ2050" s="270"/>
      <c r="BA2050" s="270" t="str">
        <f>IF(Table1[[#This Row],[Data de Início]]="","",YEAR(Table1[[#This Row],[Data de Início]]))</f>
        <v/>
      </c>
      <c r="BB2050" s="270" t="str">
        <f>IF(Table1[[#This Row],[Data de Início]]="","",MONTH(Table1[[#This Row],[Data de Início]]))</f>
        <v/>
      </c>
      <c r="BC2050" s="270"/>
    </row>
    <row r="2051" spans="2:55" x14ac:dyDescent="0.25">
      <c r="B2051" s="470"/>
      <c r="C2051" s="263"/>
      <c r="D2051" s="477" cm="1">
        <f t="array" ref="D2051">IFERROR(HorasUteisFabrica2Turnos(B2051,C2051), "")</f>
        <v>0</v>
      </c>
      <c r="E2051" s="697" t="str">
        <f t="shared" si="32"/>
        <v/>
      </c>
      <c r="F2051" s="266"/>
      <c r="G2051" s="698"/>
      <c r="H2051" s="266"/>
      <c r="I2051" s="268"/>
      <c r="J2051" s="268"/>
      <c r="K2051" s="268"/>
      <c r="L2051" s="269"/>
      <c r="M2051" s="510" t="str">
        <f>IFERROR(INDEX([1]Produtos!$C:$C,MATCH(L2051,[1]Produtos!$B:$B,0)), "-")</f>
        <v>-</v>
      </c>
      <c r="N2051" s="510" t="str">
        <f>IFERROR(INDEX([1]Produtos!$E:$E,MATCH(L2051,[1]Produtos!$B:$B,0)), "-")</f>
        <v>-</v>
      </c>
      <c r="O2051" s="270" t="str">
        <f>IFERROR(INDEX([1]Produtos!$F:$F,MATCH(L2051,[1]Produtos!$B:$B,0)), "-")</f>
        <v>-</v>
      </c>
      <c r="P2051" s="264" t="str">
        <f>IFERROR(INDEX([1]Produtos!$G:$G,MATCH(L2051,[1]Produtos!$B:$B,0)), "-")</f>
        <v>-</v>
      </c>
      <c r="Q2051" s="270" t="str">
        <f>IFERROR(INDEX([1]Produtos!$H:$H,MATCH(L2051,[1]Produtos!$B:$B,0)), "-")</f>
        <v>-</v>
      </c>
      <c r="R2051" s="270" t="str">
        <f>IFERROR(INDEX([1]Produtos!$I:$I,MATCH(L2051,[1]Produtos!$B:$B,0)), "-")</f>
        <v>-</v>
      </c>
      <c r="S2051" s="270" t="str">
        <f>IFERROR(INDEX([1]Produtos!$J:$J,MATCH(L2051,[1]Produtos!$B:$B,0)), "-")</f>
        <v>-</v>
      </c>
      <c r="T2051" s="475"/>
      <c r="U2051" s="270"/>
      <c r="V2051" s="270"/>
      <c r="W2051" s="270"/>
      <c r="X2051" s="270"/>
      <c r="Y2051" s="270"/>
      <c r="Z2051" s="270"/>
      <c r="AA2051" s="270"/>
      <c r="AB2051" s="270"/>
      <c r="AC2051" s="270"/>
      <c r="AD2051" s="270"/>
      <c r="AE2051" s="270"/>
      <c r="AF2051" s="270"/>
      <c r="AG2051" s="270"/>
      <c r="AH2051" s="270"/>
      <c r="AI2051" s="270"/>
      <c r="AJ2051" s="270"/>
      <c r="AK2051" s="270"/>
      <c r="AL2051" s="270"/>
      <c r="AM2051" s="663"/>
      <c r="AN2051" s="663"/>
      <c r="AO2051" s="708" t="str">
        <f>IF(OR(Table1[[#This Row],[Início Setup Envase]]="",Table1[[#This Row],[Final Setup Envase]]=""),"",Table1[[#This Row],[Final Setup Envase]]-Table1[[#This Row],[Início Setup Envase]])</f>
        <v/>
      </c>
      <c r="AP2051" s="663"/>
      <c r="AQ2051" s="663"/>
      <c r="AR2051" s="270"/>
      <c r="AS2051" s="674"/>
      <c r="AT2051" s="674"/>
      <c r="AU2051" s="270"/>
      <c r="AV2051" s="270"/>
      <c r="AW2051" s="270"/>
      <c r="AX2051" s="270"/>
      <c r="AY2051" s="270"/>
      <c r="AZ2051" s="270"/>
      <c r="BA2051" s="270" t="str">
        <f>IF(Table1[[#This Row],[Data de Início]]="","",YEAR(Table1[[#This Row],[Data de Início]]))</f>
        <v/>
      </c>
      <c r="BB2051" s="270" t="str">
        <f>IF(Table1[[#This Row],[Data de Início]]="","",MONTH(Table1[[#This Row],[Data de Início]]))</f>
        <v/>
      </c>
      <c r="BC2051" s="483"/>
    </row>
    <row r="2052" spans="2:55" x14ac:dyDescent="0.25">
      <c r="B2052" s="470"/>
      <c r="C2052" s="263"/>
      <c r="D2052" s="477" cm="1">
        <f t="array" ref="D2052">IFERROR(HorasUteisFabrica2Turnos(B2052,C2052), "")</f>
        <v>0</v>
      </c>
      <c r="E2052" s="478" t="str">
        <f t="shared" si="32"/>
        <v/>
      </c>
      <c r="F2052" s="266"/>
      <c r="G2052" s="656"/>
      <c r="H2052" s="479"/>
      <c r="I2052" s="268"/>
      <c r="J2052" s="268"/>
      <c r="K2052" s="268"/>
      <c r="L2052" s="269"/>
      <c r="M2052" s="511" t="str">
        <f>IFERROR(INDEX([1]Produtos!$C:$C,MATCH(L2052,[1]Produtos!$B:$B,0)), "-")</f>
        <v>-</v>
      </c>
      <c r="N2052" s="511" t="str">
        <f>IFERROR(INDEX([1]Produtos!$E:$E,MATCH(L2052,[1]Produtos!$B:$B,0)), "-")</f>
        <v>-</v>
      </c>
      <c r="O2052" s="483" t="str">
        <f>IFERROR(INDEX([1]Produtos!$F:$F,MATCH(L2052,[1]Produtos!$B:$B,0)), "-")</f>
        <v>-</v>
      </c>
      <c r="P2052" s="477" t="str">
        <f>IFERROR(INDEX([1]Produtos!$G:$G,MATCH(L2052,[1]Produtos!$B:$B,0)), "-")</f>
        <v>-</v>
      </c>
      <c r="Q2052" s="483" t="str">
        <f>IFERROR(INDEX([1]Produtos!$H:$H,MATCH(L2052,[1]Produtos!$B:$B,0)), "-")</f>
        <v>-</v>
      </c>
      <c r="R2052" s="483" t="str">
        <f>IFERROR(INDEX([1]Produtos!$I:$I,MATCH(L2052,[1]Produtos!$B:$B,0)), "-")</f>
        <v>-</v>
      </c>
      <c r="S2052" s="483" t="str">
        <f>IFERROR(INDEX([1]Produtos!$J:$J,MATCH(L2052,[1]Produtos!$B:$B,0)), "-")</f>
        <v>-</v>
      </c>
      <c r="T2052" s="484"/>
      <c r="U2052" s="483"/>
      <c r="V2052" s="483"/>
      <c r="W2052" s="483"/>
      <c r="X2052" s="483"/>
      <c r="Y2052" s="483"/>
      <c r="Z2052" s="483"/>
      <c r="AA2052" s="483"/>
      <c r="AB2052" s="483"/>
      <c r="AC2052" s="483"/>
      <c r="AD2052" s="483"/>
      <c r="AE2052" s="483"/>
      <c r="AF2052" s="483"/>
      <c r="AG2052" s="483"/>
      <c r="AH2052" s="483"/>
      <c r="AI2052" s="483"/>
      <c r="AJ2052" s="483"/>
      <c r="AK2052" s="483"/>
      <c r="AL2052" s="483"/>
      <c r="AM2052" s="670"/>
      <c r="AN2052" s="670"/>
      <c r="AO2052" s="711" t="str">
        <f>IF(OR(Table1[[#This Row],[Início Setup Envase]]="",Table1[[#This Row],[Final Setup Envase]]=""),"",Table1[[#This Row],[Final Setup Envase]]-Table1[[#This Row],[Início Setup Envase]])</f>
        <v/>
      </c>
      <c r="AP2052" s="670"/>
      <c r="AQ2052" s="670"/>
      <c r="AR2052" s="483"/>
      <c r="AS2052" s="483"/>
      <c r="AT2052" s="483"/>
      <c r="AU2052" s="483"/>
      <c r="AV2052" s="483"/>
      <c r="AW2052" s="483"/>
      <c r="AX2052" s="483"/>
      <c r="AY2052" s="270"/>
      <c r="AZ2052" s="270"/>
      <c r="BA2052" s="270" t="str">
        <f>IF(Table1[[#This Row],[Data de Início]]="","",YEAR(Table1[[#This Row],[Data de Início]]))</f>
        <v/>
      </c>
      <c r="BB2052" s="270" t="str">
        <f>IF(Table1[[#This Row],[Data de Início]]="","",MONTH(Table1[[#This Row],[Data de Início]]))</f>
        <v/>
      </c>
      <c r="BC2052" s="270"/>
    </row>
    <row r="2053" spans="2:55" x14ac:dyDescent="0.25">
      <c r="B2053" s="470"/>
      <c r="C2053" s="263"/>
      <c r="D2053" s="477" cm="1">
        <f t="array" ref="D2053">IFERROR(HorasUteisFabrica2Turnos(B2053,C2053), "")</f>
        <v>0</v>
      </c>
      <c r="E2053" s="697" t="str">
        <f t="shared" si="32"/>
        <v/>
      </c>
      <c r="F2053" s="266"/>
      <c r="G2053" s="698"/>
      <c r="H2053" s="266"/>
      <c r="I2053" s="268"/>
      <c r="J2053" s="268"/>
      <c r="K2053" s="268"/>
      <c r="L2053" s="269"/>
      <c r="M2053" s="510" t="str">
        <f>IFERROR(INDEX([1]Produtos!$C:$C,MATCH(L2053,[1]Produtos!$B:$B,0)), "-")</f>
        <v>-</v>
      </c>
      <c r="N2053" s="510" t="str">
        <f>IFERROR(INDEX([1]Produtos!$E:$E,MATCH(L2053,[1]Produtos!$B:$B,0)), "-")</f>
        <v>-</v>
      </c>
      <c r="O2053" s="270" t="str">
        <f>IFERROR(INDEX([1]Produtos!$F:$F,MATCH(L2053,[1]Produtos!$B:$B,0)), "-")</f>
        <v>-</v>
      </c>
      <c r="P2053" s="264" t="str">
        <f>IFERROR(INDEX([1]Produtos!$G:$G,MATCH(L2053,[1]Produtos!$B:$B,0)), "-")</f>
        <v>-</v>
      </c>
      <c r="Q2053" s="270" t="str">
        <f>IFERROR(INDEX([1]Produtos!$H:$H,MATCH(L2053,[1]Produtos!$B:$B,0)), "-")</f>
        <v>-</v>
      </c>
      <c r="R2053" s="270" t="str">
        <f>IFERROR(INDEX([1]Produtos!$I:$I,MATCH(L2053,[1]Produtos!$B:$B,0)), "-")</f>
        <v>-</v>
      </c>
      <c r="S2053" s="270" t="str">
        <f>IFERROR(INDEX([1]Produtos!$J:$J,MATCH(L2053,[1]Produtos!$B:$B,0)), "-")</f>
        <v>-</v>
      </c>
      <c r="T2053" s="475"/>
      <c r="U2053" s="270"/>
      <c r="V2053" s="270"/>
      <c r="W2053" s="270"/>
      <c r="X2053" s="270"/>
      <c r="Y2053" s="270"/>
      <c r="Z2053" s="270"/>
      <c r="AA2053" s="270"/>
      <c r="AB2053" s="270"/>
      <c r="AC2053" s="270"/>
      <c r="AD2053" s="270"/>
      <c r="AE2053" s="270"/>
      <c r="AF2053" s="270"/>
      <c r="AG2053" s="270"/>
      <c r="AH2053" s="270"/>
      <c r="AI2053" s="270"/>
      <c r="AJ2053" s="270"/>
      <c r="AK2053" s="270"/>
      <c r="AL2053" s="270"/>
      <c r="AM2053" s="663"/>
      <c r="AN2053" s="663"/>
      <c r="AO2053" s="708" t="str">
        <f>IF(OR(Table1[[#This Row],[Início Setup Envase]]="",Table1[[#This Row],[Final Setup Envase]]=""),"",Table1[[#This Row],[Final Setup Envase]]-Table1[[#This Row],[Início Setup Envase]])</f>
        <v/>
      </c>
      <c r="AP2053" s="663"/>
      <c r="AQ2053" s="663"/>
      <c r="AR2053" s="270"/>
      <c r="AS2053" s="674"/>
      <c r="AT2053" s="674"/>
      <c r="AU2053" s="270"/>
      <c r="AV2053" s="270"/>
      <c r="AW2053" s="270"/>
      <c r="AX2053" s="270"/>
      <c r="AY2053" s="270"/>
      <c r="AZ2053" s="270"/>
      <c r="BA2053" s="270" t="str">
        <f>IF(Table1[[#This Row],[Data de Início]]="","",YEAR(Table1[[#This Row],[Data de Início]]))</f>
        <v/>
      </c>
      <c r="BB2053" s="270" t="str">
        <f>IF(Table1[[#This Row],[Data de Início]]="","",MONTH(Table1[[#This Row],[Data de Início]]))</f>
        <v/>
      </c>
      <c r="BC2053" s="483"/>
    </row>
    <row r="2054" spans="2:55" x14ac:dyDescent="0.25">
      <c r="B2054" s="470"/>
      <c r="C2054" s="263"/>
      <c r="D2054" s="477" cm="1">
        <f t="array" ref="D2054">IFERROR(HorasUteisFabrica2Turnos(B2054,C2054), "")</f>
        <v>0</v>
      </c>
      <c r="E2054" s="478" t="str">
        <f t="shared" si="32"/>
        <v/>
      </c>
      <c r="F2054" s="266"/>
      <c r="G2054" s="656"/>
      <c r="H2054" s="479"/>
      <c r="I2054" s="268"/>
      <c r="J2054" s="268"/>
      <c r="K2054" s="268"/>
      <c r="L2054" s="269"/>
      <c r="M2054" s="511" t="str">
        <f>IFERROR(INDEX([1]Produtos!$C:$C,MATCH(L2054,[1]Produtos!$B:$B,0)), "-")</f>
        <v>-</v>
      </c>
      <c r="N2054" s="511" t="str">
        <f>IFERROR(INDEX([1]Produtos!$E:$E,MATCH(L2054,[1]Produtos!$B:$B,0)), "-")</f>
        <v>-</v>
      </c>
      <c r="O2054" s="483" t="str">
        <f>IFERROR(INDEX([1]Produtos!$F:$F,MATCH(L2054,[1]Produtos!$B:$B,0)), "-")</f>
        <v>-</v>
      </c>
      <c r="P2054" s="477" t="str">
        <f>IFERROR(INDEX([1]Produtos!$G:$G,MATCH(L2054,[1]Produtos!$B:$B,0)), "-")</f>
        <v>-</v>
      </c>
      <c r="Q2054" s="483" t="str">
        <f>IFERROR(INDEX([1]Produtos!$H:$H,MATCH(L2054,[1]Produtos!$B:$B,0)), "-")</f>
        <v>-</v>
      </c>
      <c r="R2054" s="483" t="str">
        <f>IFERROR(INDEX([1]Produtos!$I:$I,MATCH(L2054,[1]Produtos!$B:$B,0)), "-")</f>
        <v>-</v>
      </c>
      <c r="S2054" s="483" t="str">
        <f>IFERROR(INDEX([1]Produtos!$J:$J,MATCH(L2054,[1]Produtos!$B:$B,0)), "-")</f>
        <v>-</v>
      </c>
      <c r="T2054" s="484"/>
      <c r="U2054" s="483"/>
      <c r="V2054" s="483"/>
      <c r="W2054" s="483"/>
      <c r="X2054" s="483"/>
      <c r="Y2054" s="483"/>
      <c r="Z2054" s="483"/>
      <c r="AA2054" s="483"/>
      <c r="AB2054" s="483"/>
      <c r="AC2054" s="483"/>
      <c r="AD2054" s="483"/>
      <c r="AE2054" s="483"/>
      <c r="AF2054" s="483"/>
      <c r="AG2054" s="483"/>
      <c r="AH2054" s="483"/>
      <c r="AI2054" s="483"/>
      <c r="AJ2054" s="483"/>
      <c r="AK2054" s="483"/>
      <c r="AL2054" s="483"/>
      <c r="AM2054" s="670"/>
      <c r="AN2054" s="670"/>
      <c r="AO2054" s="711" t="str">
        <f>IF(OR(Table1[[#This Row],[Início Setup Envase]]="",Table1[[#This Row],[Final Setup Envase]]=""),"",Table1[[#This Row],[Final Setup Envase]]-Table1[[#This Row],[Início Setup Envase]])</f>
        <v/>
      </c>
      <c r="AP2054" s="670"/>
      <c r="AQ2054" s="670"/>
      <c r="AR2054" s="483"/>
      <c r="AS2054" s="483"/>
      <c r="AT2054" s="483"/>
      <c r="AU2054" s="483"/>
      <c r="AV2054" s="483"/>
      <c r="AW2054" s="483"/>
      <c r="AX2054" s="483"/>
      <c r="AY2054" s="270"/>
      <c r="AZ2054" s="270"/>
      <c r="BA2054" s="270" t="str">
        <f>IF(Table1[[#This Row],[Data de Início]]="","",YEAR(Table1[[#This Row],[Data de Início]]))</f>
        <v/>
      </c>
      <c r="BB2054" s="270" t="str">
        <f>IF(Table1[[#This Row],[Data de Início]]="","",MONTH(Table1[[#This Row],[Data de Início]]))</f>
        <v/>
      </c>
      <c r="BC2054" s="270"/>
    </row>
    <row r="2055" spans="2:55" x14ac:dyDescent="0.25">
      <c r="B2055" s="470"/>
      <c r="C2055" s="263"/>
      <c r="D2055" s="477" cm="1">
        <f t="array" ref="D2055">IFERROR(HorasUteisFabrica2Turnos(B2055,C2055), "")</f>
        <v>0</v>
      </c>
      <c r="E2055" s="697" t="str">
        <f t="shared" si="32"/>
        <v/>
      </c>
      <c r="F2055" s="266"/>
      <c r="G2055" s="698"/>
      <c r="H2055" s="266"/>
      <c r="I2055" s="268"/>
      <c r="J2055" s="268"/>
      <c r="K2055" s="268"/>
      <c r="L2055" s="269"/>
      <c r="M2055" s="510" t="str">
        <f>IFERROR(INDEX([1]Produtos!$C:$C,MATCH(L2055,[1]Produtos!$B:$B,0)), "-")</f>
        <v>-</v>
      </c>
      <c r="N2055" s="510" t="str">
        <f>IFERROR(INDEX([1]Produtos!$E:$E,MATCH(L2055,[1]Produtos!$B:$B,0)), "-")</f>
        <v>-</v>
      </c>
      <c r="O2055" s="270" t="str">
        <f>IFERROR(INDEX([1]Produtos!$F:$F,MATCH(L2055,[1]Produtos!$B:$B,0)), "-")</f>
        <v>-</v>
      </c>
      <c r="P2055" s="264" t="str">
        <f>IFERROR(INDEX([1]Produtos!$G:$G,MATCH(L2055,[1]Produtos!$B:$B,0)), "-")</f>
        <v>-</v>
      </c>
      <c r="Q2055" s="270" t="str">
        <f>IFERROR(INDEX([1]Produtos!$H:$H,MATCH(L2055,[1]Produtos!$B:$B,0)), "-")</f>
        <v>-</v>
      </c>
      <c r="R2055" s="270" t="str">
        <f>IFERROR(INDEX([1]Produtos!$I:$I,MATCH(L2055,[1]Produtos!$B:$B,0)), "-")</f>
        <v>-</v>
      </c>
      <c r="S2055" s="270" t="str">
        <f>IFERROR(INDEX([1]Produtos!$J:$J,MATCH(L2055,[1]Produtos!$B:$B,0)), "-")</f>
        <v>-</v>
      </c>
      <c r="T2055" s="475"/>
      <c r="U2055" s="270"/>
      <c r="V2055" s="270"/>
      <c r="W2055" s="270"/>
      <c r="X2055" s="270"/>
      <c r="Y2055" s="270"/>
      <c r="Z2055" s="270"/>
      <c r="AA2055" s="270"/>
      <c r="AB2055" s="270"/>
      <c r="AC2055" s="270"/>
      <c r="AD2055" s="270"/>
      <c r="AE2055" s="270"/>
      <c r="AF2055" s="270"/>
      <c r="AG2055" s="270"/>
      <c r="AH2055" s="270"/>
      <c r="AI2055" s="270"/>
      <c r="AJ2055" s="270"/>
      <c r="AK2055" s="270"/>
      <c r="AL2055" s="270"/>
      <c r="AM2055" s="663"/>
      <c r="AN2055" s="663"/>
      <c r="AO2055" s="708" t="str">
        <f>IF(OR(Table1[[#This Row],[Início Setup Envase]]="",Table1[[#This Row],[Final Setup Envase]]=""),"",Table1[[#This Row],[Final Setup Envase]]-Table1[[#This Row],[Início Setup Envase]])</f>
        <v/>
      </c>
      <c r="AP2055" s="663"/>
      <c r="AQ2055" s="663"/>
      <c r="AR2055" s="270"/>
      <c r="AS2055" s="674"/>
      <c r="AT2055" s="674"/>
      <c r="AU2055" s="270"/>
      <c r="AV2055" s="270"/>
      <c r="AW2055" s="270"/>
      <c r="AX2055" s="270"/>
      <c r="AY2055" s="270"/>
      <c r="AZ2055" s="270"/>
      <c r="BA2055" s="270" t="str">
        <f>IF(Table1[[#This Row],[Data de Início]]="","",YEAR(Table1[[#This Row],[Data de Início]]))</f>
        <v/>
      </c>
      <c r="BB2055" s="270" t="str">
        <f>IF(Table1[[#This Row],[Data de Início]]="","",MONTH(Table1[[#This Row],[Data de Início]]))</f>
        <v/>
      </c>
      <c r="BC2055" s="483"/>
    </row>
    <row r="2056" spans="2:55" x14ac:dyDescent="0.25">
      <c r="B2056" s="470"/>
      <c r="C2056" s="263"/>
      <c r="D2056" s="477" cm="1">
        <f t="array" ref="D2056">IFERROR(HorasUteisFabrica2Turnos(B2056,C2056), "")</f>
        <v>0</v>
      </c>
      <c r="E2056" s="478" t="str">
        <f t="shared" si="32"/>
        <v/>
      </c>
      <c r="F2056" s="266"/>
      <c r="G2056" s="656"/>
      <c r="H2056" s="479"/>
      <c r="I2056" s="268"/>
      <c r="J2056" s="268"/>
      <c r="K2056" s="268"/>
      <c r="L2056" s="269"/>
      <c r="M2056" s="511" t="str">
        <f>IFERROR(INDEX([1]Produtos!$C:$C,MATCH(L2056,[1]Produtos!$B:$B,0)), "-")</f>
        <v>-</v>
      </c>
      <c r="N2056" s="511" t="str">
        <f>IFERROR(INDEX([1]Produtos!$E:$E,MATCH(L2056,[1]Produtos!$B:$B,0)), "-")</f>
        <v>-</v>
      </c>
      <c r="O2056" s="483" t="str">
        <f>IFERROR(INDEX([1]Produtos!$F:$F,MATCH(L2056,[1]Produtos!$B:$B,0)), "-")</f>
        <v>-</v>
      </c>
      <c r="P2056" s="477" t="str">
        <f>IFERROR(INDEX([1]Produtos!$G:$G,MATCH(L2056,[1]Produtos!$B:$B,0)), "-")</f>
        <v>-</v>
      </c>
      <c r="Q2056" s="483" t="str">
        <f>IFERROR(INDEX([1]Produtos!$H:$H,MATCH(L2056,[1]Produtos!$B:$B,0)), "-")</f>
        <v>-</v>
      </c>
      <c r="R2056" s="483" t="str">
        <f>IFERROR(INDEX([1]Produtos!$I:$I,MATCH(L2056,[1]Produtos!$B:$B,0)), "-")</f>
        <v>-</v>
      </c>
      <c r="S2056" s="483" t="str">
        <f>IFERROR(INDEX([1]Produtos!$J:$J,MATCH(L2056,[1]Produtos!$B:$B,0)), "-")</f>
        <v>-</v>
      </c>
      <c r="T2056" s="484"/>
      <c r="U2056" s="483"/>
      <c r="V2056" s="483"/>
      <c r="W2056" s="483"/>
      <c r="X2056" s="483"/>
      <c r="Y2056" s="483"/>
      <c r="Z2056" s="483"/>
      <c r="AA2056" s="483"/>
      <c r="AB2056" s="483"/>
      <c r="AC2056" s="483"/>
      <c r="AD2056" s="483"/>
      <c r="AE2056" s="483"/>
      <c r="AF2056" s="483"/>
      <c r="AG2056" s="483"/>
      <c r="AH2056" s="483"/>
      <c r="AI2056" s="483"/>
      <c r="AJ2056" s="483"/>
      <c r="AK2056" s="483"/>
      <c r="AL2056" s="483"/>
      <c r="AM2056" s="670"/>
      <c r="AN2056" s="670"/>
      <c r="AO2056" s="711" t="str">
        <f>IF(OR(Table1[[#This Row],[Início Setup Envase]]="",Table1[[#This Row],[Final Setup Envase]]=""),"",Table1[[#This Row],[Final Setup Envase]]-Table1[[#This Row],[Início Setup Envase]])</f>
        <v/>
      </c>
      <c r="AP2056" s="670"/>
      <c r="AQ2056" s="670"/>
      <c r="AR2056" s="483"/>
      <c r="AS2056" s="483"/>
      <c r="AT2056" s="483"/>
      <c r="AU2056" s="483"/>
      <c r="AV2056" s="483"/>
      <c r="AW2056" s="483"/>
      <c r="AX2056" s="483"/>
      <c r="AY2056" s="270"/>
      <c r="AZ2056" s="270"/>
      <c r="BA2056" s="270" t="str">
        <f>IF(Table1[[#This Row],[Data de Início]]="","",YEAR(Table1[[#This Row],[Data de Início]]))</f>
        <v/>
      </c>
      <c r="BB2056" s="270" t="str">
        <f>IF(Table1[[#This Row],[Data de Início]]="","",MONTH(Table1[[#This Row],[Data de Início]]))</f>
        <v/>
      </c>
      <c r="BC2056" s="270"/>
    </row>
    <row r="2057" spans="2:55" x14ac:dyDescent="0.25">
      <c r="B2057" s="470"/>
      <c r="C2057" s="263"/>
      <c r="D2057" s="477" cm="1">
        <f t="array" ref="D2057">IFERROR(HorasUteisFabrica2Turnos(B2057,C2057), "")</f>
        <v>0</v>
      </c>
      <c r="E2057" s="697" t="str">
        <f t="shared" si="32"/>
        <v/>
      </c>
      <c r="F2057" s="266"/>
      <c r="G2057" s="698"/>
      <c r="H2057" s="266"/>
      <c r="I2057" s="268"/>
      <c r="J2057" s="268"/>
      <c r="K2057" s="268"/>
      <c r="L2057" s="269"/>
      <c r="M2057" s="510" t="str">
        <f>IFERROR(INDEX([1]Produtos!$C:$C,MATCH(L2057,[1]Produtos!$B:$B,0)), "-")</f>
        <v>-</v>
      </c>
      <c r="N2057" s="510" t="str">
        <f>IFERROR(INDEX([1]Produtos!$E:$E,MATCH(L2057,[1]Produtos!$B:$B,0)), "-")</f>
        <v>-</v>
      </c>
      <c r="O2057" s="270" t="str">
        <f>IFERROR(INDEX([1]Produtos!$F:$F,MATCH(L2057,[1]Produtos!$B:$B,0)), "-")</f>
        <v>-</v>
      </c>
      <c r="P2057" s="264" t="str">
        <f>IFERROR(INDEX([1]Produtos!$G:$G,MATCH(L2057,[1]Produtos!$B:$B,0)), "-")</f>
        <v>-</v>
      </c>
      <c r="Q2057" s="270" t="str">
        <f>IFERROR(INDEX([1]Produtos!$H:$H,MATCH(L2057,[1]Produtos!$B:$B,0)), "-")</f>
        <v>-</v>
      </c>
      <c r="R2057" s="270" t="str">
        <f>IFERROR(INDEX([1]Produtos!$I:$I,MATCH(L2057,[1]Produtos!$B:$B,0)), "-")</f>
        <v>-</v>
      </c>
      <c r="S2057" s="270" t="str">
        <f>IFERROR(INDEX([1]Produtos!$J:$J,MATCH(L2057,[1]Produtos!$B:$B,0)), "-")</f>
        <v>-</v>
      </c>
      <c r="T2057" s="475"/>
      <c r="U2057" s="270"/>
      <c r="V2057" s="270"/>
      <c r="W2057" s="270"/>
      <c r="X2057" s="270"/>
      <c r="Y2057" s="270"/>
      <c r="Z2057" s="270"/>
      <c r="AA2057" s="270"/>
      <c r="AB2057" s="270"/>
      <c r="AC2057" s="270"/>
      <c r="AD2057" s="270"/>
      <c r="AE2057" s="270"/>
      <c r="AF2057" s="270"/>
      <c r="AG2057" s="270"/>
      <c r="AH2057" s="270"/>
      <c r="AI2057" s="270"/>
      <c r="AJ2057" s="270"/>
      <c r="AK2057" s="270"/>
      <c r="AL2057" s="270"/>
      <c r="AM2057" s="663"/>
      <c r="AN2057" s="663"/>
      <c r="AO2057" s="708" t="str">
        <f>IF(OR(Table1[[#This Row],[Início Setup Envase]]="",Table1[[#This Row],[Final Setup Envase]]=""),"",Table1[[#This Row],[Final Setup Envase]]-Table1[[#This Row],[Início Setup Envase]])</f>
        <v/>
      </c>
      <c r="AP2057" s="663"/>
      <c r="AQ2057" s="663"/>
      <c r="AR2057" s="270"/>
      <c r="AS2057" s="674"/>
      <c r="AT2057" s="674"/>
      <c r="AU2057" s="270"/>
      <c r="AV2057" s="270"/>
      <c r="AW2057" s="270"/>
      <c r="AX2057" s="270"/>
      <c r="AY2057" s="270"/>
      <c r="AZ2057" s="270"/>
      <c r="BA2057" s="270" t="str">
        <f>IF(Table1[[#This Row],[Data de Início]]="","",YEAR(Table1[[#This Row],[Data de Início]]))</f>
        <v/>
      </c>
      <c r="BB2057" s="270" t="str">
        <f>IF(Table1[[#This Row],[Data de Início]]="","",MONTH(Table1[[#This Row],[Data de Início]]))</f>
        <v/>
      </c>
      <c r="BC2057" s="483"/>
    </row>
    <row r="2058" spans="2:55" x14ac:dyDescent="0.25">
      <c r="B2058" s="470"/>
      <c r="C2058" s="263"/>
      <c r="D2058" s="477" cm="1">
        <f t="array" ref="D2058">IFERROR(HorasUteisFabrica2Turnos(B2058,C2058), "")</f>
        <v>0</v>
      </c>
      <c r="E2058" s="478" t="str">
        <f t="shared" si="32"/>
        <v/>
      </c>
      <c r="F2058" s="266"/>
      <c r="G2058" s="656"/>
      <c r="H2058" s="479"/>
      <c r="I2058" s="268"/>
      <c r="J2058" s="268"/>
      <c r="K2058" s="268"/>
      <c r="L2058" s="269"/>
      <c r="M2058" s="511" t="str">
        <f>IFERROR(INDEX([1]Produtos!$C:$C,MATCH(L2058,[1]Produtos!$B:$B,0)), "-")</f>
        <v>-</v>
      </c>
      <c r="N2058" s="511" t="str">
        <f>IFERROR(INDEX([1]Produtos!$E:$E,MATCH(L2058,[1]Produtos!$B:$B,0)), "-")</f>
        <v>-</v>
      </c>
      <c r="O2058" s="483" t="str">
        <f>IFERROR(INDEX([1]Produtos!$F:$F,MATCH(L2058,[1]Produtos!$B:$B,0)), "-")</f>
        <v>-</v>
      </c>
      <c r="P2058" s="477" t="str">
        <f>IFERROR(INDEX([1]Produtos!$G:$G,MATCH(L2058,[1]Produtos!$B:$B,0)), "-")</f>
        <v>-</v>
      </c>
      <c r="Q2058" s="483" t="str">
        <f>IFERROR(INDEX([1]Produtos!$H:$H,MATCH(L2058,[1]Produtos!$B:$B,0)), "-")</f>
        <v>-</v>
      </c>
      <c r="R2058" s="483" t="str">
        <f>IFERROR(INDEX([1]Produtos!$I:$I,MATCH(L2058,[1]Produtos!$B:$B,0)), "-")</f>
        <v>-</v>
      </c>
      <c r="S2058" s="483" t="str">
        <f>IFERROR(INDEX([1]Produtos!$J:$J,MATCH(L2058,[1]Produtos!$B:$B,0)), "-")</f>
        <v>-</v>
      </c>
      <c r="T2058" s="484"/>
      <c r="U2058" s="483"/>
      <c r="V2058" s="483"/>
      <c r="W2058" s="483"/>
      <c r="X2058" s="483"/>
      <c r="Y2058" s="483"/>
      <c r="Z2058" s="483"/>
      <c r="AA2058" s="483"/>
      <c r="AB2058" s="483"/>
      <c r="AC2058" s="483"/>
      <c r="AD2058" s="483"/>
      <c r="AE2058" s="483"/>
      <c r="AF2058" s="483"/>
      <c r="AG2058" s="483"/>
      <c r="AH2058" s="483"/>
      <c r="AI2058" s="483"/>
      <c r="AJ2058" s="483"/>
      <c r="AK2058" s="483"/>
      <c r="AL2058" s="483"/>
      <c r="AM2058" s="670"/>
      <c r="AN2058" s="670"/>
      <c r="AO2058" s="711" t="str">
        <f>IF(OR(Table1[[#This Row],[Início Setup Envase]]="",Table1[[#This Row],[Final Setup Envase]]=""),"",Table1[[#This Row],[Final Setup Envase]]-Table1[[#This Row],[Início Setup Envase]])</f>
        <v/>
      </c>
      <c r="AP2058" s="670"/>
      <c r="AQ2058" s="670"/>
      <c r="AR2058" s="483"/>
      <c r="AS2058" s="483"/>
      <c r="AT2058" s="483"/>
      <c r="AU2058" s="483"/>
      <c r="AV2058" s="483"/>
      <c r="AW2058" s="483"/>
      <c r="AX2058" s="483"/>
      <c r="AY2058" s="270"/>
      <c r="AZ2058" s="270"/>
      <c r="BA2058" s="270" t="str">
        <f>IF(Table1[[#This Row],[Data de Início]]="","",YEAR(Table1[[#This Row],[Data de Início]]))</f>
        <v/>
      </c>
      <c r="BB2058" s="270" t="str">
        <f>IF(Table1[[#This Row],[Data de Início]]="","",MONTH(Table1[[#This Row],[Data de Início]]))</f>
        <v/>
      </c>
      <c r="BC2058" s="270"/>
    </row>
    <row r="2059" spans="2:55" x14ac:dyDescent="0.25">
      <c r="B2059" s="470"/>
      <c r="C2059" s="263"/>
      <c r="D2059" s="477" cm="1">
        <f t="array" ref="D2059">IFERROR(HorasUteisFabrica2Turnos(B2059,C2059), "")</f>
        <v>0</v>
      </c>
      <c r="E2059" s="697" t="str">
        <f t="shared" si="32"/>
        <v/>
      </c>
      <c r="F2059" s="266"/>
      <c r="G2059" s="698"/>
      <c r="H2059" s="266"/>
      <c r="I2059" s="268"/>
      <c r="J2059" s="268"/>
      <c r="K2059" s="268"/>
      <c r="L2059" s="269"/>
      <c r="M2059" s="510" t="str">
        <f>IFERROR(INDEX([1]Produtos!$C:$C,MATCH(L2059,[1]Produtos!$B:$B,0)), "-")</f>
        <v>-</v>
      </c>
      <c r="N2059" s="510" t="str">
        <f>IFERROR(INDEX([1]Produtos!$E:$E,MATCH(L2059,[1]Produtos!$B:$B,0)), "-")</f>
        <v>-</v>
      </c>
      <c r="O2059" s="270" t="str">
        <f>IFERROR(INDEX([1]Produtos!$F:$F,MATCH(L2059,[1]Produtos!$B:$B,0)), "-")</f>
        <v>-</v>
      </c>
      <c r="P2059" s="264" t="str">
        <f>IFERROR(INDEX([1]Produtos!$G:$G,MATCH(L2059,[1]Produtos!$B:$B,0)), "-")</f>
        <v>-</v>
      </c>
      <c r="Q2059" s="270" t="str">
        <f>IFERROR(INDEX([1]Produtos!$H:$H,MATCH(L2059,[1]Produtos!$B:$B,0)), "-")</f>
        <v>-</v>
      </c>
      <c r="R2059" s="270" t="str">
        <f>IFERROR(INDEX([1]Produtos!$I:$I,MATCH(L2059,[1]Produtos!$B:$B,0)), "-")</f>
        <v>-</v>
      </c>
      <c r="S2059" s="270" t="str">
        <f>IFERROR(INDEX([1]Produtos!$J:$J,MATCH(L2059,[1]Produtos!$B:$B,0)), "-")</f>
        <v>-</v>
      </c>
      <c r="T2059" s="475"/>
      <c r="U2059" s="270"/>
      <c r="V2059" s="270"/>
      <c r="W2059" s="270"/>
      <c r="X2059" s="270"/>
      <c r="Y2059" s="270"/>
      <c r="Z2059" s="270"/>
      <c r="AA2059" s="270"/>
      <c r="AB2059" s="270"/>
      <c r="AC2059" s="270"/>
      <c r="AD2059" s="270"/>
      <c r="AE2059" s="270"/>
      <c r="AF2059" s="270"/>
      <c r="AG2059" s="270"/>
      <c r="AH2059" s="270"/>
      <c r="AI2059" s="270"/>
      <c r="AJ2059" s="270"/>
      <c r="AK2059" s="270"/>
      <c r="AL2059" s="270"/>
      <c r="AM2059" s="663"/>
      <c r="AN2059" s="663"/>
      <c r="AO2059" s="708" t="str">
        <f>IF(OR(Table1[[#This Row],[Início Setup Envase]]="",Table1[[#This Row],[Final Setup Envase]]=""),"",Table1[[#This Row],[Final Setup Envase]]-Table1[[#This Row],[Início Setup Envase]])</f>
        <v/>
      </c>
      <c r="AP2059" s="663"/>
      <c r="AQ2059" s="663"/>
      <c r="AR2059" s="270"/>
      <c r="AS2059" s="674"/>
      <c r="AT2059" s="674"/>
      <c r="AU2059" s="270"/>
      <c r="AV2059" s="270"/>
      <c r="AW2059" s="270"/>
      <c r="AX2059" s="270"/>
      <c r="AY2059" s="270"/>
      <c r="AZ2059" s="270"/>
      <c r="BA2059" s="270" t="str">
        <f>IF(Table1[[#This Row],[Data de Início]]="","",YEAR(Table1[[#This Row],[Data de Início]]))</f>
        <v/>
      </c>
      <c r="BB2059" s="270" t="str">
        <f>IF(Table1[[#This Row],[Data de Início]]="","",MONTH(Table1[[#This Row],[Data de Início]]))</f>
        <v/>
      </c>
      <c r="BC2059" s="483"/>
    </row>
    <row r="2060" spans="2:55" x14ac:dyDescent="0.25">
      <c r="B2060" s="470"/>
      <c r="C2060" s="263"/>
      <c r="D2060" s="477" cm="1">
        <f t="array" ref="D2060">IFERROR(HorasUteisFabrica2Turnos(B2060,C2060), "")</f>
        <v>0</v>
      </c>
      <c r="E2060" s="478" t="str">
        <f t="shared" si="32"/>
        <v/>
      </c>
      <c r="F2060" s="266"/>
      <c r="G2060" s="656"/>
      <c r="H2060" s="479"/>
      <c r="I2060" s="268"/>
      <c r="J2060" s="268"/>
      <c r="K2060" s="268"/>
      <c r="L2060" s="269"/>
      <c r="M2060" s="511" t="str">
        <f>IFERROR(INDEX([1]Produtos!$C:$C,MATCH(L2060,[1]Produtos!$B:$B,0)), "-")</f>
        <v>-</v>
      </c>
      <c r="N2060" s="511" t="str">
        <f>IFERROR(INDEX([1]Produtos!$E:$E,MATCH(L2060,[1]Produtos!$B:$B,0)), "-")</f>
        <v>-</v>
      </c>
      <c r="O2060" s="483" t="str">
        <f>IFERROR(INDEX([1]Produtos!$F:$F,MATCH(L2060,[1]Produtos!$B:$B,0)), "-")</f>
        <v>-</v>
      </c>
      <c r="P2060" s="477" t="str">
        <f>IFERROR(INDEX([1]Produtos!$G:$G,MATCH(L2060,[1]Produtos!$B:$B,0)), "-")</f>
        <v>-</v>
      </c>
      <c r="Q2060" s="483" t="str">
        <f>IFERROR(INDEX([1]Produtos!$H:$H,MATCH(L2060,[1]Produtos!$B:$B,0)), "-")</f>
        <v>-</v>
      </c>
      <c r="R2060" s="483" t="str">
        <f>IFERROR(INDEX([1]Produtos!$I:$I,MATCH(L2060,[1]Produtos!$B:$B,0)), "-")</f>
        <v>-</v>
      </c>
      <c r="S2060" s="483" t="str">
        <f>IFERROR(INDEX([1]Produtos!$J:$J,MATCH(L2060,[1]Produtos!$B:$B,0)), "-")</f>
        <v>-</v>
      </c>
      <c r="T2060" s="484"/>
      <c r="U2060" s="483"/>
      <c r="V2060" s="483"/>
      <c r="W2060" s="483"/>
      <c r="X2060" s="483"/>
      <c r="Y2060" s="483"/>
      <c r="Z2060" s="483"/>
      <c r="AA2060" s="483"/>
      <c r="AB2060" s="483"/>
      <c r="AC2060" s="483"/>
      <c r="AD2060" s="483"/>
      <c r="AE2060" s="483"/>
      <c r="AF2060" s="483"/>
      <c r="AG2060" s="483"/>
      <c r="AH2060" s="483"/>
      <c r="AI2060" s="483"/>
      <c r="AJ2060" s="483"/>
      <c r="AK2060" s="483"/>
      <c r="AL2060" s="483"/>
      <c r="AM2060" s="670"/>
      <c r="AN2060" s="670"/>
      <c r="AO2060" s="711" t="str">
        <f>IF(OR(Table1[[#This Row],[Início Setup Envase]]="",Table1[[#This Row],[Final Setup Envase]]=""),"",Table1[[#This Row],[Final Setup Envase]]-Table1[[#This Row],[Início Setup Envase]])</f>
        <v/>
      </c>
      <c r="AP2060" s="670"/>
      <c r="AQ2060" s="670"/>
      <c r="AR2060" s="483"/>
      <c r="AS2060" s="483"/>
      <c r="AT2060" s="483"/>
      <c r="AU2060" s="483"/>
      <c r="AV2060" s="483"/>
      <c r="AW2060" s="483"/>
      <c r="AX2060" s="483"/>
      <c r="AY2060" s="270"/>
      <c r="AZ2060" s="270"/>
      <c r="BA2060" s="270" t="str">
        <f>IF(Table1[[#This Row],[Data de Início]]="","",YEAR(Table1[[#This Row],[Data de Início]]))</f>
        <v/>
      </c>
      <c r="BB2060" s="270" t="str">
        <f>IF(Table1[[#This Row],[Data de Início]]="","",MONTH(Table1[[#This Row],[Data de Início]]))</f>
        <v/>
      </c>
      <c r="BC2060" s="270"/>
    </row>
    <row r="2061" spans="2:55" x14ac:dyDescent="0.25">
      <c r="B2061" s="470"/>
      <c r="C2061" s="263"/>
      <c r="D2061" s="477" cm="1">
        <f t="array" ref="D2061">IFERROR(HorasUteisFabrica2Turnos(B2061,C2061), "")</f>
        <v>0</v>
      </c>
      <c r="E2061" s="697" t="str">
        <f t="shared" si="32"/>
        <v/>
      </c>
      <c r="F2061" s="266"/>
      <c r="G2061" s="698"/>
      <c r="H2061" s="266"/>
      <c r="I2061" s="268"/>
      <c r="J2061" s="268"/>
      <c r="K2061" s="268"/>
      <c r="L2061" s="269"/>
      <c r="M2061" s="510" t="str">
        <f>IFERROR(INDEX([1]Produtos!$C:$C,MATCH(L2061,[1]Produtos!$B:$B,0)), "-")</f>
        <v>-</v>
      </c>
      <c r="N2061" s="510" t="str">
        <f>IFERROR(INDEX([1]Produtos!$E:$E,MATCH(L2061,[1]Produtos!$B:$B,0)), "-")</f>
        <v>-</v>
      </c>
      <c r="O2061" s="270" t="str">
        <f>IFERROR(INDEX([1]Produtos!$F:$F,MATCH(L2061,[1]Produtos!$B:$B,0)), "-")</f>
        <v>-</v>
      </c>
      <c r="P2061" s="264" t="str">
        <f>IFERROR(INDEX([1]Produtos!$G:$G,MATCH(L2061,[1]Produtos!$B:$B,0)), "-")</f>
        <v>-</v>
      </c>
      <c r="Q2061" s="270" t="str">
        <f>IFERROR(INDEX([1]Produtos!$H:$H,MATCH(L2061,[1]Produtos!$B:$B,0)), "-")</f>
        <v>-</v>
      </c>
      <c r="R2061" s="270" t="str">
        <f>IFERROR(INDEX([1]Produtos!$I:$I,MATCH(L2061,[1]Produtos!$B:$B,0)), "-")</f>
        <v>-</v>
      </c>
      <c r="S2061" s="270" t="str">
        <f>IFERROR(INDEX([1]Produtos!$J:$J,MATCH(L2061,[1]Produtos!$B:$B,0)), "-")</f>
        <v>-</v>
      </c>
      <c r="T2061" s="475"/>
      <c r="U2061" s="270"/>
      <c r="V2061" s="270"/>
      <c r="W2061" s="270"/>
      <c r="X2061" s="270"/>
      <c r="Y2061" s="270"/>
      <c r="Z2061" s="270"/>
      <c r="AA2061" s="270"/>
      <c r="AB2061" s="270"/>
      <c r="AC2061" s="270"/>
      <c r="AD2061" s="270"/>
      <c r="AE2061" s="270"/>
      <c r="AF2061" s="270"/>
      <c r="AG2061" s="270"/>
      <c r="AH2061" s="270"/>
      <c r="AI2061" s="270"/>
      <c r="AJ2061" s="270"/>
      <c r="AK2061" s="270"/>
      <c r="AL2061" s="270"/>
      <c r="AM2061" s="663"/>
      <c r="AN2061" s="663"/>
      <c r="AO2061" s="708" t="str">
        <f>IF(OR(Table1[[#This Row],[Início Setup Envase]]="",Table1[[#This Row],[Final Setup Envase]]=""),"",Table1[[#This Row],[Final Setup Envase]]-Table1[[#This Row],[Início Setup Envase]])</f>
        <v/>
      </c>
      <c r="AP2061" s="663"/>
      <c r="AQ2061" s="663"/>
      <c r="AR2061" s="270"/>
      <c r="AS2061" s="674"/>
      <c r="AT2061" s="674"/>
      <c r="AU2061" s="270"/>
      <c r="AV2061" s="270"/>
      <c r="AW2061" s="270"/>
      <c r="AX2061" s="270"/>
      <c r="AY2061" s="270"/>
      <c r="AZ2061" s="270"/>
      <c r="BA2061" s="270" t="str">
        <f>IF(Table1[[#This Row],[Data de Início]]="","",YEAR(Table1[[#This Row],[Data de Início]]))</f>
        <v/>
      </c>
      <c r="BB2061" s="270" t="str">
        <f>IF(Table1[[#This Row],[Data de Início]]="","",MONTH(Table1[[#This Row],[Data de Início]]))</f>
        <v/>
      </c>
      <c r="BC2061" s="483"/>
    </row>
    <row r="2062" spans="2:55" x14ac:dyDescent="0.25">
      <c r="B2062" s="470"/>
      <c r="C2062" s="263"/>
      <c r="D2062" s="477" cm="1">
        <f t="array" ref="D2062">IFERROR(HorasUteisFabrica2Turnos(B2062,C2062), "")</f>
        <v>0</v>
      </c>
      <c r="E2062" s="478" t="str">
        <f t="shared" si="32"/>
        <v/>
      </c>
      <c r="F2062" s="266"/>
      <c r="G2062" s="656"/>
      <c r="H2062" s="479"/>
      <c r="I2062" s="268"/>
      <c r="J2062" s="268"/>
      <c r="K2062" s="268"/>
      <c r="L2062" s="269"/>
      <c r="M2062" s="511" t="str">
        <f>IFERROR(INDEX([1]Produtos!$C:$C,MATCH(L2062,[1]Produtos!$B:$B,0)), "-")</f>
        <v>-</v>
      </c>
      <c r="N2062" s="511" t="str">
        <f>IFERROR(INDEX([1]Produtos!$E:$E,MATCH(L2062,[1]Produtos!$B:$B,0)), "-")</f>
        <v>-</v>
      </c>
      <c r="O2062" s="483" t="str">
        <f>IFERROR(INDEX([1]Produtos!$F:$F,MATCH(L2062,[1]Produtos!$B:$B,0)), "-")</f>
        <v>-</v>
      </c>
      <c r="P2062" s="477" t="str">
        <f>IFERROR(INDEX([1]Produtos!$G:$G,MATCH(L2062,[1]Produtos!$B:$B,0)), "-")</f>
        <v>-</v>
      </c>
      <c r="Q2062" s="483" t="str">
        <f>IFERROR(INDEX([1]Produtos!$H:$H,MATCH(L2062,[1]Produtos!$B:$B,0)), "-")</f>
        <v>-</v>
      </c>
      <c r="R2062" s="483" t="str">
        <f>IFERROR(INDEX([1]Produtos!$I:$I,MATCH(L2062,[1]Produtos!$B:$B,0)), "-")</f>
        <v>-</v>
      </c>
      <c r="S2062" s="483" t="str">
        <f>IFERROR(INDEX([1]Produtos!$J:$J,MATCH(L2062,[1]Produtos!$B:$B,0)), "-")</f>
        <v>-</v>
      </c>
      <c r="T2062" s="484"/>
      <c r="U2062" s="483"/>
      <c r="V2062" s="483"/>
      <c r="W2062" s="483"/>
      <c r="X2062" s="483"/>
      <c r="Y2062" s="483"/>
      <c r="Z2062" s="483"/>
      <c r="AA2062" s="483"/>
      <c r="AB2062" s="483"/>
      <c r="AC2062" s="483"/>
      <c r="AD2062" s="483"/>
      <c r="AE2062" s="483"/>
      <c r="AF2062" s="483"/>
      <c r="AG2062" s="483"/>
      <c r="AH2062" s="483"/>
      <c r="AI2062" s="483"/>
      <c r="AJ2062" s="483"/>
      <c r="AK2062" s="483"/>
      <c r="AL2062" s="483"/>
      <c r="AM2062" s="670"/>
      <c r="AN2062" s="670"/>
      <c r="AO2062" s="711" t="str">
        <f>IF(OR(Table1[[#This Row],[Início Setup Envase]]="",Table1[[#This Row],[Final Setup Envase]]=""),"",Table1[[#This Row],[Final Setup Envase]]-Table1[[#This Row],[Início Setup Envase]])</f>
        <v/>
      </c>
      <c r="AP2062" s="670"/>
      <c r="AQ2062" s="670"/>
      <c r="AR2062" s="483"/>
      <c r="AS2062" s="483"/>
      <c r="AT2062" s="483"/>
      <c r="AU2062" s="483"/>
      <c r="AV2062" s="483"/>
      <c r="AW2062" s="483"/>
      <c r="AX2062" s="483"/>
      <c r="AY2062" s="270"/>
      <c r="AZ2062" s="270"/>
      <c r="BA2062" s="270" t="str">
        <f>IF(Table1[[#This Row],[Data de Início]]="","",YEAR(Table1[[#This Row],[Data de Início]]))</f>
        <v/>
      </c>
      <c r="BB2062" s="270" t="str">
        <f>IF(Table1[[#This Row],[Data de Início]]="","",MONTH(Table1[[#This Row],[Data de Início]]))</f>
        <v/>
      </c>
      <c r="BC2062" s="270"/>
    </row>
    <row r="2063" spans="2:55" x14ac:dyDescent="0.25">
      <c r="B2063" s="470"/>
      <c r="C2063" s="263"/>
      <c r="D2063" s="477" cm="1">
        <f t="array" ref="D2063">IFERROR(HorasUteisFabrica2Turnos(B2063,C2063), "")</f>
        <v>0</v>
      </c>
      <c r="E2063" s="697" t="str">
        <f t="shared" si="32"/>
        <v/>
      </c>
      <c r="F2063" s="266"/>
      <c r="G2063" s="698"/>
      <c r="H2063" s="266"/>
      <c r="I2063" s="268"/>
      <c r="J2063" s="268"/>
      <c r="K2063" s="268"/>
      <c r="L2063" s="269"/>
      <c r="M2063" s="510" t="str">
        <f>IFERROR(INDEX([1]Produtos!$C:$C,MATCH(L2063,[1]Produtos!$B:$B,0)), "-")</f>
        <v>-</v>
      </c>
      <c r="N2063" s="510" t="str">
        <f>IFERROR(INDEX([1]Produtos!$E:$E,MATCH(L2063,[1]Produtos!$B:$B,0)), "-")</f>
        <v>-</v>
      </c>
      <c r="O2063" s="270" t="str">
        <f>IFERROR(INDEX([1]Produtos!$F:$F,MATCH(L2063,[1]Produtos!$B:$B,0)), "-")</f>
        <v>-</v>
      </c>
      <c r="P2063" s="264" t="str">
        <f>IFERROR(INDEX([1]Produtos!$G:$G,MATCH(L2063,[1]Produtos!$B:$B,0)), "-")</f>
        <v>-</v>
      </c>
      <c r="Q2063" s="270" t="str">
        <f>IFERROR(INDEX([1]Produtos!$H:$H,MATCH(L2063,[1]Produtos!$B:$B,0)), "-")</f>
        <v>-</v>
      </c>
      <c r="R2063" s="270" t="str">
        <f>IFERROR(INDEX([1]Produtos!$I:$I,MATCH(L2063,[1]Produtos!$B:$B,0)), "-")</f>
        <v>-</v>
      </c>
      <c r="S2063" s="270" t="str">
        <f>IFERROR(INDEX([1]Produtos!$J:$J,MATCH(L2063,[1]Produtos!$B:$B,0)), "-")</f>
        <v>-</v>
      </c>
      <c r="T2063" s="475"/>
      <c r="U2063" s="270"/>
      <c r="V2063" s="270"/>
      <c r="W2063" s="270"/>
      <c r="X2063" s="270"/>
      <c r="Y2063" s="270"/>
      <c r="Z2063" s="270"/>
      <c r="AA2063" s="270"/>
      <c r="AB2063" s="270"/>
      <c r="AC2063" s="270"/>
      <c r="AD2063" s="270"/>
      <c r="AE2063" s="270"/>
      <c r="AF2063" s="270"/>
      <c r="AG2063" s="270"/>
      <c r="AH2063" s="270"/>
      <c r="AI2063" s="270"/>
      <c r="AJ2063" s="270"/>
      <c r="AK2063" s="270"/>
      <c r="AL2063" s="270"/>
      <c r="AM2063" s="663"/>
      <c r="AN2063" s="663"/>
      <c r="AO2063" s="708" t="str">
        <f>IF(OR(Table1[[#This Row],[Início Setup Envase]]="",Table1[[#This Row],[Final Setup Envase]]=""),"",Table1[[#This Row],[Final Setup Envase]]-Table1[[#This Row],[Início Setup Envase]])</f>
        <v/>
      </c>
      <c r="AP2063" s="663"/>
      <c r="AQ2063" s="663"/>
      <c r="AR2063" s="270"/>
      <c r="AS2063" s="674"/>
      <c r="AT2063" s="674"/>
      <c r="AU2063" s="270"/>
      <c r="AV2063" s="270"/>
      <c r="AW2063" s="270"/>
      <c r="AX2063" s="270"/>
      <c r="AY2063" s="270"/>
      <c r="AZ2063" s="270"/>
      <c r="BA2063" s="270" t="str">
        <f>IF(Table1[[#This Row],[Data de Início]]="","",YEAR(Table1[[#This Row],[Data de Início]]))</f>
        <v/>
      </c>
      <c r="BB2063" s="270" t="str">
        <f>IF(Table1[[#This Row],[Data de Início]]="","",MONTH(Table1[[#This Row],[Data de Início]]))</f>
        <v/>
      </c>
      <c r="BC2063" s="483"/>
    </row>
    <row r="2064" spans="2:55" x14ac:dyDescent="0.25">
      <c r="B2064" s="470"/>
      <c r="C2064" s="263"/>
      <c r="D2064" s="477" cm="1">
        <f t="array" ref="D2064">IFERROR(HorasUteisFabrica2Turnos(B2064,C2064), "")</f>
        <v>0</v>
      </c>
      <c r="E2064" s="478" t="str">
        <f t="shared" si="32"/>
        <v/>
      </c>
      <c r="F2064" s="266"/>
      <c r="G2064" s="656"/>
      <c r="H2064" s="479"/>
      <c r="I2064" s="268"/>
      <c r="J2064" s="268"/>
      <c r="K2064" s="268"/>
      <c r="L2064" s="269"/>
      <c r="M2064" s="511" t="str">
        <f>IFERROR(INDEX([1]Produtos!$C:$C,MATCH(L2064,[1]Produtos!$B:$B,0)), "-")</f>
        <v>-</v>
      </c>
      <c r="N2064" s="511" t="str">
        <f>IFERROR(INDEX([1]Produtos!$E:$E,MATCH(L2064,[1]Produtos!$B:$B,0)), "-")</f>
        <v>-</v>
      </c>
      <c r="O2064" s="483" t="str">
        <f>IFERROR(INDEX([1]Produtos!$F:$F,MATCH(L2064,[1]Produtos!$B:$B,0)), "-")</f>
        <v>-</v>
      </c>
      <c r="P2064" s="477" t="str">
        <f>IFERROR(INDEX([1]Produtos!$G:$G,MATCH(L2064,[1]Produtos!$B:$B,0)), "-")</f>
        <v>-</v>
      </c>
      <c r="Q2064" s="483" t="str">
        <f>IFERROR(INDEX([1]Produtos!$H:$H,MATCH(L2064,[1]Produtos!$B:$B,0)), "-")</f>
        <v>-</v>
      </c>
      <c r="R2064" s="483" t="str">
        <f>IFERROR(INDEX([1]Produtos!$I:$I,MATCH(L2064,[1]Produtos!$B:$B,0)), "-")</f>
        <v>-</v>
      </c>
      <c r="S2064" s="483" t="str">
        <f>IFERROR(INDEX([1]Produtos!$J:$J,MATCH(L2064,[1]Produtos!$B:$B,0)), "-")</f>
        <v>-</v>
      </c>
      <c r="T2064" s="484"/>
      <c r="U2064" s="483"/>
      <c r="V2064" s="483"/>
      <c r="W2064" s="483"/>
      <c r="X2064" s="483"/>
      <c r="Y2064" s="483"/>
      <c r="Z2064" s="483"/>
      <c r="AA2064" s="483"/>
      <c r="AB2064" s="483"/>
      <c r="AC2064" s="483"/>
      <c r="AD2064" s="483"/>
      <c r="AE2064" s="483"/>
      <c r="AF2064" s="483"/>
      <c r="AG2064" s="483"/>
      <c r="AH2064" s="483"/>
      <c r="AI2064" s="483"/>
      <c r="AJ2064" s="483"/>
      <c r="AK2064" s="483"/>
      <c r="AL2064" s="483"/>
      <c r="AM2064" s="670"/>
      <c r="AN2064" s="670"/>
      <c r="AO2064" s="711" t="str">
        <f>IF(OR(Table1[[#This Row],[Início Setup Envase]]="",Table1[[#This Row],[Final Setup Envase]]=""),"",Table1[[#This Row],[Final Setup Envase]]-Table1[[#This Row],[Início Setup Envase]])</f>
        <v/>
      </c>
      <c r="AP2064" s="670"/>
      <c r="AQ2064" s="670"/>
      <c r="AR2064" s="483"/>
      <c r="AS2064" s="483"/>
      <c r="AT2064" s="483"/>
      <c r="AU2064" s="483"/>
      <c r="AV2064" s="483"/>
      <c r="AW2064" s="483"/>
      <c r="AX2064" s="483"/>
      <c r="AY2064" s="270"/>
      <c r="AZ2064" s="270"/>
      <c r="BA2064" s="270" t="str">
        <f>IF(Table1[[#This Row],[Data de Início]]="","",YEAR(Table1[[#This Row],[Data de Início]]))</f>
        <v/>
      </c>
      <c r="BB2064" s="270" t="str">
        <f>IF(Table1[[#This Row],[Data de Início]]="","",MONTH(Table1[[#This Row],[Data de Início]]))</f>
        <v/>
      </c>
      <c r="BC2064" s="270"/>
    </row>
    <row r="2065" spans="2:55" x14ac:dyDescent="0.25">
      <c r="B2065" s="470"/>
      <c r="C2065" s="263"/>
      <c r="D2065" s="477" cm="1">
        <f t="array" ref="D2065">IFERROR(HorasUteisFabrica2Turnos(B2065,C2065), "")</f>
        <v>0</v>
      </c>
      <c r="E2065" s="697" t="str">
        <f t="shared" si="32"/>
        <v/>
      </c>
      <c r="F2065" s="266"/>
      <c r="G2065" s="698"/>
      <c r="H2065" s="266"/>
      <c r="I2065" s="268"/>
      <c r="J2065" s="268"/>
      <c r="K2065" s="268"/>
      <c r="L2065" s="269"/>
      <c r="M2065" s="510" t="str">
        <f>IFERROR(INDEX([1]Produtos!$C:$C,MATCH(L2065,[1]Produtos!$B:$B,0)), "-")</f>
        <v>-</v>
      </c>
      <c r="N2065" s="510" t="str">
        <f>IFERROR(INDEX([1]Produtos!$E:$E,MATCH(L2065,[1]Produtos!$B:$B,0)), "-")</f>
        <v>-</v>
      </c>
      <c r="O2065" s="270" t="str">
        <f>IFERROR(INDEX([1]Produtos!$F:$F,MATCH(L2065,[1]Produtos!$B:$B,0)), "-")</f>
        <v>-</v>
      </c>
      <c r="P2065" s="264" t="str">
        <f>IFERROR(INDEX([1]Produtos!$G:$G,MATCH(L2065,[1]Produtos!$B:$B,0)), "-")</f>
        <v>-</v>
      </c>
      <c r="Q2065" s="270" t="str">
        <f>IFERROR(INDEX([1]Produtos!$H:$H,MATCH(L2065,[1]Produtos!$B:$B,0)), "-")</f>
        <v>-</v>
      </c>
      <c r="R2065" s="270" t="str">
        <f>IFERROR(INDEX([1]Produtos!$I:$I,MATCH(L2065,[1]Produtos!$B:$B,0)), "-")</f>
        <v>-</v>
      </c>
      <c r="S2065" s="270" t="str">
        <f>IFERROR(INDEX([1]Produtos!$J:$J,MATCH(L2065,[1]Produtos!$B:$B,0)), "-")</f>
        <v>-</v>
      </c>
      <c r="T2065" s="475"/>
      <c r="U2065" s="270"/>
      <c r="V2065" s="270"/>
      <c r="W2065" s="270"/>
      <c r="X2065" s="270"/>
      <c r="Y2065" s="270"/>
      <c r="Z2065" s="270"/>
      <c r="AA2065" s="270"/>
      <c r="AB2065" s="270"/>
      <c r="AC2065" s="270"/>
      <c r="AD2065" s="270"/>
      <c r="AE2065" s="270"/>
      <c r="AF2065" s="270"/>
      <c r="AG2065" s="270"/>
      <c r="AH2065" s="270"/>
      <c r="AI2065" s="270"/>
      <c r="AJ2065" s="270"/>
      <c r="AK2065" s="270"/>
      <c r="AL2065" s="270"/>
      <c r="AM2065" s="663"/>
      <c r="AN2065" s="663"/>
      <c r="AO2065" s="708" t="str">
        <f>IF(OR(Table1[[#This Row],[Início Setup Envase]]="",Table1[[#This Row],[Final Setup Envase]]=""),"",Table1[[#This Row],[Final Setup Envase]]-Table1[[#This Row],[Início Setup Envase]])</f>
        <v/>
      </c>
      <c r="AP2065" s="663"/>
      <c r="AQ2065" s="663"/>
      <c r="AR2065" s="270"/>
      <c r="AS2065" s="674"/>
      <c r="AT2065" s="674"/>
      <c r="AU2065" s="270"/>
      <c r="AV2065" s="270"/>
      <c r="AW2065" s="270"/>
      <c r="AX2065" s="270"/>
      <c r="AY2065" s="270"/>
      <c r="AZ2065" s="270"/>
      <c r="BA2065" s="270" t="str">
        <f>IF(Table1[[#This Row],[Data de Início]]="","",YEAR(Table1[[#This Row],[Data de Início]]))</f>
        <v/>
      </c>
      <c r="BB2065" s="270" t="str">
        <f>IF(Table1[[#This Row],[Data de Início]]="","",MONTH(Table1[[#This Row],[Data de Início]]))</f>
        <v/>
      </c>
      <c r="BC2065" s="483"/>
    </row>
    <row r="2066" spans="2:55" x14ac:dyDescent="0.25">
      <c r="B2066" s="470"/>
      <c r="C2066" s="263"/>
      <c r="D2066" s="477" cm="1">
        <f t="array" ref="D2066">IFERROR(HorasUteisFabrica2Turnos(B2066,C2066), "")</f>
        <v>0</v>
      </c>
      <c r="E2066" s="478" t="str">
        <f t="shared" si="32"/>
        <v/>
      </c>
      <c r="F2066" s="266"/>
      <c r="G2066" s="656"/>
      <c r="H2066" s="479"/>
      <c r="I2066" s="268"/>
      <c r="J2066" s="268"/>
      <c r="K2066" s="268"/>
      <c r="L2066" s="269"/>
      <c r="M2066" s="511" t="str">
        <f>IFERROR(INDEX([1]Produtos!$C:$C,MATCH(L2066,[1]Produtos!$B:$B,0)), "-")</f>
        <v>-</v>
      </c>
      <c r="N2066" s="511" t="str">
        <f>IFERROR(INDEX([1]Produtos!$E:$E,MATCH(L2066,[1]Produtos!$B:$B,0)), "-")</f>
        <v>-</v>
      </c>
      <c r="O2066" s="483" t="str">
        <f>IFERROR(INDEX([1]Produtos!$F:$F,MATCH(L2066,[1]Produtos!$B:$B,0)), "-")</f>
        <v>-</v>
      </c>
      <c r="P2066" s="477" t="str">
        <f>IFERROR(INDEX([1]Produtos!$G:$G,MATCH(L2066,[1]Produtos!$B:$B,0)), "-")</f>
        <v>-</v>
      </c>
      <c r="Q2066" s="483" t="str">
        <f>IFERROR(INDEX([1]Produtos!$H:$H,MATCH(L2066,[1]Produtos!$B:$B,0)), "-")</f>
        <v>-</v>
      </c>
      <c r="R2066" s="483" t="str">
        <f>IFERROR(INDEX([1]Produtos!$I:$I,MATCH(L2066,[1]Produtos!$B:$B,0)), "-")</f>
        <v>-</v>
      </c>
      <c r="S2066" s="483" t="str">
        <f>IFERROR(INDEX([1]Produtos!$J:$J,MATCH(L2066,[1]Produtos!$B:$B,0)), "-")</f>
        <v>-</v>
      </c>
      <c r="T2066" s="484"/>
      <c r="U2066" s="483"/>
      <c r="V2066" s="483"/>
      <c r="W2066" s="483"/>
      <c r="X2066" s="483"/>
      <c r="Y2066" s="483"/>
      <c r="Z2066" s="483"/>
      <c r="AA2066" s="483"/>
      <c r="AB2066" s="483"/>
      <c r="AC2066" s="483"/>
      <c r="AD2066" s="483"/>
      <c r="AE2066" s="483"/>
      <c r="AF2066" s="483"/>
      <c r="AG2066" s="483"/>
      <c r="AH2066" s="483"/>
      <c r="AI2066" s="483"/>
      <c r="AJ2066" s="483"/>
      <c r="AK2066" s="483"/>
      <c r="AL2066" s="483"/>
      <c r="AM2066" s="670"/>
      <c r="AN2066" s="670"/>
      <c r="AO2066" s="711" t="str">
        <f>IF(OR(Table1[[#This Row],[Início Setup Envase]]="",Table1[[#This Row],[Final Setup Envase]]=""),"",Table1[[#This Row],[Final Setup Envase]]-Table1[[#This Row],[Início Setup Envase]])</f>
        <v/>
      </c>
      <c r="AP2066" s="670"/>
      <c r="AQ2066" s="670"/>
      <c r="AR2066" s="483"/>
      <c r="AS2066" s="483"/>
      <c r="AT2066" s="483"/>
      <c r="AU2066" s="483"/>
      <c r="AV2066" s="483"/>
      <c r="AW2066" s="483"/>
      <c r="AX2066" s="483"/>
      <c r="AY2066" s="270"/>
      <c r="AZ2066" s="270"/>
      <c r="BA2066" s="270" t="str">
        <f>IF(Table1[[#This Row],[Data de Início]]="","",YEAR(Table1[[#This Row],[Data de Início]]))</f>
        <v/>
      </c>
      <c r="BB2066" s="270" t="str">
        <f>IF(Table1[[#This Row],[Data de Início]]="","",MONTH(Table1[[#This Row],[Data de Início]]))</f>
        <v/>
      </c>
      <c r="BC2066" s="270"/>
    </row>
    <row r="2067" spans="2:55" x14ac:dyDescent="0.25">
      <c r="B2067" s="470"/>
      <c r="C2067" s="263"/>
      <c r="D2067" s="477" cm="1">
        <f t="array" ref="D2067">IFERROR(HorasUteisFabrica2Turnos(B2067,C2067), "")</f>
        <v>0</v>
      </c>
      <c r="E2067" s="697" t="str">
        <f t="shared" si="32"/>
        <v/>
      </c>
      <c r="F2067" s="266"/>
      <c r="G2067" s="698"/>
      <c r="H2067" s="266"/>
      <c r="I2067" s="268"/>
      <c r="J2067" s="268"/>
      <c r="K2067" s="268"/>
      <c r="L2067" s="269"/>
      <c r="M2067" s="510" t="str">
        <f>IFERROR(INDEX([1]Produtos!$C:$C,MATCH(L2067,[1]Produtos!$B:$B,0)), "-")</f>
        <v>-</v>
      </c>
      <c r="N2067" s="510" t="str">
        <f>IFERROR(INDEX([1]Produtos!$E:$E,MATCH(L2067,[1]Produtos!$B:$B,0)), "-")</f>
        <v>-</v>
      </c>
      <c r="O2067" s="270" t="str">
        <f>IFERROR(INDEX([1]Produtos!$F:$F,MATCH(L2067,[1]Produtos!$B:$B,0)), "-")</f>
        <v>-</v>
      </c>
      <c r="P2067" s="264" t="str">
        <f>IFERROR(INDEX([1]Produtos!$G:$G,MATCH(L2067,[1]Produtos!$B:$B,0)), "-")</f>
        <v>-</v>
      </c>
      <c r="Q2067" s="270" t="str">
        <f>IFERROR(INDEX([1]Produtos!$H:$H,MATCH(L2067,[1]Produtos!$B:$B,0)), "-")</f>
        <v>-</v>
      </c>
      <c r="R2067" s="270" t="str">
        <f>IFERROR(INDEX([1]Produtos!$I:$I,MATCH(L2067,[1]Produtos!$B:$B,0)), "-")</f>
        <v>-</v>
      </c>
      <c r="S2067" s="270" t="str">
        <f>IFERROR(INDEX([1]Produtos!$J:$J,MATCH(L2067,[1]Produtos!$B:$B,0)), "-")</f>
        <v>-</v>
      </c>
      <c r="T2067" s="475"/>
      <c r="U2067" s="270"/>
      <c r="V2067" s="270"/>
      <c r="W2067" s="270"/>
      <c r="X2067" s="270"/>
      <c r="Y2067" s="270"/>
      <c r="Z2067" s="270"/>
      <c r="AA2067" s="270"/>
      <c r="AB2067" s="270"/>
      <c r="AC2067" s="270"/>
      <c r="AD2067" s="270"/>
      <c r="AE2067" s="270"/>
      <c r="AF2067" s="270"/>
      <c r="AG2067" s="270"/>
      <c r="AH2067" s="270"/>
      <c r="AI2067" s="270"/>
      <c r="AJ2067" s="270"/>
      <c r="AK2067" s="270"/>
      <c r="AL2067" s="270"/>
      <c r="AM2067" s="663"/>
      <c r="AN2067" s="663"/>
      <c r="AO2067" s="708" t="str">
        <f>IF(OR(Table1[[#This Row],[Início Setup Envase]]="",Table1[[#This Row],[Final Setup Envase]]=""),"",Table1[[#This Row],[Final Setup Envase]]-Table1[[#This Row],[Início Setup Envase]])</f>
        <v/>
      </c>
      <c r="AP2067" s="663"/>
      <c r="AQ2067" s="663"/>
      <c r="AR2067" s="270"/>
      <c r="AS2067" s="674"/>
      <c r="AT2067" s="674"/>
      <c r="AU2067" s="270"/>
      <c r="AV2067" s="270"/>
      <c r="AW2067" s="270"/>
      <c r="AX2067" s="270"/>
      <c r="AY2067" s="270"/>
      <c r="AZ2067" s="270"/>
      <c r="BA2067" s="270" t="str">
        <f>IF(Table1[[#This Row],[Data de Início]]="","",YEAR(Table1[[#This Row],[Data de Início]]))</f>
        <v/>
      </c>
      <c r="BB2067" s="270" t="str">
        <f>IF(Table1[[#This Row],[Data de Início]]="","",MONTH(Table1[[#This Row],[Data de Início]]))</f>
        <v/>
      </c>
      <c r="BC2067" s="483"/>
    </row>
    <row r="2068" spans="2:55" x14ac:dyDescent="0.25">
      <c r="B2068" s="470"/>
      <c r="C2068" s="263"/>
      <c r="D2068" s="477" cm="1">
        <f t="array" ref="D2068">IFERROR(HorasUteisFabrica2Turnos(B2068,C2068), "")</f>
        <v>0</v>
      </c>
      <c r="E2068" s="478" t="str">
        <f t="shared" si="32"/>
        <v/>
      </c>
      <c r="F2068" s="266"/>
      <c r="G2068" s="656"/>
      <c r="H2068" s="479"/>
      <c r="I2068" s="268"/>
      <c r="J2068" s="268"/>
      <c r="K2068" s="268"/>
      <c r="L2068" s="269"/>
      <c r="M2068" s="511" t="str">
        <f>IFERROR(INDEX([1]Produtos!$C:$C,MATCH(L2068,[1]Produtos!$B:$B,0)), "-")</f>
        <v>-</v>
      </c>
      <c r="N2068" s="511" t="str">
        <f>IFERROR(INDEX([1]Produtos!$E:$E,MATCH(L2068,[1]Produtos!$B:$B,0)), "-")</f>
        <v>-</v>
      </c>
      <c r="O2068" s="483" t="str">
        <f>IFERROR(INDEX([1]Produtos!$F:$F,MATCH(L2068,[1]Produtos!$B:$B,0)), "-")</f>
        <v>-</v>
      </c>
      <c r="P2068" s="477" t="str">
        <f>IFERROR(INDEX([1]Produtos!$G:$G,MATCH(L2068,[1]Produtos!$B:$B,0)), "-")</f>
        <v>-</v>
      </c>
      <c r="Q2068" s="483" t="str">
        <f>IFERROR(INDEX([1]Produtos!$H:$H,MATCH(L2068,[1]Produtos!$B:$B,0)), "-")</f>
        <v>-</v>
      </c>
      <c r="R2068" s="483" t="str">
        <f>IFERROR(INDEX([1]Produtos!$I:$I,MATCH(L2068,[1]Produtos!$B:$B,0)), "-")</f>
        <v>-</v>
      </c>
      <c r="S2068" s="483" t="str">
        <f>IFERROR(INDEX([1]Produtos!$J:$J,MATCH(L2068,[1]Produtos!$B:$B,0)), "-")</f>
        <v>-</v>
      </c>
      <c r="T2068" s="484"/>
      <c r="U2068" s="483"/>
      <c r="V2068" s="483"/>
      <c r="W2068" s="483"/>
      <c r="X2068" s="483"/>
      <c r="Y2068" s="483"/>
      <c r="Z2068" s="483"/>
      <c r="AA2068" s="483"/>
      <c r="AB2068" s="483"/>
      <c r="AC2068" s="483"/>
      <c r="AD2068" s="483"/>
      <c r="AE2068" s="483"/>
      <c r="AF2068" s="483"/>
      <c r="AG2068" s="483"/>
      <c r="AH2068" s="483"/>
      <c r="AI2068" s="483"/>
      <c r="AJ2068" s="483"/>
      <c r="AK2068" s="483"/>
      <c r="AL2068" s="483"/>
      <c r="AM2068" s="670"/>
      <c r="AN2068" s="670"/>
      <c r="AO2068" s="711" t="str">
        <f>IF(OR(Table1[[#This Row],[Início Setup Envase]]="",Table1[[#This Row],[Final Setup Envase]]=""),"",Table1[[#This Row],[Final Setup Envase]]-Table1[[#This Row],[Início Setup Envase]])</f>
        <v/>
      </c>
      <c r="AP2068" s="670"/>
      <c r="AQ2068" s="670"/>
      <c r="AR2068" s="483"/>
      <c r="AS2068" s="483"/>
      <c r="AT2068" s="483"/>
      <c r="AU2068" s="483"/>
      <c r="AV2068" s="483"/>
      <c r="AW2068" s="483"/>
      <c r="AX2068" s="483"/>
      <c r="AY2068" s="270"/>
      <c r="AZ2068" s="270"/>
      <c r="BA2068" s="270" t="str">
        <f>IF(Table1[[#This Row],[Data de Início]]="","",YEAR(Table1[[#This Row],[Data de Início]]))</f>
        <v/>
      </c>
      <c r="BB2068" s="270" t="str">
        <f>IF(Table1[[#This Row],[Data de Início]]="","",MONTH(Table1[[#This Row],[Data de Início]]))</f>
        <v/>
      </c>
      <c r="BC2068" s="270"/>
    </row>
    <row r="2069" spans="2:55" x14ac:dyDescent="0.25">
      <c r="B2069" s="470"/>
      <c r="C2069" s="263"/>
      <c r="D2069" s="477" cm="1">
        <f t="array" ref="D2069">IFERROR(HorasUteisFabrica2Turnos(B2069,C2069), "")</f>
        <v>0</v>
      </c>
      <c r="E2069" s="697" t="str">
        <f t="shared" si="32"/>
        <v/>
      </c>
      <c r="F2069" s="266"/>
      <c r="G2069" s="698"/>
      <c r="H2069" s="266"/>
      <c r="I2069" s="268"/>
      <c r="J2069" s="268"/>
      <c r="K2069" s="268"/>
      <c r="L2069" s="269"/>
      <c r="M2069" s="510" t="str">
        <f>IFERROR(INDEX([1]Produtos!$C:$C,MATCH(L2069,[1]Produtos!$B:$B,0)), "-")</f>
        <v>-</v>
      </c>
      <c r="N2069" s="510" t="str">
        <f>IFERROR(INDEX([1]Produtos!$E:$E,MATCH(L2069,[1]Produtos!$B:$B,0)), "-")</f>
        <v>-</v>
      </c>
      <c r="O2069" s="270" t="str">
        <f>IFERROR(INDEX([1]Produtos!$F:$F,MATCH(L2069,[1]Produtos!$B:$B,0)), "-")</f>
        <v>-</v>
      </c>
      <c r="P2069" s="264" t="str">
        <f>IFERROR(INDEX([1]Produtos!$G:$G,MATCH(L2069,[1]Produtos!$B:$B,0)), "-")</f>
        <v>-</v>
      </c>
      <c r="Q2069" s="270" t="str">
        <f>IFERROR(INDEX([1]Produtos!$H:$H,MATCH(L2069,[1]Produtos!$B:$B,0)), "-")</f>
        <v>-</v>
      </c>
      <c r="R2069" s="270" t="str">
        <f>IFERROR(INDEX([1]Produtos!$I:$I,MATCH(L2069,[1]Produtos!$B:$B,0)), "-")</f>
        <v>-</v>
      </c>
      <c r="S2069" s="270" t="str">
        <f>IFERROR(INDEX([1]Produtos!$J:$J,MATCH(L2069,[1]Produtos!$B:$B,0)), "-")</f>
        <v>-</v>
      </c>
      <c r="T2069" s="475"/>
      <c r="U2069" s="270"/>
      <c r="V2069" s="270"/>
      <c r="W2069" s="270"/>
      <c r="X2069" s="270"/>
      <c r="Y2069" s="270"/>
      <c r="Z2069" s="270"/>
      <c r="AA2069" s="270"/>
      <c r="AB2069" s="270"/>
      <c r="AC2069" s="270"/>
      <c r="AD2069" s="270"/>
      <c r="AE2069" s="270"/>
      <c r="AF2069" s="270"/>
      <c r="AG2069" s="270"/>
      <c r="AH2069" s="270"/>
      <c r="AI2069" s="270"/>
      <c r="AJ2069" s="270"/>
      <c r="AK2069" s="270"/>
      <c r="AL2069" s="270"/>
      <c r="AM2069" s="663"/>
      <c r="AN2069" s="663"/>
      <c r="AO2069" s="708" t="str">
        <f>IF(OR(Table1[[#This Row],[Início Setup Envase]]="",Table1[[#This Row],[Final Setup Envase]]=""),"",Table1[[#This Row],[Final Setup Envase]]-Table1[[#This Row],[Início Setup Envase]])</f>
        <v/>
      </c>
      <c r="AP2069" s="663"/>
      <c r="AQ2069" s="663"/>
      <c r="AR2069" s="270"/>
      <c r="AS2069" s="674"/>
      <c r="AT2069" s="674"/>
      <c r="AU2069" s="270"/>
      <c r="AV2069" s="270"/>
      <c r="AW2069" s="270"/>
      <c r="AX2069" s="270"/>
      <c r="AY2069" s="270"/>
      <c r="AZ2069" s="270"/>
      <c r="BA2069" s="270" t="str">
        <f>IF(Table1[[#This Row],[Data de Início]]="","",YEAR(Table1[[#This Row],[Data de Início]]))</f>
        <v/>
      </c>
      <c r="BB2069" s="270" t="str">
        <f>IF(Table1[[#This Row],[Data de Início]]="","",MONTH(Table1[[#This Row],[Data de Início]]))</f>
        <v/>
      </c>
      <c r="BC2069" s="483"/>
    </row>
    <row r="2070" spans="2:55" x14ac:dyDescent="0.25">
      <c r="B2070" s="470"/>
      <c r="C2070" s="263"/>
      <c r="D2070" s="477" cm="1">
        <f t="array" ref="D2070">IFERROR(HorasUteisFabrica2Turnos(B2070,C2070), "")</f>
        <v>0</v>
      </c>
      <c r="E2070" s="478" t="str">
        <f t="shared" si="32"/>
        <v/>
      </c>
      <c r="F2070" s="266"/>
      <c r="G2070" s="656"/>
      <c r="H2070" s="479"/>
      <c r="I2070" s="268"/>
      <c r="J2070" s="268"/>
      <c r="K2070" s="268"/>
      <c r="L2070" s="269"/>
      <c r="M2070" s="511" t="str">
        <f>IFERROR(INDEX([1]Produtos!$C:$C,MATCH(L2070,[1]Produtos!$B:$B,0)), "-")</f>
        <v>-</v>
      </c>
      <c r="N2070" s="511" t="str">
        <f>IFERROR(INDEX([1]Produtos!$E:$E,MATCH(L2070,[1]Produtos!$B:$B,0)), "-")</f>
        <v>-</v>
      </c>
      <c r="O2070" s="483" t="str">
        <f>IFERROR(INDEX([1]Produtos!$F:$F,MATCH(L2070,[1]Produtos!$B:$B,0)), "-")</f>
        <v>-</v>
      </c>
      <c r="P2070" s="477" t="str">
        <f>IFERROR(INDEX([1]Produtos!$G:$G,MATCH(L2070,[1]Produtos!$B:$B,0)), "-")</f>
        <v>-</v>
      </c>
      <c r="Q2070" s="483" t="str">
        <f>IFERROR(INDEX([1]Produtos!$H:$H,MATCH(L2070,[1]Produtos!$B:$B,0)), "-")</f>
        <v>-</v>
      </c>
      <c r="R2070" s="483" t="str">
        <f>IFERROR(INDEX([1]Produtos!$I:$I,MATCH(L2070,[1]Produtos!$B:$B,0)), "-")</f>
        <v>-</v>
      </c>
      <c r="S2070" s="483" t="str">
        <f>IFERROR(INDEX([1]Produtos!$J:$J,MATCH(L2070,[1]Produtos!$B:$B,0)), "-")</f>
        <v>-</v>
      </c>
      <c r="T2070" s="484"/>
      <c r="U2070" s="483"/>
      <c r="V2070" s="483"/>
      <c r="W2070" s="483"/>
      <c r="X2070" s="483"/>
      <c r="Y2070" s="483"/>
      <c r="Z2070" s="483"/>
      <c r="AA2070" s="483"/>
      <c r="AB2070" s="483"/>
      <c r="AC2070" s="483"/>
      <c r="AD2070" s="483"/>
      <c r="AE2070" s="483"/>
      <c r="AF2070" s="483"/>
      <c r="AG2070" s="483"/>
      <c r="AH2070" s="483"/>
      <c r="AI2070" s="483"/>
      <c r="AJ2070" s="483"/>
      <c r="AK2070" s="483"/>
      <c r="AL2070" s="483"/>
      <c r="AM2070" s="670"/>
      <c r="AN2070" s="670"/>
      <c r="AO2070" s="711" t="str">
        <f>IF(OR(Table1[[#This Row],[Início Setup Envase]]="",Table1[[#This Row],[Final Setup Envase]]=""),"",Table1[[#This Row],[Final Setup Envase]]-Table1[[#This Row],[Início Setup Envase]])</f>
        <v/>
      </c>
      <c r="AP2070" s="670"/>
      <c r="AQ2070" s="670"/>
      <c r="AR2070" s="483"/>
      <c r="AS2070" s="483"/>
      <c r="AT2070" s="483"/>
      <c r="AU2070" s="483"/>
      <c r="AV2070" s="483"/>
      <c r="AW2070" s="483"/>
      <c r="AX2070" s="483"/>
      <c r="AY2070" s="270"/>
      <c r="AZ2070" s="270"/>
      <c r="BA2070" s="270" t="str">
        <f>IF(Table1[[#This Row],[Data de Início]]="","",YEAR(Table1[[#This Row],[Data de Início]]))</f>
        <v/>
      </c>
      <c r="BB2070" s="270" t="str">
        <f>IF(Table1[[#This Row],[Data de Início]]="","",MONTH(Table1[[#This Row],[Data de Início]]))</f>
        <v/>
      </c>
      <c r="BC2070" s="270"/>
    </row>
    <row r="2071" spans="2:55" x14ac:dyDescent="0.25">
      <c r="B2071" s="470"/>
      <c r="C2071" s="263"/>
      <c r="D2071" s="477" cm="1">
        <f t="array" ref="D2071">IFERROR(HorasUteisFabrica2Turnos(B2071,C2071), "")</f>
        <v>0</v>
      </c>
      <c r="E2071" s="697" t="str">
        <f t="shared" si="32"/>
        <v/>
      </c>
      <c r="F2071" s="266"/>
      <c r="G2071" s="698"/>
      <c r="H2071" s="266"/>
      <c r="I2071" s="268"/>
      <c r="J2071" s="268"/>
      <c r="K2071" s="268"/>
      <c r="L2071" s="269"/>
      <c r="M2071" s="510" t="str">
        <f>IFERROR(INDEX([1]Produtos!$C:$C,MATCH(L2071,[1]Produtos!$B:$B,0)), "-")</f>
        <v>-</v>
      </c>
      <c r="N2071" s="510" t="str">
        <f>IFERROR(INDEX([1]Produtos!$E:$E,MATCH(L2071,[1]Produtos!$B:$B,0)), "-")</f>
        <v>-</v>
      </c>
      <c r="O2071" s="270" t="str">
        <f>IFERROR(INDEX([1]Produtos!$F:$F,MATCH(L2071,[1]Produtos!$B:$B,0)), "-")</f>
        <v>-</v>
      </c>
      <c r="P2071" s="264" t="str">
        <f>IFERROR(INDEX([1]Produtos!$G:$G,MATCH(L2071,[1]Produtos!$B:$B,0)), "-")</f>
        <v>-</v>
      </c>
      <c r="Q2071" s="270" t="str">
        <f>IFERROR(INDEX([1]Produtos!$H:$H,MATCH(L2071,[1]Produtos!$B:$B,0)), "-")</f>
        <v>-</v>
      </c>
      <c r="R2071" s="270" t="str">
        <f>IFERROR(INDEX([1]Produtos!$I:$I,MATCH(L2071,[1]Produtos!$B:$B,0)), "-")</f>
        <v>-</v>
      </c>
      <c r="S2071" s="270" t="str">
        <f>IFERROR(INDEX([1]Produtos!$J:$J,MATCH(L2071,[1]Produtos!$B:$B,0)), "-")</f>
        <v>-</v>
      </c>
      <c r="T2071" s="475"/>
      <c r="U2071" s="270"/>
      <c r="V2071" s="270"/>
      <c r="W2071" s="270"/>
      <c r="X2071" s="270"/>
      <c r="Y2071" s="270"/>
      <c r="Z2071" s="270"/>
      <c r="AA2071" s="270"/>
      <c r="AB2071" s="270"/>
      <c r="AC2071" s="270"/>
      <c r="AD2071" s="270"/>
      <c r="AE2071" s="270"/>
      <c r="AF2071" s="270"/>
      <c r="AG2071" s="270"/>
      <c r="AH2071" s="270"/>
      <c r="AI2071" s="270"/>
      <c r="AJ2071" s="270"/>
      <c r="AK2071" s="270"/>
      <c r="AL2071" s="270"/>
      <c r="AM2071" s="663"/>
      <c r="AN2071" s="663"/>
      <c r="AO2071" s="708" t="str">
        <f>IF(OR(Table1[[#This Row],[Início Setup Envase]]="",Table1[[#This Row],[Final Setup Envase]]=""),"",Table1[[#This Row],[Final Setup Envase]]-Table1[[#This Row],[Início Setup Envase]])</f>
        <v/>
      </c>
      <c r="AP2071" s="663"/>
      <c r="AQ2071" s="663"/>
      <c r="AR2071" s="270"/>
      <c r="AS2071" s="674"/>
      <c r="AT2071" s="674"/>
      <c r="AU2071" s="270"/>
      <c r="AV2071" s="270"/>
      <c r="AW2071" s="270"/>
      <c r="AX2071" s="270"/>
      <c r="AY2071" s="270"/>
      <c r="AZ2071" s="270"/>
      <c r="BA2071" s="270" t="str">
        <f>IF(Table1[[#This Row],[Data de Início]]="","",YEAR(Table1[[#This Row],[Data de Início]]))</f>
        <v/>
      </c>
      <c r="BB2071" s="270" t="str">
        <f>IF(Table1[[#This Row],[Data de Início]]="","",MONTH(Table1[[#This Row],[Data de Início]]))</f>
        <v/>
      </c>
      <c r="BC2071" s="483"/>
    </row>
    <row r="2072" spans="2:55" x14ac:dyDescent="0.25">
      <c r="B2072" s="470"/>
      <c r="C2072" s="263"/>
      <c r="D2072" s="477" cm="1">
        <f t="array" ref="D2072">IFERROR(HorasUteisFabrica2Turnos(B2072,C2072), "")</f>
        <v>0</v>
      </c>
      <c r="E2072" s="478" t="str">
        <f t="shared" si="32"/>
        <v/>
      </c>
      <c r="F2072" s="266"/>
      <c r="G2072" s="656"/>
      <c r="H2072" s="479"/>
      <c r="I2072" s="268"/>
      <c r="J2072" s="268"/>
      <c r="K2072" s="268"/>
      <c r="L2072" s="269"/>
      <c r="M2072" s="511" t="str">
        <f>IFERROR(INDEX([1]Produtos!$C:$C,MATCH(L2072,[1]Produtos!$B:$B,0)), "-")</f>
        <v>-</v>
      </c>
      <c r="N2072" s="511" t="str">
        <f>IFERROR(INDEX([1]Produtos!$E:$E,MATCH(L2072,[1]Produtos!$B:$B,0)), "-")</f>
        <v>-</v>
      </c>
      <c r="O2072" s="483" t="str">
        <f>IFERROR(INDEX([1]Produtos!$F:$F,MATCH(L2072,[1]Produtos!$B:$B,0)), "-")</f>
        <v>-</v>
      </c>
      <c r="P2072" s="477" t="str">
        <f>IFERROR(INDEX([1]Produtos!$G:$G,MATCH(L2072,[1]Produtos!$B:$B,0)), "-")</f>
        <v>-</v>
      </c>
      <c r="Q2072" s="483" t="str">
        <f>IFERROR(INDEX([1]Produtos!$H:$H,MATCH(L2072,[1]Produtos!$B:$B,0)), "-")</f>
        <v>-</v>
      </c>
      <c r="R2072" s="483" t="str">
        <f>IFERROR(INDEX([1]Produtos!$I:$I,MATCH(L2072,[1]Produtos!$B:$B,0)), "-")</f>
        <v>-</v>
      </c>
      <c r="S2072" s="483" t="str">
        <f>IFERROR(INDEX([1]Produtos!$J:$J,MATCH(L2072,[1]Produtos!$B:$B,0)), "-")</f>
        <v>-</v>
      </c>
      <c r="T2072" s="484"/>
      <c r="U2072" s="483"/>
      <c r="V2072" s="483"/>
      <c r="W2072" s="483"/>
      <c r="X2072" s="483"/>
      <c r="Y2072" s="483"/>
      <c r="Z2072" s="483"/>
      <c r="AA2072" s="483"/>
      <c r="AB2072" s="483"/>
      <c r="AC2072" s="483"/>
      <c r="AD2072" s="483"/>
      <c r="AE2072" s="483"/>
      <c r="AF2072" s="483"/>
      <c r="AG2072" s="483"/>
      <c r="AH2072" s="483"/>
      <c r="AI2072" s="483"/>
      <c r="AJ2072" s="483"/>
      <c r="AK2072" s="483"/>
      <c r="AL2072" s="483"/>
      <c r="AM2072" s="670"/>
      <c r="AN2072" s="670"/>
      <c r="AO2072" s="711" t="str">
        <f>IF(OR(Table1[[#This Row],[Início Setup Envase]]="",Table1[[#This Row],[Final Setup Envase]]=""),"",Table1[[#This Row],[Final Setup Envase]]-Table1[[#This Row],[Início Setup Envase]])</f>
        <v/>
      </c>
      <c r="AP2072" s="670"/>
      <c r="AQ2072" s="670"/>
      <c r="AR2072" s="483"/>
      <c r="AS2072" s="483"/>
      <c r="AT2072" s="483"/>
      <c r="AU2072" s="483"/>
      <c r="AV2072" s="483"/>
      <c r="AW2072" s="483"/>
      <c r="AX2072" s="483"/>
      <c r="AY2072" s="270"/>
      <c r="AZ2072" s="270"/>
      <c r="BA2072" s="270" t="str">
        <f>IF(Table1[[#This Row],[Data de Início]]="","",YEAR(Table1[[#This Row],[Data de Início]]))</f>
        <v/>
      </c>
      <c r="BB2072" s="270" t="str">
        <f>IF(Table1[[#This Row],[Data de Início]]="","",MONTH(Table1[[#This Row],[Data de Início]]))</f>
        <v/>
      </c>
      <c r="BC2072" s="270"/>
    </row>
    <row r="2073" spans="2:55" x14ac:dyDescent="0.25">
      <c r="B2073" s="470"/>
      <c r="C2073" s="263"/>
      <c r="D2073" s="477" cm="1">
        <f t="array" ref="D2073">IFERROR(HorasUteisFabrica2Turnos(B2073,C2073), "")</f>
        <v>0</v>
      </c>
      <c r="E2073" s="697" t="str">
        <f t="shared" si="32"/>
        <v/>
      </c>
      <c r="F2073" s="266"/>
      <c r="G2073" s="698"/>
      <c r="H2073" s="266"/>
      <c r="I2073" s="268"/>
      <c r="J2073" s="268"/>
      <c r="K2073" s="268"/>
      <c r="L2073" s="269"/>
      <c r="M2073" s="510" t="str">
        <f>IFERROR(INDEX([1]Produtos!$C:$C,MATCH(L2073,[1]Produtos!$B:$B,0)), "-")</f>
        <v>-</v>
      </c>
      <c r="N2073" s="510" t="str">
        <f>IFERROR(INDEX([1]Produtos!$E:$E,MATCH(L2073,[1]Produtos!$B:$B,0)), "-")</f>
        <v>-</v>
      </c>
      <c r="O2073" s="270" t="str">
        <f>IFERROR(INDEX([1]Produtos!$F:$F,MATCH(L2073,[1]Produtos!$B:$B,0)), "-")</f>
        <v>-</v>
      </c>
      <c r="P2073" s="264" t="str">
        <f>IFERROR(INDEX([1]Produtos!$G:$G,MATCH(L2073,[1]Produtos!$B:$B,0)), "-")</f>
        <v>-</v>
      </c>
      <c r="Q2073" s="270" t="str">
        <f>IFERROR(INDEX([1]Produtos!$H:$H,MATCH(L2073,[1]Produtos!$B:$B,0)), "-")</f>
        <v>-</v>
      </c>
      <c r="R2073" s="270" t="str">
        <f>IFERROR(INDEX([1]Produtos!$I:$I,MATCH(L2073,[1]Produtos!$B:$B,0)), "-")</f>
        <v>-</v>
      </c>
      <c r="S2073" s="270" t="str">
        <f>IFERROR(INDEX([1]Produtos!$J:$J,MATCH(L2073,[1]Produtos!$B:$B,0)), "-")</f>
        <v>-</v>
      </c>
      <c r="T2073" s="475"/>
      <c r="U2073" s="270"/>
      <c r="V2073" s="270"/>
      <c r="W2073" s="270"/>
      <c r="X2073" s="270"/>
      <c r="Y2073" s="270"/>
      <c r="Z2073" s="270"/>
      <c r="AA2073" s="270"/>
      <c r="AB2073" s="270"/>
      <c r="AC2073" s="270"/>
      <c r="AD2073" s="270"/>
      <c r="AE2073" s="270"/>
      <c r="AF2073" s="270"/>
      <c r="AG2073" s="270"/>
      <c r="AH2073" s="270"/>
      <c r="AI2073" s="270"/>
      <c r="AJ2073" s="270"/>
      <c r="AK2073" s="270"/>
      <c r="AL2073" s="270"/>
      <c r="AM2073" s="663"/>
      <c r="AN2073" s="663"/>
      <c r="AO2073" s="708" t="str">
        <f>IF(OR(Table1[[#This Row],[Início Setup Envase]]="",Table1[[#This Row],[Final Setup Envase]]=""),"",Table1[[#This Row],[Final Setup Envase]]-Table1[[#This Row],[Início Setup Envase]])</f>
        <v/>
      </c>
      <c r="AP2073" s="663"/>
      <c r="AQ2073" s="663"/>
      <c r="AR2073" s="270"/>
      <c r="AS2073" s="674"/>
      <c r="AT2073" s="674"/>
      <c r="AU2073" s="270"/>
      <c r="AV2073" s="270"/>
      <c r="AW2073" s="270"/>
      <c r="AX2073" s="270"/>
      <c r="AY2073" s="270"/>
      <c r="AZ2073" s="270"/>
      <c r="BA2073" s="270" t="str">
        <f>IF(Table1[[#This Row],[Data de Início]]="","",YEAR(Table1[[#This Row],[Data de Início]]))</f>
        <v/>
      </c>
      <c r="BB2073" s="270" t="str">
        <f>IF(Table1[[#This Row],[Data de Início]]="","",MONTH(Table1[[#This Row],[Data de Início]]))</f>
        <v/>
      </c>
      <c r="BC2073" s="483"/>
    </row>
    <row r="2074" spans="2:55" x14ac:dyDescent="0.25">
      <c r="B2074" s="470"/>
      <c r="C2074" s="263"/>
      <c r="D2074" s="477" cm="1">
        <f t="array" ref="D2074">IFERROR(HorasUteisFabrica2Turnos(B2074,C2074), "")</f>
        <v>0</v>
      </c>
      <c r="E2074" s="478" t="str">
        <f t="shared" si="32"/>
        <v/>
      </c>
      <c r="F2074" s="266"/>
      <c r="G2074" s="656"/>
      <c r="H2074" s="479"/>
      <c r="I2074" s="268"/>
      <c r="J2074" s="268"/>
      <c r="K2074" s="268"/>
      <c r="L2074" s="269"/>
      <c r="M2074" s="511" t="str">
        <f>IFERROR(INDEX([1]Produtos!$C:$C,MATCH(L2074,[1]Produtos!$B:$B,0)), "-")</f>
        <v>-</v>
      </c>
      <c r="N2074" s="511" t="str">
        <f>IFERROR(INDEX([1]Produtos!$E:$E,MATCH(L2074,[1]Produtos!$B:$B,0)), "-")</f>
        <v>-</v>
      </c>
      <c r="O2074" s="483" t="str">
        <f>IFERROR(INDEX([1]Produtos!$F:$F,MATCH(L2074,[1]Produtos!$B:$B,0)), "-")</f>
        <v>-</v>
      </c>
      <c r="P2074" s="477" t="str">
        <f>IFERROR(INDEX([1]Produtos!$G:$G,MATCH(L2074,[1]Produtos!$B:$B,0)), "-")</f>
        <v>-</v>
      </c>
      <c r="Q2074" s="483" t="str">
        <f>IFERROR(INDEX([1]Produtos!$H:$H,MATCH(L2074,[1]Produtos!$B:$B,0)), "-")</f>
        <v>-</v>
      </c>
      <c r="R2074" s="483" t="str">
        <f>IFERROR(INDEX([1]Produtos!$I:$I,MATCH(L2074,[1]Produtos!$B:$B,0)), "-")</f>
        <v>-</v>
      </c>
      <c r="S2074" s="483" t="str">
        <f>IFERROR(INDEX([1]Produtos!$J:$J,MATCH(L2074,[1]Produtos!$B:$B,0)), "-")</f>
        <v>-</v>
      </c>
      <c r="T2074" s="484"/>
      <c r="U2074" s="483"/>
      <c r="V2074" s="483"/>
      <c r="W2074" s="483"/>
      <c r="X2074" s="483"/>
      <c r="Y2074" s="483"/>
      <c r="Z2074" s="483"/>
      <c r="AA2074" s="483"/>
      <c r="AB2074" s="483"/>
      <c r="AC2074" s="483"/>
      <c r="AD2074" s="483"/>
      <c r="AE2074" s="483"/>
      <c r="AF2074" s="483"/>
      <c r="AG2074" s="483"/>
      <c r="AH2074" s="483"/>
      <c r="AI2074" s="483"/>
      <c r="AJ2074" s="483"/>
      <c r="AK2074" s="483"/>
      <c r="AL2074" s="483"/>
      <c r="AM2074" s="670"/>
      <c r="AN2074" s="670"/>
      <c r="AO2074" s="711" t="str">
        <f>IF(OR(Table1[[#This Row],[Início Setup Envase]]="",Table1[[#This Row],[Final Setup Envase]]=""),"",Table1[[#This Row],[Final Setup Envase]]-Table1[[#This Row],[Início Setup Envase]])</f>
        <v/>
      </c>
      <c r="AP2074" s="670"/>
      <c r="AQ2074" s="670"/>
      <c r="AR2074" s="483"/>
      <c r="AS2074" s="483"/>
      <c r="AT2074" s="483"/>
      <c r="AU2074" s="483"/>
      <c r="AV2074" s="483"/>
      <c r="AW2074" s="483"/>
      <c r="AX2074" s="483"/>
      <c r="AY2074" s="270"/>
      <c r="AZ2074" s="270"/>
      <c r="BA2074" s="270" t="str">
        <f>IF(Table1[[#This Row],[Data de Início]]="","",YEAR(Table1[[#This Row],[Data de Início]]))</f>
        <v/>
      </c>
      <c r="BB2074" s="270" t="str">
        <f>IF(Table1[[#This Row],[Data de Início]]="","",MONTH(Table1[[#This Row],[Data de Início]]))</f>
        <v/>
      </c>
      <c r="BC2074" s="270"/>
    </row>
    <row r="2075" spans="2:55" x14ac:dyDescent="0.25">
      <c r="B2075" s="470"/>
      <c r="C2075" s="263"/>
      <c r="D2075" s="477" cm="1">
        <f t="array" ref="D2075">IFERROR(HorasUteisFabrica2Turnos(B2075,C2075), "")</f>
        <v>0</v>
      </c>
      <c r="E2075" s="697" t="str">
        <f t="shared" si="32"/>
        <v/>
      </c>
      <c r="F2075" s="266"/>
      <c r="G2075" s="698"/>
      <c r="H2075" s="266"/>
      <c r="I2075" s="268"/>
      <c r="J2075" s="268"/>
      <c r="K2075" s="268"/>
      <c r="L2075" s="269"/>
      <c r="M2075" s="510" t="str">
        <f>IFERROR(INDEX([1]Produtos!$C:$C,MATCH(L2075,[1]Produtos!$B:$B,0)), "-")</f>
        <v>-</v>
      </c>
      <c r="N2075" s="510" t="str">
        <f>IFERROR(INDEX([1]Produtos!$E:$E,MATCH(L2075,[1]Produtos!$B:$B,0)), "-")</f>
        <v>-</v>
      </c>
      <c r="O2075" s="270" t="str">
        <f>IFERROR(INDEX([1]Produtos!$F:$F,MATCH(L2075,[1]Produtos!$B:$B,0)), "-")</f>
        <v>-</v>
      </c>
      <c r="P2075" s="264" t="str">
        <f>IFERROR(INDEX([1]Produtos!$G:$G,MATCH(L2075,[1]Produtos!$B:$B,0)), "-")</f>
        <v>-</v>
      </c>
      <c r="Q2075" s="270" t="str">
        <f>IFERROR(INDEX([1]Produtos!$H:$H,MATCH(L2075,[1]Produtos!$B:$B,0)), "-")</f>
        <v>-</v>
      </c>
      <c r="R2075" s="270" t="str">
        <f>IFERROR(INDEX([1]Produtos!$I:$I,MATCH(L2075,[1]Produtos!$B:$B,0)), "-")</f>
        <v>-</v>
      </c>
      <c r="S2075" s="270" t="str">
        <f>IFERROR(INDEX([1]Produtos!$J:$J,MATCH(L2075,[1]Produtos!$B:$B,0)), "-")</f>
        <v>-</v>
      </c>
      <c r="T2075" s="475"/>
      <c r="U2075" s="270"/>
      <c r="V2075" s="270"/>
      <c r="W2075" s="270"/>
      <c r="X2075" s="270"/>
      <c r="Y2075" s="270"/>
      <c r="Z2075" s="270"/>
      <c r="AA2075" s="270"/>
      <c r="AB2075" s="270"/>
      <c r="AC2075" s="270"/>
      <c r="AD2075" s="270"/>
      <c r="AE2075" s="270"/>
      <c r="AF2075" s="270"/>
      <c r="AG2075" s="270"/>
      <c r="AH2075" s="270"/>
      <c r="AI2075" s="270"/>
      <c r="AJ2075" s="270"/>
      <c r="AK2075" s="270"/>
      <c r="AL2075" s="270"/>
      <c r="AM2075" s="663"/>
      <c r="AN2075" s="663"/>
      <c r="AO2075" s="708" t="str">
        <f>IF(OR(Table1[[#This Row],[Início Setup Envase]]="",Table1[[#This Row],[Final Setup Envase]]=""),"",Table1[[#This Row],[Final Setup Envase]]-Table1[[#This Row],[Início Setup Envase]])</f>
        <v/>
      </c>
      <c r="AP2075" s="663"/>
      <c r="AQ2075" s="663"/>
      <c r="AR2075" s="270"/>
      <c r="AS2075" s="674"/>
      <c r="AT2075" s="674"/>
      <c r="AU2075" s="270"/>
      <c r="AV2075" s="270"/>
      <c r="AW2075" s="270"/>
      <c r="AX2075" s="270"/>
      <c r="AY2075" s="270"/>
      <c r="AZ2075" s="270"/>
      <c r="BA2075" s="270" t="str">
        <f>IF(Table1[[#This Row],[Data de Início]]="","",YEAR(Table1[[#This Row],[Data de Início]]))</f>
        <v/>
      </c>
      <c r="BB2075" s="270" t="str">
        <f>IF(Table1[[#This Row],[Data de Início]]="","",MONTH(Table1[[#This Row],[Data de Início]]))</f>
        <v/>
      </c>
      <c r="BC2075" s="483"/>
    </row>
    <row r="2076" spans="2:55" x14ac:dyDescent="0.25">
      <c r="B2076" s="470"/>
      <c r="C2076" s="263"/>
      <c r="D2076" s="477" cm="1">
        <f t="array" ref="D2076">IFERROR(HorasUteisFabrica2Turnos(B2076,C2076), "")</f>
        <v>0</v>
      </c>
      <c r="E2076" s="478" t="str">
        <f t="shared" si="32"/>
        <v/>
      </c>
      <c r="F2076" s="266"/>
      <c r="G2076" s="656"/>
      <c r="H2076" s="479"/>
      <c r="I2076" s="268"/>
      <c r="J2076" s="268"/>
      <c r="K2076" s="268"/>
      <c r="L2076" s="269"/>
      <c r="M2076" s="511" t="str">
        <f>IFERROR(INDEX([1]Produtos!$C:$C,MATCH(L2076,[1]Produtos!$B:$B,0)), "-")</f>
        <v>-</v>
      </c>
      <c r="N2076" s="511" t="str">
        <f>IFERROR(INDEX([1]Produtos!$E:$E,MATCH(L2076,[1]Produtos!$B:$B,0)), "-")</f>
        <v>-</v>
      </c>
      <c r="O2076" s="483" t="str">
        <f>IFERROR(INDEX([1]Produtos!$F:$F,MATCH(L2076,[1]Produtos!$B:$B,0)), "-")</f>
        <v>-</v>
      </c>
      <c r="P2076" s="477" t="str">
        <f>IFERROR(INDEX([1]Produtos!$G:$G,MATCH(L2076,[1]Produtos!$B:$B,0)), "-")</f>
        <v>-</v>
      </c>
      <c r="Q2076" s="483" t="str">
        <f>IFERROR(INDEX([1]Produtos!$H:$H,MATCH(L2076,[1]Produtos!$B:$B,0)), "-")</f>
        <v>-</v>
      </c>
      <c r="R2076" s="483" t="str">
        <f>IFERROR(INDEX([1]Produtos!$I:$I,MATCH(L2076,[1]Produtos!$B:$B,0)), "-")</f>
        <v>-</v>
      </c>
      <c r="S2076" s="483" t="str">
        <f>IFERROR(INDEX([1]Produtos!$J:$J,MATCH(L2076,[1]Produtos!$B:$B,0)), "-")</f>
        <v>-</v>
      </c>
      <c r="T2076" s="484"/>
      <c r="U2076" s="483"/>
      <c r="V2076" s="483"/>
      <c r="W2076" s="483"/>
      <c r="X2076" s="483"/>
      <c r="Y2076" s="483"/>
      <c r="Z2076" s="483"/>
      <c r="AA2076" s="483"/>
      <c r="AB2076" s="483"/>
      <c r="AC2076" s="483"/>
      <c r="AD2076" s="483"/>
      <c r="AE2076" s="483"/>
      <c r="AF2076" s="483"/>
      <c r="AG2076" s="483"/>
      <c r="AH2076" s="483"/>
      <c r="AI2076" s="483"/>
      <c r="AJ2076" s="483"/>
      <c r="AK2076" s="483"/>
      <c r="AL2076" s="483"/>
      <c r="AM2076" s="670"/>
      <c r="AN2076" s="670"/>
      <c r="AO2076" s="711" t="str">
        <f>IF(OR(Table1[[#This Row],[Início Setup Envase]]="",Table1[[#This Row],[Final Setup Envase]]=""),"",Table1[[#This Row],[Final Setup Envase]]-Table1[[#This Row],[Início Setup Envase]])</f>
        <v/>
      </c>
      <c r="AP2076" s="670"/>
      <c r="AQ2076" s="670"/>
      <c r="AR2076" s="483"/>
      <c r="AS2076" s="483"/>
      <c r="AT2076" s="483"/>
      <c r="AU2076" s="483"/>
      <c r="AV2076" s="483"/>
      <c r="AW2076" s="483"/>
      <c r="AX2076" s="483"/>
      <c r="AY2076" s="270"/>
      <c r="AZ2076" s="270"/>
      <c r="BA2076" s="270" t="str">
        <f>IF(Table1[[#This Row],[Data de Início]]="","",YEAR(Table1[[#This Row],[Data de Início]]))</f>
        <v/>
      </c>
      <c r="BB2076" s="270" t="str">
        <f>IF(Table1[[#This Row],[Data de Início]]="","",MONTH(Table1[[#This Row],[Data de Início]]))</f>
        <v/>
      </c>
      <c r="BC2076" s="270"/>
    </row>
    <row r="2077" spans="2:55" x14ac:dyDescent="0.25">
      <c r="B2077" s="470"/>
      <c r="C2077" s="263"/>
      <c r="D2077" s="477" cm="1">
        <f t="array" ref="D2077">IFERROR(HorasUteisFabrica2Turnos(B2077,C2077), "")</f>
        <v>0</v>
      </c>
      <c r="E2077" s="697" t="str">
        <f t="shared" si="32"/>
        <v/>
      </c>
      <c r="F2077" s="266"/>
      <c r="G2077" s="698"/>
      <c r="H2077" s="266"/>
      <c r="I2077" s="268"/>
      <c r="J2077" s="268"/>
      <c r="K2077" s="268"/>
      <c r="L2077" s="269"/>
      <c r="M2077" s="510" t="str">
        <f>IFERROR(INDEX([1]Produtos!$C:$C,MATCH(L2077,[1]Produtos!$B:$B,0)), "-")</f>
        <v>-</v>
      </c>
      <c r="N2077" s="510" t="str">
        <f>IFERROR(INDEX([1]Produtos!$E:$E,MATCH(L2077,[1]Produtos!$B:$B,0)), "-")</f>
        <v>-</v>
      </c>
      <c r="O2077" s="270" t="str">
        <f>IFERROR(INDEX([1]Produtos!$F:$F,MATCH(L2077,[1]Produtos!$B:$B,0)), "-")</f>
        <v>-</v>
      </c>
      <c r="P2077" s="264" t="str">
        <f>IFERROR(INDEX([1]Produtos!$G:$G,MATCH(L2077,[1]Produtos!$B:$B,0)), "-")</f>
        <v>-</v>
      </c>
      <c r="Q2077" s="270" t="str">
        <f>IFERROR(INDEX([1]Produtos!$H:$H,MATCH(L2077,[1]Produtos!$B:$B,0)), "-")</f>
        <v>-</v>
      </c>
      <c r="R2077" s="270" t="str">
        <f>IFERROR(INDEX([1]Produtos!$I:$I,MATCH(L2077,[1]Produtos!$B:$B,0)), "-")</f>
        <v>-</v>
      </c>
      <c r="S2077" s="270" t="str">
        <f>IFERROR(INDEX([1]Produtos!$J:$J,MATCH(L2077,[1]Produtos!$B:$B,0)), "-")</f>
        <v>-</v>
      </c>
      <c r="T2077" s="475"/>
      <c r="U2077" s="270"/>
      <c r="V2077" s="270"/>
      <c r="W2077" s="270"/>
      <c r="X2077" s="270"/>
      <c r="Y2077" s="270"/>
      <c r="Z2077" s="270"/>
      <c r="AA2077" s="270"/>
      <c r="AB2077" s="270"/>
      <c r="AC2077" s="270"/>
      <c r="AD2077" s="270"/>
      <c r="AE2077" s="270"/>
      <c r="AF2077" s="270"/>
      <c r="AG2077" s="270"/>
      <c r="AH2077" s="270"/>
      <c r="AI2077" s="270"/>
      <c r="AJ2077" s="270"/>
      <c r="AK2077" s="270"/>
      <c r="AL2077" s="270"/>
      <c r="AM2077" s="663"/>
      <c r="AN2077" s="663"/>
      <c r="AO2077" s="708" t="str">
        <f>IF(OR(Table1[[#This Row],[Início Setup Envase]]="",Table1[[#This Row],[Final Setup Envase]]=""),"",Table1[[#This Row],[Final Setup Envase]]-Table1[[#This Row],[Início Setup Envase]])</f>
        <v/>
      </c>
      <c r="AP2077" s="663"/>
      <c r="AQ2077" s="663"/>
      <c r="AR2077" s="270"/>
      <c r="AS2077" s="674"/>
      <c r="AT2077" s="674"/>
      <c r="AU2077" s="270"/>
      <c r="AV2077" s="270"/>
      <c r="AW2077" s="270"/>
      <c r="AX2077" s="270"/>
      <c r="AY2077" s="270"/>
      <c r="AZ2077" s="270"/>
      <c r="BA2077" s="270" t="str">
        <f>IF(Table1[[#This Row],[Data de Início]]="","",YEAR(Table1[[#This Row],[Data de Início]]))</f>
        <v/>
      </c>
      <c r="BB2077" s="270" t="str">
        <f>IF(Table1[[#This Row],[Data de Início]]="","",MONTH(Table1[[#This Row],[Data de Início]]))</f>
        <v/>
      </c>
      <c r="BC2077" s="483"/>
    </row>
    <row r="2078" spans="2:55" x14ac:dyDescent="0.25">
      <c r="B2078" s="470"/>
      <c r="C2078" s="263"/>
      <c r="D2078" s="477" cm="1">
        <f t="array" ref="D2078">IFERROR(HorasUteisFabrica2Turnos(B2078,C2078), "")</f>
        <v>0</v>
      </c>
      <c r="E2078" s="478" t="str">
        <f t="shared" si="32"/>
        <v/>
      </c>
      <c r="F2078" s="266"/>
      <c r="G2078" s="656"/>
      <c r="H2078" s="479"/>
      <c r="I2078" s="268"/>
      <c r="J2078" s="268"/>
      <c r="K2078" s="268"/>
      <c r="L2078" s="269"/>
      <c r="M2078" s="511" t="str">
        <f>IFERROR(INDEX([1]Produtos!$C:$C,MATCH(L2078,[1]Produtos!$B:$B,0)), "-")</f>
        <v>-</v>
      </c>
      <c r="N2078" s="511" t="str">
        <f>IFERROR(INDEX([1]Produtos!$E:$E,MATCH(L2078,[1]Produtos!$B:$B,0)), "-")</f>
        <v>-</v>
      </c>
      <c r="O2078" s="483" t="str">
        <f>IFERROR(INDEX([1]Produtos!$F:$F,MATCH(L2078,[1]Produtos!$B:$B,0)), "-")</f>
        <v>-</v>
      </c>
      <c r="P2078" s="477" t="str">
        <f>IFERROR(INDEX([1]Produtos!$G:$G,MATCH(L2078,[1]Produtos!$B:$B,0)), "-")</f>
        <v>-</v>
      </c>
      <c r="Q2078" s="483" t="str">
        <f>IFERROR(INDEX([1]Produtos!$H:$H,MATCH(L2078,[1]Produtos!$B:$B,0)), "-")</f>
        <v>-</v>
      </c>
      <c r="R2078" s="483" t="str">
        <f>IFERROR(INDEX([1]Produtos!$I:$I,MATCH(L2078,[1]Produtos!$B:$B,0)), "-")</f>
        <v>-</v>
      </c>
      <c r="S2078" s="483" t="str">
        <f>IFERROR(INDEX([1]Produtos!$J:$J,MATCH(L2078,[1]Produtos!$B:$B,0)), "-")</f>
        <v>-</v>
      </c>
      <c r="T2078" s="484"/>
      <c r="U2078" s="483"/>
      <c r="V2078" s="483"/>
      <c r="W2078" s="483"/>
      <c r="X2078" s="483"/>
      <c r="Y2078" s="483"/>
      <c r="Z2078" s="483"/>
      <c r="AA2078" s="483"/>
      <c r="AB2078" s="483"/>
      <c r="AC2078" s="483"/>
      <c r="AD2078" s="483"/>
      <c r="AE2078" s="483"/>
      <c r="AF2078" s="483"/>
      <c r="AG2078" s="483"/>
      <c r="AH2078" s="483"/>
      <c r="AI2078" s="483"/>
      <c r="AJ2078" s="483"/>
      <c r="AK2078" s="483"/>
      <c r="AL2078" s="483"/>
      <c r="AM2078" s="670"/>
      <c r="AN2078" s="670"/>
      <c r="AO2078" s="711" t="str">
        <f>IF(OR(Table1[[#This Row],[Início Setup Envase]]="",Table1[[#This Row],[Final Setup Envase]]=""),"",Table1[[#This Row],[Final Setup Envase]]-Table1[[#This Row],[Início Setup Envase]])</f>
        <v/>
      </c>
      <c r="AP2078" s="670"/>
      <c r="AQ2078" s="670"/>
      <c r="AR2078" s="483"/>
      <c r="AS2078" s="483"/>
      <c r="AT2078" s="483"/>
      <c r="AU2078" s="483"/>
      <c r="AV2078" s="483"/>
      <c r="AW2078" s="483"/>
      <c r="AX2078" s="483"/>
      <c r="AY2078" s="270"/>
      <c r="AZ2078" s="270"/>
      <c r="BA2078" s="270" t="str">
        <f>IF(Table1[[#This Row],[Data de Início]]="","",YEAR(Table1[[#This Row],[Data de Início]]))</f>
        <v/>
      </c>
      <c r="BB2078" s="270" t="str">
        <f>IF(Table1[[#This Row],[Data de Início]]="","",MONTH(Table1[[#This Row],[Data de Início]]))</f>
        <v/>
      </c>
      <c r="BC2078" s="270"/>
    </row>
    <row r="2079" spans="2:55" x14ac:dyDescent="0.25">
      <c r="B2079" s="470"/>
      <c r="C2079" s="263"/>
      <c r="D2079" s="477" cm="1">
        <f t="array" ref="D2079">IFERROR(HorasUteisFabrica2Turnos(B2079,C2079), "")</f>
        <v>0</v>
      </c>
      <c r="E2079" s="697" t="str">
        <f t="shared" si="32"/>
        <v/>
      </c>
      <c r="F2079" s="266"/>
      <c r="G2079" s="698"/>
      <c r="H2079" s="266"/>
      <c r="I2079" s="268"/>
      <c r="J2079" s="268"/>
      <c r="K2079" s="268"/>
      <c r="L2079" s="269"/>
      <c r="M2079" s="510" t="str">
        <f>IFERROR(INDEX([1]Produtos!$C:$C,MATCH(L2079,[1]Produtos!$B:$B,0)), "-")</f>
        <v>-</v>
      </c>
      <c r="N2079" s="510" t="str">
        <f>IFERROR(INDEX([1]Produtos!$E:$E,MATCH(L2079,[1]Produtos!$B:$B,0)), "-")</f>
        <v>-</v>
      </c>
      <c r="O2079" s="270" t="str">
        <f>IFERROR(INDEX([1]Produtos!$F:$F,MATCH(L2079,[1]Produtos!$B:$B,0)), "-")</f>
        <v>-</v>
      </c>
      <c r="P2079" s="264" t="str">
        <f>IFERROR(INDEX([1]Produtos!$G:$G,MATCH(L2079,[1]Produtos!$B:$B,0)), "-")</f>
        <v>-</v>
      </c>
      <c r="Q2079" s="270" t="str">
        <f>IFERROR(INDEX([1]Produtos!$H:$H,MATCH(L2079,[1]Produtos!$B:$B,0)), "-")</f>
        <v>-</v>
      </c>
      <c r="R2079" s="270" t="str">
        <f>IFERROR(INDEX([1]Produtos!$I:$I,MATCH(L2079,[1]Produtos!$B:$B,0)), "-")</f>
        <v>-</v>
      </c>
      <c r="S2079" s="270" t="str">
        <f>IFERROR(INDEX([1]Produtos!$J:$J,MATCH(L2079,[1]Produtos!$B:$B,0)), "-")</f>
        <v>-</v>
      </c>
      <c r="T2079" s="475"/>
      <c r="U2079" s="270"/>
      <c r="V2079" s="270"/>
      <c r="W2079" s="270"/>
      <c r="X2079" s="270"/>
      <c r="Y2079" s="270"/>
      <c r="Z2079" s="270"/>
      <c r="AA2079" s="270"/>
      <c r="AB2079" s="270"/>
      <c r="AC2079" s="270"/>
      <c r="AD2079" s="270"/>
      <c r="AE2079" s="270"/>
      <c r="AF2079" s="270"/>
      <c r="AG2079" s="270"/>
      <c r="AH2079" s="270"/>
      <c r="AI2079" s="270"/>
      <c r="AJ2079" s="270"/>
      <c r="AK2079" s="270"/>
      <c r="AL2079" s="270"/>
      <c r="AM2079" s="663"/>
      <c r="AN2079" s="663"/>
      <c r="AO2079" s="708" t="str">
        <f>IF(OR(Table1[[#This Row],[Início Setup Envase]]="",Table1[[#This Row],[Final Setup Envase]]=""),"",Table1[[#This Row],[Final Setup Envase]]-Table1[[#This Row],[Início Setup Envase]])</f>
        <v/>
      </c>
      <c r="AP2079" s="663"/>
      <c r="AQ2079" s="663"/>
      <c r="AR2079" s="270"/>
      <c r="AS2079" s="674"/>
      <c r="AT2079" s="674"/>
      <c r="AU2079" s="270"/>
      <c r="AV2079" s="270"/>
      <c r="AW2079" s="270"/>
      <c r="AX2079" s="270"/>
      <c r="AY2079" s="270"/>
      <c r="AZ2079" s="270"/>
      <c r="BA2079" s="270" t="str">
        <f>IF(Table1[[#This Row],[Data de Início]]="","",YEAR(Table1[[#This Row],[Data de Início]]))</f>
        <v/>
      </c>
      <c r="BB2079" s="270" t="str">
        <f>IF(Table1[[#This Row],[Data de Início]]="","",MONTH(Table1[[#This Row],[Data de Início]]))</f>
        <v/>
      </c>
      <c r="BC2079" s="483"/>
    </row>
    <row r="2080" spans="2:55" x14ac:dyDescent="0.25">
      <c r="B2080" s="470"/>
      <c r="C2080" s="263"/>
      <c r="D2080" s="477" cm="1">
        <f t="array" ref="D2080">IFERROR(HorasUteisFabrica2Turnos(B2080,C2080), "")</f>
        <v>0</v>
      </c>
      <c r="E2080" s="478" t="str">
        <f t="shared" si="32"/>
        <v/>
      </c>
      <c r="F2080" s="266"/>
      <c r="G2080" s="656"/>
      <c r="H2080" s="479"/>
      <c r="I2080" s="268"/>
      <c r="J2080" s="268"/>
      <c r="K2080" s="268"/>
      <c r="L2080" s="269"/>
      <c r="M2080" s="511" t="str">
        <f>IFERROR(INDEX([1]Produtos!$C:$C,MATCH(L2080,[1]Produtos!$B:$B,0)), "-")</f>
        <v>-</v>
      </c>
      <c r="N2080" s="511" t="str">
        <f>IFERROR(INDEX([1]Produtos!$E:$E,MATCH(L2080,[1]Produtos!$B:$B,0)), "-")</f>
        <v>-</v>
      </c>
      <c r="O2080" s="483" t="str">
        <f>IFERROR(INDEX([1]Produtos!$F:$F,MATCH(L2080,[1]Produtos!$B:$B,0)), "-")</f>
        <v>-</v>
      </c>
      <c r="P2080" s="477" t="str">
        <f>IFERROR(INDEX([1]Produtos!$G:$G,MATCH(L2080,[1]Produtos!$B:$B,0)), "-")</f>
        <v>-</v>
      </c>
      <c r="Q2080" s="483" t="str">
        <f>IFERROR(INDEX([1]Produtos!$H:$H,MATCH(L2080,[1]Produtos!$B:$B,0)), "-")</f>
        <v>-</v>
      </c>
      <c r="R2080" s="483" t="str">
        <f>IFERROR(INDEX([1]Produtos!$I:$I,MATCH(L2080,[1]Produtos!$B:$B,0)), "-")</f>
        <v>-</v>
      </c>
      <c r="S2080" s="483" t="str">
        <f>IFERROR(INDEX([1]Produtos!$J:$J,MATCH(L2080,[1]Produtos!$B:$B,0)), "-")</f>
        <v>-</v>
      </c>
      <c r="T2080" s="484"/>
      <c r="U2080" s="483"/>
      <c r="V2080" s="483"/>
      <c r="W2080" s="483"/>
      <c r="X2080" s="483"/>
      <c r="Y2080" s="483"/>
      <c r="Z2080" s="483"/>
      <c r="AA2080" s="483"/>
      <c r="AB2080" s="483"/>
      <c r="AC2080" s="483"/>
      <c r="AD2080" s="483"/>
      <c r="AE2080" s="483"/>
      <c r="AF2080" s="483"/>
      <c r="AG2080" s="483"/>
      <c r="AH2080" s="483"/>
      <c r="AI2080" s="483"/>
      <c r="AJ2080" s="483"/>
      <c r="AK2080" s="483"/>
      <c r="AL2080" s="483"/>
      <c r="AM2080" s="670"/>
      <c r="AN2080" s="670"/>
      <c r="AO2080" s="711" t="str">
        <f>IF(OR(Table1[[#This Row],[Início Setup Envase]]="",Table1[[#This Row],[Final Setup Envase]]=""),"",Table1[[#This Row],[Final Setup Envase]]-Table1[[#This Row],[Início Setup Envase]])</f>
        <v/>
      </c>
      <c r="AP2080" s="670"/>
      <c r="AQ2080" s="670"/>
      <c r="AR2080" s="483"/>
      <c r="AS2080" s="483"/>
      <c r="AT2080" s="483"/>
      <c r="AU2080" s="483"/>
      <c r="AV2080" s="483"/>
      <c r="AW2080" s="483"/>
      <c r="AX2080" s="483"/>
      <c r="AY2080" s="270"/>
      <c r="AZ2080" s="270"/>
      <c r="BA2080" s="270" t="str">
        <f>IF(Table1[[#This Row],[Data de Início]]="","",YEAR(Table1[[#This Row],[Data de Início]]))</f>
        <v/>
      </c>
      <c r="BB2080" s="270" t="str">
        <f>IF(Table1[[#This Row],[Data de Início]]="","",MONTH(Table1[[#This Row],[Data de Início]]))</f>
        <v/>
      </c>
      <c r="BC2080" s="270"/>
    </row>
    <row r="2081" spans="2:55" x14ac:dyDescent="0.25">
      <c r="B2081" s="470"/>
      <c r="C2081" s="263"/>
      <c r="D2081" s="477" cm="1">
        <f t="array" ref="D2081">IFERROR(HorasUteisFabrica2Turnos(B2081,C2081), "")</f>
        <v>0</v>
      </c>
      <c r="E2081" s="697" t="str">
        <f t="shared" si="32"/>
        <v/>
      </c>
      <c r="F2081" s="266"/>
      <c r="G2081" s="698"/>
      <c r="H2081" s="266"/>
      <c r="I2081" s="268"/>
      <c r="J2081" s="268"/>
      <c r="K2081" s="268"/>
      <c r="L2081" s="269"/>
      <c r="M2081" s="510" t="str">
        <f>IFERROR(INDEX([1]Produtos!$C:$C,MATCH(L2081,[1]Produtos!$B:$B,0)), "-")</f>
        <v>-</v>
      </c>
      <c r="N2081" s="510" t="str">
        <f>IFERROR(INDEX([1]Produtos!$E:$E,MATCH(L2081,[1]Produtos!$B:$B,0)), "-")</f>
        <v>-</v>
      </c>
      <c r="O2081" s="270" t="str">
        <f>IFERROR(INDEX([1]Produtos!$F:$F,MATCH(L2081,[1]Produtos!$B:$B,0)), "-")</f>
        <v>-</v>
      </c>
      <c r="P2081" s="264" t="str">
        <f>IFERROR(INDEX([1]Produtos!$G:$G,MATCH(L2081,[1]Produtos!$B:$B,0)), "-")</f>
        <v>-</v>
      </c>
      <c r="Q2081" s="270" t="str">
        <f>IFERROR(INDEX([1]Produtos!$H:$H,MATCH(L2081,[1]Produtos!$B:$B,0)), "-")</f>
        <v>-</v>
      </c>
      <c r="R2081" s="270" t="str">
        <f>IFERROR(INDEX([1]Produtos!$I:$I,MATCH(L2081,[1]Produtos!$B:$B,0)), "-")</f>
        <v>-</v>
      </c>
      <c r="S2081" s="270" t="str">
        <f>IFERROR(INDEX([1]Produtos!$J:$J,MATCH(L2081,[1]Produtos!$B:$B,0)), "-")</f>
        <v>-</v>
      </c>
      <c r="T2081" s="475"/>
      <c r="U2081" s="270"/>
      <c r="V2081" s="270"/>
      <c r="W2081" s="270"/>
      <c r="X2081" s="270"/>
      <c r="Y2081" s="270"/>
      <c r="Z2081" s="270"/>
      <c r="AA2081" s="270"/>
      <c r="AB2081" s="270"/>
      <c r="AC2081" s="270"/>
      <c r="AD2081" s="270"/>
      <c r="AE2081" s="270"/>
      <c r="AF2081" s="270"/>
      <c r="AG2081" s="270"/>
      <c r="AH2081" s="270"/>
      <c r="AI2081" s="270"/>
      <c r="AJ2081" s="270"/>
      <c r="AK2081" s="270"/>
      <c r="AL2081" s="270"/>
      <c r="AM2081" s="663"/>
      <c r="AN2081" s="663"/>
      <c r="AO2081" s="708" t="str">
        <f>IF(OR(Table1[[#This Row],[Início Setup Envase]]="",Table1[[#This Row],[Final Setup Envase]]=""),"",Table1[[#This Row],[Final Setup Envase]]-Table1[[#This Row],[Início Setup Envase]])</f>
        <v/>
      </c>
      <c r="AP2081" s="663"/>
      <c r="AQ2081" s="663"/>
      <c r="AR2081" s="270"/>
      <c r="AS2081" s="674"/>
      <c r="AT2081" s="674"/>
      <c r="AU2081" s="270"/>
      <c r="AV2081" s="270"/>
      <c r="AW2081" s="270"/>
      <c r="AX2081" s="270"/>
      <c r="AY2081" s="270"/>
      <c r="AZ2081" s="270"/>
      <c r="BA2081" s="270" t="str">
        <f>IF(Table1[[#This Row],[Data de Início]]="","",YEAR(Table1[[#This Row],[Data de Início]]))</f>
        <v/>
      </c>
      <c r="BB2081" s="270" t="str">
        <f>IF(Table1[[#This Row],[Data de Início]]="","",MONTH(Table1[[#This Row],[Data de Início]]))</f>
        <v/>
      </c>
      <c r="BC2081" s="483"/>
    </row>
    <row r="2082" spans="2:55" x14ac:dyDescent="0.25">
      <c r="B2082" s="470"/>
      <c r="C2082" s="263"/>
      <c r="D2082" s="477" cm="1">
        <f t="array" ref="D2082">IFERROR(HorasUteisFabrica2Turnos(B2082,C2082), "")</f>
        <v>0</v>
      </c>
      <c r="E2082" s="478" t="str">
        <f t="shared" si="32"/>
        <v/>
      </c>
      <c r="F2082" s="266"/>
      <c r="G2082" s="656"/>
      <c r="H2082" s="479"/>
      <c r="I2082" s="268"/>
      <c r="J2082" s="268"/>
      <c r="K2082" s="268"/>
      <c r="L2082" s="269"/>
      <c r="M2082" s="511" t="str">
        <f>IFERROR(INDEX([1]Produtos!$C:$C,MATCH(L2082,[1]Produtos!$B:$B,0)), "-")</f>
        <v>-</v>
      </c>
      <c r="N2082" s="511" t="str">
        <f>IFERROR(INDEX([1]Produtos!$E:$E,MATCH(L2082,[1]Produtos!$B:$B,0)), "-")</f>
        <v>-</v>
      </c>
      <c r="O2082" s="483" t="str">
        <f>IFERROR(INDEX([1]Produtos!$F:$F,MATCH(L2082,[1]Produtos!$B:$B,0)), "-")</f>
        <v>-</v>
      </c>
      <c r="P2082" s="477" t="str">
        <f>IFERROR(INDEX([1]Produtos!$G:$G,MATCH(L2082,[1]Produtos!$B:$B,0)), "-")</f>
        <v>-</v>
      </c>
      <c r="Q2082" s="483" t="str">
        <f>IFERROR(INDEX([1]Produtos!$H:$H,MATCH(L2082,[1]Produtos!$B:$B,0)), "-")</f>
        <v>-</v>
      </c>
      <c r="R2082" s="483" t="str">
        <f>IFERROR(INDEX([1]Produtos!$I:$I,MATCH(L2082,[1]Produtos!$B:$B,0)), "-")</f>
        <v>-</v>
      </c>
      <c r="S2082" s="483" t="str">
        <f>IFERROR(INDEX([1]Produtos!$J:$J,MATCH(L2082,[1]Produtos!$B:$B,0)), "-")</f>
        <v>-</v>
      </c>
      <c r="T2082" s="484"/>
      <c r="U2082" s="483"/>
      <c r="V2082" s="483"/>
      <c r="W2082" s="483"/>
      <c r="X2082" s="483"/>
      <c r="Y2082" s="483"/>
      <c r="Z2082" s="483"/>
      <c r="AA2082" s="483"/>
      <c r="AB2082" s="483"/>
      <c r="AC2082" s="483"/>
      <c r="AD2082" s="483"/>
      <c r="AE2082" s="483"/>
      <c r="AF2082" s="483"/>
      <c r="AG2082" s="483"/>
      <c r="AH2082" s="483"/>
      <c r="AI2082" s="483"/>
      <c r="AJ2082" s="483"/>
      <c r="AK2082" s="483"/>
      <c r="AL2082" s="483"/>
      <c r="AM2082" s="670"/>
      <c r="AN2082" s="670"/>
      <c r="AO2082" s="711" t="str">
        <f>IF(OR(Table1[[#This Row],[Início Setup Envase]]="",Table1[[#This Row],[Final Setup Envase]]=""),"",Table1[[#This Row],[Final Setup Envase]]-Table1[[#This Row],[Início Setup Envase]])</f>
        <v/>
      </c>
      <c r="AP2082" s="670"/>
      <c r="AQ2082" s="670"/>
      <c r="AR2082" s="483"/>
      <c r="AS2082" s="483"/>
      <c r="AT2082" s="483"/>
      <c r="AU2082" s="483"/>
      <c r="AV2082" s="483"/>
      <c r="AW2082" s="483"/>
      <c r="AX2082" s="483"/>
      <c r="AY2082" s="270"/>
      <c r="AZ2082" s="270"/>
      <c r="BA2082" s="270" t="str">
        <f>IF(Table1[[#This Row],[Data de Início]]="","",YEAR(Table1[[#This Row],[Data de Início]]))</f>
        <v/>
      </c>
      <c r="BB2082" s="270" t="str">
        <f>IF(Table1[[#This Row],[Data de Início]]="","",MONTH(Table1[[#This Row],[Data de Início]]))</f>
        <v/>
      </c>
      <c r="BC2082" s="270"/>
    </row>
    <row r="2083" spans="2:55" x14ac:dyDescent="0.25">
      <c r="B2083" s="470"/>
      <c r="C2083" s="263"/>
      <c r="D2083" s="477" cm="1">
        <f t="array" ref="D2083">IFERROR(HorasUteisFabrica2Turnos(B2083,C2083), "")</f>
        <v>0</v>
      </c>
      <c r="E2083" s="697" t="str">
        <f t="shared" si="32"/>
        <v/>
      </c>
      <c r="F2083" s="266"/>
      <c r="G2083" s="698"/>
      <c r="H2083" s="266"/>
      <c r="I2083" s="268"/>
      <c r="J2083" s="268"/>
      <c r="K2083" s="268"/>
      <c r="L2083" s="269"/>
      <c r="M2083" s="510" t="str">
        <f>IFERROR(INDEX([1]Produtos!$C:$C,MATCH(L2083,[1]Produtos!$B:$B,0)), "-")</f>
        <v>-</v>
      </c>
      <c r="N2083" s="510" t="str">
        <f>IFERROR(INDEX([1]Produtos!$E:$E,MATCH(L2083,[1]Produtos!$B:$B,0)), "-")</f>
        <v>-</v>
      </c>
      <c r="O2083" s="270" t="str">
        <f>IFERROR(INDEX([1]Produtos!$F:$F,MATCH(L2083,[1]Produtos!$B:$B,0)), "-")</f>
        <v>-</v>
      </c>
      <c r="P2083" s="264" t="str">
        <f>IFERROR(INDEX([1]Produtos!$G:$G,MATCH(L2083,[1]Produtos!$B:$B,0)), "-")</f>
        <v>-</v>
      </c>
      <c r="Q2083" s="270" t="str">
        <f>IFERROR(INDEX([1]Produtos!$H:$H,MATCH(L2083,[1]Produtos!$B:$B,0)), "-")</f>
        <v>-</v>
      </c>
      <c r="R2083" s="270" t="str">
        <f>IFERROR(INDEX([1]Produtos!$I:$I,MATCH(L2083,[1]Produtos!$B:$B,0)), "-")</f>
        <v>-</v>
      </c>
      <c r="S2083" s="270" t="str">
        <f>IFERROR(INDEX([1]Produtos!$J:$J,MATCH(L2083,[1]Produtos!$B:$B,0)), "-")</f>
        <v>-</v>
      </c>
      <c r="T2083" s="475"/>
      <c r="U2083" s="270"/>
      <c r="V2083" s="270"/>
      <c r="W2083" s="270"/>
      <c r="X2083" s="270"/>
      <c r="Y2083" s="270"/>
      <c r="Z2083" s="270"/>
      <c r="AA2083" s="270"/>
      <c r="AB2083" s="270"/>
      <c r="AC2083" s="270"/>
      <c r="AD2083" s="270"/>
      <c r="AE2083" s="270"/>
      <c r="AF2083" s="270"/>
      <c r="AG2083" s="270"/>
      <c r="AH2083" s="270"/>
      <c r="AI2083" s="270"/>
      <c r="AJ2083" s="270"/>
      <c r="AK2083" s="270"/>
      <c r="AL2083" s="270"/>
      <c r="AM2083" s="663"/>
      <c r="AN2083" s="663"/>
      <c r="AO2083" s="708" t="str">
        <f>IF(OR(Table1[[#This Row],[Início Setup Envase]]="",Table1[[#This Row],[Final Setup Envase]]=""),"",Table1[[#This Row],[Final Setup Envase]]-Table1[[#This Row],[Início Setup Envase]])</f>
        <v/>
      </c>
      <c r="AP2083" s="663"/>
      <c r="AQ2083" s="663"/>
      <c r="AR2083" s="270"/>
      <c r="AS2083" s="674"/>
      <c r="AT2083" s="674"/>
      <c r="AU2083" s="270"/>
      <c r="AV2083" s="270"/>
      <c r="AW2083" s="270"/>
      <c r="AX2083" s="270"/>
      <c r="AY2083" s="270"/>
      <c r="AZ2083" s="270"/>
      <c r="BA2083" s="270" t="str">
        <f>IF(Table1[[#This Row],[Data de Início]]="","",YEAR(Table1[[#This Row],[Data de Início]]))</f>
        <v/>
      </c>
      <c r="BB2083" s="270" t="str">
        <f>IF(Table1[[#This Row],[Data de Início]]="","",MONTH(Table1[[#This Row],[Data de Início]]))</f>
        <v/>
      </c>
      <c r="BC2083" s="483"/>
    </row>
    <row r="2084" spans="2:55" x14ac:dyDescent="0.25">
      <c r="B2084" s="470"/>
      <c r="C2084" s="263"/>
      <c r="D2084" s="477" cm="1">
        <f t="array" ref="D2084">IFERROR(HorasUteisFabrica2Turnos(B2084,C2084), "")</f>
        <v>0</v>
      </c>
      <c r="E2084" s="478" t="str">
        <f t="shared" si="32"/>
        <v/>
      </c>
      <c r="F2084" s="266"/>
      <c r="G2084" s="656"/>
      <c r="H2084" s="479"/>
      <c r="I2084" s="268"/>
      <c r="J2084" s="268"/>
      <c r="K2084" s="268"/>
      <c r="L2084" s="269"/>
      <c r="M2084" s="511" t="str">
        <f>IFERROR(INDEX([1]Produtos!$C:$C,MATCH(L2084,[1]Produtos!$B:$B,0)), "-")</f>
        <v>-</v>
      </c>
      <c r="N2084" s="511" t="str">
        <f>IFERROR(INDEX([1]Produtos!$E:$E,MATCH(L2084,[1]Produtos!$B:$B,0)), "-")</f>
        <v>-</v>
      </c>
      <c r="O2084" s="483" t="str">
        <f>IFERROR(INDEX([1]Produtos!$F:$F,MATCH(L2084,[1]Produtos!$B:$B,0)), "-")</f>
        <v>-</v>
      </c>
      <c r="P2084" s="477" t="str">
        <f>IFERROR(INDEX([1]Produtos!$G:$G,MATCH(L2084,[1]Produtos!$B:$B,0)), "-")</f>
        <v>-</v>
      </c>
      <c r="Q2084" s="483" t="str">
        <f>IFERROR(INDEX([1]Produtos!$H:$H,MATCH(L2084,[1]Produtos!$B:$B,0)), "-")</f>
        <v>-</v>
      </c>
      <c r="R2084" s="483" t="str">
        <f>IFERROR(INDEX([1]Produtos!$I:$I,MATCH(L2084,[1]Produtos!$B:$B,0)), "-")</f>
        <v>-</v>
      </c>
      <c r="S2084" s="483" t="str">
        <f>IFERROR(INDEX([1]Produtos!$J:$J,MATCH(L2084,[1]Produtos!$B:$B,0)), "-")</f>
        <v>-</v>
      </c>
      <c r="T2084" s="484"/>
      <c r="U2084" s="483"/>
      <c r="V2084" s="483"/>
      <c r="W2084" s="483"/>
      <c r="X2084" s="483"/>
      <c r="Y2084" s="483"/>
      <c r="Z2084" s="483"/>
      <c r="AA2084" s="483"/>
      <c r="AB2084" s="483"/>
      <c r="AC2084" s="483"/>
      <c r="AD2084" s="483"/>
      <c r="AE2084" s="483"/>
      <c r="AF2084" s="483"/>
      <c r="AG2084" s="483"/>
      <c r="AH2084" s="483"/>
      <c r="AI2084" s="483"/>
      <c r="AJ2084" s="483"/>
      <c r="AK2084" s="483"/>
      <c r="AL2084" s="483"/>
      <c r="AM2084" s="670"/>
      <c r="AN2084" s="670"/>
      <c r="AO2084" s="711" t="str">
        <f>IF(OR(Table1[[#This Row],[Início Setup Envase]]="",Table1[[#This Row],[Final Setup Envase]]=""),"",Table1[[#This Row],[Final Setup Envase]]-Table1[[#This Row],[Início Setup Envase]])</f>
        <v/>
      </c>
      <c r="AP2084" s="670"/>
      <c r="AQ2084" s="670"/>
      <c r="AR2084" s="483"/>
      <c r="AS2084" s="483"/>
      <c r="AT2084" s="483"/>
      <c r="AU2084" s="483"/>
      <c r="AV2084" s="483"/>
      <c r="AW2084" s="483"/>
      <c r="AX2084" s="483"/>
      <c r="AY2084" s="270"/>
      <c r="AZ2084" s="270"/>
      <c r="BA2084" s="270" t="str">
        <f>IF(Table1[[#This Row],[Data de Início]]="","",YEAR(Table1[[#This Row],[Data de Início]]))</f>
        <v/>
      </c>
      <c r="BB2084" s="270" t="str">
        <f>IF(Table1[[#This Row],[Data de Início]]="","",MONTH(Table1[[#This Row],[Data de Início]]))</f>
        <v/>
      </c>
      <c r="BC2084" s="270"/>
    </row>
    <row r="2085" spans="2:55" x14ac:dyDescent="0.25">
      <c r="B2085" s="470"/>
      <c r="C2085" s="263"/>
      <c r="D2085" s="477" cm="1">
        <f t="array" ref="D2085">IFERROR(HorasUteisFabrica2Turnos(B2085,C2085), "")</f>
        <v>0</v>
      </c>
      <c r="E2085" s="697" t="str">
        <f t="shared" ref="E2085:E2148" si="33">IFERROR(K2085/D2085, "")</f>
        <v/>
      </c>
      <c r="F2085" s="266"/>
      <c r="G2085" s="698"/>
      <c r="H2085" s="266"/>
      <c r="I2085" s="268"/>
      <c r="J2085" s="268"/>
      <c r="K2085" s="268"/>
      <c r="L2085" s="269"/>
      <c r="M2085" s="510" t="str">
        <f>IFERROR(INDEX([1]Produtos!$C:$C,MATCH(L2085,[1]Produtos!$B:$B,0)), "-")</f>
        <v>-</v>
      </c>
      <c r="N2085" s="510" t="str">
        <f>IFERROR(INDEX([1]Produtos!$E:$E,MATCH(L2085,[1]Produtos!$B:$B,0)), "-")</f>
        <v>-</v>
      </c>
      <c r="O2085" s="270" t="str">
        <f>IFERROR(INDEX([1]Produtos!$F:$F,MATCH(L2085,[1]Produtos!$B:$B,0)), "-")</f>
        <v>-</v>
      </c>
      <c r="P2085" s="264" t="str">
        <f>IFERROR(INDEX([1]Produtos!$G:$G,MATCH(L2085,[1]Produtos!$B:$B,0)), "-")</f>
        <v>-</v>
      </c>
      <c r="Q2085" s="270" t="str">
        <f>IFERROR(INDEX([1]Produtos!$H:$H,MATCH(L2085,[1]Produtos!$B:$B,0)), "-")</f>
        <v>-</v>
      </c>
      <c r="R2085" s="270" t="str">
        <f>IFERROR(INDEX([1]Produtos!$I:$I,MATCH(L2085,[1]Produtos!$B:$B,0)), "-")</f>
        <v>-</v>
      </c>
      <c r="S2085" s="270" t="str">
        <f>IFERROR(INDEX([1]Produtos!$J:$J,MATCH(L2085,[1]Produtos!$B:$B,0)), "-")</f>
        <v>-</v>
      </c>
      <c r="T2085" s="475"/>
      <c r="U2085" s="270"/>
      <c r="V2085" s="270"/>
      <c r="W2085" s="270"/>
      <c r="X2085" s="270"/>
      <c r="Y2085" s="270"/>
      <c r="Z2085" s="270"/>
      <c r="AA2085" s="270"/>
      <c r="AB2085" s="270"/>
      <c r="AC2085" s="270"/>
      <c r="AD2085" s="270"/>
      <c r="AE2085" s="270"/>
      <c r="AF2085" s="270"/>
      <c r="AG2085" s="270"/>
      <c r="AH2085" s="270"/>
      <c r="AI2085" s="270"/>
      <c r="AJ2085" s="270"/>
      <c r="AK2085" s="270"/>
      <c r="AL2085" s="270"/>
      <c r="AM2085" s="663"/>
      <c r="AN2085" s="663"/>
      <c r="AO2085" s="708" t="str">
        <f>IF(OR(Table1[[#This Row],[Início Setup Envase]]="",Table1[[#This Row],[Final Setup Envase]]=""),"",Table1[[#This Row],[Final Setup Envase]]-Table1[[#This Row],[Início Setup Envase]])</f>
        <v/>
      </c>
      <c r="AP2085" s="663"/>
      <c r="AQ2085" s="663"/>
      <c r="AR2085" s="270"/>
      <c r="AS2085" s="674"/>
      <c r="AT2085" s="674"/>
      <c r="AU2085" s="270"/>
      <c r="AV2085" s="270"/>
      <c r="AW2085" s="270"/>
      <c r="AX2085" s="270"/>
      <c r="AY2085" s="270"/>
      <c r="AZ2085" s="270"/>
      <c r="BA2085" s="270" t="str">
        <f>IF(Table1[[#This Row],[Data de Início]]="","",YEAR(Table1[[#This Row],[Data de Início]]))</f>
        <v/>
      </c>
      <c r="BB2085" s="270" t="str">
        <f>IF(Table1[[#This Row],[Data de Início]]="","",MONTH(Table1[[#This Row],[Data de Início]]))</f>
        <v/>
      </c>
      <c r="BC2085" s="483"/>
    </row>
    <row r="2086" spans="2:55" x14ac:dyDescent="0.25">
      <c r="B2086" s="470"/>
      <c r="C2086" s="263"/>
      <c r="D2086" s="477" cm="1">
        <f t="array" ref="D2086">IFERROR(HorasUteisFabrica2Turnos(B2086,C2086), "")</f>
        <v>0</v>
      </c>
      <c r="E2086" s="478" t="str">
        <f t="shared" si="33"/>
        <v/>
      </c>
      <c r="F2086" s="266"/>
      <c r="G2086" s="656"/>
      <c r="H2086" s="479"/>
      <c r="I2086" s="268"/>
      <c r="J2086" s="268"/>
      <c r="K2086" s="268"/>
      <c r="L2086" s="269"/>
      <c r="M2086" s="511" t="str">
        <f>IFERROR(INDEX([1]Produtos!$C:$C,MATCH(L2086,[1]Produtos!$B:$B,0)), "-")</f>
        <v>-</v>
      </c>
      <c r="N2086" s="511" t="str">
        <f>IFERROR(INDEX([1]Produtos!$E:$E,MATCH(L2086,[1]Produtos!$B:$B,0)), "-")</f>
        <v>-</v>
      </c>
      <c r="O2086" s="483" t="str">
        <f>IFERROR(INDEX([1]Produtos!$F:$F,MATCH(L2086,[1]Produtos!$B:$B,0)), "-")</f>
        <v>-</v>
      </c>
      <c r="P2086" s="477" t="str">
        <f>IFERROR(INDEX([1]Produtos!$G:$G,MATCH(L2086,[1]Produtos!$B:$B,0)), "-")</f>
        <v>-</v>
      </c>
      <c r="Q2086" s="483" t="str">
        <f>IFERROR(INDEX([1]Produtos!$H:$H,MATCH(L2086,[1]Produtos!$B:$B,0)), "-")</f>
        <v>-</v>
      </c>
      <c r="R2086" s="483" t="str">
        <f>IFERROR(INDEX([1]Produtos!$I:$I,MATCH(L2086,[1]Produtos!$B:$B,0)), "-")</f>
        <v>-</v>
      </c>
      <c r="S2086" s="483" t="str">
        <f>IFERROR(INDEX([1]Produtos!$J:$J,MATCH(L2086,[1]Produtos!$B:$B,0)), "-")</f>
        <v>-</v>
      </c>
      <c r="T2086" s="484"/>
      <c r="U2086" s="483"/>
      <c r="V2086" s="483"/>
      <c r="W2086" s="483"/>
      <c r="X2086" s="483"/>
      <c r="Y2086" s="483"/>
      <c r="Z2086" s="483"/>
      <c r="AA2086" s="483"/>
      <c r="AB2086" s="483"/>
      <c r="AC2086" s="483"/>
      <c r="AD2086" s="483"/>
      <c r="AE2086" s="483"/>
      <c r="AF2086" s="483"/>
      <c r="AG2086" s="483"/>
      <c r="AH2086" s="483"/>
      <c r="AI2086" s="483"/>
      <c r="AJ2086" s="483"/>
      <c r="AK2086" s="483"/>
      <c r="AL2086" s="483"/>
      <c r="AM2086" s="670"/>
      <c r="AN2086" s="670"/>
      <c r="AO2086" s="711" t="str">
        <f>IF(OR(Table1[[#This Row],[Início Setup Envase]]="",Table1[[#This Row],[Final Setup Envase]]=""),"",Table1[[#This Row],[Final Setup Envase]]-Table1[[#This Row],[Início Setup Envase]])</f>
        <v/>
      </c>
      <c r="AP2086" s="670"/>
      <c r="AQ2086" s="670"/>
      <c r="AR2086" s="483"/>
      <c r="AS2086" s="483"/>
      <c r="AT2086" s="483"/>
      <c r="AU2086" s="483"/>
      <c r="AV2086" s="483"/>
      <c r="AW2086" s="483"/>
      <c r="AX2086" s="483"/>
      <c r="AY2086" s="270"/>
      <c r="AZ2086" s="270"/>
      <c r="BA2086" s="270" t="str">
        <f>IF(Table1[[#This Row],[Data de Início]]="","",YEAR(Table1[[#This Row],[Data de Início]]))</f>
        <v/>
      </c>
      <c r="BB2086" s="270" t="str">
        <f>IF(Table1[[#This Row],[Data de Início]]="","",MONTH(Table1[[#This Row],[Data de Início]]))</f>
        <v/>
      </c>
      <c r="BC2086" s="270"/>
    </row>
    <row r="2087" spans="2:55" x14ac:dyDescent="0.25">
      <c r="B2087" s="470"/>
      <c r="C2087" s="263"/>
      <c r="D2087" s="477" cm="1">
        <f t="array" ref="D2087">IFERROR(HorasUteisFabrica2Turnos(B2087,C2087), "")</f>
        <v>0</v>
      </c>
      <c r="E2087" s="697" t="str">
        <f t="shared" si="33"/>
        <v/>
      </c>
      <c r="F2087" s="266"/>
      <c r="G2087" s="698"/>
      <c r="H2087" s="266"/>
      <c r="I2087" s="268"/>
      <c r="J2087" s="268"/>
      <c r="K2087" s="268"/>
      <c r="L2087" s="269"/>
      <c r="M2087" s="510" t="str">
        <f>IFERROR(INDEX([1]Produtos!$C:$C,MATCH(L2087,[1]Produtos!$B:$B,0)), "-")</f>
        <v>-</v>
      </c>
      <c r="N2087" s="510" t="str">
        <f>IFERROR(INDEX([1]Produtos!$E:$E,MATCH(L2087,[1]Produtos!$B:$B,0)), "-")</f>
        <v>-</v>
      </c>
      <c r="O2087" s="270" t="str">
        <f>IFERROR(INDEX([1]Produtos!$F:$F,MATCH(L2087,[1]Produtos!$B:$B,0)), "-")</f>
        <v>-</v>
      </c>
      <c r="P2087" s="264" t="str">
        <f>IFERROR(INDEX([1]Produtos!$G:$G,MATCH(L2087,[1]Produtos!$B:$B,0)), "-")</f>
        <v>-</v>
      </c>
      <c r="Q2087" s="270" t="str">
        <f>IFERROR(INDEX([1]Produtos!$H:$H,MATCH(L2087,[1]Produtos!$B:$B,0)), "-")</f>
        <v>-</v>
      </c>
      <c r="R2087" s="270" t="str">
        <f>IFERROR(INDEX([1]Produtos!$I:$I,MATCH(L2087,[1]Produtos!$B:$B,0)), "-")</f>
        <v>-</v>
      </c>
      <c r="S2087" s="270" t="str">
        <f>IFERROR(INDEX([1]Produtos!$J:$J,MATCH(L2087,[1]Produtos!$B:$B,0)), "-")</f>
        <v>-</v>
      </c>
      <c r="T2087" s="475"/>
      <c r="U2087" s="270"/>
      <c r="V2087" s="270"/>
      <c r="W2087" s="270"/>
      <c r="X2087" s="270"/>
      <c r="Y2087" s="270"/>
      <c r="Z2087" s="270"/>
      <c r="AA2087" s="270"/>
      <c r="AB2087" s="270"/>
      <c r="AC2087" s="270"/>
      <c r="AD2087" s="270"/>
      <c r="AE2087" s="270"/>
      <c r="AF2087" s="270"/>
      <c r="AG2087" s="270"/>
      <c r="AH2087" s="270"/>
      <c r="AI2087" s="270"/>
      <c r="AJ2087" s="270"/>
      <c r="AK2087" s="270"/>
      <c r="AL2087" s="270"/>
      <c r="AM2087" s="663"/>
      <c r="AN2087" s="663"/>
      <c r="AO2087" s="708" t="str">
        <f>IF(OR(Table1[[#This Row],[Início Setup Envase]]="",Table1[[#This Row],[Final Setup Envase]]=""),"",Table1[[#This Row],[Final Setup Envase]]-Table1[[#This Row],[Início Setup Envase]])</f>
        <v/>
      </c>
      <c r="AP2087" s="663"/>
      <c r="AQ2087" s="663"/>
      <c r="AR2087" s="270"/>
      <c r="AS2087" s="674"/>
      <c r="AT2087" s="674"/>
      <c r="AU2087" s="270"/>
      <c r="AV2087" s="270"/>
      <c r="AW2087" s="270"/>
      <c r="AX2087" s="270"/>
      <c r="AY2087" s="270"/>
      <c r="AZ2087" s="270"/>
      <c r="BA2087" s="270" t="str">
        <f>IF(Table1[[#This Row],[Data de Início]]="","",YEAR(Table1[[#This Row],[Data de Início]]))</f>
        <v/>
      </c>
      <c r="BB2087" s="270" t="str">
        <f>IF(Table1[[#This Row],[Data de Início]]="","",MONTH(Table1[[#This Row],[Data de Início]]))</f>
        <v/>
      </c>
      <c r="BC2087" s="483"/>
    </row>
    <row r="2088" spans="2:55" x14ac:dyDescent="0.25">
      <c r="B2088" s="470"/>
      <c r="C2088" s="263"/>
      <c r="D2088" s="477" cm="1">
        <f t="array" ref="D2088">IFERROR(HorasUteisFabrica2Turnos(B2088,C2088), "")</f>
        <v>0</v>
      </c>
      <c r="E2088" s="478" t="str">
        <f t="shared" si="33"/>
        <v/>
      </c>
      <c r="F2088" s="266"/>
      <c r="G2088" s="656"/>
      <c r="H2088" s="479"/>
      <c r="I2088" s="268"/>
      <c r="J2088" s="268"/>
      <c r="K2088" s="268"/>
      <c r="L2088" s="269"/>
      <c r="M2088" s="511" t="str">
        <f>IFERROR(INDEX([1]Produtos!$C:$C,MATCH(L2088,[1]Produtos!$B:$B,0)), "-")</f>
        <v>-</v>
      </c>
      <c r="N2088" s="511" t="str">
        <f>IFERROR(INDEX([1]Produtos!$E:$E,MATCH(L2088,[1]Produtos!$B:$B,0)), "-")</f>
        <v>-</v>
      </c>
      <c r="O2088" s="483" t="str">
        <f>IFERROR(INDEX([1]Produtos!$F:$F,MATCH(L2088,[1]Produtos!$B:$B,0)), "-")</f>
        <v>-</v>
      </c>
      <c r="P2088" s="477" t="str">
        <f>IFERROR(INDEX([1]Produtos!$G:$G,MATCH(L2088,[1]Produtos!$B:$B,0)), "-")</f>
        <v>-</v>
      </c>
      <c r="Q2088" s="483" t="str">
        <f>IFERROR(INDEX([1]Produtos!$H:$H,MATCH(L2088,[1]Produtos!$B:$B,0)), "-")</f>
        <v>-</v>
      </c>
      <c r="R2088" s="483" t="str">
        <f>IFERROR(INDEX([1]Produtos!$I:$I,MATCH(L2088,[1]Produtos!$B:$B,0)), "-")</f>
        <v>-</v>
      </c>
      <c r="S2088" s="483" t="str">
        <f>IFERROR(INDEX([1]Produtos!$J:$J,MATCH(L2088,[1]Produtos!$B:$B,0)), "-")</f>
        <v>-</v>
      </c>
      <c r="T2088" s="484"/>
      <c r="U2088" s="483"/>
      <c r="V2088" s="483"/>
      <c r="W2088" s="483"/>
      <c r="X2088" s="483"/>
      <c r="Y2088" s="483"/>
      <c r="Z2088" s="483"/>
      <c r="AA2088" s="483"/>
      <c r="AB2088" s="483"/>
      <c r="AC2088" s="483"/>
      <c r="AD2088" s="483"/>
      <c r="AE2088" s="483"/>
      <c r="AF2088" s="483"/>
      <c r="AG2088" s="483"/>
      <c r="AH2088" s="483"/>
      <c r="AI2088" s="483"/>
      <c r="AJ2088" s="483"/>
      <c r="AK2088" s="483"/>
      <c r="AL2088" s="483"/>
      <c r="AM2088" s="670"/>
      <c r="AN2088" s="670"/>
      <c r="AO2088" s="711" t="str">
        <f>IF(OR(Table1[[#This Row],[Início Setup Envase]]="",Table1[[#This Row],[Final Setup Envase]]=""),"",Table1[[#This Row],[Final Setup Envase]]-Table1[[#This Row],[Início Setup Envase]])</f>
        <v/>
      </c>
      <c r="AP2088" s="670"/>
      <c r="AQ2088" s="670"/>
      <c r="AR2088" s="483"/>
      <c r="AS2088" s="483"/>
      <c r="AT2088" s="483"/>
      <c r="AU2088" s="483"/>
      <c r="AV2088" s="483"/>
      <c r="AW2088" s="483"/>
      <c r="AX2088" s="483"/>
      <c r="AY2088" s="270"/>
      <c r="AZ2088" s="270"/>
      <c r="BA2088" s="270" t="str">
        <f>IF(Table1[[#This Row],[Data de Início]]="","",YEAR(Table1[[#This Row],[Data de Início]]))</f>
        <v/>
      </c>
      <c r="BB2088" s="270" t="str">
        <f>IF(Table1[[#This Row],[Data de Início]]="","",MONTH(Table1[[#This Row],[Data de Início]]))</f>
        <v/>
      </c>
      <c r="BC2088" s="270"/>
    </row>
    <row r="2089" spans="2:55" x14ac:dyDescent="0.25">
      <c r="B2089" s="470"/>
      <c r="C2089" s="263"/>
      <c r="D2089" s="477" cm="1">
        <f t="array" ref="D2089">IFERROR(HorasUteisFabrica2Turnos(B2089,C2089), "")</f>
        <v>0</v>
      </c>
      <c r="E2089" s="697" t="str">
        <f t="shared" si="33"/>
        <v/>
      </c>
      <c r="F2089" s="266"/>
      <c r="G2089" s="698"/>
      <c r="H2089" s="266"/>
      <c r="I2089" s="268"/>
      <c r="J2089" s="268"/>
      <c r="K2089" s="268"/>
      <c r="L2089" s="269"/>
      <c r="M2089" s="510" t="str">
        <f>IFERROR(INDEX([1]Produtos!$C:$C,MATCH(L2089,[1]Produtos!$B:$B,0)), "-")</f>
        <v>-</v>
      </c>
      <c r="N2089" s="510" t="str">
        <f>IFERROR(INDEX([1]Produtos!$E:$E,MATCH(L2089,[1]Produtos!$B:$B,0)), "-")</f>
        <v>-</v>
      </c>
      <c r="O2089" s="270" t="str">
        <f>IFERROR(INDEX([1]Produtos!$F:$F,MATCH(L2089,[1]Produtos!$B:$B,0)), "-")</f>
        <v>-</v>
      </c>
      <c r="P2089" s="264" t="str">
        <f>IFERROR(INDEX([1]Produtos!$G:$G,MATCH(L2089,[1]Produtos!$B:$B,0)), "-")</f>
        <v>-</v>
      </c>
      <c r="Q2089" s="270" t="str">
        <f>IFERROR(INDEX([1]Produtos!$H:$H,MATCH(L2089,[1]Produtos!$B:$B,0)), "-")</f>
        <v>-</v>
      </c>
      <c r="R2089" s="270" t="str">
        <f>IFERROR(INDEX([1]Produtos!$I:$I,MATCH(L2089,[1]Produtos!$B:$B,0)), "-")</f>
        <v>-</v>
      </c>
      <c r="S2089" s="270" t="str">
        <f>IFERROR(INDEX([1]Produtos!$J:$J,MATCH(L2089,[1]Produtos!$B:$B,0)), "-")</f>
        <v>-</v>
      </c>
      <c r="T2089" s="475"/>
      <c r="U2089" s="270"/>
      <c r="V2089" s="270"/>
      <c r="W2089" s="270"/>
      <c r="X2089" s="270"/>
      <c r="Y2089" s="270"/>
      <c r="Z2089" s="270"/>
      <c r="AA2089" s="270"/>
      <c r="AB2089" s="270"/>
      <c r="AC2089" s="270"/>
      <c r="AD2089" s="270"/>
      <c r="AE2089" s="270"/>
      <c r="AF2089" s="270"/>
      <c r="AG2089" s="270"/>
      <c r="AH2089" s="270"/>
      <c r="AI2089" s="270"/>
      <c r="AJ2089" s="270"/>
      <c r="AK2089" s="270"/>
      <c r="AL2089" s="270"/>
      <c r="AM2089" s="663"/>
      <c r="AN2089" s="663"/>
      <c r="AO2089" s="708" t="str">
        <f>IF(OR(Table1[[#This Row],[Início Setup Envase]]="",Table1[[#This Row],[Final Setup Envase]]=""),"",Table1[[#This Row],[Final Setup Envase]]-Table1[[#This Row],[Início Setup Envase]])</f>
        <v/>
      </c>
      <c r="AP2089" s="663"/>
      <c r="AQ2089" s="663"/>
      <c r="AR2089" s="270"/>
      <c r="AS2089" s="674"/>
      <c r="AT2089" s="674"/>
      <c r="AU2089" s="270"/>
      <c r="AV2089" s="270"/>
      <c r="AW2089" s="270"/>
      <c r="AX2089" s="270"/>
      <c r="AY2089" s="270"/>
      <c r="AZ2089" s="270"/>
      <c r="BA2089" s="270" t="str">
        <f>IF(Table1[[#This Row],[Data de Início]]="","",YEAR(Table1[[#This Row],[Data de Início]]))</f>
        <v/>
      </c>
      <c r="BB2089" s="270" t="str">
        <f>IF(Table1[[#This Row],[Data de Início]]="","",MONTH(Table1[[#This Row],[Data de Início]]))</f>
        <v/>
      </c>
      <c r="BC2089" s="483"/>
    </row>
    <row r="2090" spans="2:55" x14ac:dyDescent="0.25">
      <c r="B2090" s="470"/>
      <c r="C2090" s="263"/>
      <c r="D2090" s="477" cm="1">
        <f t="array" ref="D2090">IFERROR(HorasUteisFabrica2Turnos(B2090,C2090), "")</f>
        <v>0</v>
      </c>
      <c r="E2090" s="478" t="str">
        <f t="shared" si="33"/>
        <v/>
      </c>
      <c r="F2090" s="266"/>
      <c r="G2090" s="656"/>
      <c r="H2090" s="479"/>
      <c r="I2090" s="268"/>
      <c r="J2090" s="268"/>
      <c r="K2090" s="268"/>
      <c r="L2090" s="269"/>
      <c r="M2090" s="511" t="str">
        <f>IFERROR(INDEX([1]Produtos!$C:$C,MATCH(L2090,[1]Produtos!$B:$B,0)), "-")</f>
        <v>-</v>
      </c>
      <c r="N2090" s="511" t="str">
        <f>IFERROR(INDEX([1]Produtos!$E:$E,MATCH(L2090,[1]Produtos!$B:$B,0)), "-")</f>
        <v>-</v>
      </c>
      <c r="O2090" s="483" t="str">
        <f>IFERROR(INDEX([1]Produtos!$F:$F,MATCH(L2090,[1]Produtos!$B:$B,0)), "-")</f>
        <v>-</v>
      </c>
      <c r="P2090" s="477" t="str">
        <f>IFERROR(INDEX([1]Produtos!$G:$G,MATCH(L2090,[1]Produtos!$B:$B,0)), "-")</f>
        <v>-</v>
      </c>
      <c r="Q2090" s="483" t="str">
        <f>IFERROR(INDEX([1]Produtos!$H:$H,MATCH(L2090,[1]Produtos!$B:$B,0)), "-")</f>
        <v>-</v>
      </c>
      <c r="R2090" s="483" t="str">
        <f>IFERROR(INDEX([1]Produtos!$I:$I,MATCH(L2090,[1]Produtos!$B:$B,0)), "-")</f>
        <v>-</v>
      </c>
      <c r="S2090" s="483" t="str">
        <f>IFERROR(INDEX([1]Produtos!$J:$J,MATCH(L2090,[1]Produtos!$B:$B,0)), "-")</f>
        <v>-</v>
      </c>
      <c r="T2090" s="484"/>
      <c r="U2090" s="483"/>
      <c r="V2090" s="483"/>
      <c r="W2090" s="483"/>
      <c r="X2090" s="483"/>
      <c r="Y2090" s="483"/>
      <c r="Z2090" s="483"/>
      <c r="AA2090" s="483"/>
      <c r="AB2090" s="483"/>
      <c r="AC2090" s="483"/>
      <c r="AD2090" s="483"/>
      <c r="AE2090" s="483"/>
      <c r="AF2090" s="483"/>
      <c r="AG2090" s="483"/>
      <c r="AH2090" s="483"/>
      <c r="AI2090" s="483"/>
      <c r="AJ2090" s="483"/>
      <c r="AK2090" s="483"/>
      <c r="AL2090" s="483"/>
      <c r="AM2090" s="670"/>
      <c r="AN2090" s="670"/>
      <c r="AO2090" s="711" t="str">
        <f>IF(OR(Table1[[#This Row],[Início Setup Envase]]="",Table1[[#This Row],[Final Setup Envase]]=""),"",Table1[[#This Row],[Final Setup Envase]]-Table1[[#This Row],[Início Setup Envase]])</f>
        <v/>
      </c>
      <c r="AP2090" s="670"/>
      <c r="AQ2090" s="670"/>
      <c r="AR2090" s="483"/>
      <c r="AS2090" s="483"/>
      <c r="AT2090" s="483"/>
      <c r="AU2090" s="483"/>
      <c r="AV2090" s="483"/>
      <c r="AW2090" s="483"/>
      <c r="AX2090" s="483"/>
      <c r="AY2090" s="270"/>
      <c r="AZ2090" s="270"/>
      <c r="BA2090" s="270" t="str">
        <f>IF(Table1[[#This Row],[Data de Início]]="","",YEAR(Table1[[#This Row],[Data de Início]]))</f>
        <v/>
      </c>
      <c r="BB2090" s="270" t="str">
        <f>IF(Table1[[#This Row],[Data de Início]]="","",MONTH(Table1[[#This Row],[Data de Início]]))</f>
        <v/>
      </c>
      <c r="BC2090" s="270"/>
    </row>
    <row r="2091" spans="2:55" x14ac:dyDescent="0.25">
      <c r="B2091" s="470"/>
      <c r="C2091" s="263"/>
      <c r="D2091" s="477" cm="1">
        <f t="array" ref="D2091">IFERROR(HorasUteisFabrica2Turnos(B2091,C2091), "")</f>
        <v>0</v>
      </c>
      <c r="E2091" s="697" t="str">
        <f t="shared" si="33"/>
        <v/>
      </c>
      <c r="F2091" s="266"/>
      <c r="G2091" s="698"/>
      <c r="H2091" s="266"/>
      <c r="I2091" s="268"/>
      <c r="J2091" s="268"/>
      <c r="K2091" s="268"/>
      <c r="L2091" s="269"/>
      <c r="M2091" s="510" t="str">
        <f>IFERROR(INDEX([1]Produtos!$C:$C,MATCH(L2091,[1]Produtos!$B:$B,0)), "-")</f>
        <v>-</v>
      </c>
      <c r="N2091" s="510" t="str">
        <f>IFERROR(INDEX([1]Produtos!$E:$E,MATCH(L2091,[1]Produtos!$B:$B,0)), "-")</f>
        <v>-</v>
      </c>
      <c r="O2091" s="270" t="str">
        <f>IFERROR(INDEX([1]Produtos!$F:$F,MATCH(L2091,[1]Produtos!$B:$B,0)), "-")</f>
        <v>-</v>
      </c>
      <c r="P2091" s="264" t="str">
        <f>IFERROR(INDEX([1]Produtos!$G:$G,MATCH(L2091,[1]Produtos!$B:$B,0)), "-")</f>
        <v>-</v>
      </c>
      <c r="Q2091" s="270" t="str">
        <f>IFERROR(INDEX([1]Produtos!$H:$H,MATCH(L2091,[1]Produtos!$B:$B,0)), "-")</f>
        <v>-</v>
      </c>
      <c r="R2091" s="270" t="str">
        <f>IFERROR(INDEX([1]Produtos!$I:$I,MATCH(L2091,[1]Produtos!$B:$B,0)), "-")</f>
        <v>-</v>
      </c>
      <c r="S2091" s="270" t="str">
        <f>IFERROR(INDEX([1]Produtos!$J:$J,MATCH(L2091,[1]Produtos!$B:$B,0)), "-")</f>
        <v>-</v>
      </c>
      <c r="T2091" s="475"/>
      <c r="U2091" s="270"/>
      <c r="V2091" s="270"/>
      <c r="W2091" s="270"/>
      <c r="X2091" s="270"/>
      <c r="Y2091" s="270"/>
      <c r="Z2091" s="270"/>
      <c r="AA2091" s="270"/>
      <c r="AB2091" s="270"/>
      <c r="AC2091" s="270"/>
      <c r="AD2091" s="270"/>
      <c r="AE2091" s="270"/>
      <c r="AF2091" s="270"/>
      <c r="AG2091" s="270"/>
      <c r="AH2091" s="270"/>
      <c r="AI2091" s="270"/>
      <c r="AJ2091" s="270"/>
      <c r="AK2091" s="270"/>
      <c r="AL2091" s="270"/>
      <c r="AM2091" s="663"/>
      <c r="AN2091" s="663"/>
      <c r="AO2091" s="708" t="str">
        <f>IF(OR(Table1[[#This Row],[Início Setup Envase]]="",Table1[[#This Row],[Final Setup Envase]]=""),"",Table1[[#This Row],[Final Setup Envase]]-Table1[[#This Row],[Início Setup Envase]])</f>
        <v/>
      </c>
      <c r="AP2091" s="663"/>
      <c r="AQ2091" s="663"/>
      <c r="AR2091" s="270"/>
      <c r="AS2091" s="674"/>
      <c r="AT2091" s="674"/>
      <c r="AU2091" s="270"/>
      <c r="AV2091" s="270"/>
      <c r="AW2091" s="270"/>
      <c r="AX2091" s="270"/>
      <c r="AY2091" s="270"/>
      <c r="AZ2091" s="270"/>
      <c r="BA2091" s="270" t="str">
        <f>IF(Table1[[#This Row],[Data de Início]]="","",YEAR(Table1[[#This Row],[Data de Início]]))</f>
        <v/>
      </c>
      <c r="BB2091" s="270" t="str">
        <f>IF(Table1[[#This Row],[Data de Início]]="","",MONTH(Table1[[#This Row],[Data de Início]]))</f>
        <v/>
      </c>
      <c r="BC2091" s="483"/>
    </row>
    <row r="2092" spans="2:55" x14ac:dyDescent="0.25">
      <c r="B2092" s="470"/>
      <c r="C2092" s="263"/>
      <c r="D2092" s="477" cm="1">
        <f t="array" ref="D2092">IFERROR(HorasUteisFabrica2Turnos(B2092,C2092), "")</f>
        <v>0</v>
      </c>
      <c r="E2092" s="478" t="str">
        <f t="shared" si="33"/>
        <v/>
      </c>
      <c r="F2092" s="266"/>
      <c r="G2092" s="656"/>
      <c r="H2092" s="479"/>
      <c r="I2092" s="268"/>
      <c r="J2092" s="268"/>
      <c r="K2092" s="268"/>
      <c r="L2092" s="269"/>
      <c r="M2092" s="511" t="str">
        <f>IFERROR(INDEX([1]Produtos!$C:$C,MATCH(L2092,[1]Produtos!$B:$B,0)), "-")</f>
        <v>-</v>
      </c>
      <c r="N2092" s="511" t="str">
        <f>IFERROR(INDEX([1]Produtos!$E:$E,MATCH(L2092,[1]Produtos!$B:$B,0)), "-")</f>
        <v>-</v>
      </c>
      <c r="O2092" s="483" t="str">
        <f>IFERROR(INDEX([1]Produtos!$F:$F,MATCH(L2092,[1]Produtos!$B:$B,0)), "-")</f>
        <v>-</v>
      </c>
      <c r="P2092" s="477" t="str">
        <f>IFERROR(INDEX([1]Produtos!$G:$G,MATCH(L2092,[1]Produtos!$B:$B,0)), "-")</f>
        <v>-</v>
      </c>
      <c r="Q2092" s="483" t="str">
        <f>IFERROR(INDEX([1]Produtos!$H:$H,MATCH(L2092,[1]Produtos!$B:$B,0)), "-")</f>
        <v>-</v>
      </c>
      <c r="R2092" s="483" t="str">
        <f>IFERROR(INDEX([1]Produtos!$I:$I,MATCH(L2092,[1]Produtos!$B:$B,0)), "-")</f>
        <v>-</v>
      </c>
      <c r="S2092" s="483" t="str">
        <f>IFERROR(INDEX([1]Produtos!$J:$J,MATCH(L2092,[1]Produtos!$B:$B,0)), "-")</f>
        <v>-</v>
      </c>
      <c r="T2092" s="484"/>
      <c r="U2092" s="483"/>
      <c r="V2092" s="483"/>
      <c r="W2092" s="483"/>
      <c r="X2092" s="483"/>
      <c r="Y2092" s="483"/>
      <c r="Z2092" s="483"/>
      <c r="AA2092" s="483"/>
      <c r="AB2092" s="483"/>
      <c r="AC2092" s="483"/>
      <c r="AD2092" s="483"/>
      <c r="AE2092" s="483"/>
      <c r="AF2092" s="483"/>
      <c r="AG2092" s="483"/>
      <c r="AH2092" s="483"/>
      <c r="AI2092" s="483"/>
      <c r="AJ2092" s="483"/>
      <c r="AK2092" s="483"/>
      <c r="AL2092" s="483"/>
      <c r="AM2092" s="670"/>
      <c r="AN2092" s="670"/>
      <c r="AO2092" s="711" t="str">
        <f>IF(OR(Table1[[#This Row],[Início Setup Envase]]="",Table1[[#This Row],[Final Setup Envase]]=""),"",Table1[[#This Row],[Final Setup Envase]]-Table1[[#This Row],[Início Setup Envase]])</f>
        <v/>
      </c>
      <c r="AP2092" s="670"/>
      <c r="AQ2092" s="670"/>
      <c r="AR2092" s="483"/>
      <c r="AS2092" s="483"/>
      <c r="AT2092" s="483"/>
      <c r="AU2092" s="483"/>
      <c r="AV2092" s="483"/>
      <c r="AW2092" s="483"/>
      <c r="AX2092" s="483"/>
      <c r="AY2092" s="270"/>
      <c r="AZ2092" s="270"/>
      <c r="BA2092" s="270" t="str">
        <f>IF(Table1[[#This Row],[Data de Início]]="","",YEAR(Table1[[#This Row],[Data de Início]]))</f>
        <v/>
      </c>
      <c r="BB2092" s="270" t="str">
        <f>IF(Table1[[#This Row],[Data de Início]]="","",MONTH(Table1[[#This Row],[Data de Início]]))</f>
        <v/>
      </c>
      <c r="BC2092" s="270"/>
    </row>
    <row r="2093" spans="2:55" x14ac:dyDescent="0.25">
      <c r="B2093" s="470"/>
      <c r="C2093" s="263"/>
      <c r="D2093" s="477" cm="1">
        <f t="array" ref="D2093">IFERROR(HorasUteisFabrica2Turnos(B2093,C2093), "")</f>
        <v>0</v>
      </c>
      <c r="E2093" s="697" t="str">
        <f t="shared" si="33"/>
        <v/>
      </c>
      <c r="F2093" s="266"/>
      <c r="G2093" s="698"/>
      <c r="H2093" s="266"/>
      <c r="I2093" s="268"/>
      <c r="J2093" s="268"/>
      <c r="K2093" s="268"/>
      <c r="L2093" s="269"/>
      <c r="M2093" s="510" t="str">
        <f>IFERROR(INDEX([1]Produtos!$C:$C,MATCH(L2093,[1]Produtos!$B:$B,0)), "-")</f>
        <v>-</v>
      </c>
      <c r="N2093" s="510" t="str">
        <f>IFERROR(INDEX([1]Produtos!$E:$E,MATCH(L2093,[1]Produtos!$B:$B,0)), "-")</f>
        <v>-</v>
      </c>
      <c r="O2093" s="270" t="str">
        <f>IFERROR(INDEX([1]Produtos!$F:$F,MATCH(L2093,[1]Produtos!$B:$B,0)), "-")</f>
        <v>-</v>
      </c>
      <c r="P2093" s="264" t="str">
        <f>IFERROR(INDEX([1]Produtos!$G:$G,MATCH(L2093,[1]Produtos!$B:$B,0)), "-")</f>
        <v>-</v>
      </c>
      <c r="Q2093" s="270" t="str">
        <f>IFERROR(INDEX([1]Produtos!$H:$H,MATCH(L2093,[1]Produtos!$B:$B,0)), "-")</f>
        <v>-</v>
      </c>
      <c r="R2093" s="270" t="str">
        <f>IFERROR(INDEX([1]Produtos!$I:$I,MATCH(L2093,[1]Produtos!$B:$B,0)), "-")</f>
        <v>-</v>
      </c>
      <c r="S2093" s="270" t="str">
        <f>IFERROR(INDEX([1]Produtos!$J:$J,MATCH(L2093,[1]Produtos!$B:$B,0)), "-")</f>
        <v>-</v>
      </c>
      <c r="T2093" s="475"/>
      <c r="U2093" s="270"/>
      <c r="V2093" s="270"/>
      <c r="W2093" s="270"/>
      <c r="X2093" s="270"/>
      <c r="Y2093" s="270"/>
      <c r="Z2093" s="270"/>
      <c r="AA2093" s="270"/>
      <c r="AB2093" s="270"/>
      <c r="AC2093" s="270"/>
      <c r="AD2093" s="270"/>
      <c r="AE2093" s="270"/>
      <c r="AF2093" s="270"/>
      <c r="AG2093" s="270"/>
      <c r="AH2093" s="270"/>
      <c r="AI2093" s="270"/>
      <c r="AJ2093" s="270"/>
      <c r="AK2093" s="270"/>
      <c r="AL2093" s="270"/>
      <c r="AM2093" s="663"/>
      <c r="AN2093" s="663"/>
      <c r="AO2093" s="708" t="str">
        <f>IF(OR(Table1[[#This Row],[Início Setup Envase]]="",Table1[[#This Row],[Final Setup Envase]]=""),"",Table1[[#This Row],[Final Setup Envase]]-Table1[[#This Row],[Início Setup Envase]])</f>
        <v/>
      </c>
      <c r="AP2093" s="663"/>
      <c r="AQ2093" s="663"/>
      <c r="AR2093" s="270"/>
      <c r="AS2093" s="674"/>
      <c r="AT2093" s="674"/>
      <c r="AU2093" s="270"/>
      <c r="AV2093" s="270"/>
      <c r="AW2093" s="270"/>
      <c r="AX2093" s="270"/>
      <c r="AY2093" s="270"/>
      <c r="AZ2093" s="270"/>
      <c r="BA2093" s="270" t="str">
        <f>IF(Table1[[#This Row],[Data de Início]]="","",YEAR(Table1[[#This Row],[Data de Início]]))</f>
        <v/>
      </c>
      <c r="BB2093" s="270" t="str">
        <f>IF(Table1[[#This Row],[Data de Início]]="","",MONTH(Table1[[#This Row],[Data de Início]]))</f>
        <v/>
      </c>
      <c r="BC2093" s="483"/>
    </row>
    <row r="2094" spans="2:55" x14ac:dyDescent="0.25">
      <c r="B2094" s="470"/>
      <c r="C2094" s="263"/>
      <c r="D2094" s="477" cm="1">
        <f t="array" ref="D2094">IFERROR(HorasUteisFabrica2Turnos(B2094,C2094), "")</f>
        <v>0</v>
      </c>
      <c r="E2094" s="478" t="str">
        <f t="shared" si="33"/>
        <v/>
      </c>
      <c r="F2094" s="266"/>
      <c r="G2094" s="656"/>
      <c r="H2094" s="479"/>
      <c r="I2094" s="268"/>
      <c r="J2094" s="268"/>
      <c r="K2094" s="268"/>
      <c r="L2094" s="269"/>
      <c r="M2094" s="511" t="str">
        <f>IFERROR(INDEX([1]Produtos!$C:$C,MATCH(L2094,[1]Produtos!$B:$B,0)), "-")</f>
        <v>-</v>
      </c>
      <c r="N2094" s="511" t="str">
        <f>IFERROR(INDEX([1]Produtos!$E:$E,MATCH(L2094,[1]Produtos!$B:$B,0)), "-")</f>
        <v>-</v>
      </c>
      <c r="O2094" s="483" t="str">
        <f>IFERROR(INDEX([1]Produtos!$F:$F,MATCH(L2094,[1]Produtos!$B:$B,0)), "-")</f>
        <v>-</v>
      </c>
      <c r="P2094" s="477" t="str">
        <f>IFERROR(INDEX([1]Produtos!$G:$G,MATCH(L2094,[1]Produtos!$B:$B,0)), "-")</f>
        <v>-</v>
      </c>
      <c r="Q2094" s="483" t="str">
        <f>IFERROR(INDEX([1]Produtos!$H:$H,MATCH(L2094,[1]Produtos!$B:$B,0)), "-")</f>
        <v>-</v>
      </c>
      <c r="R2094" s="483" t="str">
        <f>IFERROR(INDEX([1]Produtos!$I:$I,MATCH(L2094,[1]Produtos!$B:$B,0)), "-")</f>
        <v>-</v>
      </c>
      <c r="S2094" s="483" t="str">
        <f>IFERROR(INDEX([1]Produtos!$J:$J,MATCH(L2094,[1]Produtos!$B:$B,0)), "-")</f>
        <v>-</v>
      </c>
      <c r="T2094" s="484"/>
      <c r="U2094" s="483"/>
      <c r="V2094" s="483"/>
      <c r="W2094" s="483"/>
      <c r="X2094" s="483"/>
      <c r="Y2094" s="483"/>
      <c r="Z2094" s="483"/>
      <c r="AA2094" s="483"/>
      <c r="AB2094" s="483"/>
      <c r="AC2094" s="483"/>
      <c r="AD2094" s="483"/>
      <c r="AE2094" s="483"/>
      <c r="AF2094" s="483"/>
      <c r="AG2094" s="483"/>
      <c r="AH2094" s="483"/>
      <c r="AI2094" s="483"/>
      <c r="AJ2094" s="483"/>
      <c r="AK2094" s="483"/>
      <c r="AL2094" s="483"/>
      <c r="AM2094" s="670"/>
      <c r="AN2094" s="670"/>
      <c r="AO2094" s="711" t="str">
        <f>IF(OR(Table1[[#This Row],[Início Setup Envase]]="",Table1[[#This Row],[Final Setup Envase]]=""),"",Table1[[#This Row],[Final Setup Envase]]-Table1[[#This Row],[Início Setup Envase]])</f>
        <v/>
      </c>
      <c r="AP2094" s="670"/>
      <c r="AQ2094" s="670"/>
      <c r="AR2094" s="483"/>
      <c r="AS2094" s="483"/>
      <c r="AT2094" s="483"/>
      <c r="AU2094" s="483"/>
      <c r="AV2094" s="483"/>
      <c r="AW2094" s="483"/>
      <c r="AX2094" s="483"/>
      <c r="AY2094" s="270"/>
      <c r="AZ2094" s="270"/>
      <c r="BA2094" s="270" t="str">
        <f>IF(Table1[[#This Row],[Data de Início]]="","",YEAR(Table1[[#This Row],[Data de Início]]))</f>
        <v/>
      </c>
      <c r="BB2094" s="270" t="str">
        <f>IF(Table1[[#This Row],[Data de Início]]="","",MONTH(Table1[[#This Row],[Data de Início]]))</f>
        <v/>
      </c>
      <c r="BC2094" s="270"/>
    </row>
    <row r="2095" spans="2:55" x14ac:dyDescent="0.25">
      <c r="B2095" s="470"/>
      <c r="C2095" s="263"/>
      <c r="D2095" s="477" cm="1">
        <f t="array" ref="D2095">IFERROR(HorasUteisFabrica2Turnos(B2095,C2095), "")</f>
        <v>0</v>
      </c>
      <c r="E2095" s="697" t="str">
        <f t="shared" si="33"/>
        <v/>
      </c>
      <c r="F2095" s="266"/>
      <c r="G2095" s="698"/>
      <c r="H2095" s="266"/>
      <c r="I2095" s="268"/>
      <c r="J2095" s="268"/>
      <c r="K2095" s="268"/>
      <c r="L2095" s="269"/>
      <c r="M2095" s="510" t="str">
        <f>IFERROR(INDEX([1]Produtos!$C:$C,MATCH(L2095,[1]Produtos!$B:$B,0)), "-")</f>
        <v>-</v>
      </c>
      <c r="N2095" s="510" t="str">
        <f>IFERROR(INDEX([1]Produtos!$E:$E,MATCH(L2095,[1]Produtos!$B:$B,0)), "-")</f>
        <v>-</v>
      </c>
      <c r="O2095" s="270" t="str">
        <f>IFERROR(INDEX([1]Produtos!$F:$F,MATCH(L2095,[1]Produtos!$B:$B,0)), "-")</f>
        <v>-</v>
      </c>
      <c r="P2095" s="264" t="str">
        <f>IFERROR(INDEX([1]Produtos!$G:$G,MATCH(L2095,[1]Produtos!$B:$B,0)), "-")</f>
        <v>-</v>
      </c>
      <c r="Q2095" s="270" t="str">
        <f>IFERROR(INDEX([1]Produtos!$H:$H,MATCH(L2095,[1]Produtos!$B:$B,0)), "-")</f>
        <v>-</v>
      </c>
      <c r="R2095" s="270" t="str">
        <f>IFERROR(INDEX([1]Produtos!$I:$I,MATCH(L2095,[1]Produtos!$B:$B,0)), "-")</f>
        <v>-</v>
      </c>
      <c r="S2095" s="270" t="str">
        <f>IFERROR(INDEX([1]Produtos!$J:$J,MATCH(L2095,[1]Produtos!$B:$B,0)), "-")</f>
        <v>-</v>
      </c>
      <c r="T2095" s="475"/>
      <c r="U2095" s="270"/>
      <c r="V2095" s="270"/>
      <c r="W2095" s="270"/>
      <c r="X2095" s="270"/>
      <c r="Y2095" s="270"/>
      <c r="Z2095" s="270"/>
      <c r="AA2095" s="270"/>
      <c r="AB2095" s="270"/>
      <c r="AC2095" s="270"/>
      <c r="AD2095" s="270"/>
      <c r="AE2095" s="270"/>
      <c r="AF2095" s="270"/>
      <c r="AG2095" s="270"/>
      <c r="AH2095" s="270"/>
      <c r="AI2095" s="270"/>
      <c r="AJ2095" s="270"/>
      <c r="AK2095" s="270"/>
      <c r="AL2095" s="270"/>
      <c r="AM2095" s="663"/>
      <c r="AN2095" s="663"/>
      <c r="AO2095" s="708" t="str">
        <f>IF(OR(Table1[[#This Row],[Início Setup Envase]]="",Table1[[#This Row],[Final Setup Envase]]=""),"",Table1[[#This Row],[Final Setup Envase]]-Table1[[#This Row],[Início Setup Envase]])</f>
        <v/>
      </c>
      <c r="AP2095" s="663"/>
      <c r="AQ2095" s="663"/>
      <c r="AR2095" s="270"/>
      <c r="AS2095" s="674"/>
      <c r="AT2095" s="674"/>
      <c r="AU2095" s="270"/>
      <c r="AV2095" s="270"/>
      <c r="AW2095" s="270"/>
      <c r="AX2095" s="270"/>
      <c r="AY2095" s="270"/>
      <c r="AZ2095" s="270"/>
      <c r="BA2095" s="270" t="str">
        <f>IF(Table1[[#This Row],[Data de Início]]="","",YEAR(Table1[[#This Row],[Data de Início]]))</f>
        <v/>
      </c>
      <c r="BB2095" s="270" t="str">
        <f>IF(Table1[[#This Row],[Data de Início]]="","",MONTH(Table1[[#This Row],[Data de Início]]))</f>
        <v/>
      </c>
      <c r="BC2095" s="483"/>
    </row>
    <row r="2096" spans="2:55" x14ac:dyDescent="0.25">
      <c r="B2096" s="470"/>
      <c r="C2096" s="263"/>
      <c r="D2096" s="477" cm="1">
        <f t="array" ref="D2096">IFERROR(HorasUteisFabrica2Turnos(B2096,C2096), "")</f>
        <v>0</v>
      </c>
      <c r="E2096" s="478" t="str">
        <f t="shared" si="33"/>
        <v/>
      </c>
      <c r="F2096" s="266"/>
      <c r="G2096" s="656"/>
      <c r="H2096" s="479"/>
      <c r="I2096" s="268"/>
      <c r="J2096" s="268"/>
      <c r="K2096" s="268"/>
      <c r="L2096" s="269"/>
      <c r="M2096" s="511" t="str">
        <f>IFERROR(INDEX([1]Produtos!$C:$C,MATCH(L2096,[1]Produtos!$B:$B,0)), "-")</f>
        <v>-</v>
      </c>
      <c r="N2096" s="511" t="str">
        <f>IFERROR(INDEX([1]Produtos!$E:$E,MATCH(L2096,[1]Produtos!$B:$B,0)), "-")</f>
        <v>-</v>
      </c>
      <c r="O2096" s="483" t="str">
        <f>IFERROR(INDEX([1]Produtos!$F:$F,MATCH(L2096,[1]Produtos!$B:$B,0)), "-")</f>
        <v>-</v>
      </c>
      <c r="P2096" s="477" t="str">
        <f>IFERROR(INDEX([1]Produtos!$G:$G,MATCH(L2096,[1]Produtos!$B:$B,0)), "-")</f>
        <v>-</v>
      </c>
      <c r="Q2096" s="483" t="str">
        <f>IFERROR(INDEX([1]Produtos!$H:$H,MATCH(L2096,[1]Produtos!$B:$B,0)), "-")</f>
        <v>-</v>
      </c>
      <c r="R2096" s="483" t="str">
        <f>IFERROR(INDEX([1]Produtos!$I:$I,MATCH(L2096,[1]Produtos!$B:$B,0)), "-")</f>
        <v>-</v>
      </c>
      <c r="S2096" s="483" t="str">
        <f>IFERROR(INDEX([1]Produtos!$J:$J,MATCH(L2096,[1]Produtos!$B:$B,0)), "-")</f>
        <v>-</v>
      </c>
      <c r="T2096" s="484"/>
      <c r="U2096" s="483"/>
      <c r="V2096" s="483"/>
      <c r="W2096" s="483"/>
      <c r="X2096" s="483"/>
      <c r="Y2096" s="483"/>
      <c r="Z2096" s="483"/>
      <c r="AA2096" s="483"/>
      <c r="AB2096" s="483"/>
      <c r="AC2096" s="483"/>
      <c r="AD2096" s="483"/>
      <c r="AE2096" s="483"/>
      <c r="AF2096" s="483"/>
      <c r="AG2096" s="483"/>
      <c r="AH2096" s="483"/>
      <c r="AI2096" s="483"/>
      <c r="AJ2096" s="483"/>
      <c r="AK2096" s="483"/>
      <c r="AL2096" s="483"/>
      <c r="AM2096" s="670"/>
      <c r="AN2096" s="670"/>
      <c r="AO2096" s="711" t="str">
        <f>IF(OR(Table1[[#This Row],[Início Setup Envase]]="",Table1[[#This Row],[Final Setup Envase]]=""),"",Table1[[#This Row],[Final Setup Envase]]-Table1[[#This Row],[Início Setup Envase]])</f>
        <v/>
      </c>
      <c r="AP2096" s="670"/>
      <c r="AQ2096" s="670"/>
      <c r="AR2096" s="483"/>
      <c r="AS2096" s="483"/>
      <c r="AT2096" s="483"/>
      <c r="AU2096" s="483"/>
      <c r="AV2096" s="483"/>
      <c r="AW2096" s="483"/>
      <c r="AX2096" s="483"/>
      <c r="AY2096" s="270"/>
      <c r="AZ2096" s="270"/>
      <c r="BA2096" s="270" t="str">
        <f>IF(Table1[[#This Row],[Data de Início]]="","",YEAR(Table1[[#This Row],[Data de Início]]))</f>
        <v/>
      </c>
      <c r="BB2096" s="270" t="str">
        <f>IF(Table1[[#This Row],[Data de Início]]="","",MONTH(Table1[[#This Row],[Data de Início]]))</f>
        <v/>
      </c>
      <c r="BC2096" s="270"/>
    </row>
    <row r="2097" spans="2:55" x14ac:dyDescent="0.25">
      <c r="B2097" s="470"/>
      <c r="C2097" s="263"/>
      <c r="D2097" s="477" cm="1">
        <f t="array" ref="D2097">IFERROR(HorasUteisFabrica2Turnos(B2097,C2097), "")</f>
        <v>0</v>
      </c>
      <c r="E2097" s="697" t="str">
        <f t="shared" si="33"/>
        <v/>
      </c>
      <c r="F2097" s="266"/>
      <c r="G2097" s="698"/>
      <c r="H2097" s="266"/>
      <c r="I2097" s="268"/>
      <c r="J2097" s="268"/>
      <c r="K2097" s="268"/>
      <c r="L2097" s="269"/>
      <c r="M2097" s="510" t="str">
        <f>IFERROR(INDEX([1]Produtos!$C:$C,MATCH(L2097,[1]Produtos!$B:$B,0)), "-")</f>
        <v>-</v>
      </c>
      <c r="N2097" s="510" t="str">
        <f>IFERROR(INDEX([1]Produtos!$E:$E,MATCH(L2097,[1]Produtos!$B:$B,0)), "-")</f>
        <v>-</v>
      </c>
      <c r="O2097" s="270" t="str">
        <f>IFERROR(INDEX([1]Produtos!$F:$F,MATCH(L2097,[1]Produtos!$B:$B,0)), "-")</f>
        <v>-</v>
      </c>
      <c r="P2097" s="264" t="str">
        <f>IFERROR(INDEX([1]Produtos!$G:$G,MATCH(L2097,[1]Produtos!$B:$B,0)), "-")</f>
        <v>-</v>
      </c>
      <c r="Q2097" s="270" t="str">
        <f>IFERROR(INDEX([1]Produtos!$H:$H,MATCH(L2097,[1]Produtos!$B:$B,0)), "-")</f>
        <v>-</v>
      </c>
      <c r="R2097" s="270" t="str">
        <f>IFERROR(INDEX([1]Produtos!$I:$I,MATCH(L2097,[1]Produtos!$B:$B,0)), "-")</f>
        <v>-</v>
      </c>
      <c r="S2097" s="270" t="str">
        <f>IFERROR(INDEX([1]Produtos!$J:$J,MATCH(L2097,[1]Produtos!$B:$B,0)), "-")</f>
        <v>-</v>
      </c>
      <c r="T2097" s="475"/>
      <c r="U2097" s="270"/>
      <c r="V2097" s="270"/>
      <c r="W2097" s="270"/>
      <c r="X2097" s="270"/>
      <c r="Y2097" s="270"/>
      <c r="Z2097" s="270"/>
      <c r="AA2097" s="270"/>
      <c r="AB2097" s="270"/>
      <c r="AC2097" s="270"/>
      <c r="AD2097" s="270"/>
      <c r="AE2097" s="270"/>
      <c r="AF2097" s="270"/>
      <c r="AG2097" s="270"/>
      <c r="AH2097" s="270"/>
      <c r="AI2097" s="270"/>
      <c r="AJ2097" s="270"/>
      <c r="AK2097" s="270"/>
      <c r="AL2097" s="270"/>
      <c r="AM2097" s="663"/>
      <c r="AN2097" s="663"/>
      <c r="AO2097" s="708" t="str">
        <f>IF(OR(Table1[[#This Row],[Início Setup Envase]]="",Table1[[#This Row],[Final Setup Envase]]=""),"",Table1[[#This Row],[Final Setup Envase]]-Table1[[#This Row],[Início Setup Envase]])</f>
        <v/>
      </c>
      <c r="AP2097" s="663"/>
      <c r="AQ2097" s="663"/>
      <c r="AR2097" s="270"/>
      <c r="AS2097" s="674"/>
      <c r="AT2097" s="674"/>
      <c r="AU2097" s="270"/>
      <c r="AV2097" s="270"/>
      <c r="AW2097" s="270"/>
      <c r="AX2097" s="270"/>
      <c r="AY2097" s="270"/>
      <c r="AZ2097" s="270"/>
      <c r="BA2097" s="270" t="str">
        <f>IF(Table1[[#This Row],[Data de Início]]="","",YEAR(Table1[[#This Row],[Data de Início]]))</f>
        <v/>
      </c>
      <c r="BB2097" s="270" t="str">
        <f>IF(Table1[[#This Row],[Data de Início]]="","",MONTH(Table1[[#This Row],[Data de Início]]))</f>
        <v/>
      </c>
      <c r="BC2097" s="483"/>
    </row>
    <row r="2098" spans="2:55" x14ac:dyDescent="0.25">
      <c r="B2098" s="470"/>
      <c r="C2098" s="263"/>
      <c r="D2098" s="477" cm="1">
        <f t="array" ref="D2098">IFERROR(HorasUteisFabrica2Turnos(B2098,C2098), "")</f>
        <v>0</v>
      </c>
      <c r="E2098" s="478" t="str">
        <f t="shared" si="33"/>
        <v/>
      </c>
      <c r="F2098" s="266"/>
      <c r="G2098" s="656"/>
      <c r="H2098" s="479"/>
      <c r="I2098" s="268"/>
      <c r="J2098" s="268"/>
      <c r="K2098" s="268"/>
      <c r="L2098" s="269"/>
      <c r="M2098" s="511" t="str">
        <f>IFERROR(INDEX([1]Produtos!$C:$C,MATCH(L2098,[1]Produtos!$B:$B,0)), "-")</f>
        <v>-</v>
      </c>
      <c r="N2098" s="511" t="str">
        <f>IFERROR(INDEX([1]Produtos!$E:$E,MATCH(L2098,[1]Produtos!$B:$B,0)), "-")</f>
        <v>-</v>
      </c>
      <c r="O2098" s="483" t="str">
        <f>IFERROR(INDEX([1]Produtos!$F:$F,MATCH(L2098,[1]Produtos!$B:$B,0)), "-")</f>
        <v>-</v>
      </c>
      <c r="P2098" s="477" t="str">
        <f>IFERROR(INDEX([1]Produtos!$G:$G,MATCH(L2098,[1]Produtos!$B:$B,0)), "-")</f>
        <v>-</v>
      </c>
      <c r="Q2098" s="483" t="str">
        <f>IFERROR(INDEX([1]Produtos!$H:$H,MATCH(L2098,[1]Produtos!$B:$B,0)), "-")</f>
        <v>-</v>
      </c>
      <c r="R2098" s="483" t="str">
        <f>IFERROR(INDEX([1]Produtos!$I:$I,MATCH(L2098,[1]Produtos!$B:$B,0)), "-")</f>
        <v>-</v>
      </c>
      <c r="S2098" s="483" t="str">
        <f>IFERROR(INDEX([1]Produtos!$J:$J,MATCH(L2098,[1]Produtos!$B:$B,0)), "-")</f>
        <v>-</v>
      </c>
      <c r="T2098" s="484"/>
      <c r="U2098" s="483"/>
      <c r="V2098" s="483"/>
      <c r="W2098" s="483"/>
      <c r="X2098" s="483"/>
      <c r="Y2098" s="483"/>
      <c r="Z2098" s="483"/>
      <c r="AA2098" s="483"/>
      <c r="AB2098" s="483"/>
      <c r="AC2098" s="483"/>
      <c r="AD2098" s="483"/>
      <c r="AE2098" s="483"/>
      <c r="AF2098" s="483"/>
      <c r="AG2098" s="483"/>
      <c r="AH2098" s="483"/>
      <c r="AI2098" s="483"/>
      <c r="AJ2098" s="483"/>
      <c r="AK2098" s="483"/>
      <c r="AL2098" s="483"/>
      <c r="AM2098" s="670"/>
      <c r="AN2098" s="670"/>
      <c r="AO2098" s="711" t="str">
        <f>IF(OR(Table1[[#This Row],[Início Setup Envase]]="",Table1[[#This Row],[Final Setup Envase]]=""),"",Table1[[#This Row],[Final Setup Envase]]-Table1[[#This Row],[Início Setup Envase]])</f>
        <v/>
      </c>
      <c r="AP2098" s="670"/>
      <c r="AQ2098" s="670"/>
      <c r="AR2098" s="483"/>
      <c r="AS2098" s="483"/>
      <c r="AT2098" s="483"/>
      <c r="AU2098" s="483"/>
      <c r="AV2098" s="483"/>
      <c r="AW2098" s="483"/>
      <c r="AX2098" s="483"/>
      <c r="AY2098" s="270"/>
      <c r="AZ2098" s="270"/>
      <c r="BA2098" s="270" t="str">
        <f>IF(Table1[[#This Row],[Data de Início]]="","",YEAR(Table1[[#This Row],[Data de Início]]))</f>
        <v/>
      </c>
      <c r="BB2098" s="270" t="str">
        <f>IF(Table1[[#This Row],[Data de Início]]="","",MONTH(Table1[[#This Row],[Data de Início]]))</f>
        <v/>
      </c>
      <c r="BC2098" s="270"/>
    </row>
    <row r="2099" spans="2:55" x14ac:dyDescent="0.25">
      <c r="B2099" s="470"/>
      <c r="C2099" s="263"/>
      <c r="D2099" s="477" cm="1">
        <f t="array" ref="D2099">IFERROR(HorasUteisFabrica2Turnos(B2099,C2099), "")</f>
        <v>0</v>
      </c>
      <c r="E2099" s="697" t="str">
        <f t="shared" si="33"/>
        <v/>
      </c>
      <c r="F2099" s="266"/>
      <c r="G2099" s="698"/>
      <c r="H2099" s="266"/>
      <c r="I2099" s="268"/>
      <c r="J2099" s="268"/>
      <c r="K2099" s="268"/>
      <c r="L2099" s="269"/>
      <c r="M2099" s="510" t="str">
        <f>IFERROR(INDEX([1]Produtos!$C:$C,MATCH(L2099,[1]Produtos!$B:$B,0)), "-")</f>
        <v>-</v>
      </c>
      <c r="N2099" s="510" t="str">
        <f>IFERROR(INDEX([1]Produtos!$E:$E,MATCH(L2099,[1]Produtos!$B:$B,0)), "-")</f>
        <v>-</v>
      </c>
      <c r="O2099" s="270" t="str">
        <f>IFERROR(INDEX([1]Produtos!$F:$F,MATCH(L2099,[1]Produtos!$B:$B,0)), "-")</f>
        <v>-</v>
      </c>
      <c r="P2099" s="264" t="str">
        <f>IFERROR(INDEX([1]Produtos!$G:$G,MATCH(L2099,[1]Produtos!$B:$B,0)), "-")</f>
        <v>-</v>
      </c>
      <c r="Q2099" s="270" t="str">
        <f>IFERROR(INDEX([1]Produtos!$H:$H,MATCH(L2099,[1]Produtos!$B:$B,0)), "-")</f>
        <v>-</v>
      </c>
      <c r="R2099" s="270" t="str">
        <f>IFERROR(INDEX([1]Produtos!$I:$I,MATCH(L2099,[1]Produtos!$B:$B,0)), "-")</f>
        <v>-</v>
      </c>
      <c r="S2099" s="270" t="str">
        <f>IFERROR(INDEX([1]Produtos!$J:$J,MATCH(L2099,[1]Produtos!$B:$B,0)), "-")</f>
        <v>-</v>
      </c>
      <c r="T2099" s="475"/>
      <c r="U2099" s="270"/>
      <c r="V2099" s="270"/>
      <c r="W2099" s="270"/>
      <c r="X2099" s="270"/>
      <c r="Y2099" s="270"/>
      <c r="Z2099" s="270"/>
      <c r="AA2099" s="270"/>
      <c r="AB2099" s="270"/>
      <c r="AC2099" s="270"/>
      <c r="AD2099" s="270"/>
      <c r="AE2099" s="270"/>
      <c r="AF2099" s="270"/>
      <c r="AG2099" s="270"/>
      <c r="AH2099" s="270"/>
      <c r="AI2099" s="270"/>
      <c r="AJ2099" s="270"/>
      <c r="AK2099" s="270"/>
      <c r="AL2099" s="270"/>
      <c r="AM2099" s="663"/>
      <c r="AN2099" s="663"/>
      <c r="AO2099" s="708" t="str">
        <f>IF(OR(Table1[[#This Row],[Início Setup Envase]]="",Table1[[#This Row],[Final Setup Envase]]=""),"",Table1[[#This Row],[Final Setup Envase]]-Table1[[#This Row],[Início Setup Envase]])</f>
        <v/>
      </c>
      <c r="AP2099" s="663"/>
      <c r="AQ2099" s="663"/>
      <c r="AR2099" s="270"/>
      <c r="AS2099" s="674"/>
      <c r="AT2099" s="674"/>
      <c r="AU2099" s="270"/>
      <c r="AV2099" s="270"/>
      <c r="AW2099" s="270"/>
      <c r="AX2099" s="270"/>
      <c r="AY2099" s="270"/>
      <c r="AZ2099" s="270"/>
      <c r="BA2099" s="270" t="str">
        <f>IF(Table1[[#This Row],[Data de Início]]="","",YEAR(Table1[[#This Row],[Data de Início]]))</f>
        <v/>
      </c>
      <c r="BB2099" s="270" t="str">
        <f>IF(Table1[[#This Row],[Data de Início]]="","",MONTH(Table1[[#This Row],[Data de Início]]))</f>
        <v/>
      </c>
      <c r="BC2099" s="483"/>
    </row>
    <row r="2100" spans="2:55" x14ac:dyDescent="0.25">
      <c r="B2100" s="470"/>
      <c r="C2100" s="263"/>
      <c r="D2100" s="477" cm="1">
        <f t="array" ref="D2100">IFERROR(HorasUteisFabrica2Turnos(B2100,C2100), "")</f>
        <v>0</v>
      </c>
      <c r="E2100" s="478" t="str">
        <f t="shared" si="33"/>
        <v/>
      </c>
      <c r="F2100" s="266"/>
      <c r="G2100" s="656"/>
      <c r="H2100" s="479"/>
      <c r="I2100" s="268"/>
      <c r="J2100" s="268"/>
      <c r="K2100" s="268"/>
      <c r="L2100" s="269"/>
      <c r="M2100" s="511" t="str">
        <f>IFERROR(INDEX([1]Produtos!$C:$C,MATCH(L2100,[1]Produtos!$B:$B,0)), "-")</f>
        <v>-</v>
      </c>
      <c r="N2100" s="511" t="str">
        <f>IFERROR(INDEX([1]Produtos!$E:$E,MATCH(L2100,[1]Produtos!$B:$B,0)), "-")</f>
        <v>-</v>
      </c>
      <c r="O2100" s="483" t="str">
        <f>IFERROR(INDEX([1]Produtos!$F:$F,MATCH(L2100,[1]Produtos!$B:$B,0)), "-")</f>
        <v>-</v>
      </c>
      <c r="P2100" s="477" t="str">
        <f>IFERROR(INDEX([1]Produtos!$G:$G,MATCH(L2100,[1]Produtos!$B:$B,0)), "-")</f>
        <v>-</v>
      </c>
      <c r="Q2100" s="483" t="str">
        <f>IFERROR(INDEX([1]Produtos!$H:$H,MATCH(L2100,[1]Produtos!$B:$B,0)), "-")</f>
        <v>-</v>
      </c>
      <c r="R2100" s="483" t="str">
        <f>IFERROR(INDEX([1]Produtos!$I:$I,MATCH(L2100,[1]Produtos!$B:$B,0)), "-")</f>
        <v>-</v>
      </c>
      <c r="S2100" s="483" t="str">
        <f>IFERROR(INDEX([1]Produtos!$J:$J,MATCH(L2100,[1]Produtos!$B:$B,0)), "-")</f>
        <v>-</v>
      </c>
      <c r="T2100" s="484"/>
      <c r="U2100" s="483"/>
      <c r="V2100" s="483"/>
      <c r="W2100" s="483"/>
      <c r="X2100" s="483"/>
      <c r="Y2100" s="483"/>
      <c r="Z2100" s="483"/>
      <c r="AA2100" s="483"/>
      <c r="AB2100" s="483"/>
      <c r="AC2100" s="483"/>
      <c r="AD2100" s="483"/>
      <c r="AE2100" s="483"/>
      <c r="AF2100" s="483"/>
      <c r="AG2100" s="483"/>
      <c r="AH2100" s="483"/>
      <c r="AI2100" s="483"/>
      <c r="AJ2100" s="483"/>
      <c r="AK2100" s="483"/>
      <c r="AL2100" s="483"/>
      <c r="AM2100" s="670"/>
      <c r="AN2100" s="670"/>
      <c r="AO2100" s="711" t="str">
        <f>IF(OR(Table1[[#This Row],[Início Setup Envase]]="",Table1[[#This Row],[Final Setup Envase]]=""),"",Table1[[#This Row],[Final Setup Envase]]-Table1[[#This Row],[Início Setup Envase]])</f>
        <v/>
      </c>
      <c r="AP2100" s="670"/>
      <c r="AQ2100" s="670"/>
      <c r="AR2100" s="483"/>
      <c r="AS2100" s="483"/>
      <c r="AT2100" s="483"/>
      <c r="AU2100" s="483"/>
      <c r="AV2100" s="483"/>
      <c r="AW2100" s="483"/>
      <c r="AX2100" s="483"/>
      <c r="AY2100" s="270"/>
      <c r="AZ2100" s="270"/>
      <c r="BA2100" s="270" t="str">
        <f>IF(Table1[[#This Row],[Data de Início]]="","",YEAR(Table1[[#This Row],[Data de Início]]))</f>
        <v/>
      </c>
      <c r="BB2100" s="270" t="str">
        <f>IF(Table1[[#This Row],[Data de Início]]="","",MONTH(Table1[[#This Row],[Data de Início]]))</f>
        <v/>
      </c>
      <c r="BC2100" s="270"/>
    </row>
    <row r="2101" spans="2:55" x14ac:dyDescent="0.25">
      <c r="B2101" s="470"/>
      <c r="C2101" s="263"/>
      <c r="D2101" s="477" cm="1">
        <f t="array" ref="D2101">IFERROR(HorasUteisFabrica2Turnos(B2101,C2101), "")</f>
        <v>0</v>
      </c>
      <c r="E2101" s="697" t="str">
        <f t="shared" si="33"/>
        <v/>
      </c>
      <c r="F2101" s="266"/>
      <c r="G2101" s="698"/>
      <c r="H2101" s="266"/>
      <c r="I2101" s="268"/>
      <c r="J2101" s="268"/>
      <c r="K2101" s="268"/>
      <c r="L2101" s="269"/>
      <c r="M2101" s="510" t="str">
        <f>IFERROR(INDEX([1]Produtos!$C:$C,MATCH(L2101,[1]Produtos!$B:$B,0)), "-")</f>
        <v>-</v>
      </c>
      <c r="N2101" s="510" t="str">
        <f>IFERROR(INDEX([1]Produtos!$E:$E,MATCH(L2101,[1]Produtos!$B:$B,0)), "-")</f>
        <v>-</v>
      </c>
      <c r="O2101" s="270" t="str">
        <f>IFERROR(INDEX([1]Produtos!$F:$F,MATCH(L2101,[1]Produtos!$B:$B,0)), "-")</f>
        <v>-</v>
      </c>
      <c r="P2101" s="264" t="str">
        <f>IFERROR(INDEX([1]Produtos!$G:$G,MATCH(L2101,[1]Produtos!$B:$B,0)), "-")</f>
        <v>-</v>
      </c>
      <c r="Q2101" s="270" t="str">
        <f>IFERROR(INDEX([1]Produtos!$H:$H,MATCH(L2101,[1]Produtos!$B:$B,0)), "-")</f>
        <v>-</v>
      </c>
      <c r="R2101" s="270" t="str">
        <f>IFERROR(INDEX([1]Produtos!$I:$I,MATCH(L2101,[1]Produtos!$B:$B,0)), "-")</f>
        <v>-</v>
      </c>
      <c r="S2101" s="270" t="str">
        <f>IFERROR(INDEX([1]Produtos!$J:$J,MATCH(L2101,[1]Produtos!$B:$B,0)), "-")</f>
        <v>-</v>
      </c>
      <c r="T2101" s="475"/>
      <c r="U2101" s="270"/>
      <c r="V2101" s="270"/>
      <c r="W2101" s="270"/>
      <c r="X2101" s="270"/>
      <c r="Y2101" s="270"/>
      <c r="Z2101" s="270"/>
      <c r="AA2101" s="270"/>
      <c r="AB2101" s="270"/>
      <c r="AC2101" s="270"/>
      <c r="AD2101" s="270"/>
      <c r="AE2101" s="270"/>
      <c r="AF2101" s="270"/>
      <c r="AG2101" s="270"/>
      <c r="AH2101" s="270"/>
      <c r="AI2101" s="270"/>
      <c r="AJ2101" s="270"/>
      <c r="AK2101" s="270"/>
      <c r="AL2101" s="270"/>
      <c r="AM2101" s="663"/>
      <c r="AN2101" s="663"/>
      <c r="AO2101" s="708" t="str">
        <f>IF(OR(Table1[[#This Row],[Início Setup Envase]]="",Table1[[#This Row],[Final Setup Envase]]=""),"",Table1[[#This Row],[Final Setup Envase]]-Table1[[#This Row],[Início Setup Envase]])</f>
        <v/>
      </c>
      <c r="AP2101" s="663"/>
      <c r="AQ2101" s="663"/>
      <c r="AR2101" s="270"/>
      <c r="AS2101" s="674"/>
      <c r="AT2101" s="674"/>
      <c r="AU2101" s="270"/>
      <c r="AV2101" s="270"/>
      <c r="AW2101" s="270"/>
      <c r="AX2101" s="270"/>
      <c r="AY2101" s="270"/>
      <c r="AZ2101" s="270"/>
      <c r="BA2101" s="270" t="str">
        <f>IF(Table1[[#This Row],[Data de Início]]="","",YEAR(Table1[[#This Row],[Data de Início]]))</f>
        <v/>
      </c>
      <c r="BB2101" s="270" t="str">
        <f>IF(Table1[[#This Row],[Data de Início]]="","",MONTH(Table1[[#This Row],[Data de Início]]))</f>
        <v/>
      </c>
      <c r="BC2101" s="483"/>
    </row>
    <row r="2102" spans="2:55" x14ac:dyDescent="0.25">
      <c r="B2102" s="470"/>
      <c r="C2102" s="263"/>
      <c r="D2102" s="477" cm="1">
        <f t="array" ref="D2102">IFERROR(HorasUteisFabrica2Turnos(B2102,C2102), "")</f>
        <v>0</v>
      </c>
      <c r="E2102" s="478" t="str">
        <f t="shared" si="33"/>
        <v/>
      </c>
      <c r="F2102" s="266"/>
      <c r="G2102" s="656"/>
      <c r="H2102" s="479"/>
      <c r="I2102" s="268"/>
      <c r="J2102" s="268"/>
      <c r="K2102" s="268"/>
      <c r="L2102" s="269"/>
      <c r="M2102" s="511" t="str">
        <f>IFERROR(INDEX([1]Produtos!$C:$C,MATCH(L2102,[1]Produtos!$B:$B,0)), "-")</f>
        <v>-</v>
      </c>
      <c r="N2102" s="511" t="str">
        <f>IFERROR(INDEX([1]Produtos!$E:$E,MATCH(L2102,[1]Produtos!$B:$B,0)), "-")</f>
        <v>-</v>
      </c>
      <c r="O2102" s="483" t="str">
        <f>IFERROR(INDEX([1]Produtos!$F:$F,MATCH(L2102,[1]Produtos!$B:$B,0)), "-")</f>
        <v>-</v>
      </c>
      <c r="P2102" s="477" t="str">
        <f>IFERROR(INDEX([1]Produtos!$G:$G,MATCH(L2102,[1]Produtos!$B:$B,0)), "-")</f>
        <v>-</v>
      </c>
      <c r="Q2102" s="483" t="str">
        <f>IFERROR(INDEX([1]Produtos!$H:$H,MATCH(L2102,[1]Produtos!$B:$B,0)), "-")</f>
        <v>-</v>
      </c>
      <c r="R2102" s="483" t="str">
        <f>IFERROR(INDEX([1]Produtos!$I:$I,MATCH(L2102,[1]Produtos!$B:$B,0)), "-")</f>
        <v>-</v>
      </c>
      <c r="S2102" s="483" t="str">
        <f>IFERROR(INDEX([1]Produtos!$J:$J,MATCH(L2102,[1]Produtos!$B:$B,0)), "-")</f>
        <v>-</v>
      </c>
      <c r="T2102" s="484"/>
      <c r="U2102" s="483"/>
      <c r="V2102" s="483"/>
      <c r="W2102" s="483"/>
      <c r="X2102" s="483"/>
      <c r="Y2102" s="483"/>
      <c r="Z2102" s="483"/>
      <c r="AA2102" s="483"/>
      <c r="AB2102" s="483"/>
      <c r="AC2102" s="483"/>
      <c r="AD2102" s="483"/>
      <c r="AE2102" s="483"/>
      <c r="AF2102" s="483"/>
      <c r="AG2102" s="483"/>
      <c r="AH2102" s="483"/>
      <c r="AI2102" s="483"/>
      <c r="AJ2102" s="483"/>
      <c r="AK2102" s="483"/>
      <c r="AL2102" s="483"/>
      <c r="AM2102" s="670"/>
      <c r="AN2102" s="670"/>
      <c r="AO2102" s="711" t="str">
        <f>IF(OR(Table1[[#This Row],[Início Setup Envase]]="",Table1[[#This Row],[Final Setup Envase]]=""),"",Table1[[#This Row],[Final Setup Envase]]-Table1[[#This Row],[Início Setup Envase]])</f>
        <v/>
      </c>
      <c r="AP2102" s="670"/>
      <c r="AQ2102" s="670"/>
      <c r="AR2102" s="483"/>
      <c r="AS2102" s="483"/>
      <c r="AT2102" s="483"/>
      <c r="AU2102" s="483"/>
      <c r="AV2102" s="483"/>
      <c r="AW2102" s="483"/>
      <c r="AX2102" s="483"/>
      <c r="AY2102" s="270"/>
      <c r="AZ2102" s="270"/>
      <c r="BA2102" s="270" t="str">
        <f>IF(Table1[[#This Row],[Data de Início]]="","",YEAR(Table1[[#This Row],[Data de Início]]))</f>
        <v/>
      </c>
      <c r="BB2102" s="270" t="str">
        <f>IF(Table1[[#This Row],[Data de Início]]="","",MONTH(Table1[[#This Row],[Data de Início]]))</f>
        <v/>
      </c>
      <c r="BC2102" s="270"/>
    </row>
    <row r="2103" spans="2:55" x14ac:dyDescent="0.25">
      <c r="B2103" s="470"/>
      <c r="C2103" s="263"/>
      <c r="D2103" s="477" cm="1">
        <f t="array" ref="D2103">IFERROR(HorasUteisFabrica2Turnos(B2103,C2103), "")</f>
        <v>0</v>
      </c>
      <c r="E2103" s="697" t="str">
        <f t="shared" si="33"/>
        <v/>
      </c>
      <c r="F2103" s="266"/>
      <c r="G2103" s="698"/>
      <c r="H2103" s="266"/>
      <c r="I2103" s="268"/>
      <c r="J2103" s="268"/>
      <c r="K2103" s="268"/>
      <c r="L2103" s="269"/>
      <c r="M2103" s="510" t="str">
        <f>IFERROR(INDEX([1]Produtos!$C:$C,MATCH(L2103,[1]Produtos!$B:$B,0)), "-")</f>
        <v>-</v>
      </c>
      <c r="N2103" s="510" t="str">
        <f>IFERROR(INDEX([1]Produtos!$E:$E,MATCH(L2103,[1]Produtos!$B:$B,0)), "-")</f>
        <v>-</v>
      </c>
      <c r="O2103" s="270" t="str">
        <f>IFERROR(INDEX([1]Produtos!$F:$F,MATCH(L2103,[1]Produtos!$B:$B,0)), "-")</f>
        <v>-</v>
      </c>
      <c r="P2103" s="264" t="str">
        <f>IFERROR(INDEX([1]Produtos!$G:$G,MATCH(L2103,[1]Produtos!$B:$B,0)), "-")</f>
        <v>-</v>
      </c>
      <c r="Q2103" s="270" t="str">
        <f>IFERROR(INDEX([1]Produtos!$H:$H,MATCH(L2103,[1]Produtos!$B:$B,0)), "-")</f>
        <v>-</v>
      </c>
      <c r="R2103" s="270" t="str">
        <f>IFERROR(INDEX([1]Produtos!$I:$I,MATCH(L2103,[1]Produtos!$B:$B,0)), "-")</f>
        <v>-</v>
      </c>
      <c r="S2103" s="270" t="str">
        <f>IFERROR(INDEX([1]Produtos!$J:$J,MATCH(L2103,[1]Produtos!$B:$B,0)), "-")</f>
        <v>-</v>
      </c>
      <c r="T2103" s="475"/>
      <c r="U2103" s="270"/>
      <c r="V2103" s="270"/>
      <c r="W2103" s="270"/>
      <c r="X2103" s="270"/>
      <c r="Y2103" s="270"/>
      <c r="Z2103" s="270"/>
      <c r="AA2103" s="270"/>
      <c r="AB2103" s="270"/>
      <c r="AC2103" s="270"/>
      <c r="AD2103" s="270"/>
      <c r="AE2103" s="270"/>
      <c r="AF2103" s="270"/>
      <c r="AG2103" s="270"/>
      <c r="AH2103" s="270"/>
      <c r="AI2103" s="270"/>
      <c r="AJ2103" s="270"/>
      <c r="AK2103" s="270"/>
      <c r="AL2103" s="270"/>
      <c r="AM2103" s="663"/>
      <c r="AN2103" s="663"/>
      <c r="AO2103" s="708" t="str">
        <f>IF(OR(Table1[[#This Row],[Início Setup Envase]]="",Table1[[#This Row],[Final Setup Envase]]=""),"",Table1[[#This Row],[Final Setup Envase]]-Table1[[#This Row],[Início Setup Envase]])</f>
        <v/>
      </c>
      <c r="AP2103" s="663"/>
      <c r="AQ2103" s="663"/>
      <c r="AR2103" s="270"/>
      <c r="AS2103" s="674"/>
      <c r="AT2103" s="674"/>
      <c r="AU2103" s="270"/>
      <c r="AV2103" s="270"/>
      <c r="AW2103" s="270"/>
      <c r="AX2103" s="270"/>
      <c r="AY2103" s="270"/>
      <c r="AZ2103" s="270"/>
      <c r="BA2103" s="270" t="str">
        <f>IF(Table1[[#This Row],[Data de Início]]="","",YEAR(Table1[[#This Row],[Data de Início]]))</f>
        <v/>
      </c>
      <c r="BB2103" s="270" t="str">
        <f>IF(Table1[[#This Row],[Data de Início]]="","",MONTH(Table1[[#This Row],[Data de Início]]))</f>
        <v/>
      </c>
      <c r="BC2103" s="483"/>
    </row>
    <row r="2104" spans="2:55" x14ac:dyDescent="0.25">
      <c r="B2104" s="470"/>
      <c r="C2104" s="263"/>
      <c r="D2104" s="477" cm="1">
        <f t="array" ref="D2104">IFERROR(HorasUteisFabrica2Turnos(B2104,C2104), "")</f>
        <v>0</v>
      </c>
      <c r="E2104" s="478" t="str">
        <f t="shared" si="33"/>
        <v/>
      </c>
      <c r="F2104" s="266"/>
      <c r="G2104" s="656"/>
      <c r="H2104" s="479"/>
      <c r="I2104" s="268"/>
      <c r="J2104" s="268"/>
      <c r="K2104" s="268"/>
      <c r="L2104" s="269"/>
      <c r="M2104" s="511" t="str">
        <f>IFERROR(INDEX([1]Produtos!$C:$C,MATCH(L2104,[1]Produtos!$B:$B,0)), "-")</f>
        <v>-</v>
      </c>
      <c r="N2104" s="511" t="str">
        <f>IFERROR(INDEX([1]Produtos!$E:$E,MATCH(L2104,[1]Produtos!$B:$B,0)), "-")</f>
        <v>-</v>
      </c>
      <c r="O2104" s="483" t="str">
        <f>IFERROR(INDEX([1]Produtos!$F:$F,MATCH(L2104,[1]Produtos!$B:$B,0)), "-")</f>
        <v>-</v>
      </c>
      <c r="P2104" s="477" t="str">
        <f>IFERROR(INDEX([1]Produtos!$G:$G,MATCH(L2104,[1]Produtos!$B:$B,0)), "-")</f>
        <v>-</v>
      </c>
      <c r="Q2104" s="483" t="str">
        <f>IFERROR(INDEX([1]Produtos!$H:$H,MATCH(L2104,[1]Produtos!$B:$B,0)), "-")</f>
        <v>-</v>
      </c>
      <c r="R2104" s="483" t="str">
        <f>IFERROR(INDEX([1]Produtos!$I:$I,MATCH(L2104,[1]Produtos!$B:$B,0)), "-")</f>
        <v>-</v>
      </c>
      <c r="S2104" s="483" t="str">
        <f>IFERROR(INDEX([1]Produtos!$J:$J,MATCH(L2104,[1]Produtos!$B:$B,0)), "-")</f>
        <v>-</v>
      </c>
      <c r="T2104" s="484"/>
      <c r="U2104" s="483"/>
      <c r="V2104" s="483"/>
      <c r="W2104" s="483"/>
      <c r="X2104" s="483"/>
      <c r="Y2104" s="483"/>
      <c r="Z2104" s="483"/>
      <c r="AA2104" s="483"/>
      <c r="AB2104" s="483"/>
      <c r="AC2104" s="483"/>
      <c r="AD2104" s="483"/>
      <c r="AE2104" s="483"/>
      <c r="AF2104" s="483"/>
      <c r="AG2104" s="483"/>
      <c r="AH2104" s="483"/>
      <c r="AI2104" s="483"/>
      <c r="AJ2104" s="483"/>
      <c r="AK2104" s="483"/>
      <c r="AL2104" s="483"/>
      <c r="AM2104" s="670"/>
      <c r="AN2104" s="670"/>
      <c r="AO2104" s="711" t="str">
        <f>IF(OR(Table1[[#This Row],[Início Setup Envase]]="",Table1[[#This Row],[Final Setup Envase]]=""),"",Table1[[#This Row],[Final Setup Envase]]-Table1[[#This Row],[Início Setup Envase]])</f>
        <v/>
      </c>
      <c r="AP2104" s="670"/>
      <c r="AQ2104" s="670"/>
      <c r="AR2104" s="483"/>
      <c r="AS2104" s="483"/>
      <c r="AT2104" s="483"/>
      <c r="AU2104" s="483"/>
      <c r="AV2104" s="483"/>
      <c r="AW2104" s="483"/>
      <c r="AX2104" s="483"/>
      <c r="AY2104" s="270"/>
      <c r="AZ2104" s="270"/>
      <c r="BA2104" s="270" t="str">
        <f>IF(Table1[[#This Row],[Data de Início]]="","",YEAR(Table1[[#This Row],[Data de Início]]))</f>
        <v/>
      </c>
      <c r="BB2104" s="270" t="str">
        <f>IF(Table1[[#This Row],[Data de Início]]="","",MONTH(Table1[[#This Row],[Data de Início]]))</f>
        <v/>
      </c>
      <c r="BC2104" s="270"/>
    </row>
    <row r="2105" spans="2:55" x14ac:dyDescent="0.25">
      <c r="B2105" s="470"/>
      <c r="C2105" s="263"/>
      <c r="D2105" s="477" cm="1">
        <f t="array" ref="D2105">IFERROR(HorasUteisFabrica2Turnos(B2105,C2105), "")</f>
        <v>0</v>
      </c>
      <c r="E2105" s="697" t="str">
        <f t="shared" si="33"/>
        <v/>
      </c>
      <c r="F2105" s="266"/>
      <c r="G2105" s="698"/>
      <c r="H2105" s="266"/>
      <c r="I2105" s="268"/>
      <c r="J2105" s="268"/>
      <c r="K2105" s="268"/>
      <c r="L2105" s="269"/>
      <c r="M2105" s="510" t="str">
        <f>IFERROR(INDEX([1]Produtos!$C:$C,MATCH(L2105,[1]Produtos!$B:$B,0)), "-")</f>
        <v>-</v>
      </c>
      <c r="N2105" s="510" t="str">
        <f>IFERROR(INDEX([1]Produtos!$E:$E,MATCH(L2105,[1]Produtos!$B:$B,0)), "-")</f>
        <v>-</v>
      </c>
      <c r="O2105" s="270" t="str">
        <f>IFERROR(INDEX([1]Produtos!$F:$F,MATCH(L2105,[1]Produtos!$B:$B,0)), "-")</f>
        <v>-</v>
      </c>
      <c r="P2105" s="264" t="str">
        <f>IFERROR(INDEX([1]Produtos!$G:$G,MATCH(L2105,[1]Produtos!$B:$B,0)), "-")</f>
        <v>-</v>
      </c>
      <c r="Q2105" s="270" t="str">
        <f>IFERROR(INDEX([1]Produtos!$H:$H,MATCH(L2105,[1]Produtos!$B:$B,0)), "-")</f>
        <v>-</v>
      </c>
      <c r="R2105" s="270" t="str">
        <f>IFERROR(INDEX([1]Produtos!$I:$I,MATCH(L2105,[1]Produtos!$B:$B,0)), "-")</f>
        <v>-</v>
      </c>
      <c r="S2105" s="270" t="str">
        <f>IFERROR(INDEX([1]Produtos!$J:$J,MATCH(L2105,[1]Produtos!$B:$B,0)), "-")</f>
        <v>-</v>
      </c>
      <c r="T2105" s="475"/>
      <c r="U2105" s="270"/>
      <c r="V2105" s="270"/>
      <c r="W2105" s="270"/>
      <c r="X2105" s="270"/>
      <c r="Y2105" s="270"/>
      <c r="Z2105" s="270"/>
      <c r="AA2105" s="270"/>
      <c r="AB2105" s="270"/>
      <c r="AC2105" s="270"/>
      <c r="AD2105" s="270"/>
      <c r="AE2105" s="270"/>
      <c r="AF2105" s="270"/>
      <c r="AG2105" s="270"/>
      <c r="AH2105" s="270"/>
      <c r="AI2105" s="270"/>
      <c r="AJ2105" s="270"/>
      <c r="AK2105" s="270"/>
      <c r="AL2105" s="270"/>
      <c r="AM2105" s="663"/>
      <c r="AN2105" s="663"/>
      <c r="AO2105" s="708" t="str">
        <f>IF(OR(Table1[[#This Row],[Início Setup Envase]]="",Table1[[#This Row],[Final Setup Envase]]=""),"",Table1[[#This Row],[Final Setup Envase]]-Table1[[#This Row],[Início Setup Envase]])</f>
        <v/>
      </c>
      <c r="AP2105" s="663"/>
      <c r="AQ2105" s="663"/>
      <c r="AR2105" s="270"/>
      <c r="AS2105" s="674"/>
      <c r="AT2105" s="674"/>
      <c r="AU2105" s="270"/>
      <c r="AV2105" s="270"/>
      <c r="AW2105" s="270"/>
      <c r="AX2105" s="270"/>
      <c r="AY2105" s="270"/>
      <c r="AZ2105" s="270"/>
      <c r="BA2105" s="270" t="str">
        <f>IF(Table1[[#This Row],[Data de Início]]="","",YEAR(Table1[[#This Row],[Data de Início]]))</f>
        <v/>
      </c>
      <c r="BB2105" s="270" t="str">
        <f>IF(Table1[[#This Row],[Data de Início]]="","",MONTH(Table1[[#This Row],[Data de Início]]))</f>
        <v/>
      </c>
      <c r="BC2105" s="483"/>
    </row>
    <row r="2106" spans="2:55" x14ac:dyDescent="0.25">
      <c r="B2106" s="470"/>
      <c r="C2106" s="263"/>
      <c r="D2106" s="477" cm="1">
        <f t="array" ref="D2106">IFERROR(HorasUteisFabrica2Turnos(B2106,C2106), "")</f>
        <v>0</v>
      </c>
      <c r="E2106" s="478" t="str">
        <f t="shared" si="33"/>
        <v/>
      </c>
      <c r="F2106" s="266"/>
      <c r="G2106" s="656"/>
      <c r="H2106" s="479"/>
      <c r="I2106" s="268"/>
      <c r="J2106" s="268"/>
      <c r="K2106" s="268"/>
      <c r="L2106" s="269"/>
      <c r="M2106" s="511" t="str">
        <f>IFERROR(INDEX([1]Produtos!$C:$C,MATCH(L2106,[1]Produtos!$B:$B,0)), "-")</f>
        <v>-</v>
      </c>
      <c r="N2106" s="511" t="str">
        <f>IFERROR(INDEX([1]Produtos!$E:$E,MATCH(L2106,[1]Produtos!$B:$B,0)), "-")</f>
        <v>-</v>
      </c>
      <c r="O2106" s="483" t="str">
        <f>IFERROR(INDEX([1]Produtos!$F:$F,MATCH(L2106,[1]Produtos!$B:$B,0)), "-")</f>
        <v>-</v>
      </c>
      <c r="P2106" s="477" t="str">
        <f>IFERROR(INDEX([1]Produtos!$G:$G,MATCH(L2106,[1]Produtos!$B:$B,0)), "-")</f>
        <v>-</v>
      </c>
      <c r="Q2106" s="483" t="str">
        <f>IFERROR(INDEX([1]Produtos!$H:$H,MATCH(L2106,[1]Produtos!$B:$B,0)), "-")</f>
        <v>-</v>
      </c>
      <c r="R2106" s="483" t="str">
        <f>IFERROR(INDEX([1]Produtos!$I:$I,MATCH(L2106,[1]Produtos!$B:$B,0)), "-")</f>
        <v>-</v>
      </c>
      <c r="S2106" s="483" t="str">
        <f>IFERROR(INDEX([1]Produtos!$J:$J,MATCH(L2106,[1]Produtos!$B:$B,0)), "-")</f>
        <v>-</v>
      </c>
      <c r="T2106" s="484"/>
      <c r="U2106" s="483"/>
      <c r="V2106" s="483"/>
      <c r="W2106" s="483"/>
      <c r="X2106" s="483"/>
      <c r="Y2106" s="483"/>
      <c r="Z2106" s="483"/>
      <c r="AA2106" s="483"/>
      <c r="AB2106" s="483"/>
      <c r="AC2106" s="483"/>
      <c r="AD2106" s="483"/>
      <c r="AE2106" s="483"/>
      <c r="AF2106" s="483"/>
      <c r="AG2106" s="483"/>
      <c r="AH2106" s="483"/>
      <c r="AI2106" s="483"/>
      <c r="AJ2106" s="483"/>
      <c r="AK2106" s="483"/>
      <c r="AL2106" s="483"/>
      <c r="AM2106" s="670"/>
      <c r="AN2106" s="670"/>
      <c r="AO2106" s="711" t="str">
        <f>IF(OR(Table1[[#This Row],[Início Setup Envase]]="",Table1[[#This Row],[Final Setup Envase]]=""),"",Table1[[#This Row],[Final Setup Envase]]-Table1[[#This Row],[Início Setup Envase]])</f>
        <v/>
      </c>
      <c r="AP2106" s="670"/>
      <c r="AQ2106" s="670"/>
      <c r="AR2106" s="483"/>
      <c r="AS2106" s="483"/>
      <c r="AT2106" s="483"/>
      <c r="AU2106" s="483"/>
      <c r="AV2106" s="483"/>
      <c r="AW2106" s="483"/>
      <c r="AX2106" s="483"/>
      <c r="AY2106" s="270"/>
      <c r="AZ2106" s="270"/>
      <c r="BA2106" s="270" t="str">
        <f>IF(Table1[[#This Row],[Data de Início]]="","",YEAR(Table1[[#This Row],[Data de Início]]))</f>
        <v/>
      </c>
      <c r="BB2106" s="270" t="str">
        <f>IF(Table1[[#This Row],[Data de Início]]="","",MONTH(Table1[[#This Row],[Data de Início]]))</f>
        <v/>
      </c>
      <c r="BC2106" s="270"/>
    </row>
    <row r="2107" spans="2:55" x14ac:dyDescent="0.25">
      <c r="B2107" s="470"/>
      <c r="C2107" s="263"/>
      <c r="D2107" s="477" cm="1">
        <f t="array" ref="D2107">IFERROR(HorasUteisFabrica2Turnos(B2107,C2107), "")</f>
        <v>0</v>
      </c>
      <c r="E2107" s="697" t="str">
        <f t="shared" si="33"/>
        <v/>
      </c>
      <c r="F2107" s="266"/>
      <c r="G2107" s="698"/>
      <c r="H2107" s="266"/>
      <c r="I2107" s="268"/>
      <c r="J2107" s="268"/>
      <c r="K2107" s="268"/>
      <c r="L2107" s="269"/>
      <c r="M2107" s="510" t="str">
        <f>IFERROR(INDEX([1]Produtos!$C:$C,MATCH(L2107,[1]Produtos!$B:$B,0)), "-")</f>
        <v>-</v>
      </c>
      <c r="N2107" s="510" t="str">
        <f>IFERROR(INDEX([1]Produtos!$E:$E,MATCH(L2107,[1]Produtos!$B:$B,0)), "-")</f>
        <v>-</v>
      </c>
      <c r="O2107" s="270" t="str">
        <f>IFERROR(INDEX([1]Produtos!$F:$F,MATCH(L2107,[1]Produtos!$B:$B,0)), "-")</f>
        <v>-</v>
      </c>
      <c r="P2107" s="264" t="str">
        <f>IFERROR(INDEX([1]Produtos!$G:$G,MATCH(L2107,[1]Produtos!$B:$B,0)), "-")</f>
        <v>-</v>
      </c>
      <c r="Q2107" s="270" t="str">
        <f>IFERROR(INDEX([1]Produtos!$H:$H,MATCH(L2107,[1]Produtos!$B:$B,0)), "-")</f>
        <v>-</v>
      </c>
      <c r="R2107" s="270" t="str">
        <f>IFERROR(INDEX([1]Produtos!$I:$I,MATCH(L2107,[1]Produtos!$B:$B,0)), "-")</f>
        <v>-</v>
      </c>
      <c r="S2107" s="270" t="str">
        <f>IFERROR(INDEX([1]Produtos!$J:$J,MATCH(L2107,[1]Produtos!$B:$B,0)), "-")</f>
        <v>-</v>
      </c>
      <c r="T2107" s="475"/>
      <c r="U2107" s="270"/>
      <c r="V2107" s="270"/>
      <c r="W2107" s="270"/>
      <c r="X2107" s="270"/>
      <c r="Y2107" s="270"/>
      <c r="Z2107" s="270"/>
      <c r="AA2107" s="270"/>
      <c r="AB2107" s="270"/>
      <c r="AC2107" s="270"/>
      <c r="AD2107" s="270"/>
      <c r="AE2107" s="270"/>
      <c r="AF2107" s="270"/>
      <c r="AG2107" s="270"/>
      <c r="AH2107" s="270"/>
      <c r="AI2107" s="270"/>
      <c r="AJ2107" s="270"/>
      <c r="AK2107" s="270"/>
      <c r="AL2107" s="270"/>
      <c r="AM2107" s="663"/>
      <c r="AN2107" s="663"/>
      <c r="AO2107" s="708" t="str">
        <f>IF(OR(Table1[[#This Row],[Início Setup Envase]]="",Table1[[#This Row],[Final Setup Envase]]=""),"",Table1[[#This Row],[Final Setup Envase]]-Table1[[#This Row],[Início Setup Envase]])</f>
        <v/>
      </c>
      <c r="AP2107" s="663"/>
      <c r="AQ2107" s="663"/>
      <c r="AR2107" s="270"/>
      <c r="AS2107" s="674"/>
      <c r="AT2107" s="674"/>
      <c r="AU2107" s="270"/>
      <c r="AV2107" s="270"/>
      <c r="AW2107" s="270"/>
      <c r="AX2107" s="270"/>
      <c r="AY2107" s="270"/>
      <c r="AZ2107" s="270"/>
      <c r="BA2107" s="270" t="str">
        <f>IF(Table1[[#This Row],[Data de Início]]="","",YEAR(Table1[[#This Row],[Data de Início]]))</f>
        <v/>
      </c>
      <c r="BB2107" s="270" t="str">
        <f>IF(Table1[[#This Row],[Data de Início]]="","",MONTH(Table1[[#This Row],[Data de Início]]))</f>
        <v/>
      </c>
      <c r="BC2107" s="483"/>
    </row>
    <row r="2108" spans="2:55" x14ac:dyDescent="0.25">
      <c r="B2108" s="470"/>
      <c r="C2108" s="263"/>
      <c r="D2108" s="477" cm="1">
        <f t="array" ref="D2108">IFERROR(HorasUteisFabrica2Turnos(B2108,C2108), "")</f>
        <v>0</v>
      </c>
      <c r="E2108" s="478" t="str">
        <f t="shared" si="33"/>
        <v/>
      </c>
      <c r="F2108" s="266"/>
      <c r="G2108" s="656"/>
      <c r="H2108" s="479"/>
      <c r="I2108" s="268"/>
      <c r="J2108" s="268"/>
      <c r="K2108" s="268"/>
      <c r="L2108" s="269"/>
      <c r="M2108" s="511" t="str">
        <f>IFERROR(INDEX([1]Produtos!$C:$C,MATCH(L2108,[1]Produtos!$B:$B,0)), "-")</f>
        <v>-</v>
      </c>
      <c r="N2108" s="511" t="str">
        <f>IFERROR(INDEX([1]Produtos!$E:$E,MATCH(L2108,[1]Produtos!$B:$B,0)), "-")</f>
        <v>-</v>
      </c>
      <c r="O2108" s="483" t="str">
        <f>IFERROR(INDEX([1]Produtos!$F:$F,MATCH(L2108,[1]Produtos!$B:$B,0)), "-")</f>
        <v>-</v>
      </c>
      <c r="P2108" s="477" t="str">
        <f>IFERROR(INDEX([1]Produtos!$G:$G,MATCH(L2108,[1]Produtos!$B:$B,0)), "-")</f>
        <v>-</v>
      </c>
      <c r="Q2108" s="483" t="str">
        <f>IFERROR(INDEX([1]Produtos!$H:$H,MATCH(L2108,[1]Produtos!$B:$B,0)), "-")</f>
        <v>-</v>
      </c>
      <c r="R2108" s="483" t="str">
        <f>IFERROR(INDEX([1]Produtos!$I:$I,MATCH(L2108,[1]Produtos!$B:$B,0)), "-")</f>
        <v>-</v>
      </c>
      <c r="S2108" s="483" t="str">
        <f>IFERROR(INDEX([1]Produtos!$J:$J,MATCH(L2108,[1]Produtos!$B:$B,0)), "-")</f>
        <v>-</v>
      </c>
      <c r="T2108" s="484"/>
      <c r="U2108" s="483"/>
      <c r="V2108" s="483"/>
      <c r="W2108" s="483"/>
      <c r="X2108" s="483"/>
      <c r="Y2108" s="483"/>
      <c r="Z2108" s="483"/>
      <c r="AA2108" s="483"/>
      <c r="AB2108" s="483"/>
      <c r="AC2108" s="483"/>
      <c r="AD2108" s="483"/>
      <c r="AE2108" s="483"/>
      <c r="AF2108" s="483"/>
      <c r="AG2108" s="483"/>
      <c r="AH2108" s="483"/>
      <c r="AI2108" s="483"/>
      <c r="AJ2108" s="483"/>
      <c r="AK2108" s="483"/>
      <c r="AL2108" s="483"/>
      <c r="AM2108" s="670"/>
      <c r="AN2108" s="670"/>
      <c r="AO2108" s="711" t="str">
        <f>IF(OR(Table1[[#This Row],[Início Setup Envase]]="",Table1[[#This Row],[Final Setup Envase]]=""),"",Table1[[#This Row],[Final Setup Envase]]-Table1[[#This Row],[Início Setup Envase]])</f>
        <v/>
      </c>
      <c r="AP2108" s="670"/>
      <c r="AQ2108" s="670"/>
      <c r="AR2108" s="483"/>
      <c r="AS2108" s="483"/>
      <c r="AT2108" s="483"/>
      <c r="AU2108" s="483"/>
      <c r="AV2108" s="483"/>
      <c r="AW2108" s="483"/>
      <c r="AX2108" s="483"/>
      <c r="AY2108" s="270"/>
      <c r="AZ2108" s="270"/>
      <c r="BA2108" s="270" t="str">
        <f>IF(Table1[[#This Row],[Data de Início]]="","",YEAR(Table1[[#This Row],[Data de Início]]))</f>
        <v/>
      </c>
      <c r="BB2108" s="270" t="str">
        <f>IF(Table1[[#This Row],[Data de Início]]="","",MONTH(Table1[[#This Row],[Data de Início]]))</f>
        <v/>
      </c>
      <c r="BC2108" s="270"/>
    </row>
    <row r="2109" spans="2:55" x14ac:dyDescent="0.25">
      <c r="B2109" s="470"/>
      <c r="C2109" s="263"/>
      <c r="D2109" s="477" cm="1">
        <f t="array" ref="D2109">IFERROR(HorasUteisFabrica2Turnos(B2109,C2109), "")</f>
        <v>0</v>
      </c>
      <c r="E2109" s="697" t="str">
        <f t="shared" si="33"/>
        <v/>
      </c>
      <c r="F2109" s="266"/>
      <c r="G2109" s="698"/>
      <c r="H2109" s="266"/>
      <c r="I2109" s="268"/>
      <c r="J2109" s="268"/>
      <c r="K2109" s="268"/>
      <c r="L2109" s="269"/>
      <c r="M2109" s="510" t="str">
        <f>IFERROR(INDEX([1]Produtos!$C:$C,MATCH(L2109,[1]Produtos!$B:$B,0)), "-")</f>
        <v>-</v>
      </c>
      <c r="N2109" s="510" t="str">
        <f>IFERROR(INDEX([1]Produtos!$E:$E,MATCH(L2109,[1]Produtos!$B:$B,0)), "-")</f>
        <v>-</v>
      </c>
      <c r="O2109" s="270" t="str">
        <f>IFERROR(INDEX([1]Produtos!$F:$F,MATCH(L2109,[1]Produtos!$B:$B,0)), "-")</f>
        <v>-</v>
      </c>
      <c r="P2109" s="264" t="str">
        <f>IFERROR(INDEX([1]Produtos!$G:$G,MATCH(L2109,[1]Produtos!$B:$B,0)), "-")</f>
        <v>-</v>
      </c>
      <c r="Q2109" s="270" t="str">
        <f>IFERROR(INDEX([1]Produtos!$H:$H,MATCH(L2109,[1]Produtos!$B:$B,0)), "-")</f>
        <v>-</v>
      </c>
      <c r="R2109" s="270" t="str">
        <f>IFERROR(INDEX([1]Produtos!$I:$I,MATCH(L2109,[1]Produtos!$B:$B,0)), "-")</f>
        <v>-</v>
      </c>
      <c r="S2109" s="270" t="str">
        <f>IFERROR(INDEX([1]Produtos!$J:$J,MATCH(L2109,[1]Produtos!$B:$B,0)), "-")</f>
        <v>-</v>
      </c>
      <c r="T2109" s="475"/>
      <c r="U2109" s="270"/>
      <c r="V2109" s="270"/>
      <c r="W2109" s="270"/>
      <c r="X2109" s="270"/>
      <c r="Y2109" s="270"/>
      <c r="Z2109" s="270"/>
      <c r="AA2109" s="270"/>
      <c r="AB2109" s="270"/>
      <c r="AC2109" s="270"/>
      <c r="AD2109" s="270"/>
      <c r="AE2109" s="270"/>
      <c r="AF2109" s="270"/>
      <c r="AG2109" s="270"/>
      <c r="AH2109" s="270"/>
      <c r="AI2109" s="270"/>
      <c r="AJ2109" s="270"/>
      <c r="AK2109" s="270"/>
      <c r="AL2109" s="270"/>
      <c r="AM2109" s="663"/>
      <c r="AN2109" s="663"/>
      <c r="AO2109" s="708" t="str">
        <f>IF(OR(Table1[[#This Row],[Início Setup Envase]]="",Table1[[#This Row],[Final Setup Envase]]=""),"",Table1[[#This Row],[Final Setup Envase]]-Table1[[#This Row],[Início Setup Envase]])</f>
        <v/>
      </c>
      <c r="AP2109" s="663"/>
      <c r="AQ2109" s="663"/>
      <c r="AR2109" s="270"/>
      <c r="AS2109" s="674"/>
      <c r="AT2109" s="674"/>
      <c r="AU2109" s="270"/>
      <c r="AV2109" s="270"/>
      <c r="AW2109" s="270"/>
      <c r="AX2109" s="270"/>
      <c r="AY2109" s="270"/>
      <c r="AZ2109" s="270"/>
      <c r="BA2109" s="270" t="str">
        <f>IF(Table1[[#This Row],[Data de Início]]="","",YEAR(Table1[[#This Row],[Data de Início]]))</f>
        <v/>
      </c>
      <c r="BB2109" s="270" t="str">
        <f>IF(Table1[[#This Row],[Data de Início]]="","",MONTH(Table1[[#This Row],[Data de Início]]))</f>
        <v/>
      </c>
      <c r="BC2109" s="483"/>
    </row>
    <row r="2110" spans="2:55" x14ac:dyDescent="0.25">
      <c r="B2110" s="470"/>
      <c r="C2110" s="263"/>
      <c r="D2110" s="477" cm="1">
        <f t="array" ref="D2110">IFERROR(HorasUteisFabrica2Turnos(B2110,C2110), "")</f>
        <v>0</v>
      </c>
      <c r="E2110" s="478" t="str">
        <f t="shared" si="33"/>
        <v/>
      </c>
      <c r="F2110" s="266"/>
      <c r="G2110" s="656"/>
      <c r="H2110" s="479"/>
      <c r="I2110" s="268"/>
      <c r="J2110" s="268"/>
      <c r="K2110" s="268"/>
      <c r="L2110" s="269"/>
      <c r="M2110" s="511" t="str">
        <f>IFERROR(INDEX([1]Produtos!$C:$C,MATCH(L2110,[1]Produtos!$B:$B,0)), "-")</f>
        <v>-</v>
      </c>
      <c r="N2110" s="511" t="str">
        <f>IFERROR(INDEX([1]Produtos!$E:$E,MATCH(L2110,[1]Produtos!$B:$B,0)), "-")</f>
        <v>-</v>
      </c>
      <c r="O2110" s="483" t="str">
        <f>IFERROR(INDEX([1]Produtos!$F:$F,MATCH(L2110,[1]Produtos!$B:$B,0)), "-")</f>
        <v>-</v>
      </c>
      <c r="P2110" s="477" t="str">
        <f>IFERROR(INDEX([1]Produtos!$G:$G,MATCH(L2110,[1]Produtos!$B:$B,0)), "-")</f>
        <v>-</v>
      </c>
      <c r="Q2110" s="483" t="str">
        <f>IFERROR(INDEX([1]Produtos!$H:$H,MATCH(L2110,[1]Produtos!$B:$B,0)), "-")</f>
        <v>-</v>
      </c>
      <c r="R2110" s="483" t="str">
        <f>IFERROR(INDEX([1]Produtos!$I:$I,MATCH(L2110,[1]Produtos!$B:$B,0)), "-")</f>
        <v>-</v>
      </c>
      <c r="S2110" s="483" t="str">
        <f>IFERROR(INDEX([1]Produtos!$J:$J,MATCH(L2110,[1]Produtos!$B:$B,0)), "-")</f>
        <v>-</v>
      </c>
      <c r="T2110" s="484"/>
      <c r="U2110" s="483"/>
      <c r="V2110" s="483"/>
      <c r="W2110" s="483"/>
      <c r="X2110" s="483"/>
      <c r="Y2110" s="483"/>
      <c r="Z2110" s="483"/>
      <c r="AA2110" s="483"/>
      <c r="AB2110" s="483"/>
      <c r="AC2110" s="483"/>
      <c r="AD2110" s="483"/>
      <c r="AE2110" s="483"/>
      <c r="AF2110" s="483"/>
      <c r="AG2110" s="483"/>
      <c r="AH2110" s="483"/>
      <c r="AI2110" s="483"/>
      <c r="AJ2110" s="483"/>
      <c r="AK2110" s="483"/>
      <c r="AL2110" s="483"/>
      <c r="AM2110" s="670"/>
      <c r="AN2110" s="670"/>
      <c r="AO2110" s="711" t="str">
        <f>IF(OR(Table1[[#This Row],[Início Setup Envase]]="",Table1[[#This Row],[Final Setup Envase]]=""),"",Table1[[#This Row],[Final Setup Envase]]-Table1[[#This Row],[Início Setup Envase]])</f>
        <v/>
      </c>
      <c r="AP2110" s="670"/>
      <c r="AQ2110" s="670"/>
      <c r="AR2110" s="483"/>
      <c r="AS2110" s="483"/>
      <c r="AT2110" s="483"/>
      <c r="AU2110" s="483"/>
      <c r="AV2110" s="483"/>
      <c r="AW2110" s="483"/>
      <c r="AX2110" s="483"/>
      <c r="AY2110" s="270"/>
      <c r="AZ2110" s="270"/>
      <c r="BA2110" s="270" t="str">
        <f>IF(Table1[[#This Row],[Data de Início]]="","",YEAR(Table1[[#This Row],[Data de Início]]))</f>
        <v/>
      </c>
      <c r="BB2110" s="270" t="str">
        <f>IF(Table1[[#This Row],[Data de Início]]="","",MONTH(Table1[[#This Row],[Data de Início]]))</f>
        <v/>
      </c>
      <c r="BC2110" s="270"/>
    </row>
    <row r="2111" spans="2:55" x14ac:dyDescent="0.25">
      <c r="B2111" s="470"/>
      <c r="C2111" s="263"/>
      <c r="D2111" s="477" cm="1">
        <f t="array" ref="D2111">IFERROR(HorasUteisFabrica2Turnos(B2111,C2111), "")</f>
        <v>0</v>
      </c>
      <c r="E2111" s="697" t="str">
        <f t="shared" si="33"/>
        <v/>
      </c>
      <c r="F2111" s="266"/>
      <c r="G2111" s="698"/>
      <c r="H2111" s="266"/>
      <c r="I2111" s="268"/>
      <c r="J2111" s="268"/>
      <c r="K2111" s="268"/>
      <c r="L2111" s="269"/>
      <c r="M2111" s="510" t="str">
        <f>IFERROR(INDEX([1]Produtos!$C:$C,MATCH(L2111,[1]Produtos!$B:$B,0)), "-")</f>
        <v>-</v>
      </c>
      <c r="N2111" s="510" t="str">
        <f>IFERROR(INDEX([1]Produtos!$E:$E,MATCH(L2111,[1]Produtos!$B:$B,0)), "-")</f>
        <v>-</v>
      </c>
      <c r="O2111" s="270" t="str">
        <f>IFERROR(INDEX([1]Produtos!$F:$F,MATCH(L2111,[1]Produtos!$B:$B,0)), "-")</f>
        <v>-</v>
      </c>
      <c r="P2111" s="264" t="str">
        <f>IFERROR(INDEX([1]Produtos!$G:$G,MATCH(L2111,[1]Produtos!$B:$B,0)), "-")</f>
        <v>-</v>
      </c>
      <c r="Q2111" s="270" t="str">
        <f>IFERROR(INDEX([1]Produtos!$H:$H,MATCH(L2111,[1]Produtos!$B:$B,0)), "-")</f>
        <v>-</v>
      </c>
      <c r="R2111" s="270" t="str">
        <f>IFERROR(INDEX([1]Produtos!$I:$I,MATCH(L2111,[1]Produtos!$B:$B,0)), "-")</f>
        <v>-</v>
      </c>
      <c r="S2111" s="270" t="str">
        <f>IFERROR(INDEX([1]Produtos!$J:$J,MATCH(L2111,[1]Produtos!$B:$B,0)), "-")</f>
        <v>-</v>
      </c>
      <c r="T2111" s="475"/>
      <c r="U2111" s="270"/>
      <c r="V2111" s="270"/>
      <c r="W2111" s="270"/>
      <c r="X2111" s="270"/>
      <c r="Y2111" s="270"/>
      <c r="Z2111" s="270"/>
      <c r="AA2111" s="270"/>
      <c r="AB2111" s="270"/>
      <c r="AC2111" s="270"/>
      <c r="AD2111" s="270"/>
      <c r="AE2111" s="270"/>
      <c r="AF2111" s="270"/>
      <c r="AG2111" s="270"/>
      <c r="AH2111" s="270"/>
      <c r="AI2111" s="270"/>
      <c r="AJ2111" s="270"/>
      <c r="AK2111" s="270"/>
      <c r="AL2111" s="270"/>
      <c r="AM2111" s="663"/>
      <c r="AN2111" s="663"/>
      <c r="AO2111" s="708" t="str">
        <f>IF(OR(Table1[[#This Row],[Início Setup Envase]]="",Table1[[#This Row],[Final Setup Envase]]=""),"",Table1[[#This Row],[Final Setup Envase]]-Table1[[#This Row],[Início Setup Envase]])</f>
        <v/>
      </c>
      <c r="AP2111" s="663"/>
      <c r="AQ2111" s="663"/>
      <c r="AR2111" s="270"/>
      <c r="AS2111" s="674"/>
      <c r="AT2111" s="674"/>
      <c r="AU2111" s="270"/>
      <c r="AV2111" s="270"/>
      <c r="AW2111" s="270"/>
      <c r="AX2111" s="270"/>
      <c r="AY2111" s="270"/>
      <c r="AZ2111" s="270"/>
      <c r="BA2111" s="270" t="str">
        <f>IF(Table1[[#This Row],[Data de Início]]="","",YEAR(Table1[[#This Row],[Data de Início]]))</f>
        <v/>
      </c>
      <c r="BB2111" s="270" t="str">
        <f>IF(Table1[[#This Row],[Data de Início]]="","",MONTH(Table1[[#This Row],[Data de Início]]))</f>
        <v/>
      </c>
      <c r="BC2111" s="483"/>
    </row>
    <row r="2112" spans="2:55" x14ac:dyDescent="0.25">
      <c r="B2112" s="470"/>
      <c r="C2112" s="263"/>
      <c r="D2112" s="477" cm="1">
        <f t="array" ref="D2112">IFERROR(HorasUteisFabrica2Turnos(B2112,C2112), "")</f>
        <v>0</v>
      </c>
      <c r="E2112" s="478" t="str">
        <f t="shared" si="33"/>
        <v/>
      </c>
      <c r="F2112" s="266"/>
      <c r="G2112" s="656"/>
      <c r="H2112" s="479"/>
      <c r="I2112" s="268"/>
      <c r="J2112" s="268"/>
      <c r="K2112" s="268"/>
      <c r="L2112" s="269"/>
      <c r="M2112" s="511" t="str">
        <f>IFERROR(INDEX([1]Produtos!$C:$C,MATCH(L2112,[1]Produtos!$B:$B,0)), "-")</f>
        <v>-</v>
      </c>
      <c r="N2112" s="511" t="str">
        <f>IFERROR(INDEX([1]Produtos!$E:$E,MATCH(L2112,[1]Produtos!$B:$B,0)), "-")</f>
        <v>-</v>
      </c>
      <c r="O2112" s="483" t="str">
        <f>IFERROR(INDEX([1]Produtos!$F:$F,MATCH(L2112,[1]Produtos!$B:$B,0)), "-")</f>
        <v>-</v>
      </c>
      <c r="P2112" s="477" t="str">
        <f>IFERROR(INDEX([1]Produtos!$G:$G,MATCH(L2112,[1]Produtos!$B:$B,0)), "-")</f>
        <v>-</v>
      </c>
      <c r="Q2112" s="483" t="str">
        <f>IFERROR(INDEX([1]Produtos!$H:$H,MATCH(L2112,[1]Produtos!$B:$B,0)), "-")</f>
        <v>-</v>
      </c>
      <c r="R2112" s="483" t="str">
        <f>IFERROR(INDEX([1]Produtos!$I:$I,MATCH(L2112,[1]Produtos!$B:$B,0)), "-")</f>
        <v>-</v>
      </c>
      <c r="S2112" s="483" t="str">
        <f>IFERROR(INDEX([1]Produtos!$J:$J,MATCH(L2112,[1]Produtos!$B:$B,0)), "-")</f>
        <v>-</v>
      </c>
      <c r="T2112" s="484"/>
      <c r="U2112" s="483"/>
      <c r="V2112" s="483"/>
      <c r="W2112" s="483"/>
      <c r="X2112" s="483"/>
      <c r="Y2112" s="483"/>
      <c r="Z2112" s="483"/>
      <c r="AA2112" s="483"/>
      <c r="AB2112" s="483"/>
      <c r="AC2112" s="483"/>
      <c r="AD2112" s="483"/>
      <c r="AE2112" s="483"/>
      <c r="AF2112" s="483"/>
      <c r="AG2112" s="483"/>
      <c r="AH2112" s="483"/>
      <c r="AI2112" s="483"/>
      <c r="AJ2112" s="483"/>
      <c r="AK2112" s="483"/>
      <c r="AL2112" s="483"/>
      <c r="AM2112" s="670"/>
      <c r="AN2112" s="670"/>
      <c r="AO2112" s="711" t="str">
        <f>IF(OR(Table1[[#This Row],[Início Setup Envase]]="",Table1[[#This Row],[Final Setup Envase]]=""),"",Table1[[#This Row],[Final Setup Envase]]-Table1[[#This Row],[Início Setup Envase]])</f>
        <v/>
      </c>
      <c r="AP2112" s="670"/>
      <c r="AQ2112" s="670"/>
      <c r="AR2112" s="483"/>
      <c r="AS2112" s="483"/>
      <c r="AT2112" s="483"/>
      <c r="AU2112" s="483"/>
      <c r="AV2112" s="483"/>
      <c r="AW2112" s="483"/>
      <c r="AX2112" s="483"/>
      <c r="AY2112" s="270"/>
      <c r="AZ2112" s="270"/>
      <c r="BA2112" s="270" t="str">
        <f>IF(Table1[[#This Row],[Data de Início]]="","",YEAR(Table1[[#This Row],[Data de Início]]))</f>
        <v/>
      </c>
      <c r="BB2112" s="270" t="str">
        <f>IF(Table1[[#This Row],[Data de Início]]="","",MONTH(Table1[[#This Row],[Data de Início]]))</f>
        <v/>
      </c>
      <c r="BC2112" s="270"/>
    </row>
    <row r="2113" spans="2:55" x14ac:dyDescent="0.25">
      <c r="B2113" s="470"/>
      <c r="C2113" s="263"/>
      <c r="D2113" s="477" cm="1">
        <f t="array" ref="D2113">IFERROR(HorasUteisFabrica2Turnos(B2113,C2113), "")</f>
        <v>0</v>
      </c>
      <c r="E2113" s="697" t="str">
        <f t="shared" si="33"/>
        <v/>
      </c>
      <c r="F2113" s="266"/>
      <c r="G2113" s="698"/>
      <c r="H2113" s="266"/>
      <c r="I2113" s="268"/>
      <c r="J2113" s="268"/>
      <c r="K2113" s="268"/>
      <c r="L2113" s="269"/>
      <c r="M2113" s="510" t="str">
        <f>IFERROR(INDEX([1]Produtos!$C:$C,MATCH(L2113,[1]Produtos!$B:$B,0)), "-")</f>
        <v>-</v>
      </c>
      <c r="N2113" s="510" t="str">
        <f>IFERROR(INDEX([1]Produtos!$E:$E,MATCH(L2113,[1]Produtos!$B:$B,0)), "-")</f>
        <v>-</v>
      </c>
      <c r="O2113" s="270" t="str">
        <f>IFERROR(INDEX([1]Produtos!$F:$F,MATCH(L2113,[1]Produtos!$B:$B,0)), "-")</f>
        <v>-</v>
      </c>
      <c r="P2113" s="264" t="str">
        <f>IFERROR(INDEX([1]Produtos!$G:$G,MATCH(L2113,[1]Produtos!$B:$B,0)), "-")</f>
        <v>-</v>
      </c>
      <c r="Q2113" s="270" t="str">
        <f>IFERROR(INDEX([1]Produtos!$H:$H,MATCH(L2113,[1]Produtos!$B:$B,0)), "-")</f>
        <v>-</v>
      </c>
      <c r="R2113" s="270" t="str">
        <f>IFERROR(INDEX([1]Produtos!$I:$I,MATCH(L2113,[1]Produtos!$B:$B,0)), "-")</f>
        <v>-</v>
      </c>
      <c r="S2113" s="270" t="str">
        <f>IFERROR(INDEX([1]Produtos!$J:$J,MATCH(L2113,[1]Produtos!$B:$B,0)), "-")</f>
        <v>-</v>
      </c>
      <c r="T2113" s="475"/>
      <c r="U2113" s="270"/>
      <c r="V2113" s="270"/>
      <c r="W2113" s="270"/>
      <c r="X2113" s="270"/>
      <c r="Y2113" s="270"/>
      <c r="Z2113" s="270"/>
      <c r="AA2113" s="270"/>
      <c r="AB2113" s="270"/>
      <c r="AC2113" s="270"/>
      <c r="AD2113" s="270"/>
      <c r="AE2113" s="270"/>
      <c r="AF2113" s="270"/>
      <c r="AG2113" s="270"/>
      <c r="AH2113" s="270"/>
      <c r="AI2113" s="270"/>
      <c r="AJ2113" s="270"/>
      <c r="AK2113" s="270"/>
      <c r="AL2113" s="270"/>
      <c r="AM2113" s="663"/>
      <c r="AN2113" s="663"/>
      <c r="AO2113" s="708" t="str">
        <f>IF(OR(Table1[[#This Row],[Início Setup Envase]]="",Table1[[#This Row],[Final Setup Envase]]=""),"",Table1[[#This Row],[Final Setup Envase]]-Table1[[#This Row],[Início Setup Envase]])</f>
        <v/>
      </c>
      <c r="AP2113" s="663"/>
      <c r="AQ2113" s="663"/>
      <c r="AR2113" s="270"/>
      <c r="AS2113" s="674"/>
      <c r="AT2113" s="674"/>
      <c r="AU2113" s="270"/>
      <c r="AV2113" s="270"/>
      <c r="AW2113" s="270"/>
      <c r="AX2113" s="270"/>
      <c r="AY2113" s="270"/>
      <c r="AZ2113" s="270"/>
      <c r="BA2113" s="270" t="str">
        <f>IF(Table1[[#This Row],[Data de Início]]="","",YEAR(Table1[[#This Row],[Data de Início]]))</f>
        <v/>
      </c>
      <c r="BB2113" s="270" t="str">
        <f>IF(Table1[[#This Row],[Data de Início]]="","",MONTH(Table1[[#This Row],[Data de Início]]))</f>
        <v/>
      </c>
      <c r="BC2113" s="483"/>
    </row>
    <row r="2114" spans="2:55" x14ac:dyDescent="0.25">
      <c r="B2114" s="470"/>
      <c r="C2114" s="263"/>
      <c r="D2114" s="477" cm="1">
        <f t="array" ref="D2114">IFERROR(HorasUteisFabrica2Turnos(B2114,C2114), "")</f>
        <v>0</v>
      </c>
      <c r="E2114" s="478" t="str">
        <f t="shared" si="33"/>
        <v/>
      </c>
      <c r="F2114" s="266"/>
      <c r="G2114" s="656"/>
      <c r="H2114" s="479"/>
      <c r="I2114" s="268"/>
      <c r="J2114" s="268"/>
      <c r="K2114" s="268"/>
      <c r="L2114" s="269"/>
      <c r="M2114" s="511" t="str">
        <f>IFERROR(INDEX([1]Produtos!$C:$C,MATCH(L2114,[1]Produtos!$B:$B,0)), "-")</f>
        <v>-</v>
      </c>
      <c r="N2114" s="511" t="str">
        <f>IFERROR(INDEX([1]Produtos!$E:$E,MATCH(L2114,[1]Produtos!$B:$B,0)), "-")</f>
        <v>-</v>
      </c>
      <c r="O2114" s="483" t="str">
        <f>IFERROR(INDEX([1]Produtos!$F:$F,MATCH(L2114,[1]Produtos!$B:$B,0)), "-")</f>
        <v>-</v>
      </c>
      <c r="P2114" s="477" t="str">
        <f>IFERROR(INDEX([1]Produtos!$G:$G,MATCH(L2114,[1]Produtos!$B:$B,0)), "-")</f>
        <v>-</v>
      </c>
      <c r="Q2114" s="483" t="str">
        <f>IFERROR(INDEX([1]Produtos!$H:$H,MATCH(L2114,[1]Produtos!$B:$B,0)), "-")</f>
        <v>-</v>
      </c>
      <c r="R2114" s="483" t="str">
        <f>IFERROR(INDEX([1]Produtos!$I:$I,MATCH(L2114,[1]Produtos!$B:$B,0)), "-")</f>
        <v>-</v>
      </c>
      <c r="S2114" s="483" t="str">
        <f>IFERROR(INDEX([1]Produtos!$J:$J,MATCH(L2114,[1]Produtos!$B:$B,0)), "-")</f>
        <v>-</v>
      </c>
      <c r="T2114" s="484"/>
      <c r="U2114" s="483"/>
      <c r="V2114" s="483"/>
      <c r="W2114" s="483"/>
      <c r="X2114" s="483"/>
      <c r="Y2114" s="483"/>
      <c r="Z2114" s="483"/>
      <c r="AA2114" s="483"/>
      <c r="AB2114" s="483"/>
      <c r="AC2114" s="483"/>
      <c r="AD2114" s="483"/>
      <c r="AE2114" s="483"/>
      <c r="AF2114" s="483"/>
      <c r="AG2114" s="483"/>
      <c r="AH2114" s="483"/>
      <c r="AI2114" s="483"/>
      <c r="AJ2114" s="483"/>
      <c r="AK2114" s="483"/>
      <c r="AL2114" s="483"/>
      <c r="AM2114" s="670"/>
      <c r="AN2114" s="670"/>
      <c r="AO2114" s="711" t="str">
        <f>IF(OR(Table1[[#This Row],[Início Setup Envase]]="",Table1[[#This Row],[Final Setup Envase]]=""),"",Table1[[#This Row],[Final Setup Envase]]-Table1[[#This Row],[Início Setup Envase]])</f>
        <v/>
      </c>
      <c r="AP2114" s="670"/>
      <c r="AQ2114" s="670"/>
      <c r="AR2114" s="483"/>
      <c r="AS2114" s="483"/>
      <c r="AT2114" s="483"/>
      <c r="AU2114" s="483"/>
      <c r="AV2114" s="483"/>
      <c r="AW2114" s="483"/>
      <c r="AX2114" s="483"/>
      <c r="AY2114" s="270"/>
      <c r="AZ2114" s="270"/>
      <c r="BA2114" s="270" t="str">
        <f>IF(Table1[[#This Row],[Data de Início]]="","",YEAR(Table1[[#This Row],[Data de Início]]))</f>
        <v/>
      </c>
      <c r="BB2114" s="270" t="str">
        <f>IF(Table1[[#This Row],[Data de Início]]="","",MONTH(Table1[[#This Row],[Data de Início]]))</f>
        <v/>
      </c>
      <c r="BC2114" s="270"/>
    </row>
    <row r="2115" spans="2:55" x14ac:dyDescent="0.25">
      <c r="B2115" s="470"/>
      <c r="C2115" s="263"/>
      <c r="D2115" s="477" cm="1">
        <f t="array" ref="D2115">IFERROR(HorasUteisFabrica2Turnos(B2115,C2115), "")</f>
        <v>0</v>
      </c>
      <c r="E2115" s="697" t="str">
        <f t="shared" si="33"/>
        <v/>
      </c>
      <c r="F2115" s="266"/>
      <c r="G2115" s="698"/>
      <c r="H2115" s="266"/>
      <c r="I2115" s="268"/>
      <c r="J2115" s="268"/>
      <c r="K2115" s="268"/>
      <c r="L2115" s="269"/>
      <c r="M2115" s="510" t="str">
        <f>IFERROR(INDEX([1]Produtos!$C:$C,MATCH(L2115,[1]Produtos!$B:$B,0)), "-")</f>
        <v>-</v>
      </c>
      <c r="N2115" s="510" t="str">
        <f>IFERROR(INDEX([1]Produtos!$E:$E,MATCH(L2115,[1]Produtos!$B:$B,0)), "-")</f>
        <v>-</v>
      </c>
      <c r="O2115" s="270" t="str">
        <f>IFERROR(INDEX([1]Produtos!$F:$F,MATCH(L2115,[1]Produtos!$B:$B,0)), "-")</f>
        <v>-</v>
      </c>
      <c r="P2115" s="264" t="str">
        <f>IFERROR(INDEX([1]Produtos!$G:$G,MATCH(L2115,[1]Produtos!$B:$B,0)), "-")</f>
        <v>-</v>
      </c>
      <c r="Q2115" s="270" t="str">
        <f>IFERROR(INDEX([1]Produtos!$H:$H,MATCH(L2115,[1]Produtos!$B:$B,0)), "-")</f>
        <v>-</v>
      </c>
      <c r="R2115" s="270" t="str">
        <f>IFERROR(INDEX([1]Produtos!$I:$I,MATCH(L2115,[1]Produtos!$B:$B,0)), "-")</f>
        <v>-</v>
      </c>
      <c r="S2115" s="270" t="str">
        <f>IFERROR(INDEX([1]Produtos!$J:$J,MATCH(L2115,[1]Produtos!$B:$B,0)), "-")</f>
        <v>-</v>
      </c>
      <c r="T2115" s="475"/>
      <c r="U2115" s="270"/>
      <c r="V2115" s="270"/>
      <c r="W2115" s="270"/>
      <c r="X2115" s="270"/>
      <c r="Y2115" s="270"/>
      <c r="Z2115" s="270"/>
      <c r="AA2115" s="270"/>
      <c r="AB2115" s="270"/>
      <c r="AC2115" s="270"/>
      <c r="AD2115" s="270"/>
      <c r="AE2115" s="270"/>
      <c r="AF2115" s="270"/>
      <c r="AG2115" s="270"/>
      <c r="AH2115" s="270"/>
      <c r="AI2115" s="270"/>
      <c r="AJ2115" s="270"/>
      <c r="AK2115" s="270"/>
      <c r="AL2115" s="270"/>
      <c r="AM2115" s="663"/>
      <c r="AN2115" s="663"/>
      <c r="AO2115" s="708" t="str">
        <f>IF(OR(Table1[[#This Row],[Início Setup Envase]]="",Table1[[#This Row],[Final Setup Envase]]=""),"",Table1[[#This Row],[Final Setup Envase]]-Table1[[#This Row],[Início Setup Envase]])</f>
        <v/>
      </c>
      <c r="AP2115" s="663"/>
      <c r="AQ2115" s="663"/>
      <c r="AR2115" s="270"/>
      <c r="AS2115" s="674"/>
      <c r="AT2115" s="674"/>
      <c r="AU2115" s="270"/>
      <c r="AV2115" s="270"/>
      <c r="AW2115" s="270"/>
      <c r="AX2115" s="270"/>
      <c r="AY2115" s="270"/>
      <c r="AZ2115" s="270"/>
      <c r="BA2115" s="270" t="str">
        <f>IF(Table1[[#This Row],[Data de Início]]="","",YEAR(Table1[[#This Row],[Data de Início]]))</f>
        <v/>
      </c>
      <c r="BB2115" s="270" t="str">
        <f>IF(Table1[[#This Row],[Data de Início]]="","",MONTH(Table1[[#This Row],[Data de Início]]))</f>
        <v/>
      </c>
      <c r="BC2115" s="483"/>
    </row>
    <row r="2116" spans="2:55" x14ac:dyDescent="0.25">
      <c r="B2116" s="470"/>
      <c r="C2116" s="263"/>
      <c r="D2116" s="477" cm="1">
        <f t="array" ref="D2116">IFERROR(HorasUteisFabrica2Turnos(B2116,C2116), "")</f>
        <v>0</v>
      </c>
      <c r="E2116" s="478" t="str">
        <f t="shared" si="33"/>
        <v/>
      </c>
      <c r="F2116" s="266"/>
      <c r="G2116" s="656"/>
      <c r="H2116" s="479"/>
      <c r="I2116" s="268"/>
      <c r="J2116" s="268"/>
      <c r="K2116" s="268"/>
      <c r="L2116" s="269"/>
      <c r="M2116" s="511" t="str">
        <f>IFERROR(INDEX([1]Produtos!$C:$C,MATCH(L2116,[1]Produtos!$B:$B,0)), "-")</f>
        <v>-</v>
      </c>
      <c r="N2116" s="511" t="str">
        <f>IFERROR(INDEX([1]Produtos!$E:$E,MATCH(L2116,[1]Produtos!$B:$B,0)), "-")</f>
        <v>-</v>
      </c>
      <c r="O2116" s="483" t="str">
        <f>IFERROR(INDEX([1]Produtos!$F:$F,MATCH(L2116,[1]Produtos!$B:$B,0)), "-")</f>
        <v>-</v>
      </c>
      <c r="P2116" s="477" t="str">
        <f>IFERROR(INDEX([1]Produtos!$G:$G,MATCH(L2116,[1]Produtos!$B:$B,0)), "-")</f>
        <v>-</v>
      </c>
      <c r="Q2116" s="483" t="str">
        <f>IFERROR(INDEX([1]Produtos!$H:$H,MATCH(L2116,[1]Produtos!$B:$B,0)), "-")</f>
        <v>-</v>
      </c>
      <c r="R2116" s="483" t="str">
        <f>IFERROR(INDEX([1]Produtos!$I:$I,MATCH(L2116,[1]Produtos!$B:$B,0)), "-")</f>
        <v>-</v>
      </c>
      <c r="S2116" s="483" t="str">
        <f>IFERROR(INDEX([1]Produtos!$J:$J,MATCH(L2116,[1]Produtos!$B:$B,0)), "-")</f>
        <v>-</v>
      </c>
      <c r="T2116" s="484"/>
      <c r="U2116" s="483"/>
      <c r="V2116" s="483"/>
      <c r="W2116" s="483"/>
      <c r="X2116" s="483"/>
      <c r="Y2116" s="483"/>
      <c r="Z2116" s="483"/>
      <c r="AA2116" s="483"/>
      <c r="AB2116" s="483"/>
      <c r="AC2116" s="483"/>
      <c r="AD2116" s="483"/>
      <c r="AE2116" s="483"/>
      <c r="AF2116" s="483"/>
      <c r="AG2116" s="483"/>
      <c r="AH2116" s="483"/>
      <c r="AI2116" s="483"/>
      <c r="AJ2116" s="483"/>
      <c r="AK2116" s="483"/>
      <c r="AL2116" s="483"/>
      <c r="AM2116" s="670"/>
      <c r="AN2116" s="670"/>
      <c r="AO2116" s="711" t="str">
        <f>IF(OR(Table1[[#This Row],[Início Setup Envase]]="",Table1[[#This Row],[Final Setup Envase]]=""),"",Table1[[#This Row],[Final Setup Envase]]-Table1[[#This Row],[Início Setup Envase]])</f>
        <v/>
      </c>
      <c r="AP2116" s="670"/>
      <c r="AQ2116" s="670"/>
      <c r="AR2116" s="483"/>
      <c r="AS2116" s="483"/>
      <c r="AT2116" s="483"/>
      <c r="AU2116" s="483"/>
      <c r="AV2116" s="483"/>
      <c r="AW2116" s="483"/>
      <c r="AX2116" s="483"/>
      <c r="AY2116" s="270"/>
      <c r="AZ2116" s="270"/>
      <c r="BA2116" s="270" t="str">
        <f>IF(Table1[[#This Row],[Data de Início]]="","",YEAR(Table1[[#This Row],[Data de Início]]))</f>
        <v/>
      </c>
      <c r="BB2116" s="270" t="str">
        <f>IF(Table1[[#This Row],[Data de Início]]="","",MONTH(Table1[[#This Row],[Data de Início]]))</f>
        <v/>
      </c>
      <c r="BC2116" s="270"/>
    </row>
    <row r="2117" spans="2:55" x14ac:dyDescent="0.25">
      <c r="B2117" s="470"/>
      <c r="C2117" s="263"/>
      <c r="D2117" s="477" cm="1">
        <f t="array" ref="D2117">IFERROR(HorasUteisFabrica2Turnos(B2117,C2117), "")</f>
        <v>0</v>
      </c>
      <c r="E2117" s="697" t="str">
        <f t="shared" si="33"/>
        <v/>
      </c>
      <c r="F2117" s="266"/>
      <c r="G2117" s="698"/>
      <c r="H2117" s="266"/>
      <c r="I2117" s="268"/>
      <c r="J2117" s="268"/>
      <c r="K2117" s="268"/>
      <c r="L2117" s="269"/>
      <c r="M2117" s="510" t="str">
        <f>IFERROR(INDEX([1]Produtos!$C:$C,MATCH(L2117,[1]Produtos!$B:$B,0)), "-")</f>
        <v>-</v>
      </c>
      <c r="N2117" s="510" t="str">
        <f>IFERROR(INDEX([1]Produtos!$E:$E,MATCH(L2117,[1]Produtos!$B:$B,0)), "-")</f>
        <v>-</v>
      </c>
      <c r="O2117" s="270" t="str">
        <f>IFERROR(INDEX([1]Produtos!$F:$F,MATCH(L2117,[1]Produtos!$B:$B,0)), "-")</f>
        <v>-</v>
      </c>
      <c r="P2117" s="264" t="str">
        <f>IFERROR(INDEX([1]Produtos!$G:$G,MATCH(L2117,[1]Produtos!$B:$B,0)), "-")</f>
        <v>-</v>
      </c>
      <c r="Q2117" s="270" t="str">
        <f>IFERROR(INDEX([1]Produtos!$H:$H,MATCH(L2117,[1]Produtos!$B:$B,0)), "-")</f>
        <v>-</v>
      </c>
      <c r="R2117" s="270" t="str">
        <f>IFERROR(INDEX([1]Produtos!$I:$I,MATCH(L2117,[1]Produtos!$B:$B,0)), "-")</f>
        <v>-</v>
      </c>
      <c r="S2117" s="270" t="str">
        <f>IFERROR(INDEX([1]Produtos!$J:$J,MATCH(L2117,[1]Produtos!$B:$B,0)), "-")</f>
        <v>-</v>
      </c>
      <c r="T2117" s="475"/>
      <c r="U2117" s="270"/>
      <c r="V2117" s="270"/>
      <c r="W2117" s="270"/>
      <c r="X2117" s="270"/>
      <c r="Y2117" s="270"/>
      <c r="Z2117" s="270"/>
      <c r="AA2117" s="270"/>
      <c r="AB2117" s="270"/>
      <c r="AC2117" s="270"/>
      <c r="AD2117" s="270"/>
      <c r="AE2117" s="270"/>
      <c r="AF2117" s="270"/>
      <c r="AG2117" s="270"/>
      <c r="AH2117" s="270"/>
      <c r="AI2117" s="270"/>
      <c r="AJ2117" s="270"/>
      <c r="AK2117" s="270"/>
      <c r="AL2117" s="270"/>
      <c r="AM2117" s="663"/>
      <c r="AN2117" s="663"/>
      <c r="AO2117" s="708" t="str">
        <f>IF(OR(Table1[[#This Row],[Início Setup Envase]]="",Table1[[#This Row],[Final Setup Envase]]=""),"",Table1[[#This Row],[Final Setup Envase]]-Table1[[#This Row],[Início Setup Envase]])</f>
        <v/>
      </c>
      <c r="AP2117" s="663"/>
      <c r="AQ2117" s="663"/>
      <c r="AR2117" s="270"/>
      <c r="AS2117" s="674"/>
      <c r="AT2117" s="674"/>
      <c r="AU2117" s="270"/>
      <c r="AV2117" s="270"/>
      <c r="AW2117" s="270"/>
      <c r="AX2117" s="270"/>
      <c r="AY2117" s="270"/>
      <c r="AZ2117" s="270"/>
      <c r="BA2117" s="270" t="str">
        <f>IF(Table1[[#This Row],[Data de Início]]="","",YEAR(Table1[[#This Row],[Data de Início]]))</f>
        <v/>
      </c>
      <c r="BB2117" s="270" t="str">
        <f>IF(Table1[[#This Row],[Data de Início]]="","",MONTH(Table1[[#This Row],[Data de Início]]))</f>
        <v/>
      </c>
      <c r="BC2117" s="483"/>
    </row>
    <row r="2118" spans="2:55" x14ac:dyDescent="0.25">
      <c r="B2118" s="470"/>
      <c r="C2118" s="263"/>
      <c r="D2118" s="477" cm="1">
        <f t="array" ref="D2118">IFERROR(HorasUteisFabrica2Turnos(B2118,C2118), "")</f>
        <v>0</v>
      </c>
      <c r="E2118" s="478" t="str">
        <f t="shared" si="33"/>
        <v/>
      </c>
      <c r="F2118" s="266"/>
      <c r="G2118" s="656"/>
      <c r="H2118" s="479"/>
      <c r="I2118" s="268"/>
      <c r="J2118" s="268"/>
      <c r="K2118" s="268"/>
      <c r="L2118" s="269"/>
      <c r="M2118" s="511" t="str">
        <f>IFERROR(INDEX([1]Produtos!$C:$C,MATCH(L2118,[1]Produtos!$B:$B,0)), "-")</f>
        <v>-</v>
      </c>
      <c r="N2118" s="511" t="str">
        <f>IFERROR(INDEX([1]Produtos!$E:$E,MATCH(L2118,[1]Produtos!$B:$B,0)), "-")</f>
        <v>-</v>
      </c>
      <c r="O2118" s="483" t="str">
        <f>IFERROR(INDEX([1]Produtos!$F:$F,MATCH(L2118,[1]Produtos!$B:$B,0)), "-")</f>
        <v>-</v>
      </c>
      <c r="P2118" s="477" t="str">
        <f>IFERROR(INDEX([1]Produtos!$G:$G,MATCH(L2118,[1]Produtos!$B:$B,0)), "-")</f>
        <v>-</v>
      </c>
      <c r="Q2118" s="483" t="str">
        <f>IFERROR(INDEX([1]Produtos!$H:$H,MATCH(L2118,[1]Produtos!$B:$B,0)), "-")</f>
        <v>-</v>
      </c>
      <c r="R2118" s="483" t="str">
        <f>IFERROR(INDEX([1]Produtos!$I:$I,MATCH(L2118,[1]Produtos!$B:$B,0)), "-")</f>
        <v>-</v>
      </c>
      <c r="S2118" s="483" t="str">
        <f>IFERROR(INDEX([1]Produtos!$J:$J,MATCH(L2118,[1]Produtos!$B:$B,0)), "-")</f>
        <v>-</v>
      </c>
      <c r="T2118" s="484"/>
      <c r="U2118" s="483"/>
      <c r="V2118" s="483"/>
      <c r="W2118" s="483"/>
      <c r="X2118" s="483"/>
      <c r="Y2118" s="483"/>
      <c r="Z2118" s="483"/>
      <c r="AA2118" s="483"/>
      <c r="AB2118" s="483"/>
      <c r="AC2118" s="483"/>
      <c r="AD2118" s="483"/>
      <c r="AE2118" s="483"/>
      <c r="AF2118" s="483"/>
      <c r="AG2118" s="483"/>
      <c r="AH2118" s="483"/>
      <c r="AI2118" s="483"/>
      <c r="AJ2118" s="483"/>
      <c r="AK2118" s="483"/>
      <c r="AL2118" s="483"/>
      <c r="AM2118" s="670"/>
      <c r="AN2118" s="670"/>
      <c r="AO2118" s="711" t="str">
        <f>IF(OR(Table1[[#This Row],[Início Setup Envase]]="",Table1[[#This Row],[Final Setup Envase]]=""),"",Table1[[#This Row],[Final Setup Envase]]-Table1[[#This Row],[Início Setup Envase]])</f>
        <v/>
      </c>
      <c r="AP2118" s="670"/>
      <c r="AQ2118" s="670"/>
      <c r="AR2118" s="483"/>
      <c r="AS2118" s="483"/>
      <c r="AT2118" s="483"/>
      <c r="AU2118" s="483"/>
      <c r="AV2118" s="483"/>
      <c r="AW2118" s="483"/>
      <c r="AX2118" s="483"/>
      <c r="AY2118" s="270"/>
      <c r="AZ2118" s="270"/>
      <c r="BA2118" s="270" t="str">
        <f>IF(Table1[[#This Row],[Data de Início]]="","",YEAR(Table1[[#This Row],[Data de Início]]))</f>
        <v/>
      </c>
      <c r="BB2118" s="270" t="str">
        <f>IF(Table1[[#This Row],[Data de Início]]="","",MONTH(Table1[[#This Row],[Data de Início]]))</f>
        <v/>
      </c>
      <c r="BC2118" s="270"/>
    </row>
    <row r="2119" spans="2:55" x14ac:dyDescent="0.25">
      <c r="B2119" s="470"/>
      <c r="C2119" s="263"/>
      <c r="D2119" s="477" cm="1">
        <f t="array" ref="D2119">IFERROR(HorasUteisFabrica2Turnos(B2119,C2119), "")</f>
        <v>0</v>
      </c>
      <c r="E2119" s="697" t="str">
        <f t="shared" si="33"/>
        <v/>
      </c>
      <c r="F2119" s="266"/>
      <c r="G2119" s="698"/>
      <c r="H2119" s="266"/>
      <c r="I2119" s="268"/>
      <c r="J2119" s="268"/>
      <c r="K2119" s="268"/>
      <c r="L2119" s="269"/>
      <c r="M2119" s="510" t="str">
        <f>IFERROR(INDEX([1]Produtos!$C:$C,MATCH(L2119,[1]Produtos!$B:$B,0)), "-")</f>
        <v>-</v>
      </c>
      <c r="N2119" s="510" t="str">
        <f>IFERROR(INDEX([1]Produtos!$E:$E,MATCH(L2119,[1]Produtos!$B:$B,0)), "-")</f>
        <v>-</v>
      </c>
      <c r="O2119" s="270" t="str">
        <f>IFERROR(INDEX([1]Produtos!$F:$F,MATCH(L2119,[1]Produtos!$B:$B,0)), "-")</f>
        <v>-</v>
      </c>
      <c r="P2119" s="264" t="str">
        <f>IFERROR(INDEX([1]Produtos!$G:$G,MATCH(L2119,[1]Produtos!$B:$B,0)), "-")</f>
        <v>-</v>
      </c>
      <c r="Q2119" s="270" t="str">
        <f>IFERROR(INDEX([1]Produtos!$H:$H,MATCH(L2119,[1]Produtos!$B:$B,0)), "-")</f>
        <v>-</v>
      </c>
      <c r="R2119" s="270" t="str">
        <f>IFERROR(INDEX([1]Produtos!$I:$I,MATCH(L2119,[1]Produtos!$B:$B,0)), "-")</f>
        <v>-</v>
      </c>
      <c r="S2119" s="270" t="str">
        <f>IFERROR(INDEX([1]Produtos!$J:$J,MATCH(L2119,[1]Produtos!$B:$B,0)), "-")</f>
        <v>-</v>
      </c>
      <c r="T2119" s="475"/>
      <c r="U2119" s="270"/>
      <c r="V2119" s="270"/>
      <c r="W2119" s="270"/>
      <c r="X2119" s="270"/>
      <c r="Y2119" s="270"/>
      <c r="Z2119" s="270"/>
      <c r="AA2119" s="270"/>
      <c r="AB2119" s="270"/>
      <c r="AC2119" s="270"/>
      <c r="AD2119" s="270"/>
      <c r="AE2119" s="270"/>
      <c r="AF2119" s="270"/>
      <c r="AG2119" s="270"/>
      <c r="AH2119" s="270"/>
      <c r="AI2119" s="270"/>
      <c r="AJ2119" s="270"/>
      <c r="AK2119" s="270"/>
      <c r="AL2119" s="270"/>
      <c r="AM2119" s="663"/>
      <c r="AN2119" s="663"/>
      <c r="AO2119" s="708" t="str">
        <f>IF(OR(Table1[[#This Row],[Início Setup Envase]]="",Table1[[#This Row],[Final Setup Envase]]=""),"",Table1[[#This Row],[Final Setup Envase]]-Table1[[#This Row],[Início Setup Envase]])</f>
        <v/>
      </c>
      <c r="AP2119" s="663"/>
      <c r="AQ2119" s="663"/>
      <c r="AR2119" s="270"/>
      <c r="AS2119" s="674"/>
      <c r="AT2119" s="674"/>
      <c r="AU2119" s="270"/>
      <c r="AV2119" s="270"/>
      <c r="AW2119" s="270"/>
      <c r="AX2119" s="270"/>
      <c r="AY2119" s="270"/>
      <c r="AZ2119" s="270"/>
      <c r="BA2119" s="270" t="str">
        <f>IF(Table1[[#This Row],[Data de Início]]="","",YEAR(Table1[[#This Row],[Data de Início]]))</f>
        <v/>
      </c>
      <c r="BB2119" s="270" t="str">
        <f>IF(Table1[[#This Row],[Data de Início]]="","",MONTH(Table1[[#This Row],[Data de Início]]))</f>
        <v/>
      </c>
      <c r="BC2119" s="483"/>
    </row>
    <row r="2120" spans="2:55" x14ac:dyDescent="0.25">
      <c r="B2120" s="470"/>
      <c r="C2120" s="263"/>
      <c r="D2120" s="477" cm="1">
        <f t="array" ref="D2120">IFERROR(HorasUteisFabrica2Turnos(B2120,C2120), "")</f>
        <v>0</v>
      </c>
      <c r="E2120" s="478" t="str">
        <f t="shared" si="33"/>
        <v/>
      </c>
      <c r="F2120" s="266"/>
      <c r="G2120" s="656"/>
      <c r="H2120" s="479"/>
      <c r="I2120" s="268"/>
      <c r="J2120" s="268"/>
      <c r="K2120" s="268"/>
      <c r="L2120" s="269"/>
      <c r="M2120" s="511" t="str">
        <f>IFERROR(INDEX([1]Produtos!$C:$C,MATCH(L2120,[1]Produtos!$B:$B,0)), "-")</f>
        <v>-</v>
      </c>
      <c r="N2120" s="511" t="str">
        <f>IFERROR(INDEX([1]Produtos!$E:$E,MATCH(L2120,[1]Produtos!$B:$B,0)), "-")</f>
        <v>-</v>
      </c>
      <c r="O2120" s="483" t="str">
        <f>IFERROR(INDEX([1]Produtos!$F:$F,MATCH(L2120,[1]Produtos!$B:$B,0)), "-")</f>
        <v>-</v>
      </c>
      <c r="P2120" s="477" t="str">
        <f>IFERROR(INDEX([1]Produtos!$G:$G,MATCH(L2120,[1]Produtos!$B:$B,0)), "-")</f>
        <v>-</v>
      </c>
      <c r="Q2120" s="483" t="str">
        <f>IFERROR(INDEX([1]Produtos!$H:$H,MATCH(L2120,[1]Produtos!$B:$B,0)), "-")</f>
        <v>-</v>
      </c>
      <c r="R2120" s="483" t="str">
        <f>IFERROR(INDEX([1]Produtos!$I:$I,MATCH(L2120,[1]Produtos!$B:$B,0)), "-")</f>
        <v>-</v>
      </c>
      <c r="S2120" s="483" t="str">
        <f>IFERROR(INDEX([1]Produtos!$J:$J,MATCH(L2120,[1]Produtos!$B:$B,0)), "-")</f>
        <v>-</v>
      </c>
      <c r="T2120" s="484"/>
      <c r="U2120" s="483"/>
      <c r="V2120" s="483"/>
      <c r="W2120" s="483"/>
      <c r="X2120" s="483"/>
      <c r="Y2120" s="483"/>
      <c r="Z2120" s="483"/>
      <c r="AA2120" s="483"/>
      <c r="AB2120" s="483"/>
      <c r="AC2120" s="483"/>
      <c r="AD2120" s="483"/>
      <c r="AE2120" s="483"/>
      <c r="AF2120" s="483"/>
      <c r="AG2120" s="483"/>
      <c r="AH2120" s="483"/>
      <c r="AI2120" s="483"/>
      <c r="AJ2120" s="483"/>
      <c r="AK2120" s="483"/>
      <c r="AL2120" s="483"/>
      <c r="AM2120" s="670"/>
      <c r="AN2120" s="670"/>
      <c r="AO2120" s="711" t="str">
        <f>IF(OR(Table1[[#This Row],[Início Setup Envase]]="",Table1[[#This Row],[Final Setup Envase]]=""),"",Table1[[#This Row],[Final Setup Envase]]-Table1[[#This Row],[Início Setup Envase]])</f>
        <v/>
      </c>
      <c r="AP2120" s="670"/>
      <c r="AQ2120" s="670"/>
      <c r="AR2120" s="483"/>
      <c r="AS2120" s="483"/>
      <c r="AT2120" s="483"/>
      <c r="AU2120" s="483"/>
      <c r="AV2120" s="483"/>
      <c r="AW2120" s="483"/>
      <c r="AX2120" s="483"/>
      <c r="AY2120" s="270"/>
      <c r="AZ2120" s="270"/>
      <c r="BA2120" s="270" t="str">
        <f>IF(Table1[[#This Row],[Data de Início]]="","",YEAR(Table1[[#This Row],[Data de Início]]))</f>
        <v/>
      </c>
      <c r="BB2120" s="270" t="str">
        <f>IF(Table1[[#This Row],[Data de Início]]="","",MONTH(Table1[[#This Row],[Data de Início]]))</f>
        <v/>
      </c>
      <c r="BC2120" s="270"/>
    </row>
    <row r="2121" spans="2:55" x14ac:dyDescent="0.25">
      <c r="B2121" s="470"/>
      <c r="C2121" s="263"/>
      <c r="D2121" s="477" cm="1">
        <f t="array" ref="D2121">IFERROR(HorasUteisFabrica2Turnos(B2121,C2121), "")</f>
        <v>0</v>
      </c>
      <c r="E2121" s="697" t="str">
        <f t="shared" si="33"/>
        <v/>
      </c>
      <c r="F2121" s="266"/>
      <c r="G2121" s="698"/>
      <c r="H2121" s="266"/>
      <c r="I2121" s="268"/>
      <c r="J2121" s="268"/>
      <c r="K2121" s="268"/>
      <c r="L2121" s="269"/>
      <c r="M2121" s="510" t="str">
        <f>IFERROR(INDEX([1]Produtos!$C:$C,MATCH(L2121,[1]Produtos!$B:$B,0)), "-")</f>
        <v>-</v>
      </c>
      <c r="N2121" s="510" t="str">
        <f>IFERROR(INDEX([1]Produtos!$E:$E,MATCH(L2121,[1]Produtos!$B:$B,0)), "-")</f>
        <v>-</v>
      </c>
      <c r="O2121" s="270" t="str">
        <f>IFERROR(INDEX([1]Produtos!$F:$F,MATCH(L2121,[1]Produtos!$B:$B,0)), "-")</f>
        <v>-</v>
      </c>
      <c r="P2121" s="264" t="str">
        <f>IFERROR(INDEX([1]Produtos!$G:$G,MATCH(L2121,[1]Produtos!$B:$B,0)), "-")</f>
        <v>-</v>
      </c>
      <c r="Q2121" s="270" t="str">
        <f>IFERROR(INDEX([1]Produtos!$H:$H,MATCH(L2121,[1]Produtos!$B:$B,0)), "-")</f>
        <v>-</v>
      </c>
      <c r="R2121" s="270" t="str">
        <f>IFERROR(INDEX([1]Produtos!$I:$I,MATCH(L2121,[1]Produtos!$B:$B,0)), "-")</f>
        <v>-</v>
      </c>
      <c r="S2121" s="270" t="str">
        <f>IFERROR(INDEX([1]Produtos!$J:$J,MATCH(L2121,[1]Produtos!$B:$B,0)), "-")</f>
        <v>-</v>
      </c>
      <c r="T2121" s="475"/>
      <c r="U2121" s="270"/>
      <c r="V2121" s="270"/>
      <c r="W2121" s="270"/>
      <c r="X2121" s="270"/>
      <c r="Y2121" s="270"/>
      <c r="Z2121" s="270"/>
      <c r="AA2121" s="270"/>
      <c r="AB2121" s="270"/>
      <c r="AC2121" s="270"/>
      <c r="AD2121" s="270"/>
      <c r="AE2121" s="270"/>
      <c r="AF2121" s="270"/>
      <c r="AG2121" s="270"/>
      <c r="AH2121" s="270"/>
      <c r="AI2121" s="270"/>
      <c r="AJ2121" s="270"/>
      <c r="AK2121" s="270"/>
      <c r="AL2121" s="270"/>
      <c r="AM2121" s="663"/>
      <c r="AN2121" s="663"/>
      <c r="AO2121" s="708" t="str">
        <f>IF(OR(Table1[[#This Row],[Início Setup Envase]]="",Table1[[#This Row],[Final Setup Envase]]=""),"",Table1[[#This Row],[Final Setup Envase]]-Table1[[#This Row],[Início Setup Envase]])</f>
        <v/>
      </c>
      <c r="AP2121" s="663"/>
      <c r="AQ2121" s="663"/>
      <c r="AR2121" s="270"/>
      <c r="AS2121" s="674"/>
      <c r="AT2121" s="674"/>
      <c r="AU2121" s="270"/>
      <c r="AV2121" s="270"/>
      <c r="AW2121" s="270"/>
      <c r="AX2121" s="270"/>
      <c r="AY2121" s="270"/>
      <c r="AZ2121" s="270"/>
      <c r="BA2121" s="270" t="str">
        <f>IF(Table1[[#This Row],[Data de Início]]="","",YEAR(Table1[[#This Row],[Data de Início]]))</f>
        <v/>
      </c>
      <c r="BB2121" s="270" t="str">
        <f>IF(Table1[[#This Row],[Data de Início]]="","",MONTH(Table1[[#This Row],[Data de Início]]))</f>
        <v/>
      </c>
      <c r="BC2121" s="483"/>
    </row>
    <row r="2122" spans="2:55" x14ac:dyDescent="0.25">
      <c r="B2122" s="470"/>
      <c r="C2122" s="263"/>
      <c r="D2122" s="477" cm="1">
        <f t="array" ref="D2122">IFERROR(HorasUteisFabrica2Turnos(B2122,C2122), "")</f>
        <v>0</v>
      </c>
      <c r="E2122" s="478" t="str">
        <f t="shared" si="33"/>
        <v/>
      </c>
      <c r="F2122" s="266"/>
      <c r="G2122" s="656"/>
      <c r="H2122" s="479"/>
      <c r="I2122" s="268"/>
      <c r="J2122" s="268"/>
      <c r="K2122" s="268"/>
      <c r="L2122" s="269"/>
      <c r="M2122" s="511" t="str">
        <f>IFERROR(INDEX([1]Produtos!$C:$C,MATCH(L2122,[1]Produtos!$B:$B,0)), "-")</f>
        <v>-</v>
      </c>
      <c r="N2122" s="511" t="str">
        <f>IFERROR(INDEX([1]Produtos!$E:$E,MATCH(L2122,[1]Produtos!$B:$B,0)), "-")</f>
        <v>-</v>
      </c>
      <c r="O2122" s="483" t="str">
        <f>IFERROR(INDEX([1]Produtos!$F:$F,MATCH(L2122,[1]Produtos!$B:$B,0)), "-")</f>
        <v>-</v>
      </c>
      <c r="P2122" s="477" t="str">
        <f>IFERROR(INDEX([1]Produtos!$G:$G,MATCH(L2122,[1]Produtos!$B:$B,0)), "-")</f>
        <v>-</v>
      </c>
      <c r="Q2122" s="483" t="str">
        <f>IFERROR(INDEX([1]Produtos!$H:$H,MATCH(L2122,[1]Produtos!$B:$B,0)), "-")</f>
        <v>-</v>
      </c>
      <c r="R2122" s="483" t="str">
        <f>IFERROR(INDEX([1]Produtos!$I:$I,MATCH(L2122,[1]Produtos!$B:$B,0)), "-")</f>
        <v>-</v>
      </c>
      <c r="S2122" s="483" t="str">
        <f>IFERROR(INDEX([1]Produtos!$J:$J,MATCH(L2122,[1]Produtos!$B:$B,0)), "-")</f>
        <v>-</v>
      </c>
      <c r="T2122" s="484"/>
      <c r="U2122" s="483"/>
      <c r="V2122" s="483"/>
      <c r="W2122" s="483"/>
      <c r="X2122" s="483"/>
      <c r="Y2122" s="483"/>
      <c r="Z2122" s="483"/>
      <c r="AA2122" s="483"/>
      <c r="AB2122" s="483"/>
      <c r="AC2122" s="483"/>
      <c r="AD2122" s="483"/>
      <c r="AE2122" s="483"/>
      <c r="AF2122" s="483"/>
      <c r="AG2122" s="483"/>
      <c r="AH2122" s="483"/>
      <c r="AI2122" s="483"/>
      <c r="AJ2122" s="483"/>
      <c r="AK2122" s="483"/>
      <c r="AL2122" s="483"/>
      <c r="AM2122" s="670"/>
      <c r="AN2122" s="670"/>
      <c r="AO2122" s="711" t="str">
        <f>IF(OR(Table1[[#This Row],[Início Setup Envase]]="",Table1[[#This Row],[Final Setup Envase]]=""),"",Table1[[#This Row],[Final Setup Envase]]-Table1[[#This Row],[Início Setup Envase]])</f>
        <v/>
      </c>
      <c r="AP2122" s="670"/>
      <c r="AQ2122" s="670"/>
      <c r="AR2122" s="483"/>
      <c r="AS2122" s="483"/>
      <c r="AT2122" s="483"/>
      <c r="AU2122" s="483"/>
      <c r="AV2122" s="483"/>
      <c r="AW2122" s="483"/>
      <c r="AX2122" s="483"/>
      <c r="AY2122" s="270"/>
      <c r="AZ2122" s="270"/>
      <c r="BA2122" s="270" t="str">
        <f>IF(Table1[[#This Row],[Data de Início]]="","",YEAR(Table1[[#This Row],[Data de Início]]))</f>
        <v/>
      </c>
      <c r="BB2122" s="270" t="str">
        <f>IF(Table1[[#This Row],[Data de Início]]="","",MONTH(Table1[[#This Row],[Data de Início]]))</f>
        <v/>
      </c>
      <c r="BC2122" s="270"/>
    </row>
    <row r="2123" spans="2:55" x14ac:dyDescent="0.25">
      <c r="B2123" s="470"/>
      <c r="C2123" s="263"/>
      <c r="D2123" s="477" cm="1">
        <f t="array" ref="D2123">IFERROR(HorasUteisFabrica2Turnos(B2123,C2123), "")</f>
        <v>0</v>
      </c>
      <c r="E2123" s="697" t="str">
        <f t="shared" si="33"/>
        <v/>
      </c>
      <c r="F2123" s="266"/>
      <c r="G2123" s="698"/>
      <c r="H2123" s="266"/>
      <c r="I2123" s="268"/>
      <c r="J2123" s="268"/>
      <c r="K2123" s="268"/>
      <c r="L2123" s="269"/>
      <c r="M2123" s="510" t="str">
        <f>IFERROR(INDEX([1]Produtos!$C:$C,MATCH(L2123,[1]Produtos!$B:$B,0)), "-")</f>
        <v>-</v>
      </c>
      <c r="N2123" s="510" t="str">
        <f>IFERROR(INDEX([1]Produtos!$E:$E,MATCH(L2123,[1]Produtos!$B:$B,0)), "-")</f>
        <v>-</v>
      </c>
      <c r="O2123" s="270" t="str">
        <f>IFERROR(INDEX([1]Produtos!$F:$F,MATCH(L2123,[1]Produtos!$B:$B,0)), "-")</f>
        <v>-</v>
      </c>
      <c r="P2123" s="264" t="str">
        <f>IFERROR(INDEX([1]Produtos!$G:$G,MATCH(L2123,[1]Produtos!$B:$B,0)), "-")</f>
        <v>-</v>
      </c>
      <c r="Q2123" s="270" t="str">
        <f>IFERROR(INDEX([1]Produtos!$H:$H,MATCH(L2123,[1]Produtos!$B:$B,0)), "-")</f>
        <v>-</v>
      </c>
      <c r="R2123" s="270" t="str">
        <f>IFERROR(INDEX([1]Produtos!$I:$I,MATCH(L2123,[1]Produtos!$B:$B,0)), "-")</f>
        <v>-</v>
      </c>
      <c r="S2123" s="270" t="str">
        <f>IFERROR(INDEX([1]Produtos!$J:$J,MATCH(L2123,[1]Produtos!$B:$B,0)), "-")</f>
        <v>-</v>
      </c>
      <c r="T2123" s="475"/>
      <c r="U2123" s="270"/>
      <c r="V2123" s="270"/>
      <c r="W2123" s="270"/>
      <c r="X2123" s="270"/>
      <c r="Y2123" s="270"/>
      <c r="Z2123" s="270"/>
      <c r="AA2123" s="270"/>
      <c r="AB2123" s="270"/>
      <c r="AC2123" s="270"/>
      <c r="AD2123" s="270"/>
      <c r="AE2123" s="270"/>
      <c r="AF2123" s="270"/>
      <c r="AG2123" s="270"/>
      <c r="AH2123" s="270"/>
      <c r="AI2123" s="270"/>
      <c r="AJ2123" s="270"/>
      <c r="AK2123" s="270"/>
      <c r="AL2123" s="270"/>
      <c r="AM2123" s="663"/>
      <c r="AN2123" s="663"/>
      <c r="AO2123" s="708" t="str">
        <f>IF(OR(Table1[[#This Row],[Início Setup Envase]]="",Table1[[#This Row],[Final Setup Envase]]=""),"",Table1[[#This Row],[Final Setup Envase]]-Table1[[#This Row],[Início Setup Envase]])</f>
        <v/>
      </c>
      <c r="AP2123" s="663"/>
      <c r="AQ2123" s="663"/>
      <c r="AR2123" s="270"/>
      <c r="AS2123" s="674"/>
      <c r="AT2123" s="674"/>
      <c r="AU2123" s="270"/>
      <c r="AV2123" s="270"/>
      <c r="AW2123" s="270"/>
      <c r="AX2123" s="270"/>
      <c r="AY2123" s="270"/>
      <c r="AZ2123" s="270"/>
      <c r="BA2123" s="270" t="str">
        <f>IF(Table1[[#This Row],[Data de Início]]="","",YEAR(Table1[[#This Row],[Data de Início]]))</f>
        <v/>
      </c>
      <c r="BB2123" s="270" t="str">
        <f>IF(Table1[[#This Row],[Data de Início]]="","",MONTH(Table1[[#This Row],[Data de Início]]))</f>
        <v/>
      </c>
      <c r="BC2123" s="483"/>
    </row>
    <row r="2124" spans="2:55" x14ac:dyDescent="0.25">
      <c r="B2124" s="470"/>
      <c r="C2124" s="263"/>
      <c r="D2124" s="477" cm="1">
        <f t="array" ref="D2124">IFERROR(HorasUteisFabrica2Turnos(B2124,C2124), "")</f>
        <v>0</v>
      </c>
      <c r="E2124" s="478" t="str">
        <f t="shared" si="33"/>
        <v/>
      </c>
      <c r="F2124" s="266"/>
      <c r="G2124" s="656"/>
      <c r="H2124" s="479"/>
      <c r="I2124" s="268"/>
      <c r="J2124" s="268"/>
      <c r="K2124" s="268"/>
      <c r="L2124" s="269"/>
      <c r="M2124" s="511" t="str">
        <f>IFERROR(INDEX([1]Produtos!$C:$C,MATCH(L2124,[1]Produtos!$B:$B,0)), "-")</f>
        <v>-</v>
      </c>
      <c r="N2124" s="511" t="str">
        <f>IFERROR(INDEX([1]Produtos!$E:$E,MATCH(L2124,[1]Produtos!$B:$B,0)), "-")</f>
        <v>-</v>
      </c>
      <c r="O2124" s="483" t="str">
        <f>IFERROR(INDEX([1]Produtos!$F:$F,MATCH(L2124,[1]Produtos!$B:$B,0)), "-")</f>
        <v>-</v>
      </c>
      <c r="P2124" s="477" t="str">
        <f>IFERROR(INDEX([1]Produtos!$G:$G,MATCH(L2124,[1]Produtos!$B:$B,0)), "-")</f>
        <v>-</v>
      </c>
      <c r="Q2124" s="483" t="str">
        <f>IFERROR(INDEX([1]Produtos!$H:$H,MATCH(L2124,[1]Produtos!$B:$B,0)), "-")</f>
        <v>-</v>
      </c>
      <c r="R2124" s="483" t="str">
        <f>IFERROR(INDEX([1]Produtos!$I:$I,MATCH(L2124,[1]Produtos!$B:$B,0)), "-")</f>
        <v>-</v>
      </c>
      <c r="S2124" s="483" t="str">
        <f>IFERROR(INDEX([1]Produtos!$J:$J,MATCH(L2124,[1]Produtos!$B:$B,0)), "-")</f>
        <v>-</v>
      </c>
      <c r="T2124" s="484"/>
      <c r="U2124" s="483"/>
      <c r="V2124" s="483"/>
      <c r="W2124" s="483"/>
      <c r="X2124" s="483"/>
      <c r="Y2124" s="483"/>
      <c r="Z2124" s="483"/>
      <c r="AA2124" s="483"/>
      <c r="AB2124" s="483"/>
      <c r="AC2124" s="483"/>
      <c r="AD2124" s="483"/>
      <c r="AE2124" s="483"/>
      <c r="AF2124" s="483"/>
      <c r="AG2124" s="483"/>
      <c r="AH2124" s="483"/>
      <c r="AI2124" s="483"/>
      <c r="AJ2124" s="483"/>
      <c r="AK2124" s="483"/>
      <c r="AL2124" s="483"/>
      <c r="AM2124" s="670"/>
      <c r="AN2124" s="670"/>
      <c r="AO2124" s="711" t="str">
        <f>IF(OR(Table1[[#This Row],[Início Setup Envase]]="",Table1[[#This Row],[Final Setup Envase]]=""),"",Table1[[#This Row],[Final Setup Envase]]-Table1[[#This Row],[Início Setup Envase]])</f>
        <v/>
      </c>
      <c r="AP2124" s="670"/>
      <c r="AQ2124" s="670"/>
      <c r="AR2124" s="483"/>
      <c r="AS2124" s="483"/>
      <c r="AT2124" s="483"/>
      <c r="AU2124" s="483"/>
      <c r="AV2124" s="483"/>
      <c r="AW2124" s="483"/>
      <c r="AX2124" s="483"/>
      <c r="AY2124" s="270"/>
      <c r="AZ2124" s="270"/>
      <c r="BA2124" s="270" t="str">
        <f>IF(Table1[[#This Row],[Data de Início]]="","",YEAR(Table1[[#This Row],[Data de Início]]))</f>
        <v/>
      </c>
      <c r="BB2124" s="270" t="str">
        <f>IF(Table1[[#This Row],[Data de Início]]="","",MONTH(Table1[[#This Row],[Data de Início]]))</f>
        <v/>
      </c>
      <c r="BC2124" s="270"/>
    </row>
    <row r="2125" spans="2:55" x14ac:dyDescent="0.25">
      <c r="B2125" s="470"/>
      <c r="C2125" s="263"/>
      <c r="D2125" s="477" cm="1">
        <f t="array" ref="D2125">IFERROR(HorasUteisFabrica2Turnos(B2125,C2125), "")</f>
        <v>0</v>
      </c>
      <c r="E2125" s="697" t="str">
        <f t="shared" si="33"/>
        <v/>
      </c>
      <c r="F2125" s="266"/>
      <c r="G2125" s="698"/>
      <c r="H2125" s="266"/>
      <c r="I2125" s="268"/>
      <c r="J2125" s="268"/>
      <c r="K2125" s="268"/>
      <c r="L2125" s="269"/>
      <c r="M2125" s="510" t="str">
        <f>IFERROR(INDEX([1]Produtos!$C:$C,MATCH(L2125,[1]Produtos!$B:$B,0)), "-")</f>
        <v>-</v>
      </c>
      <c r="N2125" s="510" t="str">
        <f>IFERROR(INDEX([1]Produtos!$E:$E,MATCH(L2125,[1]Produtos!$B:$B,0)), "-")</f>
        <v>-</v>
      </c>
      <c r="O2125" s="270" t="str">
        <f>IFERROR(INDEX([1]Produtos!$F:$F,MATCH(L2125,[1]Produtos!$B:$B,0)), "-")</f>
        <v>-</v>
      </c>
      <c r="P2125" s="264" t="str">
        <f>IFERROR(INDEX([1]Produtos!$G:$G,MATCH(L2125,[1]Produtos!$B:$B,0)), "-")</f>
        <v>-</v>
      </c>
      <c r="Q2125" s="270" t="str">
        <f>IFERROR(INDEX([1]Produtos!$H:$H,MATCH(L2125,[1]Produtos!$B:$B,0)), "-")</f>
        <v>-</v>
      </c>
      <c r="R2125" s="270" t="str">
        <f>IFERROR(INDEX([1]Produtos!$I:$I,MATCH(L2125,[1]Produtos!$B:$B,0)), "-")</f>
        <v>-</v>
      </c>
      <c r="S2125" s="270" t="str">
        <f>IFERROR(INDEX([1]Produtos!$J:$J,MATCH(L2125,[1]Produtos!$B:$B,0)), "-")</f>
        <v>-</v>
      </c>
      <c r="T2125" s="475"/>
      <c r="U2125" s="270"/>
      <c r="V2125" s="270"/>
      <c r="W2125" s="270"/>
      <c r="X2125" s="270"/>
      <c r="Y2125" s="270"/>
      <c r="Z2125" s="270"/>
      <c r="AA2125" s="270"/>
      <c r="AB2125" s="270"/>
      <c r="AC2125" s="270"/>
      <c r="AD2125" s="270"/>
      <c r="AE2125" s="270"/>
      <c r="AF2125" s="270"/>
      <c r="AG2125" s="270"/>
      <c r="AH2125" s="270"/>
      <c r="AI2125" s="270"/>
      <c r="AJ2125" s="270"/>
      <c r="AK2125" s="270"/>
      <c r="AL2125" s="270"/>
      <c r="AM2125" s="663"/>
      <c r="AN2125" s="663"/>
      <c r="AO2125" s="708" t="str">
        <f>IF(OR(Table1[[#This Row],[Início Setup Envase]]="",Table1[[#This Row],[Final Setup Envase]]=""),"",Table1[[#This Row],[Final Setup Envase]]-Table1[[#This Row],[Início Setup Envase]])</f>
        <v/>
      </c>
      <c r="AP2125" s="663"/>
      <c r="AQ2125" s="663"/>
      <c r="AR2125" s="270"/>
      <c r="AS2125" s="674"/>
      <c r="AT2125" s="674"/>
      <c r="AU2125" s="270"/>
      <c r="AV2125" s="270"/>
      <c r="AW2125" s="270"/>
      <c r="AX2125" s="270"/>
      <c r="AY2125" s="270"/>
      <c r="AZ2125" s="270"/>
      <c r="BA2125" s="270" t="str">
        <f>IF(Table1[[#This Row],[Data de Início]]="","",YEAR(Table1[[#This Row],[Data de Início]]))</f>
        <v/>
      </c>
      <c r="BB2125" s="270" t="str">
        <f>IF(Table1[[#This Row],[Data de Início]]="","",MONTH(Table1[[#This Row],[Data de Início]]))</f>
        <v/>
      </c>
      <c r="BC2125" s="483"/>
    </row>
    <row r="2126" spans="2:55" x14ac:dyDescent="0.25">
      <c r="B2126" s="470"/>
      <c r="C2126" s="263"/>
      <c r="D2126" s="477" cm="1">
        <f t="array" ref="D2126">IFERROR(HorasUteisFabrica2Turnos(B2126,C2126), "")</f>
        <v>0</v>
      </c>
      <c r="E2126" s="478" t="str">
        <f t="shared" si="33"/>
        <v/>
      </c>
      <c r="F2126" s="266"/>
      <c r="G2126" s="656"/>
      <c r="H2126" s="479"/>
      <c r="I2126" s="268"/>
      <c r="J2126" s="268"/>
      <c r="K2126" s="268"/>
      <c r="L2126" s="269"/>
      <c r="M2126" s="511" t="str">
        <f>IFERROR(INDEX([1]Produtos!$C:$C,MATCH(L2126,[1]Produtos!$B:$B,0)), "-")</f>
        <v>-</v>
      </c>
      <c r="N2126" s="511" t="str">
        <f>IFERROR(INDEX([1]Produtos!$E:$E,MATCH(L2126,[1]Produtos!$B:$B,0)), "-")</f>
        <v>-</v>
      </c>
      <c r="O2126" s="483" t="str">
        <f>IFERROR(INDEX([1]Produtos!$F:$F,MATCH(L2126,[1]Produtos!$B:$B,0)), "-")</f>
        <v>-</v>
      </c>
      <c r="P2126" s="477" t="str">
        <f>IFERROR(INDEX([1]Produtos!$G:$G,MATCH(L2126,[1]Produtos!$B:$B,0)), "-")</f>
        <v>-</v>
      </c>
      <c r="Q2126" s="483" t="str">
        <f>IFERROR(INDEX([1]Produtos!$H:$H,MATCH(L2126,[1]Produtos!$B:$B,0)), "-")</f>
        <v>-</v>
      </c>
      <c r="R2126" s="483" t="str">
        <f>IFERROR(INDEX([1]Produtos!$I:$I,MATCH(L2126,[1]Produtos!$B:$B,0)), "-")</f>
        <v>-</v>
      </c>
      <c r="S2126" s="483" t="str">
        <f>IFERROR(INDEX([1]Produtos!$J:$J,MATCH(L2126,[1]Produtos!$B:$B,0)), "-")</f>
        <v>-</v>
      </c>
      <c r="T2126" s="484"/>
      <c r="U2126" s="483"/>
      <c r="V2126" s="483"/>
      <c r="W2126" s="483"/>
      <c r="X2126" s="483"/>
      <c r="Y2126" s="483"/>
      <c r="Z2126" s="483"/>
      <c r="AA2126" s="483"/>
      <c r="AB2126" s="483"/>
      <c r="AC2126" s="483"/>
      <c r="AD2126" s="483"/>
      <c r="AE2126" s="483"/>
      <c r="AF2126" s="483"/>
      <c r="AG2126" s="483"/>
      <c r="AH2126" s="483"/>
      <c r="AI2126" s="483"/>
      <c r="AJ2126" s="483"/>
      <c r="AK2126" s="483"/>
      <c r="AL2126" s="483"/>
      <c r="AM2126" s="670"/>
      <c r="AN2126" s="670"/>
      <c r="AO2126" s="711" t="str">
        <f>IF(OR(Table1[[#This Row],[Início Setup Envase]]="",Table1[[#This Row],[Final Setup Envase]]=""),"",Table1[[#This Row],[Final Setup Envase]]-Table1[[#This Row],[Início Setup Envase]])</f>
        <v/>
      </c>
      <c r="AP2126" s="670"/>
      <c r="AQ2126" s="670"/>
      <c r="AR2126" s="483"/>
      <c r="AS2126" s="483"/>
      <c r="AT2126" s="483"/>
      <c r="AU2126" s="483"/>
      <c r="AV2126" s="483"/>
      <c r="AW2126" s="483"/>
      <c r="AX2126" s="483"/>
      <c r="AY2126" s="270"/>
      <c r="AZ2126" s="270"/>
      <c r="BA2126" s="270" t="str">
        <f>IF(Table1[[#This Row],[Data de Início]]="","",YEAR(Table1[[#This Row],[Data de Início]]))</f>
        <v/>
      </c>
      <c r="BB2126" s="270" t="str">
        <f>IF(Table1[[#This Row],[Data de Início]]="","",MONTH(Table1[[#This Row],[Data de Início]]))</f>
        <v/>
      </c>
      <c r="BC2126" s="270"/>
    </row>
    <row r="2127" spans="2:55" x14ac:dyDescent="0.25">
      <c r="B2127" s="470"/>
      <c r="C2127" s="263"/>
      <c r="D2127" s="477" cm="1">
        <f t="array" ref="D2127">IFERROR(HorasUteisFabrica2Turnos(B2127,C2127), "")</f>
        <v>0</v>
      </c>
      <c r="E2127" s="697" t="str">
        <f t="shared" si="33"/>
        <v/>
      </c>
      <c r="F2127" s="266"/>
      <c r="G2127" s="698"/>
      <c r="H2127" s="266"/>
      <c r="I2127" s="268"/>
      <c r="J2127" s="268"/>
      <c r="K2127" s="268"/>
      <c r="L2127" s="269"/>
      <c r="M2127" s="510" t="str">
        <f>IFERROR(INDEX([1]Produtos!$C:$C,MATCH(L2127,[1]Produtos!$B:$B,0)), "-")</f>
        <v>-</v>
      </c>
      <c r="N2127" s="510" t="str">
        <f>IFERROR(INDEX([1]Produtos!$E:$E,MATCH(L2127,[1]Produtos!$B:$B,0)), "-")</f>
        <v>-</v>
      </c>
      <c r="O2127" s="270" t="str">
        <f>IFERROR(INDEX([1]Produtos!$F:$F,MATCH(L2127,[1]Produtos!$B:$B,0)), "-")</f>
        <v>-</v>
      </c>
      <c r="P2127" s="264" t="str">
        <f>IFERROR(INDEX([1]Produtos!$G:$G,MATCH(L2127,[1]Produtos!$B:$B,0)), "-")</f>
        <v>-</v>
      </c>
      <c r="Q2127" s="270" t="str">
        <f>IFERROR(INDEX([1]Produtos!$H:$H,MATCH(L2127,[1]Produtos!$B:$B,0)), "-")</f>
        <v>-</v>
      </c>
      <c r="R2127" s="270" t="str">
        <f>IFERROR(INDEX([1]Produtos!$I:$I,MATCH(L2127,[1]Produtos!$B:$B,0)), "-")</f>
        <v>-</v>
      </c>
      <c r="S2127" s="270" t="str">
        <f>IFERROR(INDEX([1]Produtos!$J:$J,MATCH(L2127,[1]Produtos!$B:$B,0)), "-")</f>
        <v>-</v>
      </c>
      <c r="T2127" s="475"/>
      <c r="U2127" s="270"/>
      <c r="V2127" s="270"/>
      <c r="W2127" s="270"/>
      <c r="X2127" s="270"/>
      <c r="Y2127" s="270"/>
      <c r="Z2127" s="270"/>
      <c r="AA2127" s="270"/>
      <c r="AB2127" s="270"/>
      <c r="AC2127" s="270"/>
      <c r="AD2127" s="270"/>
      <c r="AE2127" s="270"/>
      <c r="AF2127" s="270"/>
      <c r="AG2127" s="270"/>
      <c r="AH2127" s="270"/>
      <c r="AI2127" s="270"/>
      <c r="AJ2127" s="270"/>
      <c r="AK2127" s="270"/>
      <c r="AL2127" s="270"/>
      <c r="AM2127" s="663"/>
      <c r="AN2127" s="663"/>
      <c r="AO2127" s="708" t="str">
        <f>IF(OR(Table1[[#This Row],[Início Setup Envase]]="",Table1[[#This Row],[Final Setup Envase]]=""),"",Table1[[#This Row],[Final Setup Envase]]-Table1[[#This Row],[Início Setup Envase]])</f>
        <v/>
      </c>
      <c r="AP2127" s="663"/>
      <c r="AQ2127" s="663"/>
      <c r="AR2127" s="270"/>
      <c r="AS2127" s="674"/>
      <c r="AT2127" s="674"/>
      <c r="AU2127" s="270"/>
      <c r="AV2127" s="270"/>
      <c r="AW2127" s="270"/>
      <c r="AX2127" s="270"/>
      <c r="AY2127" s="270"/>
      <c r="AZ2127" s="270"/>
      <c r="BA2127" s="270" t="str">
        <f>IF(Table1[[#This Row],[Data de Início]]="","",YEAR(Table1[[#This Row],[Data de Início]]))</f>
        <v/>
      </c>
      <c r="BB2127" s="270" t="str">
        <f>IF(Table1[[#This Row],[Data de Início]]="","",MONTH(Table1[[#This Row],[Data de Início]]))</f>
        <v/>
      </c>
      <c r="BC2127" s="483"/>
    </row>
    <row r="2128" spans="2:55" x14ac:dyDescent="0.25">
      <c r="B2128" s="470"/>
      <c r="C2128" s="263"/>
      <c r="D2128" s="477" cm="1">
        <f t="array" ref="D2128">IFERROR(HorasUteisFabrica2Turnos(B2128,C2128), "")</f>
        <v>0</v>
      </c>
      <c r="E2128" s="478" t="str">
        <f t="shared" si="33"/>
        <v/>
      </c>
      <c r="F2128" s="266"/>
      <c r="G2128" s="656"/>
      <c r="H2128" s="479"/>
      <c r="I2128" s="268"/>
      <c r="J2128" s="268"/>
      <c r="K2128" s="268"/>
      <c r="L2128" s="269"/>
      <c r="M2128" s="511" t="str">
        <f>IFERROR(INDEX([1]Produtos!$C:$C,MATCH(L2128,[1]Produtos!$B:$B,0)), "-")</f>
        <v>-</v>
      </c>
      <c r="N2128" s="511" t="str">
        <f>IFERROR(INDEX([1]Produtos!$E:$E,MATCH(L2128,[1]Produtos!$B:$B,0)), "-")</f>
        <v>-</v>
      </c>
      <c r="O2128" s="483" t="str">
        <f>IFERROR(INDEX([1]Produtos!$F:$F,MATCH(L2128,[1]Produtos!$B:$B,0)), "-")</f>
        <v>-</v>
      </c>
      <c r="P2128" s="477" t="str">
        <f>IFERROR(INDEX([1]Produtos!$G:$G,MATCH(L2128,[1]Produtos!$B:$B,0)), "-")</f>
        <v>-</v>
      </c>
      <c r="Q2128" s="483" t="str">
        <f>IFERROR(INDEX([1]Produtos!$H:$H,MATCH(L2128,[1]Produtos!$B:$B,0)), "-")</f>
        <v>-</v>
      </c>
      <c r="R2128" s="483" t="str">
        <f>IFERROR(INDEX([1]Produtos!$I:$I,MATCH(L2128,[1]Produtos!$B:$B,0)), "-")</f>
        <v>-</v>
      </c>
      <c r="S2128" s="483" t="str">
        <f>IFERROR(INDEX([1]Produtos!$J:$J,MATCH(L2128,[1]Produtos!$B:$B,0)), "-")</f>
        <v>-</v>
      </c>
      <c r="T2128" s="484"/>
      <c r="U2128" s="483"/>
      <c r="V2128" s="483"/>
      <c r="W2128" s="483"/>
      <c r="X2128" s="483"/>
      <c r="Y2128" s="483"/>
      <c r="Z2128" s="483"/>
      <c r="AA2128" s="483"/>
      <c r="AB2128" s="483"/>
      <c r="AC2128" s="483"/>
      <c r="AD2128" s="483"/>
      <c r="AE2128" s="483"/>
      <c r="AF2128" s="483"/>
      <c r="AG2128" s="483"/>
      <c r="AH2128" s="483"/>
      <c r="AI2128" s="483"/>
      <c r="AJ2128" s="483"/>
      <c r="AK2128" s="483"/>
      <c r="AL2128" s="483"/>
      <c r="AM2128" s="670"/>
      <c r="AN2128" s="670"/>
      <c r="AO2128" s="711" t="str">
        <f>IF(OR(Table1[[#This Row],[Início Setup Envase]]="",Table1[[#This Row],[Final Setup Envase]]=""),"",Table1[[#This Row],[Final Setup Envase]]-Table1[[#This Row],[Início Setup Envase]])</f>
        <v/>
      </c>
      <c r="AP2128" s="670"/>
      <c r="AQ2128" s="670"/>
      <c r="AR2128" s="483"/>
      <c r="AS2128" s="483"/>
      <c r="AT2128" s="483"/>
      <c r="AU2128" s="483"/>
      <c r="AV2128" s="483"/>
      <c r="AW2128" s="483"/>
      <c r="AX2128" s="483"/>
      <c r="AY2128" s="270"/>
      <c r="AZ2128" s="270"/>
      <c r="BA2128" s="270" t="str">
        <f>IF(Table1[[#This Row],[Data de Início]]="","",YEAR(Table1[[#This Row],[Data de Início]]))</f>
        <v/>
      </c>
      <c r="BB2128" s="270" t="str">
        <f>IF(Table1[[#This Row],[Data de Início]]="","",MONTH(Table1[[#This Row],[Data de Início]]))</f>
        <v/>
      </c>
      <c r="BC2128" s="270"/>
    </row>
    <row r="2129" spans="2:55" x14ac:dyDescent="0.25">
      <c r="B2129" s="470"/>
      <c r="C2129" s="263"/>
      <c r="D2129" s="477" cm="1">
        <f t="array" ref="D2129">IFERROR(HorasUteisFabrica2Turnos(B2129,C2129), "")</f>
        <v>0</v>
      </c>
      <c r="E2129" s="697" t="str">
        <f t="shared" si="33"/>
        <v/>
      </c>
      <c r="F2129" s="266"/>
      <c r="G2129" s="698"/>
      <c r="H2129" s="266"/>
      <c r="I2129" s="268"/>
      <c r="J2129" s="268"/>
      <c r="K2129" s="268"/>
      <c r="L2129" s="269"/>
      <c r="M2129" s="510" t="str">
        <f>IFERROR(INDEX([1]Produtos!$C:$C,MATCH(L2129,[1]Produtos!$B:$B,0)), "-")</f>
        <v>-</v>
      </c>
      <c r="N2129" s="510" t="str">
        <f>IFERROR(INDEX([1]Produtos!$E:$E,MATCH(L2129,[1]Produtos!$B:$B,0)), "-")</f>
        <v>-</v>
      </c>
      <c r="O2129" s="270" t="str">
        <f>IFERROR(INDEX([1]Produtos!$F:$F,MATCH(L2129,[1]Produtos!$B:$B,0)), "-")</f>
        <v>-</v>
      </c>
      <c r="P2129" s="264" t="str">
        <f>IFERROR(INDEX([1]Produtos!$G:$G,MATCH(L2129,[1]Produtos!$B:$B,0)), "-")</f>
        <v>-</v>
      </c>
      <c r="Q2129" s="270" t="str">
        <f>IFERROR(INDEX([1]Produtos!$H:$H,MATCH(L2129,[1]Produtos!$B:$B,0)), "-")</f>
        <v>-</v>
      </c>
      <c r="R2129" s="270" t="str">
        <f>IFERROR(INDEX([1]Produtos!$I:$I,MATCH(L2129,[1]Produtos!$B:$B,0)), "-")</f>
        <v>-</v>
      </c>
      <c r="S2129" s="270" t="str">
        <f>IFERROR(INDEX([1]Produtos!$J:$J,MATCH(L2129,[1]Produtos!$B:$B,0)), "-")</f>
        <v>-</v>
      </c>
      <c r="T2129" s="475"/>
      <c r="U2129" s="270"/>
      <c r="V2129" s="270"/>
      <c r="W2129" s="270"/>
      <c r="X2129" s="270"/>
      <c r="Y2129" s="270"/>
      <c r="Z2129" s="270"/>
      <c r="AA2129" s="270"/>
      <c r="AB2129" s="270"/>
      <c r="AC2129" s="270"/>
      <c r="AD2129" s="270"/>
      <c r="AE2129" s="270"/>
      <c r="AF2129" s="270"/>
      <c r="AG2129" s="270"/>
      <c r="AH2129" s="270"/>
      <c r="AI2129" s="270"/>
      <c r="AJ2129" s="270"/>
      <c r="AK2129" s="270"/>
      <c r="AL2129" s="270"/>
      <c r="AM2129" s="663"/>
      <c r="AN2129" s="663"/>
      <c r="AO2129" s="708" t="str">
        <f>IF(OR(Table1[[#This Row],[Início Setup Envase]]="",Table1[[#This Row],[Final Setup Envase]]=""),"",Table1[[#This Row],[Final Setup Envase]]-Table1[[#This Row],[Início Setup Envase]])</f>
        <v/>
      </c>
      <c r="AP2129" s="663"/>
      <c r="AQ2129" s="663"/>
      <c r="AR2129" s="270"/>
      <c r="AS2129" s="674"/>
      <c r="AT2129" s="674"/>
      <c r="AU2129" s="270"/>
      <c r="AV2129" s="270"/>
      <c r="AW2129" s="270"/>
      <c r="AX2129" s="270"/>
      <c r="AY2129" s="270"/>
      <c r="AZ2129" s="270"/>
      <c r="BA2129" s="270" t="str">
        <f>IF(Table1[[#This Row],[Data de Início]]="","",YEAR(Table1[[#This Row],[Data de Início]]))</f>
        <v/>
      </c>
      <c r="BB2129" s="270" t="str">
        <f>IF(Table1[[#This Row],[Data de Início]]="","",MONTH(Table1[[#This Row],[Data de Início]]))</f>
        <v/>
      </c>
      <c r="BC2129" s="483"/>
    </row>
    <row r="2130" spans="2:55" x14ac:dyDescent="0.25">
      <c r="B2130" s="470"/>
      <c r="C2130" s="263"/>
      <c r="D2130" s="477" cm="1">
        <f t="array" ref="D2130">IFERROR(HorasUteisFabrica2Turnos(B2130,C2130), "")</f>
        <v>0</v>
      </c>
      <c r="E2130" s="478" t="str">
        <f t="shared" si="33"/>
        <v/>
      </c>
      <c r="F2130" s="266"/>
      <c r="G2130" s="656"/>
      <c r="H2130" s="479"/>
      <c r="I2130" s="268"/>
      <c r="J2130" s="268"/>
      <c r="K2130" s="268"/>
      <c r="L2130" s="269"/>
      <c r="M2130" s="511" t="str">
        <f>IFERROR(INDEX([1]Produtos!$C:$C,MATCH(L2130,[1]Produtos!$B:$B,0)), "-")</f>
        <v>-</v>
      </c>
      <c r="N2130" s="511" t="str">
        <f>IFERROR(INDEX([1]Produtos!$E:$E,MATCH(L2130,[1]Produtos!$B:$B,0)), "-")</f>
        <v>-</v>
      </c>
      <c r="O2130" s="483" t="str">
        <f>IFERROR(INDEX([1]Produtos!$F:$F,MATCH(L2130,[1]Produtos!$B:$B,0)), "-")</f>
        <v>-</v>
      </c>
      <c r="P2130" s="477" t="str">
        <f>IFERROR(INDEX([1]Produtos!$G:$G,MATCH(L2130,[1]Produtos!$B:$B,0)), "-")</f>
        <v>-</v>
      </c>
      <c r="Q2130" s="483" t="str">
        <f>IFERROR(INDEX([1]Produtos!$H:$H,MATCH(L2130,[1]Produtos!$B:$B,0)), "-")</f>
        <v>-</v>
      </c>
      <c r="R2130" s="483" t="str">
        <f>IFERROR(INDEX([1]Produtos!$I:$I,MATCH(L2130,[1]Produtos!$B:$B,0)), "-")</f>
        <v>-</v>
      </c>
      <c r="S2130" s="483" t="str">
        <f>IFERROR(INDEX([1]Produtos!$J:$J,MATCH(L2130,[1]Produtos!$B:$B,0)), "-")</f>
        <v>-</v>
      </c>
      <c r="T2130" s="484"/>
      <c r="U2130" s="483"/>
      <c r="V2130" s="483"/>
      <c r="W2130" s="483"/>
      <c r="X2130" s="483"/>
      <c r="Y2130" s="483"/>
      <c r="Z2130" s="483"/>
      <c r="AA2130" s="483"/>
      <c r="AB2130" s="483"/>
      <c r="AC2130" s="483"/>
      <c r="AD2130" s="483"/>
      <c r="AE2130" s="483"/>
      <c r="AF2130" s="483"/>
      <c r="AG2130" s="483"/>
      <c r="AH2130" s="483"/>
      <c r="AI2130" s="483"/>
      <c r="AJ2130" s="483"/>
      <c r="AK2130" s="483"/>
      <c r="AL2130" s="483"/>
      <c r="AM2130" s="670"/>
      <c r="AN2130" s="670"/>
      <c r="AO2130" s="711" t="str">
        <f>IF(OR(Table1[[#This Row],[Início Setup Envase]]="",Table1[[#This Row],[Final Setup Envase]]=""),"",Table1[[#This Row],[Final Setup Envase]]-Table1[[#This Row],[Início Setup Envase]])</f>
        <v/>
      </c>
      <c r="AP2130" s="670"/>
      <c r="AQ2130" s="670"/>
      <c r="AR2130" s="483"/>
      <c r="AS2130" s="483"/>
      <c r="AT2130" s="483"/>
      <c r="AU2130" s="483"/>
      <c r="AV2130" s="483"/>
      <c r="AW2130" s="483"/>
      <c r="AX2130" s="483"/>
      <c r="AY2130" s="270"/>
      <c r="AZ2130" s="270"/>
      <c r="BA2130" s="270" t="str">
        <f>IF(Table1[[#This Row],[Data de Início]]="","",YEAR(Table1[[#This Row],[Data de Início]]))</f>
        <v/>
      </c>
      <c r="BB2130" s="270" t="str">
        <f>IF(Table1[[#This Row],[Data de Início]]="","",MONTH(Table1[[#This Row],[Data de Início]]))</f>
        <v/>
      </c>
      <c r="BC2130" s="270"/>
    </row>
    <row r="2131" spans="2:55" x14ac:dyDescent="0.25">
      <c r="B2131" s="470"/>
      <c r="C2131" s="263"/>
      <c r="D2131" s="477" cm="1">
        <f t="array" ref="D2131">IFERROR(HorasUteisFabrica2Turnos(B2131,C2131), "")</f>
        <v>0</v>
      </c>
      <c r="E2131" s="697" t="str">
        <f t="shared" si="33"/>
        <v/>
      </c>
      <c r="F2131" s="266"/>
      <c r="G2131" s="698"/>
      <c r="H2131" s="266"/>
      <c r="I2131" s="268"/>
      <c r="J2131" s="268"/>
      <c r="K2131" s="268"/>
      <c r="L2131" s="269"/>
      <c r="M2131" s="510" t="str">
        <f>IFERROR(INDEX([1]Produtos!$C:$C,MATCH(L2131,[1]Produtos!$B:$B,0)), "-")</f>
        <v>-</v>
      </c>
      <c r="N2131" s="510" t="str">
        <f>IFERROR(INDEX([1]Produtos!$E:$E,MATCH(L2131,[1]Produtos!$B:$B,0)), "-")</f>
        <v>-</v>
      </c>
      <c r="O2131" s="270" t="str">
        <f>IFERROR(INDEX([1]Produtos!$F:$F,MATCH(L2131,[1]Produtos!$B:$B,0)), "-")</f>
        <v>-</v>
      </c>
      <c r="P2131" s="264" t="str">
        <f>IFERROR(INDEX([1]Produtos!$G:$G,MATCH(L2131,[1]Produtos!$B:$B,0)), "-")</f>
        <v>-</v>
      </c>
      <c r="Q2131" s="270" t="str">
        <f>IFERROR(INDEX([1]Produtos!$H:$H,MATCH(L2131,[1]Produtos!$B:$B,0)), "-")</f>
        <v>-</v>
      </c>
      <c r="R2131" s="270" t="str">
        <f>IFERROR(INDEX([1]Produtos!$I:$I,MATCH(L2131,[1]Produtos!$B:$B,0)), "-")</f>
        <v>-</v>
      </c>
      <c r="S2131" s="270" t="str">
        <f>IFERROR(INDEX([1]Produtos!$J:$J,MATCH(L2131,[1]Produtos!$B:$B,0)), "-")</f>
        <v>-</v>
      </c>
      <c r="T2131" s="475"/>
      <c r="U2131" s="270"/>
      <c r="V2131" s="270"/>
      <c r="W2131" s="270"/>
      <c r="X2131" s="270"/>
      <c r="Y2131" s="270"/>
      <c r="Z2131" s="270"/>
      <c r="AA2131" s="270"/>
      <c r="AB2131" s="270"/>
      <c r="AC2131" s="270"/>
      <c r="AD2131" s="270"/>
      <c r="AE2131" s="270"/>
      <c r="AF2131" s="270"/>
      <c r="AG2131" s="270"/>
      <c r="AH2131" s="270"/>
      <c r="AI2131" s="270"/>
      <c r="AJ2131" s="270"/>
      <c r="AK2131" s="270"/>
      <c r="AL2131" s="270"/>
      <c r="AM2131" s="663"/>
      <c r="AN2131" s="663"/>
      <c r="AO2131" s="708" t="str">
        <f>IF(OR(Table1[[#This Row],[Início Setup Envase]]="",Table1[[#This Row],[Final Setup Envase]]=""),"",Table1[[#This Row],[Final Setup Envase]]-Table1[[#This Row],[Início Setup Envase]])</f>
        <v/>
      </c>
      <c r="AP2131" s="663"/>
      <c r="AQ2131" s="663"/>
      <c r="AR2131" s="270"/>
      <c r="AS2131" s="674"/>
      <c r="AT2131" s="674"/>
      <c r="AU2131" s="270"/>
      <c r="AV2131" s="270"/>
      <c r="AW2131" s="270"/>
      <c r="AX2131" s="270"/>
      <c r="AY2131" s="270"/>
      <c r="AZ2131" s="270"/>
      <c r="BA2131" s="270" t="str">
        <f>IF(Table1[[#This Row],[Data de Início]]="","",YEAR(Table1[[#This Row],[Data de Início]]))</f>
        <v/>
      </c>
      <c r="BB2131" s="270" t="str">
        <f>IF(Table1[[#This Row],[Data de Início]]="","",MONTH(Table1[[#This Row],[Data de Início]]))</f>
        <v/>
      </c>
      <c r="BC2131" s="483"/>
    </row>
    <row r="2132" spans="2:55" x14ac:dyDescent="0.25">
      <c r="B2132" s="470"/>
      <c r="C2132" s="263"/>
      <c r="D2132" s="477" cm="1">
        <f t="array" ref="D2132">IFERROR(HorasUteisFabrica2Turnos(B2132,C2132), "")</f>
        <v>0</v>
      </c>
      <c r="E2132" s="478" t="str">
        <f t="shared" si="33"/>
        <v/>
      </c>
      <c r="F2132" s="266"/>
      <c r="G2132" s="656"/>
      <c r="H2132" s="479"/>
      <c r="I2132" s="268"/>
      <c r="J2132" s="268"/>
      <c r="K2132" s="268"/>
      <c r="L2132" s="269"/>
      <c r="M2132" s="511" t="str">
        <f>IFERROR(INDEX([1]Produtos!$C:$C,MATCH(L2132,[1]Produtos!$B:$B,0)), "-")</f>
        <v>-</v>
      </c>
      <c r="N2132" s="511" t="str">
        <f>IFERROR(INDEX([1]Produtos!$E:$E,MATCH(L2132,[1]Produtos!$B:$B,0)), "-")</f>
        <v>-</v>
      </c>
      <c r="O2132" s="483" t="str">
        <f>IFERROR(INDEX([1]Produtos!$F:$F,MATCH(L2132,[1]Produtos!$B:$B,0)), "-")</f>
        <v>-</v>
      </c>
      <c r="P2132" s="477" t="str">
        <f>IFERROR(INDEX([1]Produtos!$G:$G,MATCH(L2132,[1]Produtos!$B:$B,0)), "-")</f>
        <v>-</v>
      </c>
      <c r="Q2132" s="483" t="str">
        <f>IFERROR(INDEX([1]Produtos!$H:$H,MATCH(L2132,[1]Produtos!$B:$B,0)), "-")</f>
        <v>-</v>
      </c>
      <c r="R2132" s="483" t="str">
        <f>IFERROR(INDEX([1]Produtos!$I:$I,MATCH(L2132,[1]Produtos!$B:$B,0)), "-")</f>
        <v>-</v>
      </c>
      <c r="S2132" s="483" t="str">
        <f>IFERROR(INDEX([1]Produtos!$J:$J,MATCH(L2132,[1]Produtos!$B:$B,0)), "-")</f>
        <v>-</v>
      </c>
      <c r="T2132" s="484"/>
      <c r="U2132" s="483"/>
      <c r="V2132" s="483"/>
      <c r="W2132" s="483"/>
      <c r="X2132" s="483"/>
      <c r="Y2132" s="483"/>
      <c r="Z2132" s="483"/>
      <c r="AA2132" s="483"/>
      <c r="AB2132" s="483"/>
      <c r="AC2132" s="483"/>
      <c r="AD2132" s="483"/>
      <c r="AE2132" s="483"/>
      <c r="AF2132" s="483"/>
      <c r="AG2132" s="483"/>
      <c r="AH2132" s="483"/>
      <c r="AI2132" s="483"/>
      <c r="AJ2132" s="483"/>
      <c r="AK2132" s="483"/>
      <c r="AL2132" s="483"/>
      <c r="AM2132" s="670"/>
      <c r="AN2132" s="670"/>
      <c r="AO2132" s="711" t="str">
        <f>IF(OR(Table1[[#This Row],[Início Setup Envase]]="",Table1[[#This Row],[Final Setup Envase]]=""),"",Table1[[#This Row],[Final Setup Envase]]-Table1[[#This Row],[Início Setup Envase]])</f>
        <v/>
      </c>
      <c r="AP2132" s="670"/>
      <c r="AQ2132" s="670"/>
      <c r="AR2132" s="483"/>
      <c r="AS2132" s="483"/>
      <c r="AT2132" s="483"/>
      <c r="AU2132" s="483"/>
      <c r="AV2132" s="483"/>
      <c r="AW2132" s="483"/>
      <c r="AX2132" s="483"/>
      <c r="AY2132" s="270"/>
      <c r="AZ2132" s="270"/>
      <c r="BA2132" s="270" t="str">
        <f>IF(Table1[[#This Row],[Data de Início]]="","",YEAR(Table1[[#This Row],[Data de Início]]))</f>
        <v/>
      </c>
      <c r="BB2132" s="270" t="str">
        <f>IF(Table1[[#This Row],[Data de Início]]="","",MONTH(Table1[[#This Row],[Data de Início]]))</f>
        <v/>
      </c>
      <c r="BC2132" s="270"/>
    </row>
    <row r="2133" spans="2:55" x14ac:dyDescent="0.25">
      <c r="B2133" s="470"/>
      <c r="C2133" s="263"/>
      <c r="D2133" s="477" cm="1">
        <f t="array" ref="D2133">IFERROR(HorasUteisFabrica2Turnos(B2133,C2133), "")</f>
        <v>0</v>
      </c>
      <c r="E2133" s="697" t="str">
        <f t="shared" si="33"/>
        <v/>
      </c>
      <c r="F2133" s="266"/>
      <c r="G2133" s="698"/>
      <c r="H2133" s="266"/>
      <c r="I2133" s="268"/>
      <c r="J2133" s="268"/>
      <c r="K2133" s="268"/>
      <c r="L2133" s="269"/>
      <c r="M2133" s="510" t="str">
        <f>IFERROR(INDEX([1]Produtos!$C:$C,MATCH(L2133,[1]Produtos!$B:$B,0)), "-")</f>
        <v>-</v>
      </c>
      <c r="N2133" s="510" t="str">
        <f>IFERROR(INDEX([1]Produtos!$E:$E,MATCH(L2133,[1]Produtos!$B:$B,0)), "-")</f>
        <v>-</v>
      </c>
      <c r="O2133" s="270" t="str">
        <f>IFERROR(INDEX([1]Produtos!$F:$F,MATCH(L2133,[1]Produtos!$B:$B,0)), "-")</f>
        <v>-</v>
      </c>
      <c r="P2133" s="264" t="str">
        <f>IFERROR(INDEX([1]Produtos!$G:$G,MATCH(L2133,[1]Produtos!$B:$B,0)), "-")</f>
        <v>-</v>
      </c>
      <c r="Q2133" s="270" t="str">
        <f>IFERROR(INDEX([1]Produtos!$H:$H,MATCH(L2133,[1]Produtos!$B:$B,0)), "-")</f>
        <v>-</v>
      </c>
      <c r="R2133" s="270" t="str">
        <f>IFERROR(INDEX([1]Produtos!$I:$I,MATCH(L2133,[1]Produtos!$B:$B,0)), "-")</f>
        <v>-</v>
      </c>
      <c r="S2133" s="270" t="str">
        <f>IFERROR(INDEX([1]Produtos!$J:$J,MATCH(L2133,[1]Produtos!$B:$B,0)), "-")</f>
        <v>-</v>
      </c>
      <c r="T2133" s="475"/>
      <c r="U2133" s="270"/>
      <c r="V2133" s="270"/>
      <c r="W2133" s="270"/>
      <c r="X2133" s="270"/>
      <c r="Y2133" s="270"/>
      <c r="Z2133" s="270"/>
      <c r="AA2133" s="270"/>
      <c r="AB2133" s="270"/>
      <c r="AC2133" s="270"/>
      <c r="AD2133" s="270"/>
      <c r="AE2133" s="270"/>
      <c r="AF2133" s="270"/>
      <c r="AG2133" s="270"/>
      <c r="AH2133" s="270"/>
      <c r="AI2133" s="270"/>
      <c r="AJ2133" s="270"/>
      <c r="AK2133" s="270"/>
      <c r="AL2133" s="270"/>
      <c r="AM2133" s="663"/>
      <c r="AN2133" s="663"/>
      <c r="AO2133" s="708" t="str">
        <f>IF(OR(Table1[[#This Row],[Início Setup Envase]]="",Table1[[#This Row],[Final Setup Envase]]=""),"",Table1[[#This Row],[Final Setup Envase]]-Table1[[#This Row],[Início Setup Envase]])</f>
        <v/>
      </c>
      <c r="AP2133" s="663"/>
      <c r="AQ2133" s="663"/>
      <c r="AR2133" s="270"/>
      <c r="AS2133" s="674"/>
      <c r="AT2133" s="674"/>
      <c r="AU2133" s="270"/>
      <c r="AV2133" s="270"/>
      <c r="AW2133" s="270"/>
      <c r="AX2133" s="270"/>
      <c r="AY2133" s="270"/>
      <c r="AZ2133" s="270"/>
      <c r="BA2133" s="270" t="str">
        <f>IF(Table1[[#This Row],[Data de Início]]="","",YEAR(Table1[[#This Row],[Data de Início]]))</f>
        <v/>
      </c>
      <c r="BB2133" s="270" t="str">
        <f>IF(Table1[[#This Row],[Data de Início]]="","",MONTH(Table1[[#This Row],[Data de Início]]))</f>
        <v/>
      </c>
      <c r="BC2133" s="483"/>
    </row>
    <row r="2134" spans="2:55" x14ac:dyDescent="0.25">
      <c r="B2134" s="470"/>
      <c r="C2134" s="263"/>
      <c r="D2134" s="477" cm="1">
        <f t="array" ref="D2134">IFERROR(HorasUteisFabrica2Turnos(B2134,C2134), "")</f>
        <v>0</v>
      </c>
      <c r="E2134" s="478" t="str">
        <f t="shared" si="33"/>
        <v/>
      </c>
      <c r="F2134" s="266"/>
      <c r="G2134" s="656"/>
      <c r="H2134" s="479"/>
      <c r="I2134" s="268"/>
      <c r="J2134" s="268"/>
      <c r="K2134" s="268"/>
      <c r="L2134" s="269"/>
      <c r="M2134" s="511" t="str">
        <f>IFERROR(INDEX([1]Produtos!$C:$C,MATCH(L2134,[1]Produtos!$B:$B,0)), "-")</f>
        <v>-</v>
      </c>
      <c r="N2134" s="511" t="str">
        <f>IFERROR(INDEX([1]Produtos!$E:$E,MATCH(L2134,[1]Produtos!$B:$B,0)), "-")</f>
        <v>-</v>
      </c>
      <c r="O2134" s="483" t="str">
        <f>IFERROR(INDEX([1]Produtos!$F:$F,MATCH(L2134,[1]Produtos!$B:$B,0)), "-")</f>
        <v>-</v>
      </c>
      <c r="P2134" s="477" t="str">
        <f>IFERROR(INDEX([1]Produtos!$G:$G,MATCH(L2134,[1]Produtos!$B:$B,0)), "-")</f>
        <v>-</v>
      </c>
      <c r="Q2134" s="483" t="str">
        <f>IFERROR(INDEX([1]Produtos!$H:$H,MATCH(L2134,[1]Produtos!$B:$B,0)), "-")</f>
        <v>-</v>
      </c>
      <c r="R2134" s="483" t="str">
        <f>IFERROR(INDEX([1]Produtos!$I:$I,MATCH(L2134,[1]Produtos!$B:$B,0)), "-")</f>
        <v>-</v>
      </c>
      <c r="S2134" s="483" t="str">
        <f>IFERROR(INDEX([1]Produtos!$J:$J,MATCH(L2134,[1]Produtos!$B:$B,0)), "-")</f>
        <v>-</v>
      </c>
      <c r="T2134" s="484"/>
      <c r="U2134" s="483"/>
      <c r="V2134" s="483"/>
      <c r="W2134" s="483"/>
      <c r="X2134" s="483"/>
      <c r="Y2134" s="483"/>
      <c r="Z2134" s="483"/>
      <c r="AA2134" s="483"/>
      <c r="AB2134" s="483"/>
      <c r="AC2134" s="483"/>
      <c r="AD2134" s="483"/>
      <c r="AE2134" s="483"/>
      <c r="AF2134" s="483"/>
      <c r="AG2134" s="483"/>
      <c r="AH2134" s="483"/>
      <c r="AI2134" s="483"/>
      <c r="AJ2134" s="483"/>
      <c r="AK2134" s="483"/>
      <c r="AL2134" s="483"/>
      <c r="AM2134" s="670"/>
      <c r="AN2134" s="670"/>
      <c r="AO2134" s="711" t="str">
        <f>IF(OR(Table1[[#This Row],[Início Setup Envase]]="",Table1[[#This Row],[Final Setup Envase]]=""),"",Table1[[#This Row],[Final Setup Envase]]-Table1[[#This Row],[Início Setup Envase]])</f>
        <v/>
      </c>
      <c r="AP2134" s="670"/>
      <c r="AQ2134" s="670"/>
      <c r="AR2134" s="483"/>
      <c r="AS2134" s="483"/>
      <c r="AT2134" s="483"/>
      <c r="AU2134" s="483"/>
      <c r="AV2134" s="483"/>
      <c r="AW2134" s="483"/>
      <c r="AX2134" s="483"/>
      <c r="AY2134" s="270"/>
      <c r="AZ2134" s="270"/>
      <c r="BA2134" s="270" t="str">
        <f>IF(Table1[[#This Row],[Data de Início]]="","",YEAR(Table1[[#This Row],[Data de Início]]))</f>
        <v/>
      </c>
      <c r="BB2134" s="270" t="str">
        <f>IF(Table1[[#This Row],[Data de Início]]="","",MONTH(Table1[[#This Row],[Data de Início]]))</f>
        <v/>
      </c>
      <c r="BC2134" s="270"/>
    </row>
    <row r="2135" spans="2:55" x14ac:dyDescent="0.25">
      <c r="B2135" s="470"/>
      <c r="C2135" s="263"/>
      <c r="D2135" s="477" cm="1">
        <f t="array" ref="D2135">IFERROR(HorasUteisFabrica2Turnos(B2135,C2135), "")</f>
        <v>0</v>
      </c>
      <c r="E2135" s="697" t="str">
        <f t="shared" si="33"/>
        <v/>
      </c>
      <c r="F2135" s="266"/>
      <c r="G2135" s="698"/>
      <c r="H2135" s="266"/>
      <c r="I2135" s="268"/>
      <c r="J2135" s="268"/>
      <c r="K2135" s="268"/>
      <c r="L2135" s="269"/>
      <c r="M2135" s="510" t="str">
        <f>IFERROR(INDEX([1]Produtos!$C:$C,MATCH(L2135,[1]Produtos!$B:$B,0)), "-")</f>
        <v>-</v>
      </c>
      <c r="N2135" s="510" t="str">
        <f>IFERROR(INDEX([1]Produtos!$E:$E,MATCH(L2135,[1]Produtos!$B:$B,0)), "-")</f>
        <v>-</v>
      </c>
      <c r="O2135" s="270" t="str">
        <f>IFERROR(INDEX([1]Produtos!$F:$F,MATCH(L2135,[1]Produtos!$B:$B,0)), "-")</f>
        <v>-</v>
      </c>
      <c r="P2135" s="264" t="str">
        <f>IFERROR(INDEX([1]Produtos!$G:$G,MATCH(L2135,[1]Produtos!$B:$B,0)), "-")</f>
        <v>-</v>
      </c>
      <c r="Q2135" s="270" t="str">
        <f>IFERROR(INDEX([1]Produtos!$H:$H,MATCH(L2135,[1]Produtos!$B:$B,0)), "-")</f>
        <v>-</v>
      </c>
      <c r="R2135" s="270" t="str">
        <f>IFERROR(INDEX([1]Produtos!$I:$I,MATCH(L2135,[1]Produtos!$B:$B,0)), "-")</f>
        <v>-</v>
      </c>
      <c r="S2135" s="270" t="str">
        <f>IFERROR(INDEX([1]Produtos!$J:$J,MATCH(L2135,[1]Produtos!$B:$B,0)), "-")</f>
        <v>-</v>
      </c>
      <c r="T2135" s="475"/>
      <c r="U2135" s="270"/>
      <c r="V2135" s="270"/>
      <c r="W2135" s="270"/>
      <c r="X2135" s="270"/>
      <c r="Y2135" s="270"/>
      <c r="Z2135" s="270"/>
      <c r="AA2135" s="270"/>
      <c r="AB2135" s="270"/>
      <c r="AC2135" s="270"/>
      <c r="AD2135" s="270"/>
      <c r="AE2135" s="270"/>
      <c r="AF2135" s="270"/>
      <c r="AG2135" s="270"/>
      <c r="AH2135" s="270"/>
      <c r="AI2135" s="270"/>
      <c r="AJ2135" s="270"/>
      <c r="AK2135" s="270"/>
      <c r="AL2135" s="270"/>
      <c r="AM2135" s="663"/>
      <c r="AN2135" s="663"/>
      <c r="AO2135" s="708" t="str">
        <f>IF(OR(Table1[[#This Row],[Início Setup Envase]]="",Table1[[#This Row],[Final Setup Envase]]=""),"",Table1[[#This Row],[Final Setup Envase]]-Table1[[#This Row],[Início Setup Envase]])</f>
        <v/>
      </c>
      <c r="AP2135" s="663"/>
      <c r="AQ2135" s="663"/>
      <c r="AR2135" s="270"/>
      <c r="AS2135" s="674"/>
      <c r="AT2135" s="674"/>
      <c r="AU2135" s="270"/>
      <c r="AV2135" s="270"/>
      <c r="AW2135" s="270"/>
      <c r="AX2135" s="270"/>
      <c r="AY2135" s="270"/>
      <c r="AZ2135" s="270"/>
      <c r="BA2135" s="270" t="str">
        <f>IF(Table1[[#This Row],[Data de Início]]="","",YEAR(Table1[[#This Row],[Data de Início]]))</f>
        <v/>
      </c>
      <c r="BB2135" s="270" t="str">
        <f>IF(Table1[[#This Row],[Data de Início]]="","",MONTH(Table1[[#This Row],[Data de Início]]))</f>
        <v/>
      </c>
      <c r="BC2135" s="483"/>
    </row>
    <row r="2136" spans="2:55" x14ac:dyDescent="0.25">
      <c r="B2136" s="470"/>
      <c r="C2136" s="263"/>
      <c r="D2136" s="477" cm="1">
        <f t="array" ref="D2136">IFERROR(HorasUteisFabrica2Turnos(B2136,C2136), "")</f>
        <v>0</v>
      </c>
      <c r="E2136" s="478" t="str">
        <f t="shared" si="33"/>
        <v/>
      </c>
      <c r="F2136" s="266"/>
      <c r="G2136" s="656"/>
      <c r="H2136" s="479"/>
      <c r="I2136" s="268"/>
      <c r="J2136" s="268"/>
      <c r="K2136" s="268"/>
      <c r="L2136" s="269"/>
      <c r="M2136" s="511" t="str">
        <f>IFERROR(INDEX([1]Produtos!$C:$C,MATCH(L2136,[1]Produtos!$B:$B,0)), "-")</f>
        <v>-</v>
      </c>
      <c r="N2136" s="511" t="str">
        <f>IFERROR(INDEX([1]Produtos!$E:$E,MATCH(L2136,[1]Produtos!$B:$B,0)), "-")</f>
        <v>-</v>
      </c>
      <c r="O2136" s="483" t="str">
        <f>IFERROR(INDEX([1]Produtos!$F:$F,MATCH(L2136,[1]Produtos!$B:$B,0)), "-")</f>
        <v>-</v>
      </c>
      <c r="P2136" s="477" t="str">
        <f>IFERROR(INDEX([1]Produtos!$G:$G,MATCH(L2136,[1]Produtos!$B:$B,0)), "-")</f>
        <v>-</v>
      </c>
      <c r="Q2136" s="483" t="str">
        <f>IFERROR(INDEX([1]Produtos!$H:$H,MATCH(L2136,[1]Produtos!$B:$B,0)), "-")</f>
        <v>-</v>
      </c>
      <c r="R2136" s="483" t="str">
        <f>IFERROR(INDEX([1]Produtos!$I:$I,MATCH(L2136,[1]Produtos!$B:$B,0)), "-")</f>
        <v>-</v>
      </c>
      <c r="S2136" s="483" t="str">
        <f>IFERROR(INDEX([1]Produtos!$J:$J,MATCH(L2136,[1]Produtos!$B:$B,0)), "-")</f>
        <v>-</v>
      </c>
      <c r="T2136" s="484"/>
      <c r="U2136" s="483"/>
      <c r="V2136" s="483"/>
      <c r="W2136" s="483"/>
      <c r="X2136" s="483"/>
      <c r="Y2136" s="483"/>
      <c r="Z2136" s="483"/>
      <c r="AA2136" s="483"/>
      <c r="AB2136" s="483"/>
      <c r="AC2136" s="483"/>
      <c r="AD2136" s="483"/>
      <c r="AE2136" s="483"/>
      <c r="AF2136" s="483"/>
      <c r="AG2136" s="483"/>
      <c r="AH2136" s="483"/>
      <c r="AI2136" s="483"/>
      <c r="AJ2136" s="483"/>
      <c r="AK2136" s="483"/>
      <c r="AL2136" s="483"/>
      <c r="AM2136" s="670"/>
      <c r="AN2136" s="670"/>
      <c r="AO2136" s="711" t="str">
        <f>IF(OR(Table1[[#This Row],[Início Setup Envase]]="",Table1[[#This Row],[Final Setup Envase]]=""),"",Table1[[#This Row],[Final Setup Envase]]-Table1[[#This Row],[Início Setup Envase]])</f>
        <v/>
      </c>
      <c r="AP2136" s="670"/>
      <c r="AQ2136" s="670"/>
      <c r="AR2136" s="483"/>
      <c r="AS2136" s="483"/>
      <c r="AT2136" s="483"/>
      <c r="AU2136" s="483"/>
      <c r="AV2136" s="483"/>
      <c r="AW2136" s="483"/>
      <c r="AX2136" s="483"/>
      <c r="AY2136" s="270"/>
      <c r="AZ2136" s="270"/>
      <c r="BA2136" s="270" t="str">
        <f>IF(Table1[[#This Row],[Data de Início]]="","",YEAR(Table1[[#This Row],[Data de Início]]))</f>
        <v/>
      </c>
      <c r="BB2136" s="270" t="str">
        <f>IF(Table1[[#This Row],[Data de Início]]="","",MONTH(Table1[[#This Row],[Data de Início]]))</f>
        <v/>
      </c>
      <c r="BC2136" s="270"/>
    </row>
    <row r="2137" spans="2:55" x14ac:dyDescent="0.25">
      <c r="B2137" s="470"/>
      <c r="C2137" s="263"/>
      <c r="D2137" s="477" cm="1">
        <f t="array" ref="D2137">IFERROR(HorasUteisFabrica2Turnos(B2137,C2137), "")</f>
        <v>0</v>
      </c>
      <c r="E2137" s="697" t="str">
        <f t="shared" si="33"/>
        <v/>
      </c>
      <c r="F2137" s="266"/>
      <c r="G2137" s="698"/>
      <c r="H2137" s="266"/>
      <c r="I2137" s="268"/>
      <c r="J2137" s="268"/>
      <c r="K2137" s="268"/>
      <c r="L2137" s="269"/>
      <c r="M2137" s="510" t="str">
        <f>IFERROR(INDEX([1]Produtos!$C:$C,MATCH(L2137,[1]Produtos!$B:$B,0)), "-")</f>
        <v>-</v>
      </c>
      <c r="N2137" s="510" t="str">
        <f>IFERROR(INDEX([1]Produtos!$E:$E,MATCH(L2137,[1]Produtos!$B:$B,0)), "-")</f>
        <v>-</v>
      </c>
      <c r="O2137" s="270" t="str">
        <f>IFERROR(INDEX([1]Produtos!$F:$F,MATCH(L2137,[1]Produtos!$B:$B,0)), "-")</f>
        <v>-</v>
      </c>
      <c r="P2137" s="264" t="str">
        <f>IFERROR(INDEX([1]Produtos!$G:$G,MATCH(L2137,[1]Produtos!$B:$B,0)), "-")</f>
        <v>-</v>
      </c>
      <c r="Q2137" s="270" t="str">
        <f>IFERROR(INDEX([1]Produtos!$H:$H,MATCH(L2137,[1]Produtos!$B:$B,0)), "-")</f>
        <v>-</v>
      </c>
      <c r="R2137" s="270" t="str">
        <f>IFERROR(INDEX([1]Produtos!$I:$I,MATCH(L2137,[1]Produtos!$B:$B,0)), "-")</f>
        <v>-</v>
      </c>
      <c r="S2137" s="270" t="str">
        <f>IFERROR(INDEX([1]Produtos!$J:$J,MATCH(L2137,[1]Produtos!$B:$B,0)), "-")</f>
        <v>-</v>
      </c>
      <c r="T2137" s="475"/>
      <c r="U2137" s="270"/>
      <c r="V2137" s="270"/>
      <c r="W2137" s="270"/>
      <c r="X2137" s="270"/>
      <c r="Y2137" s="270"/>
      <c r="Z2137" s="270"/>
      <c r="AA2137" s="270"/>
      <c r="AB2137" s="270"/>
      <c r="AC2137" s="270"/>
      <c r="AD2137" s="270"/>
      <c r="AE2137" s="270"/>
      <c r="AF2137" s="270"/>
      <c r="AG2137" s="270"/>
      <c r="AH2137" s="270"/>
      <c r="AI2137" s="270"/>
      <c r="AJ2137" s="270"/>
      <c r="AK2137" s="270"/>
      <c r="AL2137" s="270"/>
      <c r="AM2137" s="663"/>
      <c r="AN2137" s="663"/>
      <c r="AO2137" s="708" t="str">
        <f>IF(OR(Table1[[#This Row],[Início Setup Envase]]="",Table1[[#This Row],[Final Setup Envase]]=""),"",Table1[[#This Row],[Final Setup Envase]]-Table1[[#This Row],[Início Setup Envase]])</f>
        <v/>
      </c>
      <c r="AP2137" s="663"/>
      <c r="AQ2137" s="663"/>
      <c r="AR2137" s="270"/>
      <c r="AS2137" s="674"/>
      <c r="AT2137" s="674"/>
      <c r="AU2137" s="270"/>
      <c r="AV2137" s="270"/>
      <c r="AW2137" s="270"/>
      <c r="AX2137" s="270"/>
      <c r="AY2137" s="270"/>
      <c r="AZ2137" s="270"/>
      <c r="BA2137" s="270" t="str">
        <f>IF(Table1[[#This Row],[Data de Início]]="","",YEAR(Table1[[#This Row],[Data de Início]]))</f>
        <v/>
      </c>
      <c r="BB2137" s="270" t="str">
        <f>IF(Table1[[#This Row],[Data de Início]]="","",MONTH(Table1[[#This Row],[Data de Início]]))</f>
        <v/>
      </c>
      <c r="BC2137" s="483"/>
    </row>
    <row r="2138" spans="2:55" x14ac:dyDescent="0.25">
      <c r="B2138" s="470"/>
      <c r="C2138" s="263"/>
      <c r="D2138" s="477" cm="1">
        <f t="array" ref="D2138">IFERROR(HorasUteisFabrica2Turnos(B2138,C2138), "")</f>
        <v>0</v>
      </c>
      <c r="E2138" s="478" t="str">
        <f t="shared" si="33"/>
        <v/>
      </c>
      <c r="F2138" s="266"/>
      <c r="G2138" s="656"/>
      <c r="H2138" s="479"/>
      <c r="I2138" s="268"/>
      <c r="J2138" s="268"/>
      <c r="K2138" s="268"/>
      <c r="L2138" s="269"/>
      <c r="M2138" s="511" t="str">
        <f>IFERROR(INDEX([1]Produtos!$C:$C,MATCH(L2138,[1]Produtos!$B:$B,0)), "-")</f>
        <v>-</v>
      </c>
      <c r="N2138" s="511" t="str">
        <f>IFERROR(INDEX([1]Produtos!$E:$E,MATCH(L2138,[1]Produtos!$B:$B,0)), "-")</f>
        <v>-</v>
      </c>
      <c r="O2138" s="483" t="str">
        <f>IFERROR(INDEX([1]Produtos!$F:$F,MATCH(L2138,[1]Produtos!$B:$B,0)), "-")</f>
        <v>-</v>
      </c>
      <c r="P2138" s="477" t="str">
        <f>IFERROR(INDEX([1]Produtos!$G:$G,MATCH(L2138,[1]Produtos!$B:$B,0)), "-")</f>
        <v>-</v>
      </c>
      <c r="Q2138" s="483" t="str">
        <f>IFERROR(INDEX([1]Produtos!$H:$H,MATCH(L2138,[1]Produtos!$B:$B,0)), "-")</f>
        <v>-</v>
      </c>
      <c r="R2138" s="483" t="str">
        <f>IFERROR(INDEX([1]Produtos!$I:$I,MATCH(L2138,[1]Produtos!$B:$B,0)), "-")</f>
        <v>-</v>
      </c>
      <c r="S2138" s="483" t="str">
        <f>IFERROR(INDEX([1]Produtos!$J:$J,MATCH(L2138,[1]Produtos!$B:$B,0)), "-")</f>
        <v>-</v>
      </c>
      <c r="T2138" s="484"/>
      <c r="U2138" s="483"/>
      <c r="V2138" s="483"/>
      <c r="W2138" s="483"/>
      <c r="X2138" s="483"/>
      <c r="Y2138" s="483"/>
      <c r="Z2138" s="483"/>
      <c r="AA2138" s="483"/>
      <c r="AB2138" s="483"/>
      <c r="AC2138" s="483"/>
      <c r="AD2138" s="483"/>
      <c r="AE2138" s="483"/>
      <c r="AF2138" s="483"/>
      <c r="AG2138" s="483"/>
      <c r="AH2138" s="483"/>
      <c r="AI2138" s="483"/>
      <c r="AJ2138" s="483"/>
      <c r="AK2138" s="483"/>
      <c r="AL2138" s="483"/>
      <c r="AM2138" s="670"/>
      <c r="AN2138" s="670"/>
      <c r="AO2138" s="711" t="str">
        <f>IF(OR(Table1[[#This Row],[Início Setup Envase]]="",Table1[[#This Row],[Final Setup Envase]]=""),"",Table1[[#This Row],[Final Setup Envase]]-Table1[[#This Row],[Início Setup Envase]])</f>
        <v/>
      </c>
      <c r="AP2138" s="670"/>
      <c r="AQ2138" s="670"/>
      <c r="AR2138" s="483"/>
      <c r="AS2138" s="483"/>
      <c r="AT2138" s="483"/>
      <c r="AU2138" s="483"/>
      <c r="AV2138" s="483"/>
      <c r="AW2138" s="483"/>
      <c r="AX2138" s="483"/>
      <c r="AY2138" s="270"/>
      <c r="AZ2138" s="270"/>
      <c r="BA2138" s="270" t="str">
        <f>IF(Table1[[#This Row],[Data de Início]]="","",YEAR(Table1[[#This Row],[Data de Início]]))</f>
        <v/>
      </c>
      <c r="BB2138" s="270" t="str">
        <f>IF(Table1[[#This Row],[Data de Início]]="","",MONTH(Table1[[#This Row],[Data de Início]]))</f>
        <v/>
      </c>
      <c r="BC2138" s="270"/>
    </row>
    <row r="2139" spans="2:55" x14ac:dyDescent="0.25">
      <c r="B2139" s="470"/>
      <c r="C2139" s="263"/>
      <c r="D2139" s="477" cm="1">
        <f t="array" ref="D2139">IFERROR(HorasUteisFabrica2Turnos(B2139,C2139), "")</f>
        <v>0</v>
      </c>
      <c r="E2139" s="697" t="str">
        <f t="shared" si="33"/>
        <v/>
      </c>
      <c r="F2139" s="266"/>
      <c r="G2139" s="698"/>
      <c r="H2139" s="266"/>
      <c r="I2139" s="268"/>
      <c r="J2139" s="268"/>
      <c r="K2139" s="268"/>
      <c r="L2139" s="269"/>
      <c r="M2139" s="510" t="str">
        <f>IFERROR(INDEX([1]Produtos!$C:$C,MATCH(L2139,[1]Produtos!$B:$B,0)), "-")</f>
        <v>-</v>
      </c>
      <c r="N2139" s="510" t="str">
        <f>IFERROR(INDEX([1]Produtos!$E:$E,MATCH(L2139,[1]Produtos!$B:$B,0)), "-")</f>
        <v>-</v>
      </c>
      <c r="O2139" s="270" t="str">
        <f>IFERROR(INDEX([1]Produtos!$F:$F,MATCH(L2139,[1]Produtos!$B:$B,0)), "-")</f>
        <v>-</v>
      </c>
      <c r="P2139" s="264" t="str">
        <f>IFERROR(INDEX([1]Produtos!$G:$G,MATCH(L2139,[1]Produtos!$B:$B,0)), "-")</f>
        <v>-</v>
      </c>
      <c r="Q2139" s="270" t="str">
        <f>IFERROR(INDEX([1]Produtos!$H:$H,MATCH(L2139,[1]Produtos!$B:$B,0)), "-")</f>
        <v>-</v>
      </c>
      <c r="R2139" s="270" t="str">
        <f>IFERROR(INDEX([1]Produtos!$I:$I,MATCH(L2139,[1]Produtos!$B:$B,0)), "-")</f>
        <v>-</v>
      </c>
      <c r="S2139" s="270" t="str">
        <f>IFERROR(INDEX([1]Produtos!$J:$J,MATCH(L2139,[1]Produtos!$B:$B,0)), "-")</f>
        <v>-</v>
      </c>
      <c r="T2139" s="475"/>
      <c r="U2139" s="270"/>
      <c r="V2139" s="270"/>
      <c r="W2139" s="270"/>
      <c r="X2139" s="270"/>
      <c r="Y2139" s="270"/>
      <c r="Z2139" s="270"/>
      <c r="AA2139" s="270"/>
      <c r="AB2139" s="270"/>
      <c r="AC2139" s="270"/>
      <c r="AD2139" s="270"/>
      <c r="AE2139" s="270"/>
      <c r="AF2139" s="270"/>
      <c r="AG2139" s="270"/>
      <c r="AH2139" s="270"/>
      <c r="AI2139" s="270"/>
      <c r="AJ2139" s="270"/>
      <c r="AK2139" s="270"/>
      <c r="AL2139" s="270"/>
      <c r="AM2139" s="663"/>
      <c r="AN2139" s="663"/>
      <c r="AO2139" s="708" t="str">
        <f>IF(OR(Table1[[#This Row],[Início Setup Envase]]="",Table1[[#This Row],[Final Setup Envase]]=""),"",Table1[[#This Row],[Final Setup Envase]]-Table1[[#This Row],[Início Setup Envase]])</f>
        <v/>
      </c>
      <c r="AP2139" s="663"/>
      <c r="AQ2139" s="663"/>
      <c r="AR2139" s="270"/>
      <c r="AS2139" s="674"/>
      <c r="AT2139" s="674"/>
      <c r="AU2139" s="270"/>
      <c r="AV2139" s="270"/>
      <c r="AW2139" s="270"/>
      <c r="AX2139" s="270"/>
      <c r="AY2139" s="270"/>
      <c r="AZ2139" s="270"/>
      <c r="BA2139" s="270" t="str">
        <f>IF(Table1[[#This Row],[Data de Início]]="","",YEAR(Table1[[#This Row],[Data de Início]]))</f>
        <v/>
      </c>
      <c r="BB2139" s="270" t="str">
        <f>IF(Table1[[#This Row],[Data de Início]]="","",MONTH(Table1[[#This Row],[Data de Início]]))</f>
        <v/>
      </c>
      <c r="BC2139" s="483"/>
    </row>
    <row r="2140" spans="2:55" x14ac:dyDescent="0.25">
      <c r="B2140" s="470"/>
      <c r="C2140" s="263"/>
      <c r="D2140" s="477" cm="1">
        <f t="array" ref="D2140">IFERROR(HorasUteisFabrica2Turnos(B2140,C2140), "")</f>
        <v>0</v>
      </c>
      <c r="E2140" s="478" t="str">
        <f t="shared" si="33"/>
        <v/>
      </c>
      <c r="F2140" s="266"/>
      <c r="G2140" s="656"/>
      <c r="H2140" s="479"/>
      <c r="I2140" s="268"/>
      <c r="J2140" s="268"/>
      <c r="K2140" s="268"/>
      <c r="L2140" s="269"/>
      <c r="M2140" s="511" t="str">
        <f>IFERROR(INDEX([1]Produtos!$C:$C,MATCH(L2140,[1]Produtos!$B:$B,0)), "-")</f>
        <v>-</v>
      </c>
      <c r="N2140" s="511" t="str">
        <f>IFERROR(INDEX([1]Produtos!$E:$E,MATCH(L2140,[1]Produtos!$B:$B,0)), "-")</f>
        <v>-</v>
      </c>
      <c r="O2140" s="483" t="str">
        <f>IFERROR(INDEX([1]Produtos!$F:$F,MATCH(L2140,[1]Produtos!$B:$B,0)), "-")</f>
        <v>-</v>
      </c>
      <c r="P2140" s="477" t="str">
        <f>IFERROR(INDEX([1]Produtos!$G:$G,MATCH(L2140,[1]Produtos!$B:$B,0)), "-")</f>
        <v>-</v>
      </c>
      <c r="Q2140" s="483" t="str">
        <f>IFERROR(INDEX([1]Produtos!$H:$H,MATCH(L2140,[1]Produtos!$B:$B,0)), "-")</f>
        <v>-</v>
      </c>
      <c r="R2140" s="483" t="str">
        <f>IFERROR(INDEX([1]Produtos!$I:$I,MATCH(L2140,[1]Produtos!$B:$B,0)), "-")</f>
        <v>-</v>
      </c>
      <c r="S2140" s="483" t="str">
        <f>IFERROR(INDEX([1]Produtos!$J:$J,MATCH(L2140,[1]Produtos!$B:$B,0)), "-")</f>
        <v>-</v>
      </c>
      <c r="T2140" s="484"/>
      <c r="U2140" s="483"/>
      <c r="V2140" s="483"/>
      <c r="W2140" s="483"/>
      <c r="X2140" s="483"/>
      <c r="Y2140" s="483"/>
      <c r="Z2140" s="483"/>
      <c r="AA2140" s="483"/>
      <c r="AB2140" s="483"/>
      <c r="AC2140" s="483"/>
      <c r="AD2140" s="483"/>
      <c r="AE2140" s="483"/>
      <c r="AF2140" s="483"/>
      <c r="AG2140" s="483"/>
      <c r="AH2140" s="483"/>
      <c r="AI2140" s="483"/>
      <c r="AJ2140" s="483"/>
      <c r="AK2140" s="483"/>
      <c r="AL2140" s="483"/>
      <c r="AM2140" s="670"/>
      <c r="AN2140" s="670"/>
      <c r="AO2140" s="711" t="str">
        <f>IF(OR(Table1[[#This Row],[Início Setup Envase]]="",Table1[[#This Row],[Final Setup Envase]]=""),"",Table1[[#This Row],[Final Setup Envase]]-Table1[[#This Row],[Início Setup Envase]])</f>
        <v/>
      </c>
      <c r="AP2140" s="670"/>
      <c r="AQ2140" s="670"/>
      <c r="AR2140" s="483"/>
      <c r="AS2140" s="483"/>
      <c r="AT2140" s="483"/>
      <c r="AU2140" s="483"/>
      <c r="AV2140" s="483"/>
      <c r="AW2140" s="483"/>
      <c r="AX2140" s="483"/>
      <c r="AY2140" s="270"/>
      <c r="AZ2140" s="270"/>
      <c r="BA2140" s="270" t="str">
        <f>IF(Table1[[#This Row],[Data de Início]]="","",YEAR(Table1[[#This Row],[Data de Início]]))</f>
        <v/>
      </c>
      <c r="BB2140" s="270" t="str">
        <f>IF(Table1[[#This Row],[Data de Início]]="","",MONTH(Table1[[#This Row],[Data de Início]]))</f>
        <v/>
      </c>
      <c r="BC2140" s="270"/>
    </row>
    <row r="2141" spans="2:55" x14ac:dyDescent="0.25">
      <c r="B2141" s="470"/>
      <c r="C2141" s="263"/>
      <c r="D2141" s="477" cm="1">
        <f t="array" ref="D2141">IFERROR(HorasUteisFabrica2Turnos(B2141,C2141), "")</f>
        <v>0</v>
      </c>
      <c r="E2141" s="697" t="str">
        <f t="shared" si="33"/>
        <v/>
      </c>
      <c r="F2141" s="266"/>
      <c r="G2141" s="698"/>
      <c r="H2141" s="266"/>
      <c r="I2141" s="268"/>
      <c r="J2141" s="268"/>
      <c r="K2141" s="268"/>
      <c r="L2141" s="269"/>
      <c r="M2141" s="510" t="str">
        <f>IFERROR(INDEX([1]Produtos!$C:$C,MATCH(L2141,[1]Produtos!$B:$B,0)), "-")</f>
        <v>-</v>
      </c>
      <c r="N2141" s="510" t="str">
        <f>IFERROR(INDEX([1]Produtos!$E:$E,MATCH(L2141,[1]Produtos!$B:$B,0)), "-")</f>
        <v>-</v>
      </c>
      <c r="O2141" s="270" t="str">
        <f>IFERROR(INDEX([1]Produtos!$F:$F,MATCH(L2141,[1]Produtos!$B:$B,0)), "-")</f>
        <v>-</v>
      </c>
      <c r="P2141" s="264" t="str">
        <f>IFERROR(INDEX([1]Produtos!$G:$G,MATCH(L2141,[1]Produtos!$B:$B,0)), "-")</f>
        <v>-</v>
      </c>
      <c r="Q2141" s="270" t="str">
        <f>IFERROR(INDEX([1]Produtos!$H:$H,MATCH(L2141,[1]Produtos!$B:$B,0)), "-")</f>
        <v>-</v>
      </c>
      <c r="R2141" s="270" t="str">
        <f>IFERROR(INDEX([1]Produtos!$I:$I,MATCH(L2141,[1]Produtos!$B:$B,0)), "-")</f>
        <v>-</v>
      </c>
      <c r="S2141" s="270" t="str">
        <f>IFERROR(INDEX([1]Produtos!$J:$J,MATCH(L2141,[1]Produtos!$B:$B,0)), "-")</f>
        <v>-</v>
      </c>
      <c r="T2141" s="475"/>
      <c r="U2141" s="270"/>
      <c r="V2141" s="270"/>
      <c r="W2141" s="270"/>
      <c r="X2141" s="270"/>
      <c r="Y2141" s="270"/>
      <c r="Z2141" s="270"/>
      <c r="AA2141" s="270"/>
      <c r="AB2141" s="270"/>
      <c r="AC2141" s="270"/>
      <c r="AD2141" s="270"/>
      <c r="AE2141" s="270"/>
      <c r="AF2141" s="270"/>
      <c r="AG2141" s="270"/>
      <c r="AH2141" s="270"/>
      <c r="AI2141" s="270"/>
      <c r="AJ2141" s="270"/>
      <c r="AK2141" s="270"/>
      <c r="AL2141" s="270"/>
      <c r="AM2141" s="663"/>
      <c r="AN2141" s="663"/>
      <c r="AO2141" s="708" t="str">
        <f>IF(OR(Table1[[#This Row],[Início Setup Envase]]="",Table1[[#This Row],[Final Setup Envase]]=""),"",Table1[[#This Row],[Final Setup Envase]]-Table1[[#This Row],[Início Setup Envase]])</f>
        <v/>
      </c>
      <c r="AP2141" s="663"/>
      <c r="AQ2141" s="663"/>
      <c r="AR2141" s="270"/>
      <c r="AS2141" s="674"/>
      <c r="AT2141" s="674"/>
      <c r="AU2141" s="270"/>
      <c r="AV2141" s="270"/>
      <c r="AW2141" s="270"/>
      <c r="AX2141" s="270"/>
      <c r="AY2141" s="270"/>
      <c r="AZ2141" s="270"/>
      <c r="BA2141" s="270" t="str">
        <f>IF(Table1[[#This Row],[Data de Início]]="","",YEAR(Table1[[#This Row],[Data de Início]]))</f>
        <v/>
      </c>
      <c r="BB2141" s="270" t="str">
        <f>IF(Table1[[#This Row],[Data de Início]]="","",MONTH(Table1[[#This Row],[Data de Início]]))</f>
        <v/>
      </c>
      <c r="BC2141" s="483"/>
    </row>
    <row r="2142" spans="2:55" x14ac:dyDescent="0.25">
      <c r="B2142" s="470"/>
      <c r="C2142" s="263"/>
      <c r="D2142" s="477" cm="1">
        <f t="array" ref="D2142">IFERROR(HorasUteisFabrica2Turnos(B2142,C2142), "")</f>
        <v>0</v>
      </c>
      <c r="E2142" s="478" t="str">
        <f t="shared" si="33"/>
        <v/>
      </c>
      <c r="F2142" s="266"/>
      <c r="G2142" s="656"/>
      <c r="H2142" s="479"/>
      <c r="I2142" s="268"/>
      <c r="J2142" s="268"/>
      <c r="K2142" s="268"/>
      <c r="L2142" s="269"/>
      <c r="M2142" s="511" t="str">
        <f>IFERROR(INDEX([1]Produtos!$C:$C,MATCH(L2142,[1]Produtos!$B:$B,0)), "-")</f>
        <v>-</v>
      </c>
      <c r="N2142" s="511" t="str">
        <f>IFERROR(INDEX([1]Produtos!$E:$E,MATCH(L2142,[1]Produtos!$B:$B,0)), "-")</f>
        <v>-</v>
      </c>
      <c r="O2142" s="483" t="str">
        <f>IFERROR(INDEX([1]Produtos!$F:$F,MATCH(L2142,[1]Produtos!$B:$B,0)), "-")</f>
        <v>-</v>
      </c>
      <c r="P2142" s="477" t="str">
        <f>IFERROR(INDEX([1]Produtos!$G:$G,MATCH(L2142,[1]Produtos!$B:$B,0)), "-")</f>
        <v>-</v>
      </c>
      <c r="Q2142" s="483" t="str">
        <f>IFERROR(INDEX([1]Produtos!$H:$H,MATCH(L2142,[1]Produtos!$B:$B,0)), "-")</f>
        <v>-</v>
      </c>
      <c r="R2142" s="483" t="str">
        <f>IFERROR(INDEX([1]Produtos!$I:$I,MATCH(L2142,[1]Produtos!$B:$B,0)), "-")</f>
        <v>-</v>
      </c>
      <c r="S2142" s="483" t="str">
        <f>IFERROR(INDEX([1]Produtos!$J:$J,MATCH(L2142,[1]Produtos!$B:$B,0)), "-")</f>
        <v>-</v>
      </c>
      <c r="T2142" s="484"/>
      <c r="U2142" s="483"/>
      <c r="V2142" s="483"/>
      <c r="W2142" s="483"/>
      <c r="X2142" s="483"/>
      <c r="Y2142" s="483"/>
      <c r="Z2142" s="483"/>
      <c r="AA2142" s="483"/>
      <c r="AB2142" s="483"/>
      <c r="AC2142" s="483"/>
      <c r="AD2142" s="483"/>
      <c r="AE2142" s="483"/>
      <c r="AF2142" s="483"/>
      <c r="AG2142" s="483"/>
      <c r="AH2142" s="483"/>
      <c r="AI2142" s="483"/>
      <c r="AJ2142" s="483"/>
      <c r="AK2142" s="483"/>
      <c r="AL2142" s="483"/>
      <c r="AM2142" s="670"/>
      <c r="AN2142" s="670"/>
      <c r="AO2142" s="711" t="str">
        <f>IF(OR(Table1[[#This Row],[Início Setup Envase]]="",Table1[[#This Row],[Final Setup Envase]]=""),"",Table1[[#This Row],[Final Setup Envase]]-Table1[[#This Row],[Início Setup Envase]])</f>
        <v/>
      </c>
      <c r="AP2142" s="670"/>
      <c r="AQ2142" s="670"/>
      <c r="AR2142" s="483"/>
      <c r="AS2142" s="483"/>
      <c r="AT2142" s="483"/>
      <c r="AU2142" s="483"/>
      <c r="AV2142" s="483"/>
      <c r="AW2142" s="483"/>
      <c r="AX2142" s="483"/>
      <c r="AY2142" s="270"/>
      <c r="AZ2142" s="270"/>
      <c r="BA2142" s="270" t="str">
        <f>IF(Table1[[#This Row],[Data de Início]]="","",YEAR(Table1[[#This Row],[Data de Início]]))</f>
        <v/>
      </c>
      <c r="BB2142" s="270" t="str">
        <f>IF(Table1[[#This Row],[Data de Início]]="","",MONTH(Table1[[#This Row],[Data de Início]]))</f>
        <v/>
      </c>
      <c r="BC2142" s="270"/>
    </row>
    <row r="2143" spans="2:55" x14ac:dyDescent="0.25">
      <c r="B2143" s="470"/>
      <c r="C2143" s="263"/>
      <c r="D2143" s="477" cm="1">
        <f t="array" ref="D2143">IFERROR(HorasUteisFabrica2Turnos(B2143,C2143), "")</f>
        <v>0</v>
      </c>
      <c r="E2143" s="697" t="str">
        <f t="shared" si="33"/>
        <v/>
      </c>
      <c r="F2143" s="266"/>
      <c r="G2143" s="698"/>
      <c r="H2143" s="266"/>
      <c r="I2143" s="268"/>
      <c r="J2143" s="268"/>
      <c r="K2143" s="268"/>
      <c r="L2143" s="269"/>
      <c r="M2143" s="510" t="str">
        <f>IFERROR(INDEX([1]Produtos!$C:$C,MATCH(L2143,[1]Produtos!$B:$B,0)), "-")</f>
        <v>-</v>
      </c>
      <c r="N2143" s="510" t="str">
        <f>IFERROR(INDEX([1]Produtos!$E:$E,MATCH(L2143,[1]Produtos!$B:$B,0)), "-")</f>
        <v>-</v>
      </c>
      <c r="O2143" s="270" t="str">
        <f>IFERROR(INDEX([1]Produtos!$F:$F,MATCH(L2143,[1]Produtos!$B:$B,0)), "-")</f>
        <v>-</v>
      </c>
      <c r="P2143" s="264" t="str">
        <f>IFERROR(INDEX([1]Produtos!$G:$G,MATCH(L2143,[1]Produtos!$B:$B,0)), "-")</f>
        <v>-</v>
      </c>
      <c r="Q2143" s="270" t="str">
        <f>IFERROR(INDEX([1]Produtos!$H:$H,MATCH(L2143,[1]Produtos!$B:$B,0)), "-")</f>
        <v>-</v>
      </c>
      <c r="R2143" s="270" t="str">
        <f>IFERROR(INDEX([1]Produtos!$I:$I,MATCH(L2143,[1]Produtos!$B:$B,0)), "-")</f>
        <v>-</v>
      </c>
      <c r="S2143" s="270" t="str">
        <f>IFERROR(INDEX([1]Produtos!$J:$J,MATCH(L2143,[1]Produtos!$B:$B,0)), "-")</f>
        <v>-</v>
      </c>
      <c r="T2143" s="475"/>
      <c r="U2143" s="270"/>
      <c r="V2143" s="270"/>
      <c r="W2143" s="270"/>
      <c r="X2143" s="270"/>
      <c r="Y2143" s="270"/>
      <c r="Z2143" s="270"/>
      <c r="AA2143" s="270"/>
      <c r="AB2143" s="270"/>
      <c r="AC2143" s="270"/>
      <c r="AD2143" s="270"/>
      <c r="AE2143" s="270"/>
      <c r="AF2143" s="270"/>
      <c r="AG2143" s="270"/>
      <c r="AH2143" s="270"/>
      <c r="AI2143" s="270"/>
      <c r="AJ2143" s="270"/>
      <c r="AK2143" s="270"/>
      <c r="AL2143" s="270"/>
      <c r="AM2143" s="663"/>
      <c r="AN2143" s="663"/>
      <c r="AO2143" s="708" t="str">
        <f>IF(OR(Table1[[#This Row],[Início Setup Envase]]="",Table1[[#This Row],[Final Setup Envase]]=""),"",Table1[[#This Row],[Final Setup Envase]]-Table1[[#This Row],[Início Setup Envase]])</f>
        <v/>
      </c>
      <c r="AP2143" s="663"/>
      <c r="AQ2143" s="663"/>
      <c r="AR2143" s="270"/>
      <c r="AS2143" s="674"/>
      <c r="AT2143" s="674"/>
      <c r="AU2143" s="270"/>
      <c r="AV2143" s="270"/>
      <c r="AW2143" s="270"/>
      <c r="AX2143" s="270"/>
      <c r="AY2143" s="270"/>
      <c r="AZ2143" s="270"/>
      <c r="BA2143" s="270" t="str">
        <f>IF(Table1[[#This Row],[Data de Início]]="","",YEAR(Table1[[#This Row],[Data de Início]]))</f>
        <v/>
      </c>
      <c r="BB2143" s="270" t="str">
        <f>IF(Table1[[#This Row],[Data de Início]]="","",MONTH(Table1[[#This Row],[Data de Início]]))</f>
        <v/>
      </c>
      <c r="BC2143" s="483"/>
    </row>
    <row r="2144" spans="2:55" x14ac:dyDescent="0.25">
      <c r="B2144" s="470"/>
      <c r="C2144" s="263"/>
      <c r="D2144" s="477" cm="1">
        <f t="array" ref="D2144">IFERROR(HorasUteisFabrica2Turnos(B2144,C2144), "")</f>
        <v>0</v>
      </c>
      <c r="E2144" s="478" t="str">
        <f t="shared" si="33"/>
        <v/>
      </c>
      <c r="F2144" s="266"/>
      <c r="G2144" s="656"/>
      <c r="H2144" s="479"/>
      <c r="I2144" s="268"/>
      <c r="J2144" s="268"/>
      <c r="K2144" s="268"/>
      <c r="L2144" s="269"/>
      <c r="M2144" s="511" t="str">
        <f>IFERROR(INDEX([1]Produtos!$C:$C,MATCH(L2144,[1]Produtos!$B:$B,0)), "-")</f>
        <v>-</v>
      </c>
      <c r="N2144" s="511" t="str">
        <f>IFERROR(INDEX([1]Produtos!$E:$E,MATCH(L2144,[1]Produtos!$B:$B,0)), "-")</f>
        <v>-</v>
      </c>
      <c r="O2144" s="483" t="str">
        <f>IFERROR(INDEX([1]Produtos!$F:$F,MATCH(L2144,[1]Produtos!$B:$B,0)), "-")</f>
        <v>-</v>
      </c>
      <c r="P2144" s="477" t="str">
        <f>IFERROR(INDEX([1]Produtos!$G:$G,MATCH(L2144,[1]Produtos!$B:$B,0)), "-")</f>
        <v>-</v>
      </c>
      <c r="Q2144" s="483" t="str">
        <f>IFERROR(INDEX([1]Produtos!$H:$H,MATCH(L2144,[1]Produtos!$B:$B,0)), "-")</f>
        <v>-</v>
      </c>
      <c r="R2144" s="483" t="str">
        <f>IFERROR(INDEX([1]Produtos!$I:$I,MATCH(L2144,[1]Produtos!$B:$B,0)), "-")</f>
        <v>-</v>
      </c>
      <c r="S2144" s="483" t="str">
        <f>IFERROR(INDEX([1]Produtos!$J:$J,MATCH(L2144,[1]Produtos!$B:$B,0)), "-")</f>
        <v>-</v>
      </c>
      <c r="T2144" s="484"/>
      <c r="U2144" s="483"/>
      <c r="V2144" s="483"/>
      <c r="W2144" s="483"/>
      <c r="X2144" s="483"/>
      <c r="Y2144" s="483"/>
      <c r="Z2144" s="483"/>
      <c r="AA2144" s="483"/>
      <c r="AB2144" s="483"/>
      <c r="AC2144" s="483"/>
      <c r="AD2144" s="483"/>
      <c r="AE2144" s="483"/>
      <c r="AF2144" s="483"/>
      <c r="AG2144" s="483"/>
      <c r="AH2144" s="483"/>
      <c r="AI2144" s="483"/>
      <c r="AJ2144" s="483"/>
      <c r="AK2144" s="483"/>
      <c r="AL2144" s="483"/>
      <c r="AM2144" s="670"/>
      <c r="AN2144" s="670"/>
      <c r="AO2144" s="711" t="str">
        <f>IF(OR(Table1[[#This Row],[Início Setup Envase]]="",Table1[[#This Row],[Final Setup Envase]]=""),"",Table1[[#This Row],[Final Setup Envase]]-Table1[[#This Row],[Início Setup Envase]])</f>
        <v/>
      </c>
      <c r="AP2144" s="670"/>
      <c r="AQ2144" s="670"/>
      <c r="AR2144" s="483"/>
      <c r="AS2144" s="483"/>
      <c r="AT2144" s="483"/>
      <c r="AU2144" s="483"/>
      <c r="AV2144" s="483"/>
      <c r="AW2144" s="483"/>
      <c r="AX2144" s="483"/>
      <c r="AY2144" s="270"/>
      <c r="AZ2144" s="270"/>
      <c r="BA2144" s="270" t="str">
        <f>IF(Table1[[#This Row],[Data de Início]]="","",YEAR(Table1[[#This Row],[Data de Início]]))</f>
        <v/>
      </c>
      <c r="BB2144" s="270" t="str">
        <f>IF(Table1[[#This Row],[Data de Início]]="","",MONTH(Table1[[#This Row],[Data de Início]]))</f>
        <v/>
      </c>
      <c r="BC2144" s="270"/>
    </row>
    <row r="2145" spans="2:55" x14ac:dyDescent="0.25">
      <c r="B2145" s="470"/>
      <c r="C2145" s="263"/>
      <c r="D2145" s="477" cm="1">
        <f t="array" ref="D2145">IFERROR(HorasUteisFabrica2Turnos(B2145,C2145), "")</f>
        <v>0</v>
      </c>
      <c r="E2145" s="697" t="str">
        <f t="shared" si="33"/>
        <v/>
      </c>
      <c r="F2145" s="266"/>
      <c r="G2145" s="698"/>
      <c r="H2145" s="266"/>
      <c r="I2145" s="268"/>
      <c r="J2145" s="268"/>
      <c r="K2145" s="268"/>
      <c r="L2145" s="269"/>
      <c r="M2145" s="510" t="str">
        <f>IFERROR(INDEX([1]Produtos!$C:$C,MATCH(L2145,[1]Produtos!$B:$B,0)), "-")</f>
        <v>-</v>
      </c>
      <c r="N2145" s="510" t="str">
        <f>IFERROR(INDEX([1]Produtos!$E:$E,MATCH(L2145,[1]Produtos!$B:$B,0)), "-")</f>
        <v>-</v>
      </c>
      <c r="O2145" s="270" t="str">
        <f>IFERROR(INDEX([1]Produtos!$F:$F,MATCH(L2145,[1]Produtos!$B:$B,0)), "-")</f>
        <v>-</v>
      </c>
      <c r="P2145" s="264" t="str">
        <f>IFERROR(INDEX([1]Produtos!$G:$G,MATCH(L2145,[1]Produtos!$B:$B,0)), "-")</f>
        <v>-</v>
      </c>
      <c r="Q2145" s="270" t="str">
        <f>IFERROR(INDEX([1]Produtos!$H:$H,MATCH(L2145,[1]Produtos!$B:$B,0)), "-")</f>
        <v>-</v>
      </c>
      <c r="R2145" s="270" t="str">
        <f>IFERROR(INDEX([1]Produtos!$I:$I,MATCH(L2145,[1]Produtos!$B:$B,0)), "-")</f>
        <v>-</v>
      </c>
      <c r="S2145" s="270" t="str">
        <f>IFERROR(INDEX([1]Produtos!$J:$J,MATCH(L2145,[1]Produtos!$B:$B,0)), "-")</f>
        <v>-</v>
      </c>
      <c r="T2145" s="475"/>
      <c r="U2145" s="270"/>
      <c r="V2145" s="270"/>
      <c r="W2145" s="270"/>
      <c r="X2145" s="270"/>
      <c r="Y2145" s="270"/>
      <c r="Z2145" s="270"/>
      <c r="AA2145" s="270"/>
      <c r="AB2145" s="270"/>
      <c r="AC2145" s="270"/>
      <c r="AD2145" s="270"/>
      <c r="AE2145" s="270"/>
      <c r="AF2145" s="270"/>
      <c r="AG2145" s="270"/>
      <c r="AH2145" s="270"/>
      <c r="AI2145" s="270"/>
      <c r="AJ2145" s="270"/>
      <c r="AK2145" s="270"/>
      <c r="AL2145" s="270"/>
      <c r="AM2145" s="663"/>
      <c r="AN2145" s="663"/>
      <c r="AO2145" s="708" t="str">
        <f>IF(OR(Table1[[#This Row],[Início Setup Envase]]="",Table1[[#This Row],[Final Setup Envase]]=""),"",Table1[[#This Row],[Final Setup Envase]]-Table1[[#This Row],[Início Setup Envase]])</f>
        <v/>
      </c>
      <c r="AP2145" s="663"/>
      <c r="AQ2145" s="663"/>
      <c r="AR2145" s="270"/>
      <c r="AS2145" s="674"/>
      <c r="AT2145" s="674"/>
      <c r="AU2145" s="270"/>
      <c r="AV2145" s="270"/>
      <c r="AW2145" s="270"/>
      <c r="AX2145" s="270"/>
      <c r="AY2145" s="270"/>
      <c r="AZ2145" s="270"/>
      <c r="BA2145" s="270" t="str">
        <f>IF(Table1[[#This Row],[Data de Início]]="","",YEAR(Table1[[#This Row],[Data de Início]]))</f>
        <v/>
      </c>
      <c r="BB2145" s="270" t="str">
        <f>IF(Table1[[#This Row],[Data de Início]]="","",MONTH(Table1[[#This Row],[Data de Início]]))</f>
        <v/>
      </c>
      <c r="BC2145" s="483"/>
    </row>
    <row r="2146" spans="2:55" x14ac:dyDescent="0.25">
      <c r="B2146" s="470"/>
      <c r="C2146" s="263"/>
      <c r="D2146" s="477" cm="1">
        <f t="array" ref="D2146">IFERROR(HorasUteisFabrica2Turnos(B2146,C2146), "")</f>
        <v>0</v>
      </c>
      <c r="E2146" s="478" t="str">
        <f t="shared" si="33"/>
        <v/>
      </c>
      <c r="F2146" s="266"/>
      <c r="G2146" s="656"/>
      <c r="H2146" s="479"/>
      <c r="I2146" s="268"/>
      <c r="J2146" s="268"/>
      <c r="K2146" s="268"/>
      <c r="L2146" s="269"/>
      <c r="M2146" s="511" t="str">
        <f>IFERROR(INDEX([1]Produtos!$C:$C,MATCH(L2146,[1]Produtos!$B:$B,0)), "-")</f>
        <v>-</v>
      </c>
      <c r="N2146" s="511" t="str">
        <f>IFERROR(INDEX([1]Produtos!$E:$E,MATCH(L2146,[1]Produtos!$B:$B,0)), "-")</f>
        <v>-</v>
      </c>
      <c r="O2146" s="483" t="str">
        <f>IFERROR(INDEX([1]Produtos!$F:$F,MATCH(L2146,[1]Produtos!$B:$B,0)), "-")</f>
        <v>-</v>
      </c>
      <c r="P2146" s="477" t="str">
        <f>IFERROR(INDEX([1]Produtos!$G:$G,MATCH(L2146,[1]Produtos!$B:$B,0)), "-")</f>
        <v>-</v>
      </c>
      <c r="Q2146" s="483" t="str">
        <f>IFERROR(INDEX([1]Produtos!$H:$H,MATCH(L2146,[1]Produtos!$B:$B,0)), "-")</f>
        <v>-</v>
      </c>
      <c r="R2146" s="483" t="str">
        <f>IFERROR(INDEX([1]Produtos!$I:$I,MATCH(L2146,[1]Produtos!$B:$B,0)), "-")</f>
        <v>-</v>
      </c>
      <c r="S2146" s="483" t="str">
        <f>IFERROR(INDEX([1]Produtos!$J:$J,MATCH(L2146,[1]Produtos!$B:$B,0)), "-")</f>
        <v>-</v>
      </c>
      <c r="T2146" s="484"/>
      <c r="U2146" s="483"/>
      <c r="V2146" s="483"/>
      <c r="W2146" s="483"/>
      <c r="X2146" s="483"/>
      <c r="Y2146" s="483"/>
      <c r="Z2146" s="483"/>
      <c r="AA2146" s="483"/>
      <c r="AB2146" s="483"/>
      <c r="AC2146" s="483"/>
      <c r="AD2146" s="483"/>
      <c r="AE2146" s="483"/>
      <c r="AF2146" s="483"/>
      <c r="AG2146" s="483"/>
      <c r="AH2146" s="483"/>
      <c r="AI2146" s="483"/>
      <c r="AJ2146" s="483"/>
      <c r="AK2146" s="483"/>
      <c r="AL2146" s="483"/>
      <c r="AM2146" s="670"/>
      <c r="AN2146" s="670"/>
      <c r="AO2146" s="711" t="str">
        <f>IF(OR(Table1[[#This Row],[Início Setup Envase]]="",Table1[[#This Row],[Final Setup Envase]]=""),"",Table1[[#This Row],[Final Setup Envase]]-Table1[[#This Row],[Início Setup Envase]])</f>
        <v/>
      </c>
      <c r="AP2146" s="670"/>
      <c r="AQ2146" s="670"/>
      <c r="AR2146" s="483"/>
      <c r="AS2146" s="483"/>
      <c r="AT2146" s="483"/>
      <c r="AU2146" s="483"/>
      <c r="AV2146" s="483"/>
      <c r="AW2146" s="483"/>
      <c r="AX2146" s="483"/>
      <c r="AY2146" s="270"/>
      <c r="AZ2146" s="270"/>
      <c r="BA2146" s="270" t="str">
        <f>IF(Table1[[#This Row],[Data de Início]]="","",YEAR(Table1[[#This Row],[Data de Início]]))</f>
        <v/>
      </c>
      <c r="BB2146" s="270" t="str">
        <f>IF(Table1[[#This Row],[Data de Início]]="","",MONTH(Table1[[#This Row],[Data de Início]]))</f>
        <v/>
      </c>
      <c r="BC2146" s="270"/>
    </row>
    <row r="2147" spans="2:55" x14ac:dyDescent="0.25">
      <c r="B2147" s="470"/>
      <c r="C2147" s="263"/>
      <c r="D2147" s="477" cm="1">
        <f t="array" ref="D2147">IFERROR(HorasUteisFabrica2Turnos(B2147,C2147), "")</f>
        <v>0</v>
      </c>
      <c r="E2147" s="697" t="str">
        <f t="shared" si="33"/>
        <v/>
      </c>
      <c r="F2147" s="266"/>
      <c r="G2147" s="698"/>
      <c r="H2147" s="266"/>
      <c r="I2147" s="268"/>
      <c r="J2147" s="268"/>
      <c r="K2147" s="268"/>
      <c r="L2147" s="269"/>
      <c r="M2147" s="510" t="str">
        <f>IFERROR(INDEX([1]Produtos!$C:$C,MATCH(L2147,[1]Produtos!$B:$B,0)), "-")</f>
        <v>-</v>
      </c>
      <c r="N2147" s="510" t="str">
        <f>IFERROR(INDEX([1]Produtos!$E:$E,MATCH(L2147,[1]Produtos!$B:$B,0)), "-")</f>
        <v>-</v>
      </c>
      <c r="O2147" s="270" t="str">
        <f>IFERROR(INDEX([1]Produtos!$F:$F,MATCH(L2147,[1]Produtos!$B:$B,0)), "-")</f>
        <v>-</v>
      </c>
      <c r="P2147" s="264" t="str">
        <f>IFERROR(INDEX([1]Produtos!$G:$G,MATCH(L2147,[1]Produtos!$B:$B,0)), "-")</f>
        <v>-</v>
      </c>
      <c r="Q2147" s="270" t="str">
        <f>IFERROR(INDEX([1]Produtos!$H:$H,MATCH(L2147,[1]Produtos!$B:$B,0)), "-")</f>
        <v>-</v>
      </c>
      <c r="R2147" s="270" t="str">
        <f>IFERROR(INDEX([1]Produtos!$I:$I,MATCH(L2147,[1]Produtos!$B:$B,0)), "-")</f>
        <v>-</v>
      </c>
      <c r="S2147" s="270" t="str">
        <f>IFERROR(INDEX([1]Produtos!$J:$J,MATCH(L2147,[1]Produtos!$B:$B,0)), "-")</f>
        <v>-</v>
      </c>
      <c r="T2147" s="475"/>
      <c r="U2147" s="270"/>
      <c r="V2147" s="270"/>
      <c r="W2147" s="270"/>
      <c r="X2147" s="270"/>
      <c r="Y2147" s="270"/>
      <c r="Z2147" s="270"/>
      <c r="AA2147" s="270"/>
      <c r="AB2147" s="270"/>
      <c r="AC2147" s="270"/>
      <c r="AD2147" s="270"/>
      <c r="AE2147" s="270"/>
      <c r="AF2147" s="270"/>
      <c r="AG2147" s="270"/>
      <c r="AH2147" s="270"/>
      <c r="AI2147" s="270"/>
      <c r="AJ2147" s="270"/>
      <c r="AK2147" s="270"/>
      <c r="AL2147" s="270"/>
      <c r="AM2147" s="663"/>
      <c r="AN2147" s="663"/>
      <c r="AO2147" s="708" t="str">
        <f>IF(OR(Table1[[#This Row],[Início Setup Envase]]="",Table1[[#This Row],[Final Setup Envase]]=""),"",Table1[[#This Row],[Final Setup Envase]]-Table1[[#This Row],[Início Setup Envase]])</f>
        <v/>
      </c>
      <c r="AP2147" s="663"/>
      <c r="AQ2147" s="663"/>
      <c r="AR2147" s="270"/>
      <c r="AS2147" s="674"/>
      <c r="AT2147" s="674"/>
      <c r="AU2147" s="270"/>
      <c r="AV2147" s="270"/>
      <c r="AW2147" s="270"/>
      <c r="AX2147" s="270"/>
      <c r="AY2147" s="270"/>
      <c r="AZ2147" s="270"/>
      <c r="BA2147" s="270" t="str">
        <f>IF(Table1[[#This Row],[Data de Início]]="","",YEAR(Table1[[#This Row],[Data de Início]]))</f>
        <v/>
      </c>
      <c r="BB2147" s="270" t="str">
        <f>IF(Table1[[#This Row],[Data de Início]]="","",MONTH(Table1[[#This Row],[Data de Início]]))</f>
        <v/>
      </c>
      <c r="BC2147" s="483"/>
    </row>
    <row r="2148" spans="2:55" x14ac:dyDescent="0.25">
      <c r="B2148" s="470"/>
      <c r="C2148" s="263"/>
      <c r="D2148" s="477" cm="1">
        <f t="array" ref="D2148">IFERROR(HorasUteisFabrica2Turnos(B2148,C2148), "")</f>
        <v>0</v>
      </c>
      <c r="E2148" s="478" t="str">
        <f t="shared" si="33"/>
        <v/>
      </c>
      <c r="F2148" s="266"/>
      <c r="G2148" s="656"/>
      <c r="H2148" s="479"/>
      <c r="I2148" s="268"/>
      <c r="J2148" s="268"/>
      <c r="K2148" s="268"/>
      <c r="L2148" s="269"/>
      <c r="M2148" s="511" t="str">
        <f>IFERROR(INDEX([1]Produtos!$C:$C,MATCH(L2148,[1]Produtos!$B:$B,0)), "-")</f>
        <v>-</v>
      </c>
      <c r="N2148" s="511" t="str">
        <f>IFERROR(INDEX([1]Produtos!$E:$E,MATCH(L2148,[1]Produtos!$B:$B,0)), "-")</f>
        <v>-</v>
      </c>
      <c r="O2148" s="483" t="str">
        <f>IFERROR(INDEX([1]Produtos!$F:$F,MATCH(L2148,[1]Produtos!$B:$B,0)), "-")</f>
        <v>-</v>
      </c>
      <c r="P2148" s="477" t="str">
        <f>IFERROR(INDEX([1]Produtos!$G:$G,MATCH(L2148,[1]Produtos!$B:$B,0)), "-")</f>
        <v>-</v>
      </c>
      <c r="Q2148" s="483" t="str">
        <f>IFERROR(INDEX([1]Produtos!$H:$H,MATCH(L2148,[1]Produtos!$B:$B,0)), "-")</f>
        <v>-</v>
      </c>
      <c r="R2148" s="483" t="str">
        <f>IFERROR(INDEX([1]Produtos!$I:$I,MATCH(L2148,[1]Produtos!$B:$B,0)), "-")</f>
        <v>-</v>
      </c>
      <c r="S2148" s="483" t="str">
        <f>IFERROR(INDEX([1]Produtos!$J:$J,MATCH(L2148,[1]Produtos!$B:$B,0)), "-")</f>
        <v>-</v>
      </c>
      <c r="T2148" s="484"/>
      <c r="U2148" s="483"/>
      <c r="V2148" s="483"/>
      <c r="W2148" s="483"/>
      <c r="X2148" s="483"/>
      <c r="Y2148" s="483"/>
      <c r="Z2148" s="483"/>
      <c r="AA2148" s="483"/>
      <c r="AB2148" s="483"/>
      <c r="AC2148" s="483"/>
      <c r="AD2148" s="483"/>
      <c r="AE2148" s="483"/>
      <c r="AF2148" s="483"/>
      <c r="AG2148" s="483"/>
      <c r="AH2148" s="483"/>
      <c r="AI2148" s="483"/>
      <c r="AJ2148" s="483"/>
      <c r="AK2148" s="483"/>
      <c r="AL2148" s="483"/>
      <c r="AM2148" s="670"/>
      <c r="AN2148" s="670"/>
      <c r="AO2148" s="711" t="str">
        <f>IF(OR(Table1[[#This Row],[Início Setup Envase]]="",Table1[[#This Row],[Final Setup Envase]]=""),"",Table1[[#This Row],[Final Setup Envase]]-Table1[[#This Row],[Início Setup Envase]])</f>
        <v/>
      </c>
      <c r="AP2148" s="670"/>
      <c r="AQ2148" s="670"/>
      <c r="AR2148" s="483"/>
      <c r="AS2148" s="483"/>
      <c r="AT2148" s="483"/>
      <c r="AU2148" s="483"/>
      <c r="AV2148" s="483"/>
      <c r="AW2148" s="483"/>
      <c r="AX2148" s="483"/>
      <c r="AY2148" s="270"/>
      <c r="AZ2148" s="270"/>
      <c r="BA2148" s="270" t="str">
        <f>IF(Table1[[#This Row],[Data de Início]]="","",YEAR(Table1[[#This Row],[Data de Início]]))</f>
        <v/>
      </c>
      <c r="BB2148" s="270" t="str">
        <f>IF(Table1[[#This Row],[Data de Início]]="","",MONTH(Table1[[#This Row],[Data de Início]]))</f>
        <v/>
      </c>
      <c r="BC2148" s="270"/>
    </row>
    <row r="2149" spans="2:55" x14ac:dyDescent="0.25">
      <c r="B2149" s="470"/>
      <c r="C2149" s="263"/>
      <c r="D2149" s="477" cm="1">
        <f t="array" ref="D2149">IFERROR(HorasUteisFabrica2Turnos(B2149,C2149), "")</f>
        <v>0</v>
      </c>
      <c r="E2149" s="697" t="str">
        <f t="shared" ref="E2149:E2212" si="34">IFERROR(K2149/D2149, "")</f>
        <v/>
      </c>
      <c r="F2149" s="266"/>
      <c r="G2149" s="698"/>
      <c r="H2149" s="266"/>
      <c r="I2149" s="268"/>
      <c r="J2149" s="268"/>
      <c r="K2149" s="268"/>
      <c r="L2149" s="269"/>
      <c r="M2149" s="510" t="str">
        <f>IFERROR(INDEX([1]Produtos!$C:$C,MATCH(L2149,[1]Produtos!$B:$B,0)), "-")</f>
        <v>-</v>
      </c>
      <c r="N2149" s="510" t="str">
        <f>IFERROR(INDEX([1]Produtos!$E:$E,MATCH(L2149,[1]Produtos!$B:$B,0)), "-")</f>
        <v>-</v>
      </c>
      <c r="O2149" s="270" t="str">
        <f>IFERROR(INDEX([1]Produtos!$F:$F,MATCH(L2149,[1]Produtos!$B:$B,0)), "-")</f>
        <v>-</v>
      </c>
      <c r="P2149" s="264" t="str">
        <f>IFERROR(INDEX([1]Produtos!$G:$G,MATCH(L2149,[1]Produtos!$B:$B,0)), "-")</f>
        <v>-</v>
      </c>
      <c r="Q2149" s="270" t="str">
        <f>IFERROR(INDEX([1]Produtos!$H:$H,MATCH(L2149,[1]Produtos!$B:$B,0)), "-")</f>
        <v>-</v>
      </c>
      <c r="R2149" s="270" t="str">
        <f>IFERROR(INDEX([1]Produtos!$I:$I,MATCH(L2149,[1]Produtos!$B:$B,0)), "-")</f>
        <v>-</v>
      </c>
      <c r="S2149" s="270" t="str">
        <f>IFERROR(INDEX([1]Produtos!$J:$J,MATCH(L2149,[1]Produtos!$B:$B,0)), "-")</f>
        <v>-</v>
      </c>
      <c r="T2149" s="475"/>
      <c r="U2149" s="270"/>
      <c r="V2149" s="270"/>
      <c r="W2149" s="270"/>
      <c r="X2149" s="270"/>
      <c r="Y2149" s="270"/>
      <c r="Z2149" s="270"/>
      <c r="AA2149" s="270"/>
      <c r="AB2149" s="270"/>
      <c r="AC2149" s="270"/>
      <c r="AD2149" s="270"/>
      <c r="AE2149" s="270"/>
      <c r="AF2149" s="270"/>
      <c r="AG2149" s="270"/>
      <c r="AH2149" s="270"/>
      <c r="AI2149" s="270"/>
      <c r="AJ2149" s="270"/>
      <c r="AK2149" s="270"/>
      <c r="AL2149" s="270"/>
      <c r="AM2149" s="663"/>
      <c r="AN2149" s="663"/>
      <c r="AO2149" s="708" t="str">
        <f>IF(OR(Table1[[#This Row],[Início Setup Envase]]="",Table1[[#This Row],[Final Setup Envase]]=""),"",Table1[[#This Row],[Final Setup Envase]]-Table1[[#This Row],[Início Setup Envase]])</f>
        <v/>
      </c>
      <c r="AP2149" s="663"/>
      <c r="AQ2149" s="663"/>
      <c r="AR2149" s="270"/>
      <c r="AS2149" s="674"/>
      <c r="AT2149" s="674"/>
      <c r="AU2149" s="270"/>
      <c r="AV2149" s="270"/>
      <c r="AW2149" s="270"/>
      <c r="AX2149" s="270"/>
      <c r="AY2149" s="270"/>
      <c r="AZ2149" s="270"/>
      <c r="BA2149" s="270" t="str">
        <f>IF(Table1[[#This Row],[Data de Início]]="","",YEAR(Table1[[#This Row],[Data de Início]]))</f>
        <v/>
      </c>
      <c r="BB2149" s="270" t="str">
        <f>IF(Table1[[#This Row],[Data de Início]]="","",MONTH(Table1[[#This Row],[Data de Início]]))</f>
        <v/>
      </c>
      <c r="BC2149" s="483"/>
    </row>
    <row r="2150" spans="2:55" x14ac:dyDescent="0.25">
      <c r="B2150" s="470"/>
      <c r="C2150" s="263"/>
      <c r="D2150" s="477" cm="1">
        <f t="array" ref="D2150">IFERROR(HorasUteisFabrica2Turnos(B2150,C2150), "")</f>
        <v>0</v>
      </c>
      <c r="E2150" s="478" t="str">
        <f t="shared" si="34"/>
        <v/>
      </c>
      <c r="F2150" s="266"/>
      <c r="G2150" s="656"/>
      <c r="H2150" s="479"/>
      <c r="I2150" s="268"/>
      <c r="J2150" s="268"/>
      <c r="K2150" s="268"/>
      <c r="L2150" s="269"/>
      <c r="M2150" s="511" t="str">
        <f>IFERROR(INDEX([1]Produtos!$C:$C,MATCH(L2150,[1]Produtos!$B:$B,0)), "-")</f>
        <v>-</v>
      </c>
      <c r="N2150" s="511" t="str">
        <f>IFERROR(INDEX([1]Produtos!$E:$E,MATCH(L2150,[1]Produtos!$B:$B,0)), "-")</f>
        <v>-</v>
      </c>
      <c r="O2150" s="483" t="str">
        <f>IFERROR(INDEX([1]Produtos!$F:$F,MATCH(L2150,[1]Produtos!$B:$B,0)), "-")</f>
        <v>-</v>
      </c>
      <c r="P2150" s="477" t="str">
        <f>IFERROR(INDEX([1]Produtos!$G:$G,MATCH(L2150,[1]Produtos!$B:$B,0)), "-")</f>
        <v>-</v>
      </c>
      <c r="Q2150" s="483" t="str">
        <f>IFERROR(INDEX([1]Produtos!$H:$H,MATCH(L2150,[1]Produtos!$B:$B,0)), "-")</f>
        <v>-</v>
      </c>
      <c r="R2150" s="483" t="str">
        <f>IFERROR(INDEX([1]Produtos!$I:$I,MATCH(L2150,[1]Produtos!$B:$B,0)), "-")</f>
        <v>-</v>
      </c>
      <c r="S2150" s="483" t="str">
        <f>IFERROR(INDEX([1]Produtos!$J:$J,MATCH(L2150,[1]Produtos!$B:$B,0)), "-")</f>
        <v>-</v>
      </c>
      <c r="T2150" s="484"/>
      <c r="U2150" s="483"/>
      <c r="V2150" s="483"/>
      <c r="W2150" s="483"/>
      <c r="X2150" s="483"/>
      <c r="Y2150" s="483"/>
      <c r="Z2150" s="483"/>
      <c r="AA2150" s="483"/>
      <c r="AB2150" s="483"/>
      <c r="AC2150" s="483"/>
      <c r="AD2150" s="483"/>
      <c r="AE2150" s="483"/>
      <c r="AF2150" s="483"/>
      <c r="AG2150" s="483"/>
      <c r="AH2150" s="483"/>
      <c r="AI2150" s="483"/>
      <c r="AJ2150" s="483"/>
      <c r="AK2150" s="483"/>
      <c r="AL2150" s="483"/>
      <c r="AM2150" s="670"/>
      <c r="AN2150" s="670"/>
      <c r="AO2150" s="711" t="str">
        <f>IF(OR(Table1[[#This Row],[Início Setup Envase]]="",Table1[[#This Row],[Final Setup Envase]]=""),"",Table1[[#This Row],[Final Setup Envase]]-Table1[[#This Row],[Início Setup Envase]])</f>
        <v/>
      </c>
      <c r="AP2150" s="670"/>
      <c r="AQ2150" s="670"/>
      <c r="AR2150" s="483"/>
      <c r="AS2150" s="483"/>
      <c r="AT2150" s="483"/>
      <c r="AU2150" s="483"/>
      <c r="AV2150" s="483"/>
      <c r="AW2150" s="483"/>
      <c r="AX2150" s="483"/>
      <c r="AY2150" s="270"/>
      <c r="AZ2150" s="270"/>
      <c r="BA2150" s="270" t="str">
        <f>IF(Table1[[#This Row],[Data de Início]]="","",YEAR(Table1[[#This Row],[Data de Início]]))</f>
        <v/>
      </c>
      <c r="BB2150" s="270" t="str">
        <f>IF(Table1[[#This Row],[Data de Início]]="","",MONTH(Table1[[#This Row],[Data de Início]]))</f>
        <v/>
      </c>
      <c r="BC2150" s="270"/>
    </row>
    <row r="2151" spans="2:55" x14ac:dyDescent="0.25">
      <c r="B2151" s="470"/>
      <c r="C2151" s="263"/>
      <c r="D2151" s="477" cm="1">
        <f t="array" ref="D2151">IFERROR(HorasUteisFabrica2Turnos(B2151,C2151), "")</f>
        <v>0</v>
      </c>
      <c r="E2151" s="697" t="str">
        <f t="shared" si="34"/>
        <v/>
      </c>
      <c r="F2151" s="266"/>
      <c r="G2151" s="698"/>
      <c r="H2151" s="266"/>
      <c r="I2151" s="268"/>
      <c r="J2151" s="268"/>
      <c r="K2151" s="268"/>
      <c r="L2151" s="269"/>
      <c r="M2151" s="510" t="str">
        <f>IFERROR(INDEX([1]Produtos!$C:$C,MATCH(L2151,[1]Produtos!$B:$B,0)), "-")</f>
        <v>-</v>
      </c>
      <c r="N2151" s="510" t="str">
        <f>IFERROR(INDEX([1]Produtos!$E:$E,MATCH(L2151,[1]Produtos!$B:$B,0)), "-")</f>
        <v>-</v>
      </c>
      <c r="O2151" s="270" t="str">
        <f>IFERROR(INDEX([1]Produtos!$F:$F,MATCH(L2151,[1]Produtos!$B:$B,0)), "-")</f>
        <v>-</v>
      </c>
      <c r="P2151" s="264" t="str">
        <f>IFERROR(INDEX([1]Produtos!$G:$G,MATCH(L2151,[1]Produtos!$B:$B,0)), "-")</f>
        <v>-</v>
      </c>
      <c r="Q2151" s="270" t="str">
        <f>IFERROR(INDEX([1]Produtos!$H:$H,MATCH(L2151,[1]Produtos!$B:$B,0)), "-")</f>
        <v>-</v>
      </c>
      <c r="R2151" s="270" t="str">
        <f>IFERROR(INDEX([1]Produtos!$I:$I,MATCH(L2151,[1]Produtos!$B:$B,0)), "-")</f>
        <v>-</v>
      </c>
      <c r="S2151" s="270" t="str">
        <f>IFERROR(INDEX([1]Produtos!$J:$J,MATCH(L2151,[1]Produtos!$B:$B,0)), "-")</f>
        <v>-</v>
      </c>
      <c r="T2151" s="475"/>
      <c r="U2151" s="270"/>
      <c r="V2151" s="270"/>
      <c r="W2151" s="270"/>
      <c r="X2151" s="270"/>
      <c r="Y2151" s="270"/>
      <c r="Z2151" s="270"/>
      <c r="AA2151" s="270"/>
      <c r="AB2151" s="270"/>
      <c r="AC2151" s="270"/>
      <c r="AD2151" s="270"/>
      <c r="AE2151" s="270"/>
      <c r="AF2151" s="270"/>
      <c r="AG2151" s="270"/>
      <c r="AH2151" s="270"/>
      <c r="AI2151" s="270"/>
      <c r="AJ2151" s="270"/>
      <c r="AK2151" s="270"/>
      <c r="AL2151" s="270"/>
      <c r="AM2151" s="663"/>
      <c r="AN2151" s="663"/>
      <c r="AO2151" s="708" t="str">
        <f>IF(OR(Table1[[#This Row],[Início Setup Envase]]="",Table1[[#This Row],[Final Setup Envase]]=""),"",Table1[[#This Row],[Final Setup Envase]]-Table1[[#This Row],[Início Setup Envase]])</f>
        <v/>
      </c>
      <c r="AP2151" s="663"/>
      <c r="AQ2151" s="663"/>
      <c r="AR2151" s="270"/>
      <c r="AS2151" s="674"/>
      <c r="AT2151" s="674"/>
      <c r="AU2151" s="270"/>
      <c r="AV2151" s="270"/>
      <c r="AW2151" s="270"/>
      <c r="AX2151" s="270"/>
      <c r="AY2151" s="270"/>
      <c r="AZ2151" s="270"/>
      <c r="BA2151" s="270" t="str">
        <f>IF(Table1[[#This Row],[Data de Início]]="","",YEAR(Table1[[#This Row],[Data de Início]]))</f>
        <v/>
      </c>
      <c r="BB2151" s="270" t="str">
        <f>IF(Table1[[#This Row],[Data de Início]]="","",MONTH(Table1[[#This Row],[Data de Início]]))</f>
        <v/>
      </c>
      <c r="BC2151" s="483"/>
    </row>
    <row r="2152" spans="2:55" x14ac:dyDescent="0.25">
      <c r="B2152" s="470"/>
      <c r="C2152" s="263"/>
      <c r="D2152" s="477" cm="1">
        <f t="array" ref="D2152">IFERROR(HorasUteisFabrica2Turnos(B2152,C2152), "")</f>
        <v>0</v>
      </c>
      <c r="E2152" s="478" t="str">
        <f t="shared" si="34"/>
        <v/>
      </c>
      <c r="F2152" s="266"/>
      <c r="G2152" s="656"/>
      <c r="H2152" s="479"/>
      <c r="I2152" s="268"/>
      <c r="J2152" s="268"/>
      <c r="K2152" s="268"/>
      <c r="L2152" s="269"/>
      <c r="M2152" s="511" t="str">
        <f>IFERROR(INDEX([1]Produtos!$C:$C,MATCH(L2152,[1]Produtos!$B:$B,0)), "-")</f>
        <v>-</v>
      </c>
      <c r="N2152" s="511" t="str">
        <f>IFERROR(INDEX([1]Produtos!$E:$E,MATCH(L2152,[1]Produtos!$B:$B,0)), "-")</f>
        <v>-</v>
      </c>
      <c r="O2152" s="483" t="str">
        <f>IFERROR(INDEX([1]Produtos!$F:$F,MATCH(L2152,[1]Produtos!$B:$B,0)), "-")</f>
        <v>-</v>
      </c>
      <c r="P2152" s="477" t="str">
        <f>IFERROR(INDEX([1]Produtos!$G:$G,MATCH(L2152,[1]Produtos!$B:$B,0)), "-")</f>
        <v>-</v>
      </c>
      <c r="Q2152" s="483" t="str">
        <f>IFERROR(INDEX([1]Produtos!$H:$H,MATCH(L2152,[1]Produtos!$B:$B,0)), "-")</f>
        <v>-</v>
      </c>
      <c r="R2152" s="483" t="str">
        <f>IFERROR(INDEX([1]Produtos!$I:$I,MATCH(L2152,[1]Produtos!$B:$B,0)), "-")</f>
        <v>-</v>
      </c>
      <c r="S2152" s="483" t="str">
        <f>IFERROR(INDEX([1]Produtos!$J:$J,MATCH(L2152,[1]Produtos!$B:$B,0)), "-")</f>
        <v>-</v>
      </c>
      <c r="T2152" s="484"/>
      <c r="U2152" s="483"/>
      <c r="V2152" s="483"/>
      <c r="W2152" s="483"/>
      <c r="X2152" s="483"/>
      <c r="Y2152" s="483"/>
      <c r="Z2152" s="483"/>
      <c r="AA2152" s="483"/>
      <c r="AB2152" s="483"/>
      <c r="AC2152" s="483"/>
      <c r="AD2152" s="483"/>
      <c r="AE2152" s="483"/>
      <c r="AF2152" s="483"/>
      <c r="AG2152" s="483"/>
      <c r="AH2152" s="483"/>
      <c r="AI2152" s="483"/>
      <c r="AJ2152" s="483"/>
      <c r="AK2152" s="483"/>
      <c r="AL2152" s="483"/>
      <c r="AM2152" s="670"/>
      <c r="AN2152" s="670"/>
      <c r="AO2152" s="711" t="str">
        <f>IF(OR(Table1[[#This Row],[Início Setup Envase]]="",Table1[[#This Row],[Final Setup Envase]]=""),"",Table1[[#This Row],[Final Setup Envase]]-Table1[[#This Row],[Início Setup Envase]])</f>
        <v/>
      </c>
      <c r="AP2152" s="670"/>
      <c r="AQ2152" s="670"/>
      <c r="AR2152" s="483"/>
      <c r="AS2152" s="483"/>
      <c r="AT2152" s="483"/>
      <c r="AU2152" s="483"/>
      <c r="AV2152" s="483"/>
      <c r="AW2152" s="483"/>
      <c r="AX2152" s="483"/>
      <c r="AY2152" s="270"/>
      <c r="AZ2152" s="270"/>
      <c r="BA2152" s="270" t="str">
        <f>IF(Table1[[#This Row],[Data de Início]]="","",YEAR(Table1[[#This Row],[Data de Início]]))</f>
        <v/>
      </c>
      <c r="BB2152" s="270" t="str">
        <f>IF(Table1[[#This Row],[Data de Início]]="","",MONTH(Table1[[#This Row],[Data de Início]]))</f>
        <v/>
      </c>
      <c r="BC2152" s="270"/>
    </row>
    <row r="2153" spans="2:55" x14ac:dyDescent="0.25">
      <c r="B2153" s="470"/>
      <c r="C2153" s="263"/>
      <c r="D2153" s="477" cm="1">
        <f t="array" ref="D2153">IFERROR(HorasUteisFabrica2Turnos(B2153,C2153), "")</f>
        <v>0</v>
      </c>
      <c r="E2153" s="697" t="str">
        <f t="shared" si="34"/>
        <v/>
      </c>
      <c r="F2153" s="266"/>
      <c r="G2153" s="698"/>
      <c r="H2153" s="266"/>
      <c r="I2153" s="268"/>
      <c r="J2153" s="268"/>
      <c r="K2153" s="268"/>
      <c r="L2153" s="269"/>
      <c r="M2153" s="510" t="str">
        <f>IFERROR(INDEX([1]Produtos!$C:$C,MATCH(L2153,[1]Produtos!$B:$B,0)), "-")</f>
        <v>-</v>
      </c>
      <c r="N2153" s="510" t="str">
        <f>IFERROR(INDEX([1]Produtos!$E:$E,MATCH(L2153,[1]Produtos!$B:$B,0)), "-")</f>
        <v>-</v>
      </c>
      <c r="O2153" s="270" t="str">
        <f>IFERROR(INDEX([1]Produtos!$F:$F,MATCH(L2153,[1]Produtos!$B:$B,0)), "-")</f>
        <v>-</v>
      </c>
      <c r="P2153" s="264" t="str">
        <f>IFERROR(INDEX([1]Produtos!$G:$G,MATCH(L2153,[1]Produtos!$B:$B,0)), "-")</f>
        <v>-</v>
      </c>
      <c r="Q2153" s="270" t="str">
        <f>IFERROR(INDEX([1]Produtos!$H:$H,MATCH(L2153,[1]Produtos!$B:$B,0)), "-")</f>
        <v>-</v>
      </c>
      <c r="R2153" s="270" t="str">
        <f>IFERROR(INDEX([1]Produtos!$I:$I,MATCH(L2153,[1]Produtos!$B:$B,0)), "-")</f>
        <v>-</v>
      </c>
      <c r="S2153" s="270" t="str">
        <f>IFERROR(INDEX([1]Produtos!$J:$J,MATCH(L2153,[1]Produtos!$B:$B,0)), "-")</f>
        <v>-</v>
      </c>
      <c r="T2153" s="475"/>
      <c r="U2153" s="270"/>
      <c r="V2153" s="270"/>
      <c r="W2153" s="270"/>
      <c r="X2153" s="270"/>
      <c r="Y2153" s="270"/>
      <c r="Z2153" s="270"/>
      <c r="AA2153" s="270"/>
      <c r="AB2153" s="270"/>
      <c r="AC2153" s="270"/>
      <c r="AD2153" s="270"/>
      <c r="AE2153" s="270"/>
      <c r="AF2153" s="270"/>
      <c r="AG2153" s="270"/>
      <c r="AH2153" s="270"/>
      <c r="AI2153" s="270"/>
      <c r="AJ2153" s="270"/>
      <c r="AK2153" s="270"/>
      <c r="AL2153" s="270"/>
      <c r="AM2153" s="663"/>
      <c r="AN2153" s="663"/>
      <c r="AO2153" s="708" t="str">
        <f>IF(OR(Table1[[#This Row],[Início Setup Envase]]="",Table1[[#This Row],[Final Setup Envase]]=""),"",Table1[[#This Row],[Final Setup Envase]]-Table1[[#This Row],[Início Setup Envase]])</f>
        <v/>
      </c>
      <c r="AP2153" s="663"/>
      <c r="AQ2153" s="663"/>
      <c r="AR2153" s="270"/>
      <c r="AS2153" s="674"/>
      <c r="AT2153" s="674"/>
      <c r="AU2153" s="270"/>
      <c r="AV2153" s="270"/>
      <c r="AW2153" s="270"/>
      <c r="AX2153" s="270"/>
      <c r="AY2153" s="270"/>
      <c r="AZ2153" s="270"/>
      <c r="BA2153" s="270" t="str">
        <f>IF(Table1[[#This Row],[Data de Início]]="","",YEAR(Table1[[#This Row],[Data de Início]]))</f>
        <v/>
      </c>
      <c r="BB2153" s="270" t="str">
        <f>IF(Table1[[#This Row],[Data de Início]]="","",MONTH(Table1[[#This Row],[Data de Início]]))</f>
        <v/>
      </c>
      <c r="BC2153" s="483"/>
    </row>
    <row r="2154" spans="2:55" x14ac:dyDescent="0.25">
      <c r="B2154" s="470"/>
      <c r="C2154" s="263"/>
      <c r="D2154" s="477" cm="1">
        <f t="array" ref="D2154">IFERROR(HorasUteisFabrica2Turnos(B2154,C2154), "")</f>
        <v>0</v>
      </c>
      <c r="E2154" s="478" t="str">
        <f t="shared" si="34"/>
        <v/>
      </c>
      <c r="F2154" s="266"/>
      <c r="G2154" s="656"/>
      <c r="H2154" s="479"/>
      <c r="I2154" s="268"/>
      <c r="J2154" s="268"/>
      <c r="K2154" s="268"/>
      <c r="L2154" s="269"/>
      <c r="M2154" s="511" t="str">
        <f>IFERROR(INDEX([1]Produtos!$C:$C,MATCH(L2154,[1]Produtos!$B:$B,0)), "-")</f>
        <v>-</v>
      </c>
      <c r="N2154" s="511" t="str">
        <f>IFERROR(INDEX([1]Produtos!$E:$E,MATCH(L2154,[1]Produtos!$B:$B,0)), "-")</f>
        <v>-</v>
      </c>
      <c r="O2154" s="483" t="str">
        <f>IFERROR(INDEX([1]Produtos!$F:$F,MATCH(L2154,[1]Produtos!$B:$B,0)), "-")</f>
        <v>-</v>
      </c>
      <c r="P2154" s="477" t="str">
        <f>IFERROR(INDEX([1]Produtos!$G:$G,MATCH(L2154,[1]Produtos!$B:$B,0)), "-")</f>
        <v>-</v>
      </c>
      <c r="Q2154" s="483" t="str">
        <f>IFERROR(INDEX([1]Produtos!$H:$H,MATCH(L2154,[1]Produtos!$B:$B,0)), "-")</f>
        <v>-</v>
      </c>
      <c r="R2154" s="483" t="str">
        <f>IFERROR(INDEX([1]Produtos!$I:$I,MATCH(L2154,[1]Produtos!$B:$B,0)), "-")</f>
        <v>-</v>
      </c>
      <c r="S2154" s="483" t="str">
        <f>IFERROR(INDEX([1]Produtos!$J:$J,MATCH(L2154,[1]Produtos!$B:$B,0)), "-")</f>
        <v>-</v>
      </c>
      <c r="T2154" s="484"/>
      <c r="U2154" s="483"/>
      <c r="V2154" s="483"/>
      <c r="W2154" s="483"/>
      <c r="X2154" s="483"/>
      <c r="Y2154" s="483"/>
      <c r="Z2154" s="483"/>
      <c r="AA2154" s="483"/>
      <c r="AB2154" s="483"/>
      <c r="AC2154" s="483"/>
      <c r="AD2154" s="483"/>
      <c r="AE2154" s="483"/>
      <c r="AF2154" s="483"/>
      <c r="AG2154" s="483"/>
      <c r="AH2154" s="483"/>
      <c r="AI2154" s="483"/>
      <c r="AJ2154" s="483"/>
      <c r="AK2154" s="483"/>
      <c r="AL2154" s="483"/>
      <c r="AM2154" s="670"/>
      <c r="AN2154" s="670"/>
      <c r="AO2154" s="711" t="str">
        <f>IF(OR(Table1[[#This Row],[Início Setup Envase]]="",Table1[[#This Row],[Final Setup Envase]]=""),"",Table1[[#This Row],[Final Setup Envase]]-Table1[[#This Row],[Início Setup Envase]])</f>
        <v/>
      </c>
      <c r="AP2154" s="670"/>
      <c r="AQ2154" s="670"/>
      <c r="AR2154" s="483"/>
      <c r="AS2154" s="483"/>
      <c r="AT2154" s="483"/>
      <c r="AU2154" s="483"/>
      <c r="AV2154" s="483"/>
      <c r="AW2154" s="483"/>
      <c r="AX2154" s="483"/>
      <c r="AY2154" s="270"/>
      <c r="AZ2154" s="270"/>
      <c r="BA2154" s="270" t="str">
        <f>IF(Table1[[#This Row],[Data de Início]]="","",YEAR(Table1[[#This Row],[Data de Início]]))</f>
        <v/>
      </c>
      <c r="BB2154" s="270" t="str">
        <f>IF(Table1[[#This Row],[Data de Início]]="","",MONTH(Table1[[#This Row],[Data de Início]]))</f>
        <v/>
      </c>
      <c r="BC2154" s="270"/>
    </row>
    <row r="2155" spans="2:55" x14ac:dyDescent="0.25">
      <c r="B2155" s="470"/>
      <c r="C2155" s="263"/>
      <c r="D2155" s="477" cm="1">
        <f t="array" ref="D2155">IFERROR(HorasUteisFabrica2Turnos(B2155,C2155), "")</f>
        <v>0</v>
      </c>
      <c r="E2155" s="697" t="str">
        <f t="shared" si="34"/>
        <v/>
      </c>
      <c r="F2155" s="266"/>
      <c r="G2155" s="698"/>
      <c r="H2155" s="266"/>
      <c r="I2155" s="268"/>
      <c r="J2155" s="268"/>
      <c r="K2155" s="268"/>
      <c r="L2155" s="269"/>
      <c r="M2155" s="510" t="str">
        <f>IFERROR(INDEX([1]Produtos!$C:$C,MATCH(L2155,[1]Produtos!$B:$B,0)), "-")</f>
        <v>-</v>
      </c>
      <c r="N2155" s="510" t="str">
        <f>IFERROR(INDEX([1]Produtos!$E:$E,MATCH(L2155,[1]Produtos!$B:$B,0)), "-")</f>
        <v>-</v>
      </c>
      <c r="O2155" s="270" t="str">
        <f>IFERROR(INDEX([1]Produtos!$F:$F,MATCH(L2155,[1]Produtos!$B:$B,0)), "-")</f>
        <v>-</v>
      </c>
      <c r="P2155" s="264" t="str">
        <f>IFERROR(INDEX([1]Produtos!$G:$G,MATCH(L2155,[1]Produtos!$B:$B,0)), "-")</f>
        <v>-</v>
      </c>
      <c r="Q2155" s="270" t="str">
        <f>IFERROR(INDEX([1]Produtos!$H:$H,MATCH(L2155,[1]Produtos!$B:$B,0)), "-")</f>
        <v>-</v>
      </c>
      <c r="R2155" s="270" t="str">
        <f>IFERROR(INDEX([1]Produtos!$I:$I,MATCH(L2155,[1]Produtos!$B:$B,0)), "-")</f>
        <v>-</v>
      </c>
      <c r="S2155" s="270" t="str">
        <f>IFERROR(INDEX([1]Produtos!$J:$J,MATCH(L2155,[1]Produtos!$B:$B,0)), "-")</f>
        <v>-</v>
      </c>
      <c r="T2155" s="475"/>
      <c r="U2155" s="270"/>
      <c r="V2155" s="270"/>
      <c r="W2155" s="270"/>
      <c r="X2155" s="270"/>
      <c r="Y2155" s="270"/>
      <c r="Z2155" s="270"/>
      <c r="AA2155" s="270"/>
      <c r="AB2155" s="270"/>
      <c r="AC2155" s="270"/>
      <c r="AD2155" s="270"/>
      <c r="AE2155" s="270"/>
      <c r="AF2155" s="270"/>
      <c r="AG2155" s="270"/>
      <c r="AH2155" s="270"/>
      <c r="AI2155" s="270"/>
      <c r="AJ2155" s="270"/>
      <c r="AK2155" s="270"/>
      <c r="AL2155" s="270"/>
      <c r="AM2155" s="663"/>
      <c r="AN2155" s="663"/>
      <c r="AO2155" s="708" t="str">
        <f>IF(OR(Table1[[#This Row],[Início Setup Envase]]="",Table1[[#This Row],[Final Setup Envase]]=""),"",Table1[[#This Row],[Final Setup Envase]]-Table1[[#This Row],[Início Setup Envase]])</f>
        <v/>
      </c>
      <c r="AP2155" s="663"/>
      <c r="AQ2155" s="663"/>
      <c r="AR2155" s="270"/>
      <c r="AS2155" s="674"/>
      <c r="AT2155" s="674"/>
      <c r="AU2155" s="270"/>
      <c r="AV2155" s="270"/>
      <c r="AW2155" s="270"/>
      <c r="AX2155" s="270"/>
      <c r="AY2155" s="270"/>
      <c r="AZ2155" s="270"/>
      <c r="BA2155" s="270" t="str">
        <f>IF(Table1[[#This Row],[Data de Início]]="","",YEAR(Table1[[#This Row],[Data de Início]]))</f>
        <v/>
      </c>
      <c r="BB2155" s="270" t="str">
        <f>IF(Table1[[#This Row],[Data de Início]]="","",MONTH(Table1[[#This Row],[Data de Início]]))</f>
        <v/>
      </c>
      <c r="BC2155" s="483"/>
    </row>
    <row r="2156" spans="2:55" x14ac:dyDescent="0.25">
      <c r="B2156" s="470"/>
      <c r="C2156" s="263"/>
      <c r="D2156" s="477" cm="1">
        <f t="array" ref="D2156">IFERROR(HorasUteisFabrica2Turnos(B2156,C2156), "")</f>
        <v>0</v>
      </c>
      <c r="E2156" s="478" t="str">
        <f t="shared" si="34"/>
        <v/>
      </c>
      <c r="F2156" s="266"/>
      <c r="G2156" s="656"/>
      <c r="H2156" s="479"/>
      <c r="I2156" s="268"/>
      <c r="J2156" s="268"/>
      <c r="K2156" s="268"/>
      <c r="L2156" s="269"/>
      <c r="M2156" s="511" t="str">
        <f>IFERROR(INDEX([1]Produtos!$C:$C,MATCH(L2156,[1]Produtos!$B:$B,0)), "-")</f>
        <v>-</v>
      </c>
      <c r="N2156" s="511" t="str">
        <f>IFERROR(INDEX([1]Produtos!$E:$E,MATCH(L2156,[1]Produtos!$B:$B,0)), "-")</f>
        <v>-</v>
      </c>
      <c r="O2156" s="483" t="str">
        <f>IFERROR(INDEX([1]Produtos!$F:$F,MATCH(L2156,[1]Produtos!$B:$B,0)), "-")</f>
        <v>-</v>
      </c>
      <c r="P2156" s="477" t="str">
        <f>IFERROR(INDEX([1]Produtos!$G:$G,MATCH(L2156,[1]Produtos!$B:$B,0)), "-")</f>
        <v>-</v>
      </c>
      <c r="Q2156" s="483" t="str">
        <f>IFERROR(INDEX([1]Produtos!$H:$H,MATCH(L2156,[1]Produtos!$B:$B,0)), "-")</f>
        <v>-</v>
      </c>
      <c r="R2156" s="483" t="str">
        <f>IFERROR(INDEX([1]Produtos!$I:$I,MATCH(L2156,[1]Produtos!$B:$B,0)), "-")</f>
        <v>-</v>
      </c>
      <c r="S2156" s="483" t="str">
        <f>IFERROR(INDEX([1]Produtos!$J:$J,MATCH(L2156,[1]Produtos!$B:$B,0)), "-")</f>
        <v>-</v>
      </c>
      <c r="T2156" s="484"/>
      <c r="U2156" s="483"/>
      <c r="V2156" s="483"/>
      <c r="W2156" s="483"/>
      <c r="X2156" s="483"/>
      <c r="Y2156" s="483"/>
      <c r="Z2156" s="483"/>
      <c r="AA2156" s="483"/>
      <c r="AB2156" s="483"/>
      <c r="AC2156" s="483"/>
      <c r="AD2156" s="483"/>
      <c r="AE2156" s="483"/>
      <c r="AF2156" s="483"/>
      <c r="AG2156" s="483"/>
      <c r="AH2156" s="483"/>
      <c r="AI2156" s="483"/>
      <c r="AJ2156" s="483"/>
      <c r="AK2156" s="483"/>
      <c r="AL2156" s="483"/>
      <c r="AM2156" s="670"/>
      <c r="AN2156" s="670"/>
      <c r="AO2156" s="711" t="str">
        <f>IF(OR(Table1[[#This Row],[Início Setup Envase]]="",Table1[[#This Row],[Final Setup Envase]]=""),"",Table1[[#This Row],[Final Setup Envase]]-Table1[[#This Row],[Início Setup Envase]])</f>
        <v/>
      </c>
      <c r="AP2156" s="670"/>
      <c r="AQ2156" s="670"/>
      <c r="AR2156" s="483"/>
      <c r="AS2156" s="483"/>
      <c r="AT2156" s="483"/>
      <c r="AU2156" s="483"/>
      <c r="AV2156" s="483"/>
      <c r="AW2156" s="483"/>
      <c r="AX2156" s="483"/>
      <c r="AY2156" s="270"/>
      <c r="AZ2156" s="270"/>
      <c r="BA2156" s="270" t="str">
        <f>IF(Table1[[#This Row],[Data de Início]]="","",YEAR(Table1[[#This Row],[Data de Início]]))</f>
        <v/>
      </c>
      <c r="BB2156" s="270" t="str">
        <f>IF(Table1[[#This Row],[Data de Início]]="","",MONTH(Table1[[#This Row],[Data de Início]]))</f>
        <v/>
      </c>
      <c r="BC2156" s="270"/>
    </row>
    <row r="2157" spans="2:55" x14ac:dyDescent="0.25">
      <c r="B2157" s="470"/>
      <c r="C2157" s="263"/>
      <c r="D2157" s="477" cm="1">
        <f t="array" ref="D2157">IFERROR(HorasUteisFabrica2Turnos(B2157,C2157), "")</f>
        <v>0</v>
      </c>
      <c r="E2157" s="697" t="str">
        <f t="shared" si="34"/>
        <v/>
      </c>
      <c r="F2157" s="266"/>
      <c r="G2157" s="698"/>
      <c r="H2157" s="266"/>
      <c r="I2157" s="268"/>
      <c r="J2157" s="268"/>
      <c r="K2157" s="268"/>
      <c r="L2157" s="269"/>
      <c r="M2157" s="510" t="str">
        <f>IFERROR(INDEX([1]Produtos!$C:$C,MATCH(L2157,[1]Produtos!$B:$B,0)), "-")</f>
        <v>-</v>
      </c>
      <c r="N2157" s="510" t="str">
        <f>IFERROR(INDEX([1]Produtos!$E:$E,MATCH(L2157,[1]Produtos!$B:$B,0)), "-")</f>
        <v>-</v>
      </c>
      <c r="O2157" s="270" t="str">
        <f>IFERROR(INDEX([1]Produtos!$F:$F,MATCH(L2157,[1]Produtos!$B:$B,0)), "-")</f>
        <v>-</v>
      </c>
      <c r="P2157" s="264" t="str">
        <f>IFERROR(INDEX([1]Produtos!$G:$G,MATCH(L2157,[1]Produtos!$B:$B,0)), "-")</f>
        <v>-</v>
      </c>
      <c r="Q2157" s="270" t="str">
        <f>IFERROR(INDEX([1]Produtos!$H:$H,MATCH(L2157,[1]Produtos!$B:$B,0)), "-")</f>
        <v>-</v>
      </c>
      <c r="R2157" s="270" t="str">
        <f>IFERROR(INDEX([1]Produtos!$I:$I,MATCH(L2157,[1]Produtos!$B:$B,0)), "-")</f>
        <v>-</v>
      </c>
      <c r="S2157" s="270" t="str">
        <f>IFERROR(INDEX([1]Produtos!$J:$J,MATCH(L2157,[1]Produtos!$B:$B,0)), "-")</f>
        <v>-</v>
      </c>
      <c r="T2157" s="475"/>
      <c r="U2157" s="270"/>
      <c r="V2157" s="270"/>
      <c r="W2157" s="270"/>
      <c r="X2157" s="270"/>
      <c r="Y2157" s="270"/>
      <c r="Z2157" s="270"/>
      <c r="AA2157" s="270"/>
      <c r="AB2157" s="270"/>
      <c r="AC2157" s="270"/>
      <c r="AD2157" s="270"/>
      <c r="AE2157" s="270"/>
      <c r="AF2157" s="270"/>
      <c r="AG2157" s="270"/>
      <c r="AH2157" s="270"/>
      <c r="AI2157" s="270"/>
      <c r="AJ2157" s="270"/>
      <c r="AK2157" s="270"/>
      <c r="AL2157" s="270"/>
      <c r="AM2157" s="663"/>
      <c r="AN2157" s="663"/>
      <c r="AO2157" s="708" t="str">
        <f>IF(OR(Table1[[#This Row],[Início Setup Envase]]="",Table1[[#This Row],[Final Setup Envase]]=""),"",Table1[[#This Row],[Final Setup Envase]]-Table1[[#This Row],[Início Setup Envase]])</f>
        <v/>
      </c>
      <c r="AP2157" s="663"/>
      <c r="AQ2157" s="663"/>
      <c r="AR2157" s="270"/>
      <c r="AS2157" s="674"/>
      <c r="AT2157" s="674"/>
      <c r="AU2157" s="270"/>
      <c r="AV2157" s="270"/>
      <c r="AW2157" s="270"/>
      <c r="AX2157" s="270"/>
      <c r="AY2157" s="270"/>
      <c r="AZ2157" s="270"/>
      <c r="BA2157" s="270" t="str">
        <f>IF(Table1[[#This Row],[Data de Início]]="","",YEAR(Table1[[#This Row],[Data de Início]]))</f>
        <v/>
      </c>
      <c r="BB2157" s="270" t="str">
        <f>IF(Table1[[#This Row],[Data de Início]]="","",MONTH(Table1[[#This Row],[Data de Início]]))</f>
        <v/>
      </c>
      <c r="BC2157" s="483"/>
    </row>
    <row r="2158" spans="2:55" x14ac:dyDescent="0.25">
      <c r="B2158" s="470"/>
      <c r="C2158" s="263"/>
      <c r="D2158" s="477" cm="1">
        <f t="array" ref="D2158">IFERROR(HorasUteisFabrica2Turnos(B2158,C2158), "")</f>
        <v>0</v>
      </c>
      <c r="E2158" s="478" t="str">
        <f t="shared" si="34"/>
        <v/>
      </c>
      <c r="F2158" s="266"/>
      <c r="G2158" s="656"/>
      <c r="H2158" s="479"/>
      <c r="I2158" s="268"/>
      <c r="J2158" s="268"/>
      <c r="K2158" s="268"/>
      <c r="L2158" s="269"/>
      <c r="M2158" s="511" t="str">
        <f>IFERROR(INDEX([1]Produtos!$C:$C,MATCH(L2158,[1]Produtos!$B:$B,0)), "-")</f>
        <v>-</v>
      </c>
      <c r="N2158" s="511" t="str">
        <f>IFERROR(INDEX([1]Produtos!$E:$E,MATCH(L2158,[1]Produtos!$B:$B,0)), "-")</f>
        <v>-</v>
      </c>
      <c r="O2158" s="483" t="str">
        <f>IFERROR(INDEX([1]Produtos!$F:$F,MATCH(L2158,[1]Produtos!$B:$B,0)), "-")</f>
        <v>-</v>
      </c>
      <c r="P2158" s="477" t="str">
        <f>IFERROR(INDEX([1]Produtos!$G:$G,MATCH(L2158,[1]Produtos!$B:$B,0)), "-")</f>
        <v>-</v>
      </c>
      <c r="Q2158" s="483" t="str">
        <f>IFERROR(INDEX([1]Produtos!$H:$H,MATCH(L2158,[1]Produtos!$B:$B,0)), "-")</f>
        <v>-</v>
      </c>
      <c r="R2158" s="483" t="str">
        <f>IFERROR(INDEX([1]Produtos!$I:$I,MATCH(L2158,[1]Produtos!$B:$B,0)), "-")</f>
        <v>-</v>
      </c>
      <c r="S2158" s="483" t="str">
        <f>IFERROR(INDEX([1]Produtos!$J:$J,MATCH(L2158,[1]Produtos!$B:$B,0)), "-")</f>
        <v>-</v>
      </c>
      <c r="T2158" s="484"/>
      <c r="U2158" s="483"/>
      <c r="V2158" s="483"/>
      <c r="W2158" s="483"/>
      <c r="X2158" s="483"/>
      <c r="Y2158" s="483"/>
      <c r="Z2158" s="483"/>
      <c r="AA2158" s="483"/>
      <c r="AB2158" s="483"/>
      <c r="AC2158" s="483"/>
      <c r="AD2158" s="483"/>
      <c r="AE2158" s="483"/>
      <c r="AF2158" s="483"/>
      <c r="AG2158" s="483"/>
      <c r="AH2158" s="483"/>
      <c r="AI2158" s="483"/>
      <c r="AJ2158" s="483"/>
      <c r="AK2158" s="483"/>
      <c r="AL2158" s="483"/>
      <c r="AM2158" s="670"/>
      <c r="AN2158" s="670"/>
      <c r="AO2158" s="711" t="str">
        <f>IF(OR(Table1[[#This Row],[Início Setup Envase]]="",Table1[[#This Row],[Final Setup Envase]]=""),"",Table1[[#This Row],[Final Setup Envase]]-Table1[[#This Row],[Início Setup Envase]])</f>
        <v/>
      </c>
      <c r="AP2158" s="670"/>
      <c r="AQ2158" s="670"/>
      <c r="AR2158" s="483"/>
      <c r="AS2158" s="483"/>
      <c r="AT2158" s="483"/>
      <c r="AU2158" s="483"/>
      <c r="AV2158" s="483"/>
      <c r="AW2158" s="483"/>
      <c r="AX2158" s="483"/>
      <c r="AY2158" s="270"/>
      <c r="AZ2158" s="270"/>
      <c r="BA2158" s="270" t="str">
        <f>IF(Table1[[#This Row],[Data de Início]]="","",YEAR(Table1[[#This Row],[Data de Início]]))</f>
        <v/>
      </c>
      <c r="BB2158" s="270" t="str">
        <f>IF(Table1[[#This Row],[Data de Início]]="","",MONTH(Table1[[#This Row],[Data de Início]]))</f>
        <v/>
      </c>
      <c r="BC2158" s="270"/>
    </row>
    <row r="2159" spans="2:55" x14ac:dyDescent="0.25">
      <c r="B2159" s="470"/>
      <c r="C2159" s="263"/>
      <c r="D2159" s="477" cm="1">
        <f t="array" ref="D2159">IFERROR(HorasUteisFabrica2Turnos(B2159,C2159), "")</f>
        <v>0</v>
      </c>
      <c r="E2159" s="697" t="str">
        <f t="shared" si="34"/>
        <v/>
      </c>
      <c r="F2159" s="266"/>
      <c r="G2159" s="698"/>
      <c r="H2159" s="266"/>
      <c r="I2159" s="268"/>
      <c r="J2159" s="268"/>
      <c r="K2159" s="268"/>
      <c r="L2159" s="269"/>
      <c r="M2159" s="510" t="str">
        <f>IFERROR(INDEX([1]Produtos!$C:$C,MATCH(L2159,[1]Produtos!$B:$B,0)), "-")</f>
        <v>-</v>
      </c>
      <c r="N2159" s="510" t="str">
        <f>IFERROR(INDEX([1]Produtos!$E:$E,MATCH(L2159,[1]Produtos!$B:$B,0)), "-")</f>
        <v>-</v>
      </c>
      <c r="O2159" s="270" t="str">
        <f>IFERROR(INDEX([1]Produtos!$F:$F,MATCH(L2159,[1]Produtos!$B:$B,0)), "-")</f>
        <v>-</v>
      </c>
      <c r="P2159" s="264" t="str">
        <f>IFERROR(INDEX([1]Produtos!$G:$G,MATCH(L2159,[1]Produtos!$B:$B,0)), "-")</f>
        <v>-</v>
      </c>
      <c r="Q2159" s="270" t="str">
        <f>IFERROR(INDEX([1]Produtos!$H:$H,MATCH(L2159,[1]Produtos!$B:$B,0)), "-")</f>
        <v>-</v>
      </c>
      <c r="R2159" s="270" t="str">
        <f>IFERROR(INDEX([1]Produtos!$I:$I,MATCH(L2159,[1]Produtos!$B:$B,0)), "-")</f>
        <v>-</v>
      </c>
      <c r="S2159" s="270" t="str">
        <f>IFERROR(INDEX([1]Produtos!$J:$J,MATCH(L2159,[1]Produtos!$B:$B,0)), "-")</f>
        <v>-</v>
      </c>
      <c r="T2159" s="475"/>
      <c r="U2159" s="270"/>
      <c r="V2159" s="270"/>
      <c r="W2159" s="270"/>
      <c r="X2159" s="270"/>
      <c r="Y2159" s="270"/>
      <c r="Z2159" s="270"/>
      <c r="AA2159" s="270"/>
      <c r="AB2159" s="270"/>
      <c r="AC2159" s="270"/>
      <c r="AD2159" s="270"/>
      <c r="AE2159" s="270"/>
      <c r="AF2159" s="270"/>
      <c r="AG2159" s="270"/>
      <c r="AH2159" s="270"/>
      <c r="AI2159" s="270"/>
      <c r="AJ2159" s="270"/>
      <c r="AK2159" s="270"/>
      <c r="AL2159" s="270"/>
      <c r="AM2159" s="663"/>
      <c r="AN2159" s="663"/>
      <c r="AO2159" s="708" t="str">
        <f>IF(OR(Table1[[#This Row],[Início Setup Envase]]="",Table1[[#This Row],[Final Setup Envase]]=""),"",Table1[[#This Row],[Final Setup Envase]]-Table1[[#This Row],[Início Setup Envase]])</f>
        <v/>
      </c>
      <c r="AP2159" s="663"/>
      <c r="AQ2159" s="663"/>
      <c r="AR2159" s="270"/>
      <c r="AS2159" s="674"/>
      <c r="AT2159" s="674"/>
      <c r="AU2159" s="270"/>
      <c r="AV2159" s="270"/>
      <c r="AW2159" s="270"/>
      <c r="AX2159" s="270"/>
      <c r="AY2159" s="270"/>
      <c r="AZ2159" s="270"/>
      <c r="BA2159" s="270" t="str">
        <f>IF(Table1[[#This Row],[Data de Início]]="","",YEAR(Table1[[#This Row],[Data de Início]]))</f>
        <v/>
      </c>
      <c r="BB2159" s="270" t="str">
        <f>IF(Table1[[#This Row],[Data de Início]]="","",MONTH(Table1[[#This Row],[Data de Início]]))</f>
        <v/>
      </c>
      <c r="BC2159" s="483"/>
    </row>
    <row r="2160" spans="2:55" x14ac:dyDescent="0.25">
      <c r="B2160" s="470"/>
      <c r="C2160" s="263"/>
      <c r="D2160" s="477" cm="1">
        <f t="array" ref="D2160">IFERROR(HorasUteisFabrica2Turnos(B2160,C2160), "")</f>
        <v>0</v>
      </c>
      <c r="E2160" s="478" t="str">
        <f t="shared" si="34"/>
        <v/>
      </c>
      <c r="F2160" s="266"/>
      <c r="G2160" s="656"/>
      <c r="H2160" s="479"/>
      <c r="I2160" s="268"/>
      <c r="J2160" s="268"/>
      <c r="K2160" s="268"/>
      <c r="L2160" s="269"/>
      <c r="M2160" s="511" t="str">
        <f>IFERROR(INDEX([1]Produtos!$C:$C,MATCH(L2160,[1]Produtos!$B:$B,0)), "-")</f>
        <v>-</v>
      </c>
      <c r="N2160" s="511" t="str">
        <f>IFERROR(INDEX([1]Produtos!$E:$E,MATCH(L2160,[1]Produtos!$B:$B,0)), "-")</f>
        <v>-</v>
      </c>
      <c r="O2160" s="483" t="str">
        <f>IFERROR(INDEX([1]Produtos!$F:$F,MATCH(L2160,[1]Produtos!$B:$B,0)), "-")</f>
        <v>-</v>
      </c>
      <c r="P2160" s="477" t="str">
        <f>IFERROR(INDEX([1]Produtos!$G:$G,MATCH(L2160,[1]Produtos!$B:$B,0)), "-")</f>
        <v>-</v>
      </c>
      <c r="Q2160" s="483" t="str">
        <f>IFERROR(INDEX([1]Produtos!$H:$H,MATCH(L2160,[1]Produtos!$B:$B,0)), "-")</f>
        <v>-</v>
      </c>
      <c r="R2160" s="483" t="str">
        <f>IFERROR(INDEX([1]Produtos!$I:$I,MATCH(L2160,[1]Produtos!$B:$B,0)), "-")</f>
        <v>-</v>
      </c>
      <c r="S2160" s="483" t="str">
        <f>IFERROR(INDEX([1]Produtos!$J:$J,MATCH(L2160,[1]Produtos!$B:$B,0)), "-")</f>
        <v>-</v>
      </c>
      <c r="T2160" s="484"/>
      <c r="U2160" s="483"/>
      <c r="V2160" s="483"/>
      <c r="W2160" s="483"/>
      <c r="X2160" s="483"/>
      <c r="Y2160" s="483"/>
      <c r="Z2160" s="483"/>
      <c r="AA2160" s="483"/>
      <c r="AB2160" s="483"/>
      <c r="AC2160" s="483"/>
      <c r="AD2160" s="483"/>
      <c r="AE2160" s="483"/>
      <c r="AF2160" s="483"/>
      <c r="AG2160" s="483"/>
      <c r="AH2160" s="483"/>
      <c r="AI2160" s="483"/>
      <c r="AJ2160" s="483"/>
      <c r="AK2160" s="483"/>
      <c r="AL2160" s="483"/>
      <c r="AM2160" s="670"/>
      <c r="AN2160" s="670"/>
      <c r="AO2160" s="711" t="str">
        <f>IF(OR(Table1[[#This Row],[Início Setup Envase]]="",Table1[[#This Row],[Final Setup Envase]]=""),"",Table1[[#This Row],[Final Setup Envase]]-Table1[[#This Row],[Início Setup Envase]])</f>
        <v/>
      </c>
      <c r="AP2160" s="670"/>
      <c r="AQ2160" s="670"/>
      <c r="AR2160" s="483"/>
      <c r="AS2160" s="483"/>
      <c r="AT2160" s="483"/>
      <c r="AU2160" s="483"/>
      <c r="AV2160" s="483"/>
      <c r="AW2160" s="483"/>
      <c r="AX2160" s="483"/>
      <c r="AY2160" s="270"/>
      <c r="AZ2160" s="270"/>
      <c r="BA2160" s="270" t="str">
        <f>IF(Table1[[#This Row],[Data de Início]]="","",YEAR(Table1[[#This Row],[Data de Início]]))</f>
        <v/>
      </c>
      <c r="BB2160" s="270" t="str">
        <f>IF(Table1[[#This Row],[Data de Início]]="","",MONTH(Table1[[#This Row],[Data de Início]]))</f>
        <v/>
      </c>
      <c r="BC2160" s="270"/>
    </row>
    <row r="2161" spans="2:55" x14ac:dyDescent="0.25">
      <c r="B2161" s="470"/>
      <c r="C2161" s="263"/>
      <c r="D2161" s="477" cm="1">
        <f t="array" ref="D2161">IFERROR(HorasUteisFabrica2Turnos(B2161,C2161), "")</f>
        <v>0</v>
      </c>
      <c r="E2161" s="697" t="str">
        <f t="shared" si="34"/>
        <v/>
      </c>
      <c r="F2161" s="266"/>
      <c r="G2161" s="698"/>
      <c r="H2161" s="266"/>
      <c r="I2161" s="268"/>
      <c r="J2161" s="268"/>
      <c r="K2161" s="268"/>
      <c r="L2161" s="269"/>
      <c r="M2161" s="510" t="str">
        <f>IFERROR(INDEX([1]Produtos!$C:$C,MATCH(L2161,[1]Produtos!$B:$B,0)), "-")</f>
        <v>-</v>
      </c>
      <c r="N2161" s="510" t="str">
        <f>IFERROR(INDEX([1]Produtos!$E:$E,MATCH(L2161,[1]Produtos!$B:$B,0)), "-")</f>
        <v>-</v>
      </c>
      <c r="O2161" s="270" t="str">
        <f>IFERROR(INDEX([1]Produtos!$F:$F,MATCH(L2161,[1]Produtos!$B:$B,0)), "-")</f>
        <v>-</v>
      </c>
      <c r="P2161" s="264" t="str">
        <f>IFERROR(INDEX([1]Produtos!$G:$G,MATCH(L2161,[1]Produtos!$B:$B,0)), "-")</f>
        <v>-</v>
      </c>
      <c r="Q2161" s="270" t="str">
        <f>IFERROR(INDEX([1]Produtos!$H:$H,MATCH(L2161,[1]Produtos!$B:$B,0)), "-")</f>
        <v>-</v>
      </c>
      <c r="R2161" s="270" t="str">
        <f>IFERROR(INDEX([1]Produtos!$I:$I,MATCH(L2161,[1]Produtos!$B:$B,0)), "-")</f>
        <v>-</v>
      </c>
      <c r="S2161" s="270" t="str">
        <f>IFERROR(INDEX([1]Produtos!$J:$J,MATCH(L2161,[1]Produtos!$B:$B,0)), "-")</f>
        <v>-</v>
      </c>
      <c r="T2161" s="475"/>
      <c r="U2161" s="270"/>
      <c r="V2161" s="270"/>
      <c r="W2161" s="270"/>
      <c r="X2161" s="270"/>
      <c r="Y2161" s="270"/>
      <c r="Z2161" s="270"/>
      <c r="AA2161" s="270"/>
      <c r="AB2161" s="270"/>
      <c r="AC2161" s="270"/>
      <c r="AD2161" s="270"/>
      <c r="AE2161" s="270"/>
      <c r="AF2161" s="270"/>
      <c r="AG2161" s="270"/>
      <c r="AH2161" s="270"/>
      <c r="AI2161" s="270"/>
      <c r="AJ2161" s="270"/>
      <c r="AK2161" s="270"/>
      <c r="AL2161" s="270"/>
      <c r="AM2161" s="663"/>
      <c r="AN2161" s="663"/>
      <c r="AO2161" s="708" t="str">
        <f>IF(OR(Table1[[#This Row],[Início Setup Envase]]="",Table1[[#This Row],[Final Setup Envase]]=""),"",Table1[[#This Row],[Final Setup Envase]]-Table1[[#This Row],[Início Setup Envase]])</f>
        <v/>
      </c>
      <c r="AP2161" s="663"/>
      <c r="AQ2161" s="663"/>
      <c r="AR2161" s="270"/>
      <c r="AS2161" s="674"/>
      <c r="AT2161" s="674"/>
      <c r="AU2161" s="270"/>
      <c r="AV2161" s="270"/>
      <c r="AW2161" s="270"/>
      <c r="AX2161" s="270"/>
      <c r="AY2161" s="270"/>
      <c r="AZ2161" s="270"/>
      <c r="BA2161" s="270" t="str">
        <f>IF(Table1[[#This Row],[Data de Início]]="","",YEAR(Table1[[#This Row],[Data de Início]]))</f>
        <v/>
      </c>
      <c r="BB2161" s="270" t="str">
        <f>IF(Table1[[#This Row],[Data de Início]]="","",MONTH(Table1[[#This Row],[Data de Início]]))</f>
        <v/>
      </c>
      <c r="BC2161" s="483"/>
    </row>
    <row r="2162" spans="2:55" x14ac:dyDescent="0.25">
      <c r="B2162" s="470"/>
      <c r="C2162" s="263"/>
      <c r="D2162" s="477" cm="1">
        <f t="array" ref="D2162">IFERROR(HorasUteisFabrica2Turnos(B2162,C2162), "")</f>
        <v>0</v>
      </c>
      <c r="E2162" s="478" t="str">
        <f t="shared" si="34"/>
        <v/>
      </c>
      <c r="F2162" s="266"/>
      <c r="G2162" s="656"/>
      <c r="H2162" s="479"/>
      <c r="I2162" s="268"/>
      <c r="J2162" s="268"/>
      <c r="K2162" s="268"/>
      <c r="L2162" s="269"/>
      <c r="M2162" s="511" t="str">
        <f>IFERROR(INDEX([1]Produtos!$C:$C,MATCH(L2162,[1]Produtos!$B:$B,0)), "-")</f>
        <v>-</v>
      </c>
      <c r="N2162" s="511" t="str">
        <f>IFERROR(INDEX([1]Produtos!$E:$E,MATCH(L2162,[1]Produtos!$B:$B,0)), "-")</f>
        <v>-</v>
      </c>
      <c r="O2162" s="483" t="str">
        <f>IFERROR(INDEX([1]Produtos!$F:$F,MATCH(L2162,[1]Produtos!$B:$B,0)), "-")</f>
        <v>-</v>
      </c>
      <c r="P2162" s="477" t="str">
        <f>IFERROR(INDEX([1]Produtos!$G:$G,MATCH(L2162,[1]Produtos!$B:$B,0)), "-")</f>
        <v>-</v>
      </c>
      <c r="Q2162" s="483" t="str">
        <f>IFERROR(INDEX([1]Produtos!$H:$H,MATCH(L2162,[1]Produtos!$B:$B,0)), "-")</f>
        <v>-</v>
      </c>
      <c r="R2162" s="483" t="str">
        <f>IFERROR(INDEX([1]Produtos!$I:$I,MATCH(L2162,[1]Produtos!$B:$B,0)), "-")</f>
        <v>-</v>
      </c>
      <c r="S2162" s="483" t="str">
        <f>IFERROR(INDEX([1]Produtos!$J:$J,MATCH(L2162,[1]Produtos!$B:$B,0)), "-")</f>
        <v>-</v>
      </c>
      <c r="T2162" s="484"/>
      <c r="U2162" s="483"/>
      <c r="V2162" s="483"/>
      <c r="W2162" s="483"/>
      <c r="X2162" s="483"/>
      <c r="Y2162" s="483"/>
      <c r="Z2162" s="483"/>
      <c r="AA2162" s="483"/>
      <c r="AB2162" s="483"/>
      <c r="AC2162" s="483"/>
      <c r="AD2162" s="483"/>
      <c r="AE2162" s="483"/>
      <c r="AF2162" s="483"/>
      <c r="AG2162" s="483"/>
      <c r="AH2162" s="483"/>
      <c r="AI2162" s="483"/>
      <c r="AJ2162" s="483"/>
      <c r="AK2162" s="483"/>
      <c r="AL2162" s="483"/>
      <c r="AM2162" s="670"/>
      <c r="AN2162" s="670"/>
      <c r="AO2162" s="711" t="str">
        <f>IF(OR(Table1[[#This Row],[Início Setup Envase]]="",Table1[[#This Row],[Final Setup Envase]]=""),"",Table1[[#This Row],[Final Setup Envase]]-Table1[[#This Row],[Início Setup Envase]])</f>
        <v/>
      </c>
      <c r="AP2162" s="670"/>
      <c r="AQ2162" s="670"/>
      <c r="AR2162" s="483"/>
      <c r="AS2162" s="483"/>
      <c r="AT2162" s="483"/>
      <c r="AU2162" s="483"/>
      <c r="AV2162" s="483"/>
      <c r="AW2162" s="483"/>
      <c r="AX2162" s="483"/>
      <c r="AY2162" s="270"/>
      <c r="AZ2162" s="270"/>
      <c r="BA2162" s="270" t="str">
        <f>IF(Table1[[#This Row],[Data de Início]]="","",YEAR(Table1[[#This Row],[Data de Início]]))</f>
        <v/>
      </c>
      <c r="BB2162" s="270" t="str">
        <f>IF(Table1[[#This Row],[Data de Início]]="","",MONTH(Table1[[#This Row],[Data de Início]]))</f>
        <v/>
      </c>
      <c r="BC2162" s="270"/>
    </row>
    <row r="2163" spans="2:55" x14ac:dyDescent="0.25">
      <c r="B2163" s="470"/>
      <c r="C2163" s="263"/>
      <c r="D2163" s="477" cm="1">
        <f t="array" ref="D2163">IFERROR(HorasUteisFabrica2Turnos(B2163,C2163), "")</f>
        <v>0</v>
      </c>
      <c r="E2163" s="697" t="str">
        <f t="shared" si="34"/>
        <v/>
      </c>
      <c r="F2163" s="266"/>
      <c r="G2163" s="698"/>
      <c r="H2163" s="266"/>
      <c r="I2163" s="268"/>
      <c r="J2163" s="268"/>
      <c r="K2163" s="268"/>
      <c r="L2163" s="269"/>
      <c r="M2163" s="510" t="str">
        <f>IFERROR(INDEX([1]Produtos!$C:$C,MATCH(L2163,[1]Produtos!$B:$B,0)), "-")</f>
        <v>-</v>
      </c>
      <c r="N2163" s="510" t="str">
        <f>IFERROR(INDEX([1]Produtos!$E:$E,MATCH(L2163,[1]Produtos!$B:$B,0)), "-")</f>
        <v>-</v>
      </c>
      <c r="O2163" s="270" t="str">
        <f>IFERROR(INDEX([1]Produtos!$F:$F,MATCH(L2163,[1]Produtos!$B:$B,0)), "-")</f>
        <v>-</v>
      </c>
      <c r="P2163" s="264" t="str">
        <f>IFERROR(INDEX([1]Produtos!$G:$G,MATCH(L2163,[1]Produtos!$B:$B,0)), "-")</f>
        <v>-</v>
      </c>
      <c r="Q2163" s="270" t="str">
        <f>IFERROR(INDEX([1]Produtos!$H:$H,MATCH(L2163,[1]Produtos!$B:$B,0)), "-")</f>
        <v>-</v>
      </c>
      <c r="R2163" s="270" t="str">
        <f>IFERROR(INDEX([1]Produtos!$I:$I,MATCH(L2163,[1]Produtos!$B:$B,0)), "-")</f>
        <v>-</v>
      </c>
      <c r="S2163" s="270" t="str">
        <f>IFERROR(INDEX([1]Produtos!$J:$J,MATCH(L2163,[1]Produtos!$B:$B,0)), "-")</f>
        <v>-</v>
      </c>
      <c r="T2163" s="475"/>
      <c r="U2163" s="270"/>
      <c r="V2163" s="270"/>
      <c r="W2163" s="270"/>
      <c r="X2163" s="270"/>
      <c r="Y2163" s="270"/>
      <c r="Z2163" s="270"/>
      <c r="AA2163" s="270"/>
      <c r="AB2163" s="270"/>
      <c r="AC2163" s="270"/>
      <c r="AD2163" s="270"/>
      <c r="AE2163" s="270"/>
      <c r="AF2163" s="270"/>
      <c r="AG2163" s="270"/>
      <c r="AH2163" s="270"/>
      <c r="AI2163" s="270"/>
      <c r="AJ2163" s="270"/>
      <c r="AK2163" s="270"/>
      <c r="AL2163" s="270"/>
      <c r="AM2163" s="663"/>
      <c r="AN2163" s="663"/>
      <c r="AO2163" s="708" t="str">
        <f>IF(OR(Table1[[#This Row],[Início Setup Envase]]="",Table1[[#This Row],[Final Setup Envase]]=""),"",Table1[[#This Row],[Final Setup Envase]]-Table1[[#This Row],[Início Setup Envase]])</f>
        <v/>
      </c>
      <c r="AP2163" s="663"/>
      <c r="AQ2163" s="663"/>
      <c r="AR2163" s="270"/>
      <c r="AS2163" s="674"/>
      <c r="AT2163" s="674"/>
      <c r="AU2163" s="270"/>
      <c r="AV2163" s="270"/>
      <c r="AW2163" s="270"/>
      <c r="AX2163" s="270"/>
      <c r="AY2163" s="270"/>
      <c r="AZ2163" s="270"/>
      <c r="BA2163" s="270" t="str">
        <f>IF(Table1[[#This Row],[Data de Início]]="","",YEAR(Table1[[#This Row],[Data de Início]]))</f>
        <v/>
      </c>
      <c r="BB2163" s="270" t="str">
        <f>IF(Table1[[#This Row],[Data de Início]]="","",MONTH(Table1[[#This Row],[Data de Início]]))</f>
        <v/>
      </c>
      <c r="BC2163" s="483"/>
    </row>
    <row r="2164" spans="2:55" x14ac:dyDescent="0.25">
      <c r="B2164" s="470"/>
      <c r="C2164" s="263"/>
      <c r="D2164" s="477" cm="1">
        <f t="array" ref="D2164">IFERROR(HorasUteisFabrica2Turnos(B2164,C2164), "")</f>
        <v>0</v>
      </c>
      <c r="E2164" s="478" t="str">
        <f t="shared" si="34"/>
        <v/>
      </c>
      <c r="F2164" s="266"/>
      <c r="G2164" s="656"/>
      <c r="H2164" s="479"/>
      <c r="I2164" s="268"/>
      <c r="J2164" s="268"/>
      <c r="K2164" s="268"/>
      <c r="L2164" s="269"/>
      <c r="M2164" s="511" t="str">
        <f>IFERROR(INDEX([1]Produtos!$C:$C,MATCH(L2164,[1]Produtos!$B:$B,0)), "-")</f>
        <v>-</v>
      </c>
      <c r="N2164" s="511" t="str">
        <f>IFERROR(INDEX([1]Produtos!$E:$E,MATCH(L2164,[1]Produtos!$B:$B,0)), "-")</f>
        <v>-</v>
      </c>
      <c r="O2164" s="483" t="str">
        <f>IFERROR(INDEX([1]Produtos!$F:$F,MATCH(L2164,[1]Produtos!$B:$B,0)), "-")</f>
        <v>-</v>
      </c>
      <c r="P2164" s="477" t="str">
        <f>IFERROR(INDEX([1]Produtos!$G:$G,MATCH(L2164,[1]Produtos!$B:$B,0)), "-")</f>
        <v>-</v>
      </c>
      <c r="Q2164" s="483" t="str">
        <f>IFERROR(INDEX([1]Produtos!$H:$H,MATCH(L2164,[1]Produtos!$B:$B,0)), "-")</f>
        <v>-</v>
      </c>
      <c r="R2164" s="483" t="str">
        <f>IFERROR(INDEX([1]Produtos!$I:$I,MATCH(L2164,[1]Produtos!$B:$B,0)), "-")</f>
        <v>-</v>
      </c>
      <c r="S2164" s="483" t="str">
        <f>IFERROR(INDEX([1]Produtos!$J:$J,MATCH(L2164,[1]Produtos!$B:$B,0)), "-")</f>
        <v>-</v>
      </c>
      <c r="T2164" s="484"/>
      <c r="U2164" s="483"/>
      <c r="V2164" s="483"/>
      <c r="W2164" s="483"/>
      <c r="X2164" s="483"/>
      <c r="Y2164" s="483"/>
      <c r="Z2164" s="483"/>
      <c r="AA2164" s="483"/>
      <c r="AB2164" s="483"/>
      <c r="AC2164" s="483"/>
      <c r="AD2164" s="483"/>
      <c r="AE2164" s="483"/>
      <c r="AF2164" s="483"/>
      <c r="AG2164" s="483"/>
      <c r="AH2164" s="483"/>
      <c r="AI2164" s="483"/>
      <c r="AJ2164" s="483"/>
      <c r="AK2164" s="483"/>
      <c r="AL2164" s="483"/>
      <c r="AM2164" s="670"/>
      <c r="AN2164" s="670"/>
      <c r="AO2164" s="711" t="str">
        <f>IF(OR(Table1[[#This Row],[Início Setup Envase]]="",Table1[[#This Row],[Final Setup Envase]]=""),"",Table1[[#This Row],[Final Setup Envase]]-Table1[[#This Row],[Início Setup Envase]])</f>
        <v/>
      </c>
      <c r="AP2164" s="670"/>
      <c r="AQ2164" s="670"/>
      <c r="AR2164" s="483"/>
      <c r="AS2164" s="483"/>
      <c r="AT2164" s="483"/>
      <c r="AU2164" s="483"/>
      <c r="AV2164" s="483"/>
      <c r="AW2164" s="483"/>
      <c r="AX2164" s="483"/>
      <c r="AY2164" s="270"/>
      <c r="AZ2164" s="270"/>
      <c r="BA2164" s="270" t="str">
        <f>IF(Table1[[#This Row],[Data de Início]]="","",YEAR(Table1[[#This Row],[Data de Início]]))</f>
        <v/>
      </c>
      <c r="BB2164" s="270" t="str">
        <f>IF(Table1[[#This Row],[Data de Início]]="","",MONTH(Table1[[#This Row],[Data de Início]]))</f>
        <v/>
      </c>
      <c r="BC2164" s="270"/>
    </row>
    <row r="2165" spans="2:55" x14ac:dyDescent="0.25">
      <c r="B2165" s="470"/>
      <c r="C2165" s="263"/>
      <c r="D2165" s="477" cm="1">
        <f t="array" ref="D2165">IFERROR(HorasUteisFabrica2Turnos(B2165,C2165), "")</f>
        <v>0</v>
      </c>
      <c r="E2165" s="697" t="str">
        <f t="shared" si="34"/>
        <v/>
      </c>
      <c r="F2165" s="266"/>
      <c r="G2165" s="698"/>
      <c r="H2165" s="266"/>
      <c r="I2165" s="268"/>
      <c r="J2165" s="268"/>
      <c r="K2165" s="268"/>
      <c r="L2165" s="269"/>
      <c r="M2165" s="510" t="str">
        <f>IFERROR(INDEX([1]Produtos!$C:$C,MATCH(L2165,[1]Produtos!$B:$B,0)), "-")</f>
        <v>-</v>
      </c>
      <c r="N2165" s="510" t="str">
        <f>IFERROR(INDEX([1]Produtos!$E:$E,MATCH(L2165,[1]Produtos!$B:$B,0)), "-")</f>
        <v>-</v>
      </c>
      <c r="O2165" s="270" t="str">
        <f>IFERROR(INDEX([1]Produtos!$F:$F,MATCH(L2165,[1]Produtos!$B:$B,0)), "-")</f>
        <v>-</v>
      </c>
      <c r="P2165" s="264" t="str">
        <f>IFERROR(INDEX([1]Produtos!$G:$G,MATCH(L2165,[1]Produtos!$B:$B,0)), "-")</f>
        <v>-</v>
      </c>
      <c r="Q2165" s="270" t="str">
        <f>IFERROR(INDEX([1]Produtos!$H:$H,MATCH(L2165,[1]Produtos!$B:$B,0)), "-")</f>
        <v>-</v>
      </c>
      <c r="R2165" s="270" t="str">
        <f>IFERROR(INDEX([1]Produtos!$I:$I,MATCH(L2165,[1]Produtos!$B:$B,0)), "-")</f>
        <v>-</v>
      </c>
      <c r="S2165" s="270" t="str">
        <f>IFERROR(INDEX([1]Produtos!$J:$J,MATCH(L2165,[1]Produtos!$B:$B,0)), "-")</f>
        <v>-</v>
      </c>
      <c r="T2165" s="475"/>
      <c r="U2165" s="270"/>
      <c r="V2165" s="270"/>
      <c r="W2165" s="270"/>
      <c r="X2165" s="270"/>
      <c r="Y2165" s="270"/>
      <c r="Z2165" s="270"/>
      <c r="AA2165" s="270"/>
      <c r="AB2165" s="270"/>
      <c r="AC2165" s="270"/>
      <c r="AD2165" s="270"/>
      <c r="AE2165" s="270"/>
      <c r="AF2165" s="270"/>
      <c r="AG2165" s="270"/>
      <c r="AH2165" s="270"/>
      <c r="AI2165" s="270"/>
      <c r="AJ2165" s="270"/>
      <c r="AK2165" s="270"/>
      <c r="AL2165" s="270"/>
      <c r="AM2165" s="663"/>
      <c r="AN2165" s="663"/>
      <c r="AO2165" s="708" t="str">
        <f>IF(OR(Table1[[#This Row],[Início Setup Envase]]="",Table1[[#This Row],[Final Setup Envase]]=""),"",Table1[[#This Row],[Final Setup Envase]]-Table1[[#This Row],[Início Setup Envase]])</f>
        <v/>
      </c>
      <c r="AP2165" s="663"/>
      <c r="AQ2165" s="663"/>
      <c r="AR2165" s="270"/>
      <c r="AS2165" s="674"/>
      <c r="AT2165" s="674"/>
      <c r="AU2165" s="270"/>
      <c r="AV2165" s="270"/>
      <c r="AW2165" s="270"/>
      <c r="AX2165" s="270"/>
      <c r="AY2165" s="270"/>
      <c r="AZ2165" s="270"/>
      <c r="BA2165" s="270" t="str">
        <f>IF(Table1[[#This Row],[Data de Início]]="","",YEAR(Table1[[#This Row],[Data de Início]]))</f>
        <v/>
      </c>
      <c r="BB2165" s="270" t="str">
        <f>IF(Table1[[#This Row],[Data de Início]]="","",MONTH(Table1[[#This Row],[Data de Início]]))</f>
        <v/>
      </c>
      <c r="BC2165" s="483"/>
    </row>
    <row r="2166" spans="2:55" x14ac:dyDescent="0.25">
      <c r="B2166" s="470"/>
      <c r="C2166" s="263"/>
      <c r="D2166" s="477" cm="1">
        <f t="array" ref="D2166">IFERROR(HorasUteisFabrica2Turnos(B2166,C2166), "")</f>
        <v>0</v>
      </c>
      <c r="E2166" s="478" t="str">
        <f t="shared" si="34"/>
        <v/>
      </c>
      <c r="F2166" s="266"/>
      <c r="G2166" s="656"/>
      <c r="H2166" s="479"/>
      <c r="I2166" s="268"/>
      <c r="J2166" s="268"/>
      <c r="K2166" s="268"/>
      <c r="L2166" s="269"/>
      <c r="M2166" s="511" t="str">
        <f>IFERROR(INDEX([1]Produtos!$C:$C,MATCH(L2166,[1]Produtos!$B:$B,0)), "-")</f>
        <v>-</v>
      </c>
      <c r="N2166" s="511" t="str">
        <f>IFERROR(INDEX([1]Produtos!$E:$E,MATCH(L2166,[1]Produtos!$B:$B,0)), "-")</f>
        <v>-</v>
      </c>
      <c r="O2166" s="483" t="str">
        <f>IFERROR(INDEX([1]Produtos!$F:$F,MATCH(L2166,[1]Produtos!$B:$B,0)), "-")</f>
        <v>-</v>
      </c>
      <c r="P2166" s="477" t="str">
        <f>IFERROR(INDEX([1]Produtos!$G:$G,MATCH(L2166,[1]Produtos!$B:$B,0)), "-")</f>
        <v>-</v>
      </c>
      <c r="Q2166" s="483" t="str">
        <f>IFERROR(INDEX([1]Produtos!$H:$H,MATCH(L2166,[1]Produtos!$B:$B,0)), "-")</f>
        <v>-</v>
      </c>
      <c r="R2166" s="483" t="str">
        <f>IFERROR(INDEX([1]Produtos!$I:$I,MATCH(L2166,[1]Produtos!$B:$B,0)), "-")</f>
        <v>-</v>
      </c>
      <c r="S2166" s="483" t="str">
        <f>IFERROR(INDEX([1]Produtos!$J:$J,MATCH(L2166,[1]Produtos!$B:$B,0)), "-")</f>
        <v>-</v>
      </c>
      <c r="T2166" s="484"/>
      <c r="U2166" s="483"/>
      <c r="V2166" s="483"/>
      <c r="W2166" s="483"/>
      <c r="X2166" s="483"/>
      <c r="Y2166" s="483"/>
      <c r="Z2166" s="483"/>
      <c r="AA2166" s="483"/>
      <c r="AB2166" s="483"/>
      <c r="AC2166" s="483"/>
      <c r="AD2166" s="483"/>
      <c r="AE2166" s="483"/>
      <c r="AF2166" s="483"/>
      <c r="AG2166" s="483"/>
      <c r="AH2166" s="483"/>
      <c r="AI2166" s="483"/>
      <c r="AJ2166" s="483"/>
      <c r="AK2166" s="483"/>
      <c r="AL2166" s="483"/>
      <c r="AM2166" s="670"/>
      <c r="AN2166" s="670"/>
      <c r="AO2166" s="711" t="str">
        <f>IF(OR(Table1[[#This Row],[Início Setup Envase]]="",Table1[[#This Row],[Final Setup Envase]]=""),"",Table1[[#This Row],[Final Setup Envase]]-Table1[[#This Row],[Início Setup Envase]])</f>
        <v/>
      </c>
      <c r="AP2166" s="670"/>
      <c r="AQ2166" s="670"/>
      <c r="AR2166" s="483"/>
      <c r="AS2166" s="483"/>
      <c r="AT2166" s="483"/>
      <c r="AU2166" s="483"/>
      <c r="AV2166" s="483"/>
      <c r="AW2166" s="483"/>
      <c r="AX2166" s="483"/>
      <c r="AY2166" s="270"/>
      <c r="AZ2166" s="270"/>
      <c r="BA2166" s="270" t="str">
        <f>IF(Table1[[#This Row],[Data de Início]]="","",YEAR(Table1[[#This Row],[Data de Início]]))</f>
        <v/>
      </c>
      <c r="BB2166" s="270" t="str">
        <f>IF(Table1[[#This Row],[Data de Início]]="","",MONTH(Table1[[#This Row],[Data de Início]]))</f>
        <v/>
      </c>
      <c r="BC2166" s="270"/>
    </row>
    <row r="2167" spans="2:55" x14ac:dyDescent="0.25">
      <c r="B2167" s="470"/>
      <c r="C2167" s="263"/>
      <c r="D2167" s="477" cm="1">
        <f t="array" ref="D2167">IFERROR(HorasUteisFabrica2Turnos(B2167,C2167), "")</f>
        <v>0</v>
      </c>
      <c r="E2167" s="697" t="str">
        <f t="shared" si="34"/>
        <v/>
      </c>
      <c r="F2167" s="266"/>
      <c r="G2167" s="698"/>
      <c r="H2167" s="266"/>
      <c r="I2167" s="268"/>
      <c r="J2167" s="268"/>
      <c r="K2167" s="268"/>
      <c r="L2167" s="269"/>
      <c r="M2167" s="510" t="str">
        <f>IFERROR(INDEX([1]Produtos!$C:$C,MATCH(L2167,[1]Produtos!$B:$B,0)), "-")</f>
        <v>-</v>
      </c>
      <c r="N2167" s="510" t="str">
        <f>IFERROR(INDEX([1]Produtos!$E:$E,MATCH(L2167,[1]Produtos!$B:$B,0)), "-")</f>
        <v>-</v>
      </c>
      <c r="O2167" s="270" t="str">
        <f>IFERROR(INDEX([1]Produtos!$F:$F,MATCH(L2167,[1]Produtos!$B:$B,0)), "-")</f>
        <v>-</v>
      </c>
      <c r="P2167" s="264" t="str">
        <f>IFERROR(INDEX([1]Produtos!$G:$G,MATCH(L2167,[1]Produtos!$B:$B,0)), "-")</f>
        <v>-</v>
      </c>
      <c r="Q2167" s="270" t="str">
        <f>IFERROR(INDEX([1]Produtos!$H:$H,MATCH(L2167,[1]Produtos!$B:$B,0)), "-")</f>
        <v>-</v>
      </c>
      <c r="R2167" s="270" t="str">
        <f>IFERROR(INDEX([1]Produtos!$I:$I,MATCH(L2167,[1]Produtos!$B:$B,0)), "-")</f>
        <v>-</v>
      </c>
      <c r="S2167" s="270" t="str">
        <f>IFERROR(INDEX([1]Produtos!$J:$J,MATCH(L2167,[1]Produtos!$B:$B,0)), "-")</f>
        <v>-</v>
      </c>
      <c r="T2167" s="475"/>
      <c r="U2167" s="270"/>
      <c r="V2167" s="270"/>
      <c r="W2167" s="270"/>
      <c r="X2167" s="270"/>
      <c r="Y2167" s="270"/>
      <c r="Z2167" s="270"/>
      <c r="AA2167" s="270"/>
      <c r="AB2167" s="270"/>
      <c r="AC2167" s="270"/>
      <c r="AD2167" s="270"/>
      <c r="AE2167" s="270"/>
      <c r="AF2167" s="270"/>
      <c r="AG2167" s="270"/>
      <c r="AH2167" s="270"/>
      <c r="AI2167" s="270"/>
      <c r="AJ2167" s="270"/>
      <c r="AK2167" s="270"/>
      <c r="AL2167" s="270"/>
      <c r="AM2167" s="663"/>
      <c r="AN2167" s="663"/>
      <c r="AO2167" s="708" t="str">
        <f>IF(OR(Table1[[#This Row],[Início Setup Envase]]="",Table1[[#This Row],[Final Setup Envase]]=""),"",Table1[[#This Row],[Final Setup Envase]]-Table1[[#This Row],[Início Setup Envase]])</f>
        <v/>
      </c>
      <c r="AP2167" s="663"/>
      <c r="AQ2167" s="663"/>
      <c r="AR2167" s="270"/>
      <c r="AS2167" s="674"/>
      <c r="AT2167" s="674"/>
      <c r="AU2167" s="270"/>
      <c r="AV2167" s="270"/>
      <c r="AW2167" s="270"/>
      <c r="AX2167" s="270"/>
      <c r="AY2167" s="270"/>
      <c r="AZ2167" s="270"/>
      <c r="BA2167" s="270" t="str">
        <f>IF(Table1[[#This Row],[Data de Início]]="","",YEAR(Table1[[#This Row],[Data de Início]]))</f>
        <v/>
      </c>
      <c r="BB2167" s="270" t="str">
        <f>IF(Table1[[#This Row],[Data de Início]]="","",MONTH(Table1[[#This Row],[Data de Início]]))</f>
        <v/>
      </c>
      <c r="BC2167" s="483"/>
    </row>
    <row r="2168" spans="2:55" x14ac:dyDescent="0.25">
      <c r="B2168" s="470"/>
      <c r="C2168" s="263"/>
      <c r="D2168" s="477" cm="1">
        <f t="array" ref="D2168">IFERROR(HorasUteisFabrica2Turnos(B2168,C2168), "")</f>
        <v>0</v>
      </c>
      <c r="E2168" s="478" t="str">
        <f t="shared" si="34"/>
        <v/>
      </c>
      <c r="F2168" s="266"/>
      <c r="G2168" s="656"/>
      <c r="H2168" s="479"/>
      <c r="I2168" s="268"/>
      <c r="J2168" s="268"/>
      <c r="K2168" s="268"/>
      <c r="L2168" s="269"/>
      <c r="M2168" s="511" t="str">
        <f>IFERROR(INDEX([1]Produtos!$C:$C,MATCH(L2168,[1]Produtos!$B:$B,0)), "-")</f>
        <v>-</v>
      </c>
      <c r="N2168" s="511" t="str">
        <f>IFERROR(INDEX([1]Produtos!$E:$E,MATCH(L2168,[1]Produtos!$B:$B,0)), "-")</f>
        <v>-</v>
      </c>
      <c r="O2168" s="483" t="str">
        <f>IFERROR(INDEX([1]Produtos!$F:$F,MATCH(L2168,[1]Produtos!$B:$B,0)), "-")</f>
        <v>-</v>
      </c>
      <c r="P2168" s="477" t="str">
        <f>IFERROR(INDEX([1]Produtos!$G:$G,MATCH(L2168,[1]Produtos!$B:$B,0)), "-")</f>
        <v>-</v>
      </c>
      <c r="Q2168" s="483" t="str">
        <f>IFERROR(INDEX([1]Produtos!$H:$H,MATCH(L2168,[1]Produtos!$B:$B,0)), "-")</f>
        <v>-</v>
      </c>
      <c r="R2168" s="483" t="str">
        <f>IFERROR(INDEX([1]Produtos!$I:$I,MATCH(L2168,[1]Produtos!$B:$B,0)), "-")</f>
        <v>-</v>
      </c>
      <c r="S2168" s="483" t="str">
        <f>IFERROR(INDEX([1]Produtos!$J:$J,MATCH(L2168,[1]Produtos!$B:$B,0)), "-")</f>
        <v>-</v>
      </c>
      <c r="T2168" s="484"/>
      <c r="U2168" s="483"/>
      <c r="V2168" s="483"/>
      <c r="W2168" s="483"/>
      <c r="X2168" s="483"/>
      <c r="Y2168" s="483"/>
      <c r="Z2168" s="483"/>
      <c r="AA2168" s="483"/>
      <c r="AB2168" s="483"/>
      <c r="AC2168" s="483"/>
      <c r="AD2168" s="483"/>
      <c r="AE2168" s="483"/>
      <c r="AF2168" s="483"/>
      <c r="AG2168" s="483"/>
      <c r="AH2168" s="483"/>
      <c r="AI2168" s="483"/>
      <c r="AJ2168" s="483"/>
      <c r="AK2168" s="483"/>
      <c r="AL2168" s="483"/>
      <c r="AM2168" s="670"/>
      <c r="AN2168" s="670"/>
      <c r="AO2168" s="711" t="str">
        <f>IF(OR(Table1[[#This Row],[Início Setup Envase]]="",Table1[[#This Row],[Final Setup Envase]]=""),"",Table1[[#This Row],[Final Setup Envase]]-Table1[[#This Row],[Início Setup Envase]])</f>
        <v/>
      </c>
      <c r="AP2168" s="670"/>
      <c r="AQ2168" s="670"/>
      <c r="AR2168" s="483"/>
      <c r="AS2168" s="483"/>
      <c r="AT2168" s="483"/>
      <c r="AU2168" s="483"/>
      <c r="AV2168" s="483"/>
      <c r="AW2168" s="483"/>
      <c r="AX2168" s="483"/>
      <c r="AY2168" s="270"/>
      <c r="AZ2168" s="270"/>
      <c r="BA2168" s="270" t="str">
        <f>IF(Table1[[#This Row],[Data de Início]]="","",YEAR(Table1[[#This Row],[Data de Início]]))</f>
        <v/>
      </c>
      <c r="BB2168" s="270" t="str">
        <f>IF(Table1[[#This Row],[Data de Início]]="","",MONTH(Table1[[#This Row],[Data de Início]]))</f>
        <v/>
      </c>
      <c r="BC2168" s="270"/>
    </row>
    <row r="2169" spans="2:55" x14ac:dyDescent="0.25">
      <c r="B2169" s="470"/>
      <c r="C2169" s="263"/>
      <c r="D2169" s="477" cm="1">
        <f t="array" ref="D2169">IFERROR(HorasUteisFabrica2Turnos(B2169,C2169), "")</f>
        <v>0</v>
      </c>
      <c r="E2169" s="697" t="str">
        <f t="shared" si="34"/>
        <v/>
      </c>
      <c r="F2169" s="266"/>
      <c r="G2169" s="698"/>
      <c r="H2169" s="266"/>
      <c r="I2169" s="268"/>
      <c r="J2169" s="268"/>
      <c r="K2169" s="268"/>
      <c r="L2169" s="269"/>
      <c r="M2169" s="510" t="str">
        <f>IFERROR(INDEX([1]Produtos!$C:$C,MATCH(L2169,[1]Produtos!$B:$B,0)), "-")</f>
        <v>-</v>
      </c>
      <c r="N2169" s="510" t="str">
        <f>IFERROR(INDEX([1]Produtos!$E:$E,MATCH(L2169,[1]Produtos!$B:$B,0)), "-")</f>
        <v>-</v>
      </c>
      <c r="O2169" s="270" t="str">
        <f>IFERROR(INDEX([1]Produtos!$F:$F,MATCH(L2169,[1]Produtos!$B:$B,0)), "-")</f>
        <v>-</v>
      </c>
      <c r="P2169" s="264" t="str">
        <f>IFERROR(INDEX([1]Produtos!$G:$G,MATCH(L2169,[1]Produtos!$B:$B,0)), "-")</f>
        <v>-</v>
      </c>
      <c r="Q2169" s="270" t="str">
        <f>IFERROR(INDEX([1]Produtos!$H:$H,MATCH(L2169,[1]Produtos!$B:$B,0)), "-")</f>
        <v>-</v>
      </c>
      <c r="R2169" s="270" t="str">
        <f>IFERROR(INDEX([1]Produtos!$I:$I,MATCH(L2169,[1]Produtos!$B:$B,0)), "-")</f>
        <v>-</v>
      </c>
      <c r="S2169" s="270" t="str">
        <f>IFERROR(INDEX([1]Produtos!$J:$J,MATCH(L2169,[1]Produtos!$B:$B,0)), "-")</f>
        <v>-</v>
      </c>
      <c r="T2169" s="475"/>
      <c r="U2169" s="270"/>
      <c r="V2169" s="270"/>
      <c r="W2169" s="270"/>
      <c r="X2169" s="270"/>
      <c r="Y2169" s="270"/>
      <c r="Z2169" s="270"/>
      <c r="AA2169" s="270"/>
      <c r="AB2169" s="270"/>
      <c r="AC2169" s="270"/>
      <c r="AD2169" s="270"/>
      <c r="AE2169" s="270"/>
      <c r="AF2169" s="270"/>
      <c r="AG2169" s="270"/>
      <c r="AH2169" s="270"/>
      <c r="AI2169" s="270"/>
      <c r="AJ2169" s="270"/>
      <c r="AK2169" s="270"/>
      <c r="AL2169" s="270"/>
      <c r="AM2169" s="663"/>
      <c r="AN2169" s="663"/>
      <c r="AO2169" s="708" t="str">
        <f>IF(OR(Table1[[#This Row],[Início Setup Envase]]="",Table1[[#This Row],[Final Setup Envase]]=""),"",Table1[[#This Row],[Final Setup Envase]]-Table1[[#This Row],[Início Setup Envase]])</f>
        <v/>
      </c>
      <c r="AP2169" s="663"/>
      <c r="AQ2169" s="663"/>
      <c r="AR2169" s="270"/>
      <c r="AS2169" s="674"/>
      <c r="AT2169" s="674"/>
      <c r="AU2169" s="270"/>
      <c r="AV2169" s="270"/>
      <c r="AW2169" s="270"/>
      <c r="AX2169" s="270"/>
      <c r="AY2169" s="270"/>
      <c r="AZ2169" s="270"/>
      <c r="BA2169" s="270" t="str">
        <f>IF(Table1[[#This Row],[Data de Início]]="","",YEAR(Table1[[#This Row],[Data de Início]]))</f>
        <v/>
      </c>
      <c r="BB2169" s="270" t="str">
        <f>IF(Table1[[#This Row],[Data de Início]]="","",MONTH(Table1[[#This Row],[Data de Início]]))</f>
        <v/>
      </c>
      <c r="BC2169" s="483"/>
    </row>
    <row r="2170" spans="2:55" x14ac:dyDescent="0.25">
      <c r="B2170" s="470"/>
      <c r="C2170" s="263"/>
      <c r="D2170" s="477" cm="1">
        <f t="array" ref="D2170">IFERROR(HorasUteisFabrica2Turnos(B2170,C2170), "")</f>
        <v>0</v>
      </c>
      <c r="E2170" s="478" t="str">
        <f t="shared" si="34"/>
        <v/>
      </c>
      <c r="F2170" s="266"/>
      <c r="G2170" s="656"/>
      <c r="H2170" s="479"/>
      <c r="I2170" s="268"/>
      <c r="J2170" s="268"/>
      <c r="K2170" s="268"/>
      <c r="L2170" s="269"/>
      <c r="M2170" s="511" t="str">
        <f>IFERROR(INDEX([1]Produtos!$C:$C,MATCH(L2170,[1]Produtos!$B:$B,0)), "-")</f>
        <v>-</v>
      </c>
      <c r="N2170" s="511" t="str">
        <f>IFERROR(INDEX([1]Produtos!$E:$E,MATCH(L2170,[1]Produtos!$B:$B,0)), "-")</f>
        <v>-</v>
      </c>
      <c r="O2170" s="483" t="str">
        <f>IFERROR(INDEX([1]Produtos!$F:$F,MATCH(L2170,[1]Produtos!$B:$B,0)), "-")</f>
        <v>-</v>
      </c>
      <c r="P2170" s="477" t="str">
        <f>IFERROR(INDEX([1]Produtos!$G:$G,MATCH(L2170,[1]Produtos!$B:$B,0)), "-")</f>
        <v>-</v>
      </c>
      <c r="Q2170" s="483" t="str">
        <f>IFERROR(INDEX([1]Produtos!$H:$H,MATCH(L2170,[1]Produtos!$B:$B,0)), "-")</f>
        <v>-</v>
      </c>
      <c r="R2170" s="483" t="str">
        <f>IFERROR(INDEX([1]Produtos!$I:$I,MATCH(L2170,[1]Produtos!$B:$B,0)), "-")</f>
        <v>-</v>
      </c>
      <c r="S2170" s="483" t="str">
        <f>IFERROR(INDEX([1]Produtos!$J:$J,MATCH(L2170,[1]Produtos!$B:$B,0)), "-")</f>
        <v>-</v>
      </c>
      <c r="T2170" s="484"/>
      <c r="U2170" s="483"/>
      <c r="V2170" s="483"/>
      <c r="W2170" s="483"/>
      <c r="X2170" s="483"/>
      <c r="Y2170" s="483"/>
      <c r="Z2170" s="483"/>
      <c r="AA2170" s="483"/>
      <c r="AB2170" s="483"/>
      <c r="AC2170" s="483"/>
      <c r="AD2170" s="483"/>
      <c r="AE2170" s="483"/>
      <c r="AF2170" s="483"/>
      <c r="AG2170" s="483"/>
      <c r="AH2170" s="483"/>
      <c r="AI2170" s="483"/>
      <c r="AJ2170" s="483"/>
      <c r="AK2170" s="483"/>
      <c r="AL2170" s="483"/>
      <c r="AM2170" s="670"/>
      <c r="AN2170" s="670"/>
      <c r="AO2170" s="711" t="str">
        <f>IF(OR(Table1[[#This Row],[Início Setup Envase]]="",Table1[[#This Row],[Final Setup Envase]]=""),"",Table1[[#This Row],[Final Setup Envase]]-Table1[[#This Row],[Início Setup Envase]])</f>
        <v/>
      </c>
      <c r="AP2170" s="670"/>
      <c r="AQ2170" s="670"/>
      <c r="AR2170" s="483"/>
      <c r="AS2170" s="483"/>
      <c r="AT2170" s="483"/>
      <c r="AU2170" s="483"/>
      <c r="AV2170" s="483"/>
      <c r="AW2170" s="483"/>
      <c r="AX2170" s="483"/>
      <c r="AY2170" s="270"/>
      <c r="AZ2170" s="270"/>
      <c r="BA2170" s="270" t="str">
        <f>IF(Table1[[#This Row],[Data de Início]]="","",YEAR(Table1[[#This Row],[Data de Início]]))</f>
        <v/>
      </c>
      <c r="BB2170" s="270" t="str">
        <f>IF(Table1[[#This Row],[Data de Início]]="","",MONTH(Table1[[#This Row],[Data de Início]]))</f>
        <v/>
      </c>
      <c r="BC2170" s="270"/>
    </row>
    <row r="2171" spans="2:55" x14ac:dyDescent="0.25">
      <c r="B2171" s="470"/>
      <c r="C2171" s="263"/>
      <c r="D2171" s="477" cm="1">
        <f t="array" ref="D2171">IFERROR(HorasUteisFabrica2Turnos(B2171,C2171), "")</f>
        <v>0</v>
      </c>
      <c r="E2171" s="697" t="str">
        <f t="shared" si="34"/>
        <v/>
      </c>
      <c r="F2171" s="266"/>
      <c r="G2171" s="698"/>
      <c r="H2171" s="266"/>
      <c r="I2171" s="268"/>
      <c r="J2171" s="268"/>
      <c r="K2171" s="268"/>
      <c r="L2171" s="269"/>
      <c r="M2171" s="510" t="str">
        <f>IFERROR(INDEX([1]Produtos!$C:$C,MATCH(L2171,[1]Produtos!$B:$B,0)), "-")</f>
        <v>-</v>
      </c>
      <c r="N2171" s="510" t="str">
        <f>IFERROR(INDEX([1]Produtos!$E:$E,MATCH(L2171,[1]Produtos!$B:$B,0)), "-")</f>
        <v>-</v>
      </c>
      <c r="O2171" s="270" t="str">
        <f>IFERROR(INDEX([1]Produtos!$F:$F,MATCH(L2171,[1]Produtos!$B:$B,0)), "-")</f>
        <v>-</v>
      </c>
      <c r="P2171" s="264" t="str">
        <f>IFERROR(INDEX([1]Produtos!$G:$G,MATCH(L2171,[1]Produtos!$B:$B,0)), "-")</f>
        <v>-</v>
      </c>
      <c r="Q2171" s="270" t="str">
        <f>IFERROR(INDEX([1]Produtos!$H:$H,MATCH(L2171,[1]Produtos!$B:$B,0)), "-")</f>
        <v>-</v>
      </c>
      <c r="R2171" s="270" t="str">
        <f>IFERROR(INDEX([1]Produtos!$I:$I,MATCH(L2171,[1]Produtos!$B:$B,0)), "-")</f>
        <v>-</v>
      </c>
      <c r="S2171" s="270" t="str">
        <f>IFERROR(INDEX([1]Produtos!$J:$J,MATCH(L2171,[1]Produtos!$B:$B,0)), "-")</f>
        <v>-</v>
      </c>
      <c r="T2171" s="475"/>
      <c r="U2171" s="270"/>
      <c r="V2171" s="270"/>
      <c r="W2171" s="270"/>
      <c r="X2171" s="270"/>
      <c r="Y2171" s="270"/>
      <c r="Z2171" s="270"/>
      <c r="AA2171" s="270"/>
      <c r="AB2171" s="270"/>
      <c r="AC2171" s="270"/>
      <c r="AD2171" s="270"/>
      <c r="AE2171" s="270"/>
      <c r="AF2171" s="270"/>
      <c r="AG2171" s="270"/>
      <c r="AH2171" s="270"/>
      <c r="AI2171" s="270"/>
      <c r="AJ2171" s="270"/>
      <c r="AK2171" s="270"/>
      <c r="AL2171" s="270"/>
      <c r="AM2171" s="663"/>
      <c r="AN2171" s="663"/>
      <c r="AO2171" s="708" t="str">
        <f>IF(OR(Table1[[#This Row],[Início Setup Envase]]="",Table1[[#This Row],[Final Setup Envase]]=""),"",Table1[[#This Row],[Final Setup Envase]]-Table1[[#This Row],[Início Setup Envase]])</f>
        <v/>
      </c>
      <c r="AP2171" s="663"/>
      <c r="AQ2171" s="663"/>
      <c r="AR2171" s="270"/>
      <c r="AS2171" s="674"/>
      <c r="AT2171" s="674"/>
      <c r="AU2171" s="270"/>
      <c r="AV2171" s="270"/>
      <c r="AW2171" s="270"/>
      <c r="AX2171" s="270"/>
      <c r="AY2171" s="270"/>
      <c r="AZ2171" s="270"/>
      <c r="BA2171" s="270" t="str">
        <f>IF(Table1[[#This Row],[Data de Início]]="","",YEAR(Table1[[#This Row],[Data de Início]]))</f>
        <v/>
      </c>
      <c r="BB2171" s="270" t="str">
        <f>IF(Table1[[#This Row],[Data de Início]]="","",MONTH(Table1[[#This Row],[Data de Início]]))</f>
        <v/>
      </c>
      <c r="BC2171" s="483"/>
    </row>
    <row r="2172" spans="2:55" x14ac:dyDescent="0.25">
      <c r="B2172" s="470"/>
      <c r="C2172" s="263"/>
      <c r="D2172" s="477" cm="1">
        <f t="array" ref="D2172">IFERROR(HorasUteisFabrica2Turnos(B2172,C2172), "")</f>
        <v>0</v>
      </c>
      <c r="E2172" s="478" t="str">
        <f t="shared" si="34"/>
        <v/>
      </c>
      <c r="F2172" s="266"/>
      <c r="G2172" s="656"/>
      <c r="H2172" s="479"/>
      <c r="I2172" s="268"/>
      <c r="J2172" s="268"/>
      <c r="K2172" s="268"/>
      <c r="L2172" s="269"/>
      <c r="M2172" s="511" t="str">
        <f>IFERROR(INDEX([1]Produtos!$C:$C,MATCH(L2172,[1]Produtos!$B:$B,0)), "-")</f>
        <v>-</v>
      </c>
      <c r="N2172" s="511" t="str">
        <f>IFERROR(INDEX([1]Produtos!$E:$E,MATCH(L2172,[1]Produtos!$B:$B,0)), "-")</f>
        <v>-</v>
      </c>
      <c r="O2172" s="483" t="str">
        <f>IFERROR(INDEX([1]Produtos!$F:$F,MATCH(L2172,[1]Produtos!$B:$B,0)), "-")</f>
        <v>-</v>
      </c>
      <c r="P2172" s="477" t="str">
        <f>IFERROR(INDEX([1]Produtos!$G:$G,MATCH(L2172,[1]Produtos!$B:$B,0)), "-")</f>
        <v>-</v>
      </c>
      <c r="Q2172" s="483" t="str">
        <f>IFERROR(INDEX([1]Produtos!$H:$H,MATCH(L2172,[1]Produtos!$B:$B,0)), "-")</f>
        <v>-</v>
      </c>
      <c r="R2172" s="483" t="str">
        <f>IFERROR(INDEX([1]Produtos!$I:$I,MATCH(L2172,[1]Produtos!$B:$B,0)), "-")</f>
        <v>-</v>
      </c>
      <c r="S2172" s="483" t="str">
        <f>IFERROR(INDEX([1]Produtos!$J:$J,MATCH(L2172,[1]Produtos!$B:$B,0)), "-")</f>
        <v>-</v>
      </c>
      <c r="T2172" s="484"/>
      <c r="U2172" s="483"/>
      <c r="V2172" s="483"/>
      <c r="W2172" s="483"/>
      <c r="X2172" s="483"/>
      <c r="Y2172" s="483"/>
      <c r="Z2172" s="483"/>
      <c r="AA2172" s="483"/>
      <c r="AB2172" s="483"/>
      <c r="AC2172" s="483"/>
      <c r="AD2172" s="483"/>
      <c r="AE2172" s="483"/>
      <c r="AF2172" s="483"/>
      <c r="AG2172" s="483"/>
      <c r="AH2172" s="483"/>
      <c r="AI2172" s="483"/>
      <c r="AJ2172" s="483"/>
      <c r="AK2172" s="483"/>
      <c r="AL2172" s="483"/>
      <c r="AM2172" s="670"/>
      <c r="AN2172" s="670"/>
      <c r="AO2172" s="711" t="str">
        <f>IF(OR(Table1[[#This Row],[Início Setup Envase]]="",Table1[[#This Row],[Final Setup Envase]]=""),"",Table1[[#This Row],[Final Setup Envase]]-Table1[[#This Row],[Início Setup Envase]])</f>
        <v/>
      </c>
      <c r="AP2172" s="670"/>
      <c r="AQ2172" s="670"/>
      <c r="AR2172" s="483"/>
      <c r="AS2172" s="483"/>
      <c r="AT2172" s="483"/>
      <c r="AU2172" s="483"/>
      <c r="AV2172" s="483"/>
      <c r="AW2172" s="483"/>
      <c r="AX2172" s="483"/>
      <c r="AY2172" s="270"/>
      <c r="AZ2172" s="270"/>
      <c r="BA2172" s="270" t="str">
        <f>IF(Table1[[#This Row],[Data de Início]]="","",YEAR(Table1[[#This Row],[Data de Início]]))</f>
        <v/>
      </c>
      <c r="BB2172" s="270" t="str">
        <f>IF(Table1[[#This Row],[Data de Início]]="","",MONTH(Table1[[#This Row],[Data de Início]]))</f>
        <v/>
      </c>
      <c r="BC2172" s="270"/>
    </row>
    <row r="2173" spans="2:55" x14ac:dyDescent="0.25">
      <c r="B2173" s="470"/>
      <c r="C2173" s="263"/>
      <c r="D2173" s="477" cm="1">
        <f t="array" ref="D2173">IFERROR(HorasUteisFabrica2Turnos(B2173,C2173), "")</f>
        <v>0</v>
      </c>
      <c r="E2173" s="697" t="str">
        <f t="shared" si="34"/>
        <v/>
      </c>
      <c r="F2173" s="266"/>
      <c r="G2173" s="698"/>
      <c r="H2173" s="266"/>
      <c r="I2173" s="268"/>
      <c r="J2173" s="268"/>
      <c r="K2173" s="268"/>
      <c r="L2173" s="269"/>
      <c r="M2173" s="510" t="str">
        <f>IFERROR(INDEX([1]Produtos!$C:$C,MATCH(L2173,[1]Produtos!$B:$B,0)), "-")</f>
        <v>-</v>
      </c>
      <c r="N2173" s="510" t="str">
        <f>IFERROR(INDEX([1]Produtos!$E:$E,MATCH(L2173,[1]Produtos!$B:$B,0)), "-")</f>
        <v>-</v>
      </c>
      <c r="O2173" s="270" t="str">
        <f>IFERROR(INDEX([1]Produtos!$F:$F,MATCH(L2173,[1]Produtos!$B:$B,0)), "-")</f>
        <v>-</v>
      </c>
      <c r="P2173" s="264" t="str">
        <f>IFERROR(INDEX([1]Produtos!$G:$G,MATCH(L2173,[1]Produtos!$B:$B,0)), "-")</f>
        <v>-</v>
      </c>
      <c r="Q2173" s="270" t="str">
        <f>IFERROR(INDEX([1]Produtos!$H:$H,MATCH(L2173,[1]Produtos!$B:$B,0)), "-")</f>
        <v>-</v>
      </c>
      <c r="R2173" s="270" t="str">
        <f>IFERROR(INDEX([1]Produtos!$I:$I,MATCH(L2173,[1]Produtos!$B:$B,0)), "-")</f>
        <v>-</v>
      </c>
      <c r="S2173" s="270" t="str">
        <f>IFERROR(INDEX([1]Produtos!$J:$J,MATCH(L2173,[1]Produtos!$B:$B,0)), "-")</f>
        <v>-</v>
      </c>
      <c r="T2173" s="475"/>
      <c r="U2173" s="270"/>
      <c r="V2173" s="270"/>
      <c r="W2173" s="270"/>
      <c r="X2173" s="270"/>
      <c r="Y2173" s="270"/>
      <c r="Z2173" s="270"/>
      <c r="AA2173" s="270"/>
      <c r="AB2173" s="270"/>
      <c r="AC2173" s="270"/>
      <c r="AD2173" s="270"/>
      <c r="AE2173" s="270"/>
      <c r="AF2173" s="270"/>
      <c r="AG2173" s="270"/>
      <c r="AH2173" s="270"/>
      <c r="AI2173" s="270"/>
      <c r="AJ2173" s="270"/>
      <c r="AK2173" s="270"/>
      <c r="AL2173" s="270"/>
      <c r="AM2173" s="663"/>
      <c r="AN2173" s="663"/>
      <c r="AO2173" s="708" t="str">
        <f>IF(OR(Table1[[#This Row],[Início Setup Envase]]="",Table1[[#This Row],[Final Setup Envase]]=""),"",Table1[[#This Row],[Final Setup Envase]]-Table1[[#This Row],[Início Setup Envase]])</f>
        <v/>
      </c>
      <c r="AP2173" s="663"/>
      <c r="AQ2173" s="663"/>
      <c r="AR2173" s="270"/>
      <c r="AS2173" s="674"/>
      <c r="AT2173" s="674"/>
      <c r="AU2173" s="270"/>
      <c r="AV2173" s="270"/>
      <c r="AW2173" s="270"/>
      <c r="AX2173" s="270"/>
      <c r="AY2173" s="270"/>
      <c r="AZ2173" s="270"/>
      <c r="BA2173" s="270" t="str">
        <f>IF(Table1[[#This Row],[Data de Início]]="","",YEAR(Table1[[#This Row],[Data de Início]]))</f>
        <v/>
      </c>
      <c r="BB2173" s="270" t="str">
        <f>IF(Table1[[#This Row],[Data de Início]]="","",MONTH(Table1[[#This Row],[Data de Início]]))</f>
        <v/>
      </c>
      <c r="BC2173" s="483"/>
    </row>
    <row r="2174" spans="2:55" x14ac:dyDescent="0.25">
      <c r="B2174" s="470"/>
      <c r="C2174" s="263"/>
      <c r="D2174" s="477" cm="1">
        <f t="array" ref="D2174">IFERROR(HorasUteisFabrica2Turnos(B2174,C2174), "")</f>
        <v>0</v>
      </c>
      <c r="E2174" s="478" t="str">
        <f t="shared" si="34"/>
        <v/>
      </c>
      <c r="F2174" s="266"/>
      <c r="G2174" s="656"/>
      <c r="H2174" s="479"/>
      <c r="I2174" s="268"/>
      <c r="J2174" s="268"/>
      <c r="K2174" s="268"/>
      <c r="L2174" s="269"/>
      <c r="M2174" s="511" t="str">
        <f>IFERROR(INDEX([1]Produtos!$C:$C,MATCH(L2174,[1]Produtos!$B:$B,0)), "-")</f>
        <v>-</v>
      </c>
      <c r="N2174" s="511" t="str">
        <f>IFERROR(INDEX([1]Produtos!$E:$E,MATCH(L2174,[1]Produtos!$B:$B,0)), "-")</f>
        <v>-</v>
      </c>
      <c r="O2174" s="483" t="str">
        <f>IFERROR(INDEX([1]Produtos!$F:$F,MATCH(L2174,[1]Produtos!$B:$B,0)), "-")</f>
        <v>-</v>
      </c>
      <c r="P2174" s="477" t="str">
        <f>IFERROR(INDEX([1]Produtos!$G:$G,MATCH(L2174,[1]Produtos!$B:$B,0)), "-")</f>
        <v>-</v>
      </c>
      <c r="Q2174" s="483" t="str">
        <f>IFERROR(INDEX([1]Produtos!$H:$H,MATCH(L2174,[1]Produtos!$B:$B,0)), "-")</f>
        <v>-</v>
      </c>
      <c r="R2174" s="483" t="str">
        <f>IFERROR(INDEX([1]Produtos!$I:$I,MATCH(L2174,[1]Produtos!$B:$B,0)), "-")</f>
        <v>-</v>
      </c>
      <c r="S2174" s="483" t="str">
        <f>IFERROR(INDEX([1]Produtos!$J:$J,MATCH(L2174,[1]Produtos!$B:$B,0)), "-")</f>
        <v>-</v>
      </c>
      <c r="T2174" s="484"/>
      <c r="U2174" s="483"/>
      <c r="V2174" s="483"/>
      <c r="W2174" s="483"/>
      <c r="X2174" s="483"/>
      <c r="Y2174" s="483"/>
      <c r="Z2174" s="483"/>
      <c r="AA2174" s="483"/>
      <c r="AB2174" s="483"/>
      <c r="AC2174" s="483"/>
      <c r="AD2174" s="483"/>
      <c r="AE2174" s="483"/>
      <c r="AF2174" s="483"/>
      <c r="AG2174" s="483"/>
      <c r="AH2174" s="483"/>
      <c r="AI2174" s="483"/>
      <c r="AJ2174" s="483"/>
      <c r="AK2174" s="483"/>
      <c r="AL2174" s="483"/>
      <c r="AM2174" s="670"/>
      <c r="AN2174" s="670"/>
      <c r="AO2174" s="711" t="str">
        <f>IF(OR(Table1[[#This Row],[Início Setup Envase]]="",Table1[[#This Row],[Final Setup Envase]]=""),"",Table1[[#This Row],[Final Setup Envase]]-Table1[[#This Row],[Início Setup Envase]])</f>
        <v/>
      </c>
      <c r="AP2174" s="670"/>
      <c r="AQ2174" s="670"/>
      <c r="AR2174" s="483"/>
      <c r="AS2174" s="483"/>
      <c r="AT2174" s="483"/>
      <c r="AU2174" s="483"/>
      <c r="AV2174" s="483"/>
      <c r="AW2174" s="483"/>
      <c r="AX2174" s="483"/>
      <c r="AY2174" s="270"/>
      <c r="AZ2174" s="270"/>
      <c r="BA2174" s="270" t="str">
        <f>IF(Table1[[#This Row],[Data de Início]]="","",YEAR(Table1[[#This Row],[Data de Início]]))</f>
        <v/>
      </c>
      <c r="BB2174" s="270" t="str">
        <f>IF(Table1[[#This Row],[Data de Início]]="","",MONTH(Table1[[#This Row],[Data de Início]]))</f>
        <v/>
      </c>
      <c r="BC2174" s="270"/>
    </row>
    <row r="2175" spans="2:55" x14ac:dyDescent="0.25">
      <c r="B2175" s="470"/>
      <c r="C2175" s="263"/>
      <c r="D2175" s="477" cm="1">
        <f t="array" ref="D2175">IFERROR(HorasUteisFabrica2Turnos(B2175,C2175), "")</f>
        <v>0</v>
      </c>
      <c r="E2175" s="697" t="str">
        <f t="shared" si="34"/>
        <v/>
      </c>
      <c r="F2175" s="266"/>
      <c r="G2175" s="698"/>
      <c r="H2175" s="266"/>
      <c r="I2175" s="268"/>
      <c r="J2175" s="268"/>
      <c r="K2175" s="268"/>
      <c r="L2175" s="269"/>
      <c r="M2175" s="510" t="str">
        <f>IFERROR(INDEX([1]Produtos!$C:$C,MATCH(L2175,[1]Produtos!$B:$B,0)), "-")</f>
        <v>-</v>
      </c>
      <c r="N2175" s="510" t="str">
        <f>IFERROR(INDEX([1]Produtos!$E:$E,MATCH(L2175,[1]Produtos!$B:$B,0)), "-")</f>
        <v>-</v>
      </c>
      <c r="O2175" s="270" t="str">
        <f>IFERROR(INDEX([1]Produtos!$F:$F,MATCH(L2175,[1]Produtos!$B:$B,0)), "-")</f>
        <v>-</v>
      </c>
      <c r="P2175" s="264" t="str">
        <f>IFERROR(INDEX([1]Produtos!$G:$G,MATCH(L2175,[1]Produtos!$B:$B,0)), "-")</f>
        <v>-</v>
      </c>
      <c r="Q2175" s="270" t="str">
        <f>IFERROR(INDEX([1]Produtos!$H:$H,MATCH(L2175,[1]Produtos!$B:$B,0)), "-")</f>
        <v>-</v>
      </c>
      <c r="R2175" s="270" t="str">
        <f>IFERROR(INDEX([1]Produtos!$I:$I,MATCH(L2175,[1]Produtos!$B:$B,0)), "-")</f>
        <v>-</v>
      </c>
      <c r="S2175" s="270" t="str">
        <f>IFERROR(INDEX([1]Produtos!$J:$J,MATCH(L2175,[1]Produtos!$B:$B,0)), "-")</f>
        <v>-</v>
      </c>
      <c r="T2175" s="475"/>
      <c r="U2175" s="270"/>
      <c r="V2175" s="270"/>
      <c r="W2175" s="270"/>
      <c r="X2175" s="270"/>
      <c r="Y2175" s="270"/>
      <c r="Z2175" s="270"/>
      <c r="AA2175" s="270"/>
      <c r="AB2175" s="270"/>
      <c r="AC2175" s="270"/>
      <c r="AD2175" s="270"/>
      <c r="AE2175" s="270"/>
      <c r="AF2175" s="270"/>
      <c r="AG2175" s="270"/>
      <c r="AH2175" s="270"/>
      <c r="AI2175" s="270"/>
      <c r="AJ2175" s="270"/>
      <c r="AK2175" s="270"/>
      <c r="AL2175" s="270"/>
      <c r="AM2175" s="663"/>
      <c r="AN2175" s="663"/>
      <c r="AO2175" s="708" t="str">
        <f>IF(OR(Table1[[#This Row],[Início Setup Envase]]="",Table1[[#This Row],[Final Setup Envase]]=""),"",Table1[[#This Row],[Final Setup Envase]]-Table1[[#This Row],[Início Setup Envase]])</f>
        <v/>
      </c>
      <c r="AP2175" s="663"/>
      <c r="AQ2175" s="663"/>
      <c r="AR2175" s="270"/>
      <c r="AS2175" s="674"/>
      <c r="AT2175" s="674"/>
      <c r="AU2175" s="270"/>
      <c r="AV2175" s="270"/>
      <c r="AW2175" s="270"/>
      <c r="AX2175" s="270"/>
      <c r="AY2175" s="270"/>
      <c r="AZ2175" s="270"/>
      <c r="BA2175" s="270" t="str">
        <f>IF(Table1[[#This Row],[Data de Início]]="","",YEAR(Table1[[#This Row],[Data de Início]]))</f>
        <v/>
      </c>
      <c r="BB2175" s="270" t="str">
        <f>IF(Table1[[#This Row],[Data de Início]]="","",MONTH(Table1[[#This Row],[Data de Início]]))</f>
        <v/>
      </c>
      <c r="BC2175" s="483"/>
    </row>
    <row r="2176" spans="2:55" x14ac:dyDescent="0.25">
      <c r="B2176" s="470"/>
      <c r="C2176" s="263"/>
      <c r="D2176" s="477" cm="1">
        <f t="array" ref="D2176">IFERROR(HorasUteisFabrica2Turnos(B2176,C2176), "")</f>
        <v>0</v>
      </c>
      <c r="E2176" s="478" t="str">
        <f t="shared" si="34"/>
        <v/>
      </c>
      <c r="F2176" s="266"/>
      <c r="G2176" s="656"/>
      <c r="H2176" s="479"/>
      <c r="I2176" s="268"/>
      <c r="J2176" s="268"/>
      <c r="K2176" s="268"/>
      <c r="L2176" s="269"/>
      <c r="M2176" s="511" t="str">
        <f>IFERROR(INDEX([1]Produtos!$C:$C,MATCH(L2176,[1]Produtos!$B:$B,0)), "-")</f>
        <v>-</v>
      </c>
      <c r="N2176" s="511" t="str">
        <f>IFERROR(INDEX([1]Produtos!$E:$E,MATCH(L2176,[1]Produtos!$B:$B,0)), "-")</f>
        <v>-</v>
      </c>
      <c r="O2176" s="483" t="str">
        <f>IFERROR(INDEX([1]Produtos!$F:$F,MATCH(L2176,[1]Produtos!$B:$B,0)), "-")</f>
        <v>-</v>
      </c>
      <c r="P2176" s="477" t="str">
        <f>IFERROR(INDEX([1]Produtos!$G:$G,MATCH(L2176,[1]Produtos!$B:$B,0)), "-")</f>
        <v>-</v>
      </c>
      <c r="Q2176" s="483" t="str">
        <f>IFERROR(INDEX([1]Produtos!$H:$H,MATCH(L2176,[1]Produtos!$B:$B,0)), "-")</f>
        <v>-</v>
      </c>
      <c r="R2176" s="483" t="str">
        <f>IFERROR(INDEX([1]Produtos!$I:$I,MATCH(L2176,[1]Produtos!$B:$B,0)), "-")</f>
        <v>-</v>
      </c>
      <c r="S2176" s="483" t="str">
        <f>IFERROR(INDEX([1]Produtos!$J:$J,MATCH(L2176,[1]Produtos!$B:$B,0)), "-")</f>
        <v>-</v>
      </c>
      <c r="T2176" s="484"/>
      <c r="U2176" s="483"/>
      <c r="V2176" s="483"/>
      <c r="W2176" s="483"/>
      <c r="X2176" s="483"/>
      <c r="Y2176" s="483"/>
      <c r="Z2176" s="483"/>
      <c r="AA2176" s="483"/>
      <c r="AB2176" s="483"/>
      <c r="AC2176" s="483"/>
      <c r="AD2176" s="483"/>
      <c r="AE2176" s="483"/>
      <c r="AF2176" s="483"/>
      <c r="AG2176" s="483"/>
      <c r="AH2176" s="483"/>
      <c r="AI2176" s="483"/>
      <c r="AJ2176" s="483"/>
      <c r="AK2176" s="483"/>
      <c r="AL2176" s="483"/>
      <c r="AM2176" s="670"/>
      <c r="AN2176" s="670"/>
      <c r="AO2176" s="711" t="str">
        <f>IF(OR(Table1[[#This Row],[Início Setup Envase]]="",Table1[[#This Row],[Final Setup Envase]]=""),"",Table1[[#This Row],[Final Setup Envase]]-Table1[[#This Row],[Início Setup Envase]])</f>
        <v/>
      </c>
      <c r="AP2176" s="670"/>
      <c r="AQ2176" s="670"/>
      <c r="AR2176" s="483"/>
      <c r="AS2176" s="483"/>
      <c r="AT2176" s="483"/>
      <c r="AU2176" s="483"/>
      <c r="AV2176" s="483"/>
      <c r="AW2176" s="483"/>
      <c r="AX2176" s="483"/>
      <c r="AY2176" s="270"/>
      <c r="AZ2176" s="270"/>
      <c r="BA2176" s="270" t="str">
        <f>IF(Table1[[#This Row],[Data de Início]]="","",YEAR(Table1[[#This Row],[Data de Início]]))</f>
        <v/>
      </c>
      <c r="BB2176" s="270" t="str">
        <f>IF(Table1[[#This Row],[Data de Início]]="","",MONTH(Table1[[#This Row],[Data de Início]]))</f>
        <v/>
      </c>
      <c r="BC2176" s="270"/>
    </row>
    <row r="2177" spans="2:55" x14ac:dyDescent="0.25">
      <c r="B2177" s="470"/>
      <c r="C2177" s="263"/>
      <c r="D2177" s="477" cm="1">
        <f t="array" ref="D2177">IFERROR(HorasUteisFabrica2Turnos(B2177,C2177), "")</f>
        <v>0</v>
      </c>
      <c r="E2177" s="697" t="str">
        <f t="shared" si="34"/>
        <v/>
      </c>
      <c r="F2177" s="266"/>
      <c r="G2177" s="698"/>
      <c r="H2177" s="266"/>
      <c r="I2177" s="268"/>
      <c r="J2177" s="268"/>
      <c r="K2177" s="268"/>
      <c r="L2177" s="269"/>
      <c r="M2177" s="510" t="str">
        <f>IFERROR(INDEX([1]Produtos!$C:$C,MATCH(L2177,[1]Produtos!$B:$B,0)), "-")</f>
        <v>-</v>
      </c>
      <c r="N2177" s="510" t="str">
        <f>IFERROR(INDEX([1]Produtos!$E:$E,MATCH(L2177,[1]Produtos!$B:$B,0)), "-")</f>
        <v>-</v>
      </c>
      <c r="O2177" s="270" t="str">
        <f>IFERROR(INDEX([1]Produtos!$F:$F,MATCH(L2177,[1]Produtos!$B:$B,0)), "-")</f>
        <v>-</v>
      </c>
      <c r="P2177" s="264" t="str">
        <f>IFERROR(INDEX([1]Produtos!$G:$G,MATCH(L2177,[1]Produtos!$B:$B,0)), "-")</f>
        <v>-</v>
      </c>
      <c r="Q2177" s="270" t="str">
        <f>IFERROR(INDEX([1]Produtos!$H:$H,MATCH(L2177,[1]Produtos!$B:$B,0)), "-")</f>
        <v>-</v>
      </c>
      <c r="R2177" s="270" t="str">
        <f>IFERROR(INDEX([1]Produtos!$I:$I,MATCH(L2177,[1]Produtos!$B:$B,0)), "-")</f>
        <v>-</v>
      </c>
      <c r="S2177" s="270" t="str">
        <f>IFERROR(INDEX([1]Produtos!$J:$J,MATCH(L2177,[1]Produtos!$B:$B,0)), "-")</f>
        <v>-</v>
      </c>
      <c r="T2177" s="475"/>
      <c r="U2177" s="270"/>
      <c r="V2177" s="270"/>
      <c r="W2177" s="270"/>
      <c r="X2177" s="270"/>
      <c r="Y2177" s="270"/>
      <c r="Z2177" s="270"/>
      <c r="AA2177" s="270"/>
      <c r="AB2177" s="270"/>
      <c r="AC2177" s="270"/>
      <c r="AD2177" s="270"/>
      <c r="AE2177" s="270"/>
      <c r="AF2177" s="270"/>
      <c r="AG2177" s="270"/>
      <c r="AH2177" s="270"/>
      <c r="AI2177" s="270"/>
      <c r="AJ2177" s="270"/>
      <c r="AK2177" s="270"/>
      <c r="AL2177" s="270"/>
      <c r="AM2177" s="663"/>
      <c r="AN2177" s="663"/>
      <c r="AO2177" s="708" t="str">
        <f>IF(OR(Table1[[#This Row],[Início Setup Envase]]="",Table1[[#This Row],[Final Setup Envase]]=""),"",Table1[[#This Row],[Final Setup Envase]]-Table1[[#This Row],[Início Setup Envase]])</f>
        <v/>
      </c>
      <c r="AP2177" s="663"/>
      <c r="AQ2177" s="663"/>
      <c r="AR2177" s="270"/>
      <c r="AS2177" s="674"/>
      <c r="AT2177" s="674"/>
      <c r="AU2177" s="270"/>
      <c r="AV2177" s="270"/>
      <c r="AW2177" s="270"/>
      <c r="AX2177" s="270"/>
      <c r="AY2177" s="270"/>
      <c r="AZ2177" s="270"/>
      <c r="BA2177" s="270" t="str">
        <f>IF(Table1[[#This Row],[Data de Início]]="","",YEAR(Table1[[#This Row],[Data de Início]]))</f>
        <v/>
      </c>
      <c r="BB2177" s="270" t="str">
        <f>IF(Table1[[#This Row],[Data de Início]]="","",MONTH(Table1[[#This Row],[Data de Início]]))</f>
        <v/>
      </c>
      <c r="BC2177" s="483"/>
    </row>
    <row r="2178" spans="2:55" x14ac:dyDescent="0.25">
      <c r="B2178" s="470"/>
      <c r="C2178" s="263"/>
      <c r="D2178" s="477" cm="1">
        <f t="array" ref="D2178">IFERROR(HorasUteisFabrica2Turnos(B2178,C2178), "")</f>
        <v>0</v>
      </c>
      <c r="E2178" s="478" t="str">
        <f t="shared" si="34"/>
        <v/>
      </c>
      <c r="F2178" s="266"/>
      <c r="G2178" s="656"/>
      <c r="H2178" s="479"/>
      <c r="I2178" s="268"/>
      <c r="J2178" s="268"/>
      <c r="K2178" s="268"/>
      <c r="L2178" s="269"/>
      <c r="M2178" s="511" t="str">
        <f>IFERROR(INDEX([1]Produtos!$C:$C,MATCH(L2178,[1]Produtos!$B:$B,0)), "-")</f>
        <v>-</v>
      </c>
      <c r="N2178" s="511" t="str">
        <f>IFERROR(INDEX([1]Produtos!$E:$E,MATCH(L2178,[1]Produtos!$B:$B,0)), "-")</f>
        <v>-</v>
      </c>
      <c r="O2178" s="483" t="str">
        <f>IFERROR(INDEX([1]Produtos!$F:$F,MATCH(L2178,[1]Produtos!$B:$B,0)), "-")</f>
        <v>-</v>
      </c>
      <c r="P2178" s="477" t="str">
        <f>IFERROR(INDEX([1]Produtos!$G:$G,MATCH(L2178,[1]Produtos!$B:$B,0)), "-")</f>
        <v>-</v>
      </c>
      <c r="Q2178" s="483" t="str">
        <f>IFERROR(INDEX([1]Produtos!$H:$H,MATCH(L2178,[1]Produtos!$B:$B,0)), "-")</f>
        <v>-</v>
      </c>
      <c r="R2178" s="483" t="str">
        <f>IFERROR(INDEX([1]Produtos!$I:$I,MATCH(L2178,[1]Produtos!$B:$B,0)), "-")</f>
        <v>-</v>
      </c>
      <c r="S2178" s="483" t="str">
        <f>IFERROR(INDEX([1]Produtos!$J:$J,MATCH(L2178,[1]Produtos!$B:$B,0)), "-")</f>
        <v>-</v>
      </c>
      <c r="T2178" s="484"/>
      <c r="U2178" s="483"/>
      <c r="V2178" s="483"/>
      <c r="W2178" s="483"/>
      <c r="X2178" s="483"/>
      <c r="Y2178" s="483"/>
      <c r="Z2178" s="483"/>
      <c r="AA2178" s="483"/>
      <c r="AB2178" s="483"/>
      <c r="AC2178" s="483"/>
      <c r="AD2178" s="483"/>
      <c r="AE2178" s="483"/>
      <c r="AF2178" s="483"/>
      <c r="AG2178" s="483"/>
      <c r="AH2178" s="483"/>
      <c r="AI2178" s="483"/>
      <c r="AJ2178" s="483"/>
      <c r="AK2178" s="483"/>
      <c r="AL2178" s="483"/>
      <c r="AM2178" s="670"/>
      <c r="AN2178" s="670"/>
      <c r="AO2178" s="711" t="str">
        <f>IF(OR(Table1[[#This Row],[Início Setup Envase]]="",Table1[[#This Row],[Final Setup Envase]]=""),"",Table1[[#This Row],[Final Setup Envase]]-Table1[[#This Row],[Início Setup Envase]])</f>
        <v/>
      </c>
      <c r="AP2178" s="670"/>
      <c r="AQ2178" s="670"/>
      <c r="AR2178" s="483"/>
      <c r="AS2178" s="483"/>
      <c r="AT2178" s="483"/>
      <c r="AU2178" s="483"/>
      <c r="AV2178" s="483"/>
      <c r="AW2178" s="483"/>
      <c r="AX2178" s="483"/>
      <c r="AY2178" s="270"/>
      <c r="AZ2178" s="270"/>
      <c r="BA2178" s="270" t="str">
        <f>IF(Table1[[#This Row],[Data de Início]]="","",YEAR(Table1[[#This Row],[Data de Início]]))</f>
        <v/>
      </c>
      <c r="BB2178" s="270" t="str">
        <f>IF(Table1[[#This Row],[Data de Início]]="","",MONTH(Table1[[#This Row],[Data de Início]]))</f>
        <v/>
      </c>
      <c r="BC2178" s="270"/>
    </row>
    <row r="2179" spans="2:55" x14ac:dyDescent="0.25">
      <c r="B2179" s="470"/>
      <c r="C2179" s="263"/>
      <c r="D2179" s="477" cm="1">
        <f t="array" ref="D2179">IFERROR(HorasUteisFabrica2Turnos(B2179,C2179), "")</f>
        <v>0</v>
      </c>
      <c r="E2179" s="697" t="str">
        <f t="shared" si="34"/>
        <v/>
      </c>
      <c r="F2179" s="266"/>
      <c r="G2179" s="698"/>
      <c r="H2179" s="266"/>
      <c r="I2179" s="268"/>
      <c r="J2179" s="268"/>
      <c r="K2179" s="268"/>
      <c r="L2179" s="269"/>
      <c r="M2179" s="510" t="str">
        <f>IFERROR(INDEX([1]Produtos!$C:$C,MATCH(L2179,[1]Produtos!$B:$B,0)), "-")</f>
        <v>-</v>
      </c>
      <c r="N2179" s="510" t="str">
        <f>IFERROR(INDEX([1]Produtos!$E:$E,MATCH(L2179,[1]Produtos!$B:$B,0)), "-")</f>
        <v>-</v>
      </c>
      <c r="O2179" s="270" t="str">
        <f>IFERROR(INDEX([1]Produtos!$F:$F,MATCH(L2179,[1]Produtos!$B:$B,0)), "-")</f>
        <v>-</v>
      </c>
      <c r="P2179" s="264" t="str">
        <f>IFERROR(INDEX([1]Produtos!$G:$G,MATCH(L2179,[1]Produtos!$B:$B,0)), "-")</f>
        <v>-</v>
      </c>
      <c r="Q2179" s="270" t="str">
        <f>IFERROR(INDEX([1]Produtos!$H:$H,MATCH(L2179,[1]Produtos!$B:$B,0)), "-")</f>
        <v>-</v>
      </c>
      <c r="R2179" s="270" t="str">
        <f>IFERROR(INDEX([1]Produtos!$I:$I,MATCH(L2179,[1]Produtos!$B:$B,0)), "-")</f>
        <v>-</v>
      </c>
      <c r="S2179" s="270" t="str">
        <f>IFERROR(INDEX([1]Produtos!$J:$J,MATCH(L2179,[1]Produtos!$B:$B,0)), "-")</f>
        <v>-</v>
      </c>
      <c r="T2179" s="475"/>
      <c r="U2179" s="270"/>
      <c r="V2179" s="270"/>
      <c r="W2179" s="270"/>
      <c r="X2179" s="270"/>
      <c r="Y2179" s="270"/>
      <c r="Z2179" s="270"/>
      <c r="AA2179" s="270"/>
      <c r="AB2179" s="270"/>
      <c r="AC2179" s="270"/>
      <c r="AD2179" s="270"/>
      <c r="AE2179" s="270"/>
      <c r="AF2179" s="270"/>
      <c r="AG2179" s="270"/>
      <c r="AH2179" s="270"/>
      <c r="AI2179" s="270"/>
      <c r="AJ2179" s="270"/>
      <c r="AK2179" s="270"/>
      <c r="AL2179" s="270"/>
      <c r="AM2179" s="663"/>
      <c r="AN2179" s="663"/>
      <c r="AO2179" s="708" t="str">
        <f>IF(OR(Table1[[#This Row],[Início Setup Envase]]="",Table1[[#This Row],[Final Setup Envase]]=""),"",Table1[[#This Row],[Final Setup Envase]]-Table1[[#This Row],[Início Setup Envase]])</f>
        <v/>
      </c>
      <c r="AP2179" s="663"/>
      <c r="AQ2179" s="663"/>
      <c r="AR2179" s="270"/>
      <c r="AS2179" s="674"/>
      <c r="AT2179" s="674"/>
      <c r="AU2179" s="270"/>
      <c r="AV2179" s="270"/>
      <c r="AW2179" s="270"/>
      <c r="AX2179" s="270"/>
      <c r="AY2179" s="270"/>
      <c r="AZ2179" s="270"/>
      <c r="BA2179" s="270" t="str">
        <f>IF(Table1[[#This Row],[Data de Início]]="","",YEAR(Table1[[#This Row],[Data de Início]]))</f>
        <v/>
      </c>
      <c r="BB2179" s="270" t="str">
        <f>IF(Table1[[#This Row],[Data de Início]]="","",MONTH(Table1[[#This Row],[Data de Início]]))</f>
        <v/>
      </c>
      <c r="BC2179" s="483"/>
    </row>
    <row r="2180" spans="2:55" x14ac:dyDescent="0.25">
      <c r="B2180" s="470"/>
      <c r="C2180" s="263"/>
      <c r="D2180" s="477" cm="1">
        <f t="array" ref="D2180">IFERROR(HorasUteisFabrica2Turnos(B2180,C2180), "")</f>
        <v>0</v>
      </c>
      <c r="E2180" s="478" t="str">
        <f t="shared" si="34"/>
        <v/>
      </c>
      <c r="F2180" s="266"/>
      <c r="G2180" s="656"/>
      <c r="H2180" s="479"/>
      <c r="I2180" s="268"/>
      <c r="J2180" s="268"/>
      <c r="K2180" s="268"/>
      <c r="L2180" s="269"/>
      <c r="M2180" s="511" t="str">
        <f>IFERROR(INDEX([1]Produtos!$C:$C,MATCH(L2180,[1]Produtos!$B:$B,0)), "-")</f>
        <v>-</v>
      </c>
      <c r="N2180" s="511" t="str">
        <f>IFERROR(INDEX([1]Produtos!$E:$E,MATCH(L2180,[1]Produtos!$B:$B,0)), "-")</f>
        <v>-</v>
      </c>
      <c r="O2180" s="483" t="str">
        <f>IFERROR(INDEX([1]Produtos!$F:$F,MATCH(L2180,[1]Produtos!$B:$B,0)), "-")</f>
        <v>-</v>
      </c>
      <c r="P2180" s="477" t="str">
        <f>IFERROR(INDEX([1]Produtos!$G:$G,MATCH(L2180,[1]Produtos!$B:$B,0)), "-")</f>
        <v>-</v>
      </c>
      <c r="Q2180" s="483" t="str">
        <f>IFERROR(INDEX([1]Produtos!$H:$H,MATCH(L2180,[1]Produtos!$B:$B,0)), "-")</f>
        <v>-</v>
      </c>
      <c r="R2180" s="483" t="str">
        <f>IFERROR(INDEX([1]Produtos!$I:$I,MATCH(L2180,[1]Produtos!$B:$B,0)), "-")</f>
        <v>-</v>
      </c>
      <c r="S2180" s="483" t="str">
        <f>IFERROR(INDEX([1]Produtos!$J:$J,MATCH(L2180,[1]Produtos!$B:$B,0)), "-")</f>
        <v>-</v>
      </c>
      <c r="T2180" s="484"/>
      <c r="U2180" s="483"/>
      <c r="V2180" s="483"/>
      <c r="W2180" s="483"/>
      <c r="X2180" s="483"/>
      <c r="Y2180" s="483"/>
      <c r="Z2180" s="483"/>
      <c r="AA2180" s="483"/>
      <c r="AB2180" s="483"/>
      <c r="AC2180" s="483"/>
      <c r="AD2180" s="483"/>
      <c r="AE2180" s="483"/>
      <c r="AF2180" s="483"/>
      <c r="AG2180" s="483"/>
      <c r="AH2180" s="483"/>
      <c r="AI2180" s="483"/>
      <c r="AJ2180" s="483"/>
      <c r="AK2180" s="483"/>
      <c r="AL2180" s="483"/>
      <c r="AM2180" s="670"/>
      <c r="AN2180" s="670"/>
      <c r="AO2180" s="711" t="str">
        <f>IF(OR(Table1[[#This Row],[Início Setup Envase]]="",Table1[[#This Row],[Final Setup Envase]]=""),"",Table1[[#This Row],[Final Setup Envase]]-Table1[[#This Row],[Início Setup Envase]])</f>
        <v/>
      </c>
      <c r="AP2180" s="670"/>
      <c r="AQ2180" s="670"/>
      <c r="AR2180" s="483"/>
      <c r="AS2180" s="483"/>
      <c r="AT2180" s="483"/>
      <c r="AU2180" s="483"/>
      <c r="AV2180" s="483"/>
      <c r="AW2180" s="483"/>
      <c r="AX2180" s="483"/>
      <c r="AY2180" s="270"/>
      <c r="AZ2180" s="270"/>
      <c r="BA2180" s="270" t="str">
        <f>IF(Table1[[#This Row],[Data de Início]]="","",YEAR(Table1[[#This Row],[Data de Início]]))</f>
        <v/>
      </c>
      <c r="BB2180" s="270" t="str">
        <f>IF(Table1[[#This Row],[Data de Início]]="","",MONTH(Table1[[#This Row],[Data de Início]]))</f>
        <v/>
      </c>
      <c r="BC2180" s="270"/>
    </row>
    <row r="2181" spans="2:55" x14ac:dyDescent="0.25">
      <c r="B2181" s="470"/>
      <c r="C2181" s="263"/>
      <c r="D2181" s="477" cm="1">
        <f t="array" ref="D2181">IFERROR(HorasUteisFabrica2Turnos(B2181,C2181), "")</f>
        <v>0</v>
      </c>
      <c r="E2181" s="697" t="str">
        <f t="shared" si="34"/>
        <v/>
      </c>
      <c r="F2181" s="266"/>
      <c r="G2181" s="698"/>
      <c r="H2181" s="266"/>
      <c r="I2181" s="268"/>
      <c r="J2181" s="268"/>
      <c r="K2181" s="268"/>
      <c r="L2181" s="269"/>
      <c r="M2181" s="510" t="str">
        <f>IFERROR(INDEX([1]Produtos!$C:$C,MATCH(L2181,[1]Produtos!$B:$B,0)), "-")</f>
        <v>-</v>
      </c>
      <c r="N2181" s="510" t="str">
        <f>IFERROR(INDEX([1]Produtos!$E:$E,MATCH(L2181,[1]Produtos!$B:$B,0)), "-")</f>
        <v>-</v>
      </c>
      <c r="O2181" s="270" t="str">
        <f>IFERROR(INDEX([1]Produtos!$F:$F,MATCH(L2181,[1]Produtos!$B:$B,0)), "-")</f>
        <v>-</v>
      </c>
      <c r="P2181" s="264" t="str">
        <f>IFERROR(INDEX([1]Produtos!$G:$G,MATCH(L2181,[1]Produtos!$B:$B,0)), "-")</f>
        <v>-</v>
      </c>
      <c r="Q2181" s="270" t="str">
        <f>IFERROR(INDEX([1]Produtos!$H:$H,MATCH(L2181,[1]Produtos!$B:$B,0)), "-")</f>
        <v>-</v>
      </c>
      <c r="R2181" s="270" t="str">
        <f>IFERROR(INDEX([1]Produtos!$I:$I,MATCH(L2181,[1]Produtos!$B:$B,0)), "-")</f>
        <v>-</v>
      </c>
      <c r="S2181" s="270" t="str">
        <f>IFERROR(INDEX([1]Produtos!$J:$J,MATCH(L2181,[1]Produtos!$B:$B,0)), "-")</f>
        <v>-</v>
      </c>
      <c r="T2181" s="475"/>
      <c r="U2181" s="270"/>
      <c r="V2181" s="270"/>
      <c r="W2181" s="270"/>
      <c r="X2181" s="270"/>
      <c r="Y2181" s="270"/>
      <c r="Z2181" s="270"/>
      <c r="AA2181" s="270"/>
      <c r="AB2181" s="270"/>
      <c r="AC2181" s="270"/>
      <c r="AD2181" s="270"/>
      <c r="AE2181" s="270"/>
      <c r="AF2181" s="270"/>
      <c r="AG2181" s="270"/>
      <c r="AH2181" s="270"/>
      <c r="AI2181" s="270"/>
      <c r="AJ2181" s="270"/>
      <c r="AK2181" s="270"/>
      <c r="AL2181" s="270"/>
      <c r="AM2181" s="663"/>
      <c r="AN2181" s="663"/>
      <c r="AO2181" s="708" t="str">
        <f>IF(OR(Table1[[#This Row],[Início Setup Envase]]="",Table1[[#This Row],[Final Setup Envase]]=""),"",Table1[[#This Row],[Final Setup Envase]]-Table1[[#This Row],[Início Setup Envase]])</f>
        <v/>
      </c>
      <c r="AP2181" s="663"/>
      <c r="AQ2181" s="663"/>
      <c r="AR2181" s="270"/>
      <c r="AS2181" s="674"/>
      <c r="AT2181" s="674"/>
      <c r="AU2181" s="270"/>
      <c r="AV2181" s="270"/>
      <c r="AW2181" s="270"/>
      <c r="AX2181" s="270"/>
      <c r="AY2181" s="270"/>
      <c r="AZ2181" s="270"/>
      <c r="BA2181" s="270" t="str">
        <f>IF(Table1[[#This Row],[Data de Início]]="","",YEAR(Table1[[#This Row],[Data de Início]]))</f>
        <v/>
      </c>
      <c r="BB2181" s="270" t="str">
        <f>IF(Table1[[#This Row],[Data de Início]]="","",MONTH(Table1[[#This Row],[Data de Início]]))</f>
        <v/>
      </c>
      <c r="BC2181" s="483"/>
    </row>
    <row r="2182" spans="2:55" x14ac:dyDescent="0.25">
      <c r="B2182" s="470"/>
      <c r="C2182" s="263"/>
      <c r="D2182" s="477" cm="1">
        <f t="array" ref="D2182">IFERROR(HorasUteisFabrica2Turnos(B2182,C2182), "")</f>
        <v>0</v>
      </c>
      <c r="E2182" s="478" t="str">
        <f t="shared" si="34"/>
        <v/>
      </c>
      <c r="F2182" s="266"/>
      <c r="G2182" s="656"/>
      <c r="H2182" s="479"/>
      <c r="I2182" s="268"/>
      <c r="J2182" s="268"/>
      <c r="K2182" s="268"/>
      <c r="L2182" s="269"/>
      <c r="M2182" s="511" t="str">
        <f>IFERROR(INDEX([1]Produtos!$C:$C,MATCH(L2182,[1]Produtos!$B:$B,0)), "-")</f>
        <v>-</v>
      </c>
      <c r="N2182" s="511" t="str">
        <f>IFERROR(INDEX([1]Produtos!$E:$E,MATCH(L2182,[1]Produtos!$B:$B,0)), "-")</f>
        <v>-</v>
      </c>
      <c r="O2182" s="483" t="str">
        <f>IFERROR(INDEX([1]Produtos!$F:$F,MATCH(L2182,[1]Produtos!$B:$B,0)), "-")</f>
        <v>-</v>
      </c>
      <c r="P2182" s="477" t="str">
        <f>IFERROR(INDEX([1]Produtos!$G:$G,MATCH(L2182,[1]Produtos!$B:$B,0)), "-")</f>
        <v>-</v>
      </c>
      <c r="Q2182" s="483" t="str">
        <f>IFERROR(INDEX([1]Produtos!$H:$H,MATCH(L2182,[1]Produtos!$B:$B,0)), "-")</f>
        <v>-</v>
      </c>
      <c r="R2182" s="483" t="str">
        <f>IFERROR(INDEX([1]Produtos!$I:$I,MATCH(L2182,[1]Produtos!$B:$B,0)), "-")</f>
        <v>-</v>
      </c>
      <c r="S2182" s="483" t="str">
        <f>IFERROR(INDEX([1]Produtos!$J:$J,MATCH(L2182,[1]Produtos!$B:$B,0)), "-")</f>
        <v>-</v>
      </c>
      <c r="T2182" s="484"/>
      <c r="U2182" s="483"/>
      <c r="V2182" s="483"/>
      <c r="W2182" s="483"/>
      <c r="X2182" s="483"/>
      <c r="Y2182" s="483"/>
      <c r="Z2182" s="483"/>
      <c r="AA2182" s="483"/>
      <c r="AB2182" s="483"/>
      <c r="AC2182" s="483"/>
      <c r="AD2182" s="483"/>
      <c r="AE2182" s="483"/>
      <c r="AF2182" s="483"/>
      <c r="AG2182" s="483"/>
      <c r="AH2182" s="483"/>
      <c r="AI2182" s="483"/>
      <c r="AJ2182" s="483"/>
      <c r="AK2182" s="483"/>
      <c r="AL2182" s="483"/>
      <c r="AM2182" s="670"/>
      <c r="AN2182" s="670"/>
      <c r="AO2182" s="711" t="str">
        <f>IF(OR(Table1[[#This Row],[Início Setup Envase]]="",Table1[[#This Row],[Final Setup Envase]]=""),"",Table1[[#This Row],[Final Setup Envase]]-Table1[[#This Row],[Início Setup Envase]])</f>
        <v/>
      </c>
      <c r="AP2182" s="670"/>
      <c r="AQ2182" s="670"/>
      <c r="AR2182" s="483"/>
      <c r="AS2182" s="483"/>
      <c r="AT2182" s="483"/>
      <c r="AU2182" s="483"/>
      <c r="AV2182" s="483"/>
      <c r="AW2182" s="483"/>
      <c r="AX2182" s="483"/>
      <c r="AY2182" s="270"/>
      <c r="AZ2182" s="270"/>
      <c r="BA2182" s="270" t="str">
        <f>IF(Table1[[#This Row],[Data de Início]]="","",YEAR(Table1[[#This Row],[Data de Início]]))</f>
        <v/>
      </c>
      <c r="BB2182" s="270" t="str">
        <f>IF(Table1[[#This Row],[Data de Início]]="","",MONTH(Table1[[#This Row],[Data de Início]]))</f>
        <v/>
      </c>
      <c r="BC2182" s="270"/>
    </row>
    <row r="2183" spans="2:55" x14ac:dyDescent="0.25">
      <c r="B2183" s="470"/>
      <c r="C2183" s="263"/>
      <c r="D2183" s="477" cm="1">
        <f t="array" ref="D2183">IFERROR(HorasUteisFabrica2Turnos(B2183,C2183), "")</f>
        <v>0</v>
      </c>
      <c r="E2183" s="697" t="str">
        <f t="shared" si="34"/>
        <v/>
      </c>
      <c r="F2183" s="266"/>
      <c r="G2183" s="698"/>
      <c r="H2183" s="266"/>
      <c r="I2183" s="268"/>
      <c r="J2183" s="268"/>
      <c r="K2183" s="268"/>
      <c r="L2183" s="269"/>
      <c r="M2183" s="510" t="str">
        <f>IFERROR(INDEX([1]Produtos!$C:$C,MATCH(L2183,[1]Produtos!$B:$B,0)), "-")</f>
        <v>-</v>
      </c>
      <c r="N2183" s="510" t="str">
        <f>IFERROR(INDEX([1]Produtos!$E:$E,MATCH(L2183,[1]Produtos!$B:$B,0)), "-")</f>
        <v>-</v>
      </c>
      <c r="O2183" s="270" t="str">
        <f>IFERROR(INDEX([1]Produtos!$F:$F,MATCH(L2183,[1]Produtos!$B:$B,0)), "-")</f>
        <v>-</v>
      </c>
      <c r="P2183" s="264" t="str">
        <f>IFERROR(INDEX([1]Produtos!$G:$G,MATCH(L2183,[1]Produtos!$B:$B,0)), "-")</f>
        <v>-</v>
      </c>
      <c r="Q2183" s="270" t="str">
        <f>IFERROR(INDEX([1]Produtos!$H:$H,MATCH(L2183,[1]Produtos!$B:$B,0)), "-")</f>
        <v>-</v>
      </c>
      <c r="R2183" s="270" t="str">
        <f>IFERROR(INDEX([1]Produtos!$I:$I,MATCH(L2183,[1]Produtos!$B:$B,0)), "-")</f>
        <v>-</v>
      </c>
      <c r="S2183" s="270" t="str">
        <f>IFERROR(INDEX([1]Produtos!$J:$J,MATCH(L2183,[1]Produtos!$B:$B,0)), "-")</f>
        <v>-</v>
      </c>
      <c r="T2183" s="475"/>
      <c r="U2183" s="270"/>
      <c r="V2183" s="270"/>
      <c r="W2183" s="270"/>
      <c r="X2183" s="270"/>
      <c r="Y2183" s="270"/>
      <c r="Z2183" s="270"/>
      <c r="AA2183" s="270"/>
      <c r="AB2183" s="270"/>
      <c r="AC2183" s="270"/>
      <c r="AD2183" s="270"/>
      <c r="AE2183" s="270"/>
      <c r="AF2183" s="270"/>
      <c r="AG2183" s="270"/>
      <c r="AH2183" s="270"/>
      <c r="AI2183" s="270"/>
      <c r="AJ2183" s="270"/>
      <c r="AK2183" s="270"/>
      <c r="AL2183" s="270"/>
      <c r="AM2183" s="663"/>
      <c r="AN2183" s="663"/>
      <c r="AO2183" s="708" t="str">
        <f>IF(OR(Table1[[#This Row],[Início Setup Envase]]="",Table1[[#This Row],[Final Setup Envase]]=""),"",Table1[[#This Row],[Final Setup Envase]]-Table1[[#This Row],[Início Setup Envase]])</f>
        <v/>
      </c>
      <c r="AP2183" s="663"/>
      <c r="AQ2183" s="663"/>
      <c r="AR2183" s="270"/>
      <c r="AS2183" s="674"/>
      <c r="AT2183" s="674"/>
      <c r="AU2183" s="270"/>
      <c r="AV2183" s="270"/>
      <c r="AW2183" s="270"/>
      <c r="AX2183" s="270"/>
      <c r="AY2183" s="270"/>
      <c r="AZ2183" s="270"/>
      <c r="BA2183" s="270" t="str">
        <f>IF(Table1[[#This Row],[Data de Início]]="","",YEAR(Table1[[#This Row],[Data de Início]]))</f>
        <v/>
      </c>
      <c r="BB2183" s="270" t="str">
        <f>IF(Table1[[#This Row],[Data de Início]]="","",MONTH(Table1[[#This Row],[Data de Início]]))</f>
        <v/>
      </c>
      <c r="BC2183" s="483"/>
    </row>
    <row r="2184" spans="2:55" x14ac:dyDescent="0.25">
      <c r="B2184" s="470"/>
      <c r="C2184" s="263"/>
      <c r="D2184" s="477" cm="1">
        <f t="array" ref="D2184">IFERROR(HorasUteisFabrica2Turnos(B2184,C2184), "")</f>
        <v>0</v>
      </c>
      <c r="E2184" s="478" t="str">
        <f t="shared" si="34"/>
        <v/>
      </c>
      <c r="F2184" s="266"/>
      <c r="G2184" s="656"/>
      <c r="H2184" s="479"/>
      <c r="I2184" s="268"/>
      <c r="J2184" s="268"/>
      <c r="K2184" s="268"/>
      <c r="L2184" s="269"/>
      <c r="M2184" s="511" t="str">
        <f>IFERROR(INDEX([1]Produtos!$C:$C,MATCH(L2184,[1]Produtos!$B:$B,0)), "-")</f>
        <v>-</v>
      </c>
      <c r="N2184" s="511" t="str">
        <f>IFERROR(INDEX([1]Produtos!$E:$E,MATCH(L2184,[1]Produtos!$B:$B,0)), "-")</f>
        <v>-</v>
      </c>
      <c r="O2184" s="483" t="str">
        <f>IFERROR(INDEX([1]Produtos!$F:$F,MATCH(L2184,[1]Produtos!$B:$B,0)), "-")</f>
        <v>-</v>
      </c>
      <c r="P2184" s="477" t="str">
        <f>IFERROR(INDEX([1]Produtos!$G:$G,MATCH(L2184,[1]Produtos!$B:$B,0)), "-")</f>
        <v>-</v>
      </c>
      <c r="Q2184" s="483" t="str">
        <f>IFERROR(INDEX([1]Produtos!$H:$H,MATCH(L2184,[1]Produtos!$B:$B,0)), "-")</f>
        <v>-</v>
      </c>
      <c r="R2184" s="483" t="str">
        <f>IFERROR(INDEX([1]Produtos!$I:$I,MATCH(L2184,[1]Produtos!$B:$B,0)), "-")</f>
        <v>-</v>
      </c>
      <c r="S2184" s="483" t="str">
        <f>IFERROR(INDEX([1]Produtos!$J:$J,MATCH(L2184,[1]Produtos!$B:$B,0)), "-")</f>
        <v>-</v>
      </c>
      <c r="T2184" s="484"/>
      <c r="U2184" s="483"/>
      <c r="V2184" s="483"/>
      <c r="W2184" s="483"/>
      <c r="X2184" s="483"/>
      <c r="Y2184" s="483"/>
      <c r="Z2184" s="483"/>
      <c r="AA2184" s="483"/>
      <c r="AB2184" s="483"/>
      <c r="AC2184" s="483"/>
      <c r="AD2184" s="483"/>
      <c r="AE2184" s="483"/>
      <c r="AF2184" s="483"/>
      <c r="AG2184" s="483"/>
      <c r="AH2184" s="483"/>
      <c r="AI2184" s="483"/>
      <c r="AJ2184" s="483"/>
      <c r="AK2184" s="483"/>
      <c r="AL2184" s="483"/>
      <c r="AM2184" s="670"/>
      <c r="AN2184" s="670"/>
      <c r="AO2184" s="711" t="str">
        <f>IF(OR(Table1[[#This Row],[Início Setup Envase]]="",Table1[[#This Row],[Final Setup Envase]]=""),"",Table1[[#This Row],[Final Setup Envase]]-Table1[[#This Row],[Início Setup Envase]])</f>
        <v/>
      </c>
      <c r="AP2184" s="670"/>
      <c r="AQ2184" s="670"/>
      <c r="AR2184" s="483"/>
      <c r="AS2184" s="483"/>
      <c r="AT2184" s="483"/>
      <c r="AU2184" s="483"/>
      <c r="AV2184" s="483"/>
      <c r="AW2184" s="483"/>
      <c r="AX2184" s="483"/>
      <c r="AY2184" s="270"/>
      <c r="AZ2184" s="270"/>
      <c r="BA2184" s="270" t="str">
        <f>IF(Table1[[#This Row],[Data de Início]]="","",YEAR(Table1[[#This Row],[Data de Início]]))</f>
        <v/>
      </c>
      <c r="BB2184" s="270" t="str">
        <f>IF(Table1[[#This Row],[Data de Início]]="","",MONTH(Table1[[#This Row],[Data de Início]]))</f>
        <v/>
      </c>
      <c r="BC2184" s="270"/>
    </row>
    <row r="2185" spans="2:55" x14ac:dyDescent="0.25">
      <c r="B2185" s="470"/>
      <c r="C2185" s="263"/>
      <c r="D2185" s="477" cm="1">
        <f t="array" ref="D2185">IFERROR(HorasUteisFabrica2Turnos(B2185,C2185), "")</f>
        <v>0</v>
      </c>
      <c r="E2185" s="697" t="str">
        <f t="shared" si="34"/>
        <v/>
      </c>
      <c r="F2185" s="266"/>
      <c r="G2185" s="698"/>
      <c r="H2185" s="266"/>
      <c r="I2185" s="268"/>
      <c r="J2185" s="268"/>
      <c r="K2185" s="268"/>
      <c r="L2185" s="269"/>
      <c r="M2185" s="510" t="str">
        <f>IFERROR(INDEX([1]Produtos!$C:$C,MATCH(L2185,[1]Produtos!$B:$B,0)), "-")</f>
        <v>-</v>
      </c>
      <c r="N2185" s="510" t="str">
        <f>IFERROR(INDEX([1]Produtos!$E:$E,MATCH(L2185,[1]Produtos!$B:$B,0)), "-")</f>
        <v>-</v>
      </c>
      <c r="O2185" s="270" t="str">
        <f>IFERROR(INDEX([1]Produtos!$F:$F,MATCH(L2185,[1]Produtos!$B:$B,0)), "-")</f>
        <v>-</v>
      </c>
      <c r="P2185" s="264" t="str">
        <f>IFERROR(INDEX([1]Produtos!$G:$G,MATCH(L2185,[1]Produtos!$B:$B,0)), "-")</f>
        <v>-</v>
      </c>
      <c r="Q2185" s="270" t="str">
        <f>IFERROR(INDEX([1]Produtos!$H:$H,MATCH(L2185,[1]Produtos!$B:$B,0)), "-")</f>
        <v>-</v>
      </c>
      <c r="R2185" s="270" t="str">
        <f>IFERROR(INDEX([1]Produtos!$I:$I,MATCH(L2185,[1]Produtos!$B:$B,0)), "-")</f>
        <v>-</v>
      </c>
      <c r="S2185" s="270" t="str">
        <f>IFERROR(INDEX([1]Produtos!$J:$J,MATCH(L2185,[1]Produtos!$B:$B,0)), "-")</f>
        <v>-</v>
      </c>
      <c r="T2185" s="475"/>
      <c r="U2185" s="270"/>
      <c r="V2185" s="270"/>
      <c r="W2185" s="270"/>
      <c r="X2185" s="270"/>
      <c r="Y2185" s="270"/>
      <c r="Z2185" s="270"/>
      <c r="AA2185" s="270"/>
      <c r="AB2185" s="270"/>
      <c r="AC2185" s="270"/>
      <c r="AD2185" s="270"/>
      <c r="AE2185" s="270"/>
      <c r="AF2185" s="270"/>
      <c r="AG2185" s="270"/>
      <c r="AH2185" s="270"/>
      <c r="AI2185" s="270"/>
      <c r="AJ2185" s="270"/>
      <c r="AK2185" s="270"/>
      <c r="AL2185" s="270"/>
      <c r="AM2185" s="663"/>
      <c r="AN2185" s="663"/>
      <c r="AO2185" s="708" t="str">
        <f>IF(OR(Table1[[#This Row],[Início Setup Envase]]="",Table1[[#This Row],[Final Setup Envase]]=""),"",Table1[[#This Row],[Final Setup Envase]]-Table1[[#This Row],[Início Setup Envase]])</f>
        <v/>
      </c>
      <c r="AP2185" s="663"/>
      <c r="AQ2185" s="663"/>
      <c r="AR2185" s="270"/>
      <c r="AS2185" s="674"/>
      <c r="AT2185" s="674"/>
      <c r="AU2185" s="270"/>
      <c r="AV2185" s="270"/>
      <c r="AW2185" s="270"/>
      <c r="AX2185" s="270"/>
      <c r="AY2185" s="270"/>
      <c r="AZ2185" s="270"/>
      <c r="BA2185" s="270" t="str">
        <f>IF(Table1[[#This Row],[Data de Início]]="","",YEAR(Table1[[#This Row],[Data de Início]]))</f>
        <v/>
      </c>
      <c r="BB2185" s="270" t="str">
        <f>IF(Table1[[#This Row],[Data de Início]]="","",MONTH(Table1[[#This Row],[Data de Início]]))</f>
        <v/>
      </c>
      <c r="BC2185" s="483"/>
    </row>
    <row r="2186" spans="2:55" x14ac:dyDescent="0.25">
      <c r="B2186" s="470"/>
      <c r="C2186" s="263"/>
      <c r="D2186" s="477" cm="1">
        <f t="array" ref="D2186">IFERROR(HorasUteisFabrica2Turnos(B2186,C2186), "")</f>
        <v>0</v>
      </c>
      <c r="E2186" s="478" t="str">
        <f t="shared" si="34"/>
        <v/>
      </c>
      <c r="F2186" s="266"/>
      <c r="G2186" s="656"/>
      <c r="H2186" s="479"/>
      <c r="I2186" s="268"/>
      <c r="J2186" s="268"/>
      <c r="K2186" s="268"/>
      <c r="L2186" s="269"/>
      <c r="M2186" s="511" t="str">
        <f>IFERROR(INDEX([1]Produtos!$C:$C,MATCH(L2186,[1]Produtos!$B:$B,0)), "-")</f>
        <v>-</v>
      </c>
      <c r="N2186" s="511" t="str">
        <f>IFERROR(INDEX([1]Produtos!$E:$E,MATCH(L2186,[1]Produtos!$B:$B,0)), "-")</f>
        <v>-</v>
      </c>
      <c r="O2186" s="483" t="str">
        <f>IFERROR(INDEX([1]Produtos!$F:$F,MATCH(L2186,[1]Produtos!$B:$B,0)), "-")</f>
        <v>-</v>
      </c>
      <c r="P2186" s="477" t="str">
        <f>IFERROR(INDEX([1]Produtos!$G:$G,MATCH(L2186,[1]Produtos!$B:$B,0)), "-")</f>
        <v>-</v>
      </c>
      <c r="Q2186" s="483" t="str">
        <f>IFERROR(INDEX([1]Produtos!$H:$H,MATCH(L2186,[1]Produtos!$B:$B,0)), "-")</f>
        <v>-</v>
      </c>
      <c r="R2186" s="483" t="str">
        <f>IFERROR(INDEX([1]Produtos!$I:$I,MATCH(L2186,[1]Produtos!$B:$B,0)), "-")</f>
        <v>-</v>
      </c>
      <c r="S2186" s="483" t="str">
        <f>IFERROR(INDEX([1]Produtos!$J:$J,MATCH(L2186,[1]Produtos!$B:$B,0)), "-")</f>
        <v>-</v>
      </c>
      <c r="T2186" s="484"/>
      <c r="U2186" s="483"/>
      <c r="V2186" s="483"/>
      <c r="W2186" s="483"/>
      <c r="X2186" s="483"/>
      <c r="Y2186" s="483"/>
      <c r="Z2186" s="483"/>
      <c r="AA2186" s="483"/>
      <c r="AB2186" s="483"/>
      <c r="AC2186" s="483"/>
      <c r="AD2186" s="483"/>
      <c r="AE2186" s="483"/>
      <c r="AF2186" s="483"/>
      <c r="AG2186" s="483"/>
      <c r="AH2186" s="483"/>
      <c r="AI2186" s="483"/>
      <c r="AJ2186" s="483"/>
      <c r="AK2186" s="483"/>
      <c r="AL2186" s="483"/>
      <c r="AM2186" s="670"/>
      <c r="AN2186" s="670"/>
      <c r="AO2186" s="711" t="str">
        <f>IF(OR(Table1[[#This Row],[Início Setup Envase]]="",Table1[[#This Row],[Final Setup Envase]]=""),"",Table1[[#This Row],[Final Setup Envase]]-Table1[[#This Row],[Início Setup Envase]])</f>
        <v/>
      </c>
      <c r="AP2186" s="670"/>
      <c r="AQ2186" s="670"/>
      <c r="AR2186" s="483"/>
      <c r="AS2186" s="483"/>
      <c r="AT2186" s="483"/>
      <c r="AU2186" s="483"/>
      <c r="AV2186" s="483"/>
      <c r="AW2186" s="483"/>
      <c r="AX2186" s="483"/>
      <c r="AY2186" s="270"/>
      <c r="AZ2186" s="270"/>
      <c r="BA2186" s="270" t="str">
        <f>IF(Table1[[#This Row],[Data de Início]]="","",YEAR(Table1[[#This Row],[Data de Início]]))</f>
        <v/>
      </c>
      <c r="BB2186" s="270" t="str">
        <f>IF(Table1[[#This Row],[Data de Início]]="","",MONTH(Table1[[#This Row],[Data de Início]]))</f>
        <v/>
      </c>
      <c r="BC2186" s="270"/>
    </row>
    <row r="2187" spans="2:55" x14ac:dyDescent="0.25">
      <c r="B2187" s="470"/>
      <c r="C2187" s="263"/>
      <c r="D2187" s="477" cm="1">
        <f t="array" ref="D2187">IFERROR(HorasUteisFabrica2Turnos(B2187,C2187), "")</f>
        <v>0</v>
      </c>
      <c r="E2187" s="697" t="str">
        <f t="shared" si="34"/>
        <v/>
      </c>
      <c r="F2187" s="266"/>
      <c r="G2187" s="698"/>
      <c r="H2187" s="266"/>
      <c r="I2187" s="268"/>
      <c r="J2187" s="268"/>
      <c r="K2187" s="268"/>
      <c r="L2187" s="269"/>
      <c r="M2187" s="510" t="str">
        <f>IFERROR(INDEX([1]Produtos!$C:$C,MATCH(L2187,[1]Produtos!$B:$B,0)), "-")</f>
        <v>-</v>
      </c>
      <c r="N2187" s="510" t="str">
        <f>IFERROR(INDEX([1]Produtos!$E:$E,MATCH(L2187,[1]Produtos!$B:$B,0)), "-")</f>
        <v>-</v>
      </c>
      <c r="O2187" s="270" t="str">
        <f>IFERROR(INDEX([1]Produtos!$F:$F,MATCH(L2187,[1]Produtos!$B:$B,0)), "-")</f>
        <v>-</v>
      </c>
      <c r="P2187" s="264" t="str">
        <f>IFERROR(INDEX([1]Produtos!$G:$G,MATCH(L2187,[1]Produtos!$B:$B,0)), "-")</f>
        <v>-</v>
      </c>
      <c r="Q2187" s="270" t="str">
        <f>IFERROR(INDEX([1]Produtos!$H:$H,MATCH(L2187,[1]Produtos!$B:$B,0)), "-")</f>
        <v>-</v>
      </c>
      <c r="R2187" s="270" t="str">
        <f>IFERROR(INDEX([1]Produtos!$I:$I,MATCH(L2187,[1]Produtos!$B:$B,0)), "-")</f>
        <v>-</v>
      </c>
      <c r="S2187" s="270" t="str">
        <f>IFERROR(INDEX([1]Produtos!$J:$J,MATCH(L2187,[1]Produtos!$B:$B,0)), "-")</f>
        <v>-</v>
      </c>
      <c r="T2187" s="475"/>
      <c r="U2187" s="270"/>
      <c r="V2187" s="270"/>
      <c r="W2187" s="270"/>
      <c r="X2187" s="270"/>
      <c r="Y2187" s="270"/>
      <c r="Z2187" s="270"/>
      <c r="AA2187" s="270"/>
      <c r="AB2187" s="270"/>
      <c r="AC2187" s="270"/>
      <c r="AD2187" s="270"/>
      <c r="AE2187" s="270"/>
      <c r="AF2187" s="270"/>
      <c r="AG2187" s="270"/>
      <c r="AH2187" s="270"/>
      <c r="AI2187" s="270"/>
      <c r="AJ2187" s="270"/>
      <c r="AK2187" s="270"/>
      <c r="AL2187" s="270"/>
      <c r="AM2187" s="663"/>
      <c r="AN2187" s="663"/>
      <c r="AO2187" s="708" t="str">
        <f>IF(OR(Table1[[#This Row],[Início Setup Envase]]="",Table1[[#This Row],[Final Setup Envase]]=""),"",Table1[[#This Row],[Final Setup Envase]]-Table1[[#This Row],[Início Setup Envase]])</f>
        <v/>
      </c>
      <c r="AP2187" s="663"/>
      <c r="AQ2187" s="663"/>
      <c r="AR2187" s="270"/>
      <c r="AS2187" s="674"/>
      <c r="AT2187" s="674"/>
      <c r="AU2187" s="270"/>
      <c r="AV2187" s="270"/>
      <c r="AW2187" s="270"/>
      <c r="AX2187" s="270"/>
      <c r="AY2187" s="270"/>
      <c r="AZ2187" s="270"/>
      <c r="BA2187" s="270" t="str">
        <f>IF(Table1[[#This Row],[Data de Início]]="","",YEAR(Table1[[#This Row],[Data de Início]]))</f>
        <v/>
      </c>
      <c r="BB2187" s="270" t="str">
        <f>IF(Table1[[#This Row],[Data de Início]]="","",MONTH(Table1[[#This Row],[Data de Início]]))</f>
        <v/>
      </c>
      <c r="BC2187" s="483"/>
    </row>
    <row r="2188" spans="2:55" x14ac:dyDescent="0.25">
      <c r="B2188" s="470"/>
      <c r="C2188" s="263"/>
      <c r="D2188" s="477" cm="1">
        <f t="array" ref="D2188">IFERROR(HorasUteisFabrica2Turnos(B2188,C2188), "")</f>
        <v>0</v>
      </c>
      <c r="E2188" s="478" t="str">
        <f t="shared" si="34"/>
        <v/>
      </c>
      <c r="F2188" s="266"/>
      <c r="G2188" s="656"/>
      <c r="H2188" s="479"/>
      <c r="I2188" s="268"/>
      <c r="J2188" s="268"/>
      <c r="K2188" s="268"/>
      <c r="L2188" s="269"/>
      <c r="M2188" s="511" t="str">
        <f>IFERROR(INDEX([1]Produtos!$C:$C,MATCH(L2188,[1]Produtos!$B:$B,0)), "-")</f>
        <v>-</v>
      </c>
      <c r="N2188" s="511" t="str">
        <f>IFERROR(INDEX([1]Produtos!$E:$E,MATCH(L2188,[1]Produtos!$B:$B,0)), "-")</f>
        <v>-</v>
      </c>
      <c r="O2188" s="483" t="str">
        <f>IFERROR(INDEX([1]Produtos!$F:$F,MATCH(L2188,[1]Produtos!$B:$B,0)), "-")</f>
        <v>-</v>
      </c>
      <c r="P2188" s="477" t="str">
        <f>IFERROR(INDEX([1]Produtos!$G:$G,MATCH(L2188,[1]Produtos!$B:$B,0)), "-")</f>
        <v>-</v>
      </c>
      <c r="Q2188" s="483" t="str">
        <f>IFERROR(INDEX([1]Produtos!$H:$H,MATCH(L2188,[1]Produtos!$B:$B,0)), "-")</f>
        <v>-</v>
      </c>
      <c r="R2188" s="483" t="str">
        <f>IFERROR(INDEX([1]Produtos!$I:$I,MATCH(L2188,[1]Produtos!$B:$B,0)), "-")</f>
        <v>-</v>
      </c>
      <c r="S2188" s="483" t="str">
        <f>IFERROR(INDEX([1]Produtos!$J:$J,MATCH(L2188,[1]Produtos!$B:$B,0)), "-")</f>
        <v>-</v>
      </c>
      <c r="T2188" s="484"/>
      <c r="U2188" s="483"/>
      <c r="V2188" s="483"/>
      <c r="W2188" s="483"/>
      <c r="X2188" s="483"/>
      <c r="Y2188" s="483"/>
      <c r="Z2188" s="483"/>
      <c r="AA2188" s="483"/>
      <c r="AB2188" s="483"/>
      <c r="AC2188" s="483"/>
      <c r="AD2188" s="483"/>
      <c r="AE2188" s="483"/>
      <c r="AF2188" s="483"/>
      <c r="AG2188" s="483"/>
      <c r="AH2188" s="483"/>
      <c r="AI2188" s="483"/>
      <c r="AJ2188" s="483"/>
      <c r="AK2188" s="483"/>
      <c r="AL2188" s="483"/>
      <c r="AM2188" s="670"/>
      <c r="AN2188" s="670"/>
      <c r="AO2188" s="711" t="str">
        <f>IF(OR(Table1[[#This Row],[Início Setup Envase]]="",Table1[[#This Row],[Final Setup Envase]]=""),"",Table1[[#This Row],[Final Setup Envase]]-Table1[[#This Row],[Início Setup Envase]])</f>
        <v/>
      </c>
      <c r="AP2188" s="670"/>
      <c r="AQ2188" s="670"/>
      <c r="AR2188" s="483"/>
      <c r="AS2188" s="483"/>
      <c r="AT2188" s="483"/>
      <c r="AU2188" s="483"/>
      <c r="AV2188" s="483"/>
      <c r="AW2188" s="483"/>
      <c r="AX2188" s="483"/>
      <c r="AY2188" s="270"/>
      <c r="AZ2188" s="270"/>
      <c r="BA2188" s="270" t="str">
        <f>IF(Table1[[#This Row],[Data de Início]]="","",YEAR(Table1[[#This Row],[Data de Início]]))</f>
        <v/>
      </c>
      <c r="BB2188" s="270" t="str">
        <f>IF(Table1[[#This Row],[Data de Início]]="","",MONTH(Table1[[#This Row],[Data de Início]]))</f>
        <v/>
      </c>
      <c r="BC2188" s="270"/>
    </row>
    <row r="2189" spans="2:55" x14ac:dyDescent="0.25">
      <c r="B2189" s="470"/>
      <c r="C2189" s="263"/>
      <c r="D2189" s="477" cm="1">
        <f t="array" ref="D2189">IFERROR(HorasUteisFabrica2Turnos(B2189,C2189), "")</f>
        <v>0</v>
      </c>
      <c r="E2189" s="697" t="str">
        <f t="shared" si="34"/>
        <v/>
      </c>
      <c r="F2189" s="266"/>
      <c r="G2189" s="698"/>
      <c r="H2189" s="266"/>
      <c r="I2189" s="268"/>
      <c r="J2189" s="268"/>
      <c r="K2189" s="268"/>
      <c r="L2189" s="269"/>
      <c r="M2189" s="510" t="str">
        <f>IFERROR(INDEX([1]Produtos!$C:$C,MATCH(L2189,[1]Produtos!$B:$B,0)), "-")</f>
        <v>-</v>
      </c>
      <c r="N2189" s="510" t="str">
        <f>IFERROR(INDEX([1]Produtos!$E:$E,MATCH(L2189,[1]Produtos!$B:$B,0)), "-")</f>
        <v>-</v>
      </c>
      <c r="O2189" s="270" t="str">
        <f>IFERROR(INDEX([1]Produtos!$F:$F,MATCH(L2189,[1]Produtos!$B:$B,0)), "-")</f>
        <v>-</v>
      </c>
      <c r="P2189" s="264" t="str">
        <f>IFERROR(INDEX([1]Produtos!$G:$G,MATCH(L2189,[1]Produtos!$B:$B,0)), "-")</f>
        <v>-</v>
      </c>
      <c r="Q2189" s="270" t="str">
        <f>IFERROR(INDEX([1]Produtos!$H:$H,MATCH(L2189,[1]Produtos!$B:$B,0)), "-")</f>
        <v>-</v>
      </c>
      <c r="R2189" s="270" t="str">
        <f>IFERROR(INDEX([1]Produtos!$I:$I,MATCH(L2189,[1]Produtos!$B:$B,0)), "-")</f>
        <v>-</v>
      </c>
      <c r="S2189" s="270" t="str">
        <f>IFERROR(INDEX([1]Produtos!$J:$J,MATCH(L2189,[1]Produtos!$B:$B,0)), "-")</f>
        <v>-</v>
      </c>
      <c r="T2189" s="475"/>
      <c r="U2189" s="270"/>
      <c r="V2189" s="270"/>
      <c r="W2189" s="270"/>
      <c r="X2189" s="270"/>
      <c r="Y2189" s="270"/>
      <c r="Z2189" s="270"/>
      <c r="AA2189" s="270"/>
      <c r="AB2189" s="270"/>
      <c r="AC2189" s="270"/>
      <c r="AD2189" s="270"/>
      <c r="AE2189" s="270"/>
      <c r="AF2189" s="270"/>
      <c r="AG2189" s="270"/>
      <c r="AH2189" s="270"/>
      <c r="AI2189" s="270"/>
      <c r="AJ2189" s="270"/>
      <c r="AK2189" s="270"/>
      <c r="AL2189" s="270"/>
      <c r="AM2189" s="663"/>
      <c r="AN2189" s="663"/>
      <c r="AO2189" s="708" t="str">
        <f>IF(OR(Table1[[#This Row],[Início Setup Envase]]="",Table1[[#This Row],[Final Setup Envase]]=""),"",Table1[[#This Row],[Final Setup Envase]]-Table1[[#This Row],[Início Setup Envase]])</f>
        <v/>
      </c>
      <c r="AP2189" s="663"/>
      <c r="AQ2189" s="663"/>
      <c r="AR2189" s="270"/>
      <c r="AS2189" s="674"/>
      <c r="AT2189" s="674"/>
      <c r="AU2189" s="270"/>
      <c r="AV2189" s="270"/>
      <c r="AW2189" s="270"/>
      <c r="AX2189" s="270"/>
      <c r="AY2189" s="270"/>
      <c r="AZ2189" s="270"/>
      <c r="BA2189" s="270" t="str">
        <f>IF(Table1[[#This Row],[Data de Início]]="","",YEAR(Table1[[#This Row],[Data de Início]]))</f>
        <v/>
      </c>
      <c r="BB2189" s="270" t="str">
        <f>IF(Table1[[#This Row],[Data de Início]]="","",MONTH(Table1[[#This Row],[Data de Início]]))</f>
        <v/>
      </c>
      <c r="BC2189" s="483"/>
    </row>
    <row r="2190" spans="2:55" x14ac:dyDescent="0.25">
      <c r="B2190" s="470"/>
      <c r="C2190" s="263"/>
      <c r="D2190" s="477" cm="1">
        <f t="array" ref="D2190">IFERROR(HorasUteisFabrica2Turnos(B2190,C2190), "")</f>
        <v>0</v>
      </c>
      <c r="E2190" s="478" t="str">
        <f t="shared" si="34"/>
        <v/>
      </c>
      <c r="F2190" s="266"/>
      <c r="G2190" s="656"/>
      <c r="H2190" s="479"/>
      <c r="I2190" s="268"/>
      <c r="J2190" s="268"/>
      <c r="K2190" s="268"/>
      <c r="L2190" s="269"/>
      <c r="M2190" s="511" t="str">
        <f>IFERROR(INDEX([1]Produtos!$C:$C,MATCH(L2190,[1]Produtos!$B:$B,0)), "-")</f>
        <v>-</v>
      </c>
      <c r="N2190" s="511" t="str">
        <f>IFERROR(INDEX([1]Produtos!$E:$E,MATCH(L2190,[1]Produtos!$B:$B,0)), "-")</f>
        <v>-</v>
      </c>
      <c r="O2190" s="483" t="str">
        <f>IFERROR(INDEX([1]Produtos!$F:$F,MATCH(L2190,[1]Produtos!$B:$B,0)), "-")</f>
        <v>-</v>
      </c>
      <c r="P2190" s="477" t="str">
        <f>IFERROR(INDEX([1]Produtos!$G:$G,MATCH(L2190,[1]Produtos!$B:$B,0)), "-")</f>
        <v>-</v>
      </c>
      <c r="Q2190" s="483" t="str">
        <f>IFERROR(INDEX([1]Produtos!$H:$H,MATCH(L2190,[1]Produtos!$B:$B,0)), "-")</f>
        <v>-</v>
      </c>
      <c r="R2190" s="483" t="str">
        <f>IFERROR(INDEX([1]Produtos!$I:$I,MATCH(L2190,[1]Produtos!$B:$B,0)), "-")</f>
        <v>-</v>
      </c>
      <c r="S2190" s="483" t="str">
        <f>IFERROR(INDEX([1]Produtos!$J:$J,MATCH(L2190,[1]Produtos!$B:$B,0)), "-")</f>
        <v>-</v>
      </c>
      <c r="T2190" s="484"/>
      <c r="U2190" s="483"/>
      <c r="V2190" s="483"/>
      <c r="W2190" s="483"/>
      <c r="X2190" s="483"/>
      <c r="Y2190" s="483"/>
      <c r="Z2190" s="483"/>
      <c r="AA2190" s="483"/>
      <c r="AB2190" s="483"/>
      <c r="AC2190" s="483"/>
      <c r="AD2190" s="483"/>
      <c r="AE2190" s="483"/>
      <c r="AF2190" s="483"/>
      <c r="AG2190" s="483"/>
      <c r="AH2190" s="483"/>
      <c r="AI2190" s="483"/>
      <c r="AJ2190" s="483"/>
      <c r="AK2190" s="483"/>
      <c r="AL2190" s="483"/>
      <c r="AM2190" s="670"/>
      <c r="AN2190" s="670"/>
      <c r="AO2190" s="711" t="str">
        <f>IF(OR(Table1[[#This Row],[Início Setup Envase]]="",Table1[[#This Row],[Final Setup Envase]]=""),"",Table1[[#This Row],[Final Setup Envase]]-Table1[[#This Row],[Início Setup Envase]])</f>
        <v/>
      </c>
      <c r="AP2190" s="670"/>
      <c r="AQ2190" s="670"/>
      <c r="AR2190" s="483"/>
      <c r="AS2190" s="483"/>
      <c r="AT2190" s="483"/>
      <c r="AU2190" s="483"/>
      <c r="AV2190" s="483"/>
      <c r="AW2190" s="483"/>
      <c r="AX2190" s="483"/>
      <c r="AY2190" s="270"/>
      <c r="AZ2190" s="270"/>
      <c r="BA2190" s="270" t="str">
        <f>IF(Table1[[#This Row],[Data de Início]]="","",YEAR(Table1[[#This Row],[Data de Início]]))</f>
        <v/>
      </c>
      <c r="BB2190" s="270" t="str">
        <f>IF(Table1[[#This Row],[Data de Início]]="","",MONTH(Table1[[#This Row],[Data de Início]]))</f>
        <v/>
      </c>
      <c r="BC2190" s="270"/>
    </row>
    <row r="2191" spans="2:55" x14ac:dyDescent="0.25">
      <c r="B2191" s="470"/>
      <c r="C2191" s="263"/>
      <c r="D2191" s="477" cm="1">
        <f t="array" ref="D2191">IFERROR(HorasUteisFabrica2Turnos(B2191,C2191), "")</f>
        <v>0</v>
      </c>
      <c r="E2191" s="697" t="str">
        <f t="shared" si="34"/>
        <v/>
      </c>
      <c r="F2191" s="266"/>
      <c r="G2191" s="698"/>
      <c r="H2191" s="266"/>
      <c r="I2191" s="268"/>
      <c r="J2191" s="268"/>
      <c r="K2191" s="268"/>
      <c r="L2191" s="269"/>
      <c r="M2191" s="510" t="str">
        <f>IFERROR(INDEX([1]Produtos!$C:$C,MATCH(L2191,[1]Produtos!$B:$B,0)), "-")</f>
        <v>-</v>
      </c>
      <c r="N2191" s="510" t="str">
        <f>IFERROR(INDEX([1]Produtos!$E:$E,MATCH(L2191,[1]Produtos!$B:$B,0)), "-")</f>
        <v>-</v>
      </c>
      <c r="O2191" s="270" t="str">
        <f>IFERROR(INDEX([1]Produtos!$F:$F,MATCH(L2191,[1]Produtos!$B:$B,0)), "-")</f>
        <v>-</v>
      </c>
      <c r="P2191" s="264" t="str">
        <f>IFERROR(INDEX([1]Produtos!$G:$G,MATCH(L2191,[1]Produtos!$B:$B,0)), "-")</f>
        <v>-</v>
      </c>
      <c r="Q2191" s="270" t="str">
        <f>IFERROR(INDEX([1]Produtos!$H:$H,MATCH(L2191,[1]Produtos!$B:$B,0)), "-")</f>
        <v>-</v>
      </c>
      <c r="R2191" s="270" t="str">
        <f>IFERROR(INDEX([1]Produtos!$I:$I,MATCH(L2191,[1]Produtos!$B:$B,0)), "-")</f>
        <v>-</v>
      </c>
      <c r="S2191" s="270" t="str">
        <f>IFERROR(INDEX([1]Produtos!$J:$J,MATCH(L2191,[1]Produtos!$B:$B,0)), "-")</f>
        <v>-</v>
      </c>
      <c r="T2191" s="475"/>
      <c r="U2191" s="270"/>
      <c r="V2191" s="270"/>
      <c r="W2191" s="270"/>
      <c r="X2191" s="270"/>
      <c r="Y2191" s="270"/>
      <c r="Z2191" s="270"/>
      <c r="AA2191" s="270"/>
      <c r="AB2191" s="270"/>
      <c r="AC2191" s="270"/>
      <c r="AD2191" s="270"/>
      <c r="AE2191" s="270"/>
      <c r="AF2191" s="270"/>
      <c r="AG2191" s="270"/>
      <c r="AH2191" s="270"/>
      <c r="AI2191" s="270"/>
      <c r="AJ2191" s="270"/>
      <c r="AK2191" s="270"/>
      <c r="AL2191" s="270"/>
      <c r="AM2191" s="663"/>
      <c r="AN2191" s="663"/>
      <c r="AO2191" s="708" t="str">
        <f>IF(OR(Table1[[#This Row],[Início Setup Envase]]="",Table1[[#This Row],[Final Setup Envase]]=""),"",Table1[[#This Row],[Final Setup Envase]]-Table1[[#This Row],[Início Setup Envase]])</f>
        <v/>
      </c>
      <c r="AP2191" s="663"/>
      <c r="AQ2191" s="663"/>
      <c r="AR2191" s="270"/>
      <c r="AS2191" s="674"/>
      <c r="AT2191" s="674"/>
      <c r="AU2191" s="270"/>
      <c r="AV2191" s="270"/>
      <c r="AW2191" s="270"/>
      <c r="AX2191" s="270"/>
      <c r="AY2191" s="270"/>
      <c r="AZ2191" s="270"/>
      <c r="BA2191" s="270" t="str">
        <f>IF(Table1[[#This Row],[Data de Início]]="","",YEAR(Table1[[#This Row],[Data de Início]]))</f>
        <v/>
      </c>
      <c r="BB2191" s="270" t="str">
        <f>IF(Table1[[#This Row],[Data de Início]]="","",MONTH(Table1[[#This Row],[Data de Início]]))</f>
        <v/>
      </c>
      <c r="BC2191" s="483"/>
    </row>
    <row r="2192" spans="2:55" x14ac:dyDescent="0.25">
      <c r="B2192" s="470"/>
      <c r="C2192" s="263"/>
      <c r="D2192" s="477" cm="1">
        <f t="array" ref="D2192">IFERROR(HorasUteisFabrica2Turnos(B2192,C2192), "")</f>
        <v>0</v>
      </c>
      <c r="E2192" s="478" t="str">
        <f t="shared" si="34"/>
        <v/>
      </c>
      <c r="F2192" s="266"/>
      <c r="G2192" s="656"/>
      <c r="H2192" s="479"/>
      <c r="I2192" s="268"/>
      <c r="J2192" s="268"/>
      <c r="K2192" s="268"/>
      <c r="L2192" s="269"/>
      <c r="M2192" s="511" t="str">
        <f>IFERROR(INDEX([1]Produtos!$C:$C,MATCH(L2192,[1]Produtos!$B:$B,0)), "-")</f>
        <v>-</v>
      </c>
      <c r="N2192" s="511" t="str">
        <f>IFERROR(INDEX([1]Produtos!$E:$E,MATCH(L2192,[1]Produtos!$B:$B,0)), "-")</f>
        <v>-</v>
      </c>
      <c r="O2192" s="483" t="str">
        <f>IFERROR(INDEX([1]Produtos!$F:$F,MATCH(L2192,[1]Produtos!$B:$B,0)), "-")</f>
        <v>-</v>
      </c>
      <c r="P2192" s="477" t="str">
        <f>IFERROR(INDEX([1]Produtos!$G:$G,MATCH(L2192,[1]Produtos!$B:$B,0)), "-")</f>
        <v>-</v>
      </c>
      <c r="Q2192" s="483" t="str">
        <f>IFERROR(INDEX([1]Produtos!$H:$H,MATCH(L2192,[1]Produtos!$B:$B,0)), "-")</f>
        <v>-</v>
      </c>
      <c r="R2192" s="483" t="str">
        <f>IFERROR(INDEX([1]Produtos!$I:$I,MATCH(L2192,[1]Produtos!$B:$B,0)), "-")</f>
        <v>-</v>
      </c>
      <c r="S2192" s="483" t="str">
        <f>IFERROR(INDEX([1]Produtos!$J:$J,MATCH(L2192,[1]Produtos!$B:$B,0)), "-")</f>
        <v>-</v>
      </c>
      <c r="T2192" s="484"/>
      <c r="U2192" s="483"/>
      <c r="V2192" s="483"/>
      <c r="W2192" s="483"/>
      <c r="X2192" s="483"/>
      <c r="Y2192" s="483"/>
      <c r="Z2192" s="483"/>
      <c r="AA2192" s="483"/>
      <c r="AB2192" s="483"/>
      <c r="AC2192" s="483"/>
      <c r="AD2192" s="483"/>
      <c r="AE2192" s="483"/>
      <c r="AF2192" s="483"/>
      <c r="AG2192" s="483"/>
      <c r="AH2192" s="483"/>
      <c r="AI2192" s="483"/>
      <c r="AJ2192" s="483"/>
      <c r="AK2192" s="483"/>
      <c r="AL2192" s="483"/>
      <c r="AM2192" s="670"/>
      <c r="AN2192" s="670"/>
      <c r="AO2192" s="711" t="str">
        <f>IF(OR(Table1[[#This Row],[Início Setup Envase]]="",Table1[[#This Row],[Final Setup Envase]]=""),"",Table1[[#This Row],[Final Setup Envase]]-Table1[[#This Row],[Início Setup Envase]])</f>
        <v/>
      </c>
      <c r="AP2192" s="670"/>
      <c r="AQ2192" s="670"/>
      <c r="AR2192" s="483"/>
      <c r="AS2192" s="483"/>
      <c r="AT2192" s="483"/>
      <c r="AU2192" s="483"/>
      <c r="AV2192" s="483"/>
      <c r="AW2192" s="483"/>
      <c r="AX2192" s="483"/>
      <c r="AY2192" s="270"/>
      <c r="AZ2192" s="270"/>
      <c r="BA2192" s="270" t="str">
        <f>IF(Table1[[#This Row],[Data de Início]]="","",YEAR(Table1[[#This Row],[Data de Início]]))</f>
        <v/>
      </c>
      <c r="BB2192" s="270" t="str">
        <f>IF(Table1[[#This Row],[Data de Início]]="","",MONTH(Table1[[#This Row],[Data de Início]]))</f>
        <v/>
      </c>
      <c r="BC2192" s="270"/>
    </row>
    <row r="2193" spans="2:55" x14ac:dyDescent="0.25">
      <c r="B2193" s="470"/>
      <c r="C2193" s="263"/>
      <c r="D2193" s="477" cm="1">
        <f t="array" ref="D2193">IFERROR(HorasUteisFabrica2Turnos(B2193,C2193), "")</f>
        <v>0</v>
      </c>
      <c r="E2193" s="697" t="str">
        <f t="shared" si="34"/>
        <v/>
      </c>
      <c r="F2193" s="266"/>
      <c r="G2193" s="698"/>
      <c r="H2193" s="266"/>
      <c r="I2193" s="268"/>
      <c r="J2193" s="268"/>
      <c r="K2193" s="268"/>
      <c r="L2193" s="269"/>
      <c r="M2193" s="510" t="str">
        <f>IFERROR(INDEX([1]Produtos!$C:$C,MATCH(L2193,[1]Produtos!$B:$B,0)), "-")</f>
        <v>-</v>
      </c>
      <c r="N2193" s="510" t="str">
        <f>IFERROR(INDEX([1]Produtos!$E:$E,MATCH(L2193,[1]Produtos!$B:$B,0)), "-")</f>
        <v>-</v>
      </c>
      <c r="O2193" s="270" t="str">
        <f>IFERROR(INDEX([1]Produtos!$F:$F,MATCH(L2193,[1]Produtos!$B:$B,0)), "-")</f>
        <v>-</v>
      </c>
      <c r="P2193" s="264" t="str">
        <f>IFERROR(INDEX([1]Produtos!$G:$G,MATCH(L2193,[1]Produtos!$B:$B,0)), "-")</f>
        <v>-</v>
      </c>
      <c r="Q2193" s="270" t="str">
        <f>IFERROR(INDEX([1]Produtos!$H:$H,MATCH(L2193,[1]Produtos!$B:$B,0)), "-")</f>
        <v>-</v>
      </c>
      <c r="R2193" s="270" t="str">
        <f>IFERROR(INDEX([1]Produtos!$I:$I,MATCH(L2193,[1]Produtos!$B:$B,0)), "-")</f>
        <v>-</v>
      </c>
      <c r="S2193" s="270" t="str">
        <f>IFERROR(INDEX([1]Produtos!$J:$J,MATCH(L2193,[1]Produtos!$B:$B,0)), "-")</f>
        <v>-</v>
      </c>
      <c r="T2193" s="475"/>
      <c r="U2193" s="270"/>
      <c r="V2193" s="270"/>
      <c r="W2193" s="270"/>
      <c r="X2193" s="270"/>
      <c r="Y2193" s="270"/>
      <c r="Z2193" s="270"/>
      <c r="AA2193" s="270"/>
      <c r="AB2193" s="270"/>
      <c r="AC2193" s="270"/>
      <c r="AD2193" s="270"/>
      <c r="AE2193" s="270"/>
      <c r="AF2193" s="270"/>
      <c r="AG2193" s="270"/>
      <c r="AH2193" s="270"/>
      <c r="AI2193" s="270"/>
      <c r="AJ2193" s="270"/>
      <c r="AK2193" s="270"/>
      <c r="AL2193" s="270"/>
      <c r="AM2193" s="663"/>
      <c r="AN2193" s="663"/>
      <c r="AO2193" s="708" t="str">
        <f>IF(OR(Table1[[#This Row],[Início Setup Envase]]="",Table1[[#This Row],[Final Setup Envase]]=""),"",Table1[[#This Row],[Final Setup Envase]]-Table1[[#This Row],[Início Setup Envase]])</f>
        <v/>
      </c>
      <c r="AP2193" s="663"/>
      <c r="AQ2193" s="663"/>
      <c r="AR2193" s="270"/>
      <c r="AS2193" s="674"/>
      <c r="AT2193" s="674"/>
      <c r="AU2193" s="270"/>
      <c r="AV2193" s="270"/>
      <c r="AW2193" s="270"/>
      <c r="AX2193" s="270"/>
      <c r="AY2193" s="270"/>
      <c r="AZ2193" s="270"/>
      <c r="BA2193" s="270" t="str">
        <f>IF(Table1[[#This Row],[Data de Início]]="","",YEAR(Table1[[#This Row],[Data de Início]]))</f>
        <v/>
      </c>
      <c r="BB2193" s="270" t="str">
        <f>IF(Table1[[#This Row],[Data de Início]]="","",MONTH(Table1[[#This Row],[Data de Início]]))</f>
        <v/>
      </c>
      <c r="BC2193" s="483"/>
    </row>
    <row r="2194" spans="2:55" x14ac:dyDescent="0.25">
      <c r="B2194" s="470"/>
      <c r="C2194" s="263"/>
      <c r="D2194" s="477" cm="1">
        <f t="array" ref="D2194">IFERROR(HorasUteisFabrica2Turnos(B2194,C2194), "")</f>
        <v>0</v>
      </c>
      <c r="E2194" s="478" t="str">
        <f t="shared" si="34"/>
        <v/>
      </c>
      <c r="F2194" s="266"/>
      <c r="G2194" s="656"/>
      <c r="H2194" s="479"/>
      <c r="I2194" s="268"/>
      <c r="J2194" s="268"/>
      <c r="K2194" s="268"/>
      <c r="L2194" s="269"/>
      <c r="M2194" s="511" t="str">
        <f>IFERROR(INDEX([1]Produtos!$C:$C,MATCH(L2194,[1]Produtos!$B:$B,0)), "-")</f>
        <v>-</v>
      </c>
      <c r="N2194" s="511" t="str">
        <f>IFERROR(INDEX([1]Produtos!$E:$E,MATCH(L2194,[1]Produtos!$B:$B,0)), "-")</f>
        <v>-</v>
      </c>
      <c r="O2194" s="483" t="str">
        <f>IFERROR(INDEX([1]Produtos!$F:$F,MATCH(L2194,[1]Produtos!$B:$B,0)), "-")</f>
        <v>-</v>
      </c>
      <c r="P2194" s="477" t="str">
        <f>IFERROR(INDEX([1]Produtos!$G:$G,MATCH(L2194,[1]Produtos!$B:$B,0)), "-")</f>
        <v>-</v>
      </c>
      <c r="Q2194" s="483" t="str">
        <f>IFERROR(INDEX([1]Produtos!$H:$H,MATCH(L2194,[1]Produtos!$B:$B,0)), "-")</f>
        <v>-</v>
      </c>
      <c r="R2194" s="483" t="str">
        <f>IFERROR(INDEX([1]Produtos!$I:$I,MATCH(L2194,[1]Produtos!$B:$B,0)), "-")</f>
        <v>-</v>
      </c>
      <c r="S2194" s="483" t="str">
        <f>IFERROR(INDEX([1]Produtos!$J:$J,MATCH(L2194,[1]Produtos!$B:$B,0)), "-")</f>
        <v>-</v>
      </c>
      <c r="T2194" s="484"/>
      <c r="U2194" s="483"/>
      <c r="V2194" s="483"/>
      <c r="W2194" s="483"/>
      <c r="X2194" s="483"/>
      <c r="Y2194" s="483"/>
      <c r="Z2194" s="483"/>
      <c r="AA2194" s="483"/>
      <c r="AB2194" s="483"/>
      <c r="AC2194" s="483"/>
      <c r="AD2194" s="483"/>
      <c r="AE2194" s="483"/>
      <c r="AF2194" s="483"/>
      <c r="AG2194" s="483"/>
      <c r="AH2194" s="483"/>
      <c r="AI2194" s="483"/>
      <c r="AJ2194" s="483"/>
      <c r="AK2194" s="483"/>
      <c r="AL2194" s="483"/>
      <c r="AM2194" s="670"/>
      <c r="AN2194" s="670"/>
      <c r="AO2194" s="711" t="str">
        <f>IF(OR(Table1[[#This Row],[Início Setup Envase]]="",Table1[[#This Row],[Final Setup Envase]]=""),"",Table1[[#This Row],[Final Setup Envase]]-Table1[[#This Row],[Início Setup Envase]])</f>
        <v/>
      </c>
      <c r="AP2194" s="670"/>
      <c r="AQ2194" s="670"/>
      <c r="AR2194" s="483"/>
      <c r="AS2194" s="483"/>
      <c r="AT2194" s="483"/>
      <c r="AU2194" s="483"/>
      <c r="AV2194" s="483"/>
      <c r="AW2194" s="483"/>
      <c r="AX2194" s="483"/>
      <c r="AY2194" s="270"/>
      <c r="AZ2194" s="270"/>
      <c r="BA2194" s="270" t="str">
        <f>IF(Table1[[#This Row],[Data de Início]]="","",YEAR(Table1[[#This Row],[Data de Início]]))</f>
        <v/>
      </c>
      <c r="BB2194" s="270" t="str">
        <f>IF(Table1[[#This Row],[Data de Início]]="","",MONTH(Table1[[#This Row],[Data de Início]]))</f>
        <v/>
      </c>
      <c r="BC2194" s="270"/>
    </row>
    <row r="2195" spans="2:55" x14ac:dyDescent="0.25">
      <c r="B2195" s="470"/>
      <c r="C2195" s="263"/>
      <c r="D2195" s="477" cm="1">
        <f t="array" ref="D2195">IFERROR(HorasUteisFabrica2Turnos(B2195,C2195), "")</f>
        <v>0</v>
      </c>
      <c r="E2195" s="697" t="str">
        <f t="shared" si="34"/>
        <v/>
      </c>
      <c r="F2195" s="266"/>
      <c r="G2195" s="698"/>
      <c r="H2195" s="266"/>
      <c r="I2195" s="268"/>
      <c r="J2195" s="268"/>
      <c r="K2195" s="268"/>
      <c r="L2195" s="269"/>
      <c r="M2195" s="510" t="str">
        <f>IFERROR(INDEX([1]Produtos!$C:$C,MATCH(L2195,[1]Produtos!$B:$B,0)), "-")</f>
        <v>-</v>
      </c>
      <c r="N2195" s="510" t="str">
        <f>IFERROR(INDEX([1]Produtos!$E:$E,MATCH(L2195,[1]Produtos!$B:$B,0)), "-")</f>
        <v>-</v>
      </c>
      <c r="O2195" s="270" t="str">
        <f>IFERROR(INDEX([1]Produtos!$F:$F,MATCH(L2195,[1]Produtos!$B:$B,0)), "-")</f>
        <v>-</v>
      </c>
      <c r="P2195" s="264" t="str">
        <f>IFERROR(INDEX([1]Produtos!$G:$G,MATCH(L2195,[1]Produtos!$B:$B,0)), "-")</f>
        <v>-</v>
      </c>
      <c r="Q2195" s="270" t="str">
        <f>IFERROR(INDEX([1]Produtos!$H:$H,MATCH(L2195,[1]Produtos!$B:$B,0)), "-")</f>
        <v>-</v>
      </c>
      <c r="R2195" s="270" t="str">
        <f>IFERROR(INDEX([1]Produtos!$I:$I,MATCH(L2195,[1]Produtos!$B:$B,0)), "-")</f>
        <v>-</v>
      </c>
      <c r="S2195" s="270" t="str">
        <f>IFERROR(INDEX([1]Produtos!$J:$J,MATCH(L2195,[1]Produtos!$B:$B,0)), "-")</f>
        <v>-</v>
      </c>
      <c r="T2195" s="475"/>
      <c r="U2195" s="270"/>
      <c r="V2195" s="270"/>
      <c r="W2195" s="270"/>
      <c r="X2195" s="270"/>
      <c r="Y2195" s="270"/>
      <c r="Z2195" s="270"/>
      <c r="AA2195" s="270"/>
      <c r="AB2195" s="270"/>
      <c r="AC2195" s="270"/>
      <c r="AD2195" s="270"/>
      <c r="AE2195" s="270"/>
      <c r="AF2195" s="270"/>
      <c r="AG2195" s="270"/>
      <c r="AH2195" s="270"/>
      <c r="AI2195" s="270"/>
      <c r="AJ2195" s="270"/>
      <c r="AK2195" s="270"/>
      <c r="AL2195" s="270"/>
      <c r="AM2195" s="663"/>
      <c r="AN2195" s="663"/>
      <c r="AO2195" s="708" t="str">
        <f>IF(OR(Table1[[#This Row],[Início Setup Envase]]="",Table1[[#This Row],[Final Setup Envase]]=""),"",Table1[[#This Row],[Final Setup Envase]]-Table1[[#This Row],[Início Setup Envase]])</f>
        <v/>
      </c>
      <c r="AP2195" s="663"/>
      <c r="AQ2195" s="663"/>
      <c r="AR2195" s="270"/>
      <c r="AS2195" s="674"/>
      <c r="AT2195" s="674"/>
      <c r="AU2195" s="270"/>
      <c r="AV2195" s="270"/>
      <c r="AW2195" s="270"/>
      <c r="AX2195" s="270"/>
      <c r="AY2195" s="270"/>
      <c r="AZ2195" s="270"/>
      <c r="BA2195" s="270" t="str">
        <f>IF(Table1[[#This Row],[Data de Início]]="","",YEAR(Table1[[#This Row],[Data de Início]]))</f>
        <v/>
      </c>
      <c r="BB2195" s="270" t="str">
        <f>IF(Table1[[#This Row],[Data de Início]]="","",MONTH(Table1[[#This Row],[Data de Início]]))</f>
        <v/>
      </c>
      <c r="BC2195" s="483"/>
    </row>
    <row r="2196" spans="2:55" x14ac:dyDescent="0.25">
      <c r="B2196" s="470"/>
      <c r="C2196" s="263"/>
      <c r="D2196" s="477" cm="1">
        <f t="array" ref="D2196">IFERROR(HorasUteisFabrica2Turnos(B2196,C2196), "")</f>
        <v>0</v>
      </c>
      <c r="E2196" s="478" t="str">
        <f t="shared" si="34"/>
        <v/>
      </c>
      <c r="F2196" s="266"/>
      <c r="G2196" s="656"/>
      <c r="H2196" s="479"/>
      <c r="I2196" s="268"/>
      <c r="J2196" s="268"/>
      <c r="K2196" s="268"/>
      <c r="L2196" s="269"/>
      <c r="M2196" s="511" t="str">
        <f>IFERROR(INDEX([1]Produtos!$C:$C,MATCH(L2196,[1]Produtos!$B:$B,0)), "-")</f>
        <v>-</v>
      </c>
      <c r="N2196" s="511" t="str">
        <f>IFERROR(INDEX([1]Produtos!$E:$E,MATCH(L2196,[1]Produtos!$B:$B,0)), "-")</f>
        <v>-</v>
      </c>
      <c r="O2196" s="483" t="str">
        <f>IFERROR(INDEX([1]Produtos!$F:$F,MATCH(L2196,[1]Produtos!$B:$B,0)), "-")</f>
        <v>-</v>
      </c>
      <c r="P2196" s="477" t="str">
        <f>IFERROR(INDEX([1]Produtos!$G:$G,MATCH(L2196,[1]Produtos!$B:$B,0)), "-")</f>
        <v>-</v>
      </c>
      <c r="Q2196" s="483" t="str">
        <f>IFERROR(INDEX([1]Produtos!$H:$H,MATCH(L2196,[1]Produtos!$B:$B,0)), "-")</f>
        <v>-</v>
      </c>
      <c r="R2196" s="483" t="str">
        <f>IFERROR(INDEX([1]Produtos!$I:$I,MATCH(L2196,[1]Produtos!$B:$B,0)), "-")</f>
        <v>-</v>
      </c>
      <c r="S2196" s="483" t="str">
        <f>IFERROR(INDEX([1]Produtos!$J:$J,MATCH(L2196,[1]Produtos!$B:$B,0)), "-")</f>
        <v>-</v>
      </c>
      <c r="T2196" s="484"/>
      <c r="U2196" s="483"/>
      <c r="V2196" s="483"/>
      <c r="W2196" s="483"/>
      <c r="X2196" s="483"/>
      <c r="Y2196" s="483"/>
      <c r="Z2196" s="483"/>
      <c r="AA2196" s="483"/>
      <c r="AB2196" s="483"/>
      <c r="AC2196" s="483"/>
      <c r="AD2196" s="483"/>
      <c r="AE2196" s="483"/>
      <c r="AF2196" s="483"/>
      <c r="AG2196" s="483"/>
      <c r="AH2196" s="483"/>
      <c r="AI2196" s="483"/>
      <c r="AJ2196" s="483"/>
      <c r="AK2196" s="483"/>
      <c r="AL2196" s="483"/>
      <c r="AM2196" s="670"/>
      <c r="AN2196" s="670"/>
      <c r="AO2196" s="711" t="str">
        <f>IF(OR(Table1[[#This Row],[Início Setup Envase]]="",Table1[[#This Row],[Final Setup Envase]]=""),"",Table1[[#This Row],[Final Setup Envase]]-Table1[[#This Row],[Início Setup Envase]])</f>
        <v/>
      </c>
      <c r="AP2196" s="670"/>
      <c r="AQ2196" s="670"/>
      <c r="AR2196" s="483"/>
      <c r="AS2196" s="483"/>
      <c r="AT2196" s="483"/>
      <c r="AU2196" s="483"/>
      <c r="AV2196" s="483"/>
      <c r="AW2196" s="483"/>
      <c r="AX2196" s="483"/>
      <c r="AY2196" s="270"/>
      <c r="AZ2196" s="270"/>
      <c r="BA2196" s="270" t="str">
        <f>IF(Table1[[#This Row],[Data de Início]]="","",YEAR(Table1[[#This Row],[Data de Início]]))</f>
        <v/>
      </c>
      <c r="BB2196" s="270" t="str">
        <f>IF(Table1[[#This Row],[Data de Início]]="","",MONTH(Table1[[#This Row],[Data de Início]]))</f>
        <v/>
      </c>
      <c r="BC2196" s="270"/>
    </row>
    <row r="2197" spans="2:55" x14ac:dyDescent="0.25">
      <c r="B2197" s="470"/>
      <c r="C2197" s="263"/>
      <c r="D2197" s="477" cm="1">
        <f t="array" ref="D2197">IFERROR(HorasUteisFabrica2Turnos(B2197,C2197), "")</f>
        <v>0</v>
      </c>
      <c r="E2197" s="697" t="str">
        <f t="shared" si="34"/>
        <v/>
      </c>
      <c r="F2197" s="266"/>
      <c r="G2197" s="698"/>
      <c r="H2197" s="266"/>
      <c r="I2197" s="268"/>
      <c r="J2197" s="268"/>
      <c r="K2197" s="268"/>
      <c r="L2197" s="269"/>
      <c r="M2197" s="510" t="str">
        <f>IFERROR(INDEX([1]Produtos!$C:$C,MATCH(L2197,[1]Produtos!$B:$B,0)), "-")</f>
        <v>-</v>
      </c>
      <c r="N2197" s="510" t="str">
        <f>IFERROR(INDEX([1]Produtos!$E:$E,MATCH(L2197,[1]Produtos!$B:$B,0)), "-")</f>
        <v>-</v>
      </c>
      <c r="O2197" s="270" t="str">
        <f>IFERROR(INDEX([1]Produtos!$F:$F,MATCH(L2197,[1]Produtos!$B:$B,0)), "-")</f>
        <v>-</v>
      </c>
      <c r="P2197" s="264" t="str">
        <f>IFERROR(INDEX([1]Produtos!$G:$G,MATCH(L2197,[1]Produtos!$B:$B,0)), "-")</f>
        <v>-</v>
      </c>
      <c r="Q2197" s="270" t="str">
        <f>IFERROR(INDEX([1]Produtos!$H:$H,MATCH(L2197,[1]Produtos!$B:$B,0)), "-")</f>
        <v>-</v>
      </c>
      <c r="R2197" s="270" t="str">
        <f>IFERROR(INDEX([1]Produtos!$I:$I,MATCH(L2197,[1]Produtos!$B:$B,0)), "-")</f>
        <v>-</v>
      </c>
      <c r="S2197" s="270" t="str">
        <f>IFERROR(INDEX([1]Produtos!$J:$J,MATCH(L2197,[1]Produtos!$B:$B,0)), "-")</f>
        <v>-</v>
      </c>
      <c r="T2197" s="475"/>
      <c r="U2197" s="270"/>
      <c r="V2197" s="270"/>
      <c r="W2197" s="270"/>
      <c r="X2197" s="270"/>
      <c r="Y2197" s="270"/>
      <c r="Z2197" s="270"/>
      <c r="AA2197" s="270"/>
      <c r="AB2197" s="270"/>
      <c r="AC2197" s="270"/>
      <c r="AD2197" s="270"/>
      <c r="AE2197" s="270"/>
      <c r="AF2197" s="270"/>
      <c r="AG2197" s="270"/>
      <c r="AH2197" s="270"/>
      <c r="AI2197" s="270"/>
      <c r="AJ2197" s="270"/>
      <c r="AK2197" s="270"/>
      <c r="AL2197" s="270"/>
      <c r="AM2197" s="663"/>
      <c r="AN2197" s="663"/>
      <c r="AO2197" s="708" t="str">
        <f>IF(OR(Table1[[#This Row],[Início Setup Envase]]="",Table1[[#This Row],[Final Setup Envase]]=""),"",Table1[[#This Row],[Final Setup Envase]]-Table1[[#This Row],[Início Setup Envase]])</f>
        <v/>
      </c>
      <c r="AP2197" s="663"/>
      <c r="AQ2197" s="663"/>
      <c r="AR2197" s="270"/>
      <c r="AS2197" s="674"/>
      <c r="AT2197" s="674"/>
      <c r="AU2197" s="270"/>
      <c r="AV2197" s="270"/>
      <c r="AW2197" s="270"/>
      <c r="AX2197" s="270"/>
      <c r="AY2197" s="270"/>
      <c r="AZ2197" s="270"/>
      <c r="BA2197" s="270" t="str">
        <f>IF(Table1[[#This Row],[Data de Início]]="","",YEAR(Table1[[#This Row],[Data de Início]]))</f>
        <v/>
      </c>
      <c r="BB2197" s="270" t="str">
        <f>IF(Table1[[#This Row],[Data de Início]]="","",MONTH(Table1[[#This Row],[Data de Início]]))</f>
        <v/>
      </c>
      <c r="BC2197" s="483"/>
    </row>
    <row r="2198" spans="2:55" x14ac:dyDescent="0.25">
      <c r="B2198" s="470"/>
      <c r="C2198" s="263"/>
      <c r="D2198" s="477" cm="1">
        <f t="array" ref="D2198">IFERROR(HorasUteisFabrica2Turnos(B2198,C2198), "")</f>
        <v>0</v>
      </c>
      <c r="E2198" s="478" t="str">
        <f t="shared" si="34"/>
        <v/>
      </c>
      <c r="F2198" s="266"/>
      <c r="G2198" s="656"/>
      <c r="H2198" s="479"/>
      <c r="I2198" s="268"/>
      <c r="J2198" s="268"/>
      <c r="K2198" s="268"/>
      <c r="L2198" s="269"/>
      <c r="M2198" s="511" t="str">
        <f>IFERROR(INDEX([1]Produtos!$C:$C,MATCH(L2198,[1]Produtos!$B:$B,0)), "-")</f>
        <v>-</v>
      </c>
      <c r="N2198" s="511" t="str">
        <f>IFERROR(INDEX([1]Produtos!$E:$E,MATCH(L2198,[1]Produtos!$B:$B,0)), "-")</f>
        <v>-</v>
      </c>
      <c r="O2198" s="483" t="str">
        <f>IFERROR(INDEX([1]Produtos!$F:$F,MATCH(L2198,[1]Produtos!$B:$B,0)), "-")</f>
        <v>-</v>
      </c>
      <c r="P2198" s="477" t="str">
        <f>IFERROR(INDEX([1]Produtos!$G:$G,MATCH(L2198,[1]Produtos!$B:$B,0)), "-")</f>
        <v>-</v>
      </c>
      <c r="Q2198" s="483" t="str">
        <f>IFERROR(INDEX([1]Produtos!$H:$H,MATCH(L2198,[1]Produtos!$B:$B,0)), "-")</f>
        <v>-</v>
      </c>
      <c r="R2198" s="483" t="str">
        <f>IFERROR(INDEX([1]Produtos!$I:$I,MATCH(L2198,[1]Produtos!$B:$B,0)), "-")</f>
        <v>-</v>
      </c>
      <c r="S2198" s="483" t="str">
        <f>IFERROR(INDEX([1]Produtos!$J:$J,MATCH(L2198,[1]Produtos!$B:$B,0)), "-")</f>
        <v>-</v>
      </c>
      <c r="T2198" s="484"/>
      <c r="U2198" s="483"/>
      <c r="V2198" s="483"/>
      <c r="W2198" s="483"/>
      <c r="X2198" s="483"/>
      <c r="Y2198" s="483"/>
      <c r="Z2198" s="483"/>
      <c r="AA2198" s="483"/>
      <c r="AB2198" s="483"/>
      <c r="AC2198" s="483"/>
      <c r="AD2198" s="483"/>
      <c r="AE2198" s="483"/>
      <c r="AF2198" s="483"/>
      <c r="AG2198" s="483"/>
      <c r="AH2198" s="483"/>
      <c r="AI2198" s="483"/>
      <c r="AJ2198" s="483"/>
      <c r="AK2198" s="483"/>
      <c r="AL2198" s="483"/>
      <c r="AM2198" s="670"/>
      <c r="AN2198" s="670"/>
      <c r="AO2198" s="711" t="str">
        <f>IF(OR(Table1[[#This Row],[Início Setup Envase]]="",Table1[[#This Row],[Final Setup Envase]]=""),"",Table1[[#This Row],[Final Setup Envase]]-Table1[[#This Row],[Início Setup Envase]])</f>
        <v/>
      </c>
      <c r="AP2198" s="670"/>
      <c r="AQ2198" s="670"/>
      <c r="AR2198" s="483"/>
      <c r="AS2198" s="483"/>
      <c r="AT2198" s="483"/>
      <c r="AU2198" s="483"/>
      <c r="AV2198" s="483"/>
      <c r="AW2198" s="483"/>
      <c r="AX2198" s="483"/>
      <c r="AY2198" s="270"/>
      <c r="AZ2198" s="270"/>
      <c r="BA2198" s="270" t="str">
        <f>IF(Table1[[#This Row],[Data de Início]]="","",YEAR(Table1[[#This Row],[Data de Início]]))</f>
        <v/>
      </c>
      <c r="BB2198" s="270" t="str">
        <f>IF(Table1[[#This Row],[Data de Início]]="","",MONTH(Table1[[#This Row],[Data de Início]]))</f>
        <v/>
      </c>
      <c r="BC2198" s="270"/>
    </row>
    <row r="2199" spans="2:55" x14ac:dyDescent="0.25">
      <c r="B2199" s="470"/>
      <c r="C2199" s="263"/>
      <c r="D2199" s="477" cm="1">
        <f t="array" ref="D2199">IFERROR(HorasUteisFabrica2Turnos(B2199,C2199), "")</f>
        <v>0</v>
      </c>
      <c r="E2199" s="697" t="str">
        <f t="shared" si="34"/>
        <v/>
      </c>
      <c r="F2199" s="266"/>
      <c r="G2199" s="698"/>
      <c r="H2199" s="266"/>
      <c r="I2199" s="268"/>
      <c r="J2199" s="268"/>
      <c r="K2199" s="268"/>
      <c r="L2199" s="269"/>
      <c r="M2199" s="510" t="str">
        <f>IFERROR(INDEX([1]Produtos!$C:$C,MATCH(L2199,[1]Produtos!$B:$B,0)), "-")</f>
        <v>-</v>
      </c>
      <c r="N2199" s="510" t="str">
        <f>IFERROR(INDEX([1]Produtos!$E:$E,MATCH(L2199,[1]Produtos!$B:$B,0)), "-")</f>
        <v>-</v>
      </c>
      <c r="O2199" s="270" t="str">
        <f>IFERROR(INDEX([1]Produtos!$F:$F,MATCH(L2199,[1]Produtos!$B:$B,0)), "-")</f>
        <v>-</v>
      </c>
      <c r="P2199" s="264" t="str">
        <f>IFERROR(INDEX([1]Produtos!$G:$G,MATCH(L2199,[1]Produtos!$B:$B,0)), "-")</f>
        <v>-</v>
      </c>
      <c r="Q2199" s="270" t="str">
        <f>IFERROR(INDEX([1]Produtos!$H:$H,MATCH(L2199,[1]Produtos!$B:$B,0)), "-")</f>
        <v>-</v>
      </c>
      <c r="R2199" s="270" t="str">
        <f>IFERROR(INDEX([1]Produtos!$I:$I,MATCH(L2199,[1]Produtos!$B:$B,0)), "-")</f>
        <v>-</v>
      </c>
      <c r="S2199" s="270" t="str">
        <f>IFERROR(INDEX([1]Produtos!$J:$J,MATCH(L2199,[1]Produtos!$B:$B,0)), "-")</f>
        <v>-</v>
      </c>
      <c r="T2199" s="475"/>
      <c r="U2199" s="270"/>
      <c r="V2199" s="270"/>
      <c r="W2199" s="270"/>
      <c r="X2199" s="270"/>
      <c r="Y2199" s="270"/>
      <c r="Z2199" s="270"/>
      <c r="AA2199" s="270"/>
      <c r="AB2199" s="270"/>
      <c r="AC2199" s="270"/>
      <c r="AD2199" s="270"/>
      <c r="AE2199" s="270"/>
      <c r="AF2199" s="270"/>
      <c r="AG2199" s="270"/>
      <c r="AH2199" s="270"/>
      <c r="AI2199" s="270"/>
      <c r="AJ2199" s="270"/>
      <c r="AK2199" s="270"/>
      <c r="AL2199" s="270"/>
      <c r="AM2199" s="663"/>
      <c r="AN2199" s="663"/>
      <c r="AO2199" s="708" t="str">
        <f>IF(OR(Table1[[#This Row],[Início Setup Envase]]="",Table1[[#This Row],[Final Setup Envase]]=""),"",Table1[[#This Row],[Final Setup Envase]]-Table1[[#This Row],[Início Setup Envase]])</f>
        <v/>
      </c>
      <c r="AP2199" s="663"/>
      <c r="AQ2199" s="663"/>
      <c r="AR2199" s="270"/>
      <c r="AS2199" s="674"/>
      <c r="AT2199" s="674"/>
      <c r="AU2199" s="270"/>
      <c r="AV2199" s="270"/>
      <c r="AW2199" s="270"/>
      <c r="AX2199" s="270"/>
      <c r="AY2199" s="270"/>
      <c r="AZ2199" s="270"/>
      <c r="BA2199" s="270" t="str">
        <f>IF(Table1[[#This Row],[Data de Início]]="","",YEAR(Table1[[#This Row],[Data de Início]]))</f>
        <v/>
      </c>
      <c r="BB2199" s="270" t="str">
        <f>IF(Table1[[#This Row],[Data de Início]]="","",MONTH(Table1[[#This Row],[Data de Início]]))</f>
        <v/>
      </c>
      <c r="BC2199" s="483"/>
    </row>
    <row r="2200" spans="2:55" x14ac:dyDescent="0.25">
      <c r="B2200" s="470"/>
      <c r="C2200" s="263"/>
      <c r="D2200" s="477" cm="1">
        <f t="array" ref="D2200">IFERROR(HorasUteisFabrica2Turnos(B2200,C2200), "")</f>
        <v>0</v>
      </c>
      <c r="E2200" s="478" t="str">
        <f t="shared" si="34"/>
        <v/>
      </c>
      <c r="F2200" s="266"/>
      <c r="G2200" s="656"/>
      <c r="H2200" s="479"/>
      <c r="I2200" s="268"/>
      <c r="J2200" s="268"/>
      <c r="K2200" s="268"/>
      <c r="L2200" s="269"/>
      <c r="M2200" s="511" t="str">
        <f>IFERROR(INDEX([1]Produtos!$C:$C,MATCH(L2200,[1]Produtos!$B:$B,0)), "-")</f>
        <v>-</v>
      </c>
      <c r="N2200" s="511" t="str">
        <f>IFERROR(INDEX([1]Produtos!$E:$E,MATCH(L2200,[1]Produtos!$B:$B,0)), "-")</f>
        <v>-</v>
      </c>
      <c r="O2200" s="483" t="str">
        <f>IFERROR(INDEX([1]Produtos!$F:$F,MATCH(L2200,[1]Produtos!$B:$B,0)), "-")</f>
        <v>-</v>
      </c>
      <c r="P2200" s="477" t="str">
        <f>IFERROR(INDEX([1]Produtos!$G:$G,MATCH(L2200,[1]Produtos!$B:$B,0)), "-")</f>
        <v>-</v>
      </c>
      <c r="Q2200" s="483" t="str">
        <f>IFERROR(INDEX([1]Produtos!$H:$H,MATCH(L2200,[1]Produtos!$B:$B,0)), "-")</f>
        <v>-</v>
      </c>
      <c r="R2200" s="483" t="str">
        <f>IFERROR(INDEX([1]Produtos!$I:$I,MATCH(L2200,[1]Produtos!$B:$B,0)), "-")</f>
        <v>-</v>
      </c>
      <c r="S2200" s="483" t="str">
        <f>IFERROR(INDEX([1]Produtos!$J:$J,MATCH(L2200,[1]Produtos!$B:$B,0)), "-")</f>
        <v>-</v>
      </c>
      <c r="T2200" s="484"/>
      <c r="U2200" s="483"/>
      <c r="V2200" s="483"/>
      <c r="W2200" s="483"/>
      <c r="X2200" s="483"/>
      <c r="Y2200" s="483"/>
      <c r="Z2200" s="483"/>
      <c r="AA2200" s="483"/>
      <c r="AB2200" s="483"/>
      <c r="AC2200" s="483"/>
      <c r="AD2200" s="483"/>
      <c r="AE2200" s="483"/>
      <c r="AF2200" s="483"/>
      <c r="AG2200" s="483"/>
      <c r="AH2200" s="483"/>
      <c r="AI2200" s="483"/>
      <c r="AJ2200" s="483"/>
      <c r="AK2200" s="483"/>
      <c r="AL2200" s="483"/>
      <c r="AM2200" s="670"/>
      <c r="AN2200" s="670"/>
      <c r="AO2200" s="711" t="str">
        <f>IF(OR(Table1[[#This Row],[Início Setup Envase]]="",Table1[[#This Row],[Final Setup Envase]]=""),"",Table1[[#This Row],[Final Setup Envase]]-Table1[[#This Row],[Início Setup Envase]])</f>
        <v/>
      </c>
      <c r="AP2200" s="670"/>
      <c r="AQ2200" s="670"/>
      <c r="AR2200" s="483"/>
      <c r="AS2200" s="483"/>
      <c r="AT2200" s="483"/>
      <c r="AU2200" s="483"/>
      <c r="AV2200" s="483"/>
      <c r="AW2200" s="483"/>
      <c r="AX2200" s="483"/>
      <c r="AY2200" s="270"/>
      <c r="AZ2200" s="270"/>
      <c r="BA2200" s="270" t="str">
        <f>IF(Table1[[#This Row],[Data de Início]]="","",YEAR(Table1[[#This Row],[Data de Início]]))</f>
        <v/>
      </c>
      <c r="BB2200" s="270" t="str">
        <f>IF(Table1[[#This Row],[Data de Início]]="","",MONTH(Table1[[#This Row],[Data de Início]]))</f>
        <v/>
      </c>
      <c r="BC2200" s="270"/>
    </row>
    <row r="2201" spans="2:55" x14ac:dyDescent="0.25">
      <c r="B2201" s="470"/>
      <c r="C2201" s="263"/>
      <c r="D2201" s="477" cm="1">
        <f t="array" ref="D2201">IFERROR(HorasUteisFabrica2Turnos(B2201,C2201), "")</f>
        <v>0</v>
      </c>
      <c r="E2201" s="697" t="str">
        <f t="shared" si="34"/>
        <v/>
      </c>
      <c r="F2201" s="266"/>
      <c r="G2201" s="698"/>
      <c r="H2201" s="266"/>
      <c r="I2201" s="268"/>
      <c r="J2201" s="268"/>
      <c r="K2201" s="268"/>
      <c r="L2201" s="269"/>
      <c r="M2201" s="510" t="str">
        <f>IFERROR(INDEX([1]Produtos!$C:$C,MATCH(L2201,[1]Produtos!$B:$B,0)), "-")</f>
        <v>-</v>
      </c>
      <c r="N2201" s="510" t="str">
        <f>IFERROR(INDEX([1]Produtos!$E:$E,MATCH(L2201,[1]Produtos!$B:$B,0)), "-")</f>
        <v>-</v>
      </c>
      <c r="O2201" s="270" t="str">
        <f>IFERROR(INDEX([1]Produtos!$F:$F,MATCH(L2201,[1]Produtos!$B:$B,0)), "-")</f>
        <v>-</v>
      </c>
      <c r="P2201" s="264" t="str">
        <f>IFERROR(INDEX([1]Produtos!$G:$G,MATCH(L2201,[1]Produtos!$B:$B,0)), "-")</f>
        <v>-</v>
      </c>
      <c r="Q2201" s="270" t="str">
        <f>IFERROR(INDEX([1]Produtos!$H:$H,MATCH(L2201,[1]Produtos!$B:$B,0)), "-")</f>
        <v>-</v>
      </c>
      <c r="R2201" s="270" t="str">
        <f>IFERROR(INDEX([1]Produtos!$I:$I,MATCH(L2201,[1]Produtos!$B:$B,0)), "-")</f>
        <v>-</v>
      </c>
      <c r="S2201" s="270" t="str">
        <f>IFERROR(INDEX([1]Produtos!$J:$J,MATCH(L2201,[1]Produtos!$B:$B,0)), "-")</f>
        <v>-</v>
      </c>
      <c r="T2201" s="475"/>
      <c r="U2201" s="270"/>
      <c r="V2201" s="270"/>
      <c r="W2201" s="270"/>
      <c r="X2201" s="270"/>
      <c r="Y2201" s="270"/>
      <c r="Z2201" s="270"/>
      <c r="AA2201" s="270"/>
      <c r="AB2201" s="270"/>
      <c r="AC2201" s="270"/>
      <c r="AD2201" s="270"/>
      <c r="AE2201" s="270"/>
      <c r="AF2201" s="270"/>
      <c r="AG2201" s="270"/>
      <c r="AH2201" s="270"/>
      <c r="AI2201" s="270"/>
      <c r="AJ2201" s="270"/>
      <c r="AK2201" s="270"/>
      <c r="AL2201" s="270"/>
      <c r="AM2201" s="663"/>
      <c r="AN2201" s="663"/>
      <c r="AO2201" s="708" t="str">
        <f>IF(OR(Table1[[#This Row],[Início Setup Envase]]="",Table1[[#This Row],[Final Setup Envase]]=""),"",Table1[[#This Row],[Final Setup Envase]]-Table1[[#This Row],[Início Setup Envase]])</f>
        <v/>
      </c>
      <c r="AP2201" s="663"/>
      <c r="AQ2201" s="663"/>
      <c r="AR2201" s="270"/>
      <c r="AS2201" s="674"/>
      <c r="AT2201" s="674"/>
      <c r="AU2201" s="270"/>
      <c r="AV2201" s="270"/>
      <c r="AW2201" s="270"/>
      <c r="AX2201" s="270"/>
      <c r="AY2201" s="270"/>
      <c r="AZ2201" s="270"/>
      <c r="BA2201" s="270" t="str">
        <f>IF(Table1[[#This Row],[Data de Início]]="","",YEAR(Table1[[#This Row],[Data de Início]]))</f>
        <v/>
      </c>
      <c r="BB2201" s="270" t="str">
        <f>IF(Table1[[#This Row],[Data de Início]]="","",MONTH(Table1[[#This Row],[Data de Início]]))</f>
        <v/>
      </c>
      <c r="BC2201" s="483"/>
    </row>
    <row r="2202" spans="2:55" x14ac:dyDescent="0.25">
      <c r="B2202" s="470"/>
      <c r="C2202" s="263"/>
      <c r="D2202" s="477" cm="1">
        <f t="array" ref="D2202">IFERROR(HorasUteisFabrica2Turnos(B2202,C2202), "")</f>
        <v>0</v>
      </c>
      <c r="E2202" s="478" t="str">
        <f t="shared" si="34"/>
        <v/>
      </c>
      <c r="F2202" s="266"/>
      <c r="G2202" s="656"/>
      <c r="H2202" s="479"/>
      <c r="I2202" s="268"/>
      <c r="J2202" s="268"/>
      <c r="K2202" s="268"/>
      <c r="L2202" s="269"/>
      <c r="M2202" s="511" t="str">
        <f>IFERROR(INDEX([1]Produtos!$C:$C,MATCH(L2202,[1]Produtos!$B:$B,0)), "-")</f>
        <v>-</v>
      </c>
      <c r="N2202" s="511" t="str">
        <f>IFERROR(INDEX([1]Produtos!$E:$E,MATCH(L2202,[1]Produtos!$B:$B,0)), "-")</f>
        <v>-</v>
      </c>
      <c r="O2202" s="483" t="str">
        <f>IFERROR(INDEX([1]Produtos!$F:$F,MATCH(L2202,[1]Produtos!$B:$B,0)), "-")</f>
        <v>-</v>
      </c>
      <c r="P2202" s="477" t="str">
        <f>IFERROR(INDEX([1]Produtos!$G:$G,MATCH(L2202,[1]Produtos!$B:$B,0)), "-")</f>
        <v>-</v>
      </c>
      <c r="Q2202" s="483" t="str">
        <f>IFERROR(INDEX([1]Produtos!$H:$H,MATCH(L2202,[1]Produtos!$B:$B,0)), "-")</f>
        <v>-</v>
      </c>
      <c r="R2202" s="483" t="str">
        <f>IFERROR(INDEX([1]Produtos!$I:$I,MATCH(L2202,[1]Produtos!$B:$B,0)), "-")</f>
        <v>-</v>
      </c>
      <c r="S2202" s="483" t="str">
        <f>IFERROR(INDEX([1]Produtos!$J:$J,MATCH(L2202,[1]Produtos!$B:$B,0)), "-")</f>
        <v>-</v>
      </c>
      <c r="T2202" s="484"/>
      <c r="U2202" s="483"/>
      <c r="V2202" s="483"/>
      <c r="W2202" s="483"/>
      <c r="X2202" s="483"/>
      <c r="Y2202" s="483"/>
      <c r="Z2202" s="483"/>
      <c r="AA2202" s="483"/>
      <c r="AB2202" s="483"/>
      <c r="AC2202" s="483"/>
      <c r="AD2202" s="483"/>
      <c r="AE2202" s="483"/>
      <c r="AF2202" s="483"/>
      <c r="AG2202" s="483"/>
      <c r="AH2202" s="483"/>
      <c r="AI2202" s="483"/>
      <c r="AJ2202" s="483"/>
      <c r="AK2202" s="483"/>
      <c r="AL2202" s="483"/>
      <c r="AM2202" s="670"/>
      <c r="AN2202" s="670"/>
      <c r="AO2202" s="711" t="str">
        <f>IF(OR(Table1[[#This Row],[Início Setup Envase]]="",Table1[[#This Row],[Final Setup Envase]]=""),"",Table1[[#This Row],[Final Setup Envase]]-Table1[[#This Row],[Início Setup Envase]])</f>
        <v/>
      </c>
      <c r="AP2202" s="670"/>
      <c r="AQ2202" s="670"/>
      <c r="AR2202" s="483"/>
      <c r="AS2202" s="483"/>
      <c r="AT2202" s="483"/>
      <c r="AU2202" s="483"/>
      <c r="AV2202" s="483"/>
      <c r="AW2202" s="483"/>
      <c r="AX2202" s="483"/>
      <c r="AY2202" s="270"/>
      <c r="AZ2202" s="270"/>
      <c r="BA2202" s="270" t="str">
        <f>IF(Table1[[#This Row],[Data de Início]]="","",YEAR(Table1[[#This Row],[Data de Início]]))</f>
        <v/>
      </c>
      <c r="BB2202" s="270" t="str">
        <f>IF(Table1[[#This Row],[Data de Início]]="","",MONTH(Table1[[#This Row],[Data de Início]]))</f>
        <v/>
      </c>
      <c r="BC2202" s="270"/>
    </row>
    <row r="2203" spans="2:55" x14ac:dyDescent="0.25">
      <c r="B2203" s="470"/>
      <c r="C2203" s="263"/>
      <c r="D2203" s="477" cm="1">
        <f t="array" ref="D2203">IFERROR(HorasUteisFabrica2Turnos(B2203,C2203), "")</f>
        <v>0</v>
      </c>
      <c r="E2203" s="697" t="str">
        <f t="shared" si="34"/>
        <v/>
      </c>
      <c r="F2203" s="266"/>
      <c r="G2203" s="698"/>
      <c r="H2203" s="266"/>
      <c r="I2203" s="268"/>
      <c r="J2203" s="268"/>
      <c r="K2203" s="268"/>
      <c r="L2203" s="269"/>
      <c r="M2203" s="510" t="str">
        <f>IFERROR(INDEX([1]Produtos!$C:$C,MATCH(L2203,[1]Produtos!$B:$B,0)), "-")</f>
        <v>-</v>
      </c>
      <c r="N2203" s="510" t="str">
        <f>IFERROR(INDEX([1]Produtos!$E:$E,MATCH(L2203,[1]Produtos!$B:$B,0)), "-")</f>
        <v>-</v>
      </c>
      <c r="O2203" s="270" t="str">
        <f>IFERROR(INDEX([1]Produtos!$F:$F,MATCH(L2203,[1]Produtos!$B:$B,0)), "-")</f>
        <v>-</v>
      </c>
      <c r="P2203" s="264" t="str">
        <f>IFERROR(INDEX([1]Produtos!$G:$G,MATCH(L2203,[1]Produtos!$B:$B,0)), "-")</f>
        <v>-</v>
      </c>
      <c r="Q2203" s="270" t="str">
        <f>IFERROR(INDEX([1]Produtos!$H:$H,MATCH(L2203,[1]Produtos!$B:$B,0)), "-")</f>
        <v>-</v>
      </c>
      <c r="R2203" s="270" t="str">
        <f>IFERROR(INDEX([1]Produtos!$I:$I,MATCH(L2203,[1]Produtos!$B:$B,0)), "-")</f>
        <v>-</v>
      </c>
      <c r="S2203" s="270" t="str">
        <f>IFERROR(INDEX([1]Produtos!$J:$J,MATCH(L2203,[1]Produtos!$B:$B,0)), "-")</f>
        <v>-</v>
      </c>
      <c r="T2203" s="475"/>
      <c r="U2203" s="270"/>
      <c r="V2203" s="270"/>
      <c r="W2203" s="270"/>
      <c r="X2203" s="270"/>
      <c r="Y2203" s="270"/>
      <c r="Z2203" s="270"/>
      <c r="AA2203" s="270"/>
      <c r="AB2203" s="270"/>
      <c r="AC2203" s="270"/>
      <c r="AD2203" s="270"/>
      <c r="AE2203" s="270"/>
      <c r="AF2203" s="270"/>
      <c r="AG2203" s="270"/>
      <c r="AH2203" s="270"/>
      <c r="AI2203" s="270"/>
      <c r="AJ2203" s="270"/>
      <c r="AK2203" s="270"/>
      <c r="AL2203" s="270"/>
      <c r="AM2203" s="663"/>
      <c r="AN2203" s="663"/>
      <c r="AO2203" s="708" t="str">
        <f>IF(OR(Table1[[#This Row],[Início Setup Envase]]="",Table1[[#This Row],[Final Setup Envase]]=""),"",Table1[[#This Row],[Final Setup Envase]]-Table1[[#This Row],[Início Setup Envase]])</f>
        <v/>
      </c>
      <c r="AP2203" s="663"/>
      <c r="AQ2203" s="663"/>
      <c r="AR2203" s="270"/>
      <c r="AS2203" s="674"/>
      <c r="AT2203" s="674"/>
      <c r="AU2203" s="270"/>
      <c r="AV2203" s="270"/>
      <c r="AW2203" s="270"/>
      <c r="AX2203" s="270"/>
      <c r="AY2203" s="270"/>
      <c r="AZ2203" s="270"/>
      <c r="BA2203" s="270" t="str">
        <f>IF(Table1[[#This Row],[Data de Início]]="","",YEAR(Table1[[#This Row],[Data de Início]]))</f>
        <v/>
      </c>
      <c r="BB2203" s="270" t="str">
        <f>IF(Table1[[#This Row],[Data de Início]]="","",MONTH(Table1[[#This Row],[Data de Início]]))</f>
        <v/>
      </c>
      <c r="BC2203" s="483"/>
    </row>
    <row r="2204" spans="2:55" x14ac:dyDescent="0.25">
      <c r="B2204" s="470"/>
      <c r="C2204" s="263"/>
      <c r="D2204" s="477" cm="1">
        <f t="array" ref="D2204">IFERROR(HorasUteisFabrica2Turnos(B2204,C2204), "")</f>
        <v>0</v>
      </c>
      <c r="E2204" s="478" t="str">
        <f t="shared" si="34"/>
        <v/>
      </c>
      <c r="F2204" s="266"/>
      <c r="G2204" s="656"/>
      <c r="H2204" s="479"/>
      <c r="I2204" s="268"/>
      <c r="J2204" s="268"/>
      <c r="K2204" s="268"/>
      <c r="L2204" s="269"/>
      <c r="M2204" s="511" t="str">
        <f>IFERROR(INDEX([1]Produtos!$C:$C,MATCH(L2204,[1]Produtos!$B:$B,0)), "-")</f>
        <v>-</v>
      </c>
      <c r="N2204" s="511" t="str">
        <f>IFERROR(INDEX([1]Produtos!$E:$E,MATCH(L2204,[1]Produtos!$B:$B,0)), "-")</f>
        <v>-</v>
      </c>
      <c r="O2204" s="483" t="str">
        <f>IFERROR(INDEX([1]Produtos!$F:$F,MATCH(L2204,[1]Produtos!$B:$B,0)), "-")</f>
        <v>-</v>
      </c>
      <c r="P2204" s="477" t="str">
        <f>IFERROR(INDEX([1]Produtos!$G:$G,MATCH(L2204,[1]Produtos!$B:$B,0)), "-")</f>
        <v>-</v>
      </c>
      <c r="Q2204" s="483" t="str">
        <f>IFERROR(INDEX([1]Produtos!$H:$H,MATCH(L2204,[1]Produtos!$B:$B,0)), "-")</f>
        <v>-</v>
      </c>
      <c r="R2204" s="483" t="str">
        <f>IFERROR(INDEX([1]Produtos!$I:$I,MATCH(L2204,[1]Produtos!$B:$B,0)), "-")</f>
        <v>-</v>
      </c>
      <c r="S2204" s="483" t="str">
        <f>IFERROR(INDEX([1]Produtos!$J:$J,MATCH(L2204,[1]Produtos!$B:$B,0)), "-")</f>
        <v>-</v>
      </c>
      <c r="T2204" s="484"/>
      <c r="U2204" s="483"/>
      <c r="V2204" s="483"/>
      <c r="W2204" s="483"/>
      <c r="X2204" s="483"/>
      <c r="Y2204" s="483"/>
      <c r="Z2204" s="483"/>
      <c r="AA2204" s="483"/>
      <c r="AB2204" s="483"/>
      <c r="AC2204" s="483"/>
      <c r="AD2204" s="483"/>
      <c r="AE2204" s="483"/>
      <c r="AF2204" s="483"/>
      <c r="AG2204" s="483"/>
      <c r="AH2204" s="483"/>
      <c r="AI2204" s="483"/>
      <c r="AJ2204" s="483"/>
      <c r="AK2204" s="483"/>
      <c r="AL2204" s="483"/>
      <c r="AM2204" s="670"/>
      <c r="AN2204" s="670"/>
      <c r="AO2204" s="711" t="str">
        <f>IF(OR(Table1[[#This Row],[Início Setup Envase]]="",Table1[[#This Row],[Final Setup Envase]]=""),"",Table1[[#This Row],[Final Setup Envase]]-Table1[[#This Row],[Início Setup Envase]])</f>
        <v/>
      </c>
      <c r="AP2204" s="670"/>
      <c r="AQ2204" s="670"/>
      <c r="AR2204" s="483"/>
      <c r="AS2204" s="483"/>
      <c r="AT2204" s="483"/>
      <c r="AU2204" s="483"/>
      <c r="AV2204" s="483"/>
      <c r="AW2204" s="483"/>
      <c r="AX2204" s="483"/>
      <c r="AY2204" s="270"/>
      <c r="AZ2204" s="270"/>
      <c r="BA2204" s="270" t="str">
        <f>IF(Table1[[#This Row],[Data de Início]]="","",YEAR(Table1[[#This Row],[Data de Início]]))</f>
        <v/>
      </c>
      <c r="BB2204" s="270" t="str">
        <f>IF(Table1[[#This Row],[Data de Início]]="","",MONTH(Table1[[#This Row],[Data de Início]]))</f>
        <v/>
      </c>
      <c r="BC2204" s="270"/>
    </row>
    <row r="2205" spans="2:55" x14ac:dyDescent="0.25">
      <c r="B2205" s="470"/>
      <c r="C2205" s="263"/>
      <c r="D2205" s="477" cm="1">
        <f t="array" ref="D2205">IFERROR(HorasUteisFabrica2Turnos(B2205,C2205), "")</f>
        <v>0</v>
      </c>
      <c r="E2205" s="697" t="str">
        <f t="shared" si="34"/>
        <v/>
      </c>
      <c r="F2205" s="266"/>
      <c r="G2205" s="698"/>
      <c r="H2205" s="266"/>
      <c r="I2205" s="268"/>
      <c r="J2205" s="268"/>
      <c r="K2205" s="268"/>
      <c r="L2205" s="269"/>
      <c r="M2205" s="510" t="str">
        <f>IFERROR(INDEX([1]Produtos!$C:$C,MATCH(L2205,[1]Produtos!$B:$B,0)), "-")</f>
        <v>-</v>
      </c>
      <c r="N2205" s="510" t="str">
        <f>IFERROR(INDEX([1]Produtos!$E:$E,MATCH(L2205,[1]Produtos!$B:$B,0)), "-")</f>
        <v>-</v>
      </c>
      <c r="O2205" s="270" t="str">
        <f>IFERROR(INDEX([1]Produtos!$F:$F,MATCH(L2205,[1]Produtos!$B:$B,0)), "-")</f>
        <v>-</v>
      </c>
      <c r="P2205" s="264" t="str">
        <f>IFERROR(INDEX([1]Produtos!$G:$G,MATCH(L2205,[1]Produtos!$B:$B,0)), "-")</f>
        <v>-</v>
      </c>
      <c r="Q2205" s="270" t="str">
        <f>IFERROR(INDEX([1]Produtos!$H:$H,MATCH(L2205,[1]Produtos!$B:$B,0)), "-")</f>
        <v>-</v>
      </c>
      <c r="R2205" s="270" t="str">
        <f>IFERROR(INDEX([1]Produtos!$I:$I,MATCH(L2205,[1]Produtos!$B:$B,0)), "-")</f>
        <v>-</v>
      </c>
      <c r="S2205" s="270" t="str">
        <f>IFERROR(INDEX([1]Produtos!$J:$J,MATCH(L2205,[1]Produtos!$B:$B,0)), "-")</f>
        <v>-</v>
      </c>
      <c r="T2205" s="475"/>
      <c r="U2205" s="270"/>
      <c r="V2205" s="270"/>
      <c r="W2205" s="270"/>
      <c r="X2205" s="270"/>
      <c r="Y2205" s="270"/>
      <c r="Z2205" s="270"/>
      <c r="AA2205" s="270"/>
      <c r="AB2205" s="270"/>
      <c r="AC2205" s="270"/>
      <c r="AD2205" s="270"/>
      <c r="AE2205" s="270"/>
      <c r="AF2205" s="270"/>
      <c r="AG2205" s="270"/>
      <c r="AH2205" s="270"/>
      <c r="AI2205" s="270"/>
      <c r="AJ2205" s="270"/>
      <c r="AK2205" s="270"/>
      <c r="AL2205" s="270"/>
      <c r="AM2205" s="663"/>
      <c r="AN2205" s="663"/>
      <c r="AO2205" s="708" t="str">
        <f>IF(OR(Table1[[#This Row],[Início Setup Envase]]="",Table1[[#This Row],[Final Setup Envase]]=""),"",Table1[[#This Row],[Final Setup Envase]]-Table1[[#This Row],[Início Setup Envase]])</f>
        <v/>
      </c>
      <c r="AP2205" s="663"/>
      <c r="AQ2205" s="663"/>
      <c r="AR2205" s="270"/>
      <c r="AS2205" s="674"/>
      <c r="AT2205" s="674"/>
      <c r="AU2205" s="270"/>
      <c r="AV2205" s="270"/>
      <c r="AW2205" s="270"/>
      <c r="AX2205" s="270"/>
      <c r="AY2205" s="270"/>
      <c r="AZ2205" s="270"/>
      <c r="BA2205" s="270" t="str">
        <f>IF(Table1[[#This Row],[Data de Início]]="","",YEAR(Table1[[#This Row],[Data de Início]]))</f>
        <v/>
      </c>
      <c r="BB2205" s="270" t="str">
        <f>IF(Table1[[#This Row],[Data de Início]]="","",MONTH(Table1[[#This Row],[Data de Início]]))</f>
        <v/>
      </c>
      <c r="BC2205" s="483"/>
    </row>
    <row r="2206" spans="2:55" x14ac:dyDescent="0.25">
      <c r="B2206" s="470"/>
      <c r="C2206" s="263"/>
      <c r="D2206" s="477" cm="1">
        <f t="array" ref="D2206">IFERROR(HorasUteisFabrica2Turnos(B2206,C2206), "")</f>
        <v>0</v>
      </c>
      <c r="E2206" s="478" t="str">
        <f t="shared" si="34"/>
        <v/>
      </c>
      <c r="F2206" s="266"/>
      <c r="G2206" s="656"/>
      <c r="H2206" s="479"/>
      <c r="I2206" s="268"/>
      <c r="J2206" s="268"/>
      <c r="K2206" s="268"/>
      <c r="L2206" s="269"/>
      <c r="M2206" s="511" t="str">
        <f>IFERROR(INDEX([1]Produtos!$C:$C,MATCH(L2206,[1]Produtos!$B:$B,0)), "-")</f>
        <v>-</v>
      </c>
      <c r="N2206" s="511" t="str">
        <f>IFERROR(INDEX([1]Produtos!$E:$E,MATCH(L2206,[1]Produtos!$B:$B,0)), "-")</f>
        <v>-</v>
      </c>
      <c r="O2206" s="483" t="str">
        <f>IFERROR(INDEX([1]Produtos!$F:$F,MATCH(L2206,[1]Produtos!$B:$B,0)), "-")</f>
        <v>-</v>
      </c>
      <c r="P2206" s="477" t="str">
        <f>IFERROR(INDEX([1]Produtos!$G:$G,MATCH(L2206,[1]Produtos!$B:$B,0)), "-")</f>
        <v>-</v>
      </c>
      <c r="Q2206" s="483" t="str">
        <f>IFERROR(INDEX([1]Produtos!$H:$H,MATCH(L2206,[1]Produtos!$B:$B,0)), "-")</f>
        <v>-</v>
      </c>
      <c r="R2206" s="483" t="str">
        <f>IFERROR(INDEX([1]Produtos!$I:$I,MATCH(L2206,[1]Produtos!$B:$B,0)), "-")</f>
        <v>-</v>
      </c>
      <c r="S2206" s="483" t="str">
        <f>IFERROR(INDEX([1]Produtos!$J:$J,MATCH(L2206,[1]Produtos!$B:$B,0)), "-")</f>
        <v>-</v>
      </c>
      <c r="T2206" s="484"/>
      <c r="U2206" s="483"/>
      <c r="V2206" s="483"/>
      <c r="W2206" s="483"/>
      <c r="X2206" s="483"/>
      <c r="Y2206" s="483"/>
      <c r="Z2206" s="483"/>
      <c r="AA2206" s="483"/>
      <c r="AB2206" s="483"/>
      <c r="AC2206" s="483"/>
      <c r="AD2206" s="483"/>
      <c r="AE2206" s="483"/>
      <c r="AF2206" s="483"/>
      <c r="AG2206" s="483"/>
      <c r="AH2206" s="483"/>
      <c r="AI2206" s="483"/>
      <c r="AJ2206" s="483"/>
      <c r="AK2206" s="483"/>
      <c r="AL2206" s="483"/>
      <c r="AM2206" s="670"/>
      <c r="AN2206" s="670"/>
      <c r="AO2206" s="711" t="str">
        <f>IF(OR(Table1[[#This Row],[Início Setup Envase]]="",Table1[[#This Row],[Final Setup Envase]]=""),"",Table1[[#This Row],[Final Setup Envase]]-Table1[[#This Row],[Início Setup Envase]])</f>
        <v/>
      </c>
      <c r="AP2206" s="670"/>
      <c r="AQ2206" s="670"/>
      <c r="AR2206" s="483"/>
      <c r="AS2206" s="483"/>
      <c r="AT2206" s="483"/>
      <c r="AU2206" s="483"/>
      <c r="AV2206" s="483"/>
      <c r="AW2206" s="483"/>
      <c r="AX2206" s="483"/>
      <c r="AY2206" s="270"/>
      <c r="AZ2206" s="270"/>
      <c r="BA2206" s="270" t="str">
        <f>IF(Table1[[#This Row],[Data de Início]]="","",YEAR(Table1[[#This Row],[Data de Início]]))</f>
        <v/>
      </c>
      <c r="BB2206" s="270" t="str">
        <f>IF(Table1[[#This Row],[Data de Início]]="","",MONTH(Table1[[#This Row],[Data de Início]]))</f>
        <v/>
      </c>
      <c r="BC2206" s="270"/>
    </row>
    <row r="2207" spans="2:55" x14ac:dyDescent="0.25">
      <c r="B2207" s="470"/>
      <c r="C2207" s="263"/>
      <c r="D2207" s="477" cm="1">
        <f t="array" ref="D2207">IFERROR(HorasUteisFabrica2Turnos(B2207,C2207), "")</f>
        <v>0</v>
      </c>
      <c r="E2207" s="697" t="str">
        <f t="shared" si="34"/>
        <v/>
      </c>
      <c r="F2207" s="266"/>
      <c r="G2207" s="698"/>
      <c r="H2207" s="266"/>
      <c r="I2207" s="268"/>
      <c r="J2207" s="268"/>
      <c r="K2207" s="268"/>
      <c r="L2207" s="269"/>
      <c r="M2207" s="510" t="str">
        <f>IFERROR(INDEX([1]Produtos!$C:$C,MATCH(L2207,[1]Produtos!$B:$B,0)), "-")</f>
        <v>-</v>
      </c>
      <c r="N2207" s="510" t="str">
        <f>IFERROR(INDEX([1]Produtos!$E:$E,MATCH(L2207,[1]Produtos!$B:$B,0)), "-")</f>
        <v>-</v>
      </c>
      <c r="O2207" s="270" t="str">
        <f>IFERROR(INDEX([1]Produtos!$F:$F,MATCH(L2207,[1]Produtos!$B:$B,0)), "-")</f>
        <v>-</v>
      </c>
      <c r="P2207" s="264" t="str">
        <f>IFERROR(INDEX([1]Produtos!$G:$G,MATCH(L2207,[1]Produtos!$B:$B,0)), "-")</f>
        <v>-</v>
      </c>
      <c r="Q2207" s="270" t="str">
        <f>IFERROR(INDEX([1]Produtos!$H:$H,MATCH(L2207,[1]Produtos!$B:$B,0)), "-")</f>
        <v>-</v>
      </c>
      <c r="R2207" s="270" t="str">
        <f>IFERROR(INDEX([1]Produtos!$I:$I,MATCH(L2207,[1]Produtos!$B:$B,0)), "-")</f>
        <v>-</v>
      </c>
      <c r="S2207" s="270" t="str">
        <f>IFERROR(INDEX([1]Produtos!$J:$J,MATCH(L2207,[1]Produtos!$B:$B,0)), "-")</f>
        <v>-</v>
      </c>
      <c r="T2207" s="475"/>
      <c r="U2207" s="270"/>
      <c r="V2207" s="270"/>
      <c r="W2207" s="270"/>
      <c r="X2207" s="270"/>
      <c r="Y2207" s="270"/>
      <c r="Z2207" s="270"/>
      <c r="AA2207" s="270"/>
      <c r="AB2207" s="270"/>
      <c r="AC2207" s="270"/>
      <c r="AD2207" s="270"/>
      <c r="AE2207" s="270"/>
      <c r="AF2207" s="270"/>
      <c r="AG2207" s="270"/>
      <c r="AH2207" s="270"/>
      <c r="AI2207" s="270"/>
      <c r="AJ2207" s="270"/>
      <c r="AK2207" s="270"/>
      <c r="AL2207" s="270"/>
      <c r="AM2207" s="663"/>
      <c r="AN2207" s="663"/>
      <c r="AO2207" s="708" t="str">
        <f>IF(OR(Table1[[#This Row],[Início Setup Envase]]="",Table1[[#This Row],[Final Setup Envase]]=""),"",Table1[[#This Row],[Final Setup Envase]]-Table1[[#This Row],[Início Setup Envase]])</f>
        <v/>
      </c>
      <c r="AP2207" s="663"/>
      <c r="AQ2207" s="663"/>
      <c r="AR2207" s="270"/>
      <c r="AS2207" s="674"/>
      <c r="AT2207" s="674"/>
      <c r="AU2207" s="270"/>
      <c r="AV2207" s="270"/>
      <c r="AW2207" s="270"/>
      <c r="AX2207" s="270"/>
      <c r="AY2207" s="270"/>
      <c r="AZ2207" s="270"/>
      <c r="BA2207" s="270" t="str">
        <f>IF(Table1[[#This Row],[Data de Início]]="","",YEAR(Table1[[#This Row],[Data de Início]]))</f>
        <v/>
      </c>
      <c r="BB2207" s="270" t="str">
        <f>IF(Table1[[#This Row],[Data de Início]]="","",MONTH(Table1[[#This Row],[Data de Início]]))</f>
        <v/>
      </c>
      <c r="BC2207" s="483"/>
    </row>
    <row r="2208" spans="2:55" x14ac:dyDescent="0.25">
      <c r="B2208" s="470"/>
      <c r="C2208" s="263"/>
      <c r="D2208" s="477" cm="1">
        <f t="array" ref="D2208">IFERROR(HorasUteisFabrica2Turnos(B2208,C2208), "")</f>
        <v>0</v>
      </c>
      <c r="E2208" s="478" t="str">
        <f t="shared" si="34"/>
        <v/>
      </c>
      <c r="F2208" s="266"/>
      <c r="G2208" s="656"/>
      <c r="H2208" s="479"/>
      <c r="I2208" s="268"/>
      <c r="J2208" s="268"/>
      <c r="K2208" s="268"/>
      <c r="L2208" s="269"/>
      <c r="M2208" s="511" t="str">
        <f>IFERROR(INDEX([1]Produtos!$C:$C,MATCH(L2208,[1]Produtos!$B:$B,0)), "-")</f>
        <v>-</v>
      </c>
      <c r="N2208" s="511" t="str">
        <f>IFERROR(INDEX([1]Produtos!$E:$E,MATCH(L2208,[1]Produtos!$B:$B,0)), "-")</f>
        <v>-</v>
      </c>
      <c r="O2208" s="483" t="str">
        <f>IFERROR(INDEX([1]Produtos!$F:$F,MATCH(L2208,[1]Produtos!$B:$B,0)), "-")</f>
        <v>-</v>
      </c>
      <c r="P2208" s="477" t="str">
        <f>IFERROR(INDEX([1]Produtos!$G:$G,MATCH(L2208,[1]Produtos!$B:$B,0)), "-")</f>
        <v>-</v>
      </c>
      <c r="Q2208" s="483" t="str">
        <f>IFERROR(INDEX([1]Produtos!$H:$H,MATCH(L2208,[1]Produtos!$B:$B,0)), "-")</f>
        <v>-</v>
      </c>
      <c r="R2208" s="483" t="str">
        <f>IFERROR(INDEX([1]Produtos!$I:$I,MATCH(L2208,[1]Produtos!$B:$B,0)), "-")</f>
        <v>-</v>
      </c>
      <c r="S2208" s="483" t="str">
        <f>IFERROR(INDEX([1]Produtos!$J:$J,MATCH(L2208,[1]Produtos!$B:$B,0)), "-")</f>
        <v>-</v>
      </c>
      <c r="T2208" s="484"/>
      <c r="U2208" s="483"/>
      <c r="V2208" s="483"/>
      <c r="W2208" s="483"/>
      <c r="X2208" s="483"/>
      <c r="Y2208" s="483"/>
      <c r="Z2208" s="483"/>
      <c r="AA2208" s="483"/>
      <c r="AB2208" s="483"/>
      <c r="AC2208" s="483"/>
      <c r="AD2208" s="483"/>
      <c r="AE2208" s="483"/>
      <c r="AF2208" s="483"/>
      <c r="AG2208" s="483"/>
      <c r="AH2208" s="483"/>
      <c r="AI2208" s="483"/>
      <c r="AJ2208" s="483"/>
      <c r="AK2208" s="483"/>
      <c r="AL2208" s="483"/>
      <c r="AM2208" s="670"/>
      <c r="AN2208" s="670"/>
      <c r="AO2208" s="711" t="str">
        <f>IF(OR(Table1[[#This Row],[Início Setup Envase]]="",Table1[[#This Row],[Final Setup Envase]]=""),"",Table1[[#This Row],[Final Setup Envase]]-Table1[[#This Row],[Início Setup Envase]])</f>
        <v/>
      </c>
      <c r="AP2208" s="670"/>
      <c r="AQ2208" s="670"/>
      <c r="AR2208" s="483"/>
      <c r="AS2208" s="483"/>
      <c r="AT2208" s="483"/>
      <c r="AU2208" s="483"/>
      <c r="AV2208" s="483"/>
      <c r="AW2208" s="483"/>
      <c r="AX2208" s="483"/>
      <c r="AY2208" s="270"/>
      <c r="AZ2208" s="270"/>
      <c r="BA2208" s="270" t="str">
        <f>IF(Table1[[#This Row],[Data de Início]]="","",YEAR(Table1[[#This Row],[Data de Início]]))</f>
        <v/>
      </c>
      <c r="BB2208" s="270" t="str">
        <f>IF(Table1[[#This Row],[Data de Início]]="","",MONTH(Table1[[#This Row],[Data de Início]]))</f>
        <v/>
      </c>
      <c r="BC2208" s="270"/>
    </row>
    <row r="2209" spans="2:55" x14ac:dyDescent="0.25">
      <c r="B2209" s="470"/>
      <c r="C2209" s="263"/>
      <c r="D2209" s="477" cm="1">
        <f t="array" ref="D2209">IFERROR(HorasUteisFabrica2Turnos(B2209,C2209), "")</f>
        <v>0</v>
      </c>
      <c r="E2209" s="697" t="str">
        <f t="shared" si="34"/>
        <v/>
      </c>
      <c r="F2209" s="266"/>
      <c r="G2209" s="698"/>
      <c r="H2209" s="266"/>
      <c r="I2209" s="268"/>
      <c r="J2209" s="268"/>
      <c r="K2209" s="268"/>
      <c r="L2209" s="269"/>
      <c r="M2209" s="510" t="str">
        <f>IFERROR(INDEX([1]Produtos!$C:$C,MATCH(L2209,[1]Produtos!$B:$B,0)), "-")</f>
        <v>-</v>
      </c>
      <c r="N2209" s="510" t="str">
        <f>IFERROR(INDEX([1]Produtos!$E:$E,MATCH(L2209,[1]Produtos!$B:$B,0)), "-")</f>
        <v>-</v>
      </c>
      <c r="O2209" s="270" t="str">
        <f>IFERROR(INDEX([1]Produtos!$F:$F,MATCH(L2209,[1]Produtos!$B:$B,0)), "-")</f>
        <v>-</v>
      </c>
      <c r="P2209" s="264" t="str">
        <f>IFERROR(INDEX([1]Produtos!$G:$G,MATCH(L2209,[1]Produtos!$B:$B,0)), "-")</f>
        <v>-</v>
      </c>
      <c r="Q2209" s="270" t="str">
        <f>IFERROR(INDEX([1]Produtos!$H:$H,MATCH(L2209,[1]Produtos!$B:$B,0)), "-")</f>
        <v>-</v>
      </c>
      <c r="R2209" s="270" t="str">
        <f>IFERROR(INDEX([1]Produtos!$I:$I,MATCH(L2209,[1]Produtos!$B:$B,0)), "-")</f>
        <v>-</v>
      </c>
      <c r="S2209" s="270" t="str">
        <f>IFERROR(INDEX([1]Produtos!$J:$J,MATCH(L2209,[1]Produtos!$B:$B,0)), "-")</f>
        <v>-</v>
      </c>
      <c r="T2209" s="475"/>
      <c r="U2209" s="270"/>
      <c r="V2209" s="270"/>
      <c r="W2209" s="270"/>
      <c r="X2209" s="270"/>
      <c r="Y2209" s="270"/>
      <c r="Z2209" s="270"/>
      <c r="AA2209" s="270"/>
      <c r="AB2209" s="270"/>
      <c r="AC2209" s="270"/>
      <c r="AD2209" s="270"/>
      <c r="AE2209" s="270"/>
      <c r="AF2209" s="270"/>
      <c r="AG2209" s="270"/>
      <c r="AH2209" s="270"/>
      <c r="AI2209" s="270"/>
      <c r="AJ2209" s="270"/>
      <c r="AK2209" s="270"/>
      <c r="AL2209" s="270"/>
      <c r="AM2209" s="663"/>
      <c r="AN2209" s="663"/>
      <c r="AO2209" s="708" t="str">
        <f>IF(OR(Table1[[#This Row],[Início Setup Envase]]="",Table1[[#This Row],[Final Setup Envase]]=""),"",Table1[[#This Row],[Final Setup Envase]]-Table1[[#This Row],[Início Setup Envase]])</f>
        <v/>
      </c>
      <c r="AP2209" s="663"/>
      <c r="AQ2209" s="663"/>
      <c r="AR2209" s="270"/>
      <c r="AS2209" s="674"/>
      <c r="AT2209" s="674"/>
      <c r="AU2209" s="270"/>
      <c r="AV2209" s="270"/>
      <c r="AW2209" s="270"/>
      <c r="AX2209" s="270"/>
      <c r="AY2209" s="270"/>
      <c r="AZ2209" s="270"/>
      <c r="BA2209" s="270" t="str">
        <f>IF(Table1[[#This Row],[Data de Início]]="","",YEAR(Table1[[#This Row],[Data de Início]]))</f>
        <v/>
      </c>
      <c r="BB2209" s="270" t="str">
        <f>IF(Table1[[#This Row],[Data de Início]]="","",MONTH(Table1[[#This Row],[Data de Início]]))</f>
        <v/>
      </c>
      <c r="BC2209" s="483"/>
    </row>
    <row r="2210" spans="2:55" x14ac:dyDescent="0.25">
      <c r="B2210" s="470"/>
      <c r="C2210" s="263"/>
      <c r="D2210" s="477" cm="1">
        <f t="array" ref="D2210">IFERROR(HorasUteisFabrica2Turnos(B2210,C2210), "")</f>
        <v>0</v>
      </c>
      <c r="E2210" s="478" t="str">
        <f t="shared" si="34"/>
        <v/>
      </c>
      <c r="F2210" s="266"/>
      <c r="G2210" s="656"/>
      <c r="H2210" s="479"/>
      <c r="I2210" s="268"/>
      <c r="J2210" s="268"/>
      <c r="K2210" s="268"/>
      <c r="L2210" s="269"/>
      <c r="M2210" s="511" t="str">
        <f>IFERROR(INDEX([1]Produtos!$C:$C,MATCH(L2210,[1]Produtos!$B:$B,0)), "-")</f>
        <v>-</v>
      </c>
      <c r="N2210" s="511" t="str">
        <f>IFERROR(INDEX([1]Produtos!$E:$E,MATCH(L2210,[1]Produtos!$B:$B,0)), "-")</f>
        <v>-</v>
      </c>
      <c r="O2210" s="483" t="str">
        <f>IFERROR(INDEX([1]Produtos!$F:$F,MATCH(L2210,[1]Produtos!$B:$B,0)), "-")</f>
        <v>-</v>
      </c>
      <c r="P2210" s="477" t="str">
        <f>IFERROR(INDEX([1]Produtos!$G:$G,MATCH(L2210,[1]Produtos!$B:$B,0)), "-")</f>
        <v>-</v>
      </c>
      <c r="Q2210" s="483" t="str">
        <f>IFERROR(INDEX([1]Produtos!$H:$H,MATCH(L2210,[1]Produtos!$B:$B,0)), "-")</f>
        <v>-</v>
      </c>
      <c r="R2210" s="483" t="str">
        <f>IFERROR(INDEX([1]Produtos!$I:$I,MATCH(L2210,[1]Produtos!$B:$B,0)), "-")</f>
        <v>-</v>
      </c>
      <c r="S2210" s="483" t="str">
        <f>IFERROR(INDEX([1]Produtos!$J:$J,MATCH(L2210,[1]Produtos!$B:$B,0)), "-")</f>
        <v>-</v>
      </c>
      <c r="T2210" s="484"/>
      <c r="U2210" s="483"/>
      <c r="V2210" s="483"/>
      <c r="W2210" s="483"/>
      <c r="X2210" s="483"/>
      <c r="Y2210" s="483"/>
      <c r="Z2210" s="483"/>
      <c r="AA2210" s="483"/>
      <c r="AB2210" s="483"/>
      <c r="AC2210" s="483"/>
      <c r="AD2210" s="483"/>
      <c r="AE2210" s="483"/>
      <c r="AF2210" s="483"/>
      <c r="AG2210" s="483"/>
      <c r="AH2210" s="483"/>
      <c r="AI2210" s="483"/>
      <c r="AJ2210" s="483"/>
      <c r="AK2210" s="483"/>
      <c r="AL2210" s="483"/>
      <c r="AM2210" s="670"/>
      <c r="AN2210" s="670"/>
      <c r="AO2210" s="711" t="str">
        <f>IF(OR(Table1[[#This Row],[Início Setup Envase]]="",Table1[[#This Row],[Final Setup Envase]]=""),"",Table1[[#This Row],[Final Setup Envase]]-Table1[[#This Row],[Início Setup Envase]])</f>
        <v/>
      </c>
      <c r="AP2210" s="670"/>
      <c r="AQ2210" s="670"/>
      <c r="AR2210" s="483"/>
      <c r="AS2210" s="483"/>
      <c r="AT2210" s="483"/>
      <c r="AU2210" s="483"/>
      <c r="AV2210" s="483"/>
      <c r="AW2210" s="483"/>
      <c r="AX2210" s="483"/>
      <c r="AY2210" s="270"/>
      <c r="AZ2210" s="270"/>
      <c r="BA2210" s="270" t="str">
        <f>IF(Table1[[#This Row],[Data de Início]]="","",YEAR(Table1[[#This Row],[Data de Início]]))</f>
        <v/>
      </c>
      <c r="BB2210" s="270" t="str">
        <f>IF(Table1[[#This Row],[Data de Início]]="","",MONTH(Table1[[#This Row],[Data de Início]]))</f>
        <v/>
      </c>
      <c r="BC2210" s="270"/>
    </row>
    <row r="2211" spans="2:55" x14ac:dyDescent="0.25">
      <c r="B2211" s="470"/>
      <c r="C2211" s="263"/>
      <c r="D2211" s="477" cm="1">
        <f t="array" ref="D2211">IFERROR(HorasUteisFabrica2Turnos(B2211,C2211), "")</f>
        <v>0</v>
      </c>
      <c r="E2211" s="697" t="str">
        <f t="shared" si="34"/>
        <v/>
      </c>
      <c r="F2211" s="266"/>
      <c r="G2211" s="698"/>
      <c r="H2211" s="266"/>
      <c r="I2211" s="268"/>
      <c r="J2211" s="268"/>
      <c r="K2211" s="268"/>
      <c r="L2211" s="269"/>
      <c r="M2211" s="510" t="str">
        <f>IFERROR(INDEX([1]Produtos!$C:$C,MATCH(L2211,[1]Produtos!$B:$B,0)), "-")</f>
        <v>-</v>
      </c>
      <c r="N2211" s="510" t="str">
        <f>IFERROR(INDEX([1]Produtos!$E:$E,MATCH(L2211,[1]Produtos!$B:$B,0)), "-")</f>
        <v>-</v>
      </c>
      <c r="O2211" s="270" t="str">
        <f>IFERROR(INDEX([1]Produtos!$F:$F,MATCH(L2211,[1]Produtos!$B:$B,0)), "-")</f>
        <v>-</v>
      </c>
      <c r="P2211" s="264" t="str">
        <f>IFERROR(INDEX([1]Produtos!$G:$G,MATCH(L2211,[1]Produtos!$B:$B,0)), "-")</f>
        <v>-</v>
      </c>
      <c r="Q2211" s="270" t="str">
        <f>IFERROR(INDEX([1]Produtos!$H:$H,MATCH(L2211,[1]Produtos!$B:$B,0)), "-")</f>
        <v>-</v>
      </c>
      <c r="R2211" s="270" t="str">
        <f>IFERROR(INDEX([1]Produtos!$I:$I,MATCH(L2211,[1]Produtos!$B:$B,0)), "-")</f>
        <v>-</v>
      </c>
      <c r="S2211" s="270" t="str">
        <f>IFERROR(INDEX([1]Produtos!$J:$J,MATCH(L2211,[1]Produtos!$B:$B,0)), "-")</f>
        <v>-</v>
      </c>
      <c r="T2211" s="475"/>
      <c r="U2211" s="270"/>
      <c r="V2211" s="270"/>
      <c r="W2211" s="270"/>
      <c r="X2211" s="270"/>
      <c r="Y2211" s="270"/>
      <c r="Z2211" s="270"/>
      <c r="AA2211" s="270"/>
      <c r="AB2211" s="270"/>
      <c r="AC2211" s="270"/>
      <c r="AD2211" s="270"/>
      <c r="AE2211" s="270"/>
      <c r="AF2211" s="270"/>
      <c r="AG2211" s="270"/>
      <c r="AH2211" s="270"/>
      <c r="AI2211" s="270"/>
      <c r="AJ2211" s="270"/>
      <c r="AK2211" s="270"/>
      <c r="AL2211" s="270"/>
      <c r="AM2211" s="663"/>
      <c r="AN2211" s="663"/>
      <c r="AO2211" s="708" t="str">
        <f>IF(OR(Table1[[#This Row],[Início Setup Envase]]="",Table1[[#This Row],[Final Setup Envase]]=""),"",Table1[[#This Row],[Final Setup Envase]]-Table1[[#This Row],[Início Setup Envase]])</f>
        <v/>
      </c>
      <c r="AP2211" s="663"/>
      <c r="AQ2211" s="663"/>
      <c r="AR2211" s="270"/>
      <c r="AS2211" s="674"/>
      <c r="AT2211" s="674"/>
      <c r="AU2211" s="270"/>
      <c r="AV2211" s="270"/>
      <c r="AW2211" s="270"/>
      <c r="AX2211" s="270"/>
      <c r="AY2211" s="270"/>
      <c r="AZ2211" s="270"/>
      <c r="BA2211" s="270" t="str">
        <f>IF(Table1[[#This Row],[Data de Início]]="","",YEAR(Table1[[#This Row],[Data de Início]]))</f>
        <v/>
      </c>
      <c r="BB2211" s="270" t="str">
        <f>IF(Table1[[#This Row],[Data de Início]]="","",MONTH(Table1[[#This Row],[Data de Início]]))</f>
        <v/>
      </c>
      <c r="BC2211" s="483"/>
    </row>
    <row r="2212" spans="2:55" x14ac:dyDescent="0.25">
      <c r="B2212" s="470"/>
      <c r="C2212" s="263"/>
      <c r="D2212" s="477" cm="1">
        <f t="array" ref="D2212">IFERROR(HorasUteisFabrica2Turnos(B2212,C2212), "")</f>
        <v>0</v>
      </c>
      <c r="E2212" s="478" t="str">
        <f t="shared" si="34"/>
        <v/>
      </c>
      <c r="F2212" s="266"/>
      <c r="G2212" s="656"/>
      <c r="H2212" s="479"/>
      <c r="I2212" s="268"/>
      <c r="J2212" s="268"/>
      <c r="K2212" s="268"/>
      <c r="L2212" s="269"/>
      <c r="M2212" s="511" t="str">
        <f>IFERROR(INDEX([1]Produtos!$C:$C,MATCH(L2212,[1]Produtos!$B:$B,0)), "-")</f>
        <v>-</v>
      </c>
      <c r="N2212" s="511" t="str">
        <f>IFERROR(INDEX([1]Produtos!$E:$E,MATCH(L2212,[1]Produtos!$B:$B,0)), "-")</f>
        <v>-</v>
      </c>
      <c r="O2212" s="483" t="str">
        <f>IFERROR(INDEX([1]Produtos!$F:$F,MATCH(L2212,[1]Produtos!$B:$B,0)), "-")</f>
        <v>-</v>
      </c>
      <c r="P2212" s="477" t="str">
        <f>IFERROR(INDEX([1]Produtos!$G:$G,MATCH(L2212,[1]Produtos!$B:$B,0)), "-")</f>
        <v>-</v>
      </c>
      <c r="Q2212" s="483" t="str">
        <f>IFERROR(INDEX([1]Produtos!$H:$H,MATCH(L2212,[1]Produtos!$B:$B,0)), "-")</f>
        <v>-</v>
      </c>
      <c r="R2212" s="483" t="str">
        <f>IFERROR(INDEX([1]Produtos!$I:$I,MATCH(L2212,[1]Produtos!$B:$B,0)), "-")</f>
        <v>-</v>
      </c>
      <c r="S2212" s="483" t="str">
        <f>IFERROR(INDEX([1]Produtos!$J:$J,MATCH(L2212,[1]Produtos!$B:$B,0)), "-")</f>
        <v>-</v>
      </c>
      <c r="T2212" s="484"/>
      <c r="U2212" s="483"/>
      <c r="V2212" s="483"/>
      <c r="W2212" s="483"/>
      <c r="X2212" s="483"/>
      <c r="Y2212" s="483"/>
      <c r="Z2212" s="483"/>
      <c r="AA2212" s="483"/>
      <c r="AB2212" s="483"/>
      <c r="AC2212" s="483"/>
      <c r="AD2212" s="483"/>
      <c r="AE2212" s="483"/>
      <c r="AF2212" s="483"/>
      <c r="AG2212" s="483"/>
      <c r="AH2212" s="483"/>
      <c r="AI2212" s="483"/>
      <c r="AJ2212" s="483"/>
      <c r="AK2212" s="483"/>
      <c r="AL2212" s="483"/>
      <c r="AM2212" s="670"/>
      <c r="AN2212" s="670"/>
      <c r="AO2212" s="711" t="str">
        <f>IF(OR(Table1[[#This Row],[Início Setup Envase]]="",Table1[[#This Row],[Final Setup Envase]]=""),"",Table1[[#This Row],[Final Setup Envase]]-Table1[[#This Row],[Início Setup Envase]])</f>
        <v/>
      </c>
      <c r="AP2212" s="670"/>
      <c r="AQ2212" s="670"/>
      <c r="AR2212" s="483"/>
      <c r="AS2212" s="483"/>
      <c r="AT2212" s="483"/>
      <c r="AU2212" s="483"/>
      <c r="AV2212" s="483"/>
      <c r="AW2212" s="483"/>
      <c r="AX2212" s="483"/>
      <c r="AY2212" s="270"/>
      <c r="AZ2212" s="270"/>
      <c r="BA2212" s="270" t="str">
        <f>IF(Table1[[#This Row],[Data de Início]]="","",YEAR(Table1[[#This Row],[Data de Início]]))</f>
        <v/>
      </c>
      <c r="BB2212" s="270" t="str">
        <f>IF(Table1[[#This Row],[Data de Início]]="","",MONTH(Table1[[#This Row],[Data de Início]]))</f>
        <v/>
      </c>
      <c r="BC2212" s="270"/>
    </row>
    <row r="2213" spans="2:55" x14ac:dyDescent="0.25">
      <c r="B2213" s="470"/>
      <c r="C2213" s="263"/>
      <c r="D2213" s="477" cm="1">
        <f t="array" ref="D2213">IFERROR(HorasUteisFabrica2Turnos(B2213,C2213), "")</f>
        <v>0</v>
      </c>
      <c r="E2213" s="697" t="str">
        <f t="shared" ref="E2213:E2276" si="35">IFERROR(K2213/D2213, "")</f>
        <v/>
      </c>
      <c r="F2213" s="266"/>
      <c r="G2213" s="698"/>
      <c r="H2213" s="266"/>
      <c r="I2213" s="268"/>
      <c r="J2213" s="268"/>
      <c r="K2213" s="268"/>
      <c r="L2213" s="269"/>
      <c r="M2213" s="510" t="str">
        <f>IFERROR(INDEX([1]Produtos!$C:$C,MATCH(L2213,[1]Produtos!$B:$B,0)), "-")</f>
        <v>-</v>
      </c>
      <c r="N2213" s="510" t="str">
        <f>IFERROR(INDEX([1]Produtos!$E:$E,MATCH(L2213,[1]Produtos!$B:$B,0)), "-")</f>
        <v>-</v>
      </c>
      <c r="O2213" s="270" t="str">
        <f>IFERROR(INDEX([1]Produtos!$F:$F,MATCH(L2213,[1]Produtos!$B:$B,0)), "-")</f>
        <v>-</v>
      </c>
      <c r="P2213" s="264" t="str">
        <f>IFERROR(INDEX([1]Produtos!$G:$G,MATCH(L2213,[1]Produtos!$B:$B,0)), "-")</f>
        <v>-</v>
      </c>
      <c r="Q2213" s="270" t="str">
        <f>IFERROR(INDEX([1]Produtos!$H:$H,MATCH(L2213,[1]Produtos!$B:$B,0)), "-")</f>
        <v>-</v>
      </c>
      <c r="R2213" s="270" t="str">
        <f>IFERROR(INDEX([1]Produtos!$I:$I,MATCH(L2213,[1]Produtos!$B:$B,0)), "-")</f>
        <v>-</v>
      </c>
      <c r="S2213" s="270" t="str">
        <f>IFERROR(INDEX([1]Produtos!$J:$J,MATCH(L2213,[1]Produtos!$B:$B,0)), "-")</f>
        <v>-</v>
      </c>
      <c r="T2213" s="475"/>
      <c r="U2213" s="270"/>
      <c r="V2213" s="270"/>
      <c r="W2213" s="270"/>
      <c r="X2213" s="270"/>
      <c r="Y2213" s="270"/>
      <c r="Z2213" s="270"/>
      <c r="AA2213" s="270"/>
      <c r="AB2213" s="270"/>
      <c r="AC2213" s="270"/>
      <c r="AD2213" s="270"/>
      <c r="AE2213" s="270"/>
      <c r="AF2213" s="270"/>
      <c r="AG2213" s="270"/>
      <c r="AH2213" s="270"/>
      <c r="AI2213" s="270"/>
      <c r="AJ2213" s="270"/>
      <c r="AK2213" s="270"/>
      <c r="AL2213" s="270"/>
      <c r="AM2213" s="663"/>
      <c r="AN2213" s="663"/>
      <c r="AO2213" s="708" t="str">
        <f>IF(OR(Table1[[#This Row],[Início Setup Envase]]="",Table1[[#This Row],[Final Setup Envase]]=""),"",Table1[[#This Row],[Final Setup Envase]]-Table1[[#This Row],[Início Setup Envase]])</f>
        <v/>
      </c>
      <c r="AP2213" s="663"/>
      <c r="AQ2213" s="663"/>
      <c r="AR2213" s="270"/>
      <c r="AS2213" s="674"/>
      <c r="AT2213" s="674"/>
      <c r="AU2213" s="270"/>
      <c r="AV2213" s="270"/>
      <c r="AW2213" s="270"/>
      <c r="AX2213" s="270"/>
      <c r="AY2213" s="270"/>
      <c r="AZ2213" s="270"/>
      <c r="BA2213" s="270" t="str">
        <f>IF(Table1[[#This Row],[Data de Início]]="","",YEAR(Table1[[#This Row],[Data de Início]]))</f>
        <v/>
      </c>
      <c r="BB2213" s="270" t="str">
        <f>IF(Table1[[#This Row],[Data de Início]]="","",MONTH(Table1[[#This Row],[Data de Início]]))</f>
        <v/>
      </c>
      <c r="BC2213" s="483"/>
    </row>
    <row r="2214" spans="2:55" x14ac:dyDescent="0.25">
      <c r="B2214" s="470"/>
      <c r="C2214" s="263"/>
      <c r="D2214" s="477" cm="1">
        <f t="array" ref="D2214">IFERROR(HorasUteisFabrica2Turnos(B2214,C2214), "")</f>
        <v>0</v>
      </c>
      <c r="E2214" s="478" t="str">
        <f t="shared" si="35"/>
        <v/>
      </c>
      <c r="F2214" s="266"/>
      <c r="G2214" s="656"/>
      <c r="H2214" s="479"/>
      <c r="I2214" s="268"/>
      <c r="J2214" s="268"/>
      <c r="K2214" s="268"/>
      <c r="L2214" s="269"/>
      <c r="M2214" s="511" t="str">
        <f>IFERROR(INDEX([1]Produtos!$C:$C,MATCH(L2214,[1]Produtos!$B:$B,0)), "-")</f>
        <v>-</v>
      </c>
      <c r="N2214" s="511" t="str">
        <f>IFERROR(INDEX([1]Produtos!$E:$E,MATCH(L2214,[1]Produtos!$B:$B,0)), "-")</f>
        <v>-</v>
      </c>
      <c r="O2214" s="483" t="str">
        <f>IFERROR(INDEX([1]Produtos!$F:$F,MATCH(L2214,[1]Produtos!$B:$B,0)), "-")</f>
        <v>-</v>
      </c>
      <c r="P2214" s="477" t="str">
        <f>IFERROR(INDEX([1]Produtos!$G:$G,MATCH(L2214,[1]Produtos!$B:$B,0)), "-")</f>
        <v>-</v>
      </c>
      <c r="Q2214" s="483" t="str">
        <f>IFERROR(INDEX([1]Produtos!$H:$H,MATCH(L2214,[1]Produtos!$B:$B,0)), "-")</f>
        <v>-</v>
      </c>
      <c r="R2214" s="483" t="str">
        <f>IFERROR(INDEX([1]Produtos!$I:$I,MATCH(L2214,[1]Produtos!$B:$B,0)), "-")</f>
        <v>-</v>
      </c>
      <c r="S2214" s="483" t="str">
        <f>IFERROR(INDEX([1]Produtos!$J:$J,MATCH(L2214,[1]Produtos!$B:$B,0)), "-")</f>
        <v>-</v>
      </c>
      <c r="T2214" s="484"/>
      <c r="U2214" s="483"/>
      <c r="V2214" s="483"/>
      <c r="W2214" s="483"/>
      <c r="X2214" s="483"/>
      <c r="Y2214" s="483"/>
      <c r="Z2214" s="483"/>
      <c r="AA2214" s="483"/>
      <c r="AB2214" s="483"/>
      <c r="AC2214" s="483"/>
      <c r="AD2214" s="483"/>
      <c r="AE2214" s="483"/>
      <c r="AF2214" s="483"/>
      <c r="AG2214" s="483"/>
      <c r="AH2214" s="483"/>
      <c r="AI2214" s="483"/>
      <c r="AJ2214" s="483"/>
      <c r="AK2214" s="483"/>
      <c r="AL2214" s="483"/>
      <c r="AM2214" s="670"/>
      <c r="AN2214" s="670"/>
      <c r="AO2214" s="711" t="str">
        <f>IF(OR(Table1[[#This Row],[Início Setup Envase]]="",Table1[[#This Row],[Final Setup Envase]]=""),"",Table1[[#This Row],[Final Setup Envase]]-Table1[[#This Row],[Início Setup Envase]])</f>
        <v/>
      </c>
      <c r="AP2214" s="670"/>
      <c r="AQ2214" s="670"/>
      <c r="AR2214" s="483"/>
      <c r="AS2214" s="483"/>
      <c r="AT2214" s="483"/>
      <c r="AU2214" s="483"/>
      <c r="AV2214" s="483"/>
      <c r="AW2214" s="483"/>
      <c r="AX2214" s="483"/>
      <c r="AY2214" s="270"/>
      <c r="AZ2214" s="270"/>
      <c r="BA2214" s="270" t="str">
        <f>IF(Table1[[#This Row],[Data de Início]]="","",YEAR(Table1[[#This Row],[Data de Início]]))</f>
        <v/>
      </c>
      <c r="BB2214" s="270" t="str">
        <f>IF(Table1[[#This Row],[Data de Início]]="","",MONTH(Table1[[#This Row],[Data de Início]]))</f>
        <v/>
      </c>
      <c r="BC2214" s="270"/>
    </row>
    <row r="2215" spans="2:55" x14ac:dyDescent="0.25">
      <c r="B2215" s="470"/>
      <c r="C2215" s="263"/>
      <c r="D2215" s="477" cm="1">
        <f t="array" ref="D2215">IFERROR(HorasUteisFabrica2Turnos(B2215,C2215), "")</f>
        <v>0</v>
      </c>
      <c r="E2215" s="697" t="str">
        <f t="shared" si="35"/>
        <v/>
      </c>
      <c r="F2215" s="266"/>
      <c r="G2215" s="698"/>
      <c r="H2215" s="266"/>
      <c r="I2215" s="268"/>
      <c r="J2215" s="268"/>
      <c r="K2215" s="268"/>
      <c r="L2215" s="269"/>
      <c r="M2215" s="510" t="str">
        <f>IFERROR(INDEX([1]Produtos!$C:$C,MATCH(L2215,[1]Produtos!$B:$B,0)), "-")</f>
        <v>-</v>
      </c>
      <c r="N2215" s="510" t="str">
        <f>IFERROR(INDEX([1]Produtos!$E:$E,MATCH(L2215,[1]Produtos!$B:$B,0)), "-")</f>
        <v>-</v>
      </c>
      <c r="O2215" s="270" t="str">
        <f>IFERROR(INDEX([1]Produtos!$F:$F,MATCH(L2215,[1]Produtos!$B:$B,0)), "-")</f>
        <v>-</v>
      </c>
      <c r="P2215" s="264" t="str">
        <f>IFERROR(INDEX([1]Produtos!$G:$G,MATCH(L2215,[1]Produtos!$B:$B,0)), "-")</f>
        <v>-</v>
      </c>
      <c r="Q2215" s="270" t="str">
        <f>IFERROR(INDEX([1]Produtos!$H:$H,MATCH(L2215,[1]Produtos!$B:$B,0)), "-")</f>
        <v>-</v>
      </c>
      <c r="R2215" s="270" t="str">
        <f>IFERROR(INDEX([1]Produtos!$I:$I,MATCH(L2215,[1]Produtos!$B:$B,0)), "-")</f>
        <v>-</v>
      </c>
      <c r="S2215" s="270" t="str">
        <f>IFERROR(INDEX([1]Produtos!$J:$J,MATCH(L2215,[1]Produtos!$B:$B,0)), "-")</f>
        <v>-</v>
      </c>
      <c r="T2215" s="475"/>
      <c r="U2215" s="270"/>
      <c r="V2215" s="270"/>
      <c r="W2215" s="270"/>
      <c r="X2215" s="270"/>
      <c r="Y2215" s="270"/>
      <c r="Z2215" s="270"/>
      <c r="AA2215" s="270"/>
      <c r="AB2215" s="270"/>
      <c r="AC2215" s="270"/>
      <c r="AD2215" s="270"/>
      <c r="AE2215" s="270"/>
      <c r="AF2215" s="270"/>
      <c r="AG2215" s="270"/>
      <c r="AH2215" s="270"/>
      <c r="AI2215" s="270"/>
      <c r="AJ2215" s="270"/>
      <c r="AK2215" s="270"/>
      <c r="AL2215" s="270"/>
      <c r="AM2215" s="663"/>
      <c r="AN2215" s="663"/>
      <c r="AO2215" s="708" t="str">
        <f>IF(OR(Table1[[#This Row],[Início Setup Envase]]="",Table1[[#This Row],[Final Setup Envase]]=""),"",Table1[[#This Row],[Final Setup Envase]]-Table1[[#This Row],[Início Setup Envase]])</f>
        <v/>
      </c>
      <c r="AP2215" s="663"/>
      <c r="AQ2215" s="663"/>
      <c r="AR2215" s="270"/>
      <c r="AS2215" s="674"/>
      <c r="AT2215" s="674"/>
      <c r="AU2215" s="270"/>
      <c r="AV2215" s="270"/>
      <c r="AW2215" s="270"/>
      <c r="AX2215" s="270"/>
      <c r="AY2215" s="270"/>
      <c r="AZ2215" s="270"/>
      <c r="BA2215" s="270" t="str">
        <f>IF(Table1[[#This Row],[Data de Início]]="","",YEAR(Table1[[#This Row],[Data de Início]]))</f>
        <v/>
      </c>
      <c r="BB2215" s="270" t="str">
        <f>IF(Table1[[#This Row],[Data de Início]]="","",MONTH(Table1[[#This Row],[Data de Início]]))</f>
        <v/>
      </c>
      <c r="BC2215" s="483"/>
    </row>
    <row r="2216" spans="2:55" x14ac:dyDescent="0.25">
      <c r="B2216" s="470"/>
      <c r="C2216" s="263"/>
      <c r="D2216" s="477" cm="1">
        <f t="array" ref="D2216">IFERROR(HorasUteisFabrica2Turnos(B2216,C2216), "")</f>
        <v>0</v>
      </c>
      <c r="E2216" s="478" t="str">
        <f t="shared" si="35"/>
        <v/>
      </c>
      <c r="F2216" s="266"/>
      <c r="G2216" s="656"/>
      <c r="H2216" s="479"/>
      <c r="I2216" s="268"/>
      <c r="J2216" s="268"/>
      <c r="K2216" s="268"/>
      <c r="L2216" s="269"/>
      <c r="M2216" s="511" t="str">
        <f>IFERROR(INDEX([1]Produtos!$C:$C,MATCH(L2216,[1]Produtos!$B:$B,0)), "-")</f>
        <v>-</v>
      </c>
      <c r="N2216" s="511" t="str">
        <f>IFERROR(INDEX([1]Produtos!$E:$E,MATCH(L2216,[1]Produtos!$B:$B,0)), "-")</f>
        <v>-</v>
      </c>
      <c r="O2216" s="483" t="str">
        <f>IFERROR(INDEX([1]Produtos!$F:$F,MATCH(L2216,[1]Produtos!$B:$B,0)), "-")</f>
        <v>-</v>
      </c>
      <c r="P2216" s="477" t="str">
        <f>IFERROR(INDEX([1]Produtos!$G:$G,MATCH(L2216,[1]Produtos!$B:$B,0)), "-")</f>
        <v>-</v>
      </c>
      <c r="Q2216" s="483" t="str">
        <f>IFERROR(INDEX([1]Produtos!$H:$H,MATCH(L2216,[1]Produtos!$B:$B,0)), "-")</f>
        <v>-</v>
      </c>
      <c r="R2216" s="483" t="str">
        <f>IFERROR(INDEX([1]Produtos!$I:$I,MATCH(L2216,[1]Produtos!$B:$B,0)), "-")</f>
        <v>-</v>
      </c>
      <c r="S2216" s="483" t="str">
        <f>IFERROR(INDEX([1]Produtos!$J:$J,MATCH(L2216,[1]Produtos!$B:$B,0)), "-")</f>
        <v>-</v>
      </c>
      <c r="T2216" s="484"/>
      <c r="U2216" s="483"/>
      <c r="V2216" s="483"/>
      <c r="W2216" s="483"/>
      <c r="X2216" s="483"/>
      <c r="Y2216" s="483"/>
      <c r="Z2216" s="483"/>
      <c r="AA2216" s="483"/>
      <c r="AB2216" s="483"/>
      <c r="AC2216" s="483"/>
      <c r="AD2216" s="483"/>
      <c r="AE2216" s="483"/>
      <c r="AF2216" s="483"/>
      <c r="AG2216" s="483"/>
      <c r="AH2216" s="483"/>
      <c r="AI2216" s="483"/>
      <c r="AJ2216" s="483"/>
      <c r="AK2216" s="483"/>
      <c r="AL2216" s="483"/>
      <c r="AM2216" s="670"/>
      <c r="AN2216" s="670"/>
      <c r="AO2216" s="711" t="str">
        <f>IF(OR(Table1[[#This Row],[Início Setup Envase]]="",Table1[[#This Row],[Final Setup Envase]]=""),"",Table1[[#This Row],[Final Setup Envase]]-Table1[[#This Row],[Início Setup Envase]])</f>
        <v/>
      </c>
      <c r="AP2216" s="670"/>
      <c r="AQ2216" s="670"/>
      <c r="AR2216" s="483"/>
      <c r="AS2216" s="483"/>
      <c r="AT2216" s="483"/>
      <c r="AU2216" s="483"/>
      <c r="AV2216" s="483"/>
      <c r="AW2216" s="483"/>
      <c r="AX2216" s="483"/>
      <c r="AY2216" s="270"/>
      <c r="AZ2216" s="270"/>
      <c r="BA2216" s="270" t="str">
        <f>IF(Table1[[#This Row],[Data de Início]]="","",YEAR(Table1[[#This Row],[Data de Início]]))</f>
        <v/>
      </c>
      <c r="BB2216" s="270" t="str">
        <f>IF(Table1[[#This Row],[Data de Início]]="","",MONTH(Table1[[#This Row],[Data de Início]]))</f>
        <v/>
      </c>
      <c r="BC2216" s="270"/>
    </row>
    <row r="2217" spans="2:55" x14ac:dyDescent="0.25">
      <c r="B2217" s="470"/>
      <c r="C2217" s="263"/>
      <c r="D2217" s="477" cm="1">
        <f t="array" ref="D2217">IFERROR(HorasUteisFabrica2Turnos(B2217,C2217), "")</f>
        <v>0</v>
      </c>
      <c r="E2217" s="697" t="str">
        <f t="shared" si="35"/>
        <v/>
      </c>
      <c r="F2217" s="266"/>
      <c r="G2217" s="698"/>
      <c r="H2217" s="266"/>
      <c r="I2217" s="268"/>
      <c r="J2217" s="268"/>
      <c r="K2217" s="268"/>
      <c r="L2217" s="269"/>
      <c r="M2217" s="510" t="str">
        <f>IFERROR(INDEX([1]Produtos!$C:$C,MATCH(L2217,[1]Produtos!$B:$B,0)), "-")</f>
        <v>-</v>
      </c>
      <c r="N2217" s="510" t="str">
        <f>IFERROR(INDEX([1]Produtos!$E:$E,MATCH(L2217,[1]Produtos!$B:$B,0)), "-")</f>
        <v>-</v>
      </c>
      <c r="O2217" s="270" t="str">
        <f>IFERROR(INDEX([1]Produtos!$F:$F,MATCH(L2217,[1]Produtos!$B:$B,0)), "-")</f>
        <v>-</v>
      </c>
      <c r="P2217" s="264" t="str">
        <f>IFERROR(INDEX([1]Produtos!$G:$G,MATCH(L2217,[1]Produtos!$B:$B,0)), "-")</f>
        <v>-</v>
      </c>
      <c r="Q2217" s="270" t="str">
        <f>IFERROR(INDEX([1]Produtos!$H:$H,MATCH(L2217,[1]Produtos!$B:$B,0)), "-")</f>
        <v>-</v>
      </c>
      <c r="R2217" s="270" t="str">
        <f>IFERROR(INDEX([1]Produtos!$I:$I,MATCH(L2217,[1]Produtos!$B:$B,0)), "-")</f>
        <v>-</v>
      </c>
      <c r="S2217" s="270" t="str">
        <f>IFERROR(INDEX([1]Produtos!$J:$J,MATCH(L2217,[1]Produtos!$B:$B,0)), "-")</f>
        <v>-</v>
      </c>
      <c r="T2217" s="475"/>
      <c r="U2217" s="270"/>
      <c r="V2217" s="270"/>
      <c r="W2217" s="270"/>
      <c r="X2217" s="270"/>
      <c r="Y2217" s="270"/>
      <c r="Z2217" s="270"/>
      <c r="AA2217" s="270"/>
      <c r="AB2217" s="270"/>
      <c r="AC2217" s="270"/>
      <c r="AD2217" s="270"/>
      <c r="AE2217" s="270"/>
      <c r="AF2217" s="270"/>
      <c r="AG2217" s="270"/>
      <c r="AH2217" s="270"/>
      <c r="AI2217" s="270"/>
      <c r="AJ2217" s="270"/>
      <c r="AK2217" s="270"/>
      <c r="AL2217" s="270"/>
      <c r="AM2217" s="663"/>
      <c r="AN2217" s="663"/>
      <c r="AO2217" s="708" t="str">
        <f>IF(OR(Table1[[#This Row],[Início Setup Envase]]="",Table1[[#This Row],[Final Setup Envase]]=""),"",Table1[[#This Row],[Final Setup Envase]]-Table1[[#This Row],[Início Setup Envase]])</f>
        <v/>
      </c>
      <c r="AP2217" s="663"/>
      <c r="AQ2217" s="663"/>
      <c r="AR2217" s="270"/>
      <c r="AS2217" s="674"/>
      <c r="AT2217" s="674"/>
      <c r="AU2217" s="270"/>
      <c r="AV2217" s="270"/>
      <c r="AW2217" s="270"/>
      <c r="AX2217" s="270"/>
      <c r="AY2217" s="270"/>
      <c r="AZ2217" s="270"/>
      <c r="BA2217" s="270" t="str">
        <f>IF(Table1[[#This Row],[Data de Início]]="","",YEAR(Table1[[#This Row],[Data de Início]]))</f>
        <v/>
      </c>
      <c r="BB2217" s="270" t="str">
        <f>IF(Table1[[#This Row],[Data de Início]]="","",MONTH(Table1[[#This Row],[Data de Início]]))</f>
        <v/>
      </c>
      <c r="BC2217" s="483"/>
    </row>
    <row r="2218" spans="2:55" x14ac:dyDescent="0.25">
      <c r="B2218" s="470"/>
      <c r="C2218" s="263"/>
      <c r="D2218" s="477" cm="1">
        <f t="array" ref="D2218">IFERROR(HorasUteisFabrica2Turnos(B2218,C2218), "")</f>
        <v>0</v>
      </c>
      <c r="E2218" s="478" t="str">
        <f t="shared" si="35"/>
        <v/>
      </c>
      <c r="F2218" s="266"/>
      <c r="G2218" s="656"/>
      <c r="H2218" s="479"/>
      <c r="I2218" s="268"/>
      <c r="J2218" s="268"/>
      <c r="K2218" s="268"/>
      <c r="L2218" s="269"/>
      <c r="M2218" s="511" t="str">
        <f>IFERROR(INDEX([1]Produtos!$C:$C,MATCH(L2218,[1]Produtos!$B:$B,0)), "-")</f>
        <v>-</v>
      </c>
      <c r="N2218" s="511" t="str">
        <f>IFERROR(INDEX([1]Produtos!$E:$E,MATCH(L2218,[1]Produtos!$B:$B,0)), "-")</f>
        <v>-</v>
      </c>
      <c r="O2218" s="483" t="str">
        <f>IFERROR(INDEX([1]Produtos!$F:$F,MATCH(L2218,[1]Produtos!$B:$B,0)), "-")</f>
        <v>-</v>
      </c>
      <c r="P2218" s="477" t="str">
        <f>IFERROR(INDEX([1]Produtos!$G:$G,MATCH(L2218,[1]Produtos!$B:$B,0)), "-")</f>
        <v>-</v>
      </c>
      <c r="Q2218" s="483" t="str">
        <f>IFERROR(INDEX([1]Produtos!$H:$H,MATCH(L2218,[1]Produtos!$B:$B,0)), "-")</f>
        <v>-</v>
      </c>
      <c r="R2218" s="483" t="str">
        <f>IFERROR(INDEX([1]Produtos!$I:$I,MATCH(L2218,[1]Produtos!$B:$B,0)), "-")</f>
        <v>-</v>
      </c>
      <c r="S2218" s="483" t="str">
        <f>IFERROR(INDEX([1]Produtos!$J:$J,MATCH(L2218,[1]Produtos!$B:$B,0)), "-")</f>
        <v>-</v>
      </c>
      <c r="T2218" s="484"/>
      <c r="U2218" s="483"/>
      <c r="V2218" s="483"/>
      <c r="W2218" s="483"/>
      <c r="X2218" s="483"/>
      <c r="Y2218" s="483"/>
      <c r="Z2218" s="483"/>
      <c r="AA2218" s="483"/>
      <c r="AB2218" s="483"/>
      <c r="AC2218" s="483"/>
      <c r="AD2218" s="483"/>
      <c r="AE2218" s="483"/>
      <c r="AF2218" s="483"/>
      <c r="AG2218" s="483"/>
      <c r="AH2218" s="483"/>
      <c r="AI2218" s="483"/>
      <c r="AJ2218" s="483"/>
      <c r="AK2218" s="483"/>
      <c r="AL2218" s="483"/>
      <c r="AM2218" s="670"/>
      <c r="AN2218" s="670"/>
      <c r="AO2218" s="711" t="str">
        <f>IF(OR(Table1[[#This Row],[Início Setup Envase]]="",Table1[[#This Row],[Final Setup Envase]]=""),"",Table1[[#This Row],[Final Setup Envase]]-Table1[[#This Row],[Início Setup Envase]])</f>
        <v/>
      </c>
      <c r="AP2218" s="670"/>
      <c r="AQ2218" s="670"/>
      <c r="AR2218" s="483"/>
      <c r="AS2218" s="483"/>
      <c r="AT2218" s="483"/>
      <c r="AU2218" s="483"/>
      <c r="AV2218" s="483"/>
      <c r="AW2218" s="483"/>
      <c r="AX2218" s="483"/>
      <c r="AY2218" s="270"/>
      <c r="AZ2218" s="270"/>
      <c r="BA2218" s="270" t="str">
        <f>IF(Table1[[#This Row],[Data de Início]]="","",YEAR(Table1[[#This Row],[Data de Início]]))</f>
        <v/>
      </c>
      <c r="BB2218" s="270" t="str">
        <f>IF(Table1[[#This Row],[Data de Início]]="","",MONTH(Table1[[#This Row],[Data de Início]]))</f>
        <v/>
      </c>
      <c r="BC2218" s="270"/>
    </row>
    <row r="2219" spans="2:55" x14ac:dyDescent="0.25">
      <c r="B2219" s="470"/>
      <c r="C2219" s="263"/>
      <c r="D2219" s="477" cm="1">
        <f t="array" ref="D2219">IFERROR(HorasUteisFabrica2Turnos(B2219,C2219), "")</f>
        <v>0</v>
      </c>
      <c r="E2219" s="697" t="str">
        <f t="shared" si="35"/>
        <v/>
      </c>
      <c r="F2219" s="266"/>
      <c r="G2219" s="698"/>
      <c r="H2219" s="266"/>
      <c r="I2219" s="268"/>
      <c r="J2219" s="268"/>
      <c r="K2219" s="268"/>
      <c r="L2219" s="269"/>
      <c r="M2219" s="510" t="str">
        <f>IFERROR(INDEX([1]Produtos!$C:$C,MATCH(L2219,[1]Produtos!$B:$B,0)), "-")</f>
        <v>-</v>
      </c>
      <c r="N2219" s="510" t="str">
        <f>IFERROR(INDEX([1]Produtos!$E:$E,MATCH(L2219,[1]Produtos!$B:$B,0)), "-")</f>
        <v>-</v>
      </c>
      <c r="O2219" s="270" t="str">
        <f>IFERROR(INDEX([1]Produtos!$F:$F,MATCH(L2219,[1]Produtos!$B:$B,0)), "-")</f>
        <v>-</v>
      </c>
      <c r="P2219" s="264" t="str">
        <f>IFERROR(INDEX([1]Produtos!$G:$G,MATCH(L2219,[1]Produtos!$B:$B,0)), "-")</f>
        <v>-</v>
      </c>
      <c r="Q2219" s="270" t="str">
        <f>IFERROR(INDEX([1]Produtos!$H:$H,MATCH(L2219,[1]Produtos!$B:$B,0)), "-")</f>
        <v>-</v>
      </c>
      <c r="R2219" s="270" t="str">
        <f>IFERROR(INDEX([1]Produtos!$I:$I,MATCH(L2219,[1]Produtos!$B:$B,0)), "-")</f>
        <v>-</v>
      </c>
      <c r="S2219" s="270" t="str">
        <f>IFERROR(INDEX([1]Produtos!$J:$J,MATCH(L2219,[1]Produtos!$B:$B,0)), "-")</f>
        <v>-</v>
      </c>
      <c r="T2219" s="475"/>
      <c r="U2219" s="270"/>
      <c r="V2219" s="270"/>
      <c r="W2219" s="270"/>
      <c r="X2219" s="270"/>
      <c r="Y2219" s="270"/>
      <c r="Z2219" s="270"/>
      <c r="AA2219" s="270"/>
      <c r="AB2219" s="270"/>
      <c r="AC2219" s="270"/>
      <c r="AD2219" s="270"/>
      <c r="AE2219" s="270"/>
      <c r="AF2219" s="270"/>
      <c r="AG2219" s="270"/>
      <c r="AH2219" s="270"/>
      <c r="AI2219" s="270"/>
      <c r="AJ2219" s="270"/>
      <c r="AK2219" s="270"/>
      <c r="AL2219" s="270"/>
      <c r="AM2219" s="663"/>
      <c r="AN2219" s="663"/>
      <c r="AO2219" s="708" t="str">
        <f>IF(OR(Table1[[#This Row],[Início Setup Envase]]="",Table1[[#This Row],[Final Setup Envase]]=""),"",Table1[[#This Row],[Final Setup Envase]]-Table1[[#This Row],[Início Setup Envase]])</f>
        <v/>
      </c>
      <c r="AP2219" s="663"/>
      <c r="AQ2219" s="663"/>
      <c r="AR2219" s="270"/>
      <c r="AS2219" s="674"/>
      <c r="AT2219" s="674"/>
      <c r="AU2219" s="270"/>
      <c r="AV2219" s="270"/>
      <c r="AW2219" s="270"/>
      <c r="AX2219" s="270"/>
      <c r="AY2219" s="270"/>
      <c r="AZ2219" s="270"/>
      <c r="BA2219" s="270" t="str">
        <f>IF(Table1[[#This Row],[Data de Início]]="","",YEAR(Table1[[#This Row],[Data de Início]]))</f>
        <v/>
      </c>
      <c r="BB2219" s="270" t="str">
        <f>IF(Table1[[#This Row],[Data de Início]]="","",MONTH(Table1[[#This Row],[Data de Início]]))</f>
        <v/>
      </c>
      <c r="BC2219" s="483"/>
    </row>
    <row r="2220" spans="2:55" x14ac:dyDescent="0.25">
      <c r="B2220" s="470"/>
      <c r="C2220" s="263"/>
      <c r="D2220" s="477" cm="1">
        <f t="array" ref="D2220">IFERROR(HorasUteisFabrica2Turnos(B2220,C2220), "")</f>
        <v>0</v>
      </c>
      <c r="E2220" s="478" t="str">
        <f t="shared" si="35"/>
        <v/>
      </c>
      <c r="F2220" s="266"/>
      <c r="G2220" s="656"/>
      <c r="H2220" s="479"/>
      <c r="I2220" s="268"/>
      <c r="J2220" s="268"/>
      <c r="K2220" s="268"/>
      <c r="L2220" s="269"/>
      <c r="M2220" s="511" t="str">
        <f>IFERROR(INDEX([1]Produtos!$C:$C,MATCH(L2220,[1]Produtos!$B:$B,0)), "-")</f>
        <v>-</v>
      </c>
      <c r="N2220" s="511" t="str">
        <f>IFERROR(INDEX([1]Produtos!$E:$E,MATCH(L2220,[1]Produtos!$B:$B,0)), "-")</f>
        <v>-</v>
      </c>
      <c r="O2220" s="483" t="str">
        <f>IFERROR(INDEX([1]Produtos!$F:$F,MATCH(L2220,[1]Produtos!$B:$B,0)), "-")</f>
        <v>-</v>
      </c>
      <c r="P2220" s="477" t="str">
        <f>IFERROR(INDEX([1]Produtos!$G:$G,MATCH(L2220,[1]Produtos!$B:$B,0)), "-")</f>
        <v>-</v>
      </c>
      <c r="Q2220" s="483" t="str">
        <f>IFERROR(INDEX([1]Produtos!$H:$H,MATCH(L2220,[1]Produtos!$B:$B,0)), "-")</f>
        <v>-</v>
      </c>
      <c r="R2220" s="483" t="str">
        <f>IFERROR(INDEX([1]Produtos!$I:$I,MATCH(L2220,[1]Produtos!$B:$B,0)), "-")</f>
        <v>-</v>
      </c>
      <c r="S2220" s="483" t="str">
        <f>IFERROR(INDEX([1]Produtos!$J:$J,MATCH(L2220,[1]Produtos!$B:$B,0)), "-")</f>
        <v>-</v>
      </c>
      <c r="T2220" s="484"/>
      <c r="U2220" s="483"/>
      <c r="V2220" s="483"/>
      <c r="W2220" s="483"/>
      <c r="X2220" s="483"/>
      <c r="Y2220" s="483"/>
      <c r="Z2220" s="483"/>
      <c r="AA2220" s="483"/>
      <c r="AB2220" s="483"/>
      <c r="AC2220" s="483"/>
      <c r="AD2220" s="483"/>
      <c r="AE2220" s="483"/>
      <c r="AF2220" s="483"/>
      <c r="AG2220" s="483"/>
      <c r="AH2220" s="483"/>
      <c r="AI2220" s="483"/>
      <c r="AJ2220" s="483"/>
      <c r="AK2220" s="483"/>
      <c r="AL2220" s="483"/>
      <c r="AM2220" s="670"/>
      <c r="AN2220" s="670"/>
      <c r="AO2220" s="711" t="str">
        <f>IF(OR(Table1[[#This Row],[Início Setup Envase]]="",Table1[[#This Row],[Final Setup Envase]]=""),"",Table1[[#This Row],[Final Setup Envase]]-Table1[[#This Row],[Início Setup Envase]])</f>
        <v/>
      </c>
      <c r="AP2220" s="670"/>
      <c r="AQ2220" s="670"/>
      <c r="AR2220" s="483"/>
      <c r="AS2220" s="483"/>
      <c r="AT2220" s="483"/>
      <c r="AU2220" s="483"/>
      <c r="AV2220" s="483"/>
      <c r="AW2220" s="483"/>
      <c r="AX2220" s="483"/>
      <c r="AY2220" s="270"/>
      <c r="AZ2220" s="270"/>
      <c r="BA2220" s="270" t="str">
        <f>IF(Table1[[#This Row],[Data de Início]]="","",YEAR(Table1[[#This Row],[Data de Início]]))</f>
        <v/>
      </c>
      <c r="BB2220" s="270" t="str">
        <f>IF(Table1[[#This Row],[Data de Início]]="","",MONTH(Table1[[#This Row],[Data de Início]]))</f>
        <v/>
      </c>
      <c r="BC2220" s="270"/>
    </row>
    <row r="2221" spans="2:55" x14ac:dyDescent="0.25">
      <c r="B2221" s="470"/>
      <c r="C2221" s="263"/>
      <c r="D2221" s="477" cm="1">
        <f t="array" ref="D2221">IFERROR(HorasUteisFabrica2Turnos(B2221,C2221), "")</f>
        <v>0</v>
      </c>
      <c r="E2221" s="697" t="str">
        <f t="shared" si="35"/>
        <v/>
      </c>
      <c r="F2221" s="266"/>
      <c r="G2221" s="698"/>
      <c r="H2221" s="266"/>
      <c r="I2221" s="268"/>
      <c r="J2221" s="268"/>
      <c r="K2221" s="268"/>
      <c r="L2221" s="269"/>
      <c r="M2221" s="510" t="str">
        <f>IFERROR(INDEX([1]Produtos!$C:$C,MATCH(L2221,[1]Produtos!$B:$B,0)), "-")</f>
        <v>-</v>
      </c>
      <c r="N2221" s="510" t="str">
        <f>IFERROR(INDEX([1]Produtos!$E:$E,MATCH(L2221,[1]Produtos!$B:$B,0)), "-")</f>
        <v>-</v>
      </c>
      <c r="O2221" s="270" t="str">
        <f>IFERROR(INDEX([1]Produtos!$F:$F,MATCH(L2221,[1]Produtos!$B:$B,0)), "-")</f>
        <v>-</v>
      </c>
      <c r="P2221" s="264" t="str">
        <f>IFERROR(INDEX([1]Produtos!$G:$G,MATCH(L2221,[1]Produtos!$B:$B,0)), "-")</f>
        <v>-</v>
      </c>
      <c r="Q2221" s="270" t="str">
        <f>IFERROR(INDEX([1]Produtos!$H:$H,MATCH(L2221,[1]Produtos!$B:$B,0)), "-")</f>
        <v>-</v>
      </c>
      <c r="R2221" s="270" t="str">
        <f>IFERROR(INDEX([1]Produtos!$I:$I,MATCH(L2221,[1]Produtos!$B:$B,0)), "-")</f>
        <v>-</v>
      </c>
      <c r="S2221" s="270" t="str">
        <f>IFERROR(INDEX([1]Produtos!$J:$J,MATCH(L2221,[1]Produtos!$B:$B,0)), "-")</f>
        <v>-</v>
      </c>
      <c r="T2221" s="475"/>
      <c r="U2221" s="270"/>
      <c r="V2221" s="270"/>
      <c r="W2221" s="270"/>
      <c r="X2221" s="270"/>
      <c r="Y2221" s="270"/>
      <c r="Z2221" s="270"/>
      <c r="AA2221" s="270"/>
      <c r="AB2221" s="270"/>
      <c r="AC2221" s="270"/>
      <c r="AD2221" s="270"/>
      <c r="AE2221" s="270"/>
      <c r="AF2221" s="270"/>
      <c r="AG2221" s="270"/>
      <c r="AH2221" s="270"/>
      <c r="AI2221" s="270"/>
      <c r="AJ2221" s="270"/>
      <c r="AK2221" s="270"/>
      <c r="AL2221" s="270"/>
      <c r="AM2221" s="663"/>
      <c r="AN2221" s="663"/>
      <c r="AO2221" s="708" t="str">
        <f>IF(OR(Table1[[#This Row],[Início Setup Envase]]="",Table1[[#This Row],[Final Setup Envase]]=""),"",Table1[[#This Row],[Final Setup Envase]]-Table1[[#This Row],[Início Setup Envase]])</f>
        <v/>
      </c>
      <c r="AP2221" s="663"/>
      <c r="AQ2221" s="663"/>
      <c r="AR2221" s="270"/>
      <c r="AS2221" s="674"/>
      <c r="AT2221" s="674"/>
      <c r="AU2221" s="270"/>
      <c r="AV2221" s="270"/>
      <c r="AW2221" s="270"/>
      <c r="AX2221" s="270"/>
      <c r="AY2221" s="270"/>
      <c r="AZ2221" s="270"/>
      <c r="BA2221" s="270" t="str">
        <f>IF(Table1[[#This Row],[Data de Início]]="","",YEAR(Table1[[#This Row],[Data de Início]]))</f>
        <v/>
      </c>
      <c r="BB2221" s="270" t="str">
        <f>IF(Table1[[#This Row],[Data de Início]]="","",MONTH(Table1[[#This Row],[Data de Início]]))</f>
        <v/>
      </c>
      <c r="BC2221" s="483"/>
    </row>
    <row r="2222" spans="2:55" x14ac:dyDescent="0.25">
      <c r="B2222" s="470"/>
      <c r="C2222" s="263"/>
      <c r="D2222" s="477" cm="1">
        <f t="array" ref="D2222">IFERROR(HorasUteisFabrica2Turnos(B2222,C2222), "")</f>
        <v>0</v>
      </c>
      <c r="E2222" s="478" t="str">
        <f t="shared" si="35"/>
        <v/>
      </c>
      <c r="F2222" s="266"/>
      <c r="G2222" s="656"/>
      <c r="H2222" s="479"/>
      <c r="I2222" s="268"/>
      <c r="J2222" s="268"/>
      <c r="K2222" s="268"/>
      <c r="L2222" s="269"/>
      <c r="M2222" s="511" t="str">
        <f>IFERROR(INDEX([1]Produtos!$C:$C,MATCH(L2222,[1]Produtos!$B:$B,0)), "-")</f>
        <v>-</v>
      </c>
      <c r="N2222" s="511" t="str">
        <f>IFERROR(INDEX([1]Produtos!$E:$E,MATCH(L2222,[1]Produtos!$B:$B,0)), "-")</f>
        <v>-</v>
      </c>
      <c r="O2222" s="483" t="str">
        <f>IFERROR(INDEX([1]Produtos!$F:$F,MATCH(L2222,[1]Produtos!$B:$B,0)), "-")</f>
        <v>-</v>
      </c>
      <c r="P2222" s="477" t="str">
        <f>IFERROR(INDEX([1]Produtos!$G:$G,MATCH(L2222,[1]Produtos!$B:$B,0)), "-")</f>
        <v>-</v>
      </c>
      <c r="Q2222" s="483" t="str">
        <f>IFERROR(INDEX([1]Produtos!$H:$H,MATCH(L2222,[1]Produtos!$B:$B,0)), "-")</f>
        <v>-</v>
      </c>
      <c r="R2222" s="483" t="str">
        <f>IFERROR(INDEX([1]Produtos!$I:$I,MATCH(L2222,[1]Produtos!$B:$B,0)), "-")</f>
        <v>-</v>
      </c>
      <c r="S2222" s="483" t="str">
        <f>IFERROR(INDEX([1]Produtos!$J:$J,MATCH(L2222,[1]Produtos!$B:$B,0)), "-")</f>
        <v>-</v>
      </c>
      <c r="T2222" s="484"/>
      <c r="U2222" s="483"/>
      <c r="V2222" s="483"/>
      <c r="W2222" s="483"/>
      <c r="X2222" s="483"/>
      <c r="Y2222" s="483"/>
      <c r="Z2222" s="483"/>
      <c r="AA2222" s="483"/>
      <c r="AB2222" s="483"/>
      <c r="AC2222" s="483"/>
      <c r="AD2222" s="483"/>
      <c r="AE2222" s="483"/>
      <c r="AF2222" s="483"/>
      <c r="AG2222" s="483"/>
      <c r="AH2222" s="483"/>
      <c r="AI2222" s="483"/>
      <c r="AJ2222" s="483"/>
      <c r="AK2222" s="483"/>
      <c r="AL2222" s="483"/>
      <c r="AM2222" s="670"/>
      <c r="AN2222" s="670"/>
      <c r="AO2222" s="711" t="str">
        <f>IF(OR(Table1[[#This Row],[Início Setup Envase]]="",Table1[[#This Row],[Final Setup Envase]]=""),"",Table1[[#This Row],[Final Setup Envase]]-Table1[[#This Row],[Início Setup Envase]])</f>
        <v/>
      </c>
      <c r="AP2222" s="670"/>
      <c r="AQ2222" s="670"/>
      <c r="AR2222" s="483"/>
      <c r="AS2222" s="483"/>
      <c r="AT2222" s="483"/>
      <c r="AU2222" s="483"/>
      <c r="AV2222" s="483"/>
      <c r="AW2222" s="483"/>
      <c r="AX2222" s="483"/>
      <c r="AY2222" s="270"/>
      <c r="AZ2222" s="270"/>
      <c r="BA2222" s="270" t="str">
        <f>IF(Table1[[#This Row],[Data de Início]]="","",YEAR(Table1[[#This Row],[Data de Início]]))</f>
        <v/>
      </c>
      <c r="BB2222" s="270" t="str">
        <f>IF(Table1[[#This Row],[Data de Início]]="","",MONTH(Table1[[#This Row],[Data de Início]]))</f>
        <v/>
      </c>
      <c r="BC2222" s="270"/>
    </row>
    <row r="2223" spans="2:55" x14ac:dyDescent="0.25">
      <c r="B2223" s="470"/>
      <c r="C2223" s="263"/>
      <c r="D2223" s="477" cm="1">
        <f t="array" ref="D2223">IFERROR(HorasUteisFabrica2Turnos(B2223,C2223), "")</f>
        <v>0</v>
      </c>
      <c r="E2223" s="697" t="str">
        <f t="shared" si="35"/>
        <v/>
      </c>
      <c r="F2223" s="266"/>
      <c r="G2223" s="698"/>
      <c r="H2223" s="266"/>
      <c r="I2223" s="268"/>
      <c r="J2223" s="268"/>
      <c r="K2223" s="268"/>
      <c r="L2223" s="269"/>
      <c r="M2223" s="510" t="str">
        <f>IFERROR(INDEX([1]Produtos!$C:$C,MATCH(L2223,[1]Produtos!$B:$B,0)), "-")</f>
        <v>-</v>
      </c>
      <c r="N2223" s="510" t="str">
        <f>IFERROR(INDEX([1]Produtos!$E:$E,MATCH(L2223,[1]Produtos!$B:$B,0)), "-")</f>
        <v>-</v>
      </c>
      <c r="O2223" s="270" t="str">
        <f>IFERROR(INDEX([1]Produtos!$F:$F,MATCH(L2223,[1]Produtos!$B:$B,0)), "-")</f>
        <v>-</v>
      </c>
      <c r="P2223" s="264" t="str">
        <f>IFERROR(INDEX([1]Produtos!$G:$G,MATCH(L2223,[1]Produtos!$B:$B,0)), "-")</f>
        <v>-</v>
      </c>
      <c r="Q2223" s="270" t="str">
        <f>IFERROR(INDEX([1]Produtos!$H:$H,MATCH(L2223,[1]Produtos!$B:$B,0)), "-")</f>
        <v>-</v>
      </c>
      <c r="R2223" s="270" t="str">
        <f>IFERROR(INDEX([1]Produtos!$I:$I,MATCH(L2223,[1]Produtos!$B:$B,0)), "-")</f>
        <v>-</v>
      </c>
      <c r="S2223" s="270" t="str">
        <f>IFERROR(INDEX([1]Produtos!$J:$J,MATCH(L2223,[1]Produtos!$B:$B,0)), "-")</f>
        <v>-</v>
      </c>
      <c r="T2223" s="475"/>
      <c r="U2223" s="270"/>
      <c r="V2223" s="270"/>
      <c r="W2223" s="270"/>
      <c r="X2223" s="270"/>
      <c r="Y2223" s="270"/>
      <c r="Z2223" s="270"/>
      <c r="AA2223" s="270"/>
      <c r="AB2223" s="270"/>
      <c r="AC2223" s="270"/>
      <c r="AD2223" s="270"/>
      <c r="AE2223" s="270"/>
      <c r="AF2223" s="270"/>
      <c r="AG2223" s="270"/>
      <c r="AH2223" s="270"/>
      <c r="AI2223" s="270"/>
      <c r="AJ2223" s="270"/>
      <c r="AK2223" s="270"/>
      <c r="AL2223" s="270"/>
      <c r="AM2223" s="663"/>
      <c r="AN2223" s="663"/>
      <c r="AO2223" s="708" t="str">
        <f>IF(OR(Table1[[#This Row],[Início Setup Envase]]="",Table1[[#This Row],[Final Setup Envase]]=""),"",Table1[[#This Row],[Final Setup Envase]]-Table1[[#This Row],[Início Setup Envase]])</f>
        <v/>
      </c>
      <c r="AP2223" s="663"/>
      <c r="AQ2223" s="663"/>
      <c r="AR2223" s="270"/>
      <c r="AS2223" s="674"/>
      <c r="AT2223" s="674"/>
      <c r="AU2223" s="270"/>
      <c r="AV2223" s="270"/>
      <c r="AW2223" s="270"/>
      <c r="AX2223" s="270"/>
      <c r="AY2223" s="270"/>
      <c r="AZ2223" s="270"/>
      <c r="BA2223" s="270" t="str">
        <f>IF(Table1[[#This Row],[Data de Início]]="","",YEAR(Table1[[#This Row],[Data de Início]]))</f>
        <v/>
      </c>
      <c r="BB2223" s="270" t="str">
        <f>IF(Table1[[#This Row],[Data de Início]]="","",MONTH(Table1[[#This Row],[Data de Início]]))</f>
        <v/>
      </c>
      <c r="BC2223" s="483"/>
    </row>
    <row r="2224" spans="2:55" x14ac:dyDescent="0.25">
      <c r="B2224" s="470"/>
      <c r="C2224" s="263"/>
      <c r="D2224" s="477" cm="1">
        <f t="array" ref="D2224">IFERROR(HorasUteisFabrica2Turnos(B2224,C2224), "")</f>
        <v>0</v>
      </c>
      <c r="E2224" s="478" t="str">
        <f t="shared" si="35"/>
        <v/>
      </c>
      <c r="F2224" s="266"/>
      <c r="G2224" s="656"/>
      <c r="H2224" s="479"/>
      <c r="I2224" s="268"/>
      <c r="J2224" s="268"/>
      <c r="K2224" s="268"/>
      <c r="L2224" s="269"/>
      <c r="M2224" s="511" t="str">
        <f>IFERROR(INDEX([1]Produtos!$C:$C,MATCH(L2224,[1]Produtos!$B:$B,0)), "-")</f>
        <v>-</v>
      </c>
      <c r="N2224" s="511" t="str">
        <f>IFERROR(INDEX([1]Produtos!$E:$E,MATCH(L2224,[1]Produtos!$B:$B,0)), "-")</f>
        <v>-</v>
      </c>
      <c r="O2224" s="483" t="str">
        <f>IFERROR(INDEX([1]Produtos!$F:$F,MATCH(L2224,[1]Produtos!$B:$B,0)), "-")</f>
        <v>-</v>
      </c>
      <c r="P2224" s="477" t="str">
        <f>IFERROR(INDEX([1]Produtos!$G:$G,MATCH(L2224,[1]Produtos!$B:$B,0)), "-")</f>
        <v>-</v>
      </c>
      <c r="Q2224" s="483" t="str">
        <f>IFERROR(INDEX([1]Produtos!$H:$H,MATCH(L2224,[1]Produtos!$B:$B,0)), "-")</f>
        <v>-</v>
      </c>
      <c r="R2224" s="483" t="str">
        <f>IFERROR(INDEX([1]Produtos!$I:$I,MATCH(L2224,[1]Produtos!$B:$B,0)), "-")</f>
        <v>-</v>
      </c>
      <c r="S2224" s="483" t="str">
        <f>IFERROR(INDEX([1]Produtos!$J:$J,MATCH(L2224,[1]Produtos!$B:$B,0)), "-")</f>
        <v>-</v>
      </c>
      <c r="T2224" s="484"/>
      <c r="U2224" s="483"/>
      <c r="V2224" s="483"/>
      <c r="W2224" s="483"/>
      <c r="X2224" s="483"/>
      <c r="Y2224" s="483"/>
      <c r="Z2224" s="483"/>
      <c r="AA2224" s="483"/>
      <c r="AB2224" s="483"/>
      <c r="AC2224" s="483"/>
      <c r="AD2224" s="483"/>
      <c r="AE2224" s="483"/>
      <c r="AF2224" s="483"/>
      <c r="AG2224" s="483"/>
      <c r="AH2224" s="483"/>
      <c r="AI2224" s="483"/>
      <c r="AJ2224" s="483"/>
      <c r="AK2224" s="483"/>
      <c r="AL2224" s="483"/>
      <c r="AM2224" s="670"/>
      <c r="AN2224" s="670"/>
      <c r="AO2224" s="711" t="str">
        <f>IF(OR(Table1[[#This Row],[Início Setup Envase]]="",Table1[[#This Row],[Final Setup Envase]]=""),"",Table1[[#This Row],[Final Setup Envase]]-Table1[[#This Row],[Início Setup Envase]])</f>
        <v/>
      </c>
      <c r="AP2224" s="670"/>
      <c r="AQ2224" s="670"/>
      <c r="AR2224" s="483"/>
      <c r="AS2224" s="483"/>
      <c r="AT2224" s="483"/>
      <c r="AU2224" s="483"/>
      <c r="AV2224" s="483"/>
      <c r="AW2224" s="483"/>
      <c r="AX2224" s="483"/>
      <c r="AY2224" s="270"/>
      <c r="AZ2224" s="270"/>
      <c r="BA2224" s="270" t="str">
        <f>IF(Table1[[#This Row],[Data de Início]]="","",YEAR(Table1[[#This Row],[Data de Início]]))</f>
        <v/>
      </c>
      <c r="BB2224" s="270" t="str">
        <f>IF(Table1[[#This Row],[Data de Início]]="","",MONTH(Table1[[#This Row],[Data de Início]]))</f>
        <v/>
      </c>
      <c r="BC2224" s="270"/>
    </row>
    <row r="2225" spans="2:55" x14ac:dyDescent="0.25">
      <c r="B2225" s="470"/>
      <c r="C2225" s="263"/>
      <c r="D2225" s="477" cm="1">
        <f t="array" ref="D2225">IFERROR(HorasUteisFabrica2Turnos(B2225,C2225), "")</f>
        <v>0</v>
      </c>
      <c r="E2225" s="697" t="str">
        <f t="shared" si="35"/>
        <v/>
      </c>
      <c r="F2225" s="266"/>
      <c r="G2225" s="698"/>
      <c r="H2225" s="266"/>
      <c r="I2225" s="268"/>
      <c r="J2225" s="268"/>
      <c r="K2225" s="268"/>
      <c r="L2225" s="269"/>
      <c r="M2225" s="510" t="str">
        <f>IFERROR(INDEX([1]Produtos!$C:$C,MATCH(L2225,[1]Produtos!$B:$B,0)), "-")</f>
        <v>-</v>
      </c>
      <c r="N2225" s="510" t="str">
        <f>IFERROR(INDEX([1]Produtos!$E:$E,MATCH(L2225,[1]Produtos!$B:$B,0)), "-")</f>
        <v>-</v>
      </c>
      <c r="O2225" s="270" t="str">
        <f>IFERROR(INDEX([1]Produtos!$F:$F,MATCH(L2225,[1]Produtos!$B:$B,0)), "-")</f>
        <v>-</v>
      </c>
      <c r="P2225" s="264" t="str">
        <f>IFERROR(INDEX([1]Produtos!$G:$G,MATCH(L2225,[1]Produtos!$B:$B,0)), "-")</f>
        <v>-</v>
      </c>
      <c r="Q2225" s="270" t="str">
        <f>IFERROR(INDEX([1]Produtos!$H:$H,MATCH(L2225,[1]Produtos!$B:$B,0)), "-")</f>
        <v>-</v>
      </c>
      <c r="R2225" s="270" t="str">
        <f>IFERROR(INDEX([1]Produtos!$I:$I,MATCH(L2225,[1]Produtos!$B:$B,0)), "-")</f>
        <v>-</v>
      </c>
      <c r="S2225" s="270" t="str">
        <f>IFERROR(INDEX([1]Produtos!$J:$J,MATCH(L2225,[1]Produtos!$B:$B,0)), "-")</f>
        <v>-</v>
      </c>
      <c r="T2225" s="475"/>
      <c r="U2225" s="270"/>
      <c r="V2225" s="270"/>
      <c r="W2225" s="270"/>
      <c r="X2225" s="270"/>
      <c r="Y2225" s="270"/>
      <c r="Z2225" s="270"/>
      <c r="AA2225" s="270"/>
      <c r="AB2225" s="270"/>
      <c r="AC2225" s="270"/>
      <c r="AD2225" s="270"/>
      <c r="AE2225" s="270"/>
      <c r="AF2225" s="270"/>
      <c r="AG2225" s="270"/>
      <c r="AH2225" s="270"/>
      <c r="AI2225" s="270"/>
      <c r="AJ2225" s="270"/>
      <c r="AK2225" s="270"/>
      <c r="AL2225" s="270"/>
      <c r="AM2225" s="663"/>
      <c r="AN2225" s="663"/>
      <c r="AO2225" s="708" t="str">
        <f>IF(OR(Table1[[#This Row],[Início Setup Envase]]="",Table1[[#This Row],[Final Setup Envase]]=""),"",Table1[[#This Row],[Final Setup Envase]]-Table1[[#This Row],[Início Setup Envase]])</f>
        <v/>
      </c>
      <c r="AP2225" s="663"/>
      <c r="AQ2225" s="663"/>
      <c r="AR2225" s="270"/>
      <c r="AS2225" s="674"/>
      <c r="AT2225" s="674"/>
      <c r="AU2225" s="270"/>
      <c r="AV2225" s="270"/>
      <c r="AW2225" s="270"/>
      <c r="AX2225" s="270"/>
      <c r="AY2225" s="270"/>
      <c r="AZ2225" s="270"/>
      <c r="BA2225" s="270" t="str">
        <f>IF(Table1[[#This Row],[Data de Início]]="","",YEAR(Table1[[#This Row],[Data de Início]]))</f>
        <v/>
      </c>
      <c r="BB2225" s="270" t="str">
        <f>IF(Table1[[#This Row],[Data de Início]]="","",MONTH(Table1[[#This Row],[Data de Início]]))</f>
        <v/>
      </c>
      <c r="BC2225" s="483"/>
    </row>
    <row r="2226" spans="2:55" x14ac:dyDescent="0.25">
      <c r="B2226" s="470"/>
      <c r="C2226" s="263"/>
      <c r="D2226" s="477" cm="1">
        <f t="array" ref="D2226">IFERROR(HorasUteisFabrica2Turnos(B2226,C2226), "")</f>
        <v>0</v>
      </c>
      <c r="E2226" s="478" t="str">
        <f t="shared" si="35"/>
        <v/>
      </c>
      <c r="F2226" s="266"/>
      <c r="G2226" s="656"/>
      <c r="H2226" s="479"/>
      <c r="I2226" s="268"/>
      <c r="J2226" s="268"/>
      <c r="K2226" s="268"/>
      <c r="L2226" s="269"/>
      <c r="M2226" s="511" t="str">
        <f>IFERROR(INDEX([1]Produtos!$C:$C,MATCH(L2226,[1]Produtos!$B:$B,0)), "-")</f>
        <v>-</v>
      </c>
      <c r="N2226" s="511" t="str">
        <f>IFERROR(INDEX([1]Produtos!$E:$E,MATCH(L2226,[1]Produtos!$B:$B,0)), "-")</f>
        <v>-</v>
      </c>
      <c r="O2226" s="483" t="str">
        <f>IFERROR(INDEX([1]Produtos!$F:$F,MATCH(L2226,[1]Produtos!$B:$B,0)), "-")</f>
        <v>-</v>
      </c>
      <c r="P2226" s="477" t="str">
        <f>IFERROR(INDEX([1]Produtos!$G:$G,MATCH(L2226,[1]Produtos!$B:$B,0)), "-")</f>
        <v>-</v>
      </c>
      <c r="Q2226" s="483" t="str">
        <f>IFERROR(INDEX([1]Produtos!$H:$H,MATCH(L2226,[1]Produtos!$B:$B,0)), "-")</f>
        <v>-</v>
      </c>
      <c r="R2226" s="483" t="str">
        <f>IFERROR(INDEX([1]Produtos!$I:$I,MATCH(L2226,[1]Produtos!$B:$B,0)), "-")</f>
        <v>-</v>
      </c>
      <c r="S2226" s="483" t="str">
        <f>IFERROR(INDEX([1]Produtos!$J:$J,MATCH(L2226,[1]Produtos!$B:$B,0)), "-")</f>
        <v>-</v>
      </c>
      <c r="T2226" s="484"/>
      <c r="U2226" s="483"/>
      <c r="V2226" s="483"/>
      <c r="W2226" s="483"/>
      <c r="X2226" s="483"/>
      <c r="Y2226" s="483"/>
      <c r="Z2226" s="483"/>
      <c r="AA2226" s="483"/>
      <c r="AB2226" s="483"/>
      <c r="AC2226" s="483"/>
      <c r="AD2226" s="483"/>
      <c r="AE2226" s="483"/>
      <c r="AF2226" s="483"/>
      <c r="AG2226" s="483"/>
      <c r="AH2226" s="483"/>
      <c r="AI2226" s="483"/>
      <c r="AJ2226" s="483"/>
      <c r="AK2226" s="483"/>
      <c r="AL2226" s="483"/>
      <c r="AM2226" s="670"/>
      <c r="AN2226" s="670"/>
      <c r="AO2226" s="711" t="str">
        <f>IF(OR(Table1[[#This Row],[Início Setup Envase]]="",Table1[[#This Row],[Final Setup Envase]]=""),"",Table1[[#This Row],[Final Setup Envase]]-Table1[[#This Row],[Início Setup Envase]])</f>
        <v/>
      </c>
      <c r="AP2226" s="670"/>
      <c r="AQ2226" s="670"/>
      <c r="AR2226" s="483"/>
      <c r="AS2226" s="483"/>
      <c r="AT2226" s="483"/>
      <c r="AU2226" s="483"/>
      <c r="AV2226" s="483"/>
      <c r="AW2226" s="483"/>
      <c r="AX2226" s="483"/>
      <c r="AY2226" s="270"/>
      <c r="AZ2226" s="270"/>
      <c r="BA2226" s="270" t="str">
        <f>IF(Table1[[#This Row],[Data de Início]]="","",YEAR(Table1[[#This Row],[Data de Início]]))</f>
        <v/>
      </c>
      <c r="BB2226" s="270" t="str">
        <f>IF(Table1[[#This Row],[Data de Início]]="","",MONTH(Table1[[#This Row],[Data de Início]]))</f>
        <v/>
      </c>
      <c r="BC2226" s="270"/>
    </row>
    <row r="2227" spans="2:55" x14ac:dyDescent="0.25">
      <c r="B2227" s="470"/>
      <c r="C2227" s="263"/>
      <c r="D2227" s="477" cm="1">
        <f t="array" ref="D2227">IFERROR(HorasUteisFabrica2Turnos(B2227,C2227), "")</f>
        <v>0</v>
      </c>
      <c r="E2227" s="697" t="str">
        <f t="shared" si="35"/>
        <v/>
      </c>
      <c r="F2227" s="266"/>
      <c r="G2227" s="698"/>
      <c r="H2227" s="266"/>
      <c r="I2227" s="268"/>
      <c r="J2227" s="268"/>
      <c r="K2227" s="268"/>
      <c r="L2227" s="269"/>
      <c r="M2227" s="510" t="str">
        <f>IFERROR(INDEX([1]Produtos!$C:$C,MATCH(L2227,[1]Produtos!$B:$B,0)), "-")</f>
        <v>-</v>
      </c>
      <c r="N2227" s="510" t="str">
        <f>IFERROR(INDEX([1]Produtos!$E:$E,MATCH(L2227,[1]Produtos!$B:$B,0)), "-")</f>
        <v>-</v>
      </c>
      <c r="O2227" s="270" t="str">
        <f>IFERROR(INDEX([1]Produtos!$F:$F,MATCH(L2227,[1]Produtos!$B:$B,0)), "-")</f>
        <v>-</v>
      </c>
      <c r="P2227" s="264" t="str">
        <f>IFERROR(INDEX([1]Produtos!$G:$G,MATCH(L2227,[1]Produtos!$B:$B,0)), "-")</f>
        <v>-</v>
      </c>
      <c r="Q2227" s="270" t="str">
        <f>IFERROR(INDEX([1]Produtos!$H:$H,MATCH(L2227,[1]Produtos!$B:$B,0)), "-")</f>
        <v>-</v>
      </c>
      <c r="R2227" s="270" t="str">
        <f>IFERROR(INDEX([1]Produtos!$I:$I,MATCH(L2227,[1]Produtos!$B:$B,0)), "-")</f>
        <v>-</v>
      </c>
      <c r="S2227" s="270" t="str">
        <f>IFERROR(INDEX([1]Produtos!$J:$J,MATCH(L2227,[1]Produtos!$B:$B,0)), "-")</f>
        <v>-</v>
      </c>
      <c r="T2227" s="475"/>
      <c r="U2227" s="270"/>
      <c r="V2227" s="270"/>
      <c r="W2227" s="270"/>
      <c r="X2227" s="270"/>
      <c r="Y2227" s="270"/>
      <c r="Z2227" s="270"/>
      <c r="AA2227" s="270"/>
      <c r="AB2227" s="270"/>
      <c r="AC2227" s="270"/>
      <c r="AD2227" s="270"/>
      <c r="AE2227" s="270"/>
      <c r="AF2227" s="270"/>
      <c r="AG2227" s="270"/>
      <c r="AH2227" s="270"/>
      <c r="AI2227" s="270"/>
      <c r="AJ2227" s="270"/>
      <c r="AK2227" s="270"/>
      <c r="AL2227" s="270"/>
      <c r="AM2227" s="663"/>
      <c r="AN2227" s="663"/>
      <c r="AO2227" s="708" t="str">
        <f>IF(OR(Table1[[#This Row],[Início Setup Envase]]="",Table1[[#This Row],[Final Setup Envase]]=""),"",Table1[[#This Row],[Final Setup Envase]]-Table1[[#This Row],[Início Setup Envase]])</f>
        <v/>
      </c>
      <c r="AP2227" s="663"/>
      <c r="AQ2227" s="663"/>
      <c r="AR2227" s="270"/>
      <c r="AS2227" s="674"/>
      <c r="AT2227" s="674"/>
      <c r="AU2227" s="270"/>
      <c r="AV2227" s="270"/>
      <c r="AW2227" s="270"/>
      <c r="AX2227" s="270"/>
      <c r="AY2227" s="270"/>
      <c r="AZ2227" s="270"/>
      <c r="BA2227" s="270" t="str">
        <f>IF(Table1[[#This Row],[Data de Início]]="","",YEAR(Table1[[#This Row],[Data de Início]]))</f>
        <v/>
      </c>
      <c r="BB2227" s="270" t="str">
        <f>IF(Table1[[#This Row],[Data de Início]]="","",MONTH(Table1[[#This Row],[Data de Início]]))</f>
        <v/>
      </c>
      <c r="BC2227" s="483"/>
    </row>
    <row r="2228" spans="2:55" x14ac:dyDescent="0.25">
      <c r="B2228" s="470"/>
      <c r="C2228" s="263"/>
      <c r="D2228" s="477" cm="1">
        <f t="array" ref="D2228">IFERROR(HorasUteisFabrica2Turnos(B2228,C2228), "")</f>
        <v>0</v>
      </c>
      <c r="E2228" s="478" t="str">
        <f t="shared" si="35"/>
        <v/>
      </c>
      <c r="F2228" s="266"/>
      <c r="G2228" s="656"/>
      <c r="H2228" s="479"/>
      <c r="I2228" s="268"/>
      <c r="J2228" s="268"/>
      <c r="K2228" s="268"/>
      <c r="L2228" s="269"/>
      <c r="M2228" s="511" t="str">
        <f>IFERROR(INDEX([1]Produtos!$C:$C,MATCH(L2228,[1]Produtos!$B:$B,0)), "-")</f>
        <v>-</v>
      </c>
      <c r="N2228" s="511" t="str">
        <f>IFERROR(INDEX([1]Produtos!$E:$E,MATCH(L2228,[1]Produtos!$B:$B,0)), "-")</f>
        <v>-</v>
      </c>
      <c r="O2228" s="483" t="str">
        <f>IFERROR(INDEX([1]Produtos!$F:$F,MATCH(L2228,[1]Produtos!$B:$B,0)), "-")</f>
        <v>-</v>
      </c>
      <c r="P2228" s="477" t="str">
        <f>IFERROR(INDEX([1]Produtos!$G:$G,MATCH(L2228,[1]Produtos!$B:$B,0)), "-")</f>
        <v>-</v>
      </c>
      <c r="Q2228" s="483" t="str">
        <f>IFERROR(INDEX([1]Produtos!$H:$H,MATCH(L2228,[1]Produtos!$B:$B,0)), "-")</f>
        <v>-</v>
      </c>
      <c r="R2228" s="483" t="str">
        <f>IFERROR(INDEX([1]Produtos!$I:$I,MATCH(L2228,[1]Produtos!$B:$B,0)), "-")</f>
        <v>-</v>
      </c>
      <c r="S2228" s="483" t="str">
        <f>IFERROR(INDEX([1]Produtos!$J:$J,MATCH(L2228,[1]Produtos!$B:$B,0)), "-")</f>
        <v>-</v>
      </c>
      <c r="T2228" s="484"/>
      <c r="U2228" s="483"/>
      <c r="V2228" s="483"/>
      <c r="W2228" s="483"/>
      <c r="X2228" s="483"/>
      <c r="Y2228" s="483"/>
      <c r="Z2228" s="483"/>
      <c r="AA2228" s="483"/>
      <c r="AB2228" s="483"/>
      <c r="AC2228" s="483"/>
      <c r="AD2228" s="483"/>
      <c r="AE2228" s="483"/>
      <c r="AF2228" s="483"/>
      <c r="AG2228" s="483"/>
      <c r="AH2228" s="483"/>
      <c r="AI2228" s="483"/>
      <c r="AJ2228" s="483"/>
      <c r="AK2228" s="483"/>
      <c r="AL2228" s="483"/>
      <c r="AM2228" s="670"/>
      <c r="AN2228" s="670"/>
      <c r="AO2228" s="711" t="str">
        <f>IF(OR(Table1[[#This Row],[Início Setup Envase]]="",Table1[[#This Row],[Final Setup Envase]]=""),"",Table1[[#This Row],[Final Setup Envase]]-Table1[[#This Row],[Início Setup Envase]])</f>
        <v/>
      </c>
      <c r="AP2228" s="670"/>
      <c r="AQ2228" s="670"/>
      <c r="AR2228" s="483"/>
      <c r="AS2228" s="483"/>
      <c r="AT2228" s="483"/>
      <c r="AU2228" s="483"/>
      <c r="AV2228" s="483"/>
      <c r="AW2228" s="483"/>
      <c r="AX2228" s="483"/>
      <c r="AY2228" s="270"/>
      <c r="AZ2228" s="270"/>
      <c r="BA2228" s="270" t="str">
        <f>IF(Table1[[#This Row],[Data de Início]]="","",YEAR(Table1[[#This Row],[Data de Início]]))</f>
        <v/>
      </c>
      <c r="BB2228" s="270" t="str">
        <f>IF(Table1[[#This Row],[Data de Início]]="","",MONTH(Table1[[#This Row],[Data de Início]]))</f>
        <v/>
      </c>
      <c r="BC2228" s="270"/>
    </row>
    <row r="2229" spans="2:55" x14ac:dyDescent="0.25">
      <c r="B2229" s="470"/>
      <c r="C2229" s="263"/>
      <c r="D2229" s="477" cm="1">
        <f t="array" ref="D2229">IFERROR(HorasUteisFabrica2Turnos(B2229,C2229), "")</f>
        <v>0</v>
      </c>
      <c r="E2229" s="697" t="str">
        <f t="shared" si="35"/>
        <v/>
      </c>
      <c r="F2229" s="266"/>
      <c r="G2229" s="698"/>
      <c r="H2229" s="266"/>
      <c r="I2229" s="268"/>
      <c r="J2229" s="268"/>
      <c r="K2229" s="268"/>
      <c r="L2229" s="269"/>
      <c r="M2229" s="510" t="str">
        <f>IFERROR(INDEX([1]Produtos!$C:$C,MATCH(L2229,[1]Produtos!$B:$B,0)), "-")</f>
        <v>-</v>
      </c>
      <c r="N2229" s="510" t="str">
        <f>IFERROR(INDEX([1]Produtos!$E:$E,MATCH(L2229,[1]Produtos!$B:$B,0)), "-")</f>
        <v>-</v>
      </c>
      <c r="O2229" s="270" t="str">
        <f>IFERROR(INDEX([1]Produtos!$F:$F,MATCH(L2229,[1]Produtos!$B:$B,0)), "-")</f>
        <v>-</v>
      </c>
      <c r="P2229" s="264" t="str">
        <f>IFERROR(INDEX([1]Produtos!$G:$G,MATCH(L2229,[1]Produtos!$B:$B,0)), "-")</f>
        <v>-</v>
      </c>
      <c r="Q2229" s="270" t="str">
        <f>IFERROR(INDEX([1]Produtos!$H:$H,MATCH(L2229,[1]Produtos!$B:$B,0)), "-")</f>
        <v>-</v>
      </c>
      <c r="R2229" s="270" t="str">
        <f>IFERROR(INDEX([1]Produtos!$I:$I,MATCH(L2229,[1]Produtos!$B:$B,0)), "-")</f>
        <v>-</v>
      </c>
      <c r="S2229" s="270" t="str">
        <f>IFERROR(INDEX([1]Produtos!$J:$J,MATCH(L2229,[1]Produtos!$B:$B,0)), "-")</f>
        <v>-</v>
      </c>
      <c r="T2229" s="475"/>
      <c r="U2229" s="270"/>
      <c r="V2229" s="270"/>
      <c r="W2229" s="270"/>
      <c r="X2229" s="270"/>
      <c r="Y2229" s="270"/>
      <c r="Z2229" s="270"/>
      <c r="AA2229" s="270"/>
      <c r="AB2229" s="270"/>
      <c r="AC2229" s="270"/>
      <c r="AD2229" s="270"/>
      <c r="AE2229" s="270"/>
      <c r="AF2229" s="270"/>
      <c r="AG2229" s="270"/>
      <c r="AH2229" s="270"/>
      <c r="AI2229" s="270"/>
      <c r="AJ2229" s="270"/>
      <c r="AK2229" s="270"/>
      <c r="AL2229" s="270"/>
      <c r="AM2229" s="663"/>
      <c r="AN2229" s="663"/>
      <c r="AO2229" s="708" t="str">
        <f>IF(OR(Table1[[#This Row],[Início Setup Envase]]="",Table1[[#This Row],[Final Setup Envase]]=""),"",Table1[[#This Row],[Final Setup Envase]]-Table1[[#This Row],[Início Setup Envase]])</f>
        <v/>
      </c>
      <c r="AP2229" s="663"/>
      <c r="AQ2229" s="663"/>
      <c r="AR2229" s="270"/>
      <c r="AS2229" s="674"/>
      <c r="AT2229" s="674"/>
      <c r="AU2229" s="270"/>
      <c r="AV2229" s="270"/>
      <c r="AW2229" s="270"/>
      <c r="AX2229" s="270"/>
      <c r="AY2229" s="270"/>
      <c r="AZ2229" s="270"/>
      <c r="BA2229" s="270" t="str">
        <f>IF(Table1[[#This Row],[Data de Início]]="","",YEAR(Table1[[#This Row],[Data de Início]]))</f>
        <v/>
      </c>
      <c r="BB2229" s="270" t="str">
        <f>IF(Table1[[#This Row],[Data de Início]]="","",MONTH(Table1[[#This Row],[Data de Início]]))</f>
        <v/>
      </c>
      <c r="BC2229" s="483"/>
    </row>
    <row r="2230" spans="2:55" x14ac:dyDescent="0.25">
      <c r="B2230" s="470"/>
      <c r="C2230" s="263"/>
      <c r="D2230" s="477" cm="1">
        <f t="array" ref="D2230">IFERROR(HorasUteisFabrica2Turnos(B2230,C2230), "")</f>
        <v>0</v>
      </c>
      <c r="E2230" s="478" t="str">
        <f t="shared" si="35"/>
        <v/>
      </c>
      <c r="F2230" s="266"/>
      <c r="G2230" s="656"/>
      <c r="H2230" s="479"/>
      <c r="I2230" s="268"/>
      <c r="J2230" s="268"/>
      <c r="K2230" s="268"/>
      <c r="L2230" s="269"/>
      <c r="M2230" s="511" t="str">
        <f>IFERROR(INDEX([1]Produtos!$C:$C,MATCH(L2230,[1]Produtos!$B:$B,0)), "-")</f>
        <v>-</v>
      </c>
      <c r="N2230" s="511" t="str">
        <f>IFERROR(INDEX([1]Produtos!$E:$E,MATCH(L2230,[1]Produtos!$B:$B,0)), "-")</f>
        <v>-</v>
      </c>
      <c r="O2230" s="483" t="str">
        <f>IFERROR(INDEX([1]Produtos!$F:$F,MATCH(L2230,[1]Produtos!$B:$B,0)), "-")</f>
        <v>-</v>
      </c>
      <c r="P2230" s="477" t="str">
        <f>IFERROR(INDEX([1]Produtos!$G:$G,MATCH(L2230,[1]Produtos!$B:$B,0)), "-")</f>
        <v>-</v>
      </c>
      <c r="Q2230" s="483" t="str">
        <f>IFERROR(INDEX([1]Produtos!$H:$H,MATCH(L2230,[1]Produtos!$B:$B,0)), "-")</f>
        <v>-</v>
      </c>
      <c r="R2230" s="483" t="str">
        <f>IFERROR(INDEX([1]Produtos!$I:$I,MATCH(L2230,[1]Produtos!$B:$B,0)), "-")</f>
        <v>-</v>
      </c>
      <c r="S2230" s="483" t="str">
        <f>IFERROR(INDEX([1]Produtos!$J:$J,MATCH(L2230,[1]Produtos!$B:$B,0)), "-")</f>
        <v>-</v>
      </c>
      <c r="T2230" s="484"/>
      <c r="U2230" s="483"/>
      <c r="V2230" s="483"/>
      <c r="W2230" s="483"/>
      <c r="X2230" s="483"/>
      <c r="Y2230" s="483"/>
      <c r="Z2230" s="483"/>
      <c r="AA2230" s="483"/>
      <c r="AB2230" s="483"/>
      <c r="AC2230" s="483"/>
      <c r="AD2230" s="483"/>
      <c r="AE2230" s="483"/>
      <c r="AF2230" s="483"/>
      <c r="AG2230" s="483"/>
      <c r="AH2230" s="483"/>
      <c r="AI2230" s="483"/>
      <c r="AJ2230" s="483"/>
      <c r="AK2230" s="483"/>
      <c r="AL2230" s="483"/>
      <c r="AM2230" s="670"/>
      <c r="AN2230" s="670"/>
      <c r="AO2230" s="711" t="str">
        <f>IF(OR(Table1[[#This Row],[Início Setup Envase]]="",Table1[[#This Row],[Final Setup Envase]]=""),"",Table1[[#This Row],[Final Setup Envase]]-Table1[[#This Row],[Início Setup Envase]])</f>
        <v/>
      </c>
      <c r="AP2230" s="670"/>
      <c r="AQ2230" s="670"/>
      <c r="AR2230" s="483"/>
      <c r="AS2230" s="483"/>
      <c r="AT2230" s="483"/>
      <c r="AU2230" s="483"/>
      <c r="AV2230" s="483"/>
      <c r="AW2230" s="483"/>
      <c r="AX2230" s="483"/>
      <c r="AY2230" s="270"/>
      <c r="AZ2230" s="270"/>
      <c r="BA2230" s="270" t="str">
        <f>IF(Table1[[#This Row],[Data de Início]]="","",YEAR(Table1[[#This Row],[Data de Início]]))</f>
        <v/>
      </c>
      <c r="BB2230" s="270" t="str">
        <f>IF(Table1[[#This Row],[Data de Início]]="","",MONTH(Table1[[#This Row],[Data de Início]]))</f>
        <v/>
      </c>
      <c r="BC2230" s="270"/>
    </row>
    <row r="2231" spans="2:55" x14ac:dyDescent="0.25">
      <c r="B2231" s="470"/>
      <c r="C2231" s="263"/>
      <c r="D2231" s="477" cm="1">
        <f t="array" ref="D2231">IFERROR(HorasUteisFabrica2Turnos(B2231,C2231), "")</f>
        <v>0</v>
      </c>
      <c r="E2231" s="697" t="str">
        <f t="shared" si="35"/>
        <v/>
      </c>
      <c r="F2231" s="266"/>
      <c r="G2231" s="698"/>
      <c r="H2231" s="266"/>
      <c r="I2231" s="268"/>
      <c r="J2231" s="268"/>
      <c r="K2231" s="268"/>
      <c r="L2231" s="269"/>
      <c r="M2231" s="510" t="str">
        <f>IFERROR(INDEX([1]Produtos!$C:$C,MATCH(L2231,[1]Produtos!$B:$B,0)), "-")</f>
        <v>-</v>
      </c>
      <c r="N2231" s="510" t="str">
        <f>IFERROR(INDEX([1]Produtos!$E:$E,MATCH(L2231,[1]Produtos!$B:$B,0)), "-")</f>
        <v>-</v>
      </c>
      <c r="O2231" s="270" t="str">
        <f>IFERROR(INDEX([1]Produtos!$F:$F,MATCH(L2231,[1]Produtos!$B:$B,0)), "-")</f>
        <v>-</v>
      </c>
      <c r="P2231" s="264" t="str">
        <f>IFERROR(INDEX([1]Produtos!$G:$G,MATCH(L2231,[1]Produtos!$B:$B,0)), "-")</f>
        <v>-</v>
      </c>
      <c r="Q2231" s="270" t="str">
        <f>IFERROR(INDEX([1]Produtos!$H:$H,MATCH(L2231,[1]Produtos!$B:$B,0)), "-")</f>
        <v>-</v>
      </c>
      <c r="R2231" s="270" t="str">
        <f>IFERROR(INDEX([1]Produtos!$I:$I,MATCH(L2231,[1]Produtos!$B:$B,0)), "-")</f>
        <v>-</v>
      </c>
      <c r="S2231" s="270" t="str">
        <f>IFERROR(INDEX([1]Produtos!$J:$J,MATCH(L2231,[1]Produtos!$B:$B,0)), "-")</f>
        <v>-</v>
      </c>
      <c r="T2231" s="475"/>
      <c r="U2231" s="270"/>
      <c r="V2231" s="270"/>
      <c r="W2231" s="270"/>
      <c r="X2231" s="270"/>
      <c r="Y2231" s="270"/>
      <c r="Z2231" s="270"/>
      <c r="AA2231" s="270"/>
      <c r="AB2231" s="270"/>
      <c r="AC2231" s="270"/>
      <c r="AD2231" s="270"/>
      <c r="AE2231" s="270"/>
      <c r="AF2231" s="270"/>
      <c r="AG2231" s="270"/>
      <c r="AH2231" s="270"/>
      <c r="AI2231" s="270"/>
      <c r="AJ2231" s="270"/>
      <c r="AK2231" s="270"/>
      <c r="AL2231" s="270"/>
      <c r="AM2231" s="663"/>
      <c r="AN2231" s="663"/>
      <c r="AO2231" s="708" t="str">
        <f>IF(OR(Table1[[#This Row],[Início Setup Envase]]="",Table1[[#This Row],[Final Setup Envase]]=""),"",Table1[[#This Row],[Final Setup Envase]]-Table1[[#This Row],[Início Setup Envase]])</f>
        <v/>
      </c>
      <c r="AP2231" s="663"/>
      <c r="AQ2231" s="663"/>
      <c r="AR2231" s="270"/>
      <c r="AS2231" s="674"/>
      <c r="AT2231" s="674"/>
      <c r="AU2231" s="270"/>
      <c r="AV2231" s="270"/>
      <c r="AW2231" s="270"/>
      <c r="AX2231" s="270"/>
      <c r="AY2231" s="270"/>
      <c r="AZ2231" s="270"/>
      <c r="BA2231" s="270" t="str">
        <f>IF(Table1[[#This Row],[Data de Início]]="","",YEAR(Table1[[#This Row],[Data de Início]]))</f>
        <v/>
      </c>
      <c r="BB2231" s="270" t="str">
        <f>IF(Table1[[#This Row],[Data de Início]]="","",MONTH(Table1[[#This Row],[Data de Início]]))</f>
        <v/>
      </c>
      <c r="BC2231" s="483"/>
    </row>
    <row r="2232" spans="2:55" x14ac:dyDescent="0.25">
      <c r="B2232" s="470"/>
      <c r="C2232" s="263"/>
      <c r="D2232" s="477" cm="1">
        <f t="array" ref="D2232">IFERROR(HorasUteisFabrica2Turnos(B2232,C2232), "")</f>
        <v>0</v>
      </c>
      <c r="E2232" s="478" t="str">
        <f t="shared" si="35"/>
        <v/>
      </c>
      <c r="F2232" s="266"/>
      <c r="G2232" s="656"/>
      <c r="H2232" s="479"/>
      <c r="I2232" s="268"/>
      <c r="J2232" s="268"/>
      <c r="K2232" s="268"/>
      <c r="L2232" s="269"/>
      <c r="M2232" s="511" t="str">
        <f>IFERROR(INDEX([1]Produtos!$C:$C,MATCH(L2232,[1]Produtos!$B:$B,0)), "-")</f>
        <v>-</v>
      </c>
      <c r="N2232" s="511" t="str">
        <f>IFERROR(INDEX([1]Produtos!$E:$E,MATCH(L2232,[1]Produtos!$B:$B,0)), "-")</f>
        <v>-</v>
      </c>
      <c r="O2232" s="483" t="str">
        <f>IFERROR(INDEX([1]Produtos!$F:$F,MATCH(L2232,[1]Produtos!$B:$B,0)), "-")</f>
        <v>-</v>
      </c>
      <c r="P2232" s="477" t="str">
        <f>IFERROR(INDEX([1]Produtos!$G:$G,MATCH(L2232,[1]Produtos!$B:$B,0)), "-")</f>
        <v>-</v>
      </c>
      <c r="Q2232" s="483" t="str">
        <f>IFERROR(INDEX([1]Produtos!$H:$H,MATCH(L2232,[1]Produtos!$B:$B,0)), "-")</f>
        <v>-</v>
      </c>
      <c r="R2232" s="483" t="str">
        <f>IFERROR(INDEX([1]Produtos!$I:$I,MATCH(L2232,[1]Produtos!$B:$B,0)), "-")</f>
        <v>-</v>
      </c>
      <c r="S2232" s="483" t="str">
        <f>IFERROR(INDEX([1]Produtos!$J:$J,MATCH(L2232,[1]Produtos!$B:$B,0)), "-")</f>
        <v>-</v>
      </c>
      <c r="T2232" s="484"/>
      <c r="U2232" s="483"/>
      <c r="V2232" s="483"/>
      <c r="W2232" s="483"/>
      <c r="X2232" s="483"/>
      <c r="Y2232" s="483"/>
      <c r="Z2232" s="483"/>
      <c r="AA2232" s="483"/>
      <c r="AB2232" s="483"/>
      <c r="AC2232" s="483"/>
      <c r="AD2232" s="483"/>
      <c r="AE2232" s="483"/>
      <c r="AF2232" s="483"/>
      <c r="AG2232" s="483"/>
      <c r="AH2232" s="483"/>
      <c r="AI2232" s="483"/>
      <c r="AJ2232" s="483"/>
      <c r="AK2232" s="483"/>
      <c r="AL2232" s="483"/>
      <c r="AM2232" s="670"/>
      <c r="AN2232" s="670"/>
      <c r="AO2232" s="711" t="str">
        <f>IF(OR(Table1[[#This Row],[Início Setup Envase]]="",Table1[[#This Row],[Final Setup Envase]]=""),"",Table1[[#This Row],[Final Setup Envase]]-Table1[[#This Row],[Início Setup Envase]])</f>
        <v/>
      </c>
      <c r="AP2232" s="670"/>
      <c r="AQ2232" s="670"/>
      <c r="AR2232" s="483"/>
      <c r="AS2232" s="483"/>
      <c r="AT2232" s="483"/>
      <c r="AU2232" s="483"/>
      <c r="AV2232" s="483"/>
      <c r="AW2232" s="483"/>
      <c r="AX2232" s="483"/>
      <c r="AY2232" s="270"/>
      <c r="AZ2232" s="270"/>
      <c r="BA2232" s="270" t="str">
        <f>IF(Table1[[#This Row],[Data de Início]]="","",YEAR(Table1[[#This Row],[Data de Início]]))</f>
        <v/>
      </c>
      <c r="BB2232" s="270" t="str">
        <f>IF(Table1[[#This Row],[Data de Início]]="","",MONTH(Table1[[#This Row],[Data de Início]]))</f>
        <v/>
      </c>
      <c r="BC2232" s="270"/>
    </row>
    <row r="2233" spans="2:55" x14ac:dyDescent="0.25">
      <c r="B2233" s="470"/>
      <c r="C2233" s="263"/>
      <c r="D2233" s="477" cm="1">
        <f t="array" ref="D2233">IFERROR(HorasUteisFabrica2Turnos(B2233,C2233), "")</f>
        <v>0</v>
      </c>
      <c r="E2233" s="697" t="str">
        <f t="shared" si="35"/>
        <v/>
      </c>
      <c r="F2233" s="266"/>
      <c r="G2233" s="698"/>
      <c r="H2233" s="266"/>
      <c r="I2233" s="268"/>
      <c r="J2233" s="268"/>
      <c r="K2233" s="268"/>
      <c r="L2233" s="269"/>
      <c r="M2233" s="510" t="str">
        <f>IFERROR(INDEX([1]Produtos!$C:$C,MATCH(L2233,[1]Produtos!$B:$B,0)), "-")</f>
        <v>-</v>
      </c>
      <c r="N2233" s="510" t="str">
        <f>IFERROR(INDEX([1]Produtos!$E:$E,MATCH(L2233,[1]Produtos!$B:$B,0)), "-")</f>
        <v>-</v>
      </c>
      <c r="O2233" s="270" t="str">
        <f>IFERROR(INDEX([1]Produtos!$F:$F,MATCH(L2233,[1]Produtos!$B:$B,0)), "-")</f>
        <v>-</v>
      </c>
      <c r="P2233" s="264" t="str">
        <f>IFERROR(INDEX([1]Produtos!$G:$G,MATCH(L2233,[1]Produtos!$B:$B,0)), "-")</f>
        <v>-</v>
      </c>
      <c r="Q2233" s="270" t="str">
        <f>IFERROR(INDEX([1]Produtos!$H:$H,MATCH(L2233,[1]Produtos!$B:$B,0)), "-")</f>
        <v>-</v>
      </c>
      <c r="R2233" s="270" t="str">
        <f>IFERROR(INDEX([1]Produtos!$I:$I,MATCH(L2233,[1]Produtos!$B:$B,0)), "-")</f>
        <v>-</v>
      </c>
      <c r="S2233" s="270" t="str">
        <f>IFERROR(INDEX([1]Produtos!$J:$J,MATCH(L2233,[1]Produtos!$B:$B,0)), "-")</f>
        <v>-</v>
      </c>
      <c r="T2233" s="475"/>
      <c r="U2233" s="270"/>
      <c r="V2233" s="270"/>
      <c r="W2233" s="270"/>
      <c r="X2233" s="270"/>
      <c r="Y2233" s="270"/>
      <c r="Z2233" s="270"/>
      <c r="AA2233" s="270"/>
      <c r="AB2233" s="270"/>
      <c r="AC2233" s="270"/>
      <c r="AD2233" s="270"/>
      <c r="AE2233" s="270"/>
      <c r="AF2233" s="270"/>
      <c r="AG2233" s="270"/>
      <c r="AH2233" s="270"/>
      <c r="AI2233" s="270"/>
      <c r="AJ2233" s="270"/>
      <c r="AK2233" s="270"/>
      <c r="AL2233" s="270"/>
      <c r="AM2233" s="663"/>
      <c r="AN2233" s="663"/>
      <c r="AO2233" s="708" t="str">
        <f>IF(OR(Table1[[#This Row],[Início Setup Envase]]="",Table1[[#This Row],[Final Setup Envase]]=""),"",Table1[[#This Row],[Final Setup Envase]]-Table1[[#This Row],[Início Setup Envase]])</f>
        <v/>
      </c>
      <c r="AP2233" s="663"/>
      <c r="AQ2233" s="663"/>
      <c r="AR2233" s="270"/>
      <c r="AS2233" s="674"/>
      <c r="AT2233" s="674"/>
      <c r="AU2233" s="270"/>
      <c r="AV2233" s="270"/>
      <c r="AW2233" s="270"/>
      <c r="AX2233" s="270"/>
      <c r="AY2233" s="270"/>
      <c r="AZ2233" s="270"/>
      <c r="BA2233" s="270" t="str">
        <f>IF(Table1[[#This Row],[Data de Início]]="","",YEAR(Table1[[#This Row],[Data de Início]]))</f>
        <v/>
      </c>
      <c r="BB2233" s="270" t="str">
        <f>IF(Table1[[#This Row],[Data de Início]]="","",MONTH(Table1[[#This Row],[Data de Início]]))</f>
        <v/>
      </c>
      <c r="BC2233" s="483"/>
    </row>
    <row r="2234" spans="2:55" x14ac:dyDescent="0.25">
      <c r="B2234" s="470"/>
      <c r="C2234" s="263"/>
      <c r="D2234" s="477" cm="1">
        <f t="array" ref="D2234">IFERROR(HorasUteisFabrica2Turnos(B2234,C2234), "")</f>
        <v>0</v>
      </c>
      <c r="E2234" s="478" t="str">
        <f t="shared" si="35"/>
        <v/>
      </c>
      <c r="F2234" s="266"/>
      <c r="G2234" s="656"/>
      <c r="H2234" s="479"/>
      <c r="I2234" s="268"/>
      <c r="J2234" s="268"/>
      <c r="K2234" s="268"/>
      <c r="L2234" s="269"/>
      <c r="M2234" s="511" t="str">
        <f>IFERROR(INDEX([1]Produtos!$C:$C,MATCH(L2234,[1]Produtos!$B:$B,0)), "-")</f>
        <v>-</v>
      </c>
      <c r="N2234" s="511" t="str">
        <f>IFERROR(INDEX([1]Produtos!$E:$E,MATCH(L2234,[1]Produtos!$B:$B,0)), "-")</f>
        <v>-</v>
      </c>
      <c r="O2234" s="483" t="str">
        <f>IFERROR(INDEX([1]Produtos!$F:$F,MATCH(L2234,[1]Produtos!$B:$B,0)), "-")</f>
        <v>-</v>
      </c>
      <c r="P2234" s="477" t="str">
        <f>IFERROR(INDEX([1]Produtos!$G:$G,MATCH(L2234,[1]Produtos!$B:$B,0)), "-")</f>
        <v>-</v>
      </c>
      <c r="Q2234" s="483" t="str">
        <f>IFERROR(INDEX([1]Produtos!$H:$H,MATCH(L2234,[1]Produtos!$B:$B,0)), "-")</f>
        <v>-</v>
      </c>
      <c r="R2234" s="483" t="str">
        <f>IFERROR(INDEX([1]Produtos!$I:$I,MATCH(L2234,[1]Produtos!$B:$B,0)), "-")</f>
        <v>-</v>
      </c>
      <c r="S2234" s="483" t="str">
        <f>IFERROR(INDEX([1]Produtos!$J:$J,MATCH(L2234,[1]Produtos!$B:$B,0)), "-")</f>
        <v>-</v>
      </c>
      <c r="T2234" s="484"/>
      <c r="U2234" s="483"/>
      <c r="V2234" s="483"/>
      <c r="W2234" s="483"/>
      <c r="X2234" s="483"/>
      <c r="Y2234" s="483"/>
      <c r="Z2234" s="483"/>
      <c r="AA2234" s="483"/>
      <c r="AB2234" s="483"/>
      <c r="AC2234" s="483"/>
      <c r="AD2234" s="483"/>
      <c r="AE2234" s="483"/>
      <c r="AF2234" s="483"/>
      <c r="AG2234" s="483"/>
      <c r="AH2234" s="483"/>
      <c r="AI2234" s="483"/>
      <c r="AJ2234" s="483"/>
      <c r="AK2234" s="483"/>
      <c r="AL2234" s="483"/>
      <c r="AM2234" s="670"/>
      <c r="AN2234" s="670"/>
      <c r="AO2234" s="711" t="str">
        <f>IF(OR(Table1[[#This Row],[Início Setup Envase]]="",Table1[[#This Row],[Final Setup Envase]]=""),"",Table1[[#This Row],[Final Setup Envase]]-Table1[[#This Row],[Início Setup Envase]])</f>
        <v/>
      </c>
      <c r="AP2234" s="670"/>
      <c r="AQ2234" s="670"/>
      <c r="AR2234" s="483"/>
      <c r="AS2234" s="483"/>
      <c r="AT2234" s="483"/>
      <c r="AU2234" s="483"/>
      <c r="AV2234" s="483"/>
      <c r="AW2234" s="483"/>
      <c r="AX2234" s="483"/>
      <c r="AY2234" s="270"/>
      <c r="AZ2234" s="270"/>
      <c r="BA2234" s="270" t="str">
        <f>IF(Table1[[#This Row],[Data de Início]]="","",YEAR(Table1[[#This Row],[Data de Início]]))</f>
        <v/>
      </c>
      <c r="BB2234" s="270" t="str">
        <f>IF(Table1[[#This Row],[Data de Início]]="","",MONTH(Table1[[#This Row],[Data de Início]]))</f>
        <v/>
      </c>
      <c r="BC2234" s="270"/>
    </row>
    <row r="2235" spans="2:55" x14ac:dyDescent="0.25">
      <c r="B2235" s="470"/>
      <c r="C2235" s="263"/>
      <c r="D2235" s="477" cm="1">
        <f t="array" ref="D2235">IFERROR(HorasUteisFabrica2Turnos(B2235,C2235), "")</f>
        <v>0</v>
      </c>
      <c r="E2235" s="697" t="str">
        <f t="shared" si="35"/>
        <v/>
      </c>
      <c r="F2235" s="266"/>
      <c r="G2235" s="698"/>
      <c r="H2235" s="266"/>
      <c r="I2235" s="268"/>
      <c r="J2235" s="268"/>
      <c r="K2235" s="268"/>
      <c r="L2235" s="269"/>
      <c r="M2235" s="510" t="str">
        <f>IFERROR(INDEX([1]Produtos!$C:$C,MATCH(L2235,[1]Produtos!$B:$B,0)), "-")</f>
        <v>-</v>
      </c>
      <c r="N2235" s="510" t="str">
        <f>IFERROR(INDEX([1]Produtos!$E:$E,MATCH(L2235,[1]Produtos!$B:$B,0)), "-")</f>
        <v>-</v>
      </c>
      <c r="O2235" s="270" t="str">
        <f>IFERROR(INDEX([1]Produtos!$F:$F,MATCH(L2235,[1]Produtos!$B:$B,0)), "-")</f>
        <v>-</v>
      </c>
      <c r="P2235" s="264" t="str">
        <f>IFERROR(INDEX([1]Produtos!$G:$G,MATCH(L2235,[1]Produtos!$B:$B,0)), "-")</f>
        <v>-</v>
      </c>
      <c r="Q2235" s="270" t="str">
        <f>IFERROR(INDEX([1]Produtos!$H:$H,MATCH(L2235,[1]Produtos!$B:$B,0)), "-")</f>
        <v>-</v>
      </c>
      <c r="R2235" s="270" t="str">
        <f>IFERROR(INDEX([1]Produtos!$I:$I,MATCH(L2235,[1]Produtos!$B:$B,0)), "-")</f>
        <v>-</v>
      </c>
      <c r="S2235" s="270" t="str">
        <f>IFERROR(INDEX([1]Produtos!$J:$J,MATCH(L2235,[1]Produtos!$B:$B,0)), "-")</f>
        <v>-</v>
      </c>
      <c r="T2235" s="475"/>
      <c r="U2235" s="270"/>
      <c r="V2235" s="270"/>
      <c r="W2235" s="270"/>
      <c r="X2235" s="270"/>
      <c r="Y2235" s="270"/>
      <c r="Z2235" s="270"/>
      <c r="AA2235" s="270"/>
      <c r="AB2235" s="270"/>
      <c r="AC2235" s="270"/>
      <c r="AD2235" s="270"/>
      <c r="AE2235" s="270"/>
      <c r="AF2235" s="270"/>
      <c r="AG2235" s="270"/>
      <c r="AH2235" s="270"/>
      <c r="AI2235" s="270"/>
      <c r="AJ2235" s="270"/>
      <c r="AK2235" s="270"/>
      <c r="AL2235" s="270"/>
      <c r="AM2235" s="663"/>
      <c r="AN2235" s="663"/>
      <c r="AO2235" s="708" t="str">
        <f>IF(OR(Table1[[#This Row],[Início Setup Envase]]="",Table1[[#This Row],[Final Setup Envase]]=""),"",Table1[[#This Row],[Final Setup Envase]]-Table1[[#This Row],[Início Setup Envase]])</f>
        <v/>
      </c>
      <c r="AP2235" s="663"/>
      <c r="AQ2235" s="663"/>
      <c r="AR2235" s="270"/>
      <c r="AS2235" s="674"/>
      <c r="AT2235" s="674"/>
      <c r="AU2235" s="270"/>
      <c r="AV2235" s="270"/>
      <c r="AW2235" s="270"/>
      <c r="AX2235" s="270"/>
      <c r="AY2235" s="270"/>
      <c r="AZ2235" s="270"/>
      <c r="BA2235" s="270" t="str">
        <f>IF(Table1[[#This Row],[Data de Início]]="","",YEAR(Table1[[#This Row],[Data de Início]]))</f>
        <v/>
      </c>
      <c r="BB2235" s="270" t="str">
        <f>IF(Table1[[#This Row],[Data de Início]]="","",MONTH(Table1[[#This Row],[Data de Início]]))</f>
        <v/>
      </c>
      <c r="BC2235" s="483"/>
    </row>
    <row r="2236" spans="2:55" x14ac:dyDescent="0.25">
      <c r="B2236" s="470"/>
      <c r="C2236" s="263"/>
      <c r="D2236" s="477" cm="1">
        <f t="array" ref="D2236">IFERROR(HorasUteisFabrica2Turnos(B2236,C2236), "")</f>
        <v>0</v>
      </c>
      <c r="E2236" s="478" t="str">
        <f t="shared" si="35"/>
        <v/>
      </c>
      <c r="F2236" s="266"/>
      <c r="G2236" s="656"/>
      <c r="H2236" s="479"/>
      <c r="I2236" s="268"/>
      <c r="J2236" s="268"/>
      <c r="K2236" s="268"/>
      <c r="L2236" s="269"/>
      <c r="M2236" s="511" t="str">
        <f>IFERROR(INDEX([1]Produtos!$C:$C,MATCH(L2236,[1]Produtos!$B:$B,0)), "-")</f>
        <v>-</v>
      </c>
      <c r="N2236" s="511" t="str">
        <f>IFERROR(INDEX([1]Produtos!$E:$E,MATCH(L2236,[1]Produtos!$B:$B,0)), "-")</f>
        <v>-</v>
      </c>
      <c r="O2236" s="483" t="str">
        <f>IFERROR(INDEX([1]Produtos!$F:$F,MATCH(L2236,[1]Produtos!$B:$B,0)), "-")</f>
        <v>-</v>
      </c>
      <c r="P2236" s="477" t="str">
        <f>IFERROR(INDEX([1]Produtos!$G:$G,MATCH(L2236,[1]Produtos!$B:$B,0)), "-")</f>
        <v>-</v>
      </c>
      <c r="Q2236" s="483" t="str">
        <f>IFERROR(INDEX([1]Produtos!$H:$H,MATCH(L2236,[1]Produtos!$B:$B,0)), "-")</f>
        <v>-</v>
      </c>
      <c r="R2236" s="483" t="str">
        <f>IFERROR(INDEX([1]Produtos!$I:$I,MATCH(L2236,[1]Produtos!$B:$B,0)), "-")</f>
        <v>-</v>
      </c>
      <c r="S2236" s="483" t="str">
        <f>IFERROR(INDEX([1]Produtos!$J:$J,MATCH(L2236,[1]Produtos!$B:$B,0)), "-")</f>
        <v>-</v>
      </c>
      <c r="T2236" s="484"/>
      <c r="U2236" s="483"/>
      <c r="V2236" s="483"/>
      <c r="W2236" s="483"/>
      <c r="X2236" s="483"/>
      <c r="Y2236" s="483"/>
      <c r="Z2236" s="483"/>
      <c r="AA2236" s="483"/>
      <c r="AB2236" s="483"/>
      <c r="AC2236" s="483"/>
      <c r="AD2236" s="483"/>
      <c r="AE2236" s="483"/>
      <c r="AF2236" s="483"/>
      <c r="AG2236" s="483"/>
      <c r="AH2236" s="483"/>
      <c r="AI2236" s="483"/>
      <c r="AJ2236" s="483"/>
      <c r="AK2236" s="483"/>
      <c r="AL2236" s="483"/>
      <c r="AM2236" s="670"/>
      <c r="AN2236" s="670"/>
      <c r="AO2236" s="711" t="str">
        <f>IF(OR(Table1[[#This Row],[Início Setup Envase]]="",Table1[[#This Row],[Final Setup Envase]]=""),"",Table1[[#This Row],[Final Setup Envase]]-Table1[[#This Row],[Início Setup Envase]])</f>
        <v/>
      </c>
      <c r="AP2236" s="670"/>
      <c r="AQ2236" s="670"/>
      <c r="AR2236" s="483"/>
      <c r="AS2236" s="483"/>
      <c r="AT2236" s="483"/>
      <c r="AU2236" s="483"/>
      <c r="AV2236" s="483"/>
      <c r="AW2236" s="483"/>
      <c r="AX2236" s="483"/>
      <c r="AY2236" s="270"/>
      <c r="AZ2236" s="270"/>
      <c r="BA2236" s="270" t="str">
        <f>IF(Table1[[#This Row],[Data de Início]]="","",YEAR(Table1[[#This Row],[Data de Início]]))</f>
        <v/>
      </c>
      <c r="BB2236" s="270" t="str">
        <f>IF(Table1[[#This Row],[Data de Início]]="","",MONTH(Table1[[#This Row],[Data de Início]]))</f>
        <v/>
      </c>
      <c r="BC2236" s="270"/>
    </row>
    <row r="2237" spans="2:55" x14ac:dyDescent="0.25">
      <c r="B2237" s="470"/>
      <c r="C2237" s="263"/>
      <c r="D2237" s="477" cm="1">
        <f t="array" ref="D2237">IFERROR(HorasUteisFabrica2Turnos(B2237,C2237), "")</f>
        <v>0</v>
      </c>
      <c r="E2237" s="697" t="str">
        <f t="shared" si="35"/>
        <v/>
      </c>
      <c r="F2237" s="266"/>
      <c r="G2237" s="698"/>
      <c r="H2237" s="266"/>
      <c r="I2237" s="268"/>
      <c r="J2237" s="268"/>
      <c r="K2237" s="268"/>
      <c r="L2237" s="269"/>
      <c r="M2237" s="510" t="str">
        <f>IFERROR(INDEX([1]Produtos!$C:$C,MATCH(L2237,[1]Produtos!$B:$B,0)), "-")</f>
        <v>-</v>
      </c>
      <c r="N2237" s="510" t="str">
        <f>IFERROR(INDEX([1]Produtos!$E:$E,MATCH(L2237,[1]Produtos!$B:$B,0)), "-")</f>
        <v>-</v>
      </c>
      <c r="O2237" s="270" t="str">
        <f>IFERROR(INDEX([1]Produtos!$F:$F,MATCH(L2237,[1]Produtos!$B:$B,0)), "-")</f>
        <v>-</v>
      </c>
      <c r="P2237" s="264" t="str">
        <f>IFERROR(INDEX([1]Produtos!$G:$G,MATCH(L2237,[1]Produtos!$B:$B,0)), "-")</f>
        <v>-</v>
      </c>
      <c r="Q2237" s="270" t="str">
        <f>IFERROR(INDEX([1]Produtos!$H:$H,MATCH(L2237,[1]Produtos!$B:$B,0)), "-")</f>
        <v>-</v>
      </c>
      <c r="R2237" s="270" t="str">
        <f>IFERROR(INDEX([1]Produtos!$I:$I,MATCH(L2237,[1]Produtos!$B:$B,0)), "-")</f>
        <v>-</v>
      </c>
      <c r="S2237" s="270" t="str">
        <f>IFERROR(INDEX([1]Produtos!$J:$J,MATCH(L2237,[1]Produtos!$B:$B,0)), "-")</f>
        <v>-</v>
      </c>
      <c r="T2237" s="475"/>
      <c r="U2237" s="270"/>
      <c r="V2237" s="270"/>
      <c r="W2237" s="270"/>
      <c r="X2237" s="270"/>
      <c r="Y2237" s="270"/>
      <c r="Z2237" s="270"/>
      <c r="AA2237" s="270"/>
      <c r="AB2237" s="270"/>
      <c r="AC2237" s="270"/>
      <c r="AD2237" s="270"/>
      <c r="AE2237" s="270"/>
      <c r="AF2237" s="270"/>
      <c r="AG2237" s="270"/>
      <c r="AH2237" s="270"/>
      <c r="AI2237" s="270"/>
      <c r="AJ2237" s="270"/>
      <c r="AK2237" s="270"/>
      <c r="AL2237" s="270"/>
      <c r="AM2237" s="663"/>
      <c r="AN2237" s="663"/>
      <c r="AO2237" s="708" t="str">
        <f>IF(OR(Table1[[#This Row],[Início Setup Envase]]="",Table1[[#This Row],[Final Setup Envase]]=""),"",Table1[[#This Row],[Final Setup Envase]]-Table1[[#This Row],[Início Setup Envase]])</f>
        <v/>
      </c>
      <c r="AP2237" s="663"/>
      <c r="AQ2237" s="663"/>
      <c r="AR2237" s="270"/>
      <c r="AS2237" s="674"/>
      <c r="AT2237" s="674"/>
      <c r="AU2237" s="270"/>
      <c r="AV2237" s="270"/>
      <c r="AW2237" s="270"/>
      <c r="AX2237" s="270"/>
      <c r="AY2237" s="270"/>
      <c r="AZ2237" s="270"/>
      <c r="BA2237" s="270" t="str">
        <f>IF(Table1[[#This Row],[Data de Início]]="","",YEAR(Table1[[#This Row],[Data de Início]]))</f>
        <v/>
      </c>
      <c r="BB2237" s="270" t="str">
        <f>IF(Table1[[#This Row],[Data de Início]]="","",MONTH(Table1[[#This Row],[Data de Início]]))</f>
        <v/>
      </c>
      <c r="BC2237" s="483"/>
    </row>
    <row r="2238" spans="2:55" x14ac:dyDescent="0.25">
      <c r="B2238" s="470"/>
      <c r="C2238" s="263"/>
      <c r="D2238" s="477" cm="1">
        <f t="array" ref="D2238">IFERROR(HorasUteisFabrica2Turnos(B2238,C2238), "")</f>
        <v>0</v>
      </c>
      <c r="E2238" s="478" t="str">
        <f t="shared" si="35"/>
        <v/>
      </c>
      <c r="F2238" s="266"/>
      <c r="G2238" s="656"/>
      <c r="H2238" s="479"/>
      <c r="I2238" s="268"/>
      <c r="J2238" s="268"/>
      <c r="K2238" s="268"/>
      <c r="L2238" s="269"/>
      <c r="M2238" s="511" t="str">
        <f>IFERROR(INDEX([1]Produtos!$C:$C,MATCH(L2238,[1]Produtos!$B:$B,0)), "-")</f>
        <v>-</v>
      </c>
      <c r="N2238" s="511" t="str">
        <f>IFERROR(INDEX([1]Produtos!$E:$E,MATCH(L2238,[1]Produtos!$B:$B,0)), "-")</f>
        <v>-</v>
      </c>
      <c r="O2238" s="483" t="str">
        <f>IFERROR(INDEX([1]Produtos!$F:$F,MATCH(L2238,[1]Produtos!$B:$B,0)), "-")</f>
        <v>-</v>
      </c>
      <c r="P2238" s="477" t="str">
        <f>IFERROR(INDEX([1]Produtos!$G:$G,MATCH(L2238,[1]Produtos!$B:$B,0)), "-")</f>
        <v>-</v>
      </c>
      <c r="Q2238" s="483" t="str">
        <f>IFERROR(INDEX([1]Produtos!$H:$H,MATCH(L2238,[1]Produtos!$B:$B,0)), "-")</f>
        <v>-</v>
      </c>
      <c r="R2238" s="483" t="str">
        <f>IFERROR(INDEX([1]Produtos!$I:$I,MATCH(L2238,[1]Produtos!$B:$B,0)), "-")</f>
        <v>-</v>
      </c>
      <c r="S2238" s="483" t="str">
        <f>IFERROR(INDEX([1]Produtos!$J:$J,MATCH(L2238,[1]Produtos!$B:$B,0)), "-")</f>
        <v>-</v>
      </c>
      <c r="T2238" s="484"/>
      <c r="U2238" s="483"/>
      <c r="V2238" s="483"/>
      <c r="W2238" s="483"/>
      <c r="X2238" s="483"/>
      <c r="Y2238" s="483"/>
      <c r="Z2238" s="483"/>
      <c r="AA2238" s="483"/>
      <c r="AB2238" s="483"/>
      <c r="AC2238" s="483"/>
      <c r="AD2238" s="483"/>
      <c r="AE2238" s="483"/>
      <c r="AF2238" s="483"/>
      <c r="AG2238" s="483"/>
      <c r="AH2238" s="483"/>
      <c r="AI2238" s="483"/>
      <c r="AJ2238" s="483"/>
      <c r="AK2238" s="483"/>
      <c r="AL2238" s="483"/>
      <c r="AM2238" s="670"/>
      <c r="AN2238" s="670"/>
      <c r="AO2238" s="711" t="str">
        <f>IF(OR(Table1[[#This Row],[Início Setup Envase]]="",Table1[[#This Row],[Final Setup Envase]]=""),"",Table1[[#This Row],[Final Setup Envase]]-Table1[[#This Row],[Início Setup Envase]])</f>
        <v/>
      </c>
      <c r="AP2238" s="670"/>
      <c r="AQ2238" s="670"/>
      <c r="AR2238" s="483"/>
      <c r="AS2238" s="483"/>
      <c r="AT2238" s="483"/>
      <c r="AU2238" s="483"/>
      <c r="AV2238" s="483"/>
      <c r="AW2238" s="483"/>
      <c r="AX2238" s="483"/>
      <c r="AY2238" s="270"/>
      <c r="AZ2238" s="270"/>
      <c r="BA2238" s="270" t="str">
        <f>IF(Table1[[#This Row],[Data de Início]]="","",YEAR(Table1[[#This Row],[Data de Início]]))</f>
        <v/>
      </c>
      <c r="BB2238" s="270" t="str">
        <f>IF(Table1[[#This Row],[Data de Início]]="","",MONTH(Table1[[#This Row],[Data de Início]]))</f>
        <v/>
      </c>
      <c r="BC2238" s="270"/>
    </row>
    <row r="2239" spans="2:55" x14ac:dyDescent="0.25">
      <c r="B2239" s="470"/>
      <c r="C2239" s="263"/>
      <c r="D2239" s="477" cm="1">
        <f t="array" ref="D2239">IFERROR(HorasUteisFabrica2Turnos(B2239,C2239), "")</f>
        <v>0</v>
      </c>
      <c r="E2239" s="697" t="str">
        <f t="shared" si="35"/>
        <v/>
      </c>
      <c r="F2239" s="266"/>
      <c r="G2239" s="698"/>
      <c r="H2239" s="266"/>
      <c r="I2239" s="268"/>
      <c r="J2239" s="268"/>
      <c r="K2239" s="268"/>
      <c r="L2239" s="269"/>
      <c r="M2239" s="510" t="str">
        <f>IFERROR(INDEX([1]Produtos!$C:$C,MATCH(L2239,[1]Produtos!$B:$B,0)), "-")</f>
        <v>-</v>
      </c>
      <c r="N2239" s="510" t="str">
        <f>IFERROR(INDEX([1]Produtos!$E:$E,MATCH(L2239,[1]Produtos!$B:$B,0)), "-")</f>
        <v>-</v>
      </c>
      <c r="O2239" s="270" t="str">
        <f>IFERROR(INDEX([1]Produtos!$F:$F,MATCH(L2239,[1]Produtos!$B:$B,0)), "-")</f>
        <v>-</v>
      </c>
      <c r="P2239" s="264" t="str">
        <f>IFERROR(INDEX([1]Produtos!$G:$G,MATCH(L2239,[1]Produtos!$B:$B,0)), "-")</f>
        <v>-</v>
      </c>
      <c r="Q2239" s="270" t="str">
        <f>IFERROR(INDEX([1]Produtos!$H:$H,MATCH(L2239,[1]Produtos!$B:$B,0)), "-")</f>
        <v>-</v>
      </c>
      <c r="R2239" s="270" t="str">
        <f>IFERROR(INDEX([1]Produtos!$I:$I,MATCH(L2239,[1]Produtos!$B:$B,0)), "-")</f>
        <v>-</v>
      </c>
      <c r="S2239" s="270" t="str">
        <f>IFERROR(INDEX([1]Produtos!$J:$J,MATCH(L2239,[1]Produtos!$B:$B,0)), "-")</f>
        <v>-</v>
      </c>
      <c r="T2239" s="475"/>
      <c r="U2239" s="270"/>
      <c r="V2239" s="270"/>
      <c r="W2239" s="270"/>
      <c r="X2239" s="270"/>
      <c r="Y2239" s="270"/>
      <c r="Z2239" s="270"/>
      <c r="AA2239" s="270"/>
      <c r="AB2239" s="270"/>
      <c r="AC2239" s="270"/>
      <c r="AD2239" s="270"/>
      <c r="AE2239" s="270"/>
      <c r="AF2239" s="270"/>
      <c r="AG2239" s="270"/>
      <c r="AH2239" s="270"/>
      <c r="AI2239" s="270"/>
      <c r="AJ2239" s="270"/>
      <c r="AK2239" s="270"/>
      <c r="AL2239" s="270"/>
      <c r="AM2239" s="663"/>
      <c r="AN2239" s="663"/>
      <c r="AO2239" s="708" t="str">
        <f>IF(OR(Table1[[#This Row],[Início Setup Envase]]="",Table1[[#This Row],[Final Setup Envase]]=""),"",Table1[[#This Row],[Final Setup Envase]]-Table1[[#This Row],[Início Setup Envase]])</f>
        <v/>
      </c>
      <c r="AP2239" s="663"/>
      <c r="AQ2239" s="663"/>
      <c r="AR2239" s="270"/>
      <c r="AS2239" s="674"/>
      <c r="AT2239" s="674"/>
      <c r="AU2239" s="270"/>
      <c r="AV2239" s="270"/>
      <c r="AW2239" s="270"/>
      <c r="AX2239" s="270"/>
      <c r="AY2239" s="270"/>
      <c r="AZ2239" s="270"/>
      <c r="BA2239" s="270" t="str">
        <f>IF(Table1[[#This Row],[Data de Início]]="","",YEAR(Table1[[#This Row],[Data de Início]]))</f>
        <v/>
      </c>
      <c r="BB2239" s="270" t="str">
        <f>IF(Table1[[#This Row],[Data de Início]]="","",MONTH(Table1[[#This Row],[Data de Início]]))</f>
        <v/>
      </c>
      <c r="BC2239" s="483"/>
    </row>
    <row r="2240" spans="2:55" x14ac:dyDescent="0.25">
      <c r="B2240" s="470"/>
      <c r="C2240" s="263"/>
      <c r="D2240" s="477" cm="1">
        <f t="array" ref="D2240">IFERROR(HorasUteisFabrica2Turnos(B2240,C2240), "")</f>
        <v>0</v>
      </c>
      <c r="E2240" s="478" t="str">
        <f t="shared" si="35"/>
        <v/>
      </c>
      <c r="F2240" s="266"/>
      <c r="G2240" s="656"/>
      <c r="H2240" s="479"/>
      <c r="I2240" s="268"/>
      <c r="J2240" s="268"/>
      <c r="K2240" s="268"/>
      <c r="L2240" s="269"/>
      <c r="M2240" s="511" t="str">
        <f>IFERROR(INDEX([1]Produtos!$C:$C,MATCH(L2240,[1]Produtos!$B:$B,0)), "-")</f>
        <v>-</v>
      </c>
      <c r="N2240" s="511" t="str">
        <f>IFERROR(INDEX([1]Produtos!$E:$E,MATCH(L2240,[1]Produtos!$B:$B,0)), "-")</f>
        <v>-</v>
      </c>
      <c r="O2240" s="483" t="str">
        <f>IFERROR(INDEX([1]Produtos!$F:$F,MATCH(L2240,[1]Produtos!$B:$B,0)), "-")</f>
        <v>-</v>
      </c>
      <c r="P2240" s="477" t="str">
        <f>IFERROR(INDEX([1]Produtos!$G:$G,MATCH(L2240,[1]Produtos!$B:$B,0)), "-")</f>
        <v>-</v>
      </c>
      <c r="Q2240" s="483" t="str">
        <f>IFERROR(INDEX([1]Produtos!$H:$H,MATCH(L2240,[1]Produtos!$B:$B,0)), "-")</f>
        <v>-</v>
      </c>
      <c r="R2240" s="483" t="str">
        <f>IFERROR(INDEX([1]Produtos!$I:$I,MATCH(L2240,[1]Produtos!$B:$B,0)), "-")</f>
        <v>-</v>
      </c>
      <c r="S2240" s="483" t="str">
        <f>IFERROR(INDEX([1]Produtos!$J:$J,MATCH(L2240,[1]Produtos!$B:$B,0)), "-")</f>
        <v>-</v>
      </c>
      <c r="T2240" s="484"/>
      <c r="U2240" s="483"/>
      <c r="V2240" s="483"/>
      <c r="W2240" s="483"/>
      <c r="X2240" s="483"/>
      <c r="Y2240" s="483"/>
      <c r="Z2240" s="483"/>
      <c r="AA2240" s="483"/>
      <c r="AB2240" s="483"/>
      <c r="AC2240" s="483"/>
      <c r="AD2240" s="483"/>
      <c r="AE2240" s="483"/>
      <c r="AF2240" s="483"/>
      <c r="AG2240" s="483"/>
      <c r="AH2240" s="483"/>
      <c r="AI2240" s="483"/>
      <c r="AJ2240" s="483"/>
      <c r="AK2240" s="483"/>
      <c r="AL2240" s="483"/>
      <c r="AM2240" s="670"/>
      <c r="AN2240" s="670"/>
      <c r="AO2240" s="711" t="str">
        <f>IF(OR(Table1[[#This Row],[Início Setup Envase]]="",Table1[[#This Row],[Final Setup Envase]]=""),"",Table1[[#This Row],[Final Setup Envase]]-Table1[[#This Row],[Início Setup Envase]])</f>
        <v/>
      </c>
      <c r="AP2240" s="670"/>
      <c r="AQ2240" s="670"/>
      <c r="AR2240" s="483"/>
      <c r="AS2240" s="483"/>
      <c r="AT2240" s="483"/>
      <c r="AU2240" s="483"/>
      <c r="AV2240" s="483"/>
      <c r="AW2240" s="483"/>
      <c r="AX2240" s="483"/>
      <c r="AY2240" s="270"/>
      <c r="AZ2240" s="270"/>
      <c r="BA2240" s="270" t="str">
        <f>IF(Table1[[#This Row],[Data de Início]]="","",YEAR(Table1[[#This Row],[Data de Início]]))</f>
        <v/>
      </c>
      <c r="BB2240" s="270" t="str">
        <f>IF(Table1[[#This Row],[Data de Início]]="","",MONTH(Table1[[#This Row],[Data de Início]]))</f>
        <v/>
      </c>
      <c r="BC2240" s="270"/>
    </row>
    <row r="2241" spans="2:55" x14ac:dyDescent="0.25">
      <c r="B2241" s="470"/>
      <c r="C2241" s="263"/>
      <c r="D2241" s="477" cm="1">
        <f t="array" ref="D2241">IFERROR(HorasUteisFabrica2Turnos(B2241,C2241), "")</f>
        <v>0</v>
      </c>
      <c r="E2241" s="697" t="str">
        <f t="shared" si="35"/>
        <v/>
      </c>
      <c r="F2241" s="266"/>
      <c r="G2241" s="698"/>
      <c r="H2241" s="266"/>
      <c r="I2241" s="268"/>
      <c r="J2241" s="268"/>
      <c r="K2241" s="268"/>
      <c r="L2241" s="269"/>
      <c r="M2241" s="510" t="str">
        <f>IFERROR(INDEX([1]Produtos!$C:$C,MATCH(L2241,[1]Produtos!$B:$B,0)), "-")</f>
        <v>-</v>
      </c>
      <c r="N2241" s="510" t="str">
        <f>IFERROR(INDEX([1]Produtos!$E:$E,MATCH(L2241,[1]Produtos!$B:$B,0)), "-")</f>
        <v>-</v>
      </c>
      <c r="O2241" s="270" t="str">
        <f>IFERROR(INDEX([1]Produtos!$F:$F,MATCH(L2241,[1]Produtos!$B:$B,0)), "-")</f>
        <v>-</v>
      </c>
      <c r="P2241" s="264" t="str">
        <f>IFERROR(INDEX([1]Produtos!$G:$G,MATCH(L2241,[1]Produtos!$B:$B,0)), "-")</f>
        <v>-</v>
      </c>
      <c r="Q2241" s="270" t="str">
        <f>IFERROR(INDEX([1]Produtos!$H:$H,MATCH(L2241,[1]Produtos!$B:$B,0)), "-")</f>
        <v>-</v>
      </c>
      <c r="R2241" s="270" t="str">
        <f>IFERROR(INDEX([1]Produtos!$I:$I,MATCH(L2241,[1]Produtos!$B:$B,0)), "-")</f>
        <v>-</v>
      </c>
      <c r="S2241" s="270" t="str">
        <f>IFERROR(INDEX([1]Produtos!$J:$J,MATCH(L2241,[1]Produtos!$B:$B,0)), "-")</f>
        <v>-</v>
      </c>
      <c r="T2241" s="475"/>
      <c r="U2241" s="270"/>
      <c r="V2241" s="270"/>
      <c r="W2241" s="270"/>
      <c r="X2241" s="270"/>
      <c r="Y2241" s="270"/>
      <c r="Z2241" s="270"/>
      <c r="AA2241" s="270"/>
      <c r="AB2241" s="270"/>
      <c r="AC2241" s="270"/>
      <c r="AD2241" s="270"/>
      <c r="AE2241" s="270"/>
      <c r="AF2241" s="270"/>
      <c r="AG2241" s="270"/>
      <c r="AH2241" s="270"/>
      <c r="AI2241" s="270"/>
      <c r="AJ2241" s="270"/>
      <c r="AK2241" s="270"/>
      <c r="AL2241" s="270"/>
      <c r="AM2241" s="663"/>
      <c r="AN2241" s="663"/>
      <c r="AO2241" s="708" t="str">
        <f>IF(OR(Table1[[#This Row],[Início Setup Envase]]="",Table1[[#This Row],[Final Setup Envase]]=""),"",Table1[[#This Row],[Final Setup Envase]]-Table1[[#This Row],[Início Setup Envase]])</f>
        <v/>
      </c>
      <c r="AP2241" s="663"/>
      <c r="AQ2241" s="663"/>
      <c r="AR2241" s="270"/>
      <c r="AS2241" s="674"/>
      <c r="AT2241" s="674"/>
      <c r="AU2241" s="270"/>
      <c r="AV2241" s="270"/>
      <c r="AW2241" s="270"/>
      <c r="AX2241" s="270"/>
      <c r="AY2241" s="270"/>
      <c r="AZ2241" s="270"/>
      <c r="BA2241" s="270" t="str">
        <f>IF(Table1[[#This Row],[Data de Início]]="","",YEAR(Table1[[#This Row],[Data de Início]]))</f>
        <v/>
      </c>
      <c r="BB2241" s="270" t="str">
        <f>IF(Table1[[#This Row],[Data de Início]]="","",MONTH(Table1[[#This Row],[Data de Início]]))</f>
        <v/>
      </c>
      <c r="BC2241" s="483"/>
    </row>
    <row r="2242" spans="2:55" x14ac:dyDescent="0.25">
      <c r="B2242" s="470"/>
      <c r="C2242" s="263"/>
      <c r="D2242" s="477" cm="1">
        <f t="array" ref="D2242">IFERROR(HorasUteisFabrica2Turnos(B2242,C2242), "")</f>
        <v>0</v>
      </c>
      <c r="E2242" s="478" t="str">
        <f t="shared" si="35"/>
        <v/>
      </c>
      <c r="F2242" s="266"/>
      <c r="G2242" s="656"/>
      <c r="H2242" s="479"/>
      <c r="I2242" s="268"/>
      <c r="J2242" s="268"/>
      <c r="K2242" s="268"/>
      <c r="L2242" s="269"/>
      <c r="M2242" s="511" t="str">
        <f>IFERROR(INDEX([1]Produtos!$C:$C,MATCH(L2242,[1]Produtos!$B:$B,0)), "-")</f>
        <v>-</v>
      </c>
      <c r="N2242" s="511" t="str">
        <f>IFERROR(INDEX([1]Produtos!$E:$E,MATCH(L2242,[1]Produtos!$B:$B,0)), "-")</f>
        <v>-</v>
      </c>
      <c r="O2242" s="483" t="str">
        <f>IFERROR(INDEX([1]Produtos!$F:$F,MATCH(L2242,[1]Produtos!$B:$B,0)), "-")</f>
        <v>-</v>
      </c>
      <c r="P2242" s="477" t="str">
        <f>IFERROR(INDEX([1]Produtos!$G:$G,MATCH(L2242,[1]Produtos!$B:$B,0)), "-")</f>
        <v>-</v>
      </c>
      <c r="Q2242" s="483" t="str">
        <f>IFERROR(INDEX([1]Produtos!$H:$H,MATCH(L2242,[1]Produtos!$B:$B,0)), "-")</f>
        <v>-</v>
      </c>
      <c r="R2242" s="483" t="str">
        <f>IFERROR(INDEX([1]Produtos!$I:$I,MATCH(L2242,[1]Produtos!$B:$B,0)), "-")</f>
        <v>-</v>
      </c>
      <c r="S2242" s="483" t="str">
        <f>IFERROR(INDEX([1]Produtos!$J:$J,MATCH(L2242,[1]Produtos!$B:$B,0)), "-")</f>
        <v>-</v>
      </c>
      <c r="T2242" s="484"/>
      <c r="U2242" s="483"/>
      <c r="V2242" s="483"/>
      <c r="W2242" s="483"/>
      <c r="X2242" s="483"/>
      <c r="Y2242" s="483"/>
      <c r="Z2242" s="483"/>
      <c r="AA2242" s="483"/>
      <c r="AB2242" s="483"/>
      <c r="AC2242" s="483"/>
      <c r="AD2242" s="483"/>
      <c r="AE2242" s="483"/>
      <c r="AF2242" s="483"/>
      <c r="AG2242" s="483"/>
      <c r="AH2242" s="483"/>
      <c r="AI2242" s="483"/>
      <c r="AJ2242" s="483"/>
      <c r="AK2242" s="483"/>
      <c r="AL2242" s="483"/>
      <c r="AM2242" s="670"/>
      <c r="AN2242" s="670"/>
      <c r="AO2242" s="711" t="str">
        <f>IF(OR(Table1[[#This Row],[Início Setup Envase]]="",Table1[[#This Row],[Final Setup Envase]]=""),"",Table1[[#This Row],[Final Setup Envase]]-Table1[[#This Row],[Início Setup Envase]])</f>
        <v/>
      </c>
      <c r="AP2242" s="670"/>
      <c r="AQ2242" s="670"/>
      <c r="AR2242" s="483"/>
      <c r="AS2242" s="483"/>
      <c r="AT2242" s="483"/>
      <c r="AU2242" s="483"/>
      <c r="AV2242" s="483"/>
      <c r="AW2242" s="483"/>
      <c r="AX2242" s="483"/>
      <c r="AY2242" s="270"/>
      <c r="AZ2242" s="270"/>
      <c r="BA2242" s="270" t="str">
        <f>IF(Table1[[#This Row],[Data de Início]]="","",YEAR(Table1[[#This Row],[Data de Início]]))</f>
        <v/>
      </c>
      <c r="BB2242" s="270" t="str">
        <f>IF(Table1[[#This Row],[Data de Início]]="","",MONTH(Table1[[#This Row],[Data de Início]]))</f>
        <v/>
      </c>
      <c r="BC2242" s="270"/>
    </row>
    <row r="2243" spans="2:55" x14ac:dyDescent="0.25">
      <c r="B2243" s="470"/>
      <c r="C2243" s="263"/>
      <c r="D2243" s="477" cm="1">
        <f t="array" ref="D2243">IFERROR(HorasUteisFabrica2Turnos(B2243,C2243), "")</f>
        <v>0</v>
      </c>
      <c r="E2243" s="697" t="str">
        <f t="shared" si="35"/>
        <v/>
      </c>
      <c r="F2243" s="266"/>
      <c r="G2243" s="698"/>
      <c r="H2243" s="266"/>
      <c r="I2243" s="268"/>
      <c r="J2243" s="268"/>
      <c r="K2243" s="268"/>
      <c r="L2243" s="269"/>
      <c r="M2243" s="510" t="str">
        <f>IFERROR(INDEX([1]Produtos!$C:$C,MATCH(L2243,[1]Produtos!$B:$B,0)), "-")</f>
        <v>-</v>
      </c>
      <c r="N2243" s="510" t="str">
        <f>IFERROR(INDEX([1]Produtos!$E:$E,MATCH(L2243,[1]Produtos!$B:$B,0)), "-")</f>
        <v>-</v>
      </c>
      <c r="O2243" s="270" t="str">
        <f>IFERROR(INDEX([1]Produtos!$F:$F,MATCH(L2243,[1]Produtos!$B:$B,0)), "-")</f>
        <v>-</v>
      </c>
      <c r="P2243" s="264" t="str">
        <f>IFERROR(INDEX([1]Produtos!$G:$G,MATCH(L2243,[1]Produtos!$B:$B,0)), "-")</f>
        <v>-</v>
      </c>
      <c r="Q2243" s="270" t="str">
        <f>IFERROR(INDEX([1]Produtos!$H:$H,MATCH(L2243,[1]Produtos!$B:$B,0)), "-")</f>
        <v>-</v>
      </c>
      <c r="R2243" s="270" t="str">
        <f>IFERROR(INDEX([1]Produtos!$I:$I,MATCH(L2243,[1]Produtos!$B:$B,0)), "-")</f>
        <v>-</v>
      </c>
      <c r="S2243" s="270" t="str">
        <f>IFERROR(INDEX([1]Produtos!$J:$J,MATCH(L2243,[1]Produtos!$B:$B,0)), "-")</f>
        <v>-</v>
      </c>
      <c r="T2243" s="475"/>
      <c r="U2243" s="270"/>
      <c r="V2243" s="270"/>
      <c r="W2243" s="270"/>
      <c r="X2243" s="270"/>
      <c r="Y2243" s="270"/>
      <c r="Z2243" s="270"/>
      <c r="AA2243" s="270"/>
      <c r="AB2243" s="270"/>
      <c r="AC2243" s="270"/>
      <c r="AD2243" s="270"/>
      <c r="AE2243" s="270"/>
      <c r="AF2243" s="270"/>
      <c r="AG2243" s="270"/>
      <c r="AH2243" s="270"/>
      <c r="AI2243" s="270"/>
      <c r="AJ2243" s="270"/>
      <c r="AK2243" s="270"/>
      <c r="AL2243" s="270"/>
      <c r="AM2243" s="663"/>
      <c r="AN2243" s="663"/>
      <c r="AO2243" s="708" t="str">
        <f>IF(OR(Table1[[#This Row],[Início Setup Envase]]="",Table1[[#This Row],[Final Setup Envase]]=""),"",Table1[[#This Row],[Final Setup Envase]]-Table1[[#This Row],[Início Setup Envase]])</f>
        <v/>
      </c>
      <c r="AP2243" s="663"/>
      <c r="AQ2243" s="663"/>
      <c r="AR2243" s="270"/>
      <c r="AS2243" s="674"/>
      <c r="AT2243" s="674"/>
      <c r="AU2243" s="270"/>
      <c r="AV2243" s="270"/>
      <c r="AW2243" s="270"/>
      <c r="AX2243" s="270"/>
      <c r="AY2243" s="270"/>
      <c r="AZ2243" s="270"/>
      <c r="BA2243" s="270" t="str">
        <f>IF(Table1[[#This Row],[Data de Início]]="","",YEAR(Table1[[#This Row],[Data de Início]]))</f>
        <v/>
      </c>
      <c r="BB2243" s="270" t="str">
        <f>IF(Table1[[#This Row],[Data de Início]]="","",MONTH(Table1[[#This Row],[Data de Início]]))</f>
        <v/>
      </c>
      <c r="BC2243" s="483"/>
    </row>
    <row r="2244" spans="2:55" x14ac:dyDescent="0.25">
      <c r="B2244" s="470"/>
      <c r="C2244" s="263"/>
      <c r="D2244" s="477" cm="1">
        <f t="array" ref="D2244">IFERROR(HorasUteisFabrica2Turnos(B2244,C2244), "")</f>
        <v>0</v>
      </c>
      <c r="E2244" s="478" t="str">
        <f t="shared" si="35"/>
        <v/>
      </c>
      <c r="F2244" s="266"/>
      <c r="G2244" s="656"/>
      <c r="H2244" s="479"/>
      <c r="I2244" s="268"/>
      <c r="J2244" s="268"/>
      <c r="K2244" s="268"/>
      <c r="L2244" s="269"/>
      <c r="M2244" s="511" t="str">
        <f>IFERROR(INDEX([1]Produtos!$C:$C,MATCH(L2244,[1]Produtos!$B:$B,0)), "-")</f>
        <v>-</v>
      </c>
      <c r="N2244" s="511" t="str">
        <f>IFERROR(INDEX([1]Produtos!$E:$E,MATCH(L2244,[1]Produtos!$B:$B,0)), "-")</f>
        <v>-</v>
      </c>
      <c r="O2244" s="483" t="str">
        <f>IFERROR(INDEX([1]Produtos!$F:$F,MATCH(L2244,[1]Produtos!$B:$B,0)), "-")</f>
        <v>-</v>
      </c>
      <c r="P2244" s="477" t="str">
        <f>IFERROR(INDEX([1]Produtos!$G:$G,MATCH(L2244,[1]Produtos!$B:$B,0)), "-")</f>
        <v>-</v>
      </c>
      <c r="Q2244" s="483" t="str">
        <f>IFERROR(INDEX([1]Produtos!$H:$H,MATCH(L2244,[1]Produtos!$B:$B,0)), "-")</f>
        <v>-</v>
      </c>
      <c r="R2244" s="483" t="str">
        <f>IFERROR(INDEX([1]Produtos!$I:$I,MATCH(L2244,[1]Produtos!$B:$B,0)), "-")</f>
        <v>-</v>
      </c>
      <c r="S2244" s="483" t="str">
        <f>IFERROR(INDEX([1]Produtos!$J:$J,MATCH(L2244,[1]Produtos!$B:$B,0)), "-")</f>
        <v>-</v>
      </c>
      <c r="T2244" s="484"/>
      <c r="U2244" s="483"/>
      <c r="V2244" s="483"/>
      <c r="W2244" s="483"/>
      <c r="X2244" s="483"/>
      <c r="Y2244" s="483"/>
      <c r="Z2244" s="483"/>
      <c r="AA2244" s="483"/>
      <c r="AB2244" s="483"/>
      <c r="AC2244" s="483"/>
      <c r="AD2244" s="483"/>
      <c r="AE2244" s="483"/>
      <c r="AF2244" s="483"/>
      <c r="AG2244" s="483"/>
      <c r="AH2244" s="483"/>
      <c r="AI2244" s="483"/>
      <c r="AJ2244" s="483"/>
      <c r="AK2244" s="483"/>
      <c r="AL2244" s="483"/>
      <c r="AM2244" s="670"/>
      <c r="AN2244" s="670"/>
      <c r="AO2244" s="711" t="str">
        <f>IF(OR(Table1[[#This Row],[Início Setup Envase]]="",Table1[[#This Row],[Final Setup Envase]]=""),"",Table1[[#This Row],[Final Setup Envase]]-Table1[[#This Row],[Início Setup Envase]])</f>
        <v/>
      </c>
      <c r="AP2244" s="670"/>
      <c r="AQ2244" s="670"/>
      <c r="AR2244" s="483"/>
      <c r="AS2244" s="483"/>
      <c r="AT2244" s="483"/>
      <c r="AU2244" s="483"/>
      <c r="AV2244" s="483"/>
      <c r="AW2244" s="483"/>
      <c r="AX2244" s="483"/>
      <c r="AY2244" s="270"/>
      <c r="AZ2244" s="270"/>
      <c r="BA2244" s="270" t="str">
        <f>IF(Table1[[#This Row],[Data de Início]]="","",YEAR(Table1[[#This Row],[Data de Início]]))</f>
        <v/>
      </c>
      <c r="BB2244" s="270" t="str">
        <f>IF(Table1[[#This Row],[Data de Início]]="","",MONTH(Table1[[#This Row],[Data de Início]]))</f>
        <v/>
      </c>
      <c r="BC2244" s="270"/>
    </row>
    <row r="2245" spans="2:55" x14ac:dyDescent="0.25">
      <c r="B2245" s="470"/>
      <c r="C2245" s="263"/>
      <c r="D2245" s="477" cm="1">
        <f t="array" ref="D2245">IFERROR(HorasUteisFabrica2Turnos(B2245,C2245), "")</f>
        <v>0</v>
      </c>
      <c r="E2245" s="697" t="str">
        <f t="shared" si="35"/>
        <v/>
      </c>
      <c r="F2245" s="266"/>
      <c r="G2245" s="698"/>
      <c r="H2245" s="266"/>
      <c r="I2245" s="268"/>
      <c r="J2245" s="268"/>
      <c r="K2245" s="268"/>
      <c r="L2245" s="269"/>
      <c r="M2245" s="510" t="str">
        <f>IFERROR(INDEX([1]Produtos!$C:$C,MATCH(L2245,[1]Produtos!$B:$B,0)), "-")</f>
        <v>-</v>
      </c>
      <c r="N2245" s="510" t="str">
        <f>IFERROR(INDEX([1]Produtos!$E:$E,MATCH(L2245,[1]Produtos!$B:$B,0)), "-")</f>
        <v>-</v>
      </c>
      <c r="O2245" s="270" t="str">
        <f>IFERROR(INDEX([1]Produtos!$F:$F,MATCH(L2245,[1]Produtos!$B:$B,0)), "-")</f>
        <v>-</v>
      </c>
      <c r="P2245" s="264" t="str">
        <f>IFERROR(INDEX([1]Produtos!$G:$G,MATCH(L2245,[1]Produtos!$B:$B,0)), "-")</f>
        <v>-</v>
      </c>
      <c r="Q2245" s="270" t="str">
        <f>IFERROR(INDEX([1]Produtos!$H:$H,MATCH(L2245,[1]Produtos!$B:$B,0)), "-")</f>
        <v>-</v>
      </c>
      <c r="R2245" s="270" t="str">
        <f>IFERROR(INDEX([1]Produtos!$I:$I,MATCH(L2245,[1]Produtos!$B:$B,0)), "-")</f>
        <v>-</v>
      </c>
      <c r="S2245" s="270" t="str">
        <f>IFERROR(INDEX([1]Produtos!$J:$J,MATCH(L2245,[1]Produtos!$B:$B,0)), "-")</f>
        <v>-</v>
      </c>
      <c r="T2245" s="475"/>
      <c r="U2245" s="270"/>
      <c r="V2245" s="270"/>
      <c r="W2245" s="270"/>
      <c r="X2245" s="270"/>
      <c r="Y2245" s="270"/>
      <c r="Z2245" s="270"/>
      <c r="AA2245" s="270"/>
      <c r="AB2245" s="270"/>
      <c r="AC2245" s="270"/>
      <c r="AD2245" s="270"/>
      <c r="AE2245" s="270"/>
      <c r="AF2245" s="270"/>
      <c r="AG2245" s="270"/>
      <c r="AH2245" s="270"/>
      <c r="AI2245" s="270"/>
      <c r="AJ2245" s="270"/>
      <c r="AK2245" s="270"/>
      <c r="AL2245" s="270"/>
      <c r="AM2245" s="663"/>
      <c r="AN2245" s="663"/>
      <c r="AO2245" s="708" t="str">
        <f>IF(OR(Table1[[#This Row],[Início Setup Envase]]="",Table1[[#This Row],[Final Setup Envase]]=""),"",Table1[[#This Row],[Final Setup Envase]]-Table1[[#This Row],[Início Setup Envase]])</f>
        <v/>
      </c>
      <c r="AP2245" s="663"/>
      <c r="AQ2245" s="663"/>
      <c r="AR2245" s="270"/>
      <c r="AS2245" s="674"/>
      <c r="AT2245" s="674"/>
      <c r="AU2245" s="270"/>
      <c r="AV2245" s="270"/>
      <c r="AW2245" s="270"/>
      <c r="AX2245" s="270"/>
      <c r="AY2245" s="270"/>
      <c r="AZ2245" s="270"/>
      <c r="BA2245" s="270" t="str">
        <f>IF(Table1[[#This Row],[Data de Início]]="","",YEAR(Table1[[#This Row],[Data de Início]]))</f>
        <v/>
      </c>
      <c r="BB2245" s="270" t="str">
        <f>IF(Table1[[#This Row],[Data de Início]]="","",MONTH(Table1[[#This Row],[Data de Início]]))</f>
        <v/>
      </c>
      <c r="BC2245" s="483"/>
    </row>
    <row r="2246" spans="2:55" x14ac:dyDescent="0.25">
      <c r="B2246" s="470"/>
      <c r="C2246" s="263"/>
      <c r="D2246" s="477" cm="1">
        <f t="array" ref="D2246">IFERROR(HorasUteisFabrica2Turnos(B2246,C2246), "")</f>
        <v>0</v>
      </c>
      <c r="E2246" s="478" t="str">
        <f t="shared" si="35"/>
        <v/>
      </c>
      <c r="F2246" s="266"/>
      <c r="G2246" s="656"/>
      <c r="H2246" s="479"/>
      <c r="I2246" s="268"/>
      <c r="J2246" s="268"/>
      <c r="K2246" s="268"/>
      <c r="L2246" s="269"/>
      <c r="M2246" s="511" t="str">
        <f>IFERROR(INDEX([1]Produtos!$C:$C,MATCH(L2246,[1]Produtos!$B:$B,0)), "-")</f>
        <v>-</v>
      </c>
      <c r="N2246" s="511" t="str">
        <f>IFERROR(INDEX([1]Produtos!$E:$E,MATCH(L2246,[1]Produtos!$B:$B,0)), "-")</f>
        <v>-</v>
      </c>
      <c r="O2246" s="483" t="str">
        <f>IFERROR(INDEX([1]Produtos!$F:$F,MATCH(L2246,[1]Produtos!$B:$B,0)), "-")</f>
        <v>-</v>
      </c>
      <c r="P2246" s="477" t="str">
        <f>IFERROR(INDEX([1]Produtos!$G:$G,MATCH(L2246,[1]Produtos!$B:$B,0)), "-")</f>
        <v>-</v>
      </c>
      <c r="Q2246" s="483" t="str">
        <f>IFERROR(INDEX([1]Produtos!$H:$H,MATCH(L2246,[1]Produtos!$B:$B,0)), "-")</f>
        <v>-</v>
      </c>
      <c r="R2246" s="483" t="str">
        <f>IFERROR(INDEX([1]Produtos!$I:$I,MATCH(L2246,[1]Produtos!$B:$B,0)), "-")</f>
        <v>-</v>
      </c>
      <c r="S2246" s="483" t="str">
        <f>IFERROR(INDEX([1]Produtos!$J:$J,MATCH(L2246,[1]Produtos!$B:$B,0)), "-")</f>
        <v>-</v>
      </c>
      <c r="T2246" s="484"/>
      <c r="U2246" s="483"/>
      <c r="V2246" s="483"/>
      <c r="W2246" s="483"/>
      <c r="X2246" s="483"/>
      <c r="Y2246" s="483"/>
      <c r="Z2246" s="483"/>
      <c r="AA2246" s="483"/>
      <c r="AB2246" s="483"/>
      <c r="AC2246" s="483"/>
      <c r="AD2246" s="483"/>
      <c r="AE2246" s="483"/>
      <c r="AF2246" s="483"/>
      <c r="AG2246" s="483"/>
      <c r="AH2246" s="483"/>
      <c r="AI2246" s="483"/>
      <c r="AJ2246" s="483"/>
      <c r="AK2246" s="483"/>
      <c r="AL2246" s="483"/>
      <c r="AM2246" s="670"/>
      <c r="AN2246" s="670"/>
      <c r="AO2246" s="711" t="str">
        <f>IF(OR(Table1[[#This Row],[Início Setup Envase]]="",Table1[[#This Row],[Final Setup Envase]]=""),"",Table1[[#This Row],[Final Setup Envase]]-Table1[[#This Row],[Início Setup Envase]])</f>
        <v/>
      </c>
      <c r="AP2246" s="670"/>
      <c r="AQ2246" s="670"/>
      <c r="AR2246" s="483"/>
      <c r="AS2246" s="483"/>
      <c r="AT2246" s="483"/>
      <c r="AU2246" s="483"/>
      <c r="AV2246" s="483"/>
      <c r="AW2246" s="483"/>
      <c r="AX2246" s="483"/>
      <c r="AY2246" s="270"/>
      <c r="AZ2246" s="270"/>
      <c r="BA2246" s="270" t="str">
        <f>IF(Table1[[#This Row],[Data de Início]]="","",YEAR(Table1[[#This Row],[Data de Início]]))</f>
        <v/>
      </c>
      <c r="BB2246" s="270" t="str">
        <f>IF(Table1[[#This Row],[Data de Início]]="","",MONTH(Table1[[#This Row],[Data de Início]]))</f>
        <v/>
      </c>
      <c r="BC2246" s="270"/>
    </row>
    <row r="2247" spans="2:55" x14ac:dyDescent="0.25">
      <c r="B2247" s="470"/>
      <c r="C2247" s="263"/>
      <c r="D2247" s="477" cm="1">
        <f t="array" ref="D2247">IFERROR(HorasUteisFabrica2Turnos(B2247,C2247), "")</f>
        <v>0</v>
      </c>
      <c r="E2247" s="697" t="str">
        <f t="shared" si="35"/>
        <v/>
      </c>
      <c r="F2247" s="266"/>
      <c r="G2247" s="698"/>
      <c r="H2247" s="266"/>
      <c r="I2247" s="268"/>
      <c r="J2247" s="268"/>
      <c r="K2247" s="268"/>
      <c r="L2247" s="269"/>
      <c r="M2247" s="510" t="str">
        <f>IFERROR(INDEX([1]Produtos!$C:$C,MATCH(L2247,[1]Produtos!$B:$B,0)), "-")</f>
        <v>-</v>
      </c>
      <c r="N2247" s="510" t="str">
        <f>IFERROR(INDEX([1]Produtos!$E:$E,MATCH(L2247,[1]Produtos!$B:$B,0)), "-")</f>
        <v>-</v>
      </c>
      <c r="O2247" s="270" t="str">
        <f>IFERROR(INDEX([1]Produtos!$F:$F,MATCH(L2247,[1]Produtos!$B:$B,0)), "-")</f>
        <v>-</v>
      </c>
      <c r="P2247" s="264" t="str">
        <f>IFERROR(INDEX([1]Produtos!$G:$G,MATCH(L2247,[1]Produtos!$B:$B,0)), "-")</f>
        <v>-</v>
      </c>
      <c r="Q2247" s="270" t="str">
        <f>IFERROR(INDEX([1]Produtos!$H:$H,MATCH(L2247,[1]Produtos!$B:$B,0)), "-")</f>
        <v>-</v>
      </c>
      <c r="R2247" s="270" t="str">
        <f>IFERROR(INDEX([1]Produtos!$I:$I,MATCH(L2247,[1]Produtos!$B:$B,0)), "-")</f>
        <v>-</v>
      </c>
      <c r="S2247" s="270" t="str">
        <f>IFERROR(INDEX([1]Produtos!$J:$J,MATCH(L2247,[1]Produtos!$B:$B,0)), "-")</f>
        <v>-</v>
      </c>
      <c r="T2247" s="475"/>
      <c r="U2247" s="270"/>
      <c r="V2247" s="270"/>
      <c r="W2247" s="270"/>
      <c r="X2247" s="270"/>
      <c r="Y2247" s="270"/>
      <c r="Z2247" s="270"/>
      <c r="AA2247" s="270"/>
      <c r="AB2247" s="270"/>
      <c r="AC2247" s="270"/>
      <c r="AD2247" s="270"/>
      <c r="AE2247" s="270"/>
      <c r="AF2247" s="270"/>
      <c r="AG2247" s="270"/>
      <c r="AH2247" s="270"/>
      <c r="AI2247" s="270"/>
      <c r="AJ2247" s="270"/>
      <c r="AK2247" s="270"/>
      <c r="AL2247" s="270"/>
      <c r="AM2247" s="663"/>
      <c r="AN2247" s="663"/>
      <c r="AO2247" s="708" t="str">
        <f>IF(OR(Table1[[#This Row],[Início Setup Envase]]="",Table1[[#This Row],[Final Setup Envase]]=""),"",Table1[[#This Row],[Final Setup Envase]]-Table1[[#This Row],[Início Setup Envase]])</f>
        <v/>
      </c>
      <c r="AP2247" s="663"/>
      <c r="AQ2247" s="663"/>
      <c r="AR2247" s="270"/>
      <c r="AS2247" s="674"/>
      <c r="AT2247" s="674"/>
      <c r="AU2247" s="270"/>
      <c r="AV2247" s="270"/>
      <c r="AW2247" s="270"/>
      <c r="AX2247" s="270"/>
      <c r="AY2247" s="270"/>
      <c r="AZ2247" s="270"/>
      <c r="BA2247" s="270" t="str">
        <f>IF(Table1[[#This Row],[Data de Início]]="","",YEAR(Table1[[#This Row],[Data de Início]]))</f>
        <v/>
      </c>
      <c r="BB2247" s="270" t="str">
        <f>IF(Table1[[#This Row],[Data de Início]]="","",MONTH(Table1[[#This Row],[Data de Início]]))</f>
        <v/>
      </c>
      <c r="BC2247" s="483"/>
    </row>
    <row r="2248" spans="2:55" x14ac:dyDescent="0.25">
      <c r="B2248" s="470"/>
      <c r="C2248" s="263"/>
      <c r="D2248" s="477" cm="1">
        <f t="array" ref="D2248">IFERROR(HorasUteisFabrica2Turnos(B2248,C2248), "")</f>
        <v>0</v>
      </c>
      <c r="E2248" s="478" t="str">
        <f t="shared" si="35"/>
        <v/>
      </c>
      <c r="F2248" s="266"/>
      <c r="G2248" s="656"/>
      <c r="H2248" s="479"/>
      <c r="I2248" s="268"/>
      <c r="J2248" s="268"/>
      <c r="K2248" s="268"/>
      <c r="L2248" s="269"/>
      <c r="M2248" s="511" t="str">
        <f>IFERROR(INDEX([1]Produtos!$C:$C,MATCH(L2248,[1]Produtos!$B:$B,0)), "-")</f>
        <v>-</v>
      </c>
      <c r="N2248" s="511" t="str">
        <f>IFERROR(INDEX([1]Produtos!$E:$E,MATCH(L2248,[1]Produtos!$B:$B,0)), "-")</f>
        <v>-</v>
      </c>
      <c r="O2248" s="483" t="str">
        <f>IFERROR(INDEX([1]Produtos!$F:$F,MATCH(L2248,[1]Produtos!$B:$B,0)), "-")</f>
        <v>-</v>
      </c>
      <c r="P2248" s="477" t="str">
        <f>IFERROR(INDEX([1]Produtos!$G:$G,MATCH(L2248,[1]Produtos!$B:$B,0)), "-")</f>
        <v>-</v>
      </c>
      <c r="Q2248" s="483" t="str">
        <f>IFERROR(INDEX([1]Produtos!$H:$H,MATCH(L2248,[1]Produtos!$B:$B,0)), "-")</f>
        <v>-</v>
      </c>
      <c r="R2248" s="483" t="str">
        <f>IFERROR(INDEX([1]Produtos!$I:$I,MATCH(L2248,[1]Produtos!$B:$B,0)), "-")</f>
        <v>-</v>
      </c>
      <c r="S2248" s="483" t="str">
        <f>IFERROR(INDEX([1]Produtos!$J:$J,MATCH(L2248,[1]Produtos!$B:$B,0)), "-")</f>
        <v>-</v>
      </c>
      <c r="T2248" s="484"/>
      <c r="U2248" s="483"/>
      <c r="V2248" s="483"/>
      <c r="W2248" s="483"/>
      <c r="X2248" s="483"/>
      <c r="Y2248" s="483"/>
      <c r="Z2248" s="483"/>
      <c r="AA2248" s="483"/>
      <c r="AB2248" s="483"/>
      <c r="AC2248" s="483"/>
      <c r="AD2248" s="483"/>
      <c r="AE2248" s="483"/>
      <c r="AF2248" s="483"/>
      <c r="AG2248" s="483"/>
      <c r="AH2248" s="483"/>
      <c r="AI2248" s="483"/>
      <c r="AJ2248" s="483"/>
      <c r="AK2248" s="483"/>
      <c r="AL2248" s="483"/>
      <c r="AM2248" s="670"/>
      <c r="AN2248" s="670"/>
      <c r="AO2248" s="711" t="str">
        <f>IF(OR(Table1[[#This Row],[Início Setup Envase]]="",Table1[[#This Row],[Final Setup Envase]]=""),"",Table1[[#This Row],[Final Setup Envase]]-Table1[[#This Row],[Início Setup Envase]])</f>
        <v/>
      </c>
      <c r="AP2248" s="670"/>
      <c r="AQ2248" s="670"/>
      <c r="AR2248" s="483"/>
      <c r="AS2248" s="483"/>
      <c r="AT2248" s="483"/>
      <c r="AU2248" s="483"/>
      <c r="AV2248" s="483"/>
      <c r="AW2248" s="483"/>
      <c r="AX2248" s="483"/>
      <c r="AY2248" s="270"/>
      <c r="AZ2248" s="270"/>
      <c r="BA2248" s="270" t="str">
        <f>IF(Table1[[#This Row],[Data de Início]]="","",YEAR(Table1[[#This Row],[Data de Início]]))</f>
        <v/>
      </c>
      <c r="BB2248" s="270" t="str">
        <f>IF(Table1[[#This Row],[Data de Início]]="","",MONTH(Table1[[#This Row],[Data de Início]]))</f>
        <v/>
      </c>
      <c r="BC2248" s="270"/>
    </row>
    <row r="2249" spans="2:55" x14ac:dyDescent="0.25">
      <c r="B2249" s="470"/>
      <c r="C2249" s="263"/>
      <c r="D2249" s="477" cm="1">
        <f t="array" ref="D2249">IFERROR(HorasUteisFabrica2Turnos(B2249,C2249), "")</f>
        <v>0</v>
      </c>
      <c r="E2249" s="697" t="str">
        <f t="shared" si="35"/>
        <v/>
      </c>
      <c r="F2249" s="266"/>
      <c r="G2249" s="698"/>
      <c r="H2249" s="266"/>
      <c r="I2249" s="268"/>
      <c r="J2249" s="268"/>
      <c r="K2249" s="268"/>
      <c r="L2249" s="269"/>
      <c r="M2249" s="510" t="str">
        <f>IFERROR(INDEX([1]Produtos!$C:$C,MATCH(L2249,[1]Produtos!$B:$B,0)), "-")</f>
        <v>-</v>
      </c>
      <c r="N2249" s="510" t="str">
        <f>IFERROR(INDEX([1]Produtos!$E:$E,MATCH(L2249,[1]Produtos!$B:$B,0)), "-")</f>
        <v>-</v>
      </c>
      <c r="O2249" s="270" t="str">
        <f>IFERROR(INDEX([1]Produtos!$F:$F,MATCH(L2249,[1]Produtos!$B:$B,0)), "-")</f>
        <v>-</v>
      </c>
      <c r="P2249" s="264" t="str">
        <f>IFERROR(INDEX([1]Produtos!$G:$G,MATCH(L2249,[1]Produtos!$B:$B,0)), "-")</f>
        <v>-</v>
      </c>
      <c r="Q2249" s="270" t="str">
        <f>IFERROR(INDEX([1]Produtos!$H:$H,MATCH(L2249,[1]Produtos!$B:$B,0)), "-")</f>
        <v>-</v>
      </c>
      <c r="R2249" s="270" t="str">
        <f>IFERROR(INDEX([1]Produtos!$I:$I,MATCH(L2249,[1]Produtos!$B:$B,0)), "-")</f>
        <v>-</v>
      </c>
      <c r="S2249" s="270" t="str">
        <f>IFERROR(INDEX([1]Produtos!$J:$J,MATCH(L2249,[1]Produtos!$B:$B,0)), "-")</f>
        <v>-</v>
      </c>
      <c r="T2249" s="475"/>
      <c r="U2249" s="270"/>
      <c r="V2249" s="270"/>
      <c r="W2249" s="270"/>
      <c r="X2249" s="270"/>
      <c r="Y2249" s="270"/>
      <c r="Z2249" s="270"/>
      <c r="AA2249" s="270"/>
      <c r="AB2249" s="270"/>
      <c r="AC2249" s="270"/>
      <c r="AD2249" s="270"/>
      <c r="AE2249" s="270"/>
      <c r="AF2249" s="270"/>
      <c r="AG2249" s="270"/>
      <c r="AH2249" s="270"/>
      <c r="AI2249" s="270"/>
      <c r="AJ2249" s="270"/>
      <c r="AK2249" s="270"/>
      <c r="AL2249" s="270"/>
      <c r="AM2249" s="663"/>
      <c r="AN2249" s="663"/>
      <c r="AO2249" s="708" t="str">
        <f>IF(OR(Table1[[#This Row],[Início Setup Envase]]="",Table1[[#This Row],[Final Setup Envase]]=""),"",Table1[[#This Row],[Final Setup Envase]]-Table1[[#This Row],[Início Setup Envase]])</f>
        <v/>
      </c>
      <c r="AP2249" s="663"/>
      <c r="AQ2249" s="663"/>
      <c r="AR2249" s="270"/>
      <c r="AS2249" s="674"/>
      <c r="AT2249" s="674"/>
      <c r="AU2249" s="270"/>
      <c r="AV2249" s="270"/>
      <c r="AW2249" s="270"/>
      <c r="AX2249" s="270"/>
      <c r="AY2249" s="270"/>
      <c r="AZ2249" s="270"/>
      <c r="BA2249" s="270" t="str">
        <f>IF(Table1[[#This Row],[Data de Início]]="","",YEAR(Table1[[#This Row],[Data de Início]]))</f>
        <v/>
      </c>
      <c r="BB2249" s="270" t="str">
        <f>IF(Table1[[#This Row],[Data de Início]]="","",MONTH(Table1[[#This Row],[Data de Início]]))</f>
        <v/>
      </c>
      <c r="BC2249" s="483"/>
    </row>
    <row r="2250" spans="2:55" x14ac:dyDescent="0.25">
      <c r="B2250" s="470"/>
      <c r="C2250" s="263"/>
      <c r="D2250" s="477" cm="1">
        <f t="array" ref="D2250">IFERROR(HorasUteisFabrica2Turnos(B2250,C2250), "")</f>
        <v>0</v>
      </c>
      <c r="E2250" s="478" t="str">
        <f t="shared" si="35"/>
        <v/>
      </c>
      <c r="F2250" s="266"/>
      <c r="G2250" s="656"/>
      <c r="H2250" s="479"/>
      <c r="I2250" s="268"/>
      <c r="J2250" s="268"/>
      <c r="K2250" s="268"/>
      <c r="L2250" s="269"/>
      <c r="M2250" s="511" t="str">
        <f>IFERROR(INDEX([1]Produtos!$C:$C,MATCH(L2250,[1]Produtos!$B:$B,0)), "-")</f>
        <v>-</v>
      </c>
      <c r="N2250" s="511" t="str">
        <f>IFERROR(INDEX([1]Produtos!$E:$E,MATCH(L2250,[1]Produtos!$B:$B,0)), "-")</f>
        <v>-</v>
      </c>
      <c r="O2250" s="483" t="str">
        <f>IFERROR(INDEX([1]Produtos!$F:$F,MATCH(L2250,[1]Produtos!$B:$B,0)), "-")</f>
        <v>-</v>
      </c>
      <c r="P2250" s="477" t="str">
        <f>IFERROR(INDEX([1]Produtos!$G:$G,MATCH(L2250,[1]Produtos!$B:$B,0)), "-")</f>
        <v>-</v>
      </c>
      <c r="Q2250" s="483" t="str">
        <f>IFERROR(INDEX([1]Produtos!$H:$H,MATCH(L2250,[1]Produtos!$B:$B,0)), "-")</f>
        <v>-</v>
      </c>
      <c r="R2250" s="483" t="str">
        <f>IFERROR(INDEX([1]Produtos!$I:$I,MATCH(L2250,[1]Produtos!$B:$B,0)), "-")</f>
        <v>-</v>
      </c>
      <c r="S2250" s="483" t="str">
        <f>IFERROR(INDEX([1]Produtos!$J:$J,MATCH(L2250,[1]Produtos!$B:$B,0)), "-")</f>
        <v>-</v>
      </c>
      <c r="T2250" s="484"/>
      <c r="U2250" s="483"/>
      <c r="V2250" s="483"/>
      <c r="W2250" s="483"/>
      <c r="X2250" s="483"/>
      <c r="Y2250" s="483"/>
      <c r="Z2250" s="483"/>
      <c r="AA2250" s="483"/>
      <c r="AB2250" s="483"/>
      <c r="AC2250" s="483"/>
      <c r="AD2250" s="483"/>
      <c r="AE2250" s="483"/>
      <c r="AF2250" s="483"/>
      <c r="AG2250" s="483"/>
      <c r="AH2250" s="483"/>
      <c r="AI2250" s="483"/>
      <c r="AJ2250" s="483"/>
      <c r="AK2250" s="483"/>
      <c r="AL2250" s="483"/>
      <c r="AM2250" s="670"/>
      <c r="AN2250" s="670"/>
      <c r="AO2250" s="711" t="str">
        <f>IF(OR(Table1[[#This Row],[Início Setup Envase]]="",Table1[[#This Row],[Final Setup Envase]]=""),"",Table1[[#This Row],[Final Setup Envase]]-Table1[[#This Row],[Início Setup Envase]])</f>
        <v/>
      </c>
      <c r="AP2250" s="670"/>
      <c r="AQ2250" s="670"/>
      <c r="AR2250" s="483"/>
      <c r="AS2250" s="483"/>
      <c r="AT2250" s="483"/>
      <c r="AU2250" s="483"/>
      <c r="AV2250" s="483"/>
      <c r="AW2250" s="483"/>
      <c r="AX2250" s="483"/>
      <c r="AY2250" s="270"/>
      <c r="AZ2250" s="270"/>
      <c r="BA2250" s="270" t="str">
        <f>IF(Table1[[#This Row],[Data de Início]]="","",YEAR(Table1[[#This Row],[Data de Início]]))</f>
        <v/>
      </c>
      <c r="BB2250" s="270" t="str">
        <f>IF(Table1[[#This Row],[Data de Início]]="","",MONTH(Table1[[#This Row],[Data de Início]]))</f>
        <v/>
      </c>
      <c r="BC2250" s="270"/>
    </row>
    <row r="2251" spans="2:55" x14ac:dyDescent="0.25">
      <c r="B2251" s="470"/>
      <c r="C2251" s="263"/>
      <c r="D2251" s="477" cm="1">
        <f t="array" ref="D2251">IFERROR(HorasUteisFabrica2Turnos(B2251,C2251), "")</f>
        <v>0</v>
      </c>
      <c r="E2251" s="697" t="str">
        <f t="shared" si="35"/>
        <v/>
      </c>
      <c r="F2251" s="266"/>
      <c r="G2251" s="698"/>
      <c r="H2251" s="266"/>
      <c r="I2251" s="268"/>
      <c r="J2251" s="268"/>
      <c r="K2251" s="268"/>
      <c r="L2251" s="269"/>
      <c r="M2251" s="510" t="str">
        <f>IFERROR(INDEX([1]Produtos!$C:$C,MATCH(L2251,[1]Produtos!$B:$B,0)), "-")</f>
        <v>-</v>
      </c>
      <c r="N2251" s="510" t="str">
        <f>IFERROR(INDEX([1]Produtos!$E:$E,MATCH(L2251,[1]Produtos!$B:$B,0)), "-")</f>
        <v>-</v>
      </c>
      <c r="O2251" s="270" t="str">
        <f>IFERROR(INDEX([1]Produtos!$F:$F,MATCH(L2251,[1]Produtos!$B:$B,0)), "-")</f>
        <v>-</v>
      </c>
      <c r="P2251" s="264" t="str">
        <f>IFERROR(INDEX([1]Produtos!$G:$G,MATCH(L2251,[1]Produtos!$B:$B,0)), "-")</f>
        <v>-</v>
      </c>
      <c r="Q2251" s="270" t="str">
        <f>IFERROR(INDEX([1]Produtos!$H:$H,MATCH(L2251,[1]Produtos!$B:$B,0)), "-")</f>
        <v>-</v>
      </c>
      <c r="R2251" s="270" t="str">
        <f>IFERROR(INDEX([1]Produtos!$I:$I,MATCH(L2251,[1]Produtos!$B:$B,0)), "-")</f>
        <v>-</v>
      </c>
      <c r="S2251" s="270" t="str">
        <f>IFERROR(INDEX([1]Produtos!$J:$J,MATCH(L2251,[1]Produtos!$B:$B,0)), "-")</f>
        <v>-</v>
      </c>
      <c r="T2251" s="475"/>
      <c r="U2251" s="270"/>
      <c r="V2251" s="270"/>
      <c r="W2251" s="270"/>
      <c r="X2251" s="270"/>
      <c r="Y2251" s="270"/>
      <c r="Z2251" s="270"/>
      <c r="AA2251" s="270"/>
      <c r="AB2251" s="270"/>
      <c r="AC2251" s="270"/>
      <c r="AD2251" s="270"/>
      <c r="AE2251" s="270"/>
      <c r="AF2251" s="270"/>
      <c r="AG2251" s="270"/>
      <c r="AH2251" s="270"/>
      <c r="AI2251" s="270"/>
      <c r="AJ2251" s="270"/>
      <c r="AK2251" s="270"/>
      <c r="AL2251" s="270"/>
      <c r="AM2251" s="663"/>
      <c r="AN2251" s="663"/>
      <c r="AO2251" s="708" t="str">
        <f>IF(OR(Table1[[#This Row],[Início Setup Envase]]="",Table1[[#This Row],[Final Setup Envase]]=""),"",Table1[[#This Row],[Final Setup Envase]]-Table1[[#This Row],[Início Setup Envase]])</f>
        <v/>
      </c>
      <c r="AP2251" s="663"/>
      <c r="AQ2251" s="663"/>
      <c r="AR2251" s="270"/>
      <c r="AS2251" s="674"/>
      <c r="AT2251" s="674"/>
      <c r="AU2251" s="270"/>
      <c r="AV2251" s="270"/>
      <c r="AW2251" s="270"/>
      <c r="AX2251" s="270"/>
      <c r="AY2251" s="270"/>
      <c r="AZ2251" s="270"/>
      <c r="BA2251" s="270" t="str">
        <f>IF(Table1[[#This Row],[Data de Início]]="","",YEAR(Table1[[#This Row],[Data de Início]]))</f>
        <v/>
      </c>
      <c r="BB2251" s="270" t="str">
        <f>IF(Table1[[#This Row],[Data de Início]]="","",MONTH(Table1[[#This Row],[Data de Início]]))</f>
        <v/>
      </c>
      <c r="BC2251" s="483"/>
    </row>
    <row r="2252" spans="2:55" x14ac:dyDescent="0.25">
      <c r="B2252" s="470"/>
      <c r="C2252" s="263"/>
      <c r="D2252" s="477" cm="1">
        <f t="array" ref="D2252">IFERROR(HorasUteisFabrica2Turnos(B2252,C2252), "")</f>
        <v>0</v>
      </c>
      <c r="E2252" s="478" t="str">
        <f t="shared" si="35"/>
        <v/>
      </c>
      <c r="F2252" s="266"/>
      <c r="G2252" s="656"/>
      <c r="H2252" s="479"/>
      <c r="I2252" s="268"/>
      <c r="J2252" s="268"/>
      <c r="K2252" s="268"/>
      <c r="L2252" s="269"/>
      <c r="M2252" s="511" t="str">
        <f>IFERROR(INDEX([1]Produtos!$C:$C,MATCH(L2252,[1]Produtos!$B:$B,0)), "-")</f>
        <v>-</v>
      </c>
      <c r="N2252" s="511" t="str">
        <f>IFERROR(INDEX([1]Produtos!$E:$E,MATCH(L2252,[1]Produtos!$B:$B,0)), "-")</f>
        <v>-</v>
      </c>
      <c r="O2252" s="483" t="str">
        <f>IFERROR(INDEX([1]Produtos!$F:$F,MATCH(L2252,[1]Produtos!$B:$B,0)), "-")</f>
        <v>-</v>
      </c>
      <c r="P2252" s="477" t="str">
        <f>IFERROR(INDEX([1]Produtos!$G:$G,MATCH(L2252,[1]Produtos!$B:$B,0)), "-")</f>
        <v>-</v>
      </c>
      <c r="Q2252" s="483" t="str">
        <f>IFERROR(INDEX([1]Produtos!$H:$H,MATCH(L2252,[1]Produtos!$B:$B,0)), "-")</f>
        <v>-</v>
      </c>
      <c r="R2252" s="483" t="str">
        <f>IFERROR(INDEX([1]Produtos!$I:$I,MATCH(L2252,[1]Produtos!$B:$B,0)), "-")</f>
        <v>-</v>
      </c>
      <c r="S2252" s="483" t="str">
        <f>IFERROR(INDEX([1]Produtos!$J:$J,MATCH(L2252,[1]Produtos!$B:$B,0)), "-")</f>
        <v>-</v>
      </c>
      <c r="T2252" s="484"/>
      <c r="U2252" s="483"/>
      <c r="V2252" s="483"/>
      <c r="W2252" s="483"/>
      <c r="X2252" s="483"/>
      <c r="Y2252" s="483"/>
      <c r="Z2252" s="483"/>
      <c r="AA2252" s="483"/>
      <c r="AB2252" s="483"/>
      <c r="AC2252" s="483"/>
      <c r="AD2252" s="483"/>
      <c r="AE2252" s="483"/>
      <c r="AF2252" s="483"/>
      <c r="AG2252" s="483"/>
      <c r="AH2252" s="483"/>
      <c r="AI2252" s="483"/>
      <c r="AJ2252" s="483"/>
      <c r="AK2252" s="483"/>
      <c r="AL2252" s="483"/>
      <c r="AM2252" s="670"/>
      <c r="AN2252" s="670"/>
      <c r="AO2252" s="711" t="str">
        <f>IF(OR(Table1[[#This Row],[Início Setup Envase]]="",Table1[[#This Row],[Final Setup Envase]]=""),"",Table1[[#This Row],[Final Setup Envase]]-Table1[[#This Row],[Início Setup Envase]])</f>
        <v/>
      </c>
      <c r="AP2252" s="670"/>
      <c r="AQ2252" s="670"/>
      <c r="AR2252" s="483"/>
      <c r="AS2252" s="483"/>
      <c r="AT2252" s="483"/>
      <c r="AU2252" s="483"/>
      <c r="AV2252" s="483"/>
      <c r="AW2252" s="483"/>
      <c r="AX2252" s="483"/>
      <c r="AY2252" s="270"/>
      <c r="AZ2252" s="270"/>
      <c r="BA2252" s="270" t="str">
        <f>IF(Table1[[#This Row],[Data de Início]]="","",YEAR(Table1[[#This Row],[Data de Início]]))</f>
        <v/>
      </c>
      <c r="BB2252" s="270" t="str">
        <f>IF(Table1[[#This Row],[Data de Início]]="","",MONTH(Table1[[#This Row],[Data de Início]]))</f>
        <v/>
      </c>
      <c r="BC2252" s="270"/>
    </row>
    <row r="2253" spans="2:55" x14ac:dyDescent="0.25">
      <c r="B2253" s="470"/>
      <c r="C2253" s="263"/>
      <c r="D2253" s="477" cm="1">
        <f t="array" ref="D2253">IFERROR(HorasUteisFabrica2Turnos(B2253,C2253), "")</f>
        <v>0</v>
      </c>
      <c r="E2253" s="697" t="str">
        <f t="shared" si="35"/>
        <v/>
      </c>
      <c r="F2253" s="266"/>
      <c r="G2253" s="698"/>
      <c r="H2253" s="266"/>
      <c r="I2253" s="268"/>
      <c r="J2253" s="268"/>
      <c r="K2253" s="268"/>
      <c r="L2253" s="269"/>
      <c r="M2253" s="510" t="str">
        <f>IFERROR(INDEX([1]Produtos!$C:$C,MATCH(L2253,[1]Produtos!$B:$B,0)), "-")</f>
        <v>-</v>
      </c>
      <c r="N2253" s="510" t="str">
        <f>IFERROR(INDEX([1]Produtos!$E:$E,MATCH(L2253,[1]Produtos!$B:$B,0)), "-")</f>
        <v>-</v>
      </c>
      <c r="O2253" s="270" t="str">
        <f>IFERROR(INDEX([1]Produtos!$F:$F,MATCH(L2253,[1]Produtos!$B:$B,0)), "-")</f>
        <v>-</v>
      </c>
      <c r="P2253" s="264" t="str">
        <f>IFERROR(INDEX([1]Produtos!$G:$G,MATCH(L2253,[1]Produtos!$B:$B,0)), "-")</f>
        <v>-</v>
      </c>
      <c r="Q2253" s="270" t="str">
        <f>IFERROR(INDEX([1]Produtos!$H:$H,MATCH(L2253,[1]Produtos!$B:$B,0)), "-")</f>
        <v>-</v>
      </c>
      <c r="R2253" s="270" t="str">
        <f>IFERROR(INDEX([1]Produtos!$I:$I,MATCH(L2253,[1]Produtos!$B:$B,0)), "-")</f>
        <v>-</v>
      </c>
      <c r="S2253" s="270" t="str">
        <f>IFERROR(INDEX([1]Produtos!$J:$J,MATCH(L2253,[1]Produtos!$B:$B,0)), "-")</f>
        <v>-</v>
      </c>
      <c r="T2253" s="475"/>
      <c r="U2253" s="270"/>
      <c r="V2253" s="270"/>
      <c r="W2253" s="270"/>
      <c r="X2253" s="270"/>
      <c r="Y2253" s="270"/>
      <c r="Z2253" s="270"/>
      <c r="AA2253" s="270"/>
      <c r="AB2253" s="270"/>
      <c r="AC2253" s="270"/>
      <c r="AD2253" s="270"/>
      <c r="AE2253" s="270"/>
      <c r="AF2253" s="270"/>
      <c r="AG2253" s="270"/>
      <c r="AH2253" s="270"/>
      <c r="AI2253" s="270"/>
      <c r="AJ2253" s="270"/>
      <c r="AK2253" s="270"/>
      <c r="AL2253" s="270"/>
      <c r="AM2253" s="663"/>
      <c r="AN2253" s="663"/>
      <c r="AO2253" s="708" t="str">
        <f>IF(OR(Table1[[#This Row],[Início Setup Envase]]="",Table1[[#This Row],[Final Setup Envase]]=""),"",Table1[[#This Row],[Final Setup Envase]]-Table1[[#This Row],[Início Setup Envase]])</f>
        <v/>
      </c>
      <c r="AP2253" s="663"/>
      <c r="AQ2253" s="663"/>
      <c r="AR2253" s="270"/>
      <c r="AS2253" s="674"/>
      <c r="AT2253" s="674"/>
      <c r="AU2253" s="270"/>
      <c r="AV2253" s="270"/>
      <c r="AW2253" s="270"/>
      <c r="AX2253" s="270"/>
      <c r="AY2253" s="270"/>
      <c r="AZ2253" s="270"/>
      <c r="BA2253" s="270" t="str">
        <f>IF(Table1[[#This Row],[Data de Início]]="","",YEAR(Table1[[#This Row],[Data de Início]]))</f>
        <v/>
      </c>
      <c r="BB2253" s="270" t="str">
        <f>IF(Table1[[#This Row],[Data de Início]]="","",MONTH(Table1[[#This Row],[Data de Início]]))</f>
        <v/>
      </c>
      <c r="BC2253" s="483"/>
    </row>
    <row r="2254" spans="2:55" x14ac:dyDescent="0.25">
      <c r="B2254" s="470"/>
      <c r="C2254" s="263"/>
      <c r="D2254" s="477" cm="1">
        <f t="array" ref="D2254">IFERROR(HorasUteisFabrica2Turnos(B2254,C2254), "")</f>
        <v>0</v>
      </c>
      <c r="E2254" s="478" t="str">
        <f t="shared" si="35"/>
        <v/>
      </c>
      <c r="F2254" s="266"/>
      <c r="G2254" s="656"/>
      <c r="H2254" s="479"/>
      <c r="I2254" s="268"/>
      <c r="J2254" s="268"/>
      <c r="K2254" s="268"/>
      <c r="L2254" s="269"/>
      <c r="M2254" s="511" t="str">
        <f>IFERROR(INDEX([1]Produtos!$C:$C,MATCH(L2254,[1]Produtos!$B:$B,0)), "-")</f>
        <v>-</v>
      </c>
      <c r="N2254" s="511" t="str">
        <f>IFERROR(INDEX([1]Produtos!$E:$E,MATCH(L2254,[1]Produtos!$B:$B,0)), "-")</f>
        <v>-</v>
      </c>
      <c r="O2254" s="483" t="str">
        <f>IFERROR(INDEX([1]Produtos!$F:$F,MATCH(L2254,[1]Produtos!$B:$B,0)), "-")</f>
        <v>-</v>
      </c>
      <c r="P2254" s="477" t="str">
        <f>IFERROR(INDEX([1]Produtos!$G:$G,MATCH(L2254,[1]Produtos!$B:$B,0)), "-")</f>
        <v>-</v>
      </c>
      <c r="Q2254" s="483" t="str">
        <f>IFERROR(INDEX([1]Produtos!$H:$H,MATCH(L2254,[1]Produtos!$B:$B,0)), "-")</f>
        <v>-</v>
      </c>
      <c r="R2254" s="483" t="str">
        <f>IFERROR(INDEX([1]Produtos!$I:$I,MATCH(L2254,[1]Produtos!$B:$B,0)), "-")</f>
        <v>-</v>
      </c>
      <c r="S2254" s="483" t="str">
        <f>IFERROR(INDEX([1]Produtos!$J:$J,MATCH(L2254,[1]Produtos!$B:$B,0)), "-")</f>
        <v>-</v>
      </c>
      <c r="T2254" s="484"/>
      <c r="U2254" s="483"/>
      <c r="V2254" s="483"/>
      <c r="W2254" s="483"/>
      <c r="X2254" s="483"/>
      <c r="Y2254" s="483"/>
      <c r="Z2254" s="483"/>
      <c r="AA2254" s="483"/>
      <c r="AB2254" s="483"/>
      <c r="AC2254" s="483"/>
      <c r="AD2254" s="483"/>
      <c r="AE2254" s="483"/>
      <c r="AF2254" s="483"/>
      <c r="AG2254" s="483"/>
      <c r="AH2254" s="483"/>
      <c r="AI2254" s="483"/>
      <c r="AJ2254" s="483"/>
      <c r="AK2254" s="483"/>
      <c r="AL2254" s="483"/>
      <c r="AM2254" s="670"/>
      <c r="AN2254" s="670"/>
      <c r="AO2254" s="711" t="str">
        <f>IF(OR(Table1[[#This Row],[Início Setup Envase]]="",Table1[[#This Row],[Final Setup Envase]]=""),"",Table1[[#This Row],[Final Setup Envase]]-Table1[[#This Row],[Início Setup Envase]])</f>
        <v/>
      </c>
      <c r="AP2254" s="670"/>
      <c r="AQ2254" s="670"/>
      <c r="AR2254" s="483"/>
      <c r="AS2254" s="483"/>
      <c r="AT2254" s="483"/>
      <c r="AU2254" s="483"/>
      <c r="AV2254" s="483"/>
      <c r="AW2254" s="483"/>
      <c r="AX2254" s="483"/>
      <c r="AY2254" s="270"/>
      <c r="AZ2254" s="270"/>
      <c r="BA2254" s="270" t="str">
        <f>IF(Table1[[#This Row],[Data de Início]]="","",YEAR(Table1[[#This Row],[Data de Início]]))</f>
        <v/>
      </c>
      <c r="BB2254" s="270" t="str">
        <f>IF(Table1[[#This Row],[Data de Início]]="","",MONTH(Table1[[#This Row],[Data de Início]]))</f>
        <v/>
      </c>
      <c r="BC2254" s="270"/>
    </row>
    <row r="2255" spans="2:55" x14ac:dyDescent="0.25">
      <c r="B2255" s="470"/>
      <c r="C2255" s="263"/>
      <c r="D2255" s="477" cm="1">
        <f t="array" ref="D2255">IFERROR(HorasUteisFabrica2Turnos(B2255,C2255), "")</f>
        <v>0</v>
      </c>
      <c r="E2255" s="697" t="str">
        <f t="shared" si="35"/>
        <v/>
      </c>
      <c r="F2255" s="266"/>
      <c r="G2255" s="698"/>
      <c r="H2255" s="266"/>
      <c r="I2255" s="268"/>
      <c r="J2255" s="268"/>
      <c r="K2255" s="268"/>
      <c r="L2255" s="269"/>
      <c r="M2255" s="510" t="str">
        <f>IFERROR(INDEX([1]Produtos!$C:$C,MATCH(L2255,[1]Produtos!$B:$B,0)), "-")</f>
        <v>-</v>
      </c>
      <c r="N2255" s="510" t="str">
        <f>IFERROR(INDEX([1]Produtos!$E:$E,MATCH(L2255,[1]Produtos!$B:$B,0)), "-")</f>
        <v>-</v>
      </c>
      <c r="O2255" s="270" t="str">
        <f>IFERROR(INDEX([1]Produtos!$F:$F,MATCH(L2255,[1]Produtos!$B:$B,0)), "-")</f>
        <v>-</v>
      </c>
      <c r="P2255" s="264" t="str">
        <f>IFERROR(INDEX([1]Produtos!$G:$G,MATCH(L2255,[1]Produtos!$B:$B,0)), "-")</f>
        <v>-</v>
      </c>
      <c r="Q2255" s="270" t="str">
        <f>IFERROR(INDEX([1]Produtos!$H:$H,MATCH(L2255,[1]Produtos!$B:$B,0)), "-")</f>
        <v>-</v>
      </c>
      <c r="R2255" s="270" t="str">
        <f>IFERROR(INDEX([1]Produtos!$I:$I,MATCH(L2255,[1]Produtos!$B:$B,0)), "-")</f>
        <v>-</v>
      </c>
      <c r="S2255" s="270" t="str">
        <f>IFERROR(INDEX([1]Produtos!$J:$J,MATCH(L2255,[1]Produtos!$B:$B,0)), "-")</f>
        <v>-</v>
      </c>
      <c r="T2255" s="475"/>
      <c r="U2255" s="270"/>
      <c r="V2255" s="270"/>
      <c r="W2255" s="270"/>
      <c r="X2255" s="270"/>
      <c r="Y2255" s="270"/>
      <c r="Z2255" s="270"/>
      <c r="AA2255" s="270"/>
      <c r="AB2255" s="270"/>
      <c r="AC2255" s="270"/>
      <c r="AD2255" s="270"/>
      <c r="AE2255" s="270"/>
      <c r="AF2255" s="270"/>
      <c r="AG2255" s="270"/>
      <c r="AH2255" s="270"/>
      <c r="AI2255" s="270"/>
      <c r="AJ2255" s="270"/>
      <c r="AK2255" s="270"/>
      <c r="AL2255" s="270"/>
      <c r="AM2255" s="663"/>
      <c r="AN2255" s="663"/>
      <c r="AO2255" s="708" t="str">
        <f>IF(OR(Table1[[#This Row],[Início Setup Envase]]="",Table1[[#This Row],[Final Setup Envase]]=""),"",Table1[[#This Row],[Final Setup Envase]]-Table1[[#This Row],[Início Setup Envase]])</f>
        <v/>
      </c>
      <c r="AP2255" s="663"/>
      <c r="AQ2255" s="663"/>
      <c r="AR2255" s="270"/>
      <c r="AS2255" s="674"/>
      <c r="AT2255" s="674"/>
      <c r="AU2255" s="270"/>
      <c r="AV2255" s="270"/>
      <c r="AW2255" s="270"/>
      <c r="AX2255" s="270"/>
      <c r="AY2255" s="270"/>
      <c r="AZ2255" s="270"/>
      <c r="BA2255" s="270" t="str">
        <f>IF(Table1[[#This Row],[Data de Início]]="","",YEAR(Table1[[#This Row],[Data de Início]]))</f>
        <v/>
      </c>
      <c r="BB2255" s="270" t="str">
        <f>IF(Table1[[#This Row],[Data de Início]]="","",MONTH(Table1[[#This Row],[Data de Início]]))</f>
        <v/>
      </c>
      <c r="BC2255" s="483"/>
    </row>
    <row r="2256" spans="2:55" x14ac:dyDescent="0.25">
      <c r="B2256" s="470"/>
      <c r="C2256" s="263"/>
      <c r="D2256" s="477" cm="1">
        <f t="array" ref="D2256">IFERROR(HorasUteisFabrica2Turnos(B2256,C2256), "")</f>
        <v>0</v>
      </c>
      <c r="E2256" s="478" t="str">
        <f t="shared" si="35"/>
        <v/>
      </c>
      <c r="F2256" s="266"/>
      <c r="G2256" s="656"/>
      <c r="H2256" s="479"/>
      <c r="I2256" s="268"/>
      <c r="J2256" s="268"/>
      <c r="K2256" s="268"/>
      <c r="L2256" s="269"/>
      <c r="M2256" s="511" t="str">
        <f>IFERROR(INDEX([1]Produtos!$C:$C,MATCH(L2256,[1]Produtos!$B:$B,0)), "-")</f>
        <v>-</v>
      </c>
      <c r="N2256" s="511" t="str">
        <f>IFERROR(INDEX([1]Produtos!$E:$E,MATCH(L2256,[1]Produtos!$B:$B,0)), "-")</f>
        <v>-</v>
      </c>
      <c r="O2256" s="483" t="str">
        <f>IFERROR(INDEX([1]Produtos!$F:$F,MATCH(L2256,[1]Produtos!$B:$B,0)), "-")</f>
        <v>-</v>
      </c>
      <c r="P2256" s="477" t="str">
        <f>IFERROR(INDEX([1]Produtos!$G:$G,MATCH(L2256,[1]Produtos!$B:$B,0)), "-")</f>
        <v>-</v>
      </c>
      <c r="Q2256" s="483" t="str">
        <f>IFERROR(INDEX([1]Produtos!$H:$H,MATCH(L2256,[1]Produtos!$B:$B,0)), "-")</f>
        <v>-</v>
      </c>
      <c r="R2256" s="483" t="str">
        <f>IFERROR(INDEX([1]Produtos!$I:$I,MATCH(L2256,[1]Produtos!$B:$B,0)), "-")</f>
        <v>-</v>
      </c>
      <c r="S2256" s="483" t="str">
        <f>IFERROR(INDEX([1]Produtos!$J:$J,MATCH(L2256,[1]Produtos!$B:$B,0)), "-")</f>
        <v>-</v>
      </c>
      <c r="T2256" s="484"/>
      <c r="U2256" s="483"/>
      <c r="V2256" s="483"/>
      <c r="W2256" s="483"/>
      <c r="X2256" s="483"/>
      <c r="Y2256" s="483"/>
      <c r="Z2256" s="483"/>
      <c r="AA2256" s="483"/>
      <c r="AB2256" s="483"/>
      <c r="AC2256" s="483"/>
      <c r="AD2256" s="483"/>
      <c r="AE2256" s="483"/>
      <c r="AF2256" s="483"/>
      <c r="AG2256" s="483"/>
      <c r="AH2256" s="483"/>
      <c r="AI2256" s="483"/>
      <c r="AJ2256" s="483"/>
      <c r="AK2256" s="483"/>
      <c r="AL2256" s="483"/>
      <c r="AM2256" s="670"/>
      <c r="AN2256" s="670"/>
      <c r="AO2256" s="711" t="str">
        <f>IF(OR(Table1[[#This Row],[Início Setup Envase]]="",Table1[[#This Row],[Final Setup Envase]]=""),"",Table1[[#This Row],[Final Setup Envase]]-Table1[[#This Row],[Início Setup Envase]])</f>
        <v/>
      </c>
      <c r="AP2256" s="670"/>
      <c r="AQ2256" s="670"/>
      <c r="AR2256" s="483"/>
      <c r="AS2256" s="483"/>
      <c r="AT2256" s="483"/>
      <c r="AU2256" s="483"/>
      <c r="AV2256" s="483"/>
      <c r="AW2256" s="483"/>
      <c r="AX2256" s="483"/>
      <c r="AY2256" s="270"/>
      <c r="AZ2256" s="270"/>
      <c r="BA2256" s="270" t="str">
        <f>IF(Table1[[#This Row],[Data de Início]]="","",YEAR(Table1[[#This Row],[Data de Início]]))</f>
        <v/>
      </c>
      <c r="BB2256" s="270" t="str">
        <f>IF(Table1[[#This Row],[Data de Início]]="","",MONTH(Table1[[#This Row],[Data de Início]]))</f>
        <v/>
      </c>
      <c r="BC2256" s="270"/>
    </row>
    <row r="2257" spans="2:55" x14ac:dyDescent="0.25">
      <c r="B2257" s="470"/>
      <c r="C2257" s="263"/>
      <c r="D2257" s="477" cm="1">
        <f t="array" ref="D2257">IFERROR(HorasUteisFabrica2Turnos(B2257,C2257), "")</f>
        <v>0</v>
      </c>
      <c r="E2257" s="697" t="str">
        <f t="shared" si="35"/>
        <v/>
      </c>
      <c r="F2257" s="266"/>
      <c r="G2257" s="698"/>
      <c r="H2257" s="266"/>
      <c r="I2257" s="268"/>
      <c r="J2257" s="268"/>
      <c r="K2257" s="268"/>
      <c r="L2257" s="269"/>
      <c r="M2257" s="510" t="str">
        <f>IFERROR(INDEX([1]Produtos!$C:$C,MATCH(L2257,[1]Produtos!$B:$B,0)), "-")</f>
        <v>-</v>
      </c>
      <c r="N2257" s="510" t="str">
        <f>IFERROR(INDEX([1]Produtos!$E:$E,MATCH(L2257,[1]Produtos!$B:$B,0)), "-")</f>
        <v>-</v>
      </c>
      <c r="O2257" s="270" t="str">
        <f>IFERROR(INDEX([1]Produtos!$F:$F,MATCH(L2257,[1]Produtos!$B:$B,0)), "-")</f>
        <v>-</v>
      </c>
      <c r="P2257" s="264" t="str">
        <f>IFERROR(INDEX([1]Produtos!$G:$G,MATCH(L2257,[1]Produtos!$B:$B,0)), "-")</f>
        <v>-</v>
      </c>
      <c r="Q2257" s="270" t="str">
        <f>IFERROR(INDEX([1]Produtos!$H:$H,MATCH(L2257,[1]Produtos!$B:$B,0)), "-")</f>
        <v>-</v>
      </c>
      <c r="R2257" s="270" t="str">
        <f>IFERROR(INDEX([1]Produtos!$I:$I,MATCH(L2257,[1]Produtos!$B:$B,0)), "-")</f>
        <v>-</v>
      </c>
      <c r="S2257" s="270" t="str">
        <f>IFERROR(INDEX([1]Produtos!$J:$J,MATCH(L2257,[1]Produtos!$B:$B,0)), "-")</f>
        <v>-</v>
      </c>
      <c r="T2257" s="475"/>
      <c r="U2257" s="270"/>
      <c r="V2257" s="270"/>
      <c r="W2257" s="270"/>
      <c r="X2257" s="270"/>
      <c r="Y2257" s="270"/>
      <c r="Z2257" s="270"/>
      <c r="AA2257" s="270"/>
      <c r="AB2257" s="270"/>
      <c r="AC2257" s="270"/>
      <c r="AD2257" s="270"/>
      <c r="AE2257" s="270"/>
      <c r="AF2257" s="270"/>
      <c r="AG2257" s="270"/>
      <c r="AH2257" s="270"/>
      <c r="AI2257" s="270"/>
      <c r="AJ2257" s="270"/>
      <c r="AK2257" s="270"/>
      <c r="AL2257" s="270"/>
      <c r="AM2257" s="663"/>
      <c r="AN2257" s="663"/>
      <c r="AO2257" s="708" t="str">
        <f>IF(OR(Table1[[#This Row],[Início Setup Envase]]="",Table1[[#This Row],[Final Setup Envase]]=""),"",Table1[[#This Row],[Final Setup Envase]]-Table1[[#This Row],[Início Setup Envase]])</f>
        <v/>
      </c>
      <c r="AP2257" s="663"/>
      <c r="AQ2257" s="663"/>
      <c r="AR2257" s="270"/>
      <c r="AS2257" s="674"/>
      <c r="AT2257" s="674"/>
      <c r="AU2257" s="270"/>
      <c r="AV2257" s="270"/>
      <c r="AW2257" s="270"/>
      <c r="AX2257" s="270"/>
      <c r="AY2257" s="270"/>
      <c r="AZ2257" s="270"/>
      <c r="BA2257" s="270" t="str">
        <f>IF(Table1[[#This Row],[Data de Início]]="","",YEAR(Table1[[#This Row],[Data de Início]]))</f>
        <v/>
      </c>
      <c r="BB2257" s="270" t="str">
        <f>IF(Table1[[#This Row],[Data de Início]]="","",MONTH(Table1[[#This Row],[Data de Início]]))</f>
        <v/>
      </c>
      <c r="BC2257" s="483"/>
    </row>
    <row r="2258" spans="2:55" x14ac:dyDescent="0.25">
      <c r="B2258" s="470"/>
      <c r="C2258" s="263"/>
      <c r="D2258" s="477" cm="1">
        <f t="array" ref="D2258">IFERROR(HorasUteisFabrica2Turnos(B2258,C2258), "")</f>
        <v>0</v>
      </c>
      <c r="E2258" s="478" t="str">
        <f t="shared" si="35"/>
        <v/>
      </c>
      <c r="F2258" s="266"/>
      <c r="G2258" s="656"/>
      <c r="H2258" s="479"/>
      <c r="I2258" s="268"/>
      <c r="J2258" s="268"/>
      <c r="K2258" s="268"/>
      <c r="L2258" s="269"/>
      <c r="M2258" s="511" t="str">
        <f>IFERROR(INDEX([1]Produtos!$C:$C,MATCH(L2258,[1]Produtos!$B:$B,0)), "-")</f>
        <v>-</v>
      </c>
      <c r="N2258" s="511" t="str">
        <f>IFERROR(INDEX([1]Produtos!$E:$E,MATCH(L2258,[1]Produtos!$B:$B,0)), "-")</f>
        <v>-</v>
      </c>
      <c r="O2258" s="483" t="str">
        <f>IFERROR(INDEX([1]Produtos!$F:$F,MATCH(L2258,[1]Produtos!$B:$B,0)), "-")</f>
        <v>-</v>
      </c>
      <c r="P2258" s="477" t="str">
        <f>IFERROR(INDEX([1]Produtos!$G:$G,MATCH(L2258,[1]Produtos!$B:$B,0)), "-")</f>
        <v>-</v>
      </c>
      <c r="Q2258" s="483" t="str">
        <f>IFERROR(INDEX([1]Produtos!$H:$H,MATCH(L2258,[1]Produtos!$B:$B,0)), "-")</f>
        <v>-</v>
      </c>
      <c r="R2258" s="483" t="str">
        <f>IFERROR(INDEX([1]Produtos!$I:$I,MATCH(L2258,[1]Produtos!$B:$B,0)), "-")</f>
        <v>-</v>
      </c>
      <c r="S2258" s="483" t="str">
        <f>IFERROR(INDEX([1]Produtos!$J:$J,MATCH(L2258,[1]Produtos!$B:$B,0)), "-")</f>
        <v>-</v>
      </c>
      <c r="T2258" s="484"/>
      <c r="U2258" s="483"/>
      <c r="V2258" s="483"/>
      <c r="W2258" s="483"/>
      <c r="X2258" s="483"/>
      <c r="Y2258" s="483"/>
      <c r="Z2258" s="483"/>
      <c r="AA2258" s="483"/>
      <c r="AB2258" s="483"/>
      <c r="AC2258" s="483"/>
      <c r="AD2258" s="483"/>
      <c r="AE2258" s="483"/>
      <c r="AF2258" s="483"/>
      <c r="AG2258" s="483"/>
      <c r="AH2258" s="483"/>
      <c r="AI2258" s="483"/>
      <c r="AJ2258" s="483"/>
      <c r="AK2258" s="483"/>
      <c r="AL2258" s="483"/>
      <c r="AM2258" s="670"/>
      <c r="AN2258" s="670"/>
      <c r="AO2258" s="711" t="str">
        <f>IF(OR(Table1[[#This Row],[Início Setup Envase]]="",Table1[[#This Row],[Final Setup Envase]]=""),"",Table1[[#This Row],[Final Setup Envase]]-Table1[[#This Row],[Início Setup Envase]])</f>
        <v/>
      </c>
      <c r="AP2258" s="670"/>
      <c r="AQ2258" s="670"/>
      <c r="AR2258" s="483"/>
      <c r="AS2258" s="483"/>
      <c r="AT2258" s="483"/>
      <c r="AU2258" s="483"/>
      <c r="AV2258" s="483"/>
      <c r="AW2258" s="483"/>
      <c r="AX2258" s="483"/>
      <c r="AY2258" s="270"/>
      <c r="AZ2258" s="270"/>
      <c r="BA2258" s="270" t="str">
        <f>IF(Table1[[#This Row],[Data de Início]]="","",YEAR(Table1[[#This Row],[Data de Início]]))</f>
        <v/>
      </c>
      <c r="BB2258" s="270" t="str">
        <f>IF(Table1[[#This Row],[Data de Início]]="","",MONTH(Table1[[#This Row],[Data de Início]]))</f>
        <v/>
      </c>
      <c r="BC2258" s="270"/>
    </row>
    <row r="2259" spans="2:55" x14ac:dyDescent="0.25">
      <c r="B2259" s="470"/>
      <c r="C2259" s="263"/>
      <c r="D2259" s="477" cm="1">
        <f t="array" ref="D2259">IFERROR(HorasUteisFabrica2Turnos(B2259,C2259), "")</f>
        <v>0</v>
      </c>
      <c r="E2259" s="697" t="str">
        <f t="shared" si="35"/>
        <v/>
      </c>
      <c r="F2259" s="266"/>
      <c r="G2259" s="698"/>
      <c r="H2259" s="266"/>
      <c r="I2259" s="268"/>
      <c r="J2259" s="268"/>
      <c r="K2259" s="268"/>
      <c r="L2259" s="269"/>
      <c r="M2259" s="510" t="str">
        <f>IFERROR(INDEX([1]Produtos!$C:$C,MATCH(L2259,[1]Produtos!$B:$B,0)), "-")</f>
        <v>-</v>
      </c>
      <c r="N2259" s="510" t="str">
        <f>IFERROR(INDEX([1]Produtos!$E:$E,MATCH(L2259,[1]Produtos!$B:$B,0)), "-")</f>
        <v>-</v>
      </c>
      <c r="O2259" s="270" t="str">
        <f>IFERROR(INDEX([1]Produtos!$F:$F,MATCH(L2259,[1]Produtos!$B:$B,0)), "-")</f>
        <v>-</v>
      </c>
      <c r="P2259" s="264" t="str">
        <f>IFERROR(INDEX([1]Produtos!$G:$G,MATCH(L2259,[1]Produtos!$B:$B,0)), "-")</f>
        <v>-</v>
      </c>
      <c r="Q2259" s="270" t="str">
        <f>IFERROR(INDEX([1]Produtos!$H:$H,MATCH(L2259,[1]Produtos!$B:$B,0)), "-")</f>
        <v>-</v>
      </c>
      <c r="R2259" s="270" t="str">
        <f>IFERROR(INDEX([1]Produtos!$I:$I,MATCH(L2259,[1]Produtos!$B:$B,0)), "-")</f>
        <v>-</v>
      </c>
      <c r="S2259" s="270" t="str">
        <f>IFERROR(INDEX([1]Produtos!$J:$J,MATCH(L2259,[1]Produtos!$B:$B,0)), "-")</f>
        <v>-</v>
      </c>
      <c r="T2259" s="475"/>
      <c r="U2259" s="270"/>
      <c r="V2259" s="270"/>
      <c r="W2259" s="270"/>
      <c r="X2259" s="270"/>
      <c r="Y2259" s="270"/>
      <c r="Z2259" s="270"/>
      <c r="AA2259" s="270"/>
      <c r="AB2259" s="270"/>
      <c r="AC2259" s="270"/>
      <c r="AD2259" s="270"/>
      <c r="AE2259" s="270"/>
      <c r="AF2259" s="270"/>
      <c r="AG2259" s="270"/>
      <c r="AH2259" s="270"/>
      <c r="AI2259" s="270"/>
      <c r="AJ2259" s="270"/>
      <c r="AK2259" s="270"/>
      <c r="AL2259" s="270"/>
      <c r="AM2259" s="663"/>
      <c r="AN2259" s="663"/>
      <c r="AO2259" s="708" t="str">
        <f>IF(OR(Table1[[#This Row],[Início Setup Envase]]="",Table1[[#This Row],[Final Setup Envase]]=""),"",Table1[[#This Row],[Final Setup Envase]]-Table1[[#This Row],[Início Setup Envase]])</f>
        <v/>
      </c>
      <c r="AP2259" s="663"/>
      <c r="AQ2259" s="663"/>
      <c r="AR2259" s="270"/>
      <c r="AS2259" s="674"/>
      <c r="AT2259" s="674"/>
      <c r="AU2259" s="270"/>
      <c r="AV2259" s="270"/>
      <c r="AW2259" s="270"/>
      <c r="AX2259" s="270"/>
      <c r="AY2259" s="270"/>
      <c r="AZ2259" s="270"/>
      <c r="BA2259" s="270" t="str">
        <f>IF(Table1[[#This Row],[Data de Início]]="","",YEAR(Table1[[#This Row],[Data de Início]]))</f>
        <v/>
      </c>
      <c r="BB2259" s="270" t="str">
        <f>IF(Table1[[#This Row],[Data de Início]]="","",MONTH(Table1[[#This Row],[Data de Início]]))</f>
        <v/>
      </c>
      <c r="BC2259" s="483"/>
    </row>
    <row r="2260" spans="2:55" x14ac:dyDescent="0.25">
      <c r="B2260" s="470"/>
      <c r="C2260" s="263"/>
      <c r="D2260" s="477" cm="1">
        <f t="array" ref="D2260">IFERROR(HorasUteisFabrica2Turnos(B2260,C2260), "")</f>
        <v>0</v>
      </c>
      <c r="E2260" s="478" t="str">
        <f t="shared" si="35"/>
        <v/>
      </c>
      <c r="F2260" s="266"/>
      <c r="G2260" s="656"/>
      <c r="H2260" s="479"/>
      <c r="I2260" s="268"/>
      <c r="J2260" s="268"/>
      <c r="K2260" s="268"/>
      <c r="L2260" s="269"/>
      <c r="M2260" s="511" t="str">
        <f>IFERROR(INDEX([1]Produtos!$C:$C,MATCH(L2260,[1]Produtos!$B:$B,0)), "-")</f>
        <v>-</v>
      </c>
      <c r="N2260" s="511" t="str">
        <f>IFERROR(INDEX([1]Produtos!$E:$E,MATCH(L2260,[1]Produtos!$B:$B,0)), "-")</f>
        <v>-</v>
      </c>
      <c r="O2260" s="483" t="str">
        <f>IFERROR(INDEX([1]Produtos!$F:$F,MATCH(L2260,[1]Produtos!$B:$B,0)), "-")</f>
        <v>-</v>
      </c>
      <c r="P2260" s="477" t="str">
        <f>IFERROR(INDEX([1]Produtos!$G:$G,MATCH(L2260,[1]Produtos!$B:$B,0)), "-")</f>
        <v>-</v>
      </c>
      <c r="Q2260" s="483" t="str">
        <f>IFERROR(INDEX([1]Produtos!$H:$H,MATCH(L2260,[1]Produtos!$B:$B,0)), "-")</f>
        <v>-</v>
      </c>
      <c r="R2260" s="483" t="str">
        <f>IFERROR(INDEX([1]Produtos!$I:$I,MATCH(L2260,[1]Produtos!$B:$B,0)), "-")</f>
        <v>-</v>
      </c>
      <c r="S2260" s="483" t="str">
        <f>IFERROR(INDEX([1]Produtos!$J:$J,MATCH(L2260,[1]Produtos!$B:$B,0)), "-")</f>
        <v>-</v>
      </c>
      <c r="T2260" s="484"/>
      <c r="U2260" s="483"/>
      <c r="V2260" s="483"/>
      <c r="W2260" s="483"/>
      <c r="X2260" s="483"/>
      <c r="Y2260" s="483"/>
      <c r="Z2260" s="483"/>
      <c r="AA2260" s="483"/>
      <c r="AB2260" s="483"/>
      <c r="AC2260" s="483"/>
      <c r="AD2260" s="483"/>
      <c r="AE2260" s="483"/>
      <c r="AF2260" s="483"/>
      <c r="AG2260" s="483"/>
      <c r="AH2260" s="483"/>
      <c r="AI2260" s="483"/>
      <c r="AJ2260" s="483"/>
      <c r="AK2260" s="483"/>
      <c r="AL2260" s="483"/>
      <c r="AM2260" s="670"/>
      <c r="AN2260" s="670"/>
      <c r="AO2260" s="711" t="str">
        <f>IF(OR(Table1[[#This Row],[Início Setup Envase]]="",Table1[[#This Row],[Final Setup Envase]]=""),"",Table1[[#This Row],[Final Setup Envase]]-Table1[[#This Row],[Início Setup Envase]])</f>
        <v/>
      </c>
      <c r="AP2260" s="670"/>
      <c r="AQ2260" s="670"/>
      <c r="AR2260" s="483"/>
      <c r="AS2260" s="483"/>
      <c r="AT2260" s="483"/>
      <c r="AU2260" s="483"/>
      <c r="AV2260" s="483"/>
      <c r="AW2260" s="483"/>
      <c r="AX2260" s="483"/>
      <c r="AY2260" s="270"/>
      <c r="AZ2260" s="270"/>
      <c r="BA2260" s="270" t="str">
        <f>IF(Table1[[#This Row],[Data de Início]]="","",YEAR(Table1[[#This Row],[Data de Início]]))</f>
        <v/>
      </c>
      <c r="BB2260" s="270" t="str">
        <f>IF(Table1[[#This Row],[Data de Início]]="","",MONTH(Table1[[#This Row],[Data de Início]]))</f>
        <v/>
      </c>
      <c r="BC2260" s="270"/>
    </row>
    <row r="2261" spans="2:55" x14ac:dyDescent="0.25">
      <c r="B2261" s="470"/>
      <c r="C2261" s="263"/>
      <c r="D2261" s="477" cm="1">
        <f t="array" ref="D2261">IFERROR(HorasUteisFabrica2Turnos(B2261,C2261), "")</f>
        <v>0</v>
      </c>
      <c r="E2261" s="697" t="str">
        <f t="shared" si="35"/>
        <v/>
      </c>
      <c r="F2261" s="266"/>
      <c r="G2261" s="698"/>
      <c r="H2261" s="266"/>
      <c r="I2261" s="268"/>
      <c r="J2261" s="268"/>
      <c r="K2261" s="268"/>
      <c r="L2261" s="269"/>
      <c r="M2261" s="510" t="str">
        <f>IFERROR(INDEX([1]Produtos!$C:$C,MATCH(L2261,[1]Produtos!$B:$B,0)), "-")</f>
        <v>-</v>
      </c>
      <c r="N2261" s="510" t="str">
        <f>IFERROR(INDEX([1]Produtos!$E:$E,MATCH(L2261,[1]Produtos!$B:$B,0)), "-")</f>
        <v>-</v>
      </c>
      <c r="O2261" s="270" t="str">
        <f>IFERROR(INDEX([1]Produtos!$F:$F,MATCH(L2261,[1]Produtos!$B:$B,0)), "-")</f>
        <v>-</v>
      </c>
      <c r="P2261" s="264" t="str">
        <f>IFERROR(INDEX([1]Produtos!$G:$G,MATCH(L2261,[1]Produtos!$B:$B,0)), "-")</f>
        <v>-</v>
      </c>
      <c r="Q2261" s="270" t="str">
        <f>IFERROR(INDEX([1]Produtos!$H:$H,MATCH(L2261,[1]Produtos!$B:$B,0)), "-")</f>
        <v>-</v>
      </c>
      <c r="R2261" s="270" t="str">
        <f>IFERROR(INDEX([1]Produtos!$I:$I,MATCH(L2261,[1]Produtos!$B:$B,0)), "-")</f>
        <v>-</v>
      </c>
      <c r="S2261" s="270" t="str">
        <f>IFERROR(INDEX([1]Produtos!$J:$J,MATCH(L2261,[1]Produtos!$B:$B,0)), "-")</f>
        <v>-</v>
      </c>
      <c r="T2261" s="475"/>
      <c r="U2261" s="270"/>
      <c r="V2261" s="270"/>
      <c r="W2261" s="270"/>
      <c r="X2261" s="270"/>
      <c r="Y2261" s="270"/>
      <c r="Z2261" s="270"/>
      <c r="AA2261" s="270"/>
      <c r="AB2261" s="270"/>
      <c r="AC2261" s="270"/>
      <c r="AD2261" s="270"/>
      <c r="AE2261" s="270"/>
      <c r="AF2261" s="270"/>
      <c r="AG2261" s="270"/>
      <c r="AH2261" s="270"/>
      <c r="AI2261" s="270"/>
      <c r="AJ2261" s="270"/>
      <c r="AK2261" s="270"/>
      <c r="AL2261" s="270"/>
      <c r="AM2261" s="663"/>
      <c r="AN2261" s="663"/>
      <c r="AO2261" s="708" t="str">
        <f>IF(OR(Table1[[#This Row],[Início Setup Envase]]="",Table1[[#This Row],[Final Setup Envase]]=""),"",Table1[[#This Row],[Final Setup Envase]]-Table1[[#This Row],[Início Setup Envase]])</f>
        <v/>
      </c>
      <c r="AP2261" s="663"/>
      <c r="AQ2261" s="663"/>
      <c r="AR2261" s="270"/>
      <c r="AS2261" s="674"/>
      <c r="AT2261" s="674"/>
      <c r="AU2261" s="270"/>
      <c r="AV2261" s="270"/>
      <c r="AW2261" s="270"/>
      <c r="AX2261" s="270"/>
      <c r="AY2261" s="270"/>
      <c r="AZ2261" s="270"/>
      <c r="BA2261" s="270" t="str">
        <f>IF(Table1[[#This Row],[Data de Início]]="","",YEAR(Table1[[#This Row],[Data de Início]]))</f>
        <v/>
      </c>
      <c r="BB2261" s="270" t="str">
        <f>IF(Table1[[#This Row],[Data de Início]]="","",MONTH(Table1[[#This Row],[Data de Início]]))</f>
        <v/>
      </c>
      <c r="BC2261" s="483"/>
    </row>
    <row r="2262" spans="2:55" x14ac:dyDescent="0.25">
      <c r="B2262" s="470"/>
      <c r="C2262" s="263"/>
      <c r="D2262" s="477" cm="1">
        <f t="array" ref="D2262">IFERROR(HorasUteisFabrica2Turnos(B2262,C2262), "")</f>
        <v>0</v>
      </c>
      <c r="E2262" s="478" t="str">
        <f t="shared" si="35"/>
        <v/>
      </c>
      <c r="F2262" s="266"/>
      <c r="G2262" s="656"/>
      <c r="H2262" s="479"/>
      <c r="I2262" s="268"/>
      <c r="J2262" s="268"/>
      <c r="K2262" s="268"/>
      <c r="L2262" s="269"/>
      <c r="M2262" s="511" t="str">
        <f>IFERROR(INDEX([1]Produtos!$C:$C,MATCH(L2262,[1]Produtos!$B:$B,0)), "-")</f>
        <v>-</v>
      </c>
      <c r="N2262" s="511" t="str">
        <f>IFERROR(INDEX([1]Produtos!$E:$E,MATCH(L2262,[1]Produtos!$B:$B,0)), "-")</f>
        <v>-</v>
      </c>
      <c r="O2262" s="483" t="str">
        <f>IFERROR(INDEX([1]Produtos!$F:$F,MATCH(L2262,[1]Produtos!$B:$B,0)), "-")</f>
        <v>-</v>
      </c>
      <c r="P2262" s="477" t="str">
        <f>IFERROR(INDEX([1]Produtos!$G:$G,MATCH(L2262,[1]Produtos!$B:$B,0)), "-")</f>
        <v>-</v>
      </c>
      <c r="Q2262" s="483" t="str">
        <f>IFERROR(INDEX([1]Produtos!$H:$H,MATCH(L2262,[1]Produtos!$B:$B,0)), "-")</f>
        <v>-</v>
      </c>
      <c r="R2262" s="483" t="str">
        <f>IFERROR(INDEX([1]Produtos!$I:$I,MATCH(L2262,[1]Produtos!$B:$B,0)), "-")</f>
        <v>-</v>
      </c>
      <c r="S2262" s="483" t="str">
        <f>IFERROR(INDEX([1]Produtos!$J:$J,MATCH(L2262,[1]Produtos!$B:$B,0)), "-")</f>
        <v>-</v>
      </c>
      <c r="T2262" s="484"/>
      <c r="U2262" s="483"/>
      <c r="V2262" s="483"/>
      <c r="W2262" s="483"/>
      <c r="X2262" s="483"/>
      <c r="Y2262" s="483"/>
      <c r="Z2262" s="483"/>
      <c r="AA2262" s="483"/>
      <c r="AB2262" s="483"/>
      <c r="AC2262" s="483"/>
      <c r="AD2262" s="483"/>
      <c r="AE2262" s="483"/>
      <c r="AF2262" s="483"/>
      <c r="AG2262" s="483"/>
      <c r="AH2262" s="483"/>
      <c r="AI2262" s="483"/>
      <c r="AJ2262" s="483"/>
      <c r="AK2262" s="483"/>
      <c r="AL2262" s="483"/>
      <c r="AM2262" s="670"/>
      <c r="AN2262" s="670"/>
      <c r="AO2262" s="711" t="str">
        <f>IF(OR(Table1[[#This Row],[Início Setup Envase]]="",Table1[[#This Row],[Final Setup Envase]]=""),"",Table1[[#This Row],[Final Setup Envase]]-Table1[[#This Row],[Início Setup Envase]])</f>
        <v/>
      </c>
      <c r="AP2262" s="670"/>
      <c r="AQ2262" s="670"/>
      <c r="AR2262" s="483"/>
      <c r="AS2262" s="483"/>
      <c r="AT2262" s="483"/>
      <c r="AU2262" s="483"/>
      <c r="AV2262" s="483"/>
      <c r="AW2262" s="483"/>
      <c r="AX2262" s="483"/>
      <c r="AY2262" s="270"/>
      <c r="AZ2262" s="270"/>
      <c r="BA2262" s="270" t="str">
        <f>IF(Table1[[#This Row],[Data de Início]]="","",YEAR(Table1[[#This Row],[Data de Início]]))</f>
        <v/>
      </c>
      <c r="BB2262" s="270" t="str">
        <f>IF(Table1[[#This Row],[Data de Início]]="","",MONTH(Table1[[#This Row],[Data de Início]]))</f>
        <v/>
      </c>
      <c r="BC2262" s="270"/>
    </row>
    <row r="2263" spans="2:55" x14ac:dyDescent="0.25">
      <c r="B2263" s="470"/>
      <c r="C2263" s="263"/>
      <c r="D2263" s="477" cm="1">
        <f t="array" ref="D2263">IFERROR(HorasUteisFabrica2Turnos(B2263,C2263), "")</f>
        <v>0</v>
      </c>
      <c r="E2263" s="697" t="str">
        <f t="shared" si="35"/>
        <v/>
      </c>
      <c r="F2263" s="266"/>
      <c r="G2263" s="698"/>
      <c r="H2263" s="266"/>
      <c r="I2263" s="268"/>
      <c r="J2263" s="268"/>
      <c r="K2263" s="268"/>
      <c r="L2263" s="269"/>
      <c r="M2263" s="510" t="str">
        <f>IFERROR(INDEX([1]Produtos!$C:$C,MATCH(L2263,[1]Produtos!$B:$B,0)), "-")</f>
        <v>-</v>
      </c>
      <c r="N2263" s="510" t="str">
        <f>IFERROR(INDEX([1]Produtos!$E:$E,MATCH(L2263,[1]Produtos!$B:$B,0)), "-")</f>
        <v>-</v>
      </c>
      <c r="O2263" s="270" t="str">
        <f>IFERROR(INDEX([1]Produtos!$F:$F,MATCH(L2263,[1]Produtos!$B:$B,0)), "-")</f>
        <v>-</v>
      </c>
      <c r="P2263" s="264" t="str">
        <f>IFERROR(INDEX([1]Produtos!$G:$G,MATCH(L2263,[1]Produtos!$B:$B,0)), "-")</f>
        <v>-</v>
      </c>
      <c r="Q2263" s="270" t="str">
        <f>IFERROR(INDEX([1]Produtos!$H:$H,MATCH(L2263,[1]Produtos!$B:$B,0)), "-")</f>
        <v>-</v>
      </c>
      <c r="R2263" s="270" t="str">
        <f>IFERROR(INDEX([1]Produtos!$I:$I,MATCH(L2263,[1]Produtos!$B:$B,0)), "-")</f>
        <v>-</v>
      </c>
      <c r="S2263" s="270" t="str">
        <f>IFERROR(INDEX([1]Produtos!$J:$J,MATCH(L2263,[1]Produtos!$B:$B,0)), "-")</f>
        <v>-</v>
      </c>
      <c r="T2263" s="475"/>
      <c r="U2263" s="270"/>
      <c r="V2263" s="270"/>
      <c r="W2263" s="270"/>
      <c r="X2263" s="270"/>
      <c r="Y2263" s="270"/>
      <c r="Z2263" s="270"/>
      <c r="AA2263" s="270"/>
      <c r="AB2263" s="270"/>
      <c r="AC2263" s="270"/>
      <c r="AD2263" s="270"/>
      <c r="AE2263" s="270"/>
      <c r="AF2263" s="270"/>
      <c r="AG2263" s="270"/>
      <c r="AH2263" s="270"/>
      <c r="AI2263" s="270"/>
      <c r="AJ2263" s="270"/>
      <c r="AK2263" s="270"/>
      <c r="AL2263" s="270"/>
      <c r="AM2263" s="663"/>
      <c r="AN2263" s="663"/>
      <c r="AO2263" s="708" t="str">
        <f>IF(OR(Table1[[#This Row],[Início Setup Envase]]="",Table1[[#This Row],[Final Setup Envase]]=""),"",Table1[[#This Row],[Final Setup Envase]]-Table1[[#This Row],[Início Setup Envase]])</f>
        <v/>
      </c>
      <c r="AP2263" s="663"/>
      <c r="AQ2263" s="663"/>
      <c r="AR2263" s="270"/>
      <c r="AS2263" s="674"/>
      <c r="AT2263" s="674"/>
      <c r="AU2263" s="270"/>
      <c r="AV2263" s="270"/>
      <c r="AW2263" s="270"/>
      <c r="AX2263" s="270"/>
      <c r="AY2263" s="270"/>
      <c r="AZ2263" s="270"/>
      <c r="BA2263" s="270" t="str">
        <f>IF(Table1[[#This Row],[Data de Início]]="","",YEAR(Table1[[#This Row],[Data de Início]]))</f>
        <v/>
      </c>
      <c r="BB2263" s="270" t="str">
        <f>IF(Table1[[#This Row],[Data de Início]]="","",MONTH(Table1[[#This Row],[Data de Início]]))</f>
        <v/>
      </c>
      <c r="BC2263" s="483"/>
    </row>
    <row r="2264" spans="2:55" x14ac:dyDescent="0.25">
      <c r="B2264" s="470"/>
      <c r="C2264" s="263"/>
      <c r="D2264" s="477" cm="1">
        <f t="array" ref="D2264">IFERROR(HorasUteisFabrica2Turnos(B2264,C2264), "")</f>
        <v>0</v>
      </c>
      <c r="E2264" s="478" t="str">
        <f t="shared" si="35"/>
        <v/>
      </c>
      <c r="F2264" s="266"/>
      <c r="G2264" s="656"/>
      <c r="H2264" s="479"/>
      <c r="I2264" s="268"/>
      <c r="J2264" s="268"/>
      <c r="K2264" s="268"/>
      <c r="L2264" s="269"/>
      <c r="M2264" s="511" t="str">
        <f>IFERROR(INDEX([1]Produtos!$C:$C,MATCH(L2264,[1]Produtos!$B:$B,0)), "-")</f>
        <v>-</v>
      </c>
      <c r="N2264" s="511" t="str">
        <f>IFERROR(INDEX([1]Produtos!$E:$E,MATCH(L2264,[1]Produtos!$B:$B,0)), "-")</f>
        <v>-</v>
      </c>
      <c r="O2264" s="483" t="str">
        <f>IFERROR(INDEX([1]Produtos!$F:$F,MATCH(L2264,[1]Produtos!$B:$B,0)), "-")</f>
        <v>-</v>
      </c>
      <c r="P2264" s="477" t="str">
        <f>IFERROR(INDEX([1]Produtos!$G:$G,MATCH(L2264,[1]Produtos!$B:$B,0)), "-")</f>
        <v>-</v>
      </c>
      <c r="Q2264" s="483" t="str">
        <f>IFERROR(INDEX([1]Produtos!$H:$H,MATCH(L2264,[1]Produtos!$B:$B,0)), "-")</f>
        <v>-</v>
      </c>
      <c r="R2264" s="483" t="str">
        <f>IFERROR(INDEX([1]Produtos!$I:$I,MATCH(L2264,[1]Produtos!$B:$B,0)), "-")</f>
        <v>-</v>
      </c>
      <c r="S2264" s="483" t="str">
        <f>IFERROR(INDEX([1]Produtos!$J:$J,MATCH(L2264,[1]Produtos!$B:$B,0)), "-")</f>
        <v>-</v>
      </c>
      <c r="T2264" s="484"/>
      <c r="U2264" s="483"/>
      <c r="V2264" s="483"/>
      <c r="W2264" s="483"/>
      <c r="X2264" s="483"/>
      <c r="Y2264" s="483"/>
      <c r="Z2264" s="483"/>
      <c r="AA2264" s="483"/>
      <c r="AB2264" s="483"/>
      <c r="AC2264" s="483"/>
      <c r="AD2264" s="483"/>
      <c r="AE2264" s="483"/>
      <c r="AF2264" s="483"/>
      <c r="AG2264" s="483"/>
      <c r="AH2264" s="483"/>
      <c r="AI2264" s="483"/>
      <c r="AJ2264" s="483"/>
      <c r="AK2264" s="483"/>
      <c r="AL2264" s="483"/>
      <c r="AM2264" s="670"/>
      <c r="AN2264" s="670"/>
      <c r="AO2264" s="711" t="str">
        <f>IF(OR(Table1[[#This Row],[Início Setup Envase]]="",Table1[[#This Row],[Final Setup Envase]]=""),"",Table1[[#This Row],[Final Setup Envase]]-Table1[[#This Row],[Início Setup Envase]])</f>
        <v/>
      </c>
      <c r="AP2264" s="670"/>
      <c r="AQ2264" s="670"/>
      <c r="AR2264" s="483"/>
      <c r="AS2264" s="483"/>
      <c r="AT2264" s="483"/>
      <c r="AU2264" s="483"/>
      <c r="AV2264" s="483"/>
      <c r="AW2264" s="483"/>
      <c r="AX2264" s="483"/>
      <c r="AY2264" s="270"/>
      <c r="AZ2264" s="270"/>
      <c r="BA2264" s="270" t="str">
        <f>IF(Table1[[#This Row],[Data de Início]]="","",YEAR(Table1[[#This Row],[Data de Início]]))</f>
        <v/>
      </c>
      <c r="BB2264" s="270" t="str">
        <f>IF(Table1[[#This Row],[Data de Início]]="","",MONTH(Table1[[#This Row],[Data de Início]]))</f>
        <v/>
      </c>
      <c r="BC2264" s="270"/>
    </row>
    <row r="2265" spans="2:55" x14ac:dyDescent="0.25">
      <c r="B2265" s="470"/>
      <c r="C2265" s="263"/>
      <c r="D2265" s="477" cm="1">
        <f t="array" ref="D2265">IFERROR(HorasUteisFabrica2Turnos(B2265,C2265), "")</f>
        <v>0</v>
      </c>
      <c r="E2265" s="697" t="str">
        <f t="shared" si="35"/>
        <v/>
      </c>
      <c r="F2265" s="266"/>
      <c r="G2265" s="698"/>
      <c r="H2265" s="266"/>
      <c r="I2265" s="268"/>
      <c r="J2265" s="268"/>
      <c r="K2265" s="268"/>
      <c r="L2265" s="269"/>
      <c r="M2265" s="510" t="str">
        <f>IFERROR(INDEX([1]Produtos!$C:$C,MATCH(L2265,[1]Produtos!$B:$B,0)), "-")</f>
        <v>-</v>
      </c>
      <c r="N2265" s="510" t="str">
        <f>IFERROR(INDEX([1]Produtos!$E:$E,MATCH(L2265,[1]Produtos!$B:$B,0)), "-")</f>
        <v>-</v>
      </c>
      <c r="O2265" s="270" t="str">
        <f>IFERROR(INDEX([1]Produtos!$F:$F,MATCH(L2265,[1]Produtos!$B:$B,0)), "-")</f>
        <v>-</v>
      </c>
      <c r="P2265" s="264" t="str">
        <f>IFERROR(INDEX([1]Produtos!$G:$G,MATCH(L2265,[1]Produtos!$B:$B,0)), "-")</f>
        <v>-</v>
      </c>
      <c r="Q2265" s="270" t="str">
        <f>IFERROR(INDEX([1]Produtos!$H:$H,MATCH(L2265,[1]Produtos!$B:$B,0)), "-")</f>
        <v>-</v>
      </c>
      <c r="R2265" s="270" t="str">
        <f>IFERROR(INDEX([1]Produtos!$I:$I,MATCH(L2265,[1]Produtos!$B:$B,0)), "-")</f>
        <v>-</v>
      </c>
      <c r="S2265" s="270" t="str">
        <f>IFERROR(INDEX([1]Produtos!$J:$J,MATCH(L2265,[1]Produtos!$B:$B,0)), "-")</f>
        <v>-</v>
      </c>
      <c r="T2265" s="475"/>
      <c r="U2265" s="270"/>
      <c r="V2265" s="270"/>
      <c r="W2265" s="270"/>
      <c r="X2265" s="270"/>
      <c r="Y2265" s="270"/>
      <c r="Z2265" s="270"/>
      <c r="AA2265" s="270"/>
      <c r="AB2265" s="270"/>
      <c r="AC2265" s="270"/>
      <c r="AD2265" s="270"/>
      <c r="AE2265" s="270"/>
      <c r="AF2265" s="270"/>
      <c r="AG2265" s="270"/>
      <c r="AH2265" s="270"/>
      <c r="AI2265" s="270"/>
      <c r="AJ2265" s="270"/>
      <c r="AK2265" s="270"/>
      <c r="AL2265" s="270"/>
      <c r="AM2265" s="663"/>
      <c r="AN2265" s="663"/>
      <c r="AO2265" s="708" t="str">
        <f>IF(OR(Table1[[#This Row],[Início Setup Envase]]="",Table1[[#This Row],[Final Setup Envase]]=""),"",Table1[[#This Row],[Final Setup Envase]]-Table1[[#This Row],[Início Setup Envase]])</f>
        <v/>
      </c>
      <c r="AP2265" s="663"/>
      <c r="AQ2265" s="663"/>
      <c r="AR2265" s="270"/>
      <c r="AS2265" s="674"/>
      <c r="AT2265" s="674"/>
      <c r="AU2265" s="270"/>
      <c r="AV2265" s="270"/>
      <c r="AW2265" s="270"/>
      <c r="AX2265" s="270"/>
      <c r="AY2265" s="270"/>
      <c r="AZ2265" s="270"/>
      <c r="BA2265" s="270" t="str">
        <f>IF(Table1[[#This Row],[Data de Início]]="","",YEAR(Table1[[#This Row],[Data de Início]]))</f>
        <v/>
      </c>
      <c r="BB2265" s="270" t="str">
        <f>IF(Table1[[#This Row],[Data de Início]]="","",MONTH(Table1[[#This Row],[Data de Início]]))</f>
        <v/>
      </c>
      <c r="BC2265" s="483"/>
    </row>
    <row r="2266" spans="2:55" x14ac:dyDescent="0.25">
      <c r="B2266" s="470"/>
      <c r="C2266" s="263"/>
      <c r="D2266" s="477" cm="1">
        <f t="array" ref="D2266">IFERROR(HorasUteisFabrica2Turnos(B2266,C2266), "")</f>
        <v>0</v>
      </c>
      <c r="E2266" s="478" t="str">
        <f t="shared" si="35"/>
        <v/>
      </c>
      <c r="F2266" s="266"/>
      <c r="G2266" s="656"/>
      <c r="H2266" s="479"/>
      <c r="I2266" s="268"/>
      <c r="J2266" s="268"/>
      <c r="K2266" s="268"/>
      <c r="L2266" s="269"/>
      <c r="M2266" s="511" t="str">
        <f>IFERROR(INDEX([1]Produtos!$C:$C,MATCH(L2266,[1]Produtos!$B:$B,0)), "-")</f>
        <v>-</v>
      </c>
      <c r="N2266" s="511" t="str">
        <f>IFERROR(INDEX([1]Produtos!$E:$E,MATCH(L2266,[1]Produtos!$B:$B,0)), "-")</f>
        <v>-</v>
      </c>
      <c r="O2266" s="483" t="str">
        <f>IFERROR(INDEX([1]Produtos!$F:$F,MATCH(L2266,[1]Produtos!$B:$B,0)), "-")</f>
        <v>-</v>
      </c>
      <c r="P2266" s="477" t="str">
        <f>IFERROR(INDEX([1]Produtos!$G:$G,MATCH(L2266,[1]Produtos!$B:$B,0)), "-")</f>
        <v>-</v>
      </c>
      <c r="Q2266" s="483" t="str">
        <f>IFERROR(INDEX([1]Produtos!$H:$H,MATCH(L2266,[1]Produtos!$B:$B,0)), "-")</f>
        <v>-</v>
      </c>
      <c r="R2266" s="483" t="str">
        <f>IFERROR(INDEX([1]Produtos!$I:$I,MATCH(L2266,[1]Produtos!$B:$B,0)), "-")</f>
        <v>-</v>
      </c>
      <c r="S2266" s="483" t="str">
        <f>IFERROR(INDEX([1]Produtos!$J:$J,MATCH(L2266,[1]Produtos!$B:$B,0)), "-")</f>
        <v>-</v>
      </c>
      <c r="T2266" s="484"/>
      <c r="U2266" s="483"/>
      <c r="V2266" s="483"/>
      <c r="W2266" s="483"/>
      <c r="X2266" s="483"/>
      <c r="Y2266" s="483"/>
      <c r="Z2266" s="483"/>
      <c r="AA2266" s="483"/>
      <c r="AB2266" s="483"/>
      <c r="AC2266" s="483"/>
      <c r="AD2266" s="483"/>
      <c r="AE2266" s="483"/>
      <c r="AF2266" s="483"/>
      <c r="AG2266" s="483"/>
      <c r="AH2266" s="483"/>
      <c r="AI2266" s="483"/>
      <c r="AJ2266" s="483"/>
      <c r="AK2266" s="483"/>
      <c r="AL2266" s="483"/>
      <c r="AM2266" s="670"/>
      <c r="AN2266" s="670"/>
      <c r="AO2266" s="711" t="str">
        <f>IF(OR(Table1[[#This Row],[Início Setup Envase]]="",Table1[[#This Row],[Final Setup Envase]]=""),"",Table1[[#This Row],[Final Setup Envase]]-Table1[[#This Row],[Início Setup Envase]])</f>
        <v/>
      </c>
      <c r="AP2266" s="670"/>
      <c r="AQ2266" s="670"/>
      <c r="AR2266" s="483"/>
      <c r="AS2266" s="483"/>
      <c r="AT2266" s="483"/>
      <c r="AU2266" s="483"/>
      <c r="AV2266" s="483"/>
      <c r="AW2266" s="483"/>
      <c r="AX2266" s="483"/>
      <c r="AY2266" s="270"/>
      <c r="AZ2266" s="270"/>
      <c r="BA2266" s="270" t="str">
        <f>IF(Table1[[#This Row],[Data de Início]]="","",YEAR(Table1[[#This Row],[Data de Início]]))</f>
        <v/>
      </c>
      <c r="BB2266" s="270" t="str">
        <f>IF(Table1[[#This Row],[Data de Início]]="","",MONTH(Table1[[#This Row],[Data de Início]]))</f>
        <v/>
      </c>
      <c r="BC2266" s="270"/>
    </row>
    <row r="2267" spans="2:55" x14ac:dyDescent="0.25">
      <c r="B2267" s="470"/>
      <c r="C2267" s="263"/>
      <c r="D2267" s="477" cm="1">
        <f t="array" ref="D2267">IFERROR(HorasUteisFabrica2Turnos(B2267,C2267), "")</f>
        <v>0</v>
      </c>
      <c r="E2267" s="697" t="str">
        <f t="shared" si="35"/>
        <v/>
      </c>
      <c r="F2267" s="266"/>
      <c r="G2267" s="698"/>
      <c r="H2267" s="266"/>
      <c r="I2267" s="268"/>
      <c r="J2267" s="268"/>
      <c r="K2267" s="268"/>
      <c r="L2267" s="269"/>
      <c r="M2267" s="510" t="str">
        <f>IFERROR(INDEX([1]Produtos!$C:$C,MATCH(L2267,[1]Produtos!$B:$B,0)), "-")</f>
        <v>-</v>
      </c>
      <c r="N2267" s="510" t="str">
        <f>IFERROR(INDEX([1]Produtos!$E:$E,MATCH(L2267,[1]Produtos!$B:$B,0)), "-")</f>
        <v>-</v>
      </c>
      <c r="O2267" s="270" t="str">
        <f>IFERROR(INDEX([1]Produtos!$F:$F,MATCH(L2267,[1]Produtos!$B:$B,0)), "-")</f>
        <v>-</v>
      </c>
      <c r="P2267" s="264" t="str">
        <f>IFERROR(INDEX([1]Produtos!$G:$G,MATCH(L2267,[1]Produtos!$B:$B,0)), "-")</f>
        <v>-</v>
      </c>
      <c r="Q2267" s="270" t="str">
        <f>IFERROR(INDEX([1]Produtos!$H:$H,MATCH(L2267,[1]Produtos!$B:$B,0)), "-")</f>
        <v>-</v>
      </c>
      <c r="R2267" s="270" t="str">
        <f>IFERROR(INDEX([1]Produtos!$I:$I,MATCH(L2267,[1]Produtos!$B:$B,0)), "-")</f>
        <v>-</v>
      </c>
      <c r="S2267" s="270" t="str">
        <f>IFERROR(INDEX([1]Produtos!$J:$J,MATCH(L2267,[1]Produtos!$B:$B,0)), "-")</f>
        <v>-</v>
      </c>
      <c r="T2267" s="475"/>
      <c r="U2267" s="270"/>
      <c r="V2267" s="270"/>
      <c r="W2267" s="270"/>
      <c r="X2267" s="270"/>
      <c r="Y2267" s="270"/>
      <c r="Z2267" s="270"/>
      <c r="AA2267" s="270"/>
      <c r="AB2267" s="270"/>
      <c r="AC2267" s="270"/>
      <c r="AD2267" s="270"/>
      <c r="AE2267" s="270"/>
      <c r="AF2267" s="270"/>
      <c r="AG2267" s="270"/>
      <c r="AH2267" s="270"/>
      <c r="AI2267" s="270"/>
      <c r="AJ2267" s="270"/>
      <c r="AK2267" s="270"/>
      <c r="AL2267" s="270"/>
      <c r="AM2267" s="663"/>
      <c r="AN2267" s="663"/>
      <c r="AO2267" s="708" t="str">
        <f>IF(OR(Table1[[#This Row],[Início Setup Envase]]="",Table1[[#This Row],[Final Setup Envase]]=""),"",Table1[[#This Row],[Final Setup Envase]]-Table1[[#This Row],[Início Setup Envase]])</f>
        <v/>
      </c>
      <c r="AP2267" s="663"/>
      <c r="AQ2267" s="663"/>
      <c r="AR2267" s="270"/>
      <c r="AS2267" s="674"/>
      <c r="AT2267" s="674"/>
      <c r="AU2267" s="270"/>
      <c r="AV2267" s="270"/>
      <c r="AW2267" s="270"/>
      <c r="AX2267" s="270"/>
      <c r="AY2267" s="270"/>
      <c r="AZ2267" s="270"/>
      <c r="BA2267" s="270" t="str">
        <f>IF(Table1[[#This Row],[Data de Início]]="","",YEAR(Table1[[#This Row],[Data de Início]]))</f>
        <v/>
      </c>
      <c r="BB2267" s="270" t="str">
        <f>IF(Table1[[#This Row],[Data de Início]]="","",MONTH(Table1[[#This Row],[Data de Início]]))</f>
        <v/>
      </c>
      <c r="BC2267" s="483"/>
    </row>
    <row r="2268" spans="2:55" x14ac:dyDescent="0.25">
      <c r="B2268" s="470"/>
      <c r="C2268" s="263"/>
      <c r="D2268" s="477" cm="1">
        <f t="array" ref="D2268">IFERROR(HorasUteisFabrica2Turnos(B2268,C2268), "")</f>
        <v>0</v>
      </c>
      <c r="E2268" s="478" t="str">
        <f t="shared" si="35"/>
        <v/>
      </c>
      <c r="F2268" s="266"/>
      <c r="G2268" s="656"/>
      <c r="H2268" s="479"/>
      <c r="I2268" s="268"/>
      <c r="J2268" s="268"/>
      <c r="K2268" s="268"/>
      <c r="L2268" s="269"/>
      <c r="M2268" s="511" t="str">
        <f>IFERROR(INDEX([1]Produtos!$C:$C,MATCH(L2268,[1]Produtos!$B:$B,0)), "-")</f>
        <v>-</v>
      </c>
      <c r="N2268" s="511" t="str">
        <f>IFERROR(INDEX([1]Produtos!$E:$E,MATCH(L2268,[1]Produtos!$B:$B,0)), "-")</f>
        <v>-</v>
      </c>
      <c r="O2268" s="483" t="str">
        <f>IFERROR(INDEX([1]Produtos!$F:$F,MATCH(L2268,[1]Produtos!$B:$B,0)), "-")</f>
        <v>-</v>
      </c>
      <c r="P2268" s="477" t="str">
        <f>IFERROR(INDEX([1]Produtos!$G:$G,MATCH(L2268,[1]Produtos!$B:$B,0)), "-")</f>
        <v>-</v>
      </c>
      <c r="Q2268" s="483" t="str">
        <f>IFERROR(INDEX([1]Produtos!$H:$H,MATCH(L2268,[1]Produtos!$B:$B,0)), "-")</f>
        <v>-</v>
      </c>
      <c r="R2268" s="483" t="str">
        <f>IFERROR(INDEX([1]Produtos!$I:$I,MATCH(L2268,[1]Produtos!$B:$B,0)), "-")</f>
        <v>-</v>
      </c>
      <c r="S2268" s="483" t="str">
        <f>IFERROR(INDEX([1]Produtos!$J:$J,MATCH(L2268,[1]Produtos!$B:$B,0)), "-")</f>
        <v>-</v>
      </c>
      <c r="T2268" s="484"/>
      <c r="U2268" s="483"/>
      <c r="V2268" s="483"/>
      <c r="W2268" s="483"/>
      <c r="X2268" s="483"/>
      <c r="Y2268" s="483"/>
      <c r="Z2268" s="483"/>
      <c r="AA2268" s="483"/>
      <c r="AB2268" s="483"/>
      <c r="AC2268" s="483"/>
      <c r="AD2268" s="483"/>
      <c r="AE2268" s="483"/>
      <c r="AF2268" s="483"/>
      <c r="AG2268" s="483"/>
      <c r="AH2268" s="483"/>
      <c r="AI2268" s="483"/>
      <c r="AJ2268" s="483"/>
      <c r="AK2268" s="483"/>
      <c r="AL2268" s="483"/>
      <c r="AM2268" s="670"/>
      <c r="AN2268" s="670"/>
      <c r="AO2268" s="711" t="str">
        <f>IF(OR(Table1[[#This Row],[Início Setup Envase]]="",Table1[[#This Row],[Final Setup Envase]]=""),"",Table1[[#This Row],[Final Setup Envase]]-Table1[[#This Row],[Início Setup Envase]])</f>
        <v/>
      </c>
      <c r="AP2268" s="670"/>
      <c r="AQ2268" s="670"/>
      <c r="AR2268" s="483"/>
      <c r="AS2268" s="483"/>
      <c r="AT2268" s="483"/>
      <c r="AU2268" s="483"/>
      <c r="AV2268" s="483"/>
      <c r="AW2268" s="483"/>
      <c r="AX2268" s="483"/>
      <c r="AY2268" s="270"/>
      <c r="AZ2268" s="270"/>
      <c r="BA2268" s="270" t="str">
        <f>IF(Table1[[#This Row],[Data de Início]]="","",YEAR(Table1[[#This Row],[Data de Início]]))</f>
        <v/>
      </c>
      <c r="BB2268" s="270" t="str">
        <f>IF(Table1[[#This Row],[Data de Início]]="","",MONTH(Table1[[#This Row],[Data de Início]]))</f>
        <v/>
      </c>
      <c r="BC2268" s="270"/>
    </row>
    <row r="2269" spans="2:55" x14ac:dyDescent="0.25">
      <c r="B2269" s="470"/>
      <c r="C2269" s="263"/>
      <c r="D2269" s="477" cm="1">
        <f t="array" ref="D2269">IFERROR(HorasUteisFabrica2Turnos(B2269,C2269), "")</f>
        <v>0</v>
      </c>
      <c r="E2269" s="697" t="str">
        <f t="shared" si="35"/>
        <v/>
      </c>
      <c r="F2269" s="266"/>
      <c r="G2269" s="698"/>
      <c r="H2269" s="266"/>
      <c r="I2269" s="268"/>
      <c r="J2269" s="268"/>
      <c r="K2269" s="268"/>
      <c r="L2269" s="269"/>
      <c r="M2269" s="510" t="str">
        <f>IFERROR(INDEX([1]Produtos!$C:$C,MATCH(L2269,[1]Produtos!$B:$B,0)), "-")</f>
        <v>-</v>
      </c>
      <c r="N2269" s="510" t="str">
        <f>IFERROR(INDEX([1]Produtos!$E:$E,MATCH(L2269,[1]Produtos!$B:$B,0)), "-")</f>
        <v>-</v>
      </c>
      <c r="O2269" s="270" t="str">
        <f>IFERROR(INDEX([1]Produtos!$F:$F,MATCH(L2269,[1]Produtos!$B:$B,0)), "-")</f>
        <v>-</v>
      </c>
      <c r="P2269" s="264" t="str">
        <f>IFERROR(INDEX([1]Produtos!$G:$G,MATCH(L2269,[1]Produtos!$B:$B,0)), "-")</f>
        <v>-</v>
      </c>
      <c r="Q2269" s="270" t="str">
        <f>IFERROR(INDEX([1]Produtos!$H:$H,MATCH(L2269,[1]Produtos!$B:$B,0)), "-")</f>
        <v>-</v>
      </c>
      <c r="R2269" s="270" t="str">
        <f>IFERROR(INDEX([1]Produtos!$I:$I,MATCH(L2269,[1]Produtos!$B:$B,0)), "-")</f>
        <v>-</v>
      </c>
      <c r="S2269" s="270" t="str">
        <f>IFERROR(INDEX([1]Produtos!$J:$J,MATCH(L2269,[1]Produtos!$B:$B,0)), "-")</f>
        <v>-</v>
      </c>
      <c r="T2269" s="475"/>
      <c r="U2269" s="270"/>
      <c r="V2269" s="270"/>
      <c r="W2269" s="270"/>
      <c r="X2269" s="270"/>
      <c r="Y2269" s="270"/>
      <c r="Z2269" s="270"/>
      <c r="AA2269" s="270"/>
      <c r="AB2269" s="270"/>
      <c r="AC2269" s="270"/>
      <c r="AD2269" s="270"/>
      <c r="AE2269" s="270"/>
      <c r="AF2269" s="270"/>
      <c r="AG2269" s="270"/>
      <c r="AH2269" s="270"/>
      <c r="AI2269" s="270"/>
      <c r="AJ2269" s="270"/>
      <c r="AK2269" s="270"/>
      <c r="AL2269" s="270"/>
      <c r="AM2269" s="663"/>
      <c r="AN2269" s="663"/>
      <c r="AO2269" s="708" t="str">
        <f>IF(OR(Table1[[#This Row],[Início Setup Envase]]="",Table1[[#This Row],[Final Setup Envase]]=""),"",Table1[[#This Row],[Final Setup Envase]]-Table1[[#This Row],[Início Setup Envase]])</f>
        <v/>
      </c>
      <c r="AP2269" s="663"/>
      <c r="AQ2269" s="663"/>
      <c r="AR2269" s="270"/>
      <c r="AS2269" s="674"/>
      <c r="AT2269" s="674"/>
      <c r="AU2269" s="270"/>
      <c r="AV2269" s="270"/>
      <c r="AW2269" s="270"/>
      <c r="AX2269" s="270"/>
      <c r="AY2269" s="270"/>
      <c r="AZ2269" s="270"/>
      <c r="BA2269" s="270" t="str">
        <f>IF(Table1[[#This Row],[Data de Início]]="","",YEAR(Table1[[#This Row],[Data de Início]]))</f>
        <v/>
      </c>
      <c r="BB2269" s="270" t="str">
        <f>IF(Table1[[#This Row],[Data de Início]]="","",MONTH(Table1[[#This Row],[Data de Início]]))</f>
        <v/>
      </c>
      <c r="BC2269" s="483"/>
    </row>
    <row r="2270" spans="2:55" x14ac:dyDescent="0.25">
      <c r="B2270" s="470"/>
      <c r="C2270" s="263"/>
      <c r="D2270" s="477" cm="1">
        <f t="array" ref="D2270">IFERROR(HorasUteisFabrica2Turnos(B2270,C2270), "")</f>
        <v>0</v>
      </c>
      <c r="E2270" s="478" t="str">
        <f t="shared" si="35"/>
        <v/>
      </c>
      <c r="F2270" s="266"/>
      <c r="G2270" s="656"/>
      <c r="H2270" s="479"/>
      <c r="I2270" s="268"/>
      <c r="J2270" s="268"/>
      <c r="K2270" s="268"/>
      <c r="L2270" s="269"/>
      <c r="M2270" s="511" t="str">
        <f>IFERROR(INDEX([1]Produtos!$C:$C,MATCH(L2270,[1]Produtos!$B:$B,0)), "-")</f>
        <v>-</v>
      </c>
      <c r="N2270" s="511" t="str">
        <f>IFERROR(INDEX([1]Produtos!$E:$E,MATCH(L2270,[1]Produtos!$B:$B,0)), "-")</f>
        <v>-</v>
      </c>
      <c r="O2270" s="483" t="str">
        <f>IFERROR(INDEX([1]Produtos!$F:$F,MATCH(L2270,[1]Produtos!$B:$B,0)), "-")</f>
        <v>-</v>
      </c>
      <c r="P2270" s="477" t="str">
        <f>IFERROR(INDEX([1]Produtos!$G:$G,MATCH(L2270,[1]Produtos!$B:$B,0)), "-")</f>
        <v>-</v>
      </c>
      <c r="Q2270" s="483" t="str">
        <f>IFERROR(INDEX([1]Produtos!$H:$H,MATCH(L2270,[1]Produtos!$B:$B,0)), "-")</f>
        <v>-</v>
      </c>
      <c r="R2270" s="483" t="str">
        <f>IFERROR(INDEX([1]Produtos!$I:$I,MATCH(L2270,[1]Produtos!$B:$B,0)), "-")</f>
        <v>-</v>
      </c>
      <c r="S2270" s="483" t="str">
        <f>IFERROR(INDEX([1]Produtos!$J:$J,MATCH(L2270,[1]Produtos!$B:$B,0)), "-")</f>
        <v>-</v>
      </c>
      <c r="T2270" s="484"/>
      <c r="U2270" s="483"/>
      <c r="V2270" s="483"/>
      <c r="W2270" s="483"/>
      <c r="X2270" s="483"/>
      <c r="Y2270" s="483"/>
      <c r="Z2270" s="483"/>
      <c r="AA2270" s="483"/>
      <c r="AB2270" s="483"/>
      <c r="AC2270" s="483"/>
      <c r="AD2270" s="483"/>
      <c r="AE2270" s="483"/>
      <c r="AF2270" s="483"/>
      <c r="AG2270" s="483"/>
      <c r="AH2270" s="483"/>
      <c r="AI2270" s="483"/>
      <c r="AJ2270" s="483"/>
      <c r="AK2270" s="483"/>
      <c r="AL2270" s="483"/>
      <c r="AM2270" s="670"/>
      <c r="AN2270" s="670"/>
      <c r="AO2270" s="711" t="str">
        <f>IF(OR(Table1[[#This Row],[Início Setup Envase]]="",Table1[[#This Row],[Final Setup Envase]]=""),"",Table1[[#This Row],[Final Setup Envase]]-Table1[[#This Row],[Início Setup Envase]])</f>
        <v/>
      </c>
      <c r="AP2270" s="670"/>
      <c r="AQ2270" s="670"/>
      <c r="AR2270" s="483"/>
      <c r="AS2270" s="483"/>
      <c r="AT2270" s="483"/>
      <c r="AU2270" s="483"/>
      <c r="AV2270" s="483"/>
      <c r="AW2270" s="483"/>
      <c r="AX2270" s="483"/>
      <c r="AY2270" s="270"/>
      <c r="AZ2270" s="270"/>
      <c r="BA2270" s="270" t="str">
        <f>IF(Table1[[#This Row],[Data de Início]]="","",YEAR(Table1[[#This Row],[Data de Início]]))</f>
        <v/>
      </c>
      <c r="BB2270" s="270" t="str">
        <f>IF(Table1[[#This Row],[Data de Início]]="","",MONTH(Table1[[#This Row],[Data de Início]]))</f>
        <v/>
      </c>
      <c r="BC2270" s="270"/>
    </row>
    <row r="2271" spans="2:55" x14ac:dyDescent="0.25">
      <c r="B2271" s="470"/>
      <c r="C2271" s="263"/>
      <c r="D2271" s="477" cm="1">
        <f t="array" ref="D2271">IFERROR(HorasUteisFabrica2Turnos(B2271,C2271), "")</f>
        <v>0</v>
      </c>
      <c r="E2271" s="697" t="str">
        <f t="shared" si="35"/>
        <v/>
      </c>
      <c r="F2271" s="266"/>
      <c r="G2271" s="698"/>
      <c r="H2271" s="266"/>
      <c r="I2271" s="268"/>
      <c r="J2271" s="268"/>
      <c r="K2271" s="268"/>
      <c r="L2271" s="269"/>
      <c r="M2271" s="510" t="str">
        <f>IFERROR(INDEX([1]Produtos!$C:$C,MATCH(L2271,[1]Produtos!$B:$B,0)), "-")</f>
        <v>-</v>
      </c>
      <c r="N2271" s="510" t="str">
        <f>IFERROR(INDEX([1]Produtos!$E:$E,MATCH(L2271,[1]Produtos!$B:$B,0)), "-")</f>
        <v>-</v>
      </c>
      <c r="O2271" s="270" t="str">
        <f>IFERROR(INDEX([1]Produtos!$F:$F,MATCH(L2271,[1]Produtos!$B:$B,0)), "-")</f>
        <v>-</v>
      </c>
      <c r="P2271" s="264" t="str">
        <f>IFERROR(INDEX([1]Produtos!$G:$G,MATCH(L2271,[1]Produtos!$B:$B,0)), "-")</f>
        <v>-</v>
      </c>
      <c r="Q2271" s="270" t="str">
        <f>IFERROR(INDEX([1]Produtos!$H:$H,MATCH(L2271,[1]Produtos!$B:$B,0)), "-")</f>
        <v>-</v>
      </c>
      <c r="R2271" s="270" t="str">
        <f>IFERROR(INDEX([1]Produtos!$I:$I,MATCH(L2271,[1]Produtos!$B:$B,0)), "-")</f>
        <v>-</v>
      </c>
      <c r="S2271" s="270" t="str">
        <f>IFERROR(INDEX([1]Produtos!$J:$J,MATCH(L2271,[1]Produtos!$B:$B,0)), "-")</f>
        <v>-</v>
      </c>
      <c r="T2271" s="475"/>
      <c r="U2271" s="270"/>
      <c r="V2271" s="270"/>
      <c r="W2271" s="270"/>
      <c r="X2271" s="270"/>
      <c r="Y2271" s="270"/>
      <c r="Z2271" s="270"/>
      <c r="AA2271" s="270"/>
      <c r="AB2271" s="270"/>
      <c r="AC2271" s="270"/>
      <c r="AD2271" s="270"/>
      <c r="AE2271" s="270"/>
      <c r="AF2271" s="270"/>
      <c r="AG2271" s="270"/>
      <c r="AH2271" s="270"/>
      <c r="AI2271" s="270"/>
      <c r="AJ2271" s="270"/>
      <c r="AK2271" s="270"/>
      <c r="AL2271" s="270"/>
      <c r="AM2271" s="663"/>
      <c r="AN2271" s="663"/>
      <c r="AO2271" s="708" t="str">
        <f>IF(OR(Table1[[#This Row],[Início Setup Envase]]="",Table1[[#This Row],[Final Setup Envase]]=""),"",Table1[[#This Row],[Final Setup Envase]]-Table1[[#This Row],[Início Setup Envase]])</f>
        <v/>
      </c>
      <c r="AP2271" s="663"/>
      <c r="AQ2271" s="663"/>
      <c r="AR2271" s="270"/>
      <c r="AS2271" s="674"/>
      <c r="AT2271" s="674"/>
      <c r="AU2271" s="270"/>
      <c r="AV2271" s="270"/>
      <c r="AW2271" s="270"/>
      <c r="AX2271" s="270"/>
      <c r="AY2271" s="270"/>
      <c r="AZ2271" s="270"/>
      <c r="BA2271" s="270" t="str">
        <f>IF(Table1[[#This Row],[Data de Início]]="","",YEAR(Table1[[#This Row],[Data de Início]]))</f>
        <v/>
      </c>
      <c r="BB2271" s="270" t="str">
        <f>IF(Table1[[#This Row],[Data de Início]]="","",MONTH(Table1[[#This Row],[Data de Início]]))</f>
        <v/>
      </c>
      <c r="BC2271" s="483"/>
    </row>
    <row r="2272" spans="2:55" x14ac:dyDescent="0.25">
      <c r="B2272" s="470"/>
      <c r="C2272" s="263"/>
      <c r="D2272" s="477" cm="1">
        <f t="array" ref="D2272">IFERROR(HorasUteisFabrica2Turnos(B2272,C2272), "")</f>
        <v>0</v>
      </c>
      <c r="E2272" s="478" t="str">
        <f t="shared" si="35"/>
        <v/>
      </c>
      <c r="F2272" s="266"/>
      <c r="G2272" s="656"/>
      <c r="H2272" s="479"/>
      <c r="I2272" s="268"/>
      <c r="J2272" s="268"/>
      <c r="K2272" s="268"/>
      <c r="L2272" s="269"/>
      <c r="M2272" s="511" t="str">
        <f>IFERROR(INDEX([1]Produtos!$C:$C,MATCH(L2272,[1]Produtos!$B:$B,0)), "-")</f>
        <v>-</v>
      </c>
      <c r="N2272" s="511" t="str">
        <f>IFERROR(INDEX([1]Produtos!$E:$E,MATCH(L2272,[1]Produtos!$B:$B,0)), "-")</f>
        <v>-</v>
      </c>
      <c r="O2272" s="483" t="str">
        <f>IFERROR(INDEX([1]Produtos!$F:$F,MATCH(L2272,[1]Produtos!$B:$B,0)), "-")</f>
        <v>-</v>
      </c>
      <c r="P2272" s="477" t="str">
        <f>IFERROR(INDEX([1]Produtos!$G:$G,MATCH(L2272,[1]Produtos!$B:$B,0)), "-")</f>
        <v>-</v>
      </c>
      <c r="Q2272" s="483" t="str">
        <f>IFERROR(INDEX([1]Produtos!$H:$H,MATCH(L2272,[1]Produtos!$B:$B,0)), "-")</f>
        <v>-</v>
      </c>
      <c r="R2272" s="483" t="str">
        <f>IFERROR(INDEX([1]Produtos!$I:$I,MATCH(L2272,[1]Produtos!$B:$B,0)), "-")</f>
        <v>-</v>
      </c>
      <c r="S2272" s="483" t="str">
        <f>IFERROR(INDEX([1]Produtos!$J:$J,MATCH(L2272,[1]Produtos!$B:$B,0)), "-")</f>
        <v>-</v>
      </c>
      <c r="T2272" s="484"/>
      <c r="U2272" s="483"/>
      <c r="V2272" s="483"/>
      <c r="W2272" s="483"/>
      <c r="X2272" s="483"/>
      <c r="Y2272" s="483"/>
      <c r="Z2272" s="483"/>
      <c r="AA2272" s="483"/>
      <c r="AB2272" s="483"/>
      <c r="AC2272" s="483"/>
      <c r="AD2272" s="483"/>
      <c r="AE2272" s="483"/>
      <c r="AF2272" s="483"/>
      <c r="AG2272" s="483"/>
      <c r="AH2272" s="483"/>
      <c r="AI2272" s="483"/>
      <c r="AJ2272" s="483"/>
      <c r="AK2272" s="483"/>
      <c r="AL2272" s="483"/>
      <c r="AM2272" s="670"/>
      <c r="AN2272" s="670"/>
      <c r="AO2272" s="711" t="str">
        <f>IF(OR(Table1[[#This Row],[Início Setup Envase]]="",Table1[[#This Row],[Final Setup Envase]]=""),"",Table1[[#This Row],[Final Setup Envase]]-Table1[[#This Row],[Início Setup Envase]])</f>
        <v/>
      </c>
      <c r="AP2272" s="670"/>
      <c r="AQ2272" s="670"/>
      <c r="AR2272" s="483"/>
      <c r="AS2272" s="483"/>
      <c r="AT2272" s="483"/>
      <c r="AU2272" s="483"/>
      <c r="AV2272" s="483"/>
      <c r="AW2272" s="483"/>
      <c r="AX2272" s="483"/>
      <c r="AY2272" s="270"/>
      <c r="AZ2272" s="270"/>
      <c r="BA2272" s="270" t="str">
        <f>IF(Table1[[#This Row],[Data de Início]]="","",YEAR(Table1[[#This Row],[Data de Início]]))</f>
        <v/>
      </c>
      <c r="BB2272" s="270" t="str">
        <f>IF(Table1[[#This Row],[Data de Início]]="","",MONTH(Table1[[#This Row],[Data de Início]]))</f>
        <v/>
      </c>
      <c r="BC2272" s="270"/>
    </row>
    <row r="2273" spans="2:55" x14ac:dyDescent="0.25">
      <c r="B2273" s="470"/>
      <c r="C2273" s="263"/>
      <c r="D2273" s="477" cm="1">
        <f t="array" ref="D2273">IFERROR(HorasUteisFabrica2Turnos(B2273,C2273), "")</f>
        <v>0</v>
      </c>
      <c r="E2273" s="697" t="str">
        <f t="shared" si="35"/>
        <v/>
      </c>
      <c r="F2273" s="266"/>
      <c r="G2273" s="698"/>
      <c r="H2273" s="266"/>
      <c r="I2273" s="268"/>
      <c r="J2273" s="268"/>
      <c r="K2273" s="268"/>
      <c r="L2273" s="269"/>
      <c r="M2273" s="510" t="str">
        <f>IFERROR(INDEX([1]Produtos!$C:$C,MATCH(L2273,[1]Produtos!$B:$B,0)), "-")</f>
        <v>-</v>
      </c>
      <c r="N2273" s="510" t="str">
        <f>IFERROR(INDEX([1]Produtos!$E:$E,MATCH(L2273,[1]Produtos!$B:$B,0)), "-")</f>
        <v>-</v>
      </c>
      <c r="O2273" s="270" t="str">
        <f>IFERROR(INDEX([1]Produtos!$F:$F,MATCH(L2273,[1]Produtos!$B:$B,0)), "-")</f>
        <v>-</v>
      </c>
      <c r="P2273" s="264" t="str">
        <f>IFERROR(INDEX([1]Produtos!$G:$G,MATCH(L2273,[1]Produtos!$B:$B,0)), "-")</f>
        <v>-</v>
      </c>
      <c r="Q2273" s="270" t="str">
        <f>IFERROR(INDEX([1]Produtos!$H:$H,MATCH(L2273,[1]Produtos!$B:$B,0)), "-")</f>
        <v>-</v>
      </c>
      <c r="R2273" s="270" t="str">
        <f>IFERROR(INDEX([1]Produtos!$I:$I,MATCH(L2273,[1]Produtos!$B:$B,0)), "-")</f>
        <v>-</v>
      </c>
      <c r="S2273" s="270" t="str">
        <f>IFERROR(INDEX([1]Produtos!$J:$J,MATCH(L2273,[1]Produtos!$B:$B,0)), "-")</f>
        <v>-</v>
      </c>
      <c r="T2273" s="475"/>
      <c r="U2273" s="270"/>
      <c r="V2273" s="270"/>
      <c r="W2273" s="270"/>
      <c r="X2273" s="270"/>
      <c r="Y2273" s="270"/>
      <c r="Z2273" s="270"/>
      <c r="AA2273" s="270"/>
      <c r="AB2273" s="270"/>
      <c r="AC2273" s="270"/>
      <c r="AD2273" s="270"/>
      <c r="AE2273" s="270"/>
      <c r="AF2273" s="270"/>
      <c r="AG2273" s="270"/>
      <c r="AH2273" s="270"/>
      <c r="AI2273" s="270"/>
      <c r="AJ2273" s="270"/>
      <c r="AK2273" s="270"/>
      <c r="AL2273" s="270"/>
      <c r="AM2273" s="663"/>
      <c r="AN2273" s="663"/>
      <c r="AO2273" s="708" t="str">
        <f>IF(OR(Table1[[#This Row],[Início Setup Envase]]="",Table1[[#This Row],[Final Setup Envase]]=""),"",Table1[[#This Row],[Final Setup Envase]]-Table1[[#This Row],[Início Setup Envase]])</f>
        <v/>
      </c>
      <c r="AP2273" s="663"/>
      <c r="AQ2273" s="663"/>
      <c r="AR2273" s="270"/>
      <c r="AS2273" s="674"/>
      <c r="AT2273" s="674"/>
      <c r="AU2273" s="270"/>
      <c r="AV2273" s="270"/>
      <c r="AW2273" s="270"/>
      <c r="AX2273" s="270"/>
      <c r="AY2273" s="270"/>
      <c r="AZ2273" s="270"/>
      <c r="BA2273" s="270" t="str">
        <f>IF(Table1[[#This Row],[Data de Início]]="","",YEAR(Table1[[#This Row],[Data de Início]]))</f>
        <v/>
      </c>
      <c r="BB2273" s="270" t="str">
        <f>IF(Table1[[#This Row],[Data de Início]]="","",MONTH(Table1[[#This Row],[Data de Início]]))</f>
        <v/>
      </c>
      <c r="BC2273" s="483"/>
    </row>
    <row r="2274" spans="2:55" x14ac:dyDescent="0.25">
      <c r="B2274" s="470"/>
      <c r="C2274" s="263"/>
      <c r="D2274" s="477" cm="1">
        <f t="array" ref="D2274">IFERROR(HorasUteisFabrica2Turnos(B2274,C2274), "")</f>
        <v>0</v>
      </c>
      <c r="E2274" s="478" t="str">
        <f t="shared" si="35"/>
        <v/>
      </c>
      <c r="F2274" s="266"/>
      <c r="G2274" s="656"/>
      <c r="H2274" s="479"/>
      <c r="I2274" s="268"/>
      <c r="J2274" s="268"/>
      <c r="K2274" s="268"/>
      <c r="L2274" s="269"/>
      <c r="M2274" s="511" t="str">
        <f>IFERROR(INDEX([1]Produtos!$C:$C,MATCH(L2274,[1]Produtos!$B:$B,0)), "-")</f>
        <v>-</v>
      </c>
      <c r="N2274" s="511" t="str">
        <f>IFERROR(INDEX([1]Produtos!$E:$E,MATCH(L2274,[1]Produtos!$B:$B,0)), "-")</f>
        <v>-</v>
      </c>
      <c r="O2274" s="483" t="str">
        <f>IFERROR(INDEX([1]Produtos!$F:$F,MATCH(L2274,[1]Produtos!$B:$B,0)), "-")</f>
        <v>-</v>
      </c>
      <c r="P2274" s="477" t="str">
        <f>IFERROR(INDEX([1]Produtos!$G:$G,MATCH(L2274,[1]Produtos!$B:$B,0)), "-")</f>
        <v>-</v>
      </c>
      <c r="Q2274" s="483" t="str">
        <f>IFERROR(INDEX([1]Produtos!$H:$H,MATCH(L2274,[1]Produtos!$B:$B,0)), "-")</f>
        <v>-</v>
      </c>
      <c r="R2274" s="483" t="str">
        <f>IFERROR(INDEX([1]Produtos!$I:$I,MATCH(L2274,[1]Produtos!$B:$B,0)), "-")</f>
        <v>-</v>
      </c>
      <c r="S2274" s="483" t="str">
        <f>IFERROR(INDEX([1]Produtos!$J:$J,MATCH(L2274,[1]Produtos!$B:$B,0)), "-")</f>
        <v>-</v>
      </c>
      <c r="T2274" s="484"/>
      <c r="U2274" s="483"/>
      <c r="V2274" s="483"/>
      <c r="W2274" s="483"/>
      <c r="X2274" s="483"/>
      <c r="Y2274" s="483"/>
      <c r="Z2274" s="483"/>
      <c r="AA2274" s="483"/>
      <c r="AB2274" s="483"/>
      <c r="AC2274" s="483"/>
      <c r="AD2274" s="483"/>
      <c r="AE2274" s="483"/>
      <c r="AF2274" s="483"/>
      <c r="AG2274" s="483"/>
      <c r="AH2274" s="483"/>
      <c r="AI2274" s="483"/>
      <c r="AJ2274" s="483"/>
      <c r="AK2274" s="483"/>
      <c r="AL2274" s="483"/>
      <c r="AM2274" s="670"/>
      <c r="AN2274" s="670"/>
      <c r="AO2274" s="711" t="str">
        <f>IF(OR(Table1[[#This Row],[Início Setup Envase]]="",Table1[[#This Row],[Final Setup Envase]]=""),"",Table1[[#This Row],[Final Setup Envase]]-Table1[[#This Row],[Início Setup Envase]])</f>
        <v/>
      </c>
      <c r="AP2274" s="670"/>
      <c r="AQ2274" s="670"/>
      <c r="AR2274" s="483"/>
      <c r="AS2274" s="483"/>
      <c r="AT2274" s="483"/>
      <c r="AU2274" s="483"/>
      <c r="AV2274" s="483"/>
      <c r="AW2274" s="483"/>
      <c r="AX2274" s="483"/>
      <c r="AY2274" s="270"/>
      <c r="AZ2274" s="270"/>
      <c r="BA2274" s="270" t="str">
        <f>IF(Table1[[#This Row],[Data de Início]]="","",YEAR(Table1[[#This Row],[Data de Início]]))</f>
        <v/>
      </c>
      <c r="BB2274" s="270" t="str">
        <f>IF(Table1[[#This Row],[Data de Início]]="","",MONTH(Table1[[#This Row],[Data de Início]]))</f>
        <v/>
      </c>
      <c r="BC2274" s="270"/>
    </row>
    <row r="2275" spans="2:55" x14ac:dyDescent="0.25">
      <c r="B2275" s="470"/>
      <c r="C2275" s="263"/>
      <c r="D2275" s="477" cm="1">
        <f t="array" ref="D2275">IFERROR(HorasUteisFabrica2Turnos(B2275,C2275), "")</f>
        <v>0</v>
      </c>
      <c r="E2275" s="697" t="str">
        <f t="shared" si="35"/>
        <v/>
      </c>
      <c r="F2275" s="266"/>
      <c r="G2275" s="698"/>
      <c r="H2275" s="266"/>
      <c r="I2275" s="268"/>
      <c r="J2275" s="268"/>
      <c r="K2275" s="268"/>
      <c r="L2275" s="269"/>
      <c r="M2275" s="510" t="str">
        <f>IFERROR(INDEX([1]Produtos!$C:$C,MATCH(L2275,[1]Produtos!$B:$B,0)), "-")</f>
        <v>-</v>
      </c>
      <c r="N2275" s="510" t="str">
        <f>IFERROR(INDEX([1]Produtos!$E:$E,MATCH(L2275,[1]Produtos!$B:$B,0)), "-")</f>
        <v>-</v>
      </c>
      <c r="O2275" s="270" t="str">
        <f>IFERROR(INDEX([1]Produtos!$F:$F,MATCH(L2275,[1]Produtos!$B:$B,0)), "-")</f>
        <v>-</v>
      </c>
      <c r="P2275" s="264" t="str">
        <f>IFERROR(INDEX([1]Produtos!$G:$G,MATCH(L2275,[1]Produtos!$B:$B,0)), "-")</f>
        <v>-</v>
      </c>
      <c r="Q2275" s="270" t="str">
        <f>IFERROR(INDEX([1]Produtos!$H:$H,MATCH(L2275,[1]Produtos!$B:$B,0)), "-")</f>
        <v>-</v>
      </c>
      <c r="R2275" s="270" t="str">
        <f>IFERROR(INDEX([1]Produtos!$I:$I,MATCH(L2275,[1]Produtos!$B:$B,0)), "-")</f>
        <v>-</v>
      </c>
      <c r="S2275" s="270" t="str">
        <f>IFERROR(INDEX([1]Produtos!$J:$J,MATCH(L2275,[1]Produtos!$B:$B,0)), "-")</f>
        <v>-</v>
      </c>
      <c r="T2275" s="475"/>
      <c r="U2275" s="270"/>
      <c r="V2275" s="270"/>
      <c r="W2275" s="270"/>
      <c r="X2275" s="270"/>
      <c r="Y2275" s="270"/>
      <c r="Z2275" s="270"/>
      <c r="AA2275" s="270"/>
      <c r="AB2275" s="270"/>
      <c r="AC2275" s="270"/>
      <c r="AD2275" s="270"/>
      <c r="AE2275" s="270"/>
      <c r="AF2275" s="270"/>
      <c r="AG2275" s="270"/>
      <c r="AH2275" s="270"/>
      <c r="AI2275" s="270"/>
      <c r="AJ2275" s="270"/>
      <c r="AK2275" s="270"/>
      <c r="AL2275" s="270"/>
      <c r="AM2275" s="663"/>
      <c r="AN2275" s="663"/>
      <c r="AO2275" s="708" t="str">
        <f>IF(OR(Table1[[#This Row],[Início Setup Envase]]="",Table1[[#This Row],[Final Setup Envase]]=""),"",Table1[[#This Row],[Final Setup Envase]]-Table1[[#This Row],[Início Setup Envase]])</f>
        <v/>
      </c>
      <c r="AP2275" s="663"/>
      <c r="AQ2275" s="663"/>
      <c r="AR2275" s="270"/>
      <c r="AS2275" s="674"/>
      <c r="AT2275" s="674"/>
      <c r="AU2275" s="270"/>
      <c r="AV2275" s="270"/>
      <c r="AW2275" s="270"/>
      <c r="AX2275" s="270"/>
      <c r="AY2275" s="270"/>
      <c r="AZ2275" s="270"/>
      <c r="BA2275" s="270" t="str">
        <f>IF(Table1[[#This Row],[Data de Início]]="","",YEAR(Table1[[#This Row],[Data de Início]]))</f>
        <v/>
      </c>
      <c r="BB2275" s="270" t="str">
        <f>IF(Table1[[#This Row],[Data de Início]]="","",MONTH(Table1[[#This Row],[Data de Início]]))</f>
        <v/>
      </c>
      <c r="BC2275" s="483"/>
    </row>
    <row r="2276" spans="2:55" x14ac:dyDescent="0.25">
      <c r="B2276" s="470"/>
      <c r="C2276" s="263"/>
      <c r="D2276" s="477" cm="1">
        <f t="array" ref="D2276">IFERROR(HorasUteisFabrica2Turnos(B2276,C2276), "")</f>
        <v>0</v>
      </c>
      <c r="E2276" s="478" t="str">
        <f t="shared" si="35"/>
        <v/>
      </c>
      <c r="F2276" s="266"/>
      <c r="G2276" s="656"/>
      <c r="H2276" s="479"/>
      <c r="I2276" s="268"/>
      <c r="J2276" s="268"/>
      <c r="K2276" s="268"/>
      <c r="L2276" s="269"/>
      <c r="M2276" s="511" t="str">
        <f>IFERROR(INDEX([1]Produtos!$C:$C,MATCH(L2276,[1]Produtos!$B:$B,0)), "-")</f>
        <v>-</v>
      </c>
      <c r="N2276" s="511" t="str">
        <f>IFERROR(INDEX([1]Produtos!$E:$E,MATCH(L2276,[1]Produtos!$B:$B,0)), "-")</f>
        <v>-</v>
      </c>
      <c r="O2276" s="483" t="str">
        <f>IFERROR(INDEX([1]Produtos!$F:$F,MATCH(L2276,[1]Produtos!$B:$B,0)), "-")</f>
        <v>-</v>
      </c>
      <c r="P2276" s="477" t="str">
        <f>IFERROR(INDEX([1]Produtos!$G:$G,MATCH(L2276,[1]Produtos!$B:$B,0)), "-")</f>
        <v>-</v>
      </c>
      <c r="Q2276" s="483" t="str">
        <f>IFERROR(INDEX([1]Produtos!$H:$H,MATCH(L2276,[1]Produtos!$B:$B,0)), "-")</f>
        <v>-</v>
      </c>
      <c r="R2276" s="483" t="str">
        <f>IFERROR(INDEX([1]Produtos!$I:$I,MATCH(L2276,[1]Produtos!$B:$B,0)), "-")</f>
        <v>-</v>
      </c>
      <c r="S2276" s="483" t="str">
        <f>IFERROR(INDEX([1]Produtos!$J:$J,MATCH(L2276,[1]Produtos!$B:$B,0)), "-")</f>
        <v>-</v>
      </c>
      <c r="T2276" s="484"/>
      <c r="U2276" s="483"/>
      <c r="V2276" s="483"/>
      <c r="W2276" s="483"/>
      <c r="X2276" s="483"/>
      <c r="Y2276" s="483"/>
      <c r="Z2276" s="483"/>
      <c r="AA2276" s="483"/>
      <c r="AB2276" s="483"/>
      <c r="AC2276" s="483"/>
      <c r="AD2276" s="483"/>
      <c r="AE2276" s="483"/>
      <c r="AF2276" s="483"/>
      <c r="AG2276" s="483"/>
      <c r="AH2276" s="483"/>
      <c r="AI2276" s="483"/>
      <c r="AJ2276" s="483"/>
      <c r="AK2276" s="483"/>
      <c r="AL2276" s="483"/>
      <c r="AM2276" s="670"/>
      <c r="AN2276" s="670"/>
      <c r="AO2276" s="711" t="str">
        <f>IF(OR(Table1[[#This Row],[Início Setup Envase]]="",Table1[[#This Row],[Final Setup Envase]]=""),"",Table1[[#This Row],[Final Setup Envase]]-Table1[[#This Row],[Início Setup Envase]])</f>
        <v/>
      </c>
      <c r="AP2276" s="670"/>
      <c r="AQ2276" s="670"/>
      <c r="AR2276" s="483"/>
      <c r="AS2276" s="483"/>
      <c r="AT2276" s="483"/>
      <c r="AU2276" s="483"/>
      <c r="AV2276" s="483"/>
      <c r="AW2276" s="483"/>
      <c r="AX2276" s="483"/>
      <c r="AY2276" s="270"/>
      <c r="AZ2276" s="270"/>
      <c r="BA2276" s="270" t="str">
        <f>IF(Table1[[#This Row],[Data de Início]]="","",YEAR(Table1[[#This Row],[Data de Início]]))</f>
        <v/>
      </c>
      <c r="BB2276" s="270" t="str">
        <f>IF(Table1[[#This Row],[Data de Início]]="","",MONTH(Table1[[#This Row],[Data de Início]]))</f>
        <v/>
      </c>
      <c r="BC2276" s="270"/>
    </row>
    <row r="2277" spans="2:55" x14ac:dyDescent="0.25">
      <c r="B2277" s="470"/>
      <c r="C2277" s="263"/>
      <c r="D2277" s="477" cm="1">
        <f t="array" ref="D2277">IFERROR(HorasUteisFabrica2Turnos(B2277,C2277), "")</f>
        <v>0</v>
      </c>
      <c r="E2277" s="697" t="str">
        <f t="shared" ref="E2277:E2340" si="36">IFERROR(K2277/D2277, "")</f>
        <v/>
      </c>
      <c r="F2277" s="266"/>
      <c r="G2277" s="698"/>
      <c r="H2277" s="266"/>
      <c r="I2277" s="268"/>
      <c r="J2277" s="268"/>
      <c r="K2277" s="268"/>
      <c r="L2277" s="269"/>
      <c r="M2277" s="510" t="str">
        <f>IFERROR(INDEX([1]Produtos!$C:$C,MATCH(L2277,[1]Produtos!$B:$B,0)), "-")</f>
        <v>-</v>
      </c>
      <c r="N2277" s="510" t="str">
        <f>IFERROR(INDEX([1]Produtos!$E:$E,MATCH(L2277,[1]Produtos!$B:$B,0)), "-")</f>
        <v>-</v>
      </c>
      <c r="O2277" s="270" t="str">
        <f>IFERROR(INDEX([1]Produtos!$F:$F,MATCH(L2277,[1]Produtos!$B:$B,0)), "-")</f>
        <v>-</v>
      </c>
      <c r="P2277" s="264" t="str">
        <f>IFERROR(INDEX([1]Produtos!$G:$G,MATCH(L2277,[1]Produtos!$B:$B,0)), "-")</f>
        <v>-</v>
      </c>
      <c r="Q2277" s="270" t="str">
        <f>IFERROR(INDEX([1]Produtos!$H:$H,MATCH(L2277,[1]Produtos!$B:$B,0)), "-")</f>
        <v>-</v>
      </c>
      <c r="R2277" s="270" t="str">
        <f>IFERROR(INDEX([1]Produtos!$I:$I,MATCH(L2277,[1]Produtos!$B:$B,0)), "-")</f>
        <v>-</v>
      </c>
      <c r="S2277" s="270" t="str">
        <f>IFERROR(INDEX([1]Produtos!$J:$J,MATCH(L2277,[1]Produtos!$B:$B,0)), "-")</f>
        <v>-</v>
      </c>
      <c r="T2277" s="475"/>
      <c r="U2277" s="270"/>
      <c r="V2277" s="270"/>
      <c r="W2277" s="270"/>
      <c r="X2277" s="270"/>
      <c r="Y2277" s="270"/>
      <c r="Z2277" s="270"/>
      <c r="AA2277" s="270"/>
      <c r="AB2277" s="270"/>
      <c r="AC2277" s="270"/>
      <c r="AD2277" s="270"/>
      <c r="AE2277" s="270"/>
      <c r="AF2277" s="270"/>
      <c r="AG2277" s="270"/>
      <c r="AH2277" s="270"/>
      <c r="AI2277" s="270"/>
      <c r="AJ2277" s="270"/>
      <c r="AK2277" s="270"/>
      <c r="AL2277" s="270"/>
      <c r="AM2277" s="663"/>
      <c r="AN2277" s="663"/>
      <c r="AO2277" s="708" t="str">
        <f>IF(OR(Table1[[#This Row],[Início Setup Envase]]="",Table1[[#This Row],[Final Setup Envase]]=""),"",Table1[[#This Row],[Final Setup Envase]]-Table1[[#This Row],[Início Setup Envase]])</f>
        <v/>
      </c>
      <c r="AP2277" s="663"/>
      <c r="AQ2277" s="663"/>
      <c r="AR2277" s="270"/>
      <c r="AS2277" s="674"/>
      <c r="AT2277" s="674"/>
      <c r="AU2277" s="270"/>
      <c r="AV2277" s="270"/>
      <c r="AW2277" s="270"/>
      <c r="AX2277" s="270"/>
      <c r="AY2277" s="270"/>
      <c r="AZ2277" s="270"/>
      <c r="BA2277" s="270" t="str">
        <f>IF(Table1[[#This Row],[Data de Início]]="","",YEAR(Table1[[#This Row],[Data de Início]]))</f>
        <v/>
      </c>
      <c r="BB2277" s="270" t="str">
        <f>IF(Table1[[#This Row],[Data de Início]]="","",MONTH(Table1[[#This Row],[Data de Início]]))</f>
        <v/>
      </c>
      <c r="BC2277" s="483"/>
    </row>
    <row r="2278" spans="2:55" x14ac:dyDescent="0.25">
      <c r="B2278" s="470"/>
      <c r="C2278" s="263"/>
      <c r="D2278" s="477" cm="1">
        <f t="array" ref="D2278">IFERROR(HorasUteisFabrica2Turnos(B2278,C2278), "")</f>
        <v>0</v>
      </c>
      <c r="E2278" s="478" t="str">
        <f t="shared" si="36"/>
        <v/>
      </c>
      <c r="F2278" s="266"/>
      <c r="G2278" s="656"/>
      <c r="H2278" s="479"/>
      <c r="I2278" s="268"/>
      <c r="J2278" s="268"/>
      <c r="K2278" s="268"/>
      <c r="L2278" s="269"/>
      <c r="M2278" s="511" t="str">
        <f>IFERROR(INDEX([1]Produtos!$C:$C,MATCH(L2278,[1]Produtos!$B:$B,0)), "-")</f>
        <v>-</v>
      </c>
      <c r="N2278" s="511" t="str">
        <f>IFERROR(INDEX([1]Produtos!$E:$E,MATCH(L2278,[1]Produtos!$B:$B,0)), "-")</f>
        <v>-</v>
      </c>
      <c r="O2278" s="483" t="str">
        <f>IFERROR(INDEX([1]Produtos!$F:$F,MATCH(L2278,[1]Produtos!$B:$B,0)), "-")</f>
        <v>-</v>
      </c>
      <c r="P2278" s="477" t="str">
        <f>IFERROR(INDEX([1]Produtos!$G:$G,MATCH(L2278,[1]Produtos!$B:$B,0)), "-")</f>
        <v>-</v>
      </c>
      <c r="Q2278" s="483" t="str">
        <f>IFERROR(INDEX([1]Produtos!$H:$H,MATCH(L2278,[1]Produtos!$B:$B,0)), "-")</f>
        <v>-</v>
      </c>
      <c r="R2278" s="483" t="str">
        <f>IFERROR(INDEX([1]Produtos!$I:$I,MATCH(L2278,[1]Produtos!$B:$B,0)), "-")</f>
        <v>-</v>
      </c>
      <c r="S2278" s="483" t="str">
        <f>IFERROR(INDEX([1]Produtos!$J:$J,MATCH(L2278,[1]Produtos!$B:$B,0)), "-")</f>
        <v>-</v>
      </c>
      <c r="T2278" s="484"/>
      <c r="U2278" s="483"/>
      <c r="V2278" s="483"/>
      <c r="W2278" s="483"/>
      <c r="X2278" s="483"/>
      <c r="Y2278" s="483"/>
      <c r="Z2278" s="483"/>
      <c r="AA2278" s="483"/>
      <c r="AB2278" s="483"/>
      <c r="AC2278" s="483"/>
      <c r="AD2278" s="483"/>
      <c r="AE2278" s="483"/>
      <c r="AF2278" s="483"/>
      <c r="AG2278" s="483"/>
      <c r="AH2278" s="483"/>
      <c r="AI2278" s="483"/>
      <c r="AJ2278" s="483"/>
      <c r="AK2278" s="483"/>
      <c r="AL2278" s="483"/>
      <c r="AM2278" s="670"/>
      <c r="AN2278" s="670"/>
      <c r="AO2278" s="711" t="str">
        <f>IF(OR(Table1[[#This Row],[Início Setup Envase]]="",Table1[[#This Row],[Final Setup Envase]]=""),"",Table1[[#This Row],[Final Setup Envase]]-Table1[[#This Row],[Início Setup Envase]])</f>
        <v/>
      </c>
      <c r="AP2278" s="670"/>
      <c r="AQ2278" s="670"/>
      <c r="AR2278" s="483"/>
      <c r="AS2278" s="483"/>
      <c r="AT2278" s="483"/>
      <c r="AU2278" s="483"/>
      <c r="AV2278" s="483"/>
      <c r="AW2278" s="483"/>
      <c r="AX2278" s="483"/>
      <c r="AY2278" s="270"/>
      <c r="AZ2278" s="270"/>
      <c r="BA2278" s="270" t="str">
        <f>IF(Table1[[#This Row],[Data de Início]]="","",YEAR(Table1[[#This Row],[Data de Início]]))</f>
        <v/>
      </c>
      <c r="BB2278" s="270" t="str">
        <f>IF(Table1[[#This Row],[Data de Início]]="","",MONTH(Table1[[#This Row],[Data de Início]]))</f>
        <v/>
      </c>
      <c r="BC2278" s="270"/>
    </row>
    <row r="2279" spans="2:55" x14ac:dyDescent="0.25">
      <c r="B2279" s="470"/>
      <c r="C2279" s="263"/>
      <c r="D2279" s="477" cm="1">
        <f t="array" ref="D2279">IFERROR(HorasUteisFabrica2Turnos(B2279,C2279), "")</f>
        <v>0</v>
      </c>
      <c r="E2279" s="697" t="str">
        <f t="shared" si="36"/>
        <v/>
      </c>
      <c r="F2279" s="266"/>
      <c r="G2279" s="698"/>
      <c r="H2279" s="266"/>
      <c r="I2279" s="268"/>
      <c r="J2279" s="268"/>
      <c r="K2279" s="268"/>
      <c r="L2279" s="269"/>
      <c r="M2279" s="510" t="str">
        <f>IFERROR(INDEX([1]Produtos!$C:$C,MATCH(L2279,[1]Produtos!$B:$B,0)), "-")</f>
        <v>-</v>
      </c>
      <c r="N2279" s="510" t="str">
        <f>IFERROR(INDEX([1]Produtos!$E:$E,MATCH(L2279,[1]Produtos!$B:$B,0)), "-")</f>
        <v>-</v>
      </c>
      <c r="O2279" s="270" t="str">
        <f>IFERROR(INDEX([1]Produtos!$F:$F,MATCH(L2279,[1]Produtos!$B:$B,0)), "-")</f>
        <v>-</v>
      </c>
      <c r="P2279" s="264" t="str">
        <f>IFERROR(INDEX([1]Produtos!$G:$G,MATCH(L2279,[1]Produtos!$B:$B,0)), "-")</f>
        <v>-</v>
      </c>
      <c r="Q2279" s="270" t="str">
        <f>IFERROR(INDEX([1]Produtos!$H:$H,MATCH(L2279,[1]Produtos!$B:$B,0)), "-")</f>
        <v>-</v>
      </c>
      <c r="R2279" s="270" t="str">
        <f>IFERROR(INDEX([1]Produtos!$I:$I,MATCH(L2279,[1]Produtos!$B:$B,0)), "-")</f>
        <v>-</v>
      </c>
      <c r="S2279" s="270" t="str">
        <f>IFERROR(INDEX([1]Produtos!$J:$J,MATCH(L2279,[1]Produtos!$B:$B,0)), "-")</f>
        <v>-</v>
      </c>
      <c r="T2279" s="475"/>
      <c r="U2279" s="270"/>
      <c r="V2279" s="270"/>
      <c r="W2279" s="270"/>
      <c r="X2279" s="270"/>
      <c r="Y2279" s="270"/>
      <c r="Z2279" s="270"/>
      <c r="AA2279" s="270"/>
      <c r="AB2279" s="270"/>
      <c r="AC2279" s="270"/>
      <c r="AD2279" s="270"/>
      <c r="AE2279" s="270"/>
      <c r="AF2279" s="270"/>
      <c r="AG2279" s="270"/>
      <c r="AH2279" s="270"/>
      <c r="AI2279" s="270"/>
      <c r="AJ2279" s="270"/>
      <c r="AK2279" s="270"/>
      <c r="AL2279" s="270"/>
      <c r="AM2279" s="663"/>
      <c r="AN2279" s="663"/>
      <c r="AO2279" s="708" t="str">
        <f>IF(OR(Table1[[#This Row],[Início Setup Envase]]="",Table1[[#This Row],[Final Setup Envase]]=""),"",Table1[[#This Row],[Final Setup Envase]]-Table1[[#This Row],[Início Setup Envase]])</f>
        <v/>
      </c>
      <c r="AP2279" s="663"/>
      <c r="AQ2279" s="663"/>
      <c r="AR2279" s="270"/>
      <c r="AS2279" s="674"/>
      <c r="AT2279" s="674"/>
      <c r="AU2279" s="270"/>
      <c r="AV2279" s="270"/>
      <c r="AW2279" s="270"/>
      <c r="AX2279" s="270"/>
      <c r="AY2279" s="270"/>
      <c r="AZ2279" s="270"/>
      <c r="BA2279" s="270" t="str">
        <f>IF(Table1[[#This Row],[Data de Início]]="","",YEAR(Table1[[#This Row],[Data de Início]]))</f>
        <v/>
      </c>
      <c r="BB2279" s="270" t="str">
        <f>IF(Table1[[#This Row],[Data de Início]]="","",MONTH(Table1[[#This Row],[Data de Início]]))</f>
        <v/>
      </c>
      <c r="BC2279" s="483"/>
    </row>
    <row r="2280" spans="2:55" x14ac:dyDescent="0.25">
      <c r="B2280" s="470"/>
      <c r="C2280" s="263"/>
      <c r="D2280" s="477" cm="1">
        <f t="array" ref="D2280">IFERROR(HorasUteisFabrica2Turnos(B2280,C2280), "")</f>
        <v>0</v>
      </c>
      <c r="E2280" s="478" t="str">
        <f t="shared" si="36"/>
        <v/>
      </c>
      <c r="F2280" s="266"/>
      <c r="G2280" s="656"/>
      <c r="H2280" s="479"/>
      <c r="I2280" s="268"/>
      <c r="J2280" s="268"/>
      <c r="K2280" s="268"/>
      <c r="L2280" s="269"/>
      <c r="M2280" s="511" t="str">
        <f>IFERROR(INDEX([1]Produtos!$C:$C,MATCH(L2280,[1]Produtos!$B:$B,0)), "-")</f>
        <v>-</v>
      </c>
      <c r="N2280" s="511" t="str">
        <f>IFERROR(INDEX([1]Produtos!$E:$E,MATCH(L2280,[1]Produtos!$B:$B,0)), "-")</f>
        <v>-</v>
      </c>
      <c r="O2280" s="483" t="str">
        <f>IFERROR(INDEX([1]Produtos!$F:$F,MATCH(L2280,[1]Produtos!$B:$B,0)), "-")</f>
        <v>-</v>
      </c>
      <c r="P2280" s="477" t="str">
        <f>IFERROR(INDEX([1]Produtos!$G:$G,MATCH(L2280,[1]Produtos!$B:$B,0)), "-")</f>
        <v>-</v>
      </c>
      <c r="Q2280" s="483" t="str">
        <f>IFERROR(INDEX([1]Produtos!$H:$H,MATCH(L2280,[1]Produtos!$B:$B,0)), "-")</f>
        <v>-</v>
      </c>
      <c r="R2280" s="483" t="str">
        <f>IFERROR(INDEX([1]Produtos!$I:$I,MATCH(L2280,[1]Produtos!$B:$B,0)), "-")</f>
        <v>-</v>
      </c>
      <c r="S2280" s="483" t="str">
        <f>IFERROR(INDEX([1]Produtos!$J:$J,MATCH(L2280,[1]Produtos!$B:$B,0)), "-")</f>
        <v>-</v>
      </c>
      <c r="T2280" s="484"/>
      <c r="U2280" s="483"/>
      <c r="V2280" s="483"/>
      <c r="W2280" s="483"/>
      <c r="X2280" s="483"/>
      <c r="Y2280" s="483"/>
      <c r="Z2280" s="483"/>
      <c r="AA2280" s="483"/>
      <c r="AB2280" s="483"/>
      <c r="AC2280" s="483"/>
      <c r="AD2280" s="483"/>
      <c r="AE2280" s="483"/>
      <c r="AF2280" s="483"/>
      <c r="AG2280" s="483"/>
      <c r="AH2280" s="483"/>
      <c r="AI2280" s="483"/>
      <c r="AJ2280" s="483"/>
      <c r="AK2280" s="483"/>
      <c r="AL2280" s="483"/>
      <c r="AM2280" s="670"/>
      <c r="AN2280" s="670"/>
      <c r="AO2280" s="711" t="str">
        <f>IF(OR(Table1[[#This Row],[Início Setup Envase]]="",Table1[[#This Row],[Final Setup Envase]]=""),"",Table1[[#This Row],[Final Setup Envase]]-Table1[[#This Row],[Início Setup Envase]])</f>
        <v/>
      </c>
      <c r="AP2280" s="670"/>
      <c r="AQ2280" s="670"/>
      <c r="AR2280" s="483"/>
      <c r="AS2280" s="483"/>
      <c r="AT2280" s="483"/>
      <c r="AU2280" s="483"/>
      <c r="AV2280" s="483"/>
      <c r="AW2280" s="483"/>
      <c r="AX2280" s="483"/>
      <c r="AY2280" s="270"/>
      <c r="AZ2280" s="270"/>
      <c r="BA2280" s="270" t="str">
        <f>IF(Table1[[#This Row],[Data de Início]]="","",YEAR(Table1[[#This Row],[Data de Início]]))</f>
        <v/>
      </c>
      <c r="BB2280" s="270" t="str">
        <f>IF(Table1[[#This Row],[Data de Início]]="","",MONTH(Table1[[#This Row],[Data de Início]]))</f>
        <v/>
      </c>
      <c r="BC2280" s="270"/>
    </row>
    <row r="2281" spans="2:55" x14ac:dyDescent="0.25">
      <c r="B2281" s="470"/>
      <c r="C2281" s="263"/>
      <c r="D2281" s="477" cm="1">
        <f t="array" ref="D2281">IFERROR(HorasUteisFabrica2Turnos(B2281,C2281), "")</f>
        <v>0</v>
      </c>
      <c r="E2281" s="697" t="str">
        <f t="shared" si="36"/>
        <v/>
      </c>
      <c r="F2281" s="266"/>
      <c r="G2281" s="698"/>
      <c r="H2281" s="266"/>
      <c r="I2281" s="268"/>
      <c r="J2281" s="268"/>
      <c r="K2281" s="268"/>
      <c r="L2281" s="269"/>
      <c r="M2281" s="510" t="str">
        <f>IFERROR(INDEX([1]Produtos!$C:$C,MATCH(L2281,[1]Produtos!$B:$B,0)), "-")</f>
        <v>-</v>
      </c>
      <c r="N2281" s="510" t="str">
        <f>IFERROR(INDEX([1]Produtos!$E:$E,MATCH(L2281,[1]Produtos!$B:$B,0)), "-")</f>
        <v>-</v>
      </c>
      <c r="O2281" s="270" t="str">
        <f>IFERROR(INDEX([1]Produtos!$F:$F,MATCH(L2281,[1]Produtos!$B:$B,0)), "-")</f>
        <v>-</v>
      </c>
      <c r="P2281" s="264" t="str">
        <f>IFERROR(INDEX([1]Produtos!$G:$G,MATCH(L2281,[1]Produtos!$B:$B,0)), "-")</f>
        <v>-</v>
      </c>
      <c r="Q2281" s="270" t="str">
        <f>IFERROR(INDEX([1]Produtos!$H:$H,MATCH(L2281,[1]Produtos!$B:$B,0)), "-")</f>
        <v>-</v>
      </c>
      <c r="R2281" s="270" t="str">
        <f>IFERROR(INDEX([1]Produtos!$I:$I,MATCH(L2281,[1]Produtos!$B:$B,0)), "-")</f>
        <v>-</v>
      </c>
      <c r="S2281" s="270" t="str">
        <f>IFERROR(INDEX([1]Produtos!$J:$J,MATCH(L2281,[1]Produtos!$B:$B,0)), "-")</f>
        <v>-</v>
      </c>
      <c r="T2281" s="475"/>
      <c r="U2281" s="270"/>
      <c r="V2281" s="270"/>
      <c r="W2281" s="270"/>
      <c r="X2281" s="270"/>
      <c r="Y2281" s="270"/>
      <c r="Z2281" s="270"/>
      <c r="AA2281" s="270"/>
      <c r="AB2281" s="270"/>
      <c r="AC2281" s="270"/>
      <c r="AD2281" s="270"/>
      <c r="AE2281" s="270"/>
      <c r="AF2281" s="270"/>
      <c r="AG2281" s="270"/>
      <c r="AH2281" s="270"/>
      <c r="AI2281" s="270"/>
      <c r="AJ2281" s="270"/>
      <c r="AK2281" s="270"/>
      <c r="AL2281" s="270"/>
      <c r="AM2281" s="663"/>
      <c r="AN2281" s="663"/>
      <c r="AO2281" s="708" t="str">
        <f>IF(OR(Table1[[#This Row],[Início Setup Envase]]="",Table1[[#This Row],[Final Setup Envase]]=""),"",Table1[[#This Row],[Final Setup Envase]]-Table1[[#This Row],[Início Setup Envase]])</f>
        <v/>
      </c>
      <c r="AP2281" s="663"/>
      <c r="AQ2281" s="663"/>
      <c r="AR2281" s="270"/>
      <c r="AS2281" s="674"/>
      <c r="AT2281" s="674"/>
      <c r="AU2281" s="270"/>
      <c r="AV2281" s="270"/>
      <c r="AW2281" s="270"/>
      <c r="AX2281" s="270"/>
      <c r="AY2281" s="270"/>
      <c r="AZ2281" s="270"/>
      <c r="BA2281" s="270" t="str">
        <f>IF(Table1[[#This Row],[Data de Início]]="","",YEAR(Table1[[#This Row],[Data de Início]]))</f>
        <v/>
      </c>
      <c r="BB2281" s="270" t="str">
        <f>IF(Table1[[#This Row],[Data de Início]]="","",MONTH(Table1[[#This Row],[Data de Início]]))</f>
        <v/>
      </c>
      <c r="BC2281" s="483"/>
    </row>
    <row r="2282" spans="2:55" x14ac:dyDescent="0.25">
      <c r="B2282" s="470"/>
      <c r="C2282" s="263"/>
      <c r="D2282" s="477" cm="1">
        <f t="array" ref="D2282">IFERROR(HorasUteisFabrica2Turnos(B2282,C2282), "")</f>
        <v>0</v>
      </c>
      <c r="E2282" s="478" t="str">
        <f t="shared" si="36"/>
        <v/>
      </c>
      <c r="F2282" s="266"/>
      <c r="G2282" s="656"/>
      <c r="H2282" s="479"/>
      <c r="I2282" s="268"/>
      <c r="J2282" s="268"/>
      <c r="K2282" s="268"/>
      <c r="L2282" s="269"/>
      <c r="M2282" s="511" t="str">
        <f>IFERROR(INDEX([1]Produtos!$C:$C,MATCH(L2282,[1]Produtos!$B:$B,0)), "-")</f>
        <v>-</v>
      </c>
      <c r="N2282" s="511" t="str">
        <f>IFERROR(INDEX([1]Produtos!$E:$E,MATCH(L2282,[1]Produtos!$B:$B,0)), "-")</f>
        <v>-</v>
      </c>
      <c r="O2282" s="483" t="str">
        <f>IFERROR(INDEX([1]Produtos!$F:$F,MATCH(L2282,[1]Produtos!$B:$B,0)), "-")</f>
        <v>-</v>
      </c>
      <c r="P2282" s="477" t="str">
        <f>IFERROR(INDEX([1]Produtos!$G:$G,MATCH(L2282,[1]Produtos!$B:$B,0)), "-")</f>
        <v>-</v>
      </c>
      <c r="Q2282" s="483" t="str">
        <f>IFERROR(INDEX([1]Produtos!$H:$H,MATCH(L2282,[1]Produtos!$B:$B,0)), "-")</f>
        <v>-</v>
      </c>
      <c r="R2282" s="483" t="str">
        <f>IFERROR(INDEX([1]Produtos!$I:$I,MATCH(L2282,[1]Produtos!$B:$B,0)), "-")</f>
        <v>-</v>
      </c>
      <c r="S2282" s="483" t="str">
        <f>IFERROR(INDEX([1]Produtos!$J:$J,MATCH(L2282,[1]Produtos!$B:$B,0)), "-")</f>
        <v>-</v>
      </c>
      <c r="T2282" s="484"/>
      <c r="U2282" s="483"/>
      <c r="V2282" s="483"/>
      <c r="W2282" s="483"/>
      <c r="X2282" s="483"/>
      <c r="Y2282" s="483"/>
      <c r="Z2282" s="483"/>
      <c r="AA2282" s="483"/>
      <c r="AB2282" s="483"/>
      <c r="AC2282" s="483"/>
      <c r="AD2282" s="483"/>
      <c r="AE2282" s="483"/>
      <c r="AF2282" s="483"/>
      <c r="AG2282" s="483"/>
      <c r="AH2282" s="483"/>
      <c r="AI2282" s="483"/>
      <c r="AJ2282" s="483"/>
      <c r="AK2282" s="483"/>
      <c r="AL2282" s="483"/>
      <c r="AM2282" s="670"/>
      <c r="AN2282" s="670"/>
      <c r="AO2282" s="711" t="str">
        <f>IF(OR(Table1[[#This Row],[Início Setup Envase]]="",Table1[[#This Row],[Final Setup Envase]]=""),"",Table1[[#This Row],[Final Setup Envase]]-Table1[[#This Row],[Início Setup Envase]])</f>
        <v/>
      </c>
      <c r="AP2282" s="670"/>
      <c r="AQ2282" s="670"/>
      <c r="AR2282" s="483"/>
      <c r="AS2282" s="483"/>
      <c r="AT2282" s="483"/>
      <c r="AU2282" s="483"/>
      <c r="AV2282" s="483"/>
      <c r="AW2282" s="483"/>
      <c r="AX2282" s="483"/>
      <c r="AY2282" s="270"/>
      <c r="AZ2282" s="270"/>
      <c r="BA2282" s="270" t="str">
        <f>IF(Table1[[#This Row],[Data de Início]]="","",YEAR(Table1[[#This Row],[Data de Início]]))</f>
        <v/>
      </c>
      <c r="BB2282" s="270" t="str">
        <f>IF(Table1[[#This Row],[Data de Início]]="","",MONTH(Table1[[#This Row],[Data de Início]]))</f>
        <v/>
      </c>
      <c r="BC2282" s="270"/>
    </row>
    <row r="2283" spans="2:55" x14ac:dyDescent="0.25">
      <c r="B2283" s="470"/>
      <c r="C2283" s="263"/>
      <c r="D2283" s="477" cm="1">
        <f t="array" ref="D2283">IFERROR(HorasUteisFabrica2Turnos(B2283,C2283), "")</f>
        <v>0</v>
      </c>
      <c r="E2283" s="697" t="str">
        <f t="shared" si="36"/>
        <v/>
      </c>
      <c r="F2283" s="266"/>
      <c r="G2283" s="698"/>
      <c r="H2283" s="266"/>
      <c r="I2283" s="268"/>
      <c r="J2283" s="268"/>
      <c r="K2283" s="268"/>
      <c r="L2283" s="269"/>
      <c r="M2283" s="510" t="str">
        <f>IFERROR(INDEX([1]Produtos!$C:$C,MATCH(L2283,[1]Produtos!$B:$B,0)), "-")</f>
        <v>-</v>
      </c>
      <c r="N2283" s="510" t="str">
        <f>IFERROR(INDEX([1]Produtos!$E:$E,MATCH(L2283,[1]Produtos!$B:$B,0)), "-")</f>
        <v>-</v>
      </c>
      <c r="O2283" s="270" t="str">
        <f>IFERROR(INDEX([1]Produtos!$F:$F,MATCH(L2283,[1]Produtos!$B:$B,0)), "-")</f>
        <v>-</v>
      </c>
      <c r="P2283" s="264" t="str">
        <f>IFERROR(INDEX([1]Produtos!$G:$G,MATCH(L2283,[1]Produtos!$B:$B,0)), "-")</f>
        <v>-</v>
      </c>
      <c r="Q2283" s="270" t="str">
        <f>IFERROR(INDEX([1]Produtos!$H:$H,MATCH(L2283,[1]Produtos!$B:$B,0)), "-")</f>
        <v>-</v>
      </c>
      <c r="R2283" s="270" t="str">
        <f>IFERROR(INDEX([1]Produtos!$I:$I,MATCH(L2283,[1]Produtos!$B:$B,0)), "-")</f>
        <v>-</v>
      </c>
      <c r="S2283" s="270" t="str">
        <f>IFERROR(INDEX([1]Produtos!$J:$J,MATCH(L2283,[1]Produtos!$B:$B,0)), "-")</f>
        <v>-</v>
      </c>
      <c r="T2283" s="475"/>
      <c r="U2283" s="270"/>
      <c r="V2283" s="270"/>
      <c r="W2283" s="270"/>
      <c r="X2283" s="270"/>
      <c r="Y2283" s="270"/>
      <c r="Z2283" s="270"/>
      <c r="AA2283" s="270"/>
      <c r="AB2283" s="270"/>
      <c r="AC2283" s="270"/>
      <c r="AD2283" s="270"/>
      <c r="AE2283" s="270"/>
      <c r="AF2283" s="270"/>
      <c r="AG2283" s="270"/>
      <c r="AH2283" s="270"/>
      <c r="AI2283" s="270"/>
      <c r="AJ2283" s="270"/>
      <c r="AK2283" s="270"/>
      <c r="AL2283" s="270"/>
      <c r="AM2283" s="663"/>
      <c r="AN2283" s="663"/>
      <c r="AO2283" s="708" t="str">
        <f>IF(OR(Table1[[#This Row],[Início Setup Envase]]="",Table1[[#This Row],[Final Setup Envase]]=""),"",Table1[[#This Row],[Final Setup Envase]]-Table1[[#This Row],[Início Setup Envase]])</f>
        <v/>
      </c>
      <c r="AP2283" s="663"/>
      <c r="AQ2283" s="663"/>
      <c r="AR2283" s="270"/>
      <c r="AS2283" s="674"/>
      <c r="AT2283" s="674"/>
      <c r="AU2283" s="270"/>
      <c r="AV2283" s="270"/>
      <c r="AW2283" s="270"/>
      <c r="AX2283" s="270"/>
      <c r="AY2283" s="270"/>
      <c r="AZ2283" s="270"/>
      <c r="BA2283" s="270" t="str">
        <f>IF(Table1[[#This Row],[Data de Início]]="","",YEAR(Table1[[#This Row],[Data de Início]]))</f>
        <v/>
      </c>
      <c r="BB2283" s="270" t="str">
        <f>IF(Table1[[#This Row],[Data de Início]]="","",MONTH(Table1[[#This Row],[Data de Início]]))</f>
        <v/>
      </c>
      <c r="BC2283" s="483"/>
    </row>
    <row r="2284" spans="2:55" x14ac:dyDescent="0.25">
      <c r="B2284" s="470"/>
      <c r="C2284" s="263"/>
      <c r="D2284" s="477" cm="1">
        <f t="array" ref="D2284">IFERROR(HorasUteisFabrica2Turnos(B2284,C2284), "")</f>
        <v>0</v>
      </c>
      <c r="E2284" s="478" t="str">
        <f t="shared" si="36"/>
        <v/>
      </c>
      <c r="F2284" s="266"/>
      <c r="G2284" s="656"/>
      <c r="H2284" s="479"/>
      <c r="I2284" s="268"/>
      <c r="J2284" s="268"/>
      <c r="K2284" s="268"/>
      <c r="L2284" s="269"/>
      <c r="M2284" s="511" t="str">
        <f>IFERROR(INDEX([1]Produtos!$C:$C,MATCH(L2284,[1]Produtos!$B:$B,0)), "-")</f>
        <v>-</v>
      </c>
      <c r="N2284" s="511" t="str">
        <f>IFERROR(INDEX([1]Produtos!$E:$E,MATCH(L2284,[1]Produtos!$B:$B,0)), "-")</f>
        <v>-</v>
      </c>
      <c r="O2284" s="483" t="str">
        <f>IFERROR(INDEX([1]Produtos!$F:$F,MATCH(L2284,[1]Produtos!$B:$B,0)), "-")</f>
        <v>-</v>
      </c>
      <c r="P2284" s="477" t="str">
        <f>IFERROR(INDEX([1]Produtos!$G:$G,MATCH(L2284,[1]Produtos!$B:$B,0)), "-")</f>
        <v>-</v>
      </c>
      <c r="Q2284" s="483" t="str">
        <f>IFERROR(INDEX([1]Produtos!$H:$H,MATCH(L2284,[1]Produtos!$B:$B,0)), "-")</f>
        <v>-</v>
      </c>
      <c r="R2284" s="483" t="str">
        <f>IFERROR(INDEX([1]Produtos!$I:$I,MATCH(L2284,[1]Produtos!$B:$B,0)), "-")</f>
        <v>-</v>
      </c>
      <c r="S2284" s="483" t="str">
        <f>IFERROR(INDEX([1]Produtos!$J:$J,MATCH(L2284,[1]Produtos!$B:$B,0)), "-")</f>
        <v>-</v>
      </c>
      <c r="T2284" s="484"/>
      <c r="U2284" s="483"/>
      <c r="V2284" s="483"/>
      <c r="W2284" s="483"/>
      <c r="X2284" s="483"/>
      <c r="Y2284" s="483"/>
      <c r="Z2284" s="483"/>
      <c r="AA2284" s="483"/>
      <c r="AB2284" s="483"/>
      <c r="AC2284" s="483"/>
      <c r="AD2284" s="483"/>
      <c r="AE2284" s="483"/>
      <c r="AF2284" s="483"/>
      <c r="AG2284" s="483"/>
      <c r="AH2284" s="483"/>
      <c r="AI2284" s="483"/>
      <c r="AJ2284" s="483"/>
      <c r="AK2284" s="483"/>
      <c r="AL2284" s="483"/>
      <c r="AM2284" s="670"/>
      <c r="AN2284" s="670"/>
      <c r="AO2284" s="711" t="str">
        <f>IF(OR(Table1[[#This Row],[Início Setup Envase]]="",Table1[[#This Row],[Final Setup Envase]]=""),"",Table1[[#This Row],[Final Setup Envase]]-Table1[[#This Row],[Início Setup Envase]])</f>
        <v/>
      </c>
      <c r="AP2284" s="670"/>
      <c r="AQ2284" s="670"/>
      <c r="AR2284" s="483"/>
      <c r="AS2284" s="483"/>
      <c r="AT2284" s="483"/>
      <c r="AU2284" s="483"/>
      <c r="AV2284" s="483"/>
      <c r="AW2284" s="483"/>
      <c r="AX2284" s="483"/>
      <c r="AY2284" s="270"/>
      <c r="AZ2284" s="270"/>
      <c r="BA2284" s="270" t="str">
        <f>IF(Table1[[#This Row],[Data de Início]]="","",YEAR(Table1[[#This Row],[Data de Início]]))</f>
        <v/>
      </c>
      <c r="BB2284" s="270" t="str">
        <f>IF(Table1[[#This Row],[Data de Início]]="","",MONTH(Table1[[#This Row],[Data de Início]]))</f>
        <v/>
      </c>
      <c r="BC2284" s="270"/>
    </row>
    <row r="2285" spans="2:55" x14ac:dyDescent="0.25">
      <c r="B2285" s="470"/>
      <c r="C2285" s="263"/>
      <c r="D2285" s="477" cm="1">
        <f t="array" ref="D2285">IFERROR(HorasUteisFabrica2Turnos(B2285,C2285), "")</f>
        <v>0</v>
      </c>
      <c r="E2285" s="697" t="str">
        <f t="shared" si="36"/>
        <v/>
      </c>
      <c r="F2285" s="266"/>
      <c r="G2285" s="698"/>
      <c r="H2285" s="266"/>
      <c r="I2285" s="268"/>
      <c r="J2285" s="268"/>
      <c r="K2285" s="268"/>
      <c r="L2285" s="269"/>
      <c r="M2285" s="510" t="str">
        <f>IFERROR(INDEX([1]Produtos!$C:$C,MATCH(L2285,[1]Produtos!$B:$B,0)), "-")</f>
        <v>-</v>
      </c>
      <c r="N2285" s="510" t="str">
        <f>IFERROR(INDEX([1]Produtos!$E:$E,MATCH(L2285,[1]Produtos!$B:$B,0)), "-")</f>
        <v>-</v>
      </c>
      <c r="O2285" s="270" t="str">
        <f>IFERROR(INDEX([1]Produtos!$F:$F,MATCH(L2285,[1]Produtos!$B:$B,0)), "-")</f>
        <v>-</v>
      </c>
      <c r="P2285" s="264" t="str">
        <f>IFERROR(INDEX([1]Produtos!$G:$G,MATCH(L2285,[1]Produtos!$B:$B,0)), "-")</f>
        <v>-</v>
      </c>
      <c r="Q2285" s="270" t="str">
        <f>IFERROR(INDEX([1]Produtos!$H:$H,MATCH(L2285,[1]Produtos!$B:$B,0)), "-")</f>
        <v>-</v>
      </c>
      <c r="R2285" s="270" t="str">
        <f>IFERROR(INDEX([1]Produtos!$I:$I,MATCH(L2285,[1]Produtos!$B:$B,0)), "-")</f>
        <v>-</v>
      </c>
      <c r="S2285" s="270" t="str">
        <f>IFERROR(INDEX([1]Produtos!$J:$J,MATCH(L2285,[1]Produtos!$B:$B,0)), "-")</f>
        <v>-</v>
      </c>
      <c r="T2285" s="475"/>
      <c r="U2285" s="270"/>
      <c r="V2285" s="270"/>
      <c r="W2285" s="270"/>
      <c r="X2285" s="270"/>
      <c r="Y2285" s="270"/>
      <c r="Z2285" s="270"/>
      <c r="AA2285" s="270"/>
      <c r="AB2285" s="270"/>
      <c r="AC2285" s="270"/>
      <c r="AD2285" s="270"/>
      <c r="AE2285" s="270"/>
      <c r="AF2285" s="270"/>
      <c r="AG2285" s="270"/>
      <c r="AH2285" s="270"/>
      <c r="AI2285" s="270"/>
      <c r="AJ2285" s="270"/>
      <c r="AK2285" s="270"/>
      <c r="AL2285" s="270"/>
      <c r="AM2285" s="663"/>
      <c r="AN2285" s="663"/>
      <c r="AO2285" s="708" t="str">
        <f>IF(OR(Table1[[#This Row],[Início Setup Envase]]="",Table1[[#This Row],[Final Setup Envase]]=""),"",Table1[[#This Row],[Final Setup Envase]]-Table1[[#This Row],[Início Setup Envase]])</f>
        <v/>
      </c>
      <c r="AP2285" s="663"/>
      <c r="AQ2285" s="663"/>
      <c r="AR2285" s="270"/>
      <c r="AS2285" s="674"/>
      <c r="AT2285" s="674"/>
      <c r="AU2285" s="270"/>
      <c r="AV2285" s="270"/>
      <c r="AW2285" s="270"/>
      <c r="AX2285" s="270"/>
      <c r="AY2285" s="270"/>
      <c r="AZ2285" s="270"/>
      <c r="BA2285" s="270" t="str">
        <f>IF(Table1[[#This Row],[Data de Início]]="","",YEAR(Table1[[#This Row],[Data de Início]]))</f>
        <v/>
      </c>
      <c r="BB2285" s="270" t="str">
        <f>IF(Table1[[#This Row],[Data de Início]]="","",MONTH(Table1[[#This Row],[Data de Início]]))</f>
        <v/>
      </c>
      <c r="BC2285" s="483"/>
    </row>
    <row r="2286" spans="2:55" x14ac:dyDescent="0.25">
      <c r="B2286" s="470"/>
      <c r="C2286" s="263"/>
      <c r="D2286" s="477" cm="1">
        <f t="array" ref="D2286">IFERROR(HorasUteisFabrica2Turnos(B2286,C2286), "")</f>
        <v>0</v>
      </c>
      <c r="E2286" s="478" t="str">
        <f t="shared" si="36"/>
        <v/>
      </c>
      <c r="F2286" s="266"/>
      <c r="G2286" s="656"/>
      <c r="H2286" s="479"/>
      <c r="I2286" s="268"/>
      <c r="J2286" s="268"/>
      <c r="K2286" s="268"/>
      <c r="L2286" s="269"/>
      <c r="M2286" s="511" t="str">
        <f>IFERROR(INDEX([1]Produtos!$C:$C,MATCH(L2286,[1]Produtos!$B:$B,0)), "-")</f>
        <v>-</v>
      </c>
      <c r="N2286" s="511" t="str">
        <f>IFERROR(INDEX([1]Produtos!$E:$E,MATCH(L2286,[1]Produtos!$B:$B,0)), "-")</f>
        <v>-</v>
      </c>
      <c r="O2286" s="483" t="str">
        <f>IFERROR(INDEX([1]Produtos!$F:$F,MATCH(L2286,[1]Produtos!$B:$B,0)), "-")</f>
        <v>-</v>
      </c>
      <c r="P2286" s="477" t="str">
        <f>IFERROR(INDEX([1]Produtos!$G:$G,MATCH(L2286,[1]Produtos!$B:$B,0)), "-")</f>
        <v>-</v>
      </c>
      <c r="Q2286" s="483" t="str">
        <f>IFERROR(INDEX([1]Produtos!$H:$H,MATCH(L2286,[1]Produtos!$B:$B,0)), "-")</f>
        <v>-</v>
      </c>
      <c r="R2286" s="483" t="str">
        <f>IFERROR(INDEX([1]Produtos!$I:$I,MATCH(L2286,[1]Produtos!$B:$B,0)), "-")</f>
        <v>-</v>
      </c>
      <c r="S2286" s="483" t="str">
        <f>IFERROR(INDEX([1]Produtos!$J:$J,MATCH(L2286,[1]Produtos!$B:$B,0)), "-")</f>
        <v>-</v>
      </c>
      <c r="T2286" s="484"/>
      <c r="U2286" s="483"/>
      <c r="V2286" s="483"/>
      <c r="W2286" s="483"/>
      <c r="X2286" s="483"/>
      <c r="Y2286" s="483"/>
      <c r="Z2286" s="483"/>
      <c r="AA2286" s="483"/>
      <c r="AB2286" s="483"/>
      <c r="AC2286" s="483"/>
      <c r="AD2286" s="483"/>
      <c r="AE2286" s="483"/>
      <c r="AF2286" s="483"/>
      <c r="AG2286" s="483"/>
      <c r="AH2286" s="483"/>
      <c r="AI2286" s="483"/>
      <c r="AJ2286" s="483"/>
      <c r="AK2286" s="483"/>
      <c r="AL2286" s="483"/>
      <c r="AM2286" s="670"/>
      <c r="AN2286" s="670"/>
      <c r="AO2286" s="711" t="str">
        <f>IF(OR(Table1[[#This Row],[Início Setup Envase]]="",Table1[[#This Row],[Final Setup Envase]]=""),"",Table1[[#This Row],[Final Setup Envase]]-Table1[[#This Row],[Início Setup Envase]])</f>
        <v/>
      </c>
      <c r="AP2286" s="670"/>
      <c r="AQ2286" s="670"/>
      <c r="AR2286" s="483"/>
      <c r="AS2286" s="483"/>
      <c r="AT2286" s="483"/>
      <c r="AU2286" s="483"/>
      <c r="AV2286" s="483"/>
      <c r="AW2286" s="483"/>
      <c r="AX2286" s="483"/>
      <c r="AY2286" s="270"/>
      <c r="AZ2286" s="270"/>
      <c r="BA2286" s="270" t="str">
        <f>IF(Table1[[#This Row],[Data de Início]]="","",YEAR(Table1[[#This Row],[Data de Início]]))</f>
        <v/>
      </c>
      <c r="BB2286" s="270" t="str">
        <f>IF(Table1[[#This Row],[Data de Início]]="","",MONTH(Table1[[#This Row],[Data de Início]]))</f>
        <v/>
      </c>
      <c r="BC2286" s="270"/>
    </row>
    <row r="2287" spans="2:55" x14ac:dyDescent="0.25">
      <c r="B2287" s="470"/>
      <c r="C2287" s="263"/>
      <c r="D2287" s="477" cm="1">
        <f t="array" ref="D2287">IFERROR(HorasUteisFabrica2Turnos(B2287,C2287), "")</f>
        <v>0</v>
      </c>
      <c r="E2287" s="697" t="str">
        <f t="shared" si="36"/>
        <v/>
      </c>
      <c r="F2287" s="266"/>
      <c r="G2287" s="698"/>
      <c r="H2287" s="266"/>
      <c r="I2287" s="268"/>
      <c r="J2287" s="268"/>
      <c r="K2287" s="268"/>
      <c r="L2287" s="269"/>
      <c r="M2287" s="510" t="str">
        <f>IFERROR(INDEX([1]Produtos!$C:$C,MATCH(L2287,[1]Produtos!$B:$B,0)), "-")</f>
        <v>-</v>
      </c>
      <c r="N2287" s="510" t="str">
        <f>IFERROR(INDEX([1]Produtos!$E:$E,MATCH(L2287,[1]Produtos!$B:$B,0)), "-")</f>
        <v>-</v>
      </c>
      <c r="O2287" s="270" t="str">
        <f>IFERROR(INDEX([1]Produtos!$F:$F,MATCH(L2287,[1]Produtos!$B:$B,0)), "-")</f>
        <v>-</v>
      </c>
      <c r="P2287" s="264" t="str">
        <f>IFERROR(INDEX([1]Produtos!$G:$G,MATCH(L2287,[1]Produtos!$B:$B,0)), "-")</f>
        <v>-</v>
      </c>
      <c r="Q2287" s="270" t="str">
        <f>IFERROR(INDEX([1]Produtos!$H:$H,MATCH(L2287,[1]Produtos!$B:$B,0)), "-")</f>
        <v>-</v>
      </c>
      <c r="R2287" s="270" t="str">
        <f>IFERROR(INDEX([1]Produtos!$I:$I,MATCH(L2287,[1]Produtos!$B:$B,0)), "-")</f>
        <v>-</v>
      </c>
      <c r="S2287" s="270" t="str">
        <f>IFERROR(INDEX([1]Produtos!$J:$J,MATCH(L2287,[1]Produtos!$B:$B,0)), "-")</f>
        <v>-</v>
      </c>
      <c r="T2287" s="475"/>
      <c r="U2287" s="270"/>
      <c r="V2287" s="270"/>
      <c r="W2287" s="270"/>
      <c r="X2287" s="270"/>
      <c r="Y2287" s="270"/>
      <c r="Z2287" s="270"/>
      <c r="AA2287" s="270"/>
      <c r="AB2287" s="270"/>
      <c r="AC2287" s="270"/>
      <c r="AD2287" s="270"/>
      <c r="AE2287" s="270"/>
      <c r="AF2287" s="270"/>
      <c r="AG2287" s="270"/>
      <c r="AH2287" s="270"/>
      <c r="AI2287" s="270"/>
      <c r="AJ2287" s="270"/>
      <c r="AK2287" s="270"/>
      <c r="AL2287" s="270"/>
      <c r="AM2287" s="663"/>
      <c r="AN2287" s="663"/>
      <c r="AO2287" s="708" t="str">
        <f>IF(OR(Table1[[#This Row],[Início Setup Envase]]="",Table1[[#This Row],[Final Setup Envase]]=""),"",Table1[[#This Row],[Final Setup Envase]]-Table1[[#This Row],[Início Setup Envase]])</f>
        <v/>
      </c>
      <c r="AP2287" s="663"/>
      <c r="AQ2287" s="663"/>
      <c r="AR2287" s="270"/>
      <c r="AS2287" s="674"/>
      <c r="AT2287" s="674"/>
      <c r="AU2287" s="270"/>
      <c r="AV2287" s="270"/>
      <c r="AW2287" s="270"/>
      <c r="AX2287" s="270"/>
      <c r="AY2287" s="270"/>
      <c r="AZ2287" s="270"/>
      <c r="BA2287" s="270" t="str">
        <f>IF(Table1[[#This Row],[Data de Início]]="","",YEAR(Table1[[#This Row],[Data de Início]]))</f>
        <v/>
      </c>
      <c r="BB2287" s="270" t="str">
        <f>IF(Table1[[#This Row],[Data de Início]]="","",MONTH(Table1[[#This Row],[Data de Início]]))</f>
        <v/>
      </c>
      <c r="BC2287" s="483"/>
    </row>
    <row r="2288" spans="2:55" x14ac:dyDescent="0.25">
      <c r="B2288" s="470"/>
      <c r="C2288" s="263"/>
      <c r="D2288" s="477" cm="1">
        <f t="array" ref="D2288">IFERROR(HorasUteisFabrica2Turnos(B2288,C2288), "")</f>
        <v>0</v>
      </c>
      <c r="E2288" s="478" t="str">
        <f t="shared" si="36"/>
        <v/>
      </c>
      <c r="F2288" s="266"/>
      <c r="G2288" s="656"/>
      <c r="H2288" s="479"/>
      <c r="I2288" s="268"/>
      <c r="J2288" s="268"/>
      <c r="K2288" s="268"/>
      <c r="L2288" s="269"/>
      <c r="M2288" s="511" t="str">
        <f>IFERROR(INDEX([1]Produtos!$C:$C,MATCH(L2288,[1]Produtos!$B:$B,0)), "-")</f>
        <v>-</v>
      </c>
      <c r="N2288" s="511" t="str">
        <f>IFERROR(INDEX([1]Produtos!$E:$E,MATCH(L2288,[1]Produtos!$B:$B,0)), "-")</f>
        <v>-</v>
      </c>
      <c r="O2288" s="483" t="str">
        <f>IFERROR(INDEX([1]Produtos!$F:$F,MATCH(L2288,[1]Produtos!$B:$B,0)), "-")</f>
        <v>-</v>
      </c>
      <c r="P2288" s="477" t="str">
        <f>IFERROR(INDEX([1]Produtos!$G:$G,MATCH(L2288,[1]Produtos!$B:$B,0)), "-")</f>
        <v>-</v>
      </c>
      <c r="Q2288" s="483" t="str">
        <f>IFERROR(INDEX([1]Produtos!$H:$H,MATCH(L2288,[1]Produtos!$B:$B,0)), "-")</f>
        <v>-</v>
      </c>
      <c r="R2288" s="483" t="str">
        <f>IFERROR(INDEX([1]Produtos!$I:$I,MATCH(L2288,[1]Produtos!$B:$B,0)), "-")</f>
        <v>-</v>
      </c>
      <c r="S2288" s="483" t="str">
        <f>IFERROR(INDEX([1]Produtos!$J:$J,MATCH(L2288,[1]Produtos!$B:$B,0)), "-")</f>
        <v>-</v>
      </c>
      <c r="T2288" s="484"/>
      <c r="U2288" s="483"/>
      <c r="V2288" s="483"/>
      <c r="W2288" s="483"/>
      <c r="X2288" s="483"/>
      <c r="Y2288" s="483"/>
      <c r="Z2288" s="483"/>
      <c r="AA2288" s="483"/>
      <c r="AB2288" s="483"/>
      <c r="AC2288" s="483"/>
      <c r="AD2288" s="483"/>
      <c r="AE2288" s="483"/>
      <c r="AF2288" s="483"/>
      <c r="AG2288" s="483"/>
      <c r="AH2288" s="483"/>
      <c r="AI2288" s="483"/>
      <c r="AJ2288" s="483"/>
      <c r="AK2288" s="483"/>
      <c r="AL2288" s="483"/>
      <c r="AM2288" s="670"/>
      <c r="AN2288" s="670"/>
      <c r="AO2288" s="711" t="str">
        <f>IF(OR(Table1[[#This Row],[Início Setup Envase]]="",Table1[[#This Row],[Final Setup Envase]]=""),"",Table1[[#This Row],[Final Setup Envase]]-Table1[[#This Row],[Início Setup Envase]])</f>
        <v/>
      </c>
      <c r="AP2288" s="670"/>
      <c r="AQ2288" s="670"/>
      <c r="AR2288" s="483"/>
      <c r="AS2288" s="483"/>
      <c r="AT2288" s="483"/>
      <c r="AU2288" s="483"/>
      <c r="AV2288" s="483"/>
      <c r="AW2288" s="483"/>
      <c r="AX2288" s="483"/>
      <c r="AY2288" s="270"/>
      <c r="AZ2288" s="270"/>
      <c r="BA2288" s="270" t="str">
        <f>IF(Table1[[#This Row],[Data de Início]]="","",YEAR(Table1[[#This Row],[Data de Início]]))</f>
        <v/>
      </c>
      <c r="BB2288" s="270" t="str">
        <f>IF(Table1[[#This Row],[Data de Início]]="","",MONTH(Table1[[#This Row],[Data de Início]]))</f>
        <v/>
      </c>
      <c r="BC2288" s="270"/>
    </row>
    <row r="2289" spans="2:55" x14ac:dyDescent="0.25">
      <c r="B2289" s="470"/>
      <c r="C2289" s="263"/>
      <c r="D2289" s="477" cm="1">
        <f t="array" ref="D2289">IFERROR(HorasUteisFabrica2Turnos(B2289,C2289), "")</f>
        <v>0</v>
      </c>
      <c r="E2289" s="697" t="str">
        <f t="shared" si="36"/>
        <v/>
      </c>
      <c r="F2289" s="266"/>
      <c r="G2289" s="698"/>
      <c r="H2289" s="266"/>
      <c r="I2289" s="268"/>
      <c r="J2289" s="268"/>
      <c r="K2289" s="268"/>
      <c r="L2289" s="269"/>
      <c r="M2289" s="510" t="str">
        <f>IFERROR(INDEX([1]Produtos!$C:$C,MATCH(L2289,[1]Produtos!$B:$B,0)), "-")</f>
        <v>-</v>
      </c>
      <c r="N2289" s="510" t="str">
        <f>IFERROR(INDEX([1]Produtos!$E:$E,MATCH(L2289,[1]Produtos!$B:$B,0)), "-")</f>
        <v>-</v>
      </c>
      <c r="O2289" s="270" t="str">
        <f>IFERROR(INDEX([1]Produtos!$F:$F,MATCH(L2289,[1]Produtos!$B:$B,0)), "-")</f>
        <v>-</v>
      </c>
      <c r="P2289" s="264" t="str">
        <f>IFERROR(INDEX([1]Produtos!$G:$G,MATCH(L2289,[1]Produtos!$B:$B,0)), "-")</f>
        <v>-</v>
      </c>
      <c r="Q2289" s="270" t="str">
        <f>IFERROR(INDEX([1]Produtos!$H:$H,MATCH(L2289,[1]Produtos!$B:$B,0)), "-")</f>
        <v>-</v>
      </c>
      <c r="R2289" s="270" t="str">
        <f>IFERROR(INDEX([1]Produtos!$I:$I,MATCH(L2289,[1]Produtos!$B:$B,0)), "-")</f>
        <v>-</v>
      </c>
      <c r="S2289" s="270" t="str">
        <f>IFERROR(INDEX([1]Produtos!$J:$J,MATCH(L2289,[1]Produtos!$B:$B,0)), "-")</f>
        <v>-</v>
      </c>
      <c r="T2289" s="475"/>
      <c r="U2289" s="270"/>
      <c r="V2289" s="270"/>
      <c r="W2289" s="270"/>
      <c r="X2289" s="270"/>
      <c r="Y2289" s="270"/>
      <c r="Z2289" s="270"/>
      <c r="AA2289" s="270"/>
      <c r="AB2289" s="270"/>
      <c r="AC2289" s="270"/>
      <c r="AD2289" s="270"/>
      <c r="AE2289" s="270"/>
      <c r="AF2289" s="270"/>
      <c r="AG2289" s="270"/>
      <c r="AH2289" s="270"/>
      <c r="AI2289" s="270"/>
      <c r="AJ2289" s="270"/>
      <c r="AK2289" s="270"/>
      <c r="AL2289" s="270"/>
      <c r="AM2289" s="663"/>
      <c r="AN2289" s="663"/>
      <c r="AO2289" s="708" t="str">
        <f>IF(OR(Table1[[#This Row],[Início Setup Envase]]="",Table1[[#This Row],[Final Setup Envase]]=""),"",Table1[[#This Row],[Final Setup Envase]]-Table1[[#This Row],[Início Setup Envase]])</f>
        <v/>
      </c>
      <c r="AP2289" s="663"/>
      <c r="AQ2289" s="663"/>
      <c r="AR2289" s="270"/>
      <c r="AS2289" s="674"/>
      <c r="AT2289" s="674"/>
      <c r="AU2289" s="270"/>
      <c r="AV2289" s="270"/>
      <c r="AW2289" s="270"/>
      <c r="AX2289" s="270"/>
      <c r="AY2289" s="270"/>
      <c r="AZ2289" s="270"/>
      <c r="BA2289" s="270" t="str">
        <f>IF(Table1[[#This Row],[Data de Início]]="","",YEAR(Table1[[#This Row],[Data de Início]]))</f>
        <v/>
      </c>
      <c r="BB2289" s="270" t="str">
        <f>IF(Table1[[#This Row],[Data de Início]]="","",MONTH(Table1[[#This Row],[Data de Início]]))</f>
        <v/>
      </c>
      <c r="BC2289" s="483"/>
    </row>
    <row r="2290" spans="2:55" x14ac:dyDescent="0.25">
      <c r="B2290" s="470"/>
      <c r="C2290" s="263"/>
      <c r="D2290" s="477" cm="1">
        <f t="array" ref="D2290">IFERROR(HorasUteisFabrica2Turnos(B2290,C2290), "")</f>
        <v>0</v>
      </c>
      <c r="E2290" s="478" t="str">
        <f t="shared" si="36"/>
        <v/>
      </c>
      <c r="F2290" s="266"/>
      <c r="G2290" s="656"/>
      <c r="H2290" s="479"/>
      <c r="I2290" s="268"/>
      <c r="J2290" s="268"/>
      <c r="K2290" s="268"/>
      <c r="L2290" s="269"/>
      <c r="M2290" s="511" t="str">
        <f>IFERROR(INDEX([1]Produtos!$C:$C,MATCH(L2290,[1]Produtos!$B:$B,0)), "-")</f>
        <v>-</v>
      </c>
      <c r="N2290" s="511" t="str">
        <f>IFERROR(INDEX([1]Produtos!$E:$E,MATCH(L2290,[1]Produtos!$B:$B,0)), "-")</f>
        <v>-</v>
      </c>
      <c r="O2290" s="483" t="str">
        <f>IFERROR(INDEX([1]Produtos!$F:$F,MATCH(L2290,[1]Produtos!$B:$B,0)), "-")</f>
        <v>-</v>
      </c>
      <c r="P2290" s="477" t="str">
        <f>IFERROR(INDEX([1]Produtos!$G:$G,MATCH(L2290,[1]Produtos!$B:$B,0)), "-")</f>
        <v>-</v>
      </c>
      <c r="Q2290" s="483" t="str">
        <f>IFERROR(INDEX([1]Produtos!$H:$H,MATCH(L2290,[1]Produtos!$B:$B,0)), "-")</f>
        <v>-</v>
      </c>
      <c r="R2290" s="483" t="str">
        <f>IFERROR(INDEX([1]Produtos!$I:$I,MATCH(L2290,[1]Produtos!$B:$B,0)), "-")</f>
        <v>-</v>
      </c>
      <c r="S2290" s="483" t="str">
        <f>IFERROR(INDEX([1]Produtos!$J:$J,MATCH(L2290,[1]Produtos!$B:$B,0)), "-")</f>
        <v>-</v>
      </c>
      <c r="T2290" s="484"/>
      <c r="U2290" s="483"/>
      <c r="V2290" s="483"/>
      <c r="W2290" s="483"/>
      <c r="X2290" s="483"/>
      <c r="Y2290" s="483"/>
      <c r="Z2290" s="483"/>
      <c r="AA2290" s="483"/>
      <c r="AB2290" s="483"/>
      <c r="AC2290" s="483"/>
      <c r="AD2290" s="483"/>
      <c r="AE2290" s="483"/>
      <c r="AF2290" s="483"/>
      <c r="AG2290" s="483"/>
      <c r="AH2290" s="483"/>
      <c r="AI2290" s="483"/>
      <c r="AJ2290" s="483"/>
      <c r="AK2290" s="483"/>
      <c r="AL2290" s="483"/>
      <c r="AM2290" s="670"/>
      <c r="AN2290" s="670"/>
      <c r="AO2290" s="711" t="str">
        <f>IF(OR(Table1[[#This Row],[Início Setup Envase]]="",Table1[[#This Row],[Final Setup Envase]]=""),"",Table1[[#This Row],[Final Setup Envase]]-Table1[[#This Row],[Início Setup Envase]])</f>
        <v/>
      </c>
      <c r="AP2290" s="670"/>
      <c r="AQ2290" s="670"/>
      <c r="AR2290" s="483"/>
      <c r="AS2290" s="483"/>
      <c r="AT2290" s="483"/>
      <c r="AU2290" s="483"/>
      <c r="AV2290" s="483"/>
      <c r="AW2290" s="483"/>
      <c r="AX2290" s="483"/>
      <c r="AY2290" s="270"/>
      <c r="AZ2290" s="270"/>
      <c r="BA2290" s="270" t="str">
        <f>IF(Table1[[#This Row],[Data de Início]]="","",YEAR(Table1[[#This Row],[Data de Início]]))</f>
        <v/>
      </c>
      <c r="BB2290" s="270" t="str">
        <f>IF(Table1[[#This Row],[Data de Início]]="","",MONTH(Table1[[#This Row],[Data de Início]]))</f>
        <v/>
      </c>
      <c r="BC2290" s="270"/>
    </row>
    <row r="2291" spans="2:55" x14ac:dyDescent="0.25">
      <c r="B2291" s="470"/>
      <c r="C2291" s="263"/>
      <c r="D2291" s="477" cm="1">
        <f t="array" ref="D2291">IFERROR(HorasUteisFabrica2Turnos(B2291,C2291), "")</f>
        <v>0</v>
      </c>
      <c r="E2291" s="697" t="str">
        <f t="shared" si="36"/>
        <v/>
      </c>
      <c r="F2291" s="266"/>
      <c r="G2291" s="698"/>
      <c r="H2291" s="266"/>
      <c r="I2291" s="268"/>
      <c r="J2291" s="268"/>
      <c r="K2291" s="268"/>
      <c r="L2291" s="269"/>
      <c r="M2291" s="510" t="str">
        <f>IFERROR(INDEX([1]Produtos!$C:$C,MATCH(L2291,[1]Produtos!$B:$B,0)), "-")</f>
        <v>-</v>
      </c>
      <c r="N2291" s="510" t="str">
        <f>IFERROR(INDEX([1]Produtos!$E:$E,MATCH(L2291,[1]Produtos!$B:$B,0)), "-")</f>
        <v>-</v>
      </c>
      <c r="O2291" s="270" t="str">
        <f>IFERROR(INDEX([1]Produtos!$F:$F,MATCH(L2291,[1]Produtos!$B:$B,0)), "-")</f>
        <v>-</v>
      </c>
      <c r="P2291" s="264" t="str">
        <f>IFERROR(INDEX([1]Produtos!$G:$G,MATCH(L2291,[1]Produtos!$B:$B,0)), "-")</f>
        <v>-</v>
      </c>
      <c r="Q2291" s="270" t="str">
        <f>IFERROR(INDEX([1]Produtos!$H:$H,MATCH(L2291,[1]Produtos!$B:$B,0)), "-")</f>
        <v>-</v>
      </c>
      <c r="R2291" s="270" t="str">
        <f>IFERROR(INDEX([1]Produtos!$I:$I,MATCH(L2291,[1]Produtos!$B:$B,0)), "-")</f>
        <v>-</v>
      </c>
      <c r="S2291" s="270" t="str">
        <f>IFERROR(INDEX([1]Produtos!$J:$J,MATCH(L2291,[1]Produtos!$B:$B,0)), "-")</f>
        <v>-</v>
      </c>
      <c r="T2291" s="475"/>
      <c r="U2291" s="270"/>
      <c r="V2291" s="270"/>
      <c r="W2291" s="270"/>
      <c r="X2291" s="270"/>
      <c r="Y2291" s="270"/>
      <c r="Z2291" s="270"/>
      <c r="AA2291" s="270"/>
      <c r="AB2291" s="270"/>
      <c r="AC2291" s="270"/>
      <c r="AD2291" s="270"/>
      <c r="AE2291" s="270"/>
      <c r="AF2291" s="270"/>
      <c r="AG2291" s="270"/>
      <c r="AH2291" s="270"/>
      <c r="AI2291" s="270"/>
      <c r="AJ2291" s="270"/>
      <c r="AK2291" s="270"/>
      <c r="AL2291" s="270"/>
      <c r="AM2291" s="663"/>
      <c r="AN2291" s="663"/>
      <c r="AO2291" s="708" t="str">
        <f>IF(OR(Table1[[#This Row],[Início Setup Envase]]="",Table1[[#This Row],[Final Setup Envase]]=""),"",Table1[[#This Row],[Final Setup Envase]]-Table1[[#This Row],[Início Setup Envase]])</f>
        <v/>
      </c>
      <c r="AP2291" s="663"/>
      <c r="AQ2291" s="663"/>
      <c r="AR2291" s="270"/>
      <c r="AS2291" s="674"/>
      <c r="AT2291" s="674"/>
      <c r="AU2291" s="270"/>
      <c r="AV2291" s="270"/>
      <c r="AW2291" s="270"/>
      <c r="AX2291" s="270"/>
      <c r="AY2291" s="270"/>
      <c r="AZ2291" s="270"/>
      <c r="BA2291" s="270" t="str">
        <f>IF(Table1[[#This Row],[Data de Início]]="","",YEAR(Table1[[#This Row],[Data de Início]]))</f>
        <v/>
      </c>
      <c r="BB2291" s="270" t="str">
        <f>IF(Table1[[#This Row],[Data de Início]]="","",MONTH(Table1[[#This Row],[Data de Início]]))</f>
        <v/>
      </c>
      <c r="BC2291" s="483"/>
    </row>
    <row r="2292" spans="2:55" x14ac:dyDescent="0.25">
      <c r="B2292" s="470"/>
      <c r="C2292" s="263"/>
      <c r="D2292" s="477" cm="1">
        <f t="array" ref="D2292">IFERROR(HorasUteisFabrica2Turnos(B2292,C2292), "")</f>
        <v>0</v>
      </c>
      <c r="E2292" s="478" t="str">
        <f t="shared" si="36"/>
        <v/>
      </c>
      <c r="F2292" s="266"/>
      <c r="G2292" s="656"/>
      <c r="H2292" s="479"/>
      <c r="I2292" s="268"/>
      <c r="J2292" s="268"/>
      <c r="K2292" s="268"/>
      <c r="L2292" s="269"/>
      <c r="M2292" s="511" t="str">
        <f>IFERROR(INDEX([1]Produtos!$C:$C,MATCH(L2292,[1]Produtos!$B:$B,0)), "-")</f>
        <v>-</v>
      </c>
      <c r="N2292" s="511" t="str">
        <f>IFERROR(INDEX([1]Produtos!$E:$E,MATCH(L2292,[1]Produtos!$B:$B,0)), "-")</f>
        <v>-</v>
      </c>
      <c r="O2292" s="483" t="str">
        <f>IFERROR(INDEX([1]Produtos!$F:$F,MATCH(L2292,[1]Produtos!$B:$B,0)), "-")</f>
        <v>-</v>
      </c>
      <c r="P2292" s="477" t="str">
        <f>IFERROR(INDEX([1]Produtos!$G:$G,MATCH(L2292,[1]Produtos!$B:$B,0)), "-")</f>
        <v>-</v>
      </c>
      <c r="Q2292" s="483" t="str">
        <f>IFERROR(INDEX([1]Produtos!$H:$H,MATCH(L2292,[1]Produtos!$B:$B,0)), "-")</f>
        <v>-</v>
      </c>
      <c r="R2292" s="483" t="str">
        <f>IFERROR(INDEX([1]Produtos!$I:$I,MATCH(L2292,[1]Produtos!$B:$B,0)), "-")</f>
        <v>-</v>
      </c>
      <c r="S2292" s="483" t="str">
        <f>IFERROR(INDEX([1]Produtos!$J:$J,MATCH(L2292,[1]Produtos!$B:$B,0)), "-")</f>
        <v>-</v>
      </c>
      <c r="T2292" s="484"/>
      <c r="U2292" s="483"/>
      <c r="V2292" s="483"/>
      <c r="W2292" s="483"/>
      <c r="X2292" s="483"/>
      <c r="Y2292" s="483"/>
      <c r="Z2292" s="483"/>
      <c r="AA2292" s="483"/>
      <c r="AB2292" s="483"/>
      <c r="AC2292" s="483"/>
      <c r="AD2292" s="483"/>
      <c r="AE2292" s="483"/>
      <c r="AF2292" s="483"/>
      <c r="AG2292" s="483"/>
      <c r="AH2292" s="483"/>
      <c r="AI2292" s="483"/>
      <c r="AJ2292" s="483"/>
      <c r="AK2292" s="483"/>
      <c r="AL2292" s="483"/>
      <c r="AM2292" s="670"/>
      <c r="AN2292" s="670"/>
      <c r="AO2292" s="711" t="str">
        <f>IF(OR(Table1[[#This Row],[Início Setup Envase]]="",Table1[[#This Row],[Final Setup Envase]]=""),"",Table1[[#This Row],[Final Setup Envase]]-Table1[[#This Row],[Início Setup Envase]])</f>
        <v/>
      </c>
      <c r="AP2292" s="670"/>
      <c r="AQ2292" s="670"/>
      <c r="AR2292" s="483"/>
      <c r="AS2292" s="483"/>
      <c r="AT2292" s="483"/>
      <c r="AU2292" s="483"/>
      <c r="AV2292" s="483"/>
      <c r="AW2292" s="483"/>
      <c r="AX2292" s="483"/>
      <c r="AY2292" s="270"/>
      <c r="AZ2292" s="270"/>
      <c r="BA2292" s="270" t="str">
        <f>IF(Table1[[#This Row],[Data de Início]]="","",YEAR(Table1[[#This Row],[Data de Início]]))</f>
        <v/>
      </c>
      <c r="BB2292" s="270" t="str">
        <f>IF(Table1[[#This Row],[Data de Início]]="","",MONTH(Table1[[#This Row],[Data de Início]]))</f>
        <v/>
      </c>
      <c r="BC2292" s="270"/>
    </row>
    <row r="2293" spans="2:55" x14ac:dyDescent="0.25">
      <c r="B2293" s="470"/>
      <c r="C2293" s="263"/>
      <c r="D2293" s="477" cm="1">
        <f t="array" ref="D2293">IFERROR(HorasUteisFabrica2Turnos(B2293,C2293), "")</f>
        <v>0</v>
      </c>
      <c r="E2293" s="697" t="str">
        <f t="shared" si="36"/>
        <v/>
      </c>
      <c r="F2293" s="266"/>
      <c r="G2293" s="698"/>
      <c r="H2293" s="266"/>
      <c r="I2293" s="268"/>
      <c r="J2293" s="268"/>
      <c r="K2293" s="268"/>
      <c r="L2293" s="269"/>
      <c r="M2293" s="510" t="str">
        <f>IFERROR(INDEX([1]Produtos!$C:$C,MATCH(L2293,[1]Produtos!$B:$B,0)), "-")</f>
        <v>-</v>
      </c>
      <c r="N2293" s="510" t="str">
        <f>IFERROR(INDEX([1]Produtos!$E:$E,MATCH(L2293,[1]Produtos!$B:$B,0)), "-")</f>
        <v>-</v>
      </c>
      <c r="O2293" s="270" t="str">
        <f>IFERROR(INDEX([1]Produtos!$F:$F,MATCH(L2293,[1]Produtos!$B:$B,0)), "-")</f>
        <v>-</v>
      </c>
      <c r="P2293" s="264" t="str">
        <f>IFERROR(INDEX([1]Produtos!$G:$G,MATCH(L2293,[1]Produtos!$B:$B,0)), "-")</f>
        <v>-</v>
      </c>
      <c r="Q2293" s="270" t="str">
        <f>IFERROR(INDEX([1]Produtos!$H:$H,MATCH(L2293,[1]Produtos!$B:$B,0)), "-")</f>
        <v>-</v>
      </c>
      <c r="R2293" s="270" t="str">
        <f>IFERROR(INDEX([1]Produtos!$I:$I,MATCH(L2293,[1]Produtos!$B:$B,0)), "-")</f>
        <v>-</v>
      </c>
      <c r="S2293" s="270" t="str">
        <f>IFERROR(INDEX([1]Produtos!$J:$J,MATCH(L2293,[1]Produtos!$B:$B,0)), "-")</f>
        <v>-</v>
      </c>
      <c r="T2293" s="475"/>
      <c r="U2293" s="270"/>
      <c r="V2293" s="270"/>
      <c r="W2293" s="270"/>
      <c r="X2293" s="270"/>
      <c r="Y2293" s="270"/>
      <c r="Z2293" s="270"/>
      <c r="AA2293" s="270"/>
      <c r="AB2293" s="270"/>
      <c r="AC2293" s="270"/>
      <c r="AD2293" s="270"/>
      <c r="AE2293" s="270"/>
      <c r="AF2293" s="270"/>
      <c r="AG2293" s="270"/>
      <c r="AH2293" s="270"/>
      <c r="AI2293" s="270"/>
      <c r="AJ2293" s="270"/>
      <c r="AK2293" s="270"/>
      <c r="AL2293" s="270"/>
      <c r="AM2293" s="663"/>
      <c r="AN2293" s="663"/>
      <c r="AO2293" s="708" t="str">
        <f>IF(OR(Table1[[#This Row],[Início Setup Envase]]="",Table1[[#This Row],[Final Setup Envase]]=""),"",Table1[[#This Row],[Final Setup Envase]]-Table1[[#This Row],[Início Setup Envase]])</f>
        <v/>
      </c>
      <c r="AP2293" s="663"/>
      <c r="AQ2293" s="663"/>
      <c r="AR2293" s="270"/>
      <c r="AS2293" s="674"/>
      <c r="AT2293" s="674"/>
      <c r="AU2293" s="270"/>
      <c r="AV2293" s="270"/>
      <c r="AW2293" s="270"/>
      <c r="AX2293" s="270"/>
      <c r="AY2293" s="270"/>
      <c r="AZ2293" s="270"/>
      <c r="BA2293" s="270" t="str">
        <f>IF(Table1[[#This Row],[Data de Início]]="","",YEAR(Table1[[#This Row],[Data de Início]]))</f>
        <v/>
      </c>
      <c r="BB2293" s="270" t="str">
        <f>IF(Table1[[#This Row],[Data de Início]]="","",MONTH(Table1[[#This Row],[Data de Início]]))</f>
        <v/>
      </c>
      <c r="BC2293" s="483"/>
    </row>
    <row r="2294" spans="2:55" x14ac:dyDescent="0.25">
      <c r="B2294" s="470"/>
      <c r="C2294" s="263"/>
      <c r="D2294" s="477" cm="1">
        <f t="array" ref="D2294">IFERROR(HorasUteisFabrica2Turnos(B2294,C2294), "")</f>
        <v>0</v>
      </c>
      <c r="E2294" s="478" t="str">
        <f t="shared" si="36"/>
        <v/>
      </c>
      <c r="F2294" s="266"/>
      <c r="G2294" s="656"/>
      <c r="H2294" s="479"/>
      <c r="I2294" s="268"/>
      <c r="J2294" s="268"/>
      <c r="K2294" s="268"/>
      <c r="L2294" s="269"/>
      <c r="M2294" s="511" t="str">
        <f>IFERROR(INDEX([1]Produtos!$C:$C,MATCH(L2294,[1]Produtos!$B:$B,0)), "-")</f>
        <v>-</v>
      </c>
      <c r="N2294" s="511" t="str">
        <f>IFERROR(INDEX([1]Produtos!$E:$E,MATCH(L2294,[1]Produtos!$B:$B,0)), "-")</f>
        <v>-</v>
      </c>
      <c r="O2294" s="483" t="str">
        <f>IFERROR(INDEX([1]Produtos!$F:$F,MATCH(L2294,[1]Produtos!$B:$B,0)), "-")</f>
        <v>-</v>
      </c>
      <c r="P2294" s="477" t="str">
        <f>IFERROR(INDEX([1]Produtos!$G:$G,MATCH(L2294,[1]Produtos!$B:$B,0)), "-")</f>
        <v>-</v>
      </c>
      <c r="Q2294" s="483" t="str">
        <f>IFERROR(INDEX([1]Produtos!$H:$H,MATCH(L2294,[1]Produtos!$B:$B,0)), "-")</f>
        <v>-</v>
      </c>
      <c r="R2294" s="483" t="str">
        <f>IFERROR(INDEX([1]Produtos!$I:$I,MATCH(L2294,[1]Produtos!$B:$B,0)), "-")</f>
        <v>-</v>
      </c>
      <c r="S2294" s="483" t="str">
        <f>IFERROR(INDEX([1]Produtos!$J:$J,MATCH(L2294,[1]Produtos!$B:$B,0)), "-")</f>
        <v>-</v>
      </c>
      <c r="T2294" s="484"/>
      <c r="U2294" s="483"/>
      <c r="V2294" s="483"/>
      <c r="W2294" s="483"/>
      <c r="X2294" s="483"/>
      <c r="Y2294" s="483"/>
      <c r="Z2294" s="483"/>
      <c r="AA2294" s="483"/>
      <c r="AB2294" s="483"/>
      <c r="AC2294" s="483"/>
      <c r="AD2294" s="483"/>
      <c r="AE2294" s="483"/>
      <c r="AF2294" s="483"/>
      <c r="AG2294" s="483"/>
      <c r="AH2294" s="483"/>
      <c r="AI2294" s="483"/>
      <c r="AJ2294" s="483"/>
      <c r="AK2294" s="483"/>
      <c r="AL2294" s="483"/>
      <c r="AM2294" s="670"/>
      <c r="AN2294" s="670"/>
      <c r="AO2294" s="711" t="str">
        <f>IF(OR(Table1[[#This Row],[Início Setup Envase]]="",Table1[[#This Row],[Final Setup Envase]]=""),"",Table1[[#This Row],[Final Setup Envase]]-Table1[[#This Row],[Início Setup Envase]])</f>
        <v/>
      </c>
      <c r="AP2294" s="670"/>
      <c r="AQ2294" s="670"/>
      <c r="AR2294" s="483"/>
      <c r="AS2294" s="483"/>
      <c r="AT2294" s="483"/>
      <c r="AU2294" s="483"/>
      <c r="AV2294" s="483"/>
      <c r="AW2294" s="483"/>
      <c r="AX2294" s="483"/>
      <c r="AY2294" s="270"/>
      <c r="AZ2294" s="270"/>
      <c r="BA2294" s="270" t="str">
        <f>IF(Table1[[#This Row],[Data de Início]]="","",YEAR(Table1[[#This Row],[Data de Início]]))</f>
        <v/>
      </c>
      <c r="BB2294" s="270" t="str">
        <f>IF(Table1[[#This Row],[Data de Início]]="","",MONTH(Table1[[#This Row],[Data de Início]]))</f>
        <v/>
      </c>
      <c r="BC2294" s="270"/>
    </row>
    <row r="2295" spans="2:55" x14ac:dyDescent="0.25">
      <c r="B2295" s="470"/>
      <c r="C2295" s="263"/>
      <c r="D2295" s="477" cm="1">
        <f t="array" ref="D2295">IFERROR(HorasUteisFabrica2Turnos(B2295,C2295), "")</f>
        <v>0</v>
      </c>
      <c r="E2295" s="697" t="str">
        <f t="shared" si="36"/>
        <v/>
      </c>
      <c r="F2295" s="266"/>
      <c r="G2295" s="698"/>
      <c r="H2295" s="266"/>
      <c r="I2295" s="268"/>
      <c r="J2295" s="268"/>
      <c r="K2295" s="268"/>
      <c r="L2295" s="269"/>
      <c r="M2295" s="510" t="str">
        <f>IFERROR(INDEX([1]Produtos!$C:$C,MATCH(L2295,[1]Produtos!$B:$B,0)), "-")</f>
        <v>-</v>
      </c>
      <c r="N2295" s="510" t="str">
        <f>IFERROR(INDEX([1]Produtos!$E:$E,MATCH(L2295,[1]Produtos!$B:$B,0)), "-")</f>
        <v>-</v>
      </c>
      <c r="O2295" s="270" t="str">
        <f>IFERROR(INDEX([1]Produtos!$F:$F,MATCH(L2295,[1]Produtos!$B:$B,0)), "-")</f>
        <v>-</v>
      </c>
      <c r="P2295" s="264" t="str">
        <f>IFERROR(INDEX([1]Produtos!$G:$G,MATCH(L2295,[1]Produtos!$B:$B,0)), "-")</f>
        <v>-</v>
      </c>
      <c r="Q2295" s="270" t="str">
        <f>IFERROR(INDEX([1]Produtos!$H:$H,MATCH(L2295,[1]Produtos!$B:$B,0)), "-")</f>
        <v>-</v>
      </c>
      <c r="R2295" s="270" t="str">
        <f>IFERROR(INDEX([1]Produtos!$I:$I,MATCH(L2295,[1]Produtos!$B:$B,0)), "-")</f>
        <v>-</v>
      </c>
      <c r="S2295" s="270" t="str">
        <f>IFERROR(INDEX([1]Produtos!$J:$J,MATCH(L2295,[1]Produtos!$B:$B,0)), "-")</f>
        <v>-</v>
      </c>
      <c r="T2295" s="475"/>
      <c r="U2295" s="270"/>
      <c r="V2295" s="270"/>
      <c r="W2295" s="270"/>
      <c r="X2295" s="270"/>
      <c r="Y2295" s="270"/>
      <c r="Z2295" s="270"/>
      <c r="AA2295" s="270"/>
      <c r="AB2295" s="270"/>
      <c r="AC2295" s="270"/>
      <c r="AD2295" s="270"/>
      <c r="AE2295" s="270"/>
      <c r="AF2295" s="270"/>
      <c r="AG2295" s="270"/>
      <c r="AH2295" s="270"/>
      <c r="AI2295" s="270"/>
      <c r="AJ2295" s="270"/>
      <c r="AK2295" s="270"/>
      <c r="AL2295" s="270"/>
      <c r="AM2295" s="663"/>
      <c r="AN2295" s="663"/>
      <c r="AO2295" s="708" t="str">
        <f>IF(OR(Table1[[#This Row],[Início Setup Envase]]="",Table1[[#This Row],[Final Setup Envase]]=""),"",Table1[[#This Row],[Final Setup Envase]]-Table1[[#This Row],[Início Setup Envase]])</f>
        <v/>
      </c>
      <c r="AP2295" s="663"/>
      <c r="AQ2295" s="663"/>
      <c r="AR2295" s="270"/>
      <c r="AS2295" s="674"/>
      <c r="AT2295" s="674"/>
      <c r="AU2295" s="270"/>
      <c r="AV2295" s="270"/>
      <c r="AW2295" s="270"/>
      <c r="AX2295" s="270"/>
      <c r="AY2295" s="270"/>
      <c r="AZ2295" s="270"/>
      <c r="BA2295" s="270" t="str">
        <f>IF(Table1[[#This Row],[Data de Início]]="","",YEAR(Table1[[#This Row],[Data de Início]]))</f>
        <v/>
      </c>
      <c r="BB2295" s="270" t="str">
        <f>IF(Table1[[#This Row],[Data de Início]]="","",MONTH(Table1[[#This Row],[Data de Início]]))</f>
        <v/>
      </c>
      <c r="BC2295" s="483"/>
    </row>
    <row r="2296" spans="2:55" x14ac:dyDescent="0.25">
      <c r="B2296" s="470"/>
      <c r="C2296" s="263"/>
      <c r="D2296" s="477" cm="1">
        <f t="array" ref="D2296">IFERROR(HorasUteisFabrica2Turnos(B2296,C2296), "")</f>
        <v>0</v>
      </c>
      <c r="E2296" s="478" t="str">
        <f t="shared" si="36"/>
        <v/>
      </c>
      <c r="F2296" s="266"/>
      <c r="G2296" s="656"/>
      <c r="H2296" s="479"/>
      <c r="I2296" s="268"/>
      <c r="J2296" s="268"/>
      <c r="K2296" s="268"/>
      <c r="L2296" s="269"/>
      <c r="M2296" s="511" t="str">
        <f>IFERROR(INDEX([1]Produtos!$C:$C,MATCH(L2296,[1]Produtos!$B:$B,0)), "-")</f>
        <v>-</v>
      </c>
      <c r="N2296" s="511" t="str">
        <f>IFERROR(INDEX([1]Produtos!$E:$E,MATCH(L2296,[1]Produtos!$B:$B,0)), "-")</f>
        <v>-</v>
      </c>
      <c r="O2296" s="483" t="str">
        <f>IFERROR(INDEX([1]Produtos!$F:$F,MATCH(L2296,[1]Produtos!$B:$B,0)), "-")</f>
        <v>-</v>
      </c>
      <c r="P2296" s="477" t="str">
        <f>IFERROR(INDEX([1]Produtos!$G:$G,MATCH(L2296,[1]Produtos!$B:$B,0)), "-")</f>
        <v>-</v>
      </c>
      <c r="Q2296" s="483" t="str">
        <f>IFERROR(INDEX([1]Produtos!$H:$H,MATCH(L2296,[1]Produtos!$B:$B,0)), "-")</f>
        <v>-</v>
      </c>
      <c r="R2296" s="483" t="str">
        <f>IFERROR(INDEX([1]Produtos!$I:$I,MATCH(L2296,[1]Produtos!$B:$B,0)), "-")</f>
        <v>-</v>
      </c>
      <c r="S2296" s="483" t="str">
        <f>IFERROR(INDEX([1]Produtos!$J:$J,MATCH(L2296,[1]Produtos!$B:$B,0)), "-")</f>
        <v>-</v>
      </c>
      <c r="T2296" s="484"/>
      <c r="U2296" s="483"/>
      <c r="V2296" s="483"/>
      <c r="W2296" s="483"/>
      <c r="X2296" s="483"/>
      <c r="Y2296" s="483"/>
      <c r="Z2296" s="483"/>
      <c r="AA2296" s="483"/>
      <c r="AB2296" s="483"/>
      <c r="AC2296" s="483"/>
      <c r="AD2296" s="483"/>
      <c r="AE2296" s="483"/>
      <c r="AF2296" s="483"/>
      <c r="AG2296" s="483"/>
      <c r="AH2296" s="483"/>
      <c r="AI2296" s="483"/>
      <c r="AJ2296" s="483"/>
      <c r="AK2296" s="483"/>
      <c r="AL2296" s="483"/>
      <c r="AM2296" s="670"/>
      <c r="AN2296" s="670"/>
      <c r="AO2296" s="711" t="str">
        <f>IF(OR(Table1[[#This Row],[Início Setup Envase]]="",Table1[[#This Row],[Final Setup Envase]]=""),"",Table1[[#This Row],[Final Setup Envase]]-Table1[[#This Row],[Início Setup Envase]])</f>
        <v/>
      </c>
      <c r="AP2296" s="670"/>
      <c r="AQ2296" s="670"/>
      <c r="AR2296" s="483"/>
      <c r="AS2296" s="483"/>
      <c r="AT2296" s="483"/>
      <c r="AU2296" s="483"/>
      <c r="AV2296" s="483"/>
      <c r="AW2296" s="483"/>
      <c r="AX2296" s="483"/>
      <c r="AY2296" s="270"/>
      <c r="AZ2296" s="270"/>
      <c r="BA2296" s="270" t="str">
        <f>IF(Table1[[#This Row],[Data de Início]]="","",YEAR(Table1[[#This Row],[Data de Início]]))</f>
        <v/>
      </c>
      <c r="BB2296" s="270" t="str">
        <f>IF(Table1[[#This Row],[Data de Início]]="","",MONTH(Table1[[#This Row],[Data de Início]]))</f>
        <v/>
      </c>
      <c r="BC2296" s="270"/>
    </row>
    <row r="2297" spans="2:55" x14ac:dyDescent="0.25">
      <c r="B2297" s="470"/>
      <c r="C2297" s="263"/>
      <c r="D2297" s="477" cm="1">
        <f t="array" ref="D2297">IFERROR(HorasUteisFabrica2Turnos(B2297,C2297), "")</f>
        <v>0</v>
      </c>
      <c r="E2297" s="697" t="str">
        <f t="shared" si="36"/>
        <v/>
      </c>
      <c r="F2297" s="266"/>
      <c r="G2297" s="698"/>
      <c r="H2297" s="266"/>
      <c r="I2297" s="268"/>
      <c r="J2297" s="268"/>
      <c r="K2297" s="268"/>
      <c r="L2297" s="269"/>
      <c r="M2297" s="510" t="str">
        <f>IFERROR(INDEX([1]Produtos!$C:$C,MATCH(L2297,[1]Produtos!$B:$B,0)), "-")</f>
        <v>-</v>
      </c>
      <c r="N2297" s="510" t="str">
        <f>IFERROR(INDEX([1]Produtos!$E:$E,MATCH(L2297,[1]Produtos!$B:$B,0)), "-")</f>
        <v>-</v>
      </c>
      <c r="O2297" s="270" t="str">
        <f>IFERROR(INDEX([1]Produtos!$F:$F,MATCH(L2297,[1]Produtos!$B:$B,0)), "-")</f>
        <v>-</v>
      </c>
      <c r="P2297" s="264" t="str">
        <f>IFERROR(INDEX([1]Produtos!$G:$G,MATCH(L2297,[1]Produtos!$B:$B,0)), "-")</f>
        <v>-</v>
      </c>
      <c r="Q2297" s="270" t="str">
        <f>IFERROR(INDEX([1]Produtos!$H:$H,MATCH(L2297,[1]Produtos!$B:$B,0)), "-")</f>
        <v>-</v>
      </c>
      <c r="R2297" s="270" t="str">
        <f>IFERROR(INDEX([1]Produtos!$I:$I,MATCH(L2297,[1]Produtos!$B:$B,0)), "-")</f>
        <v>-</v>
      </c>
      <c r="S2297" s="270" t="str">
        <f>IFERROR(INDEX([1]Produtos!$J:$J,MATCH(L2297,[1]Produtos!$B:$B,0)), "-")</f>
        <v>-</v>
      </c>
      <c r="T2297" s="475"/>
      <c r="U2297" s="270"/>
      <c r="V2297" s="270"/>
      <c r="W2297" s="270"/>
      <c r="X2297" s="270"/>
      <c r="Y2297" s="270"/>
      <c r="Z2297" s="270"/>
      <c r="AA2297" s="270"/>
      <c r="AB2297" s="270"/>
      <c r="AC2297" s="270"/>
      <c r="AD2297" s="270"/>
      <c r="AE2297" s="270"/>
      <c r="AF2297" s="270"/>
      <c r="AG2297" s="270"/>
      <c r="AH2297" s="270"/>
      <c r="AI2297" s="270"/>
      <c r="AJ2297" s="270"/>
      <c r="AK2297" s="270"/>
      <c r="AL2297" s="270"/>
      <c r="AM2297" s="663"/>
      <c r="AN2297" s="663"/>
      <c r="AO2297" s="708" t="str">
        <f>IF(OR(Table1[[#This Row],[Início Setup Envase]]="",Table1[[#This Row],[Final Setup Envase]]=""),"",Table1[[#This Row],[Final Setup Envase]]-Table1[[#This Row],[Início Setup Envase]])</f>
        <v/>
      </c>
      <c r="AP2297" s="663"/>
      <c r="AQ2297" s="663"/>
      <c r="AR2297" s="270"/>
      <c r="AS2297" s="674"/>
      <c r="AT2297" s="674"/>
      <c r="AU2297" s="270"/>
      <c r="AV2297" s="270"/>
      <c r="AW2297" s="270"/>
      <c r="AX2297" s="270"/>
      <c r="AY2297" s="270"/>
      <c r="AZ2297" s="270"/>
      <c r="BA2297" s="270" t="str">
        <f>IF(Table1[[#This Row],[Data de Início]]="","",YEAR(Table1[[#This Row],[Data de Início]]))</f>
        <v/>
      </c>
      <c r="BB2297" s="270" t="str">
        <f>IF(Table1[[#This Row],[Data de Início]]="","",MONTH(Table1[[#This Row],[Data de Início]]))</f>
        <v/>
      </c>
      <c r="BC2297" s="483"/>
    </row>
    <row r="2298" spans="2:55" x14ac:dyDescent="0.25">
      <c r="B2298" s="470"/>
      <c r="C2298" s="263"/>
      <c r="D2298" s="477" cm="1">
        <f t="array" ref="D2298">IFERROR(HorasUteisFabrica2Turnos(B2298,C2298), "")</f>
        <v>0</v>
      </c>
      <c r="E2298" s="478" t="str">
        <f t="shared" si="36"/>
        <v/>
      </c>
      <c r="F2298" s="266"/>
      <c r="G2298" s="656"/>
      <c r="H2298" s="479"/>
      <c r="I2298" s="268"/>
      <c r="J2298" s="268"/>
      <c r="K2298" s="268"/>
      <c r="L2298" s="269"/>
      <c r="M2298" s="511" t="str">
        <f>IFERROR(INDEX([1]Produtos!$C:$C,MATCH(L2298,[1]Produtos!$B:$B,0)), "-")</f>
        <v>-</v>
      </c>
      <c r="N2298" s="511" t="str">
        <f>IFERROR(INDEX([1]Produtos!$E:$E,MATCH(L2298,[1]Produtos!$B:$B,0)), "-")</f>
        <v>-</v>
      </c>
      <c r="O2298" s="483" t="str">
        <f>IFERROR(INDEX([1]Produtos!$F:$F,MATCH(L2298,[1]Produtos!$B:$B,0)), "-")</f>
        <v>-</v>
      </c>
      <c r="P2298" s="477" t="str">
        <f>IFERROR(INDEX([1]Produtos!$G:$G,MATCH(L2298,[1]Produtos!$B:$B,0)), "-")</f>
        <v>-</v>
      </c>
      <c r="Q2298" s="483" t="str">
        <f>IFERROR(INDEX([1]Produtos!$H:$H,MATCH(L2298,[1]Produtos!$B:$B,0)), "-")</f>
        <v>-</v>
      </c>
      <c r="R2298" s="483" t="str">
        <f>IFERROR(INDEX([1]Produtos!$I:$I,MATCH(L2298,[1]Produtos!$B:$B,0)), "-")</f>
        <v>-</v>
      </c>
      <c r="S2298" s="483" t="str">
        <f>IFERROR(INDEX([1]Produtos!$J:$J,MATCH(L2298,[1]Produtos!$B:$B,0)), "-")</f>
        <v>-</v>
      </c>
      <c r="T2298" s="484"/>
      <c r="U2298" s="483"/>
      <c r="V2298" s="483"/>
      <c r="W2298" s="483"/>
      <c r="X2298" s="483"/>
      <c r="Y2298" s="483"/>
      <c r="Z2298" s="483"/>
      <c r="AA2298" s="483"/>
      <c r="AB2298" s="483"/>
      <c r="AC2298" s="483"/>
      <c r="AD2298" s="483"/>
      <c r="AE2298" s="483"/>
      <c r="AF2298" s="483"/>
      <c r="AG2298" s="483"/>
      <c r="AH2298" s="483"/>
      <c r="AI2298" s="483"/>
      <c r="AJ2298" s="483"/>
      <c r="AK2298" s="483"/>
      <c r="AL2298" s="483"/>
      <c r="AM2298" s="670"/>
      <c r="AN2298" s="670"/>
      <c r="AO2298" s="711" t="str">
        <f>IF(OR(Table1[[#This Row],[Início Setup Envase]]="",Table1[[#This Row],[Final Setup Envase]]=""),"",Table1[[#This Row],[Final Setup Envase]]-Table1[[#This Row],[Início Setup Envase]])</f>
        <v/>
      </c>
      <c r="AP2298" s="670"/>
      <c r="AQ2298" s="670"/>
      <c r="AR2298" s="483"/>
      <c r="AS2298" s="483"/>
      <c r="AT2298" s="483"/>
      <c r="AU2298" s="483"/>
      <c r="AV2298" s="483"/>
      <c r="AW2298" s="483"/>
      <c r="AX2298" s="483"/>
      <c r="AY2298" s="270"/>
      <c r="AZ2298" s="270"/>
      <c r="BA2298" s="270" t="str">
        <f>IF(Table1[[#This Row],[Data de Início]]="","",YEAR(Table1[[#This Row],[Data de Início]]))</f>
        <v/>
      </c>
      <c r="BB2298" s="270" t="str">
        <f>IF(Table1[[#This Row],[Data de Início]]="","",MONTH(Table1[[#This Row],[Data de Início]]))</f>
        <v/>
      </c>
      <c r="BC2298" s="270"/>
    </row>
    <row r="2299" spans="2:55" x14ac:dyDescent="0.25">
      <c r="B2299" s="470"/>
      <c r="C2299" s="263"/>
      <c r="D2299" s="477" cm="1">
        <f t="array" ref="D2299">IFERROR(HorasUteisFabrica2Turnos(B2299,C2299), "")</f>
        <v>0</v>
      </c>
      <c r="E2299" s="697" t="str">
        <f t="shared" si="36"/>
        <v/>
      </c>
      <c r="F2299" s="266"/>
      <c r="G2299" s="698"/>
      <c r="H2299" s="266"/>
      <c r="I2299" s="268"/>
      <c r="J2299" s="268"/>
      <c r="K2299" s="268"/>
      <c r="L2299" s="269"/>
      <c r="M2299" s="510" t="str">
        <f>IFERROR(INDEX([1]Produtos!$C:$C,MATCH(L2299,[1]Produtos!$B:$B,0)), "-")</f>
        <v>-</v>
      </c>
      <c r="N2299" s="510" t="str">
        <f>IFERROR(INDEX([1]Produtos!$E:$E,MATCH(L2299,[1]Produtos!$B:$B,0)), "-")</f>
        <v>-</v>
      </c>
      <c r="O2299" s="270" t="str">
        <f>IFERROR(INDEX([1]Produtos!$F:$F,MATCH(L2299,[1]Produtos!$B:$B,0)), "-")</f>
        <v>-</v>
      </c>
      <c r="P2299" s="264" t="str">
        <f>IFERROR(INDEX([1]Produtos!$G:$G,MATCH(L2299,[1]Produtos!$B:$B,0)), "-")</f>
        <v>-</v>
      </c>
      <c r="Q2299" s="270" t="str">
        <f>IFERROR(INDEX([1]Produtos!$H:$H,MATCH(L2299,[1]Produtos!$B:$B,0)), "-")</f>
        <v>-</v>
      </c>
      <c r="R2299" s="270" t="str">
        <f>IFERROR(INDEX([1]Produtos!$I:$I,MATCH(L2299,[1]Produtos!$B:$B,0)), "-")</f>
        <v>-</v>
      </c>
      <c r="S2299" s="270" t="str">
        <f>IFERROR(INDEX([1]Produtos!$J:$J,MATCH(L2299,[1]Produtos!$B:$B,0)), "-")</f>
        <v>-</v>
      </c>
      <c r="T2299" s="475"/>
      <c r="U2299" s="270"/>
      <c r="V2299" s="270"/>
      <c r="W2299" s="270"/>
      <c r="X2299" s="270"/>
      <c r="Y2299" s="270"/>
      <c r="Z2299" s="270"/>
      <c r="AA2299" s="270"/>
      <c r="AB2299" s="270"/>
      <c r="AC2299" s="270"/>
      <c r="AD2299" s="270"/>
      <c r="AE2299" s="270"/>
      <c r="AF2299" s="270"/>
      <c r="AG2299" s="270"/>
      <c r="AH2299" s="270"/>
      <c r="AI2299" s="270"/>
      <c r="AJ2299" s="270"/>
      <c r="AK2299" s="270"/>
      <c r="AL2299" s="270"/>
      <c r="AM2299" s="663"/>
      <c r="AN2299" s="663"/>
      <c r="AO2299" s="708" t="str">
        <f>IF(OR(Table1[[#This Row],[Início Setup Envase]]="",Table1[[#This Row],[Final Setup Envase]]=""),"",Table1[[#This Row],[Final Setup Envase]]-Table1[[#This Row],[Início Setup Envase]])</f>
        <v/>
      </c>
      <c r="AP2299" s="663"/>
      <c r="AQ2299" s="663"/>
      <c r="AR2299" s="270"/>
      <c r="AS2299" s="674"/>
      <c r="AT2299" s="674"/>
      <c r="AU2299" s="270"/>
      <c r="AV2299" s="270"/>
      <c r="AW2299" s="270"/>
      <c r="AX2299" s="270"/>
      <c r="AY2299" s="270"/>
      <c r="AZ2299" s="270"/>
      <c r="BA2299" s="270" t="str">
        <f>IF(Table1[[#This Row],[Data de Início]]="","",YEAR(Table1[[#This Row],[Data de Início]]))</f>
        <v/>
      </c>
      <c r="BB2299" s="270" t="str">
        <f>IF(Table1[[#This Row],[Data de Início]]="","",MONTH(Table1[[#This Row],[Data de Início]]))</f>
        <v/>
      </c>
      <c r="BC2299" s="483"/>
    </row>
    <row r="2300" spans="2:55" x14ac:dyDescent="0.25">
      <c r="B2300" s="470"/>
      <c r="C2300" s="263"/>
      <c r="D2300" s="477" cm="1">
        <f t="array" ref="D2300">IFERROR(HorasUteisFabrica2Turnos(B2300,C2300), "")</f>
        <v>0</v>
      </c>
      <c r="E2300" s="478" t="str">
        <f t="shared" si="36"/>
        <v/>
      </c>
      <c r="F2300" s="266"/>
      <c r="G2300" s="656"/>
      <c r="H2300" s="479"/>
      <c r="I2300" s="268"/>
      <c r="J2300" s="268"/>
      <c r="K2300" s="268"/>
      <c r="L2300" s="269"/>
      <c r="M2300" s="511" t="str">
        <f>IFERROR(INDEX([1]Produtos!$C:$C,MATCH(L2300,[1]Produtos!$B:$B,0)), "-")</f>
        <v>-</v>
      </c>
      <c r="N2300" s="511" t="str">
        <f>IFERROR(INDEX([1]Produtos!$E:$E,MATCH(L2300,[1]Produtos!$B:$B,0)), "-")</f>
        <v>-</v>
      </c>
      <c r="O2300" s="483" t="str">
        <f>IFERROR(INDEX([1]Produtos!$F:$F,MATCH(L2300,[1]Produtos!$B:$B,0)), "-")</f>
        <v>-</v>
      </c>
      <c r="P2300" s="477" t="str">
        <f>IFERROR(INDEX([1]Produtos!$G:$G,MATCH(L2300,[1]Produtos!$B:$B,0)), "-")</f>
        <v>-</v>
      </c>
      <c r="Q2300" s="483" t="str">
        <f>IFERROR(INDEX([1]Produtos!$H:$H,MATCH(L2300,[1]Produtos!$B:$B,0)), "-")</f>
        <v>-</v>
      </c>
      <c r="R2300" s="483" t="str">
        <f>IFERROR(INDEX([1]Produtos!$I:$I,MATCH(L2300,[1]Produtos!$B:$B,0)), "-")</f>
        <v>-</v>
      </c>
      <c r="S2300" s="483" t="str">
        <f>IFERROR(INDEX([1]Produtos!$J:$J,MATCH(L2300,[1]Produtos!$B:$B,0)), "-")</f>
        <v>-</v>
      </c>
      <c r="T2300" s="484"/>
      <c r="U2300" s="483"/>
      <c r="V2300" s="483"/>
      <c r="W2300" s="483"/>
      <c r="X2300" s="483"/>
      <c r="Y2300" s="483"/>
      <c r="Z2300" s="483"/>
      <c r="AA2300" s="483"/>
      <c r="AB2300" s="483"/>
      <c r="AC2300" s="483"/>
      <c r="AD2300" s="483"/>
      <c r="AE2300" s="483"/>
      <c r="AF2300" s="483"/>
      <c r="AG2300" s="483"/>
      <c r="AH2300" s="483"/>
      <c r="AI2300" s="483"/>
      <c r="AJ2300" s="483"/>
      <c r="AK2300" s="483"/>
      <c r="AL2300" s="483"/>
      <c r="AM2300" s="670"/>
      <c r="AN2300" s="670"/>
      <c r="AO2300" s="711" t="str">
        <f>IF(OR(Table1[[#This Row],[Início Setup Envase]]="",Table1[[#This Row],[Final Setup Envase]]=""),"",Table1[[#This Row],[Final Setup Envase]]-Table1[[#This Row],[Início Setup Envase]])</f>
        <v/>
      </c>
      <c r="AP2300" s="670"/>
      <c r="AQ2300" s="670"/>
      <c r="AR2300" s="483"/>
      <c r="AS2300" s="483"/>
      <c r="AT2300" s="483"/>
      <c r="AU2300" s="483"/>
      <c r="AV2300" s="483"/>
      <c r="AW2300" s="483"/>
      <c r="AX2300" s="483"/>
      <c r="AY2300" s="270"/>
      <c r="AZ2300" s="270"/>
      <c r="BA2300" s="270" t="str">
        <f>IF(Table1[[#This Row],[Data de Início]]="","",YEAR(Table1[[#This Row],[Data de Início]]))</f>
        <v/>
      </c>
      <c r="BB2300" s="270" t="str">
        <f>IF(Table1[[#This Row],[Data de Início]]="","",MONTH(Table1[[#This Row],[Data de Início]]))</f>
        <v/>
      </c>
      <c r="BC2300" s="270"/>
    </row>
    <row r="2301" spans="2:55" x14ac:dyDescent="0.25">
      <c r="B2301" s="470"/>
      <c r="C2301" s="263"/>
      <c r="D2301" s="477" cm="1">
        <f t="array" ref="D2301">IFERROR(HorasUteisFabrica2Turnos(B2301,C2301), "")</f>
        <v>0</v>
      </c>
      <c r="E2301" s="697" t="str">
        <f t="shared" si="36"/>
        <v/>
      </c>
      <c r="F2301" s="266"/>
      <c r="G2301" s="698"/>
      <c r="H2301" s="266"/>
      <c r="I2301" s="268"/>
      <c r="J2301" s="268"/>
      <c r="K2301" s="268"/>
      <c r="L2301" s="269"/>
      <c r="M2301" s="510" t="str">
        <f>IFERROR(INDEX([1]Produtos!$C:$C,MATCH(L2301,[1]Produtos!$B:$B,0)), "-")</f>
        <v>-</v>
      </c>
      <c r="N2301" s="510" t="str">
        <f>IFERROR(INDEX([1]Produtos!$E:$E,MATCH(L2301,[1]Produtos!$B:$B,0)), "-")</f>
        <v>-</v>
      </c>
      <c r="O2301" s="270" t="str">
        <f>IFERROR(INDEX([1]Produtos!$F:$F,MATCH(L2301,[1]Produtos!$B:$B,0)), "-")</f>
        <v>-</v>
      </c>
      <c r="P2301" s="264" t="str">
        <f>IFERROR(INDEX([1]Produtos!$G:$G,MATCH(L2301,[1]Produtos!$B:$B,0)), "-")</f>
        <v>-</v>
      </c>
      <c r="Q2301" s="270" t="str">
        <f>IFERROR(INDEX([1]Produtos!$H:$H,MATCH(L2301,[1]Produtos!$B:$B,0)), "-")</f>
        <v>-</v>
      </c>
      <c r="R2301" s="270" t="str">
        <f>IFERROR(INDEX([1]Produtos!$I:$I,MATCH(L2301,[1]Produtos!$B:$B,0)), "-")</f>
        <v>-</v>
      </c>
      <c r="S2301" s="270" t="str">
        <f>IFERROR(INDEX([1]Produtos!$J:$J,MATCH(L2301,[1]Produtos!$B:$B,0)), "-")</f>
        <v>-</v>
      </c>
      <c r="T2301" s="475"/>
      <c r="U2301" s="270"/>
      <c r="V2301" s="270"/>
      <c r="W2301" s="270"/>
      <c r="X2301" s="270"/>
      <c r="Y2301" s="270"/>
      <c r="Z2301" s="270"/>
      <c r="AA2301" s="270"/>
      <c r="AB2301" s="270"/>
      <c r="AC2301" s="270"/>
      <c r="AD2301" s="270"/>
      <c r="AE2301" s="270"/>
      <c r="AF2301" s="270"/>
      <c r="AG2301" s="270"/>
      <c r="AH2301" s="270"/>
      <c r="AI2301" s="270"/>
      <c r="AJ2301" s="270"/>
      <c r="AK2301" s="270"/>
      <c r="AL2301" s="270"/>
      <c r="AM2301" s="663"/>
      <c r="AN2301" s="663"/>
      <c r="AO2301" s="708" t="str">
        <f>IF(OR(Table1[[#This Row],[Início Setup Envase]]="",Table1[[#This Row],[Final Setup Envase]]=""),"",Table1[[#This Row],[Final Setup Envase]]-Table1[[#This Row],[Início Setup Envase]])</f>
        <v/>
      </c>
      <c r="AP2301" s="663"/>
      <c r="AQ2301" s="663"/>
      <c r="AR2301" s="270"/>
      <c r="AS2301" s="674"/>
      <c r="AT2301" s="674"/>
      <c r="AU2301" s="270"/>
      <c r="AV2301" s="270"/>
      <c r="AW2301" s="270"/>
      <c r="AX2301" s="270"/>
      <c r="AY2301" s="270"/>
      <c r="AZ2301" s="270"/>
      <c r="BA2301" s="270" t="str">
        <f>IF(Table1[[#This Row],[Data de Início]]="","",YEAR(Table1[[#This Row],[Data de Início]]))</f>
        <v/>
      </c>
      <c r="BB2301" s="270" t="str">
        <f>IF(Table1[[#This Row],[Data de Início]]="","",MONTH(Table1[[#This Row],[Data de Início]]))</f>
        <v/>
      </c>
      <c r="BC2301" s="483"/>
    </row>
    <row r="2302" spans="2:55" x14ac:dyDescent="0.25">
      <c r="B2302" s="470"/>
      <c r="C2302" s="263"/>
      <c r="D2302" s="477" cm="1">
        <f t="array" ref="D2302">IFERROR(HorasUteisFabrica2Turnos(B2302,C2302), "")</f>
        <v>0</v>
      </c>
      <c r="E2302" s="478" t="str">
        <f t="shared" si="36"/>
        <v/>
      </c>
      <c r="F2302" s="266"/>
      <c r="G2302" s="656"/>
      <c r="H2302" s="479"/>
      <c r="I2302" s="268"/>
      <c r="J2302" s="268"/>
      <c r="K2302" s="268"/>
      <c r="L2302" s="269"/>
      <c r="M2302" s="511" t="str">
        <f>IFERROR(INDEX([1]Produtos!$C:$C,MATCH(L2302,[1]Produtos!$B:$B,0)), "-")</f>
        <v>-</v>
      </c>
      <c r="N2302" s="511" t="str">
        <f>IFERROR(INDEX([1]Produtos!$E:$E,MATCH(L2302,[1]Produtos!$B:$B,0)), "-")</f>
        <v>-</v>
      </c>
      <c r="O2302" s="483" t="str">
        <f>IFERROR(INDEX([1]Produtos!$F:$F,MATCH(L2302,[1]Produtos!$B:$B,0)), "-")</f>
        <v>-</v>
      </c>
      <c r="P2302" s="477" t="str">
        <f>IFERROR(INDEX([1]Produtos!$G:$G,MATCH(L2302,[1]Produtos!$B:$B,0)), "-")</f>
        <v>-</v>
      </c>
      <c r="Q2302" s="483" t="str">
        <f>IFERROR(INDEX([1]Produtos!$H:$H,MATCH(L2302,[1]Produtos!$B:$B,0)), "-")</f>
        <v>-</v>
      </c>
      <c r="R2302" s="483" t="str">
        <f>IFERROR(INDEX([1]Produtos!$I:$I,MATCH(L2302,[1]Produtos!$B:$B,0)), "-")</f>
        <v>-</v>
      </c>
      <c r="S2302" s="483" t="str">
        <f>IFERROR(INDEX([1]Produtos!$J:$J,MATCH(L2302,[1]Produtos!$B:$B,0)), "-")</f>
        <v>-</v>
      </c>
      <c r="T2302" s="484"/>
      <c r="U2302" s="483"/>
      <c r="V2302" s="483"/>
      <c r="W2302" s="483"/>
      <c r="X2302" s="483"/>
      <c r="Y2302" s="483"/>
      <c r="Z2302" s="483"/>
      <c r="AA2302" s="483"/>
      <c r="AB2302" s="483"/>
      <c r="AC2302" s="483"/>
      <c r="AD2302" s="483"/>
      <c r="AE2302" s="483"/>
      <c r="AF2302" s="483"/>
      <c r="AG2302" s="483"/>
      <c r="AH2302" s="483"/>
      <c r="AI2302" s="483"/>
      <c r="AJ2302" s="483"/>
      <c r="AK2302" s="483"/>
      <c r="AL2302" s="483"/>
      <c r="AM2302" s="670"/>
      <c r="AN2302" s="670"/>
      <c r="AO2302" s="711" t="str">
        <f>IF(OR(Table1[[#This Row],[Início Setup Envase]]="",Table1[[#This Row],[Final Setup Envase]]=""),"",Table1[[#This Row],[Final Setup Envase]]-Table1[[#This Row],[Início Setup Envase]])</f>
        <v/>
      </c>
      <c r="AP2302" s="670"/>
      <c r="AQ2302" s="670"/>
      <c r="AR2302" s="483"/>
      <c r="AS2302" s="483"/>
      <c r="AT2302" s="483"/>
      <c r="AU2302" s="483"/>
      <c r="AV2302" s="483"/>
      <c r="AW2302" s="483"/>
      <c r="AX2302" s="483"/>
      <c r="AY2302" s="270"/>
      <c r="AZ2302" s="270"/>
      <c r="BA2302" s="270" t="str">
        <f>IF(Table1[[#This Row],[Data de Início]]="","",YEAR(Table1[[#This Row],[Data de Início]]))</f>
        <v/>
      </c>
      <c r="BB2302" s="270" t="str">
        <f>IF(Table1[[#This Row],[Data de Início]]="","",MONTH(Table1[[#This Row],[Data de Início]]))</f>
        <v/>
      </c>
      <c r="BC2302" s="270"/>
    </row>
    <row r="2303" spans="2:55" x14ac:dyDescent="0.25">
      <c r="B2303" s="470"/>
      <c r="C2303" s="263"/>
      <c r="D2303" s="477" cm="1">
        <f t="array" ref="D2303">IFERROR(HorasUteisFabrica2Turnos(B2303,C2303), "")</f>
        <v>0</v>
      </c>
      <c r="E2303" s="697" t="str">
        <f t="shared" si="36"/>
        <v/>
      </c>
      <c r="F2303" s="266"/>
      <c r="G2303" s="698"/>
      <c r="H2303" s="266"/>
      <c r="I2303" s="268"/>
      <c r="J2303" s="268"/>
      <c r="K2303" s="268"/>
      <c r="L2303" s="269"/>
      <c r="M2303" s="510" t="str">
        <f>IFERROR(INDEX([1]Produtos!$C:$C,MATCH(L2303,[1]Produtos!$B:$B,0)), "-")</f>
        <v>-</v>
      </c>
      <c r="N2303" s="510" t="str">
        <f>IFERROR(INDEX([1]Produtos!$E:$E,MATCH(L2303,[1]Produtos!$B:$B,0)), "-")</f>
        <v>-</v>
      </c>
      <c r="O2303" s="270" t="str">
        <f>IFERROR(INDEX([1]Produtos!$F:$F,MATCH(L2303,[1]Produtos!$B:$B,0)), "-")</f>
        <v>-</v>
      </c>
      <c r="P2303" s="264" t="str">
        <f>IFERROR(INDEX([1]Produtos!$G:$G,MATCH(L2303,[1]Produtos!$B:$B,0)), "-")</f>
        <v>-</v>
      </c>
      <c r="Q2303" s="270" t="str">
        <f>IFERROR(INDEX([1]Produtos!$H:$H,MATCH(L2303,[1]Produtos!$B:$B,0)), "-")</f>
        <v>-</v>
      </c>
      <c r="R2303" s="270" t="str">
        <f>IFERROR(INDEX([1]Produtos!$I:$I,MATCH(L2303,[1]Produtos!$B:$B,0)), "-")</f>
        <v>-</v>
      </c>
      <c r="S2303" s="270" t="str">
        <f>IFERROR(INDEX([1]Produtos!$J:$J,MATCH(L2303,[1]Produtos!$B:$B,0)), "-")</f>
        <v>-</v>
      </c>
      <c r="T2303" s="475"/>
      <c r="U2303" s="270"/>
      <c r="V2303" s="270"/>
      <c r="W2303" s="270"/>
      <c r="X2303" s="270"/>
      <c r="Y2303" s="270"/>
      <c r="Z2303" s="270"/>
      <c r="AA2303" s="270"/>
      <c r="AB2303" s="270"/>
      <c r="AC2303" s="270"/>
      <c r="AD2303" s="270"/>
      <c r="AE2303" s="270"/>
      <c r="AF2303" s="270"/>
      <c r="AG2303" s="270"/>
      <c r="AH2303" s="270"/>
      <c r="AI2303" s="270"/>
      <c r="AJ2303" s="270"/>
      <c r="AK2303" s="270"/>
      <c r="AL2303" s="270"/>
      <c r="AM2303" s="663"/>
      <c r="AN2303" s="663"/>
      <c r="AO2303" s="708" t="str">
        <f>IF(OR(Table1[[#This Row],[Início Setup Envase]]="",Table1[[#This Row],[Final Setup Envase]]=""),"",Table1[[#This Row],[Final Setup Envase]]-Table1[[#This Row],[Início Setup Envase]])</f>
        <v/>
      </c>
      <c r="AP2303" s="663"/>
      <c r="AQ2303" s="663"/>
      <c r="AR2303" s="270"/>
      <c r="AS2303" s="674"/>
      <c r="AT2303" s="674"/>
      <c r="AU2303" s="270"/>
      <c r="AV2303" s="270"/>
      <c r="AW2303" s="270"/>
      <c r="AX2303" s="270"/>
      <c r="AY2303" s="270"/>
      <c r="AZ2303" s="270"/>
      <c r="BA2303" s="270" t="str">
        <f>IF(Table1[[#This Row],[Data de Início]]="","",YEAR(Table1[[#This Row],[Data de Início]]))</f>
        <v/>
      </c>
      <c r="BB2303" s="270" t="str">
        <f>IF(Table1[[#This Row],[Data de Início]]="","",MONTH(Table1[[#This Row],[Data de Início]]))</f>
        <v/>
      </c>
      <c r="BC2303" s="483"/>
    </row>
    <row r="2304" spans="2:55" x14ac:dyDescent="0.25">
      <c r="B2304" s="470"/>
      <c r="C2304" s="263"/>
      <c r="D2304" s="477" cm="1">
        <f t="array" ref="D2304">IFERROR(HorasUteisFabrica2Turnos(B2304,C2304), "")</f>
        <v>0</v>
      </c>
      <c r="E2304" s="478" t="str">
        <f t="shared" si="36"/>
        <v/>
      </c>
      <c r="F2304" s="266"/>
      <c r="G2304" s="656"/>
      <c r="H2304" s="479"/>
      <c r="I2304" s="268"/>
      <c r="J2304" s="268"/>
      <c r="K2304" s="268"/>
      <c r="L2304" s="269"/>
      <c r="M2304" s="511" t="str">
        <f>IFERROR(INDEX([1]Produtos!$C:$C,MATCH(L2304,[1]Produtos!$B:$B,0)), "-")</f>
        <v>-</v>
      </c>
      <c r="N2304" s="511" t="str">
        <f>IFERROR(INDEX([1]Produtos!$E:$E,MATCH(L2304,[1]Produtos!$B:$B,0)), "-")</f>
        <v>-</v>
      </c>
      <c r="O2304" s="483" t="str">
        <f>IFERROR(INDEX([1]Produtos!$F:$F,MATCH(L2304,[1]Produtos!$B:$B,0)), "-")</f>
        <v>-</v>
      </c>
      <c r="P2304" s="477" t="str">
        <f>IFERROR(INDEX([1]Produtos!$G:$G,MATCH(L2304,[1]Produtos!$B:$B,0)), "-")</f>
        <v>-</v>
      </c>
      <c r="Q2304" s="483" t="str">
        <f>IFERROR(INDEX([1]Produtos!$H:$H,MATCH(L2304,[1]Produtos!$B:$B,0)), "-")</f>
        <v>-</v>
      </c>
      <c r="R2304" s="483" t="str">
        <f>IFERROR(INDEX([1]Produtos!$I:$I,MATCH(L2304,[1]Produtos!$B:$B,0)), "-")</f>
        <v>-</v>
      </c>
      <c r="S2304" s="483" t="str">
        <f>IFERROR(INDEX([1]Produtos!$J:$J,MATCH(L2304,[1]Produtos!$B:$B,0)), "-")</f>
        <v>-</v>
      </c>
      <c r="T2304" s="484"/>
      <c r="U2304" s="483"/>
      <c r="V2304" s="483"/>
      <c r="W2304" s="483"/>
      <c r="X2304" s="483"/>
      <c r="Y2304" s="483"/>
      <c r="Z2304" s="483"/>
      <c r="AA2304" s="483"/>
      <c r="AB2304" s="483"/>
      <c r="AC2304" s="483"/>
      <c r="AD2304" s="483"/>
      <c r="AE2304" s="483"/>
      <c r="AF2304" s="483"/>
      <c r="AG2304" s="483"/>
      <c r="AH2304" s="483"/>
      <c r="AI2304" s="483"/>
      <c r="AJ2304" s="483"/>
      <c r="AK2304" s="483"/>
      <c r="AL2304" s="483"/>
      <c r="AM2304" s="670"/>
      <c r="AN2304" s="670"/>
      <c r="AO2304" s="711" t="str">
        <f>IF(OR(Table1[[#This Row],[Início Setup Envase]]="",Table1[[#This Row],[Final Setup Envase]]=""),"",Table1[[#This Row],[Final Setup Envase]]-Table1[[#This Row],[Início Setup Envase]])</f>
        <v/>
      </c>
      <c r="AP2304" s="670"/>
      <c r="AQ2304" s="670"/>
      <c r="AR2304" s="483"/>
      <c r="AS2304" s="483"/>
      <c r="AT2304" s="483"/>
      <c r="AU2304" s="483"/>
      <c r="AV2304" s="483"/>
      <c r="AW2304" s="483"/>
      <c r="AX2304" s="483"/>
      <c r="AY2304" s="270"/>
      <c r="AZ2304" s="270"/>
      <c r="BA2304" s="270" t="str">
        <f>IF(Table1[[#This Row],[Data de Início]]="","",YEAR(Table1[[#This Row],[Data de Início]]))</f>
        <v/>
      </c>
      <c r="BB2304" s="270" t="str">
        <f>IF(Table1[[#This Row],[Data de Início]]="","",MONTH(Table1[[#This Row],[Data de Início]]))</f>
        <v/>
      </c>
      <c r="BC2304" s="270"/>
    </row>
    <row r="2305" spans="2:55" x14ac:dyDescent="0.25">
      <c r="B2305" s="470"/>
      <c r="C2305" s="263"/>
      <c r="D2305" s="477" cm="1">
        <f t="array" ref="D2305">IFERROR(HorasUteisFabrica2Turnos(B2305,C2305), "")</f>
        <v>0</v>
      </c>
      <c r="E2305" s="697" t="str">
        <f t="shared" si="36"/>
        <v/>
      </c>
      <c r="F2305" s="266"/>
      <c r="G2305" s="698"/>
      <c r="H2305" s="266"/>
      <c r="I2305" s="268"/>
      <c r="J2305" s="268"/>
      <c r="K2305" s="268"/>
      <c r="L2305" s="269"/>
      <c r="M2305" s="510" t="str">
        <f>IFERROR(INDEX([1]Produtos!$C:$C,MATCH(L2305,[1]Produtos!$B:$B,0)), "-")</f>
        <v>-</v>
      </c>
      <c r="N2305" s="510" t="str">
        <f>IFERROR(INDEX([1]Produtos!$E:$E,MATCH(L2305,[1]Produtos!$B:$B,0)), "-")</f>
        <v>-</v>
      </c>
      <c r="O2305" s="270" t="str">
        <f>IFERROR(INDEX([1]Produtos!$F:$F,MATCH(L2305,[1]Produtos!$B:$B,0)), "-")</f>
        <v>-</v>
      </c>
      <c r="P2305" s="264" t="str">
        <f>IFERROR(INDEX([1]Produtos!$G:$G,MATCH(L2305,[1]Produtos!$B:$B,0)), "-")</f>
        <v>-</v>
      </c>
      <c r="Q2305" s="270" t="str">
        <f>IFERROR(INDEX([1]Produtos!$H:$H,MATCH(L2305,[1]Produtos!$B:$B,0)), "-")</f>
        <v>-</v>
      </c>
      <c r="R2305" s="270" t="str">
        <f>IFERROR(INDEX([1]Produtos!$I:$I,MATCH(L2305,[1]Produtos!$B:$B,0)), "-")</f>
        <v>-</v>
      </c>
      <c r="S2305" s="270" t="str">
        <f>IFERROR(INDEX([1]Produtos!$J:$J,MATCH(L2305,[1]Produtos!$B:$B,0)), "-")</f>
        <v>-</v>
      </c>
      <c r="T2305" s="475"/>
      <c r="U2305" s="270"/>
      <c r="V2305" s="270"/>
      <c r="W2305" s="270"/>
      <c r="X2305" s="270"/>
      <c r="Y2305" s="270"/>
      <c r="Z2305" s="270"/>
      <c r="AA2305" s="270"/>
      <c r="AB2305" s="270"/>
      <c r="AC2305" s="270"/>
      <c r="AD2305" s="270"/>
      <c r="AE2305" s="270"/>
      <c r="AF2305" s="270"/>
      <c r="AG2305" s="270"/>
      <c r="AH2305" s="270"/>
      <c r="AI2305" s="270"/>
      <c r="AJ2305" s="270"/>
      <c r="AK2305" s="270"/>
      <c r="AL2305" s="270"/>
      <c r="AM2305" s="663"/>
      <c r="AN2305" s="663"/>
      <c r="AO2305" s="708" t="str">
        <f>IF(OR(Table1[[#This Row],[Início Setup Envase]]="",Table1[[#This Row],[Final Setup Envase]]=""),"",Table1[[#This Row],[Final Setup Envase]]-Table1[[#This Row],[Início Setup Envase]])</f>
        <v/>
      </c>
      <c r="AP2305" s="663"/>
      <c r="AQ2305" s="663"/>
      <c r="AR2305" s="270"/>
      <c r="AS2305" s="674"/>
      <c r="AT2305" s="674"/>
      <c r="AU2305" s="270"/>
      <c r="AV2305" s="270"/>
      <c r="AW2305" s="270"/>
      <c r="AX2305" s="270"/>
      <c r="AY2305" s="270"/>
      <c r="AZ2305" s="270"/>
      <c r="BA2305" s="270" t="str">
        <f>IF(Table1[[#This Row],[Data de Início]]="","",YEAR(Table1[[#This Row],[Data de Início]]))</f>
        <v/>
      </c>
      <c r="BB2305" s="270" t="str">
        <f>IF(Table1[[#This Row],[Data de Início]]="","",MONTH(Table1[[#This Row],[Data de Início]]))</f>
        <v/>
      </c>
      <c r="BC2305" s="483"/>
    </row>
    <row r="2306" spans="2:55" x14ac:dyDescent="0.25">
      <c r="B2306" s="470"/>
      <c r="C2306" s="263"/>
      <c r="D2306" s="477" cm="1">
        <f t="array" ref="D2306">IFERROR(HorasUteisFabrica2Turnos(B2306,C2306), "")</f>
        <v>0</v>
      </c>
      <c r="E2306" s="478" t="str">
        <f t="shared" si="36"/>
        <v/>
      </c>
      <c r="F2306" s="266"/>
      <c r="G2306" s="656"/>
      <c r="H2306" s="479"/>
      <c r="I2306" s="268"/>
      <c r="J2306" s="268"/>
      <c r="K2306" s="268"/>
      <c r="L2306" s="269"/>
      <c r="M2306" s="511" t="str">
        <f>IFERROR(INDEX([1]Produtos!$C:$C,MATCH(L2306,[1]Produtos!$B:$B,0)), "-")</f>
        <v>-</v>
      </c>
      <c r="N2306" s="511" t="str">
        <f>IFERROR(INDEX([1]Produtos!$E:$E,MATCH(L2306,[1]Produtos!$B:$B,0)), "-")</f>
        <v>-</v>
      </c>
      <c r="O2306" s="483" t="str">
        <f>IFERROR(INDEX([1]Produtos!$F:$F,MATCH(L2306,[1]Produtos!$B:$B,0)), "-")</f>
        <v>-</v>
      </c>
      <c r="P2306" s="477" t="str">
        <f>IFERROR(INDEX([1]Produtos!$G:$G,MATCH(L2306,[1]Produtos!$B:$B,0)), "-")</f>
        <v>-</v>
      </c>
      <c r="Q2306" s="483" t="str">
        <f>IFERROR(INDEX([1]Produtos!$H:$H,MATCH(L2306,[1]Produtos!$B:$B,0)), "-")</f>
        <v>-</v>
      </c>
      <c r="R2306" s="483" t="str">
        <f>IFERROR(INDEX([1]Produtos!$I:$I,MATCH(L2306,[1]Produtos!$B:$B,0)), "-")</f>
        <v>-</v>
      </c>
      <c r="S2306" s="483" t="str">
        <f>IFERROR(INDEX([1]Produtos!$J:$J,MATCH(L2306,[1]Produtos!$B:$B,0)), "-")</f>
        <v>-</v>
      </c>
      <c r="T2306" s="484"/>
      <c r="U2306" s="483"/>
      <c r="V2306" s="483"/>
      <c r="W2306" s="483"/>
      <c r="X2306" s="483"/>
      <c r="Y2306" s="483"/>
      <c r="Z2306" s="483"/>
      <c r="AA2306" s="483"/>
      <c r="AB2306" s="483"/>
      <c r="AC2306" s="483"/>
      <c r="AD2306" s="483"/>
      <c r="AE2306" s="483"/>
      <c r="AF2306" s="483"/>
      <c r="AG2306" s="483"/>
      <c r="AH2306" s="483"/>
      <c r="AI2306" s="483"/>
      <c r="AJ2306" s="483"/>
      <c r="AK2306" s="483"/>
      <c r="AL2306" s="483"/>
      <c r="AM2306" s="670"/>
      <c r="AN2306" s="670"/>
      <c r="AO2306" s="711" t="str">
        <f>IF(OR(Table1[[#This Row],[Início Setup Envase]]="",Table1[[#This Row],[Final Setup Envase]]=""),"",Table1[[#This Row],[Final Setup Envase]]-Table1[[#This Row],[Início Setup Envase]])</f>
        <v/>
      </c>
      <c r="AP2306" s="670"/>
      <c r="AQ2306" s="670"/>
      <c r="AR2306" s="483"/>
      <c r="AS2306" s="483"/>
      <c r="AT2306" s="483"/>
      <c r="AU2306" s="483"/>
      <c r="AV2306" s="483"/>
      <c r="AW2306" s="483"/>
      <c r="AX2306" s="483"/>
      <c r="AY2306" s="270"/>
      <c r="AZ2306" s="270"/>
      <c r="BA2306" s="270" t="str">
        <f>IF(Table1[[#This Row],[Data de Início]]="","",YEAR(Table1[[#This Row],[Data de Início]]))</f>
        <v/>
      </c>
      <c r="BB2306" s="270" t="str">
        <f>IF(Table1[[#This Row],[Data de Início]]="","",MONTH(Table1[[#This Row],[Data de Início]]))</f>
        <v/>
      </c>
      <c r="BC2306" s="270"/>
    </row>
    <row r="2307" spans="2:55" x14ac:dyDescent="0.25">
      <c r="B2307" s="470"/>
      <c r="C2307" s="263"/>
      <c r="D2307" s="477" cm="1">
        <f t="array" ref="D2307">IFERROR(HorasUteisFabrica2Turnos(B2307,C2307), "")</f>
        <v>0</v>
      </c>
      <c r="E2307" s="697" t="str">
        <f t="shared" si="36"/>
        <v/>
      </c>
      <c r="F2307" s="266"/>
      <c r="G2307" s="698"/>
      <c r="H2307" s="266"/>
      <c r="I2307" s="268"/>
      <c r="J2307" s="268"/>
      <c r="K2307" s="268"/>
      <c r="L2307" s="269"/>
      <c r="M2307" s="510" t="str">
        <f>IFERROR(INDEX([1]Produtos!$C:$C,MATCH(L2307,[1]Produtos!$B:$B,0)), "-")</f>
        <v>-</v>
      </c>
      <c r="N2307" s="510" t="str">
        <f>IFERROR(INDEX([1]Produtos!$E:$E,MATCH(L2307,[1]Produtos!$B:$B,0)), "-")</f>
        <v>-</v>
      </c>
      <c r="O2307" s="270" t="str">
        <f>IFERROR(INDEX([1]Produtos!$F:$F,MATCH(L2307,[1]Produtos!$B:$B,0)), "-")</f>
        <v>-</v>
      </c>
      <c r="P2307" s="264" t="str">
        <f>IFERROR(INDEX([1]Produtos!$G:$G,MATCH(L2307,[1]Produtos!$B:$B,0)), "-")</f>
        <v>-</v>
      </c>
      <c r="Q2307" s="270" t="str">
        <f>IFERROR(INDEX([1]Produtos!$H:$H,MATCH(L2307,[1]Produtos!$B:$B,0)), "-")</f>
        <v>-</v>
      </c>
      <c r="R2307" s="270" t="str">
        <f>IFERROR(INDEX([1]Produtos!$I:$I,MATCH(L2307,[1]Produtos!$B:$B,0)), "-")</f>
        <v>-</v>
      </c>
      <c r="S2307" s="270" t="str">
        <f>IFERROR(INDEX([1]Produtos!$J:$J,MATCH(L2307,[1]Produtos!$B:$B,0)), "-")</f>
        <v>-</v>
      </c>
      <c r="T2307" s="475"/>
      <c r="U2307" s="270"/>
      <c r="V2307" s="270"/>
      <c r="W2307" s="270"/>
      <c r="X2307" s="270"/>
      <c r="Y2307" s="270"/>
      <c r="Z2307" s="270"/>
      <c r="AA2307" s="270"/>
      <c r="AB2307" s="270"/>
      <c r="AC2307" s="270"/>
      <c r="AD2307" s="270"/>
      <c r="AE2307" s="270"/>
      <c r="AF2307" s="270"/>
      <c r="AG2307" s="270"/>
      <c r="AH2307" s="270"/>
      <c r="AI2307" s="270"/>
      <c r="AJ2307" s="270"/>
      <c r="AK2307" s="270"/>
      <c r="AL2307" s="270"/>
      <c r="AM2307" s="663"/>
      <c r="AN2307" s="663"/>
      <c r="AO2307" s="708" t="str">
        <f>IF(OR(Table1[[#This Row],[Início Setup Envase]]="",Table1[[#This Row],[Final Setup Envase]]=""),"",Table1[[#This Row],[Final Setup Envase]]-Table1[[#This Row],[Início Setup Envase]])</f>
        <v/>
      </c>
      <c r="AP2307" s="663"/>
      <c r="AQ2307" s="663"/>
      <c r="AR2307" s="270"/>
      <c r="AS2307" s="674"/>
      <c r="AT2307" s="674"/>
      <c r="AU2307" s="270"/>
      <c r="AV2307" s="270"/>
      <c r="AW2307" s="270"/>
      <c r="AX2307" s="270"/>
      <c r="AY2307" s="270"/>
      <c r="AZ2307" s="270"/>
      <c r="BA2307" s="270" t="str">
        <f>IF(Table1[[#This Row],[Data de Início]]="","",YEAR(Table1[[#This Row],[Data de Início]]))</f>
        <v/>
      </c>
      <c r="BB2307" s="270" t="str">
        <f>IF(Table1[[#This Row],[Data de Início]]="","",MONTH(Table1[[#This Row],[Data de Início]]))</f>
        <v/>
      </c>
      <c r="BC2307" s="483"/>
    </row>
    <row r="2308" spans="2:55" x14ac:dyDescent="0.25">
      <c r="B2308" s="470"/>
      <c r="C2308" s="263"/>
      <c r="D2308" s="477" cm="1">
        <f t="array" ref="D2308">IFERROR(HorasUteisFabrica2Turnos(B2308,C2308), "")</f>
        <v>0</v>
      </c>
      <c r="E2308" s="478" t="str">
        <f t="shared" si="36"/>
        <v/>
      </c>
      <c r="F2308" s="266"/>
      <c r="G2308" s="656"/>
      <c r="H2308" s="479"/>
      <c r="I2308" s="268"/>
      <c r="J2308" s="268"/>
      <c r="K2308" s="268"/>
      <c r="L2308" s="269"/>
      <c r="M2308" s="511" t="str">
        <f>IFERROR(INDEX([1]Produtos!$C:$C,MATCH(L2308,[1]Produtos!$B:$B,0)), "-")</f>
        <v>-</v>
      </c>
      <c r="N2308" s="511" t="str">
        <f>IFERROR(INDEX([1]Produtos!$E:$E,MATCH(L2308,[1]Produtos!$B:$B,0)), "-")</f>
        <v>-</v>
      </c>
      <c r="O2308" s="483" t="str">
        <f>IFERROR(INDEX([1]Produtos!$F:$F,MATCH(L2308,[1]Produtos!$B:$B,0)), "-")</f>
        <v>-</v>
      </c>
      <c r="P2308" s="477" t="str">
        <f>IFERROR(INDEX([1]Produtos!$G:$G,MATCH(L2308,[1]Produtos!$B:$B,0)), "-")</f>
        <v>-</v>
      </c>
      <c r="Q2308" s="483" t="str">
        <f>IFERROR(INDEX([1]Produtos!$H:$H,MATCH(L2308,[1]Produtos!$B:$B,0)), "-")</f>
        <v>-</v>
      </c>
      <c r="R2308" s="483" t="str">
        <f>IFERROR(INDEX([1]Produtos!$I:$I,MATCH(L2308,[1]Produtos!$B:$B,0)), "-")</f>
        <v>-</v>
      </c>
      <c r="S2308" s="483" t="str">
        <f>IFERROR(INDEX([1]Produtos!$J:$J,MATCH(L2308,[1]Produtos!$B:$B,0)), "-")</f>
        <v>-</v>
      </c>
      <c r="T2308" s="484"/>
      <c r="U2308" s="483"/>
      <c r="V2308" s="483"/>
      <c r="W2308" s="483"/>
      <c r="X2308" s="483"/>
      <c r="Y2308" s="483"/>
      <c r="Z2308" s="483"/>
      <c r="AA2308" s="483"/>
      <c r="AB2308" s="483"/>
      <c r="AC2308" s="483"/>
      <c r="AD2308" s="483"/>
      <c r="AE2308" s="483"/>
      <c r="AF2308" s="483"/>
      <c r="AG2308" s="483"/>
      <c r="AH2308" s="483"/>
      <c r="AI2308" s="483"/>
      <c r="AJ2308" s="483"/>
      <c r="AK2308" s="483"/>
      <c r="AL2308" s="483"/>
      <c r="AM2308" s="670"/>
      <c r="AN2308" s="670"/>
      <c r="AO2308" s="711" t="str">
        <f>IF(OR(Table1[[#This Row],[Início Setup Envase]]="",Table1[[#This Row],[Final Setup Envase]]=""),"",Table1[[#This Row],[Final Setup Envase]]-Table1[[#This Row],[Início Setup Envase]])</f>
        <v/>
      </c>
      <c r="AP2308" s="670"/>
      <c r="AQ2308" s="670"/>
      <c r="AR2308" s="483"/>
      <c r="AS2308" s="483"/>
      <c r="AT2308" s="483"/>
      <c r="AU2308" s="483"/>
      <c r="AV2308" s="483"/>
      <c r="AW2308" s="483"/>
      <c r="AX2308" s="483"/>
      <c r="AY2308" s="270"/>
      <c r="AZ2308" s="270"/>
      <c r="BA2308" s="270" t="str">
        <f>IF(Table1[[#This Row],[Data de Início]]="","",YEAR(Table1[[#This Row],[Data de Início]]))</f>
        <v/>
      </c>
      <c r="BB2308" s="270" t="str">
        <f>IF(Table1[[#This Row],[Data de Início]]="","",MONTH(Table1[[#This Row],[Data de Início]]))</f>
        <v/>
      </c>
      <c r="BC2308" s="270"/>
    </row>
    <row r="2309" spans="2:55" x14ac:dyDescent="0.25">
      <c r="B2309" s="470"/>
      <c r="C2309" s="263"/>
      <c r="D2309" s="477" cm="1">
        <f t="array" ref="D2309">IFERROR(HorasUteisFabrica2Turnos(B2309,C2309), "")</f>
        <v>0</v>
      </c>
      <c r="E2309" s="697" t="str">
        <f t="shared" si="36"/>
        <v/>
      </c>
      <c r="F2309" s="266"/>
      <c r="G2309" s="698"/>
      <c r="H2309" s="266"/>
      <c r="I2309" s="268"/>
      <c r="J2309" s="268"/>
      <c r="K2309" s="268"/>
      <c r="L2309" s="269"/>
      <c r="M2309" s="510" t="str">
        <f>IFERROR(INDEX([1]Produtos!$C:$C,MATCH(L2309,[1]Produtos!$B:$B,0)), "-")</f>
        <v>-</v>
      </c>
      <c r="N2309" s="510" t="str">
        <f>IFERROR(INDEX([1]Produtos!$E:$E,MATCH(L2309,[1]Produtos!$B:$B,0)), "-")</f>
        <v>-</v>
      </c>
      <c r="O2309" s="270" t="str">
        <f>IFERROR(INDEX([1]Produtos!$F:$F,MATCH(L2309,[1]Produtos!$B:$B,0)), "-")</f>
        <v>-</v>
      </c>
      <c r="P2309" s="264" t="str">
        <f>IFERROR(INDEX([1]Produtos!$G:$G,MATCH(L2309,[1]Produtos!$B:$B,0)), "-")</f>
        <v>-</v>
      </c>
      <c r="Q2309" s="270" t="str">
        <f>IFERROR(INDEX([1]Produtos!$H:$H,MATCH(L2309,[1]Produtos!$B:$B,0)), "-")</f>
        <v>-</v>
      </c>
      <c r="R2309" s="270" t="str">
        <f>IFERROR(INDEX([1]Produtos!$I:$I,MATCH(L2309,[1]Produtos!$B:$B,0)), "-")</f>
        <v>-</v>
      </c>
      <c r="S2309" s="270" t="str">
        <f>IFERROR(INDEX([1]Produtos!$J:$J,MATCH(L2309,[1]Produtos!$B:$B,0)), "-")</f>
        <v>-</v>
      </c>
      <c r="T2309" s="475"/>
      <c r="U2309" s="270"/>
      <c r="V2309" s="270"/>
      <c r="W2309" s="270"/>
      <c r="X2309" s="270"/>
      <c r="Y2309" s="270"/>
      <c r="Z2309" s="270"/>
      <c r="AA2309" s="270"/>
      <c r="AB2309" s="270"/>
      <c r="AC2309" s="270"/>
      <c r="AD2309" s="270"/>
      <c r="AE2309" s="270"/>
      <c r="AF2309" s="270"/>
      <c r="AG2309" s="270"/>
      <c r="AH2309" s="270"/>
      <c r="AI2309" s="270"/>
      <c r="AJ2309" s="270"/>
      <c r="AK2309" s="270"/>
      <c r="AL2309" s="270"/>
      <c r="AM2309" s="663"/>
      <c r="AN2309" s="663"/>
      <c r="AO2309" s="708" t="str">
        <f>IF(OR(Table1[[#This Row],[Início Setup Envase]]="",Table1[[#This Row],[Final Setup Envase]]=""),"",Table1[[#This Row],[Final Setup Envase]]-Table1[[#This Row],[Início Setup Envase]])</f>
        <v/>
      </c>
      <c r="AP2309" s="663"/>
      <c r="AQ2309" s="663"/>
      <c r="AR2309" s="270"/>
      <c r="AS2309" s="674"/>
      <c r="AT2309" s="674"/>
      <c r="AU2309" s="270"/>
      <c r="AV2309" s="270"/>
      <c r="AW2309" s="270"/>
      <c r="AX2309" s="270"/>
      <c r="AY2309" s="270"/>
      <c r="AZ2309" s="270"/>
      <c r="BA2309" s="270" t="str">
        <f>IF(Table1[[#This Row],[Data de Início]]="","",YEAR(Table1[[#This Row],[Data de Início]]))</f>
        <v/>
      </c>
      <c r="BB2309" s="270" t="str">
        <f>IF(Table1[[#This Row],[Data de Início]]="","",MONTH(Table1[[#This Row],[Data de Início]]))</f>
        <v/>
      </c>
      <c r="BC2309" s="483"/>
    </row>
    <row r="2310" spans="2:55" x14ac:dyDescent="0.25">
      <c r="B2310" s="470"/>
      <c r="C2310" s="263"/>
      <c r="D2310" s="477" cm="1">
        <f t="array" ref="D2310">IFERROR(HorasUteisFabrica2Turnos(B2310,C2310), "")</f>
        <v>0</v>
      </c>
      <c r="E2310" s="478" t="str">
        <f t="shared" si="36"/>
        <v/>
      </c>
      <c r="F2310" s="266"/>
      <c r="G2310" s="656"/>
      <c r="H2310" s="479"/>
      <c r="I2310" s="268"/>
      <c r="J2310" s="268"/>
      <c r="K2310" s="268"/>
      <c r="L2310" s="269"/>
      <c r="M2310" s="511" t="str">
        <f>IFERROR(INDEX([1]Produtos!$C:$C,MATCH(L2310,[1]Produtos!$B:$B,0)), "-")</f>
        <v>-</v>
      </c>
      <c r="N2310" s="511" t="str">
        <f>IFERROR(INDEX([1]Produtos!$E:$E,MATCH(L2310,[1]Produtos!$B:$B,0)), "-")</f>
        <v>-</v>
      </c>
      <c r="O2310" s="483" t="str">
        <f>IFERROR(INDEX([1]Produtos!$F:$F,MATCH(L2310,[1]Produtos!$B:$B,0)), "-")</f>
        <v>-</v>
      </c>
      <c r="P2310" s="477" t="str">
        <f>IFERROR(INDEX([1]Produtos!$G:$G,MATCH(L2310,[1]Produtos!$B:$B,0)), "-")</f>
        <v>-</v>
      </c>
      <c r="Q2310" s="483" t="str">
        <f>IFERROR(INDEX([1]Produtos!$H:$H,MATCH(L2310,[1]Produtos!$B:$B,0)), "-")</f>
        <v>-</v>
      </c>
      <c r="R2310" s="483" t="str">
        <f>IFERROR(INDEX([1]Produtos!$I:$I,MATCH(L2310,[1]Produtos!$B:$B,0)), "-")</f>
        <v>-</v>
      </c>
      <c r="S2310" s="483" t="str">
        <f>IFERROR(INDEX([1]Produtos!$J:$J,MATCH(L2310,[1]Produtos!$B:$B,0)), "-")</f>
        <v>-</v>
      </c>
      <c r="T2310" s="484"/>
      <c r="U2310" s="483"/>
      <c r="V2310" s="483"/>
      <c r="W2310" s="483"/>
      <c r="X2310" s="483"/>
      <c r="Y2310" s="483"/>
      <c r="Z2310" s="483"/>
      <c r="AA2310" s="483"/>
      <c r="AB2310" s="483"/>
      <c r="AC2310" s="483"/>
      <c r="AD2310" s="483"/>
      <c r="AE2310" s="483"/>
      <c r="AF2310" s="483"/>
      <c r="AG2310" s="483"/>
      <c r="AH2310" s="483"/>
      <c r="AI2310" s="483"/>
      <c r="AJ2310" s="483"/>
      <c r="AK2310" s="483"/>
      <c r="AL2310" s="483"/>
      <c r="AM2310" s="670"/>
      <c r="AN2310" s="670"/>
      <c r="AO2310" s="711" t="str">
        <f>IF(OR(Table1[[#This Row],[Início Setup Envase]]="",Table1[[#This Row],[Final Setup Envase]]=""),"",Table1[[#This Row],[Final Setup Envase]]-Table1[[#This Row],[Início Setup Envase]])</f>
        <v/>
      </c>
      <c r="AP2310" s="670"/>
      <c r="AQ2310" s="670"/>
      <c r="AR2310" s="483"/>
      <c r="AS2310" s="483"/>
      <c r="AT2310" s="483"/>
      <c r="AU2310" s="483"/>
      <c r="AV2310" s="483"/>
      <c r="AW2310" s="483"/>
      <c r="AX2310" s="483"/>
      <c r="AY2310" s="270"/>
      <c r="AZ2310" s="270"/>
      <c r="BA2310" s="270" t="str">
        <f>IF(Table1[[#This Row],[Data de Início]]="","",YEAR(Table1[[#This Row],[Data de Início]]))</f>
        <v/>
      </c>
      <c r="BB2310" s="270" t="str">
        <f>IF(Table1[[#This Row],[Data de Início]]="","",MONTH(Table1[[#This Row],[Data de Início]]))</f>
        <v/>
      </c>
      <c r="BC2310" s="270"/>
    </row>
    <row r="2311" spans="2:55" x14ac:dyDescent="0.25">
      <c r="B2311" s="470"/>
      <c r="C2311" s="263"/>
      <c r="D2311" s="477" cm="1">
        <f t="array" ref="D2311">IFERROR(HorasUteisFabrica2Turnos(B2311,C2311), "")</f>
        <v>0</v>
      </c>
      <c r="E2311" s="697" t="str">
        <f t="shared" si="36"/>
        <v/>
      </c>
      <c r="F2311" s="266"/>
      <c r="G2311" s="698"/>
      <c r="H2311" s="266"/>
      <c r="I2311" s="268"/>
      <c r="J2311" s="268"/>
      <c r="K2311" s="268"/>
      <c r="L2311" s="269"/>
      <c r="M2311" s="510" t="str">
        <f>IFERROR(INDEX([1]Produtos!$C:$C,MATCH(L2311,[1]Produtos!$B:$B,0)), "-")</f>
        <v>-</v>
      </c>
      <c r="N2311" s="510" t="str">
        <f>IFERROR(INDEX([1]Produtos!$E:$E,MATCH(L2311,[1]Produtos!$B:$B,0)), "-")</f>
        <v>-</v>
      </c>
      <c r="O2311" s="270" t="str">
        <f>IFERROR(INDEX([1]Produtos!$F:$F,MATCH(L2311,[1]Produtos!$B:$B,0)), "-")</f>
        <v>-</v>
      </c>
      <c r="P2311" s="264" t="str">
        <f>IFERROR(INDEX([1]Produtos!$G:$G,MATCH(L2311,[1]Produtos!$B:$B,0)), "-")</f>
        <v>-</v>
      </c>
      <c r="Q2311" s="270" t="str">
        <f>IFERROR(INDEX([1]Produtos!$H:$H,MATCH(L2311,[1]Produtos!$B:$B,0)), "-")</f>
        <v>-</v>
      </c>
      <c r="R2311" s="270" t="str">
        <f>IFERROR(INDEX([1]Produtos!$I:$I,MATCH(L2311,[1]Produtos!$B:$B,0)), "-")</f>
        <v>-</v>
      </c>
      <c r="S2311" s="270" t="str">
        <f>IFERROR(INDEX([1]Produtos!$J:$J,MATCH(L2311,[1]Produtos!$B:$B,0)), "-")</f>
        <v>-</v>
      </c>
      <c r="T2311" s="475"/>
      <c r="U2311" s="270"/>
      <c r="V2311" s="270"/>
      <c r="W2311" s="270"/>
      <c r="X2311" s="270"/>
      <c r="Y2311" s="270"/>
      <c r="Z2311" s="270"/>
      <c r="AA2311" s="270"/>
      <c r="AB2311" s="270"/>
      <c r="AC2311" s="270"/>
      <c r="AD2311" s="270"/>
      <c r="AE2311" s="270"/>
      <c r="AF2311" s="270"/>
      <c r="AG2311" s="270"/>
      <c r="AH2311" s="270"/>
      <c r="AI2311" s="270"/>
      <c r="AJ2311" s="270"/>
      <c r="AK2311" s="270"/>
      <c r="AL2311" s="270"/>
      <c r="AM2311" s="663"/>
      <c r="AN2311" s="663"/>
      <c r="AO2311" s="708" t="str">
        <f>IF(OR(Table1[[#This Row],[Início Setup Envase]]="",Table1[[#This Row],[Final Setup Envase]]=""),"",Table1[[#This Row],[Final Setup Envase]]-Table1[[#This Row],[Início Setup Envase]])</f>
        <v/>
      </c>
      <c r="AP2311" s="663"/>
      <c r="AQ2311" s="663"/>
      <c r="AR2311" s="270"/>
      <c r="AS2311" s="674"/>
      <c r="AT2311" s="674"/>
      <c r="AU2311" s="270"/>
      <c r="AV2311" s="270"/>
      <c r="AW2311" s="270"/>
      <c r="AX2311" s="270"/>
      <c r="AY2311" s="270"/>
      <c r="AZ2311" s="270"/>
      <c r="BA2311" s="270" t="str">
        <f>IF(Table1[[#This Row],[Data de Início]]="","",YEAR(Table1[[#This Row],[Data de Início]]))</f>
        <v/>
      </c>
      <c r="BB2311" s="270" t="str">
        <f>IF(Table1[[#This Row],[Data de Início]]="","",MONTH(Table1[[#This Row],[Data de Início]]))</f>
        <v/>
      </c>
      <c r="BC2311" s="483"/>
    </row>
    <row r="2312" spans="2:55" x14ac:dyDescent="0.25">
      <c r="B2312" s="470"/>
      <c r="C2312" s="263"/>
      <c r="D2312" s="477" cm="1">
        <f t="array" ref="D2312">IFERROR(HorasUteisFabrica2Turnos(B2312,C2312), "")</f>
        <v>0</v>
      </c>
      <c r="E2312" s="478" t="str">
        <f t="shared" si="36"/>
        <v/>
      </c>
      <c r="F2312" s="266"/>
      <c r="G2312" s="656"/>
      <c r="H2312" s="479"/>
      <c r="I2312" s="268"/>
      <c r="J2312" s="268"/>
      <c r="K2312" s="268"/>
      <c r="L2312" s="269"/>
      <c r="M2312" s="511" t="str">
        <f>IFERROR(INDEX([1]Produtos!$C:$C,MATCH(L2312,[1]Produtos!$B:$B,0)), "-")</f>
        <v>-</v>
      </c>
      <c r="N2312" s="511" t="str">
        <f>IFERROR(INDEX([1]Produtos!$E:$E,MATCH(L2312,[1]Produtos!$B:$B,0)), "-")</f>
        <v>-</v>
      </c>
      <c r="O2312" s="483" t="str">
        <f>IFERROR(INDEX([1]Produtos!$F:$F,MATCH(L2312,[1]Produtos!$B:$B,0)), "-")</f>
        <v>-</v>
      </c>
      <c r="P2312" s="477" t="str">
        <f>IFERROR(INDEX([1]Produtos!$G:$G,MATCH(L2312,[1]Produtos!$B:$B,0)), "-")</f>
        <v>-</v>
      </c>
      <c r="Q2312" s="483" t="str">
        <f>IFERROR(INDEX([1]Produtos!$H:$H,MATCH(L2312,[1]Produtos!$B:$B,0)), "-")</f>
        <v>-</v>
      </c>
      <c r="R2312" s="483" t="str">
        <f>IFERROR(INDEX([1]Produtos!$I:$I,MATCH(L2312,[1]Produtos!$B:$B,0)), "-")</f>
        <v>-</v>
      </c>
      <c r="S2312" s="483" t="str">
        <f>IFERROR(INDEX([1]Produtos!$J:$J,MATCH(L2312,[1]Produtos!$B:$B,0)), "-")</f>
        <v>-</v>
      </c>
      <c r="T2312" s="484"/>
      <c r="U2312" s="483"/>
      <c r="V2312" s="483"/>
      <c r="W2312" s="483"/>
      <c r="X2312" s="483"/>
      <c r="Y2312" s="483"/>
      <c r="Z2312" s="483"/>
      <c r="AA2312" s="483"/>
      <c r="AB2312" s="483"/>
      <c r="AC2312" s="483"/>
      <c r="AD2312" s="483"/>
      <c r="AE2312" s="483"/>
      <c r="AF2312" s="483"/>
      <c r="AG2312" s="483"/>
      <c r="AH2312" s="483"/>
      <c r="AI2312" s="483"/>
      <c r="AJ2312" s="483"/>
      <c r="AK2312" s="483"/>
      <c r="AL2312" s="483"/>
      <c r="AM2312" s="670"/>
      <c r="AN2312" s="670"/>
      <c r="AO2312" s="711" t="str">
        <f>IF(OR(Table1[[#This Row],[Início Setup Envase]]="",Table1[[#This Row],[Final Setup Envase]]=""),"",Table1[[#This Row],[Final Setup Envase]]-Table1[[#This Row],[Início Setup Envase]])</f>
        <v/>
      </c>
      <c r="AP2312" s="670"/>
      <c r="AQ2312" s="670"/>
      <c r="AR2312" s="483"/>
      <c r="AS2312" s="483"/>
      <c r="AT2312" s="483"/>
      <c r="AU2312" s="483"/>
      <c r="AV2312" s="483"/>
      <c r="AW2312" s="483"/>
      <c r="AX2312" s="483"/>
      <c r="AY2312" s="270"/>
      <c r="AZ2312" s="270"/>
      <c r="BA2312" s="270" t="str">
        <f>IF(Table1[[#This Row],[Data de Início]]="","",YEAR(Table1[[#This Row],[Data de Início]]))</f>
        <v/>
      </c>
      <c r="BB2312" s="270" t="str">
        <f>IF(Table1[[#This Row],[Data de Início]]="","",MONTH(Table1[[#This Row],[Data de Início]]))</f>
        <v/>
      </c>
      <c r="BC2312" s="270"/>
    </row>
    <row r="2313" spans="2:55" x14ac:dyDescent="0.25">
      <c r="B2313" s="470"/>
      <c r="C2313" s="263"/>
      <c r="D2313" s="477" cm="1">
        <f t="array" ref="D2313">IFERROR(HorasUteisFabrica2Turnos(B2313,C2313), "")</f>
        <v>0</v>
      </c>
      <c r="E2313" s="697" t="str">
        <f t="shared" si="36"/>
        <v/>
      </c>
      <c r="F2313" s="266"/>
      <c r="G2313" s="698"/>
      <c r="H2313" s="266"/>
      <c r="I2313" s="268"/>
      <c r="J2313" s="268"/>
      <c r="K2313" s="268"/>
      <c r="L2313" s="269"/>
      <c r="M2313" s="510" t="str">
        <f>IFERROR(INDEX([1]Produtos!$C:$C,MATCH(L2313,[1]Produtos!$B:$B,0)), "-")</f>
        <v>-</v>
      </c>
      <c r="N2313" s="510" t="str">
        <f>IFERROR(INDEX([1]Produtos!$E:$E,MATCH(L2313,[1]Produtos!$B:$B,0)), "-")</f>
        <v>-</v>
      </c>
      <c r="O2313" s="270" t="str">
        <f>IFERROR(INDEX([1]Produtos!$F:$F,MATCH(L2313,[1]Produtos!$B:$B,0)), "-")</f>
        <v>-</v>
      </c>
      <c r="P2313" s="264" t="str">
        <f>IFERROR(INDEX([1]Produtos!$G:$G,MATCH(L2313,[1]Produtos!$B:$B,0)), "-")</f>
        <v>-</v>
      </c>
      <c r="Q2313" s="270" t="str">
        <f>IFERROR(INDEX([1]Produtos!$H:$H,MATCH(L2313,[1]Produtos!$B:$B,0)), "-")</f>
        <v>-</v>
      </c>
      <c r="R2313" s="270" t="str">
        <f>IFERROR(INDEX([1]Produtos!$I:$I,MATCH(L2313,[1]Produtos!$B:$B,0)), "-")</f>
        <v>-</v>
      </c>
      <c r="S2313" s="270" t="str">
        <f>IFERROR(INDEX([1]Produtos!$J:$J,MATCH(L2313,[1]Produtos!$B:$B,0)), "-")</f>
        <v>-</v>
      </c>
      <c r="T2313" s="475"/>
      <c r="U2313" s="270"/>
      <c r="V2313" s="270"/>
      <c r="W2313" s="270"/>
      <c r="X2313" s="270"/>
      <c r="Y2313" s="270"/>
      <c r="Z2313" s="270"/>
      <c r="AA2313" s="270"/>
      <c r="AB2313" s="270"/>
      <c r="AC2313" s="270"/>
      <c r="AD2313" s="270"/>
      <c r="AE2313" s="270"/>
      <c r="AF2313" s="270"/>
      <c r="AG2313" s="270"/>
      <c r="AH2313" s="270"/>
      <c r="AI2313" s="270"/>
      <c r="AJ2313" s="270"/>
      <c r="AK2313" s="270"/>
      <c r="AL2313" s="270"/>
      <c r="AM2313" s="663"/>
      <c r="AN2313" s="663"/>
      <c r="AO2313" s="708" t="str">
        <f>IF(OR(Table1[[#This Row],[Início Setup Envase]]="",Table1[[#This Row],[Final Setup Envase]]=""),"",Table1[[#This Row],[Final Setup Envase]]-Table1[[#This Row],[Início Setup Envase]])</f>
        <v/>
      </c>
      <c r="AP2313" s="663"/>
      <c r="AQ2313" s="663"/>
      <c r="AR2313" s="270"/>
      <c r="AS2313" s="674"/>
      <c r="AT2313" s="674"/>
      <c r="AU2313" s="270"/>
      <c r="AV2313" s="270"/>
      <c r="AW2313" s="270"/>
      <c r="AX2313" s="270"/>
      <c r="AY2313" s="270"/>
      <c r="AZ2313" s="270"/>
      <c r="BA2313" s="270" t="str">
        <f>IF(Table1[[#This Row],[Data de Início]]="","",YEAR(Table1[[#This Row],[Data de Início]]))</f>
        <v/>
      </c>
      <c r="BB2313" s="270" t="str">
        <f>IF(Table1[[#This Row],[Data de Início]]="","",MONTH(Table1[[#This Row],[Data de Início]]))</f>
        <v/>
      </c>
      <c r="BC2313" s="483"/>
    </row>
    <row r="2314" spans="2:55" x14ac:dyDescent="0.25">
      <c r="B2314" s="470"/>
      <c r="C2314" s="263"/>
      <c r="D2314" s="477" cm="1">
        <f t="array" ref="D2314">IFERROR(HorasUteisFabrica2Turnos(B2314,C2314), "")</f>
        <v>0</v>
      </c>
      <c r="E2314" s="478" t="str">
        <f t="shared" si="36"/>
        <v/>
      </c>
      <c r="F2314" s="266"/>
      <c r="G2314" s="656"/>
      <c r="H2314" s="479"/>
      <c r="I2314" s="268"/>
      <c r="J2314" s="268"/>
      <c r="K2314" s="268"/>
      <c r="L2314" s="269"/>
      <c r="M2314" s="511" t="str">
        <f>IFERROR(INDEX([1]Produtos!$C:$C,MATCH(L2314,[1]Produtos!$B:$B,0)), "-")</f>
        <v>-</v>
      </c>
      <c r="N2314" s="511" t="str">
        <f>IFERROR(INDEX([1]Produtos!$E:$E,MATCH(L2314,[1]Produtos!$B:$B,0)), "-")</f>
        <v>-</v>
      </c>
      <c r="O2314" s="483" t="str">
        <f>IFERROR(INDEX([1]Produtos!$F:$F,MATCH(L2314,[1]Produtos!$B:$B,0)), "-")</f>
        <v>-</v>
      </c>
      <c r="P2314" s="477" t="str">
        <f>IFERROR(INDEX([1]Produtos!$G:$G,MATCH(L2314,[1]Produtos!$B:$B,0)), "-")</f>
        <v>-</v>
      </c>
      <c r="Q2314" s="483" t="str">
        <f>IFERROR(INDEX([1]Produtos!$H:$H,MATCH(L2314,[1]Produtos!$B:$B,0)), "-")</f>
        <v>-</v>
      </c>
      <c r="R2314" s="483" t="str">
        <f>IFERROR(INDEX([1]Produtos!$I:$I,MATCH(L2314,[1]Produtos!$B:$B,0)), "-")</f>
        <v>-</v>
      </c>
      <c r="S2314" s="483" t="str">
        <f>IFERROR(INDEX([1]Produtos!$J:$J,MATCH(L2314,[1]Produtos!$B:$B,0)), "-")</f>
        <v>-</v>
      </c>
      <c r="T2314" s="484"/>
      <c r="U2314" s="483"/>
      <c r="V2314" s="483"/>
      <c r="W2314" s="483"/>
      <c r="X2314" s="483"/>
      <c r="Y2314" s="483"/>
      <c r="Z2314" s="483"/>
      <c r="AA2314" s="483"/>
      <c r="AB2314" s="483"/>
      <c r="AC2314" s="483"/>
      <c r="AD2314" s="483"/>
      <c r="AE2314" s="483"/>
      <c r="AF2314" s="483"/>
      <c r="AG2314" s="483"/>
      <c r="AH2314" s="483"/>
      <c r="AI2314" s="483"/>
      <c r="AJ2314" s="483"/>
      <c r="AK2314" s="483"/>
      <c r="AL2314" s="483"/>
      <c r="AM2314" s="670"/>
      <c r="AN2314" s="670"/>
      <c r="AO2314" s="711" t="str">
        <f>IF(OR(Table1[[#This Row],[Início Setup Envase]]="",Table1[[#This Row],[Final Setup Envase]]=""),"",Table1[[#This Row],[Final Setup Envase]]-Table1[[#This Row],[Início Setup Envase]])</f>
        <v/>
      </c>
      <c r="AP2314" s="670"/>
      <c r="AQ2314" s="670"/>
      <c r="AR2314" s="483"/>
      <c r="AS2314" s="483"/>
      <c r="AT2314" s="483"/>
      <c r="AU2314" s="483"/>
      <c r="AV2314" s="483"/>
      <c r="AW2314" s="483"/>
      <c r="AX2314" s="483"/>
      <c r="AY2314" s="270"/>
      <c r="AZ2314" s="270"/>
      <c r="BA2314" s="270" t="str">
        <f>IF(Table1[[#This Row],[Data de Início]]="","",YEAR(Table1[[#This Row],[Data de Início]]))</f>
        <v/>
      </c>
      <c r="BB2314" s="270" t="str">
        <f>IF(Table1[[#This Row],[Data de Início]]="","",MONTH(Table1[[#This Row],[Data de Início]]))</f>
        <v/>
      </c>
      <c r="BC2314" s="270"/>
    </row>
    <row r="2315" spans="2:55" x14ac:dyDescent="0.25">
      <c r="B2315" s="470"/>
      <c r="C2315" s="263"/>
      <c r="D2315" s="477" cm="1">
        <f t="array" ref="D2315">IFERROR(HorasUteisFabrica2Turnos(B2315,C2315), "")</f>
        <v>0</v>
      </c>
      <c r="E2315" s="697" t="str">
        <f t="shared" si="36"/>
        <v/>
      </c>
      <c r="F2315" s="266"/>
      <c r="G2315" s="698"/>
      <c r="H2315" s="266"/>
      <c r="I2315" s="268"/>
      <c r="J2315" s="268"/>
      <c r="K2315" s="268"/>
      <c r="L2315" s="269"/>
      <c r="M2315" s="510" t="str">
        <f>IFERROR(INDEX([1]Produtos!$C:$C,MATCH(L2315,[1]Produtos!$B:$B,0)), "-")</f>
        <v>-</v>
      </c>
      <c r="N2315" s="510" t="str">
        <f>IFERROR(INDEX([1]Produtos!$E:$E,MATCH(L2315,[1]Produtos!$B:$B,0)), "-")</f>
        <v>-</v>
      </c>
      <c r="O2315" s="270" t="str">
        <f>IFERROR(INDEX([1]Produtos!$F:$F,MATCH(L2315,[1]Produtos!$B:$B,0)), "-")</f>
        <v>-</v>
      </c>
      <c r="P2315" s="264" t="str">
        <f>IFERROR(INDEX([1]Produtos!$G:$G,MATCH(L2315,[1]Produtos!$B:$B,0)), "-")</f>
        <v>-</v>
      </c>
      <c r="Q2315" s="270" t="str">
        <f>IFERROR(INDEX([1]Produtos!$H:$H,MATCH(L2315,[1]Produtos!$B:$B,0)), "-")</f>
        <v>-</v>
      </c>
      <c r="R2315" s="270" t="str">
        <f>IFERROR(INDEX([1]Produtos!$I:$I,MATCH(L2315,[1]Produtos!$B:$B,0)), "-")</f>
        <v>-</v>
      </c>
      <c r="S2315" s="270" t="str">
        <f>IFERROR(INDEX([1]Produtos!$J:$J,MATCH(L2315,[1]Produtos!$B:$B,0)), "-")</f>
        <v>-</v>
      </c>
      <c r="T2315" s="475"/>
      <c r="U2315" s="270"/>
      <c r="V2315" s="270"/>
      <c r="W2315" s="270"/>
      <c r="X2315" s="270"/>
      <c r="Y2315" s="270"/>
      <c r="Z2315" s="270"/>
      <c r="AA2315" s="270"/>
      <c r="AB2315" s="270"/>
      <c r="AC2315" s="270"/>
      <c r="AD2315" s="270"/>
      <c r="AE2315" s="270"/>
      <c r="AF2315" s="270"/>
      <c r="AG2315" s="270"/>
      <c r="AH2315" s="270"/>
      <c r="AI2315" s="270"/>
      <c r="AJ2315" s="270"/>
      <c r="AK2315" s="270"/>
      <c r="AL2315" s="270"/>
      <c r="AM2315" s="663"/>
      <c r="AN2315" s="663"/>
      <c r="AO2315" s="708" t="str">
        <f>IF(OR(Table1[[#This Row],[Início Setup Envase]]="",Table1[[#This Row],[Final Setup Envase]]=""),"",Table1[[#This Row],[Final Setup Envase]]-Table1[[#This Row],[Início Setup Envase]])</f>
        <v/>
      </c>
      <c r="AP2315" s="663"/>
      <c r="AQ2315" s="663"/>
      <c r="AR2315" s="270"/>
      <c r="AS2315" s="674"/>
      <c r="AT2315" s="674"/>
      <c r="AU2315" s="270"/>
      <c r="AV2315" s="270"/>
      <c r="AW2315" s="270"/>
      <c r="AX2315" s="270"/>
      <c r="AY2315" s="270"/>
      <c r="AZ2315" s="270"/>
      <c r="BA2315" s="270" t="str">
        <f>IF(Table1[[#This Row],[Data de Início]]="","",YEAR(Table1[[#This Row],[Data de Início]]))</f>
        <v/>
      </c>
      <c r="BB2315" s="270" t="str">
        <f>IF(Table1[[#This Row],[Data de Início]]="","",MONTH(Table1[[#This Row],[Data de Início]]))</f>
        <v/>
      </c>
      <c r="BC2315" s="483"/>
    </row>
    <row r="2316" spans="2:55" x14ac:dyDescent="0.25">
      <c r="B2316" s="470"/>
      <c r="C2316" s="263"/>
      <c r="D2316" s="477" cm="1">
        <f t="array" ref="D2316">IFERROR(HorasUteisFabrica2Turnos(B2316,C2316), "")</f>
        <v>0</v>
      </c>
      <c r="E2316" s="478" t="str">
        <f t="shared" si="36"/>
        <v/>
      </c>
      <c r="F2316" s="266"/>
      <c r="G2316" s="656"/>
      <c r="H2316" s="479"/>
      <c r="I2316" s="268"/>
      <c r="J2316" s="268"/>
      <c r="K2316" s="268"/>
      <c r="L2316" s="269"/>
      <c r="M2316" s="511" t="str">
        <f>IFERROR(INDEX([1]Produtos!$C:$C,MATCH(L2316,[1]Produtos!$B:$B,0)), "-")</f>
        <v>-</v>
      </c>
      <c r="N2316" s="511" t="str">
        <f>IFERROR(INDEX([1]Produtos!$E:$E,MATCH(L2316,[1]Produtos!$B:$B,0)), "-")</f>
        <v>-</v>
      </c>
      <c r="O2316" s="483" t="str">
        <f>IFERROR(INDEX([1]Produtos!$F:$F,MATCH(L2316,[1]Produtos!$B:$B,0)), "-")</f>
        <v>-</v>
      </c>
      <c r="P2316" s="477" t="str">
        <f>IFERROR(INDEX([1]Produtos!$G:$G,MATCH(L2316,[1]Produtos!$B:$B,0)), "-")</f>
        <v>-</v>
      </c>
      <c r="Q2316" s="483" t="str">
        <f>IFERROR(INDEX([1]Produtos!$H:$H,MATCH(L2316,[1]Produtos!$B:$B,0)), "-")</f>
        <v>-</v>
      </c>
      <c r="R2316" s="483" t="str">
        <f>IFERROR(INDEX([1]Produtos!$I:$I,MATCH(L2316,[1]Produtos!$B:$B,0)), "-")</f>
        <v>-</v>
      </c>
      <c r="S2316" s="483" t="str">
        <f>IFERROR(INDEX([1]Produtos!$J:$J,MATCH(L2316,[1]Produtos!$B:$B,0)), "-")</f>
        <v>-</v>
      </c>
      <c r="T2316" s="484"/>
      <c r="U2316" s="483"/>
      <c r="V2316" s="483"/>
      <c r="W2316" s="483"/>
      <c r="X2316" s="483"/>
      <c r="Y2316" s="483"/>
      <c r="Z2316" s="483"/>
      <c r="AA2316" s="483"/>
      <c r="AB2316" s="483"/>
      <c r="AC2316" s="483"/>
      <c r="AD2316" s="483"/>
      <c r="AE2316" s="483"/>
      <c r="AF2316" s="483"/>
      <c r="AG2316" s="483"/>
      <c r="AH2316" s="483"/>
      <c r="AI2316" s="483"/>
      <c r="AJ2316" s="483"/>
      <c r="AK2316" s="483"/>
      <c r="AL2316" s="483"/>
      <c r="AM2316" s="670"/>
      <c r="AN2316" s="670"/>
      <c r="AO2316" s="711" t="str">
        <f>IF(OR(Table1[[#This Row],[Início Setup Envase]]="",Table1[[#This Row],[Final Setup Envase]]=""),"",Table1[[#This Row],[Final Setup Envase]]-Table1[[#This Row],[Início Setup Envase]])</f>
        <v/>
      </c>
      <c r="AP2316" s="670"/>
      <c r="AQ2316" s="670"/>
      <c r="AR2316" s="483"/>
      <c r="AS2316" s="483"/>
      <c r="AT2316" s="483"/>
      <c r="AU2316" s="483"/>
      <c r="AV2316" s="483"/>
      <c r="AW2316" s="483"/>
      <c r="AX2316" s="483"/>
      <c r="AY2316" s="270"/>
      <c r="AZ2316" s="270"/>
      <c r="BA2316" s="270" t="str">
        <f>IF(Table1[[#This Row],[Data de Início]]="","",YEAR(Table1[[#This Row],[Data de Início]]))</f>
        <v/>
      </c>
      <c r="BB2316" s="270" t="str">
        <f>IF(Table1[[#This Row],[Data de Início]]="","",MONTH(Table1[[#This Row],[Data de Início]]))</f>
        <v/>
      </c>
      <c r="BC2316" s="270"/>
    </row>
    <row r="2317" spans="2:55" x14ac:dyDescent="0.25">
      <c r="B2317" s="470"/>
      <c r="C2317" s="263"/>
      <c r="D2317" s="477" cm="1">
        <f t="array" ref="D2317">IFERROR(HorasUteisFabrica2Turnos(B2317,C2317), "")</f>
        <v>0</v>
      </c>
      <c r="E2317" s="697" t="str">
        <f t="shared" si="36"/>
        <v/>
      </c>
      <c r="F2317" s="266"/>
      <c r="G2317" s="698"/>
      <c r="H2317" s="266"/>
      <c r="I2317" s="268"/>
      <c r="J2317" s="268"/>
      <c r="K2317" s="268"/>
      <c r="L2317" s="269"/>
      <c r="M2317" s="510" t="str">
        <f>IFERROR(INDEX([1]Produtos!$C:$C,MATCH(L2317,[1]Produtos!$B:$B,0)), "-")</f>
        <v>-</v>
      </c>
      <c r="N2317" s="510" t="str">
        <f>IFERROR(INDEX([1]Produtos!$E:$E,MATCH(L2317,[1]Produtos!$B:$B,0)), "-")</f>
        <v>-</v>
      </c>
      <c r="O2317" s="270" t="str">
        <f>IFERROR(INDEX([1]Produtos!$F:$F,MATCH(L2317,[1]Produtos!$B:$B,0)), "-")</f>
        <v>-</v>
      </c>
      <c r="P2317" s="264" t="str">
        <f>IFERROR(INDEX([1]Produtos!$G:$G,MATCH(L2317,[1]Produtos!$B:$B,0)), "-")</f>
        <v>-</v>
      </c>
      <c r="Q2317" s="270" t="str">
        <f>IFERROR(INDEX([1]Produtos!$H:$H,MATCH(L2317,[1]Produtos!$B:$B,0)), "-")</f>
        <v>-</v>
      </c>
      <c r="R2317" s="270" t="str">
        <f>IFERROR(INDEX([1]Produtos!$I:$I,MATCH(L2317,[1]Produtos!$B:$B,0)), "-")</f>
        <v>-</v>
      </c>
      <c r="S2317" s="270" t="str">
        <f>IFERROR(INDEX([1]Produtos!$J:$J,MATCH(L2317,[1]Produtos!$B:$B,0)), "-")</f>
        <v>-</v>
      </c>
      <c r="T2317" s="475"/>
      <c r="U2317" s="270"/>
      <c r="V2317" s="270"/>
      <c r="W2317" s="270"/>
      <c r="X2317" s="270"/>
      <c r="Y2317" s="270"/>
      <c r="Z2317" s="270"/>
      <c r="AA2317" s="270"/>
      <c r="AB2317" s="270"/>
      <c r="AC2317" s="270"/>
      <c r="AD2317" s="270"/>
      <c r="AE2317" s="270"/>
      <c r="AF2317" s="270"/>
      <c r="AG2317" s="270"/>
      <c r="AH2317" s="270"/>
      <c r="AI2317" s="270"/>
      <c r="AJ2317" s="270"/>
      <c r="AK2317" s="270"/>
      <c r="AL2317" s="270"/>
      <c r="AM2317" s="663"/>
      <c r="AN2317" s="663"/>
      <c r="AO2317" s="708" t="str">
        <f>IF(OR(Table1[[#This Row],[Início Setup Envase]]="",Table1[[#This Row],[Final Setup Envase]]=""),"",Table1[[#This Row],[Final Setup Envase]]-Table1[[#This Row],[Início Setup Envase]])</f>
        <v/>
      </c>
      <c r="AP2317" s="663"/>
      <c r="AQ2317" s="663"/>
      <c r="AR2317" s="270"/>
      <c r="AS2317" s="674"/>
      <c r="AT2317" s="674"/>
      <c r="AU2317" s="270"/>
      <c r="AV2317" s="270"/>
      <c r="AW2317" s="270"/>
      <c r="AX2317" s="270"/>
      <c r="AY2317" s="270"/>
      <c r="AZ2317" s="270"/>
      <c r="BA2317" s="270" t="str">
        <f>IF(Table1[[#This Row],[Data de Início]]="","",YEAR(Table1[[#This Row],[Data de Início]]))</f>
        <v/>
      </c>
      <c r="BB2317" s="270" t="str">
        <f>IF(Table1[[#This Row],[Data de Início]]="","",MONTH(Table1[[#This Row],[Data de Início]]))</f>
        <v/>
      </c>
      <c r="BC2317" s="483"/>
    </row>
    <row r="2318" spans="2:55" x14ac:dyDescent="0.25">
      <c r="B2318" s="470"/>
      <c r="C2318" s="263"/>
      <c r="D2318" s="477" cm="1">
        <f t="array" ref="D2318">IFERROR(HorasUteisFabrica2Turnos(B2318,C2318), "")</f>
        <v>0</v>
      </c>
      <c r="E2318" s="478" t="str">
        <f t="shared" si="36"/>
        <v/>
      </c>
      <c r="F2318" s="266"/>
      <c r="G2318" s="656"/>
      <c r="H2318" s="479"/>
      <c r="I2318" s="268"/>
      <c r="J2318" s="268"/>
      <c r="K2318" s="268"/>
      <c r="L2318" s="269"/>
      <c r="M2318" s="511" t="str">
        <f>IFERROR(INDEX([1]Produtos!$C:$C,MATCH(L2318,[1]Produtos!$B:$B,0)), "-")</f>
        <v>-</v>
      </c>
      <c r="N2318" s="511" t="str">
        <f>IFERROR(INDEX([1]Produtos!$E:$E,MATCH(L2318,[1]Produtos!$B:$B,0)), "-")</f>
        <v>-</v>
      </c>
      <c r="O2318" s="483" t="str">
        <f>IFERROR(INDEX([1]Produtos!$F:$F,MATCH(L2318,[1]Produtos!$B:$B,0)), "-")</f>
        <v>-</v>
      </c>
      <c r="P2318" s="477" t="str">
        <f>IFERROR(INDEX([1]Produtos!$G:$G,MATCH(L2318,[1]Produtos!$B:$B,0)), "-")</f>
        <v>-</v>
      </c>
      <c r="Q2318" s="483" t="str">
        <f>IFERROR(INDEX([1]Produtos!$H:$H,MATCH(L2318,[1]Produtos!$B:$B,0)), "-")</f>
        <v>-</v>
      </c>
      <c r="R2318" s="483" t="str">
        <f>IFERROR(INDEX([1]Produtos!$I:$I,MATCH(L2318,[1]Produtos!$B:$B,0)), "-")</f>
        <v>-</v>
      </c>
      <c r="S2318" s="483" t="str">
        <f>IFERROR(INDEX([1]Produtos!$J:$J,MATCH(L2318,[1]Produtos!$B:$B,0)), "-")</f>
        <v>-</v>
      </c>
      <c r="T2318" s="484"/>
      <c r="U2318" s="483"/>
      <c r="V2318" s="483"/>
      <c r="W2318" s="483"/>
      <c r="X2318" s="483"/>
      <c r="Y2318" s="483"/>
      <c r="Z2318" s="483"/>
      <c r="AA2318" s="483"/>
      <c r="AB2318" s="483"/>
      <c r="AC2318" s="483"/>
      <c r="AD2318" s="483"/>
      <c r="AE2318" s="483"/>
      <c r="AF2318" s="483"/>
      <c r="AG2318" s="483"/>
      <c r="AH2318" s="483"/>
      <c r="AI2318" s="483"/>
      <c r="AJ2318" s="483"/>
      <c r="AK2318" s="483"/>
      <c r="AL2318" s="483"/>
      <c r="AM2318" s="670"/>
      <c r="AN2318" s="670"/>
      <c r="AO2318" s="711" t="str">
        <f>IF(OR(Table1[[#This Row],[Início Setup Envase]]="",Table1[[#This Row],[Final Setup Envase]]=""),"",Table1[[#This Row],[Final Setup Envase]]-Table1[[#This Row],[Início Setup Envase]])</f>
        <v/>
      </c>
      <c r="AP2318" s="670"/>
      <c r="AQ2318" s="670"/>
      <c r="AR2318" s="483"/>
      <c r="AS2318" s="483"/>
      <c r="AT2318" s="483"/>
      <c r="AU2318" s="483"/>
      <c r="AV2318" s="483"/>
      <c r="AW2318" s="483"/>
      <c r="AX2318" s="483"/>
      <c r="AY2318" s="270"/>
      <c r="AZ2318" s="270"/>
      <c r="BA2318" s="270" t="str">
        <f>IF(Table1[[#This Row],[Data de Início]]="","",YEAR(Table1[[#This Row],[Data de Início]]))</f>
        <v/>
      </c>
      <c r="BB2318" s="270" t="str">
        <f>IF(Table1[[#This Row],[Data de Início]]="","",MONTH(Table1[[#This Row],[Data de Início]]))</f>
        <v/>
      </c>
      <c r="BC2318" s="270"/>
    </row>
    <row r="2319" spans="2:55" x14ac:dyDescent="0.25">
      <c r="B2319" s="470"/>
      <c r="C2319" s="263"/>
      <c r="D2319" s="477" cm="1">
        <f t="array" ref="D2319">IFERROR(HorasUteisFabrica2Turnos(B2319,C2319), "")</f>
        <v>0</v>
      </c>
      <c r="E2319" s="697" t="str">
        <f t="shared" si="36"/>
        <v/>
      </c>
      <c r="F2319" s="266"/>
      <c r="G2319" s="698"/>
      <c r="H2319" s="266"/>
      <c r="I2319" s="268"/>
      <c r="J2319" s="268"/>
      <c r="K2319" s="268"/>
      <c r="L2319" s="269"/>
      <c r="M2319" s="510" t="str">
        <f>IFERROR(INDEX([1]Produtos!$C:$C,MATCH(L2319,[1]Produtos!$B:$B,0)), "-")</f>
        <v>-</v>
      </c>
      <c r="N2319" s="510" t="str">
        <f>IFERROR(INDEX([1]Produtos!$E:$E,MATCH(L2319,[1]Produtos!$B:$B,0)), "-")</f>
        <v>-</v>
      </c>
      <c r="O2319" s="270" t="str">
        <f>IFERROR(INDEX([1]Produtos!$F:$F,MATCH(L2319,[1]Produtos!$B:$B,0)), "-")</f>
        <v>-</v>
      </c>
      <c r="P2319" s="264" t="str">
        <f>IFERROR(INDEX([1]Produtos!$G:$G,MATCH(L2319,[1]Produtos!$B:$B,0)), "-")</f>
        <v>-</v>
      </c>
      <c r="Q2319" s="270" t="str">
        <f>IFERROR(INDEX([1]Produtos!$H:$H,MATCH(L2319,[1]Produtos!$B:$B,0)), "-")</f>
        <v>-</v>
      </c>
      <c r="R2319" s="270" t="str">
        <f>IFERROR(INDEX([1]Produtos!$I:$I,MATCH(L2319,[1]Produtos!$B:$B,0)), "-")</f>
        <v>-</v>
      </c>
      <c r="S2319" s="270" t="str">
        <f>IFERROR(INDEX([1]Produtos!$J:$J,MATCH(L2319,[1]Produtos!$B:$B,0)), "-")</f>
        <v>-</v>
      </c>
      <c r="T2319" s="475"/>
      <c r="U2319" s="270"/>
      <c r="V2319" s="270"/>
      <c r="W2319" s="270"/>
      <c r="X2319" s="270"/>
      <c r="Y2319" s="270"/>
      <c r="Z2319" s="270"/>
      <c r="AA2319" s="270"/>
      <c r="AB2319" s="270"/>
      <c r="AC2319" s="270"/>
      <c r="AD2319" s="270"/>
      <c r="AE2319" s="270"/>
      <c r="AF2319" s="270"/>
      <c r="AG2319" s="270"/>
      <c r="AH2319" s="270"/>
      <c r="AI2319" s="270"/>
      <c r="AJ2319" s="270"/>
      <c r="AK2319" s="270"/>
      <c r="AL2319" s="270"/>
      <c r="AM2319" s="663"/>
      <c r="AN2319" s="663"/>
      <c r="AO2319" s="708" t="str">
        <f>IF(OR(Table1[[#This Row],[Início Setup Envase]]="",Table1[[#This Row],[Final Setup Envase]]=""),"",Table1[[#This Row],[Final Setup Envase]]-Table1[[#This Row],[Início Setup Envase]])</f>
        <v/>
      </c>
      <c r="AP2319" s="663"/>
      <c r="AQ2319" s="663"/>
      <c r="AR2319" s="270"/>
      <c r="AS2319" s="674"/>
      <c r="AT2319" s="674"/>
      <c r="AU2319" s="270"/>
      <c r="AV2319" s="270"/>
      <c r="AW2319" s="270"/>
      <c r="AX2319" s="270"/>
      <c r="AY2319" s="270"/>
      <c r="AZ2319" s="270"/>
      <c r="BA2319" s="270" t="str">
        <f>IF(Table1[[#This Row],[Data de Início]]="","",YEAR(Table1[[#This Row],[Data de Início]]))</f>
        <v/>
      </c>
      <c r="BB2319" s="270" t="str">
        <f>IF(Table1[[#This Row],[Data de Início]]="","",MONTH(Table1[[#This Row],[Data de Início]]))</f>
        <v/>
      </c>
      <c r="BC2319" s="483"/>
    </row>
    <row r="2320" spans="2:55" x14ac:dyDescent="0.25">
      <c r="B2320" s="470"/>
      <c r="C2320" s="263"/>
      <c r="D2320" s="477" cm="1">
        <f t="array" ref="D2320">IFERROR(HorasUteisFabrica2Turnos(B2320,C2320), "")</f>
        <v>0</v>
      </c>
      <c r="E2320" s="478" t="str">
        <f t="shared" si="36"/>
        <v/>
      </c>
      <c r="F2320" s="266"/>
      <c r="G2320" s="656"/>
      <c r="H2320" s="479"/>
      <c r="I2320" s="268"/>
      <c r="J2320" s="268"/>
      <c r="K2320" s="268"/>
      <c r="L2320" s="269"/>
      <c r="M2320" s="511" t="str">
        <f>IFERROR(INDEX([1]Produtos!$C:$C,MATCH(L2320,[1]Produtos!$B:$B,0)), "-")</f>
        <v>-</v>
      </c>
      <c r="N2320" s="511" t="str">
        <f>IFERROR(INDEX([1]Produtos!$E:$E,MATCH(L2320,[1]Produtos!$B:$B,0)), "-")</f>
        <v>-</v>
      </c>
      <c r="O2320" s="483" t="str">
        <f>IFERROR(INDEX([1]Produtos!$F:$F,MATCH(L2320,[1]Produtos!$B:$B,0)), "-")</f>
        <v>-</v>
      </c>
      <c r="P2320" s="477" t="str">
        <f>IFERROR(INDEX([1]Produtos!$G:$G,MATCH(L2320,[1]Produtos!$B:$B,0)), "-")</f>
        <v>-</v>
      </c>
      <c r="Q2320" s="483" t="str">
        <f>IFERROR(INDEX([1]Produtos!$H:$H,MATCH(L2320,[1]Produtos!$B:$B,0)), "-")</f>
        <v>-</v>
      </c>
      <c r="R2320" s="483" t="str">
        <f>IFERROR(INDEX([1]Produtos!$I:$I,MATCH(L2320,[1]Produtos!$B:$B,0)), "-")</f>
        <v>-</v>
      </c>
      <c r="S2320" s="483" t="str">
        <f>IFERROR(INDEX([1]Produtos!$J:$J,MATCH(L2320,[1]Produtos!$B:$B,0)), "-")</f>
        <v>-</v>
      </c>
      <c r="T2320" s="484"/>
      <c r="U2320" s="483"/>
      <c r="V2320" s="483"/>
      <c r="W2320" s="483"/>
      <c r="X2320" s="483"/>
      <c r="Y2320" s="483"/>
      <c r="Z2320" s="483"/>
      <c r="AA2320" s="483"/>
      <c r="AB2320" s="483"/>
      <c r="AC2320" s="483"/>
      <c r="AD2320" s="483"/>
      <c r="AE2320" s="483"/>
      <c r="AF2320" s="483"/>
      <c r="AG2320" s="483"/>
      <c r="AH2320" s="483"/>
      <c r="AI2320" s="483"/>
      <c r="AJ2320" s="483"/>
      <c r="AK2320" s="483"/>
      <c r="AL2320" s="483"/>
      <c r="AM2320" s="670"/>
      <c r="AN2320" s="670"/>
      <c r="AO2320" s="711" t="str">
        <f>IF(OR(Table1[[#This Row],[Início Setup Envase]]="",Table1[[#This Row],[Final Setup Envase]]=""),"",Table1[[#This Row],[Final Setup Envase]]-Table1[[#This Row],[Início Setup Envase]])</f>
        <v/>
      </c>
      <c r="AP2320" s="670"/>
      <c r="AQ2320" s="670"/>
      <c r="AR2320" s="483"/>
      <c r="AS2320" s="483"/>
      <c r="AT2320" s="483"/>
      <c r="AU2320" s="483"/>
      <c r="AV2320" s="483"/>
      <c r="AW2320" s="483"/>
      <c r="AX2320" s="483"/>
      <c r="AY2320" s="270"/>
      <c r="AZ2320" s="270"/>
      <c r="BA2320" s="270" t="str">
        <f>IF(Table1[[#This Row],[Data de Início]]="","",YEAR(Table1[[#This Row],[Data de Início]]))</f>
        <v/>
      </c>
      <c r="BB2320" s="270" t="str">
        <f>IF(Table1[[#This Row],[Data de Início]]="","",MONTH(Table1[[#This Row],[Data de Início]]))</f>
        <v/>
      </c>
      <c r="BC2320" s="270"/>
    </row>
    <row r="2321" spans="2:55" x14ac:dyDescent="0.25">
      <c r="B2321" s="470"/>
      <c r="C2321" s="263"/>
      <c r="D2321" s="477" cm="1">
        <f t="array" ref="D2321">IFERROR(HorasUteisFabrica2Turnos(B2321,C2321), "")</f>
        <v>0</v>
      </c>
      <c r="E2321" s="697" t="str">
        <f t="shared" si="36"/>
        <v/>
      </c>
      <c r="F2321" s="266"/>
      <c r="G2321" s="698"/>
      <c r="H2321" s="266"/>
      <c r="I2321" s="268"/>
      <c r="J2321" s="268"/>
      <c r="K2321" s="268"/>
      <c r="L2321" s="269"/>
      <c r="M2321" s="510" t="str">
        <f>IFERROR(INDEX([1]Produtos!$C:$C,MATCH(L2321,[1]Produtos!$B:$B,0)), "-")</f>
        <v>-</v>
      </c>
      <c r="N2321" s="510" t="str">
        <f>IFERROR(INDEX([1]Produtos!$E:$E,MATCH(L2321,[1]Produtos!$B:$B,0)), "-")</f>
        <v>-</v>
      </c>
      <c r="O2321" s="270" t="str">
        <f>IFERROR(INDEX([1]Produtos!$F:$F,MATCH(L2321,[1]Produtos!$B:$B,0)), "-")</f>
        <v>-</v>
      </c>
      <c r="P2321" s="264" t="str">
        <f>IFERROR(INDEX([1]Produtos!$G:$G,MATCH(L2321,[1]Produtos!$B:$B,0)), "-")</f>
        <v>-</v>
      </c>
      <c r="Q2321" s="270" t="str">
        <f>IFERROR(INDEX([1]Produtos!$H:$H,MATCH(L2321,[1]Produtos!$B:$B,0)), "-")</f>
        <v>-</v>
      </c>
      <c r="R2321" s="270" t="str">
        <f>IFERROR(INDEX([1]Produtos!$I:$I,MATCH(L2321,[1]Produtos!$B:$B,0)), "-")</f>
        <v>-</v>
      </c>
      <c r="S2321" s="270" t="str">
        <f>IFERROR(INDEX([1]Produtos!$J:$J,MATCH(L2321,[1]Produtos!$B:$B,0)), "-")</f>
        <v>-</v>
      </c>
      <c r="T2321" s="475"/>
      <c r="U2321" s="270"/>
      <c r="V2321" s="270"/>
      <c r="W2321" s="270"/>
      <c r="X2321" s="270"/>
      <c r="Y2321" s="270"/>
      <c r="Z2321" s="270"/>
      <c r="AA2321" s="270"/>
      <c r="AB2321" s="270"/>
      <c r="AC2321" s="270"/>
      <c r="AD2321" s="270"/>
      <c r="AE2321" s="270"/>
      <c r="AF2321" s="270"/>
      <c r="AG2321" s="270"/>
      <c r="AH2321" s="270"/>
      <c r="AI2321" s="270"/>
      <c r="AJ2321" s="270"/>
      <c r="AK2321" s="270"/>
      <c r="AL2321" s="270"/>
      <c r="AM2321" s="663"/>
      <c r="AN2321" s="663"/>
      <c r="AO2321" s="708" t="str">
        <f>IF(OR(Table1[[#This Row],[Início Setup Envase]]="",Table1[[#This Row],[Final Setup Envase]]=""),"",Table1[[#This Row],[Final Setup Envase]]-Table1[[#This Row],[Início Setup Envase]])</f>
        <v/>
      </c>
      <c r="AP2321" s="663"/>
      <c r="AQ2321" s="663"/>
      <c r="AR2321" s="270"/>
      <c r="AS2321" s="674"/>
      <c r="AT2321" s="674"/>
      <c r="AU2321" s="270"/>
      <c r="AV2321" s="270"/>
      <c r="AW2321" s="270"/>
      <c r="AX2321" s="270"/>
      <c r="AY2321" s="270"/>
      <c r="AZ2321" s="270"/>
      <c r="BA2321" s="270" t="str">
        <f>IF(Table1[[#This Row],[Data de Início]]="","",YEAR(Table1[[#This Row],[Data de Início]]))</f>
        <v/>
      </c>
      <c r="BB2321" s="270" t="str">
        <f>IF(Table1[[#This Row],[Data de Início]]="","",MONTH(Table1[[#This Row],[Data de Início]]))</f>
        <v/>
      </c>
      <c r="BC2321" s="483"/>
    </row>
    <row r="2322" spans="2:55" x14ac:dyDescent="0.25">
      <c r="B2322" s="470"/>
      <c r="C2322" s="263"/>
      <c r="D2322" s="477" cm="1">
        <f t="array" ref="D2322">IFERROR(HorasUteisFabrica2Turnos(B2322,C2322), "")</f>
        <v>0</v>
      </c>
      <c r="E2322" s="478" t="str">
        <f t="shared" si="36"/>
        <v/>
      </c>
      <c r="F2322" s="266"/>
      <c r="G2322" s="656"/>
      <c r="H2322" s="479"/>
      <c r="I2322" s="268"/>
      <c r="J2322" s="268"/>
      <c r="K2322" s="268"/>
      <c r="L2322" s="269"/>
      <c r="M2322" s="511" t="str">
        <f>IFERROR(INDEX([1]Produtos!$C:$C,MATCH(L2322,[1]Produtos!$B:$B,0)), "-")</f>
        <v>-</v>
      </c>
      <c r="N2322" s="511" t="str">
        <f>IFERROR(INDEX([1]Produtos!$E:$E,MATCH(L2322,[1]Produtos!$B:$B,0)), "-")</f>
        <v>-</v>
      </c>
      <c r="O2322" s="483" t="str">
        <f>IFERROR(INDEX([1]Produtos!$F:$F,MATCH(L2322,[1]Produtos!$B:$B,0)), "-")</f>
        <v>-</v>
      </c>
      <c r="P2322" s="477" t="str">
        <f>IFERROR(INDEX([1]Produtos!$G:$G,MATCH(L2322,[1]Produtos!$B:$B,0)), "-")</f>
        <v>-</v>
      </c>
      <c r="Q2322" s="483" t="str">
        <f>IFERROR(INDEX([1]Produtos!$H:$H,MATCH(L2322,[1]Produtos!$B:$B,0)), "-")</f>
        <v>-</v>
      </c>
      <c r="R2322" s="483" t="str">
        <f>IFERROR(INDEX([1]Produtos!$I:$I,MATCH(L2322,[1]Produtos!$B:$B,0)), "-")</f>
        <v>-</v>
      </c>
      <c r="S2322" s="483" t="str">
        <f>IFERROR(INDEX([1]Produtos!$J:$J,MATCH(L2322,[1]Produtos!$B:$B,0)), "-")</f>
        <v>-</v>
      </c>
      <c r="T2322" s="484"/>
      <c r="U2322" s="483"/>
      <c r="V2322" s="483"/>
      <c r="W2322" s="483"/>
      <c r="X2322" s="483"/>
      <c r="Y2322" s="483"/>
      <c r="Z2322" s="483"/>
      <c r="AA2322" s="483"/>
      <c r="AB2322" s="483"/>
      <c r="AC2322" s="483"/>
      <c r="AD2322" s="483"/>
      <c r="AE2322" s="483"/>
      <c r="AF2322" s="483"/>
      <c r="AG2322" s="483"/>
      <c r="AH2322" s="483"/>
      <c r="AI2322" s="483"/>
      <c r="AJ2322" s="483"/>
      <c r="AK2322" s="483"/>
      <c r="AL2322" s="483"/>
      <c r="AM2322" s="670"/>
      <c r="AN2322" s="670"/>
      <c r="AO2322" s="711" t="str">
        <f>IF(OR(Table1[[#This Row],[Início Setup Envase]]="",Table1[[#This Row],[Final Setup Envase]]=""),"",Table1[[#This Row],[Final Setup Envase]]-Table1[[#This Row],[Início Setup Envase]])</f>
        <v/>
      </c>
      <c r="AP2322" s="670"/>
      <c r="AQ2322" s="670"/>
      <c r="AR2322" s="483"/>
      <c r="AS2322" s="483"/>
      <c r="AT2322" s="483"/>
      <c r="AU2322" s="483"/>
      <c r="AV2322" s="483"/>
      <c r="AW2322" s="483"/>
      <c r="AX2322" s="483"/>
      <c r="AY2322" s="270"/>
      <c r="AZ2322" s="270"/>
      <c r="BA2322" s="270" t="str">
        <f>IF(Table1[[#This Row],[Data de Início]]="","",YEAR(Table1[[#This Row],[Data de Início]]))</f>
        <v/>
      </c>
      <c r="BB2322" s="270" t="str">
        <f>IF(Table1[[#This Row],[Data de Início]]="","",MONTH(Table1[[#This Row],[Data de Início]]))</f>
        <v/>
      </c>
      <c r="BC2322" s="270"/>
    </row>
    <row r="2323" spans="2:55" x14ac:dyDescent="0.25">
      <c r="B2323" s="470"/>
      <c r="C2323" s="263"/>
      <c r="D2323" s="477" cm="1">
        <f t="array" ref="D2323">IFERROR(HorasUteisFabrica2Turnos(B2323,C2323), "")</f>
        <v>0</v>
      </c>
      <c r="E2323" s="697" t="str">
        <f t="shared" si="36"/>
        <v/>
      </c>
      <c r="F2323" s="266"/>
      <c r="G2323" s="698"/>
      <c r="H2323" s="266"/>
      <c r="I2323" s="268"/>
      <c r="J2323" s="268"/>
      <c r="K2323" s="268"/>
      <c r="L2323" s="269"/>
      <c r="M2323" s="510" t="str">
        <f>IFERROR(INDEX([1]Produtos!$C:$C,MATCH(L2323,[1]Produtos!$B:$B,0)), "-")</f>
        <v>-</v>
      </c>
      <c r="N2323" s="510" t="str">
        <f>IFERROR(INDEX([1]Produtos!$E:$E,MATCH(L2323,[1]Produtos!$B:$B,0)), "-")</f>
        <v>-</v>
      </c>
      <c r="O2323" s="270" t="str">
        <f>IFERROR(INDEX([1]Produtos!$F:$F,MATCH(L2323,[1]Produtos!$B:$B,0)), "-")</f>
        <v>-</v>
      </c>
      <c r="P2323" s="264" t="str">
        <f>IFERROR(INDEX([1]Produtos!$G:$G,MATCH(L2323,[1]Produtos!$B:$B,0)), "-")</f>
        <v>-</v>
      </c>
      <c r="Q2323" s="270" t="str">
        <f>IFERROR(INDEX([1]Produtos!$H:$H,MATCH(L2323,[1]Produtos!$B:$B,0)), "-")</f>
        <v>-</v>
      </c>
      <c r="R2323" s="270" t="str">
        <f>IFERROR(INDEX([1]Produtos!$I:$I,MATCH(L2323,[1]Produtos!$B:$B,0)), "-")</f>
        <v>-</v>
      </c>
      <c r="S2323" s="270" t="str">
        <f>IFERROR(INDEX([1]Produtos!$J:$J,MATCH(L2323,[1]Produtos!$B:$B,0)), "-")</f>
        <v>-</v>
      </c>
      <c r="T2323" s="475"/>
      <c r="U2323" s="270"/>
      <c r="V2323" s="270"/>
      <c r="W2323" s="270"/>
      <c r="X2323" s="270"/>
      <c r="Y2323" s="270"/>
      <c r="Z2323" s="270"/>
      <c r="AA2323" s="270"/>
      <c r="AB2323" s="270"/>
      <c r="AC2323" s="270"/>
      <c r="AD2323" s="270"/>
      <c r="AE2323" s="270"/>
      <c r="AF2323" s="270"/>
      <c r="AG2323" s="270"/>
      <c r="AH2323" s="270"/>
      <c r="AI2323" s="270"/>
      <c r="AJ2323" s="270"/>
      <c r="AK2323" s="270"/>
      <c r="AL2323" s="270"/>
      <c r="AM2323" s="663"/>
      <c r="AN2323" s="663"/>
      <c r="AO2323" s="708" t="str">
        <f>IF(OR(Table1[[#This Row],[Início Setup Envase]]="",Table1[[#This Row],[Final Setup Envase]]=""),"",Table1[[#This Row],[Final Setup Envase]]-Table1[[#This Row],[Início Setup Envase]])</f>
        <v/>
      </c>
      <c r="AP2323" s="663"/>
      <c r="AQ2323" s="663"/>
      <c r="AR2323" s="270"/>
      <c r="AS2323" s="674"/>
      <c r="AT2323" s="674"/>
      <c r="AU2323" s="270"/>
      <c r="AV2323" s="270"/>
      <c r="AW2323" s="270"/>
      <c r="AX2323" s="270"/>
      <c r="AY2323" s="270"/>
      <c r="AZ2323" s="270"/>
      <c r="BA2323" s="270" t="str">
        <f>IF(Table1[[#This Row],[Data de Início]]="","",YEAR(Table1[[#This Row],[Data de Início]]))</f>
        <v/>
      </c>
      <c r="BB2323" s="270" t="str">
        <f>IF(Table1[[#This Row],[Data de Início]]="","",MONTH(Table1[[#This Row],[Data de Início]]))</f>
        <v/>
      </c>
      <c r="BC2323" s="483"/>
    </row>
    <row r="2324" spans="2:55" x14ac:dyDescent="0.25">
      <c r="B2324" s="470"/>
      <c r="C2324" s="263"/>
      <c r="D2324" s="477" cm="1">
        <f t="array" ref="D2324">IFERROR(HorasUteisFabrica2Turnos(B2324,C2324), "")</f>
        <v>0</v>
      </c>
      <c r="E2324" s="478" t="str">
        <f t="shared" si="36"/>
        <v/>
      </c>
      <c r="F2324" s="266"/>
      <c r="G2324" s="656"/>
      <c r="H2324" s="479"/>
      <c r="I2324" s="268"/>
      <c r="J2324" s="268"/>
      <c r="K2324" s="268"/>
      <c r="L2324" s="269"/>
      <c r="M2324" s="511" t="str">
        <f>IFERROR(INDEX([1]Produtos!$C:$C,MATCH(L2324,[1]Produtos!$B:$B,0)), "-")</f>
        <v>-</v>
      </c>
      <c r="N2324" s="511" t="str">
        <f>IFERROR(INDEX([1]Produtos!$E:$E,MATCH(L2324,[1]Produtos!$B:$B,0)), "-")</f>
        <v>-</v>
      </c>
      <c r="O2324" s="483" t="str">
        <f>IFERROR(INDEX([1]Produtos!$F:$F,MATCH(L2324,[1]Produtos!$B:$B,0)), "-")</f>
        <v>-</v>
      </c>
      <c r="P2324" s="477" t="str">
        <f>IFERROR(INDEX([1]Produtos!$G:$G,MATCH(L2324,[1]Produtos!$B:$B,0)), "-")</f>
        <v>-</v>
      </c>
      <c r="Q2324" s="483" t="str">
        <f>IFERROR(INDEX([1]Produtos!$H:$H,MATCH(L2324,[1]Produtos!$B:$B,0)), "-")</f>
        <v>-</v>
      </c>
      <c r="R2324" s="483" t="str">
        <f>IFERROR(INDEX([1]Produtos!$I:$I,MATCH(L2324,[1]Produtos!$B:$B,0)), "-")</f>
        <v>-</v>
      </c>
      <c r="S2324" s="483" t="str">
        <f>IFERROR(INDEX([1]Produtos!$J:$J,MATCH(L2324,[1]Produtos!$B:$B,0)), "-")</f>
        <v>-</v>
      </c>
      <c r="T2324" s="484"/>
      <c r="U2324" s="483"/>
      <c r="V2324" s="483"/>
      <c r="W2324" s="483"/>
      <c r="X2324" s="483"/>
      <c r="Y2324" s="483"/>
      <c r="Z2324" s="483"/>
      <c r="AA2324" s="483"/>
      <c r="AB2324" s="483"/>
      <c r="AC2324" s="483"/>
      <c r="AD2324" s="483"/>
      <c r="AE2324" s="483"/>
      <c r="AF2324" s="483"/>
      <c r="AG2324" s="483"/>
      <c r="AH2324" s="483"/>
      <c r="AI2324" s="483"/>
      <c r="AJ2324" s="483"/>
      <c r="AK2324" s="483"/>
      <c r="AL2324" s="483"/>
      <c r="AM2324" s="670"/>
      <c r="AN2324" s="670"/>
      <c r="AO2324" s="711" t="str">
        <f>IF(OR(Table1[[#This Row],[Início Setup Envase]]="",Table1[[#This Row],[Final Setup Envase]]=""),"",Table1[[#This Row],[Final Setup Envase]]-Table1[[#This Row],[Início Setup Envase]])</f>
        <v/>
      </c>
      <c r="AP2324" s="670"/>
      <c r="AQ2324" s="670"/>
      <c r="AR2324" s="483"/>
      <c r="AS2324" s="483"/>
      <c r="AT2324" s="483"/>
      <c r="AU2324" s="483"/>
      <c r="AV2324" s="483"/>
      <c r="AW2324" s="483"/>
      <c r="AX2324" s="483"/>
      <c r="AY2324" s="270"/>
      <c r="AZ2324" s="270"/>
      <c r="BA2324" s="270" t="str">
        <f>IF(Table1[[#This Row],[Data de Início]]="","",YEAR(Table1[[#This Row],[Data de Início]]))</f>
        <v/>
      </c>
      <c r="BB2324" s="270" t="str">
        <f>IF(Table1[[#This Row],[Data de Início]]="","",MONTH(Table1[[#This Row],[Data de Início]]))</f>
        <v/>
      </c>
      <c r="BC2324" s="270"/>
    </row>
    <row r="2325" spans="2:55" x14ac:dyDescent="0.25">
      <c r="B2325" s="470"/>
      <c r="C2325" s="263"/>
      <c r="D2325" s="477" cm="1">
        <f t="array" ref="D2325">IFERROR(HorasUteisFabrica2Turnos(B2325,C2325), "")</f>
        <v>0</v>
      </c>
      <c r="E2325" s="697" t="str">
        <f t="shared" si="36"/>
        <v/>
      </c>
      <c r="F2325" s="266"/>
      <c r="G2325" s="698"/>
      <c r="H2325" s="266"/>
      <c r="I2325" s="268"/>
      <c r="J2325" s="268"/>
      <c r="K2325" s="268"/>
      <c r="L2325" s="269"/>
      <c r="M2325" s="510" t="str">
        <f>IFERROR(INDEX([1]Produtos!$C:$C,MATCH(L2325,[1]Produtos!$B:$B,0)), "-")</f>
        <v>-</v>
      </c>
      <c r="N2325" s="510" t="str">
        <f>IFERROR(INDEX([1]Produtos!$E:$E,MATCH(L2325,[1]Produtos!$B:$B,0)), "-")</f>
        <v>-</v>
      </c>
      <c r="O2325" s="270" t="str">
        <f>IFERROR(INDEX([1]Produtos!$F:$F,MATCH(L2325,[1]Produtos!$B:$B,0)), "-")</f>
        <v>-</v>
      </c>
      <c r="P2325" s="264" t="str">
        <f>IFERROR(INDEX([1]Produtos!$G:$G,MATCH(L2325,[1]Produtos!$B:$B,0)), "-")</f>
        <v>-</v>
      </c>
      <c r="Q2325" s="270" t="str">
        <f>IFERROR(INDEX([1]Produtos!$H:$H,MATCH(L2325,[1]Produtos!$B:$B,0)), "-")</f>
        <v>-</v>
      </c>
      <c r="R2325" s="270" t="str">
        <f>IFERROR(INDEX([1]Produtos!$I:$I,MATCH(L2325,[1]Produtos!$B:$B,0)), "-")</f>
        <v>-</v>
      </c>
      <c r="S2325" s="270" t="str">
        <f>IFERROR(INDEX([1]Produtos!$J:$J,MATCH(L2325,[1]Produtos!$B:$B,0)), "-")</f>
        <v>-</v>
      </c>
      <c r="T2325" s="475"/>
      <c r="U2325" s="270"/>
      <c r="V2325" s="270"/>
      <c r="W2325" s="270"/>
      <c r="X2325" s="270"/>
      <c r="Y2325" s="270"/>
      <c r="Z2325" s="270"/>
      <c r="AA2325" s="270"/>
      <c r="AB2325" s="270"/>
      <c r="AC2325" s="270"/>
      <c r="AD2325" s="270"/>
      <c r="AE2325" s="270"/>
      <c r="AF2325" s="270"/>
      <c r="AG2325" s="270"/>
      <c r="AH2325" s="270"/>
      <c r="AI2325" s="270"/>
      <c r="AJ2325" s="270"/>
      <c r="AK2325" s="270"/>
      <c r="AL2325" s="270"/>
      <c r="AM2325" s="663"/>
      <c r="AN2325" s="663"/>
      <c r="AO2325" s="708" t="str">
        <f>IF(OR(Table1[[#This Row],[Início Setup Envase]]="",Table1[[#This Row],[Final Setup Envase]]=""),"",Table1[[#This Row],[Final Setup Envase]]-Table1[[#This Row],[Início Setup Envase]])</f>
        <v/>
      </c>
      <c r="AP2325" s="663"/>
      <c r="AQ2325" s="663"/>
      <c r="AR2325" s="270"/>
      <c r="AS2325" s="674"/>
      <c r="AT2325" s="674"/>
      <c r="AU2325" s="270"/>
      <c r="AV2325" s="270"/>
      <c r="AW2325" s="270"/>
      <c r="AX2325" s="270"/>
      <c r="AY2325" s="270"/>
      <c r="AZ2325" s="270"/>
      <c r="BA2325" s="270" t="str">
        <f>IF(Table1[[#This Row],[Data de Início]]="","",YEAR(Table1[[#This Row],[Data de Início]]))</f>
        <v/>
      </c>
      <c r="BB2325" s="270" t="str">
        <f>IF(Table1[[#This Row],[Data de Início]]="","",MONTH(Table1[[#This Row],[Data de Início]]))</f>
        <v/>
      </c>
      <c r="BC2325" s="483"/>
    </row>
    <row r="2326" spans="2:55" x14ac:dyDescent="0.25">
      <c r="B2326" s="470"/>
      <c r="C2326" s="263"/>
      <c r="D2326" s="477" cm="1">
        <f t="array" ref="D2326">IFERROR(HorasUteisFabrica2Turnos(B2326,C2326), "")</f>
        <v>0</v>
      </c>
      <c r="E2326" s="478" t="str">
        <f t="shared" si="36"/>
        <v/>
      </c>
      <c r="F2326" s="266"/>
      <c r="G2326" s="656"/>
      <c r="H2326" s="479"/>
      <c r="I2326" s="268"/>
      <c r="J2326" s="268"/>
      <c r="K2326" s="268"/>
      <c r="L2326" s="269"/>
      <c r="M2326" s="511" t="str">
        <f>IFERROR(INDEX([1]Produtos!$C:$C,MATCH(L2326,[1]Produtos!$B:$B,0)), "-")</f>
        <v>-</v>
      </c>
      <c r="N2326" s="511" t="str">
        <f>IFERROR(INDEX([1]Produtos!$E:$E,MATCH(L2326,[1]Produtos!$B:$B,0)), "-")</f>
        <v>-</v>
      </c>
      <c r="O2326" s="483" t="str">
        <f>IFERROR(INDEX([1]Produtos!$F:$F,MATCH(L2326,[1]Produtos!$B:$B,0)), "-")</f>
        <v>-</v>
      </c>
      <c r="P2326" s="477" t="str">
        <f>IFERROR(INDEX([1]Produtos!$G:$G,MATCH(L2326,[1]Produtos!$B:$B,0)), "-")</f>
        <v>-</v>
      </c>
      <c r="Q2326" s="483" t="str">
        <f>IFERROR(INDEX([1]Produtos!$H:$H,MATCH(L2326,[1]Produtos!$B:$B,0)), "-")</f>
        <v>-</v>
      </c>
      <c r="R2326" s="483" t="str">
        <f>IFERROR(INDEX([1]Produtos!$I:$I,MATCH(L2326,[1]Produtos!$B:$B,0)), "-")</f>
        <v>-</v>
      </c>
      <c r="S2326" s="483" t="str">
        <f>IFERROR(INDEX([1]Produtos!$J:$J,MATCH(L2326,[1]Produtos!$B:$B,0)), "-")</f>
        <v>-</v>
      </c>
      <c r="T2326" s="484"/>
      <c r="U2326" s="483"/>
      <c r="V2326" s="483"/>
      <c r="W2326" s="483"/>
      <c r="X2326" s="483"/>
      <c r="Y2326" s="483"/>
      <c r="Z2326" s="483"/>
      <c r="AA2326" s="483"/>
      <c r="AB2326" s="483"/>
      <c r="AC2326" s="483"/>
      <c r="AD2326" s="483"/>
      <c r="AE2326" s="483"/>
      <c r="AF2326" s="483"/>
      <c r="AG2326" s="483"/>
      <c r="AH2326" s="483"/>
      <c r="AI2326" s="483"/>
      <c r="AJ2326" s="483"/>
      <c r="AK2326" s="483"/>
      <c r="AL2326" s="483"/>
      <c r="AM2326" s="670"/>
      <c r="AN2326" s="670"/>
      <c r="AO2326" s="711" t="str">
        <f>IF(OR(Table1[[#This Row],[Início Setup Envase]]="",Table1[[#This Row],[Final Setup Envase]]=""),"",Table1[[#This Row],[Final Setup Envase]]-Table1[[#This Row],[Início Setup Envase]])</f>
        <v/>
      </c>
      <c r="AP2326" s="670"/>
      <c r="AQ2326" s="670"/>
      <c r="AR2326" s="483"/>
      <c r="AS2326" s="483"/>
      <c r="AT2326" s="483"/>
      <c r="AU2326" s="483"/>
      <c r="AV2326" s="483"/>
      <c r="AW2326" s="483"/>
      <c r="AX2326" s="483"/>
      <c r="AY2326" s="270"/>
      <c r="AZ2326" s="270"/>
      <c r="BA2326" s="270" t="str">
        <f>IF(Table1[[#This Row],[Data de Início]]="","",YEAR(Table1[[#This Row],[Data de Início]]))</f>
        <v/>
      </c>
      <c r="BB2326" s="270" t="str">
        <f>IF(Table1[[#This Row],[Data de Início]]="","",MONTH(Table1[[#This Row],[Data de Início]]))</f>
        <v/>
      </c>
      <c r="BC2326" s="270"/>
    </row>
    <row r="2327" spans="2:55" x14ac:dyDescent="0.25">
      <c r="B2327" s="470"/>
      <c r="C2327" s="263"/>
      <c r="D2327" s="477" cm="1">
        <f t="array" ref="D2327">IFERROR(HorasUteisFabrica2Turnos(B2327,C2327), "")</f>
        <v>0</v>
      </c>
      <c r="E2327" s="697" t="str">
        <f t="shared" si="36"/>
        <v/>
      </c>
      <c r="F2327" s="266"/>
      <c r="G2327" s="698"/>
      <c r="H2327" s="266"/>
      <c r="I2327" s="268"/>
      <c r="J2327" s="268"/>
      <c r="K2327" s="268"/>
      <c r="L2327" s="269"/>
      <c r="M2327" s="510" t="str">
        <f>IFERROR(INDEX([1]Produtos!$C:$C,MATCH(L2327,[1]Produtos!$B:$B,0)), "-")</f>
        <v>-</v>
      </c>
      <c r="N2327" s="510" t="str">
        <f>IFERROR(INDEX([1]Produtos!$E:$E,MATCH(L2327,[1]Produtos!$B:$B,0)), "-")</f>
        <v>-</v>
      </c>
      <c r="O2327" s="270" t="str">
        <f>IFERROR(INDEX([1]Produtos!$F:$F,MATCH(L2327,[1]Produtos!$B:$B,0)), "-")</f>
        <v>-</v>
      </c>
      <c r="P2327" s="264" t="str">
        <f>IFERROR(INDEX([1]Produtos!$G:$G,MATCH(L2327,[1]Produtos!$B:$B,0)), "-")</f>
        <v>-</v>
      </c>
      <c r="Q2327" s="270" t="str">
        <f>IFERROR(INDEX([1]Produtos!$H:$H,MATCH(L2327,[1]Produtos!$B:$B,0)), "-")</f>
        <v>-</v>
      </c>
      <c r="R2327" s="270" t="str">
        <f>IFERROR(INDEX([1]Produtos!$I:$I,MATCH(L2327,[1]Produtos!$B:$B,0)), "-")</f>
        <v>-</v>
      </c>
      <c r="S2327" s="270" t="str">
        <f>IFERROR(INDEX([1]Produtos!$J:$J,MATCH(L2327,[1]Produtos!$B:$B,0)), "-")</f>
        <v>-</v>
      </c>
      <c r="T2327" s="475"/>
      <c r="U2327" s="270"/>
      <c r="V2327" s="270"/>
      <c r="W2327" s="270"/>
      <c r="X2327" s="270"/>
      <c r="Y2327" s="270"/>
      <c r="Z2327" s="270"/>
      <c r="AA2327" s="270"/>
      <c r="AB2327" s="270"/>
      <c r="AC2327" s="270"/>
      <c r="AD2327" s="270"/>
      <c r="AE2327" s="270"/>
      <c r="AF2327" s="270"/>
      <c r="AG2327" s="270"/>
      <c r="AH2327" s="270"/>
      <c r="AI2327" s="270"/>
      <c r="AJ2327" s="270"/>
      <c r="AK2327" s="270"/>
      <c r="AL2327" s="270"/>
      <c r="AM2327" s="663"/>
      <c r="AN2327" s="663"/>
      <c r="AO2327" s="708" t="str">
        <f>IF(OR(Table1[[#This Row],[Início Setup Envase]]="",Table1[[#This Row],[Final Setup Envase]]=""),"",Table1[[#This Row],[Final Setup Envase]]-Table1[[#This Row],[Início Setup Envase]])</f>
        <v/>
      </c>
      <c r="AP2327" s="663"/>
      <c r="AQ2327" s="663"/>
      <c r="AR2327" s="270"/>
      <c r="AS2327" s="674"/>
      <c r="AT2327" s="674"/>
      <c r="AU2327" s="270"/>
      <c r="AV2327" s="270"/>
      <c r="AW2327" s="270"/>
      <c r="AX2327" s="270"/>
      <c r="AY2327" s="270"/>
      <c r="AZ2327" s="270"/>
      <c r="BA2327" s="270" t="str">
        <f>IF(Table1[[#This Row],[Data de Início]]="","",YEAR(Table1[[#This Row],[Data de Início]]))</f>
        <v/>
      </c>
      <c r="BB2327" s="270" t="str">
        <f>IF(Table1[[#This Row],[Data de Início]]="","",MONTH(Table1[[#This Row],[Data de Início]]))</f>
        <v/>
      </c>
      <c r="BC2327" s="483"/>
    </row>
    <row r="2328" spans="2:55" x14ac:dyDescent="0.25">
      <c r="B2328" s="470"/>
      <c r="C2328" s="263"/>
      <c r="D2328" s="477" cm="1">
        <f t="array" ref="D2328">IFERROR(HorasUteisFabrica2Turnos(B2328,C2328), "")</f>
        <v>0</v>
      </c>
      <c r="E2328" s="478" t="str">
        <f t="shared" si="36"/>
        <v/>
      </c>
      <c r="F2328" s="266"/>
      <c r="G2328" s="656"/>
      <c r="H2328" s="479"/>
      <c r="I2328" s="268"/>
      <c r="J2328" s="268"/>
      <c r="K2328" s="268"/>
      <c r="L2328" s="269"/>
      <c r="M2328" s="511" t="str">
        <f>IFERROR(INDEX([1]Produtos!$C:$C,MATCH(L2328,[1]Produtos!$B:$B,0)), "-")</f>
        <v>-</v>
      </c>
      <c r="N2328" s="511" t="str">
        <f>IFERROR(INDEX([1]Produtos!$E:$E,MATCH(L2328,[1]Produtos!$B:$B,0)), "-")</f>
        <v>-</v>
      </c>
      <c r="O2328" s="483" t="str">
        <f>IFERROR(INDEX([1]Produtos!$F:$F,MATCH(L2328,[1]Produtos!$B:$B,0)), "-")</f>
        <v>-</v>
      </c>
      <c r="P2328" s="477" t="str">
        <f>IFERROR(INDEX([1]Produtos!$G:$G,MATCH(L2328,[1]Produtos!$B:$B,0)), "-")</f>
        <v>-</v>
      </c>
      <c r="Q2328" s="483" t="str">
        <f>IFERROR(INDEX([1]Produtos!$H:$H,MATCH(L2328,[1]Produtos!$B:$B,0)), "-")</f>
        <v>-</v>
      </c>
      <c r="R2328" s="483" t="str">
        <f>IFERROR(INDEX([1]Produtos!$I:$I,MATCH(L2328,[1]Produtos!$B:$B,0)), "-")</f>
        <v>-</v>
      </c>
      <c r="S2328" s="483" t="str">
        <f>IFERROR(INDEX([1]Produtos!$J:$J,MATCH(L2328,[1]Produtos!$B:$B,0)), "-")</f>
        <v>-</v>
      </c>
      <c r="T2328" s="484"/>
      <c r="U2328" s="483"/>
      <c r="V2328" s="483"/>
      <c r="W2328" s="483"/>
      <c r="X2328" s="483"/>
      <c r="Y2328" s="483"/>
      <c r="Z2328" s="483"/>
      <c r="AA2328" s="483"/>
      <c r="AB2328" s="483"/>
      <c r="AC2328" s="483"/>
      <c r="AD2328" s="483"/>
      <c r="AE2328" s="483"/>
      <c r="AF2328" s="483"/>
      <c r="AG2328" s="483"/>
      <c r="AH2328" s="483"/>
      <c r="AI2328" s="483"/>
      <c r="AJ2328" s="483"/>
      <c r="AK2328" s="483"/>
      <c r="AL2328" s="483"/>
      <c r="AM2328" s="670"/>
      <c r="AN2328" s="670"/>
      <c r="AO2328" s="711" t="str">
        <f>IF(OR(Table1[[#This Row],[Início Setup Envase]]="",Table1[[#This Row],[Final Setup Envase]]=""),"",Table1[[#This Row],[Final Setup Envase]]-Table1[[#This Row],[Início Setup Envase]])</f>
        <v/>
      </c>
      <c r="AP2328" s="670"/>
      <c r="AQ2328" s="670"/>
      <c r="AR2328" s="483"/>
      <c r="AS2328" s="483"/>
      <c r="AT2328" s="483"/>
      <c r="AU2328" s="483"/>
      <c r="AV2328" s="483"/>
      <c r="AW2328" s="483"/>
      <c r="AX2328" s="483"/>
      <c r="AY2328" s="270"/>
      <c r="AZ2328" s="270"/>
      <c r="BA2328" s="270" t="str">
        <f>IF(Table1[[#This Row],[Data de Início]]="","",YEAR(Table1[[#This Row],[Data de Início]]))</f>
        <v/>
      </c>
      <c r="BB2328" s="270" t="str">
        <f>IF(Table1[[#This Row],[Data de Início]]="","",MONTH(Table1[[#This Row],[Data de Início]]))</f>
        <v/>
      </c>
      <c r="BC2328" s="270"/>
    </row>
    <row r="2329" spans="2:55" x14ac:dyDescent="0.25">
      <c r="B2329" s="470"/>
      <c r="C2329" s="263"/>
      <c r="D2329" s="477" cm="1">
        <f t="array" ref="D2329">IFERROR(HorasUteisFabrica2Turnos(B2329,C2329), "")</f>
        <v>0</v>
      </c>
      <c r="E2329" s="697" t="str">
        <f t="shared" si="36"/>
        <v/>
      </c>
      <c r="F2329" s="266"/>
      <c r="G2329" s="698"/>
      <c r="H2329" s="266"/>
      <c r="I2329" s="268"/>
      <c r="J2329" s="268"/>
      <c r="K2329" s="268"/>
      <c r="L2329" s="269"/>
      <c r="M2329" s="510" t="str">
        <f>IFERROR(INDEX([1]Produtos!$C:$C,MATCH(L2329,[1]Produtos!$B:$B,0)), "-")</f>
        <v>-</v>
      </c>
      <c r="N2329" s="510" t="str">
        <f>IFERROR(INDEX([1]Produtos!$E:$E,MATCH(L2329,[1]Produtos!$B:$B,0)), "-")</f>
        <v>-</v>
      </c>
      <c r="O2329" s="270" t="str">
        <f>IFERROR(INDEX([1]Produtos!$F:$F,MATCH(L2329,[1]Produtos!$B:$B,0)), "-")</f>
        <v>-</v>
      </c>
      <c r="P2329" s="264" t="str">
        <f>IFERROR(INDEX([1]Produtos!$G:$G,MATCH(L2329,[1]Produtos!$B:$B,0)), "-")</f>
        <v>-</v>
      </c>
      <c r="Q2329" s="270" t="str">
        <f>IFERROR(INDEX([1]Produtos!$H:$H,MATCH(L2329,[1]Produtos!$B:$B,0)), "-")</f>
        <v>-</v>
      </c>
      <c r="R2329" s="270" t="str">
        <f>IFERROR(INDEX([1]Produtos!$I:$I,MATCH(L2329,[1]Produtos!$B:$B,0)), "-")</f>
        <v>-</v>
      </c>
      <c r="S2329" s="270" t="str">
        <f>IFERROR(INDEX([1]Produtos!$J:$J,MATCH(L2329,[1]Produtos!$B:$B,0)), "-")</f>
        <v>-</v>
      </c>
      <c r="T2329" s="475"/>
      <c r="U2329" s="270"/>
      <c r="V2329" s="270"/>
      <c r="W2329" s="270"/>
      <c r="X2329" s="270"/>
      <c r="Y2329" s="270"/>
      <c r="Z2329" s="270"/>
      <c r="AA2329" s="270"/>
      <c r="AB2329" s="270"/>
      <c r="AC2329" s="270"/>
      <c r="AD2329" s="270"/>
      <c r="AE2329" s="270"/>
      <c r="AF2329" s="270"/>
      <c r="AG2329" s="270"/>
      <c r="AH2329" s="270"/>
      <c r="AI2329" s="270"/>
      <c r="AJ2329" s="270"/>
      <c r="AK2329" s="270"/>
      <c r="AL2329" s="270"/>
      <c r="AM2329" s="663"/>
      <c r="AN2329" s="663"/>
      <c r="AO2329" s="708" t="str">
        <f>IF(OR(Table1[[#This Row],[Início Setup Envase]]="",Table1[[#This Row],[Final Setup Envase]]=""),"",Table1[[#This Row],[Final Setup Envase]]-Table1[[#This Row],[Início Setup Envase]])</f>
        <v/>
      </c>
      <c r="AP2329" s="663"/>
      <c r="AQ2329" s="663"/>
      <c r="AR2329" s="270"/>
      <c r="AS2329" s="674"/>
      <c r="AT2329" s="674"/>
      <c r="AU2329" s="270"/>
      <c r="AV2329" s="270"/>
      <c r="AW2329" s="270"/>
      <c r="AX2329" s="270"/>
      <c r="AY2329" s="270"/>
      <c r="AZ2329" s="270"/>
      <c r="BA2329" s="270" t="str">
        <f>IF(Table1[[#This Row],[Data de Início]]="","",YEAR(Table1[[#This Row],[Data de Início]]))</f>
        <v/>
      </c>
      <c r="BB2329" s="270" t="str">
        <f>IF(Table1[[#This Row],[Data de Início]]="","",MONTH(Table1[[#This Row],[Data de Início]]))</f>
        <v/>
      </c>
      <c r="BC2329" s="483"/>
    </row>
    <row r="2330" spans="2:55" x14ac:dyDescent="0.25">
      <c r="B2330" s="470"/>
      <c r="C2330" s="263"/>
      <c r="D2330" s="477" cm="1">
        <f t="array" ref="D2330">IFERROR(HorasUteisFabrica2Turnos(B2330,C2330), "")</f>
        <v>0</v>
      </c>
      <c r="E2330" s="478" t="str">
        <f t="shared" si="36"/>
        <v/>
      </c>
      <c r="F2330" s="266"/>
      <c r="G2330" s="656"/>
      <c r="H2330" s="479"/>
      <c r="I2330" s="268"/>
      <c r="J2330" s="268"/>
      <c r="K2330" s="268"/>
      <c r="L2330" s="269"/>
      <c r="M2330" s="511" t="str">
        <f>IFERROR(INDEX([1]Produtos!$C:$C,MATCH(L2330,[1]Produtos!$B:$B,0)), "-")</f>
        <v>-</v>
      </c>
      <c r="N2330" s="511" t="str">
        <f>IFERROR(INDEX([1]Produtos!$E:$E,MATCH(L2330,[1]Produtos!$B:$B,0)), "-")</f>
        <v>-</v>
      </c>
      <c r="O2330" s="483" t="str">
        <f>IFERROR(INDEX([1]Produtos!$F:$F,MATCH(L2330,[1]Produtos!$B:$B,0)), "-")</f>
        <v>-</v>
      </c>
      <c r="P2330" s="477" t="str">
        <f>IFERROR(INDEX([1]Produtos!$G:$G,MATCH(L2330,[1]Produtos!$B:$B,0)), "-")</f>
        <v>-</v>
      </c>
      <c r="Q2330" s="483" t="str">
        <f>IFERROR(INDEX([1]Produtos!$H:$H,MATCH(L2330,[1]Produtos!$B:$B,0)), "-")</f>
        <v>-</v>
      </c>
      <c r="R2330" s="483" t="str">
        <f>IFERROR(INDEX([1]Produtos!$I:$I,MATCH(L2330,[1]Produtos!$B:$B,0)), "-")</f>
        <v>-</v>
      </c>
      <c r="S2330" s="483" t="str">
        <f>IFERROR(INDEX([1]Produtos!$J:$J,MATCH(L2330,[1]Produtos!$B:$B,0)), "-")</f>
        <v>-</v>
      </c>
      <c r="T2330" s="484"/>
      <c r="U2330" s="483"/>
      <c r="V2330" s="483"/>
      <c r="W2330" s="483"/>
      <c r="X2330" s="483"/>
      <c r="Y2330" s="483"/>
      <c r="Z2330" s="483"/>
      <c r="AA2330" s="483"/>
      <c r="AB2330" s="483"/>
      <c r="AC2330" s="483"/>
      <c r="AD2330" s="483"/>
      <c r="AE2330" s="483"/>
      <c r="AF2330" s="483"/>
      <c r="AG2330" s="483"/>
      <c r="AH2330" s="483"/>
      <c r="AI2330" s="483"/>
      <c r="AJ2330" s="483"/>
      <c r="AK2330" s="483"/>
      <c r="AL2330" s="483"/>
      <c r="AM2330" s="670"/>
      <c r="AN2330" s="670"/>
      <c r="AO2330" s="711" t="str">
        <f>IF(OR(Table1[[#This Row],[Início Setup Envase]]="",Table1[[#This Row],[Final Setup Envase]]=""),"",Table1[[#This Row],[Final Setup Envase]]-Table1[[#This Row],[Início Setup Envase]])</f>
        <v/>
      </c>
      <c r="AP2330" s="670"/>
      <c r="AQ2330" s="670"/>
      <c r="AR2330" s="483"/>
      <c r="AS2330" s="483"/>
      <c r="AT2330" s="483"/>
      <c r="AU2330" s="483"/>
      <c r="AV2330" s="483"/>
      <c r="AW2330" s="483"/>
      <c r="AX2330" s="483"/>
      <c r="AY2330" s="270"/>
      <c r="AZ2330" s="270"/>
      <c r="BA2330" s="270" t="str">
        <f>IF(Table1[[#This Row],[Data de Início]]="","",YEAR(Table1[[#This Row],[Data de Início]]))</f>
        <v/>
      </c>
      <c r="BB2330" s="270" t="str">
        <f>IF(Table1[[#This Row],[Data de Início]]="","",MONTH(Table1[[#This Row],[Data de Início]]))</f>
        <v/>
      </c>
      <c r="BC2330" s="270"/>
    </row>
    <row r="2331" spans="2:55" x14ac:dyDescent="0.25">
      <c r="B2331" s="470"/>
      <c r="C2331" s="263"/>
      <c r="D2331" s="477" cm="1">
        <f t="array" ref="D2331">IFERROR(HorasUteisFabrica2Turnos(B2331,C2331), "")</f>
        <v>0</v>
      </c>
      <c r="E2331" s="697" t="str">
        <f t="shared" si="36"/>
        <v/>
      </c>
      <c r="F2331" s="266"/>
      <c r="G2331" s="698"/>
      <c r="H2331" s="266"/>
      <c r="I2331" s="268"/>
      <c r="J2331" s="268"/>
      <c r="K2331" s="268"/>
      <c r="L2331" s="269"/>
      <c r="M2331" s="510" t="str">
        <f>IFERROR(INDEX([1]Produtos!$C:$C,MATCH(L2331,[1]Produtos!$B:$B,0)), "-")</f>
        <v>-</v>
      </c>
      <c r="N2331" s="510" t="str">
        <f>IFERROR(INDEX([1]Produtos!$E:$E,MATCH(L2331,[1]Produtos!$B:$B,0)), "-")</f>
        <v>-</v>
      </c>
      <c r="O2331" s="270" t="str">
        <f>IFERROR(INDEX([1]Produtos!$F:$F,MATCH(L2331,[1]Produtos!$B:$B,0)), "-")</f>
        <v>-</v>
      </c>
      <c r="P2331" s="264" t="str">
        <f>IFERROR(INDEX([1]Produtos!$G:$G,MATCH(L2331,[1]Produtos!$B:$B,0)), "-")</f>
        <v>-</v>
      </c>
      <c r="Q2331" s="270" t="str">
        <f>IFERROR(INDEX([1]Produtos!$H:$H,MATCH(L2331,[1]Produtos!$B:$B,0)), "-")</f>
        <v>-</v>
      </c>
      <c r="R2331" s="270" t="str">
        <f>IFERROR(INDEX([1]Produtos!$I:$I,MATCH(L2331,[1]Produtos!$B:$B,0)), "-")</f>
        <v>-</v>
      </c>
      <c r="S2331" s="270" t="str">
        <f>IFERROR(INDEX([1]Produtos!$J:$J,MATCH(L2331,[1]Produtos!$B:$B,0)), "-")</f>
        <v>-</v>
      </c>
      <c r="T2331" s="475"/>
      <c r="U2331" s="270"/>
      <c r="V2331" s="270"/>
      <c r="W2331" s="270"/>
      <c r="X2331" s="270"/>
      <c r="Y2331" s="270"/>
      <c r="Z2331" s="270"/>
      <c r="AA2331" s="270"/>
      <c r="AB2331" s="270"/>
      <c r="AC2331" s="270"/>
      <c r="AD2331" s="270"/>
      <c r="AE2331" s="270"/>
      <c r="AF2331" s="270"/>
      <c r="AG2331" s="270"/>
      <c r="AH2331" s="270"/>
      <c r="AI2331" s="270"/>
      <c r="AJ2331" s="270"/>
      <c r="AK2331" s="270"/>
      <c r="AL2331" s="270"/>
      <c r="AM2331" s="663"/>
      <c r="AN2331" s="663"/>
      <c r="AO2331" s="708" t="str">
        <f>IF(OR(Table1[[#This Row],[Início Setup Envase]]="",Table1[[#This Row],[Final Setup Envase]]=""),"",Table1[[#This Row],[Final Setup Envase]]-Table1[[#This Row],[Início Setup Envase]])</f>
        <v/>
      </c>
      <c r="AP2331" s="663"/>
      <c r="AQ2331" s="663"/>
      <c r="AR2331" s="270"/>
      <c r="AS2331" s="674"/>
      <c r="AT2331" s="674"/>
      <c r="AU2331" s="270"/>
      <c r="AV2331" s="270"/>
      <c r="AW2331" s="270"/>
      <c r="AX2331" s="270"/>
      <c r="AY2331" s="270"/>
      <c r="AZ2331" s="270"/>
      <c r="BA2331" s="270" t="str">
        <f>IF(Table1[[#This Row],[Data de Início]]="","",YEAR(Table1[[#This Row],[Data de Início]]))</f>
        <v/>
      </c>
      <c r="BB2331" s="270" t="str">
        <f>IF(Table1[[#This Row],[Data de Início]]="","",MONTH(Table1[[#This Row],[Data de Início]]))</f>
        <v/>
      </c>
      <c r="BC2331" s="483"/>
    </row>
    <row r="2332" spans="2:55" x14ac:dyDescent="0.25">
      <c r="B2332" s="470"/>
      <c r="C2332" s="263"/>
      <c r="D2332" s="477" cm="1">
        <f t="array" ref="D2332">IFERROR(HorasUteisFabrica2Turnos(B2332,C2332), "")</f>
        <v>0</v>
      </c>
      <c r="E2332" s="478" t="str">
        <f t="shared" si="36"/>
        <v/>
      </c>
      <c r="F2332" s="266"/>
      <c r="G2332" s="656"/>
      <c r="H2332" s="479"/>
      <c r="I2332" s="268"/>
      <c r="J2332" s="268"/>
      <c r="K2332" s="268"/>
      <c r="L2332" s="269"/>
      <c r="M2332" s="511" t="str">
        <f>IFERROR(INDEX([1]Produtos!$C:$C,MATCH(L2332,[1]Produtos!$B:$B,0)), "-")</f>
        <v>-</v>
      </c>
      <c r="N2332" s="511" t="str">
        <f>IFERROR(INDEX([1]Produtos!$E:$E,MATCH(L2332,[1]Produtos!$B:$B,0)), "-")</f>
        <v>-</v>
      </c>
      <c r="O2332" s="483" t="str">
        <f>IFERROR(INDEX([1]Produtos!$F:$F,MATCH(L2332,[1]Produtos!$B:$B,0)), "-")</f>
        <v>-</v>
      </c>
      <c r="P2332" s="477" t="str">
        <f>IFERROR(INDEX([1]Produtos!$G:$G,MATCH(L2332,[1]Produtos!$B:$B,0)), "-")</f>
        <v>-</v>
      </c>
      <c r="Q2332" s="483" t="str">
        <f>IFERROR(INDEX([1]Produtos!$H:$H,MATCH(L2332,[1]Produtos!$B:$B,0)), "-")</f>
        <v>-</v>
      </c>
      <c r="R2332" s="483" t="str">
        <f>IFERROR(INDEX([1]Produtos!$I:$I,MATCH(L2332,[1]Produtos!$B:$B,0)), "-")</f>
        <v>-</v>
      </c>
      <c r="S2332" s="483" t="str">
        <f>IFERROR(INDEX([1]Produtos!$J:$J,MATCH(L2332,[1]Produtos!$B:$B,0)), "-")</f>
        <v>-</v>
      </c>
      <c r="T2332" s="484"/>
      <c r="U2332" s="483"/>
      <c r="V2332" s="483"/>
      <c r="W2332" s="483"/>
      <c r="X2332" s="483"/>
      <c r="Y2332" s="483"/>
      <c r="Z2332" s="483"/>
      <c r="AA2332" s="483"/>
      <c r="AB2332" s="483"/>
      <c r="AC2332" s="483"/>
      <c r="AD2332" s="483"/>
      <c r="AE2332" s="483"/>
      <c r="AF2332" s="483"/>
      <c r="AG2332" s="483"/>
      <c r="AH2332" s="483"/>
      <c r="AI2332" s="483"/>
      <c r="AJ2332" s="483"/>
      <c r="AK2332" s="483"/>
      <c r="AL2332" s="483"/>
      <c r="AM2332" s="670"/>
      <c r="AN2332" s="670"/>
      <c r="AO2332" s="711" t="str">
        <f>IF(OR(Table1[[#This Row],[Início Setup Envase]]="",Table1[[#This Row],[Final Setup Envase]]=""),"",Table1[[#This Row],[Final Setup Envase]]-Table1[[#This Row],[Início Setup Envase]])</f>
        <v/>
      </c>
      <c r="AP2332" s="670"/>
      <c r="AQ2332" s="670"/>
      <c r="AR2332" s="483"/>
      <c r="AS2332" s="483"/>
      <c r="AT2332" s="483"/>
      <c r="AU2332" s="483"/>
      <c r="AV2332" s="483"/>
      <c r="AW2332" s="483"/>
      <c r="AX2332" s="483"/>
      <c r="AY2332" s="270"/>
      <c r="AZ2332" s="270"/>
      <c r="BA2332" s="270" t="str">
        <f>IF(Table1[[#This Row],[Data de Início]]="","",YEAR(Table1[[#This Row],[Data de Início]]))</f>
        <v/>
      </c>
      <c r="BB2332" s="270" t="str">
        <f>IF(Table1[[#This Row],[Data de Início]]="","",MONTH(Table1[[#This Row],[Data de Início]]))</f>
        <v/>
      </c>
      <c r="BC2332" s="270"/>
    </row>
    <row r="2333" spans="2:55" x14ac:dyDescent="0.25">
      <c r="B2333" s="470"/>
      <c r="C2333" s="263"/>
      <c r="D2333" s="477" cm="1">
        <f t="array" ref="D2333">IFERROR(HorasUteisFabrica2Turnos(B2333,C2333), "")</f>
        <v>0</v>
      </c>
      <c r="E2333" s="697" t="str">
        <f t="shared" si="36"/>
        <v/>
      </c>
      <c r="F2333" s="266"/>
      <c r="G2333" s="698"/>
      <c r="H2333" s="266"/>
      <c r="I2333" s="268"/>
      <c r="J2333" s="268"/>
      <c r="K2333" s="268"/>
      <c r="L2333" s="269"/>
      <c r="M2333" s="510" t="str">
        <f>IFERROR(INDEX([1]Produtos!$C:$C,MATCH(L2333,[1]Produtos!$B:$B,0)), "-")</f>
        <v>-</v>
      </c>
      <c r="N2333" s="510" t="str">
        <f>IFERROR(INDEX([1]Produtos!$E:$E,MATCH(L2333,[1]Produtos!$B:$B,0)), "-")</f>
        <v>-</v>
      </c>
      <c r="O2333" s="270" t="str">
        <f>IFERROR(INDEX([1]Produtos!$F:$F,MATCH(L2333,[1]Produtos!$B:$B,0)), "-")</f>
        <v>-</v>
      </c>
      <c r="P2333" s="264" t="str">
        <f>IFERROR(INDEX([1]Produtos!$G:$G,MATCH(L2333,[1]Produtos!$B:$B,0)), "-")</f>
        <v>-</v>
      </c>
      <c r="Q2333" s="270" t="str">
        <f>IFERROR(INDEX([1]Produtos!$H:$H,MATCH(L2333,[1]Produtos!$B:$B,0)), "-")</f>
        <v>-</v>
      </c>
      <c r="R2333" s="270" t="str">
        <f>IFERROR(INDEX([1]Produtos!$I:$I,MATCH(L2333,[1]Produtos!$B:$B,0)), "-")</f>
        <v>-</v>
      </c>
      <c r="S2333" s="270" t="str">
        <f>IFERROR(INDEX([1]Produtos!$J:$J,MATCH(L2333,[1]Produtos!$B:$B,0)), "-")</f>
        <v>-</v>
      </c>
      <c r="T2333" s="475"/>
      <c r="U2333" s="270"/>
      <c r="V2333" s="270"/>
      <c r="W2333" s="270"/>
      <c r="X2333" s="270"/>
      <c r="Y2333" s="270"/>
      <c r="Z2333" s="270"/>
      <c r="AA2333" s="270"/>
      <c r="AB2333" s="270"/>
      <c r="AC2333" s="270"/>
      <c r="AD2333" s="270"/>
      <c r="AE2333" s="270"/>
      <c r="AF2333" s="270"/>
      <c r="AG2333" s="270"/>
      <c r="AH2333" s="270"/>
      <c r="AI2333" s="270"/>
      <c r="AJ2333" s="270"/>
      <c r="AK2333" s="270"/>
      <c r="AL2333" s="270"/>
      <c r="AM2333" s="663"/>
      <c r="AN2333" s="663"/>
      <c r="AO2333" s="708" t="str">
        <f>IF(OR(Table1[[#This Row],[Início Setup Envase]]="",Table1[[#This Row],[Final Setup Envase]]=""),"",Table1[[#This Row],[Final Setup Envase]]-Table1[[#This Row],[Início Setup Envase]])</f>
        <v/>
      </c>
      <c r="AP2333" s="663"/>
      <c r="AQ2333" s="663"/>
      <c r="AR2333" s="270"/>
      <c r="AS2333" s="674"/>
      <c r="AT2333" s="674"/>
      <c r="AU2333" s="270"/>
      <c r="AV2333" s="270"/>
      <c r="AW2333" s="270"/>
      <c r="AX2333" s="270"/>
      <c r="AY2333" s="270"/>
      <c r="AZ2333" s="270"/>
      <c r="BA2333" s="270" t="str">
        <f>IF(Table1[[#This Row],[Data de Início]]="","",YEAR(Table1[[#This Row],[Data de Início]]))</f>
        <v/>
      </c>
      <c r="BB2333" s="270" t="str">
        <f>IF(Table1[[#This Row],[Data de Início]]="","",MONTH(Table1[[#This Row],[Data de Início]]))</f>
        <v/>
      </c>
      <c r="BC2333" s="483"/>
    </row>
    <row r="2334" spans="2:55" x14ac:dyDescent="0.25">
      <c r="B2334" s="470"/>
      <c r="C2334" s="263"/>
      <c r="D2334" s="477" cm="1">
        <f t="array" ref="D2334">IFERROR(HorasUteisFabrica2Turnos(B2334,C2334), "")</f>
        <v>0</v>
      </c>
      <c r="E2334" s="478" t="str">
        <f t="shared" si="36"/>
        <v/>
      </c>
      <c r="F2334" s="266"/>
      <c r="G2334" s="656"/>
      <c r="H2334" s="479"/>
      <c r="I2334" s="268"/>
      <c r="J2334" s="268"/>
      <c r="K2334" s="268"/>
      <c r="L2334" s="269"/>
      <c r="M2334" s="511" t="str">
        <f>IFERROR(INDEX([1]Produtos!$C:$C,MATCH(L2334,[1]Produtos!$B:$B,0)), "-")</f>
        <v>-</v>
      </c>
      <c r="N2334" s="511" t="str">
        <f>IFERROR(INDEX([1]Produtos!$E:$E,MATCH(L2334,[1]Produtos!$B:$B,0)), "-")</f>
        <v>-</v>
      </c>
      <c r="O2334" s="483" t="str">
        <f>IFERROR(INDEX([1]Produtos!$F:$F,MATCH(L2334,[1]Produtos!$B:$B,0)), "-")</f>
        <v>-</v>
      </c>
      <c r="P2334" s="477" t="str">
        <f>IFERROR(INDEX([1]Produtos!$G:$G,MATCH(L2334,[1]Produtos!$B:$B,0)), "-")</f>
        <v>-</v>
      </c>
      <c r="Q2334" s="483" t="str">
        <f>IFERROR(INDEX([1]Produtos!$H:$H,MATCH(L2334,[1]Produtos!$B:$B,0)), "-")</f>
        <v>-</v>
      </c>
      <c r="R2334" s="483" t="str">
        <f>IFERROR(INDEX([1]Produtos!$I:$I,MATCH(L2334,[1]Produtos!$B:$B,0)), "-")</f>
        <v>-</v>
      </c>
      <c r="S2334" s="483" t="str">
        <f>IFERROR(INDEX([1]Produtos!$J:$J,MATCH(L2334,[1]Produtos!$B:$B,0)), "-")</f>
        <v>-</v>
      </c>
      <c r="T2334" s="484"/>
      <c r="U2334" s="483"/>
      <c r="V2334" s="483"/>
      <c r="W2334" s="483"/>
      <c r="X2334" s="483"/>
      <c r="Y2334" s="483"/>
      <c r="Z2334" s="483"/>
      <c r="AA2334" s="483"/>
      <c r="AB2334" s="483"/>
      <c r="AC2334" s="483"/>
      <c r="AD2334" s="483"/>
      <c r="AE2334" s="483"/>
      <c r="AF2334" s="483"/>
      <c r="AG2334" s="483"/>
      <c r="AH2334" s="483"/>
      <c r="AI2334" s="483"/>
      <c r="AJ2334" s="483"/>
      <c r="AK2334" s="483"/>
      <c r="AL2334" s="483"/>
      <c r="AM2334" s="670"/>
      <c r="AN2334" s="670"/>
      <c r="AO2334" s="711" t="str">
        <f>IF(OR(Table1[[#This Row],[Início Setup Envase]]="",Table1[[#This Row],[Final Setup Envase]]=""),"",Table1[[#This Row],[Final Setup Envase]]-Table1[[#This Row],[Início Setup Envase]])</f>
        <v/>
      </c>
      <c r="AP2334" s="670"/>
      <c r="AQ2334" s="670"/>
      <c r="AR2334" s="483"/>
      <c r="AS2334" s="483"/>
      <c r="AT2334" s="483"/>
      <c r="AU2334" s="483"/>
      <c r="AV2334" s="483"/>
      <c r="AW2334" s="483"/>
      <c r="AX2334" s="483"/>
      <c r="AY2334" s="270"/>
      <c r="AZ2334" s="270"/>
      <c r="BA2334" s="270" t="str">
        <f>IF(Table1[[#This Row],[Data de Início]]="","",YEAR(Table1[[#This Row],[Data de Início]]))</f>
        <v/>
      </c>
      <c r="BB2334" s="270" t="str">
        <f>IF(Table1[[#This Row],[Data de Início]]="","",MONTH(Table1[[#This Row],[Data de Início]]))</f>
        <v/>
      </c>
      <c r="BC2334" s="270"/>
    </row>
    <row r="2335" spans="2:55" x14ac:dyDescent="0.25">
      <c r="B2335" s="470"/>
      <c r="C2335" s="263"/>
      <c r="D2335" s="477" cm="1">
        <f t="array" ref="D2335">IFERROR(HorasUteisFabrica2Turnos(B2335,C2335), "")</f>
        <v>0</v>
      </c>
      <c r="E2335" s="697" t="str">
        <f t="shared" si="36"/>
        <v/>
      </c>
      <c r="F2335" s="266"/>
      <c r="G2335" s="698"/>
      <c r="H2335" s="266"/>
      <c r="I2335" s="268"/>
      <c r="J2335" s="268"/>
      <c r="K2335" s="268"/>
      <c r="L2335" s="269"/>
      <c r="M2335" s="510" t="str">
        <f>IFERROR(INDEX([1]Produtos!$C:$C,MATCH(L2335,[1]Produtos!$B:$B,0)), "-")</f>
        <v>-</v>
      </c>
      <c r="N2335" s="510" t="str">
        <f>IFERROR(INDEX([1]Produtos!$E:$E,MATCH(L2335,[1]Produtos!$B:$B,0)), "-")</f>
        <v>-</v>
      </c>
      <c r="O2335" s="270" t="str">
        <f>IFERROR(INDEX([1]Produtos!$F:$F,MATCH(L2335,[1]Produtos!$B:$B,0)), "-")</f>
        <v>-</v>
      </c>
      <c r="P2335" s="264" t="str">
        <f>IFERROR(INDEX([1]Produtos!$G:$G,MATCH(L2335,[1]Produtos!$B:$B,0)), "-")</f>
        <v>-</v>
      </c>
      <c r="Q2335" s="270" t="str">
        <f>IFERROR(INDEX([1]Produtos!$H:$H,MATCH(L2335,[1]Produtos!$B:$B,0)), "-")</f>
        <v>-</v>
      </c>
      <c r="R2335" s="270" t="str">
        <f>IFERROR(INDEX([1]Produtos!$I:$I,MATCH(L2335,[1]Produtos!$B:$B,0)), "-")</f>
        <v>-</v>
      </c>
      <c r="S2335" s="270" t="str">
        <f>IFERROR(INDEX([1]Produtos!$J:$J,MATCH(L2335,[1]Produtos!$B:$B,0)), "-")</f>
        <v>-</v>
      </c>
      <c r="T2335" s="475"/>
      <c r="U2335" s="270"/>
      <c r="V2335" s="270"/>
      <c r="W2335" s="270"/>
      <c r="X2335" s="270"/>
      <c r="Y2335" s="270"/>
      <c r="Z2335" s="270"/>
      <c r="AA2335" s="270"/>
      <c r="AB2335" s="270"/>
      <c r="AC2335" s="270"/>
      <c r="AD2335" s="270"/>
      <c r="AE2335" s="270"/>
      <c r="AF2335" s="270"/>
      <c r="AG2335" s="270"/>
      <c r="AH2335" s="270"/>
      <c r="AI2335" s="270"/>
      <c r="AJ2335" s="270"/>
      <c r="AK2335" s="270"/>
      <c r="AL2335" s="270"/>
      <c r="AM2335" s="663"/>
      <c r="AN2335" s="663"/>
      <c r="AO2335" s="708" t="str">
        <f>IF(OR(Table1[[#This Row],[Início Setup Envase]]="",Table1[[#This Row],[Final Setup Envase]]=""),"",Table1[[#This Row],[Final Setup Envase]]-Table1[[#This Row],[Início Setup Envase]])</f>
        <v/>
      </c>
      <c r="AP2335" s="663"/>
      <c r="AQ2335" s="663"/>
      <c r="AR2335" s="270"/>
      <c r="AS2335" s="674"/>
      <c r="AT2335" s="674"/>
      <c r="AU2335" s="270"/>
      <c r="AV2335" s="270"/>
      <c r="AW2335" s="270"/>
      <c r="AX2335" s="270"/>
      <c r="AY2335" s="270"/>
      <c r="AZ2335" s="270"/>
      <c r="BA2335" s="270" t="str">
        <f>IF(Table1[[#This Row],[Data de Início]]="","",YEAR(Table1[[#This Row],[Data de Início]]))</f>
        <v/>
      </c>
      <c r="BB2335" s="270" t="str">
        <f>IF(Table1[[#This Row],[Data de Início]]="","",MONTH(Table1[[#This Row],[Data de Início]]))</f>
        <v/>
      </c>
      <c r="BC2335" s="483"/>
    </row>
    <row r="2336" spans="2:55" x14ac:dyDescent="0.25">
      <c r="B2336" s="470"/>
      <c r="C2336" s="263"/>
      <c r="D2336" s="477" cm="1">
        <f t="array" ref="D2336">IFERROR(HorasUteisFabrica2Turnos(B2336,C2336), "")</f>
        <v>0</v>
      </c>
      <c r="E2336" s="478" t="str">
        <f t="shared" si="36"/>
        <v/>
      </c>
      <c r="F2336" s="266"/>
      <c r="G2336" s="656"/>
      <c r="H2336" s="479"/>
      <c r="I2336" s="268"/>
      <c r="J2336" s="268"/>
      <c r="K2336" s="268"/>
      <c r="L2336" s="269"/>
      <c r="M2336" s="511" t="str">
        <f>IFERROR(INDEX([1]Produtos!$C:$C,MATCH(L2336,[1]Produtos!$B:$B,0)), "-")</f>
        <v>-</v>
      </c>
      <c r="N2336" s="511" t="str">
        <f>IFERROR(INDEX([1]Produtos!$E:$E,MATCH(L2336,[1]Produtos!$B:$B,0)), "-")</f>
        <v>-</v>
      </c>
      <c r="O2336" s="483" t="str">
        <f>IFERROR(INDEX([1]Produtos!$F:$F,MATCH(L2336,[1]Produtos!$B:$B,0)), "-")</f>
        <v>-</v>
      </c>
      <c r="P2336" s="477" t="str">
        <f>IFERROR(INDEX([1]Produtos!$G:$G,MATCH(L2336,[1]Produtos!$B:$B,0)), "-")</f>
        <v>-</v>
      </c>
      <c r="Q2336" s="483" t="str">
        <f>IFERROR(INDEX([1]Produtos!$H:$H,MATCH(L2336,[1]Produtos!$B:$B,0)), "-")</f>
        <v>-</v>
      </c>
      <c r="R2336" s="483" t="str">
        <f>IFERROR(INDEX([1]Produtos!$I:$I,MATCH(L2336,[1]Produtos!$B:$B,0)), "-")</f>
        <v>-</v>
      </c>
      <c r="S2336" s="483" t="str">
        <f>IFERROR(INDEX([1]Produtos!$J:$J,MATCH(L2336,[1]Produtos!$B:$B,0)), "-")</f>
        <v>-</v>
      </c>
      <c r="T2336" s="484"/>
      <c r="U2336" s="483"/>
      <c r="V2336" s="483"/>
      <c r="W2336" s="483"/>
      <c r="X2336" s="483"/>
      <c r="Y2336" s="483"/>
      <c r="Z2336" s="483"/>
      <c r="AA2336" s="483"/>
      <c r="AB2336" s="483"/>
      <c r="AC2336" s="483"/>
      <c r="AD2336" s="483"/>
      <c r="AE2336" s="483"/>
      <c r="AF2336" s="483"/>
      <c r="AG2336" s="483"/>
      <c r="AH2336" s="483"/>
      <c r="AI2336" s="483"/>
      <c r="AJ2336" s="483"/>
      <c r="AK2336" s="483"/>
      <c r="AL2336" s="483"/>
      <c r="AM2336" s="670"/>
      <c r="AN2336" s="670"/>
      <c r="AO2336" s="711" t="str">
        <f>IF(OR(Table1[[#This Row],[Início Setup Envase]]="",Table1[[#This Row],[Final Setup Envase]]=""),"",Table1[[#This Row],[Final Setup Envase]]-Table1[[#This Row],[Início Setup Envase]])</f>
        <v/>
      </c>
      <c r="AP2336" s="670"/>
      <c r="AQ2336" s="670"/>
      <c r="AR2336" s="483"/>
      <c r="AS2336" s="483"/>
      <c r="AT2336" s="483"/>
      <c r="AU2336" s="483"/>
      <c r="AV2336" s="483"/>
      <c r="AW2336" s="483"/>
      <c r="AX2336" s="483"/>
      <c r="AY2336" s="270"/>
      <c r="AZ2336" s="270"/>
      <c r="BA2336" s="270" t="str">
        <f>IF(Table1[[#This Row],[Data de Início]]="","",YEAR(Table1[[#This Row],[Data de Início]]))</f>
        <v/>
      </c>
      <c r="BB2336" s="270" t="str">
        <f>IF(Table1[[#This Row],[Data de Início]]="","",MONTH(Table1[[#This Row],[Data de Início]]))</f>
        <v/>
      </c>
      <c r="BC2336" s="270"/>
    </row>
    <row r="2337" spans="2:55" x14ac:dyDescent="0.25">
      <c r="B2337" s="470"/>
      <c r="C2337" s="263"/>
      <c r="D2337" s="477" cm="1">
        <f t="array" ref="D2337">IFERROR(HorasUteisFabrica2Turnos(B2337,C2337), "")</f>
        <v>0</v>
      </c>
      <c r="E2337" s="697" t="str">
        <f t="shared" si="36"/>
        <v/>
      </c>
      <c r="F2337" s="266"/>
      <c r="G2337" s="698"/>
      <c r="H2337" s="266"/>
      <c r="I2337" s="268"/>
      <c r="J2337" s="268"/>
      <c r="K2337" s="268"/>
      <c r="L2337" s="269"/>
      <c r="M2337" s="510" t="str">
        <f>IFERROR(INDEX([1]Produtos!$C:$C,MATCH(L2337,[1]Produtos!$B:$B,0)), "-")</f>
        <v>-</v>
      </c>
      <c r="N2337" s="510" t="str">
        <f>IFERROR(INDEX([1]Produtos!$E:$E,MATCH(L2337,[1]Produtos!$B:$B,0)), "-")</f>
        <v>-</v>
      </c>
      <c r="O2337" s="270" t="str">
        <f>IFERROR(INDEX([1]Produtos!$F:$F,MATCH(L2337,[1]Produtos!$B:$B,0)), "-")</f>
        <v>-</v>
      </c>
      <c r="P2337" s="264" t="str">
        <f>IFERROR(INDEX([1]Produtos!$G:$G,MATCH(L2337,[1]Produtos!$B:$B,0)), "-")</f>
        <v>-</v>
      </c>
      <c r="Q2337" s="270" t="str">
        <f>IFERROR(INDEX([1]Produtos!$H:$H,MATCH(L2337,[1]Produtos!$B:$B,0)), "-")</f>
        <v>-</v>
      </c>
      <c r="R2337" s="270" t="str">
        <f>IFERROR(INDEX([1]Produtos!$I:$I,MATCH(L2337,[1]Produtos!$B:$B,0)), "-")</f>
        <v>-</v>
      </c>
      <c r="S2337" s="270" t="str">
        <f>IFERROR(INDEX([1]Produtos!$J:$J,MATCH(L2337,[1]Produtos!$B:$B,0)), "-")</f>
        <v>-</v>
      </c>
      <c r="T2337" s="475"/>
      <c r="U2337" s="270"/>
      <c r="V2337" s="270"/>
      <c r="W2337" s="270"/>
      <c r="X2337" s="270"/>
      <c r="Y2337" s="270"/>
      <c r="Z2337" s="270"/>
      <c r="AA2337" s="270"/>
      <c r="AB2337" s="270"/>
      <c r="AC2337" s="270"/>
      <c r="AD2337" s="270"/>
      <c r="AE2337" s="270"/>
      <c r="AF2337" s="270"/>
      <c r="AG2337" s="270"/>
      <c r="AH2337" s="270"/>
      <c r="AI2337" s="270"/>
      <c r="AJ2337" s="270"/>
      <c r="AK2337" s="270"/>
      <c r="AL2337" s="270"/>
      <c r="AM2337" s="663"/>
      <c r="AN2337" s="663"/>
      <c r="AO2337" s="708" t="str">
        <f>IF(OR(Table1[[#This Row],[Início Setup Envase]]="",Table1[[#This Row],[Final Setup Envase]]=""),"",Table1[[#This Row],[Final Setup Envase]]-Table1[[#This Row],[Início Setup Envase]])</f>
        <v/>
      </c>
      <c r="AP2337" s="663"/>
      <c r="AQ2337" s="663"/>
      <c r="AR2337" s="270"/>
      <c r="AS2337" s="674"/>
      <c r="AT2337" s="674"/>
      <c r="AU2337" s="270"/>
      <c r="AV2337" s="270"/>
      <c r="AW2337" s="270"/>
      <c r="AX2337" s="270"/>
      <c r="AY2337" s="270"/>
      <c r="AZ2337" s="270"/>
      <c r="BA2337" s="270" t="str">
        <f>IF(Table1[[#This Row],[Data de Início]]="","",YEAR(Table1[[#This Row],[Data de Início]]))</f>
        <v/>
      </c>
      <c r="BB2337" s="270" t="str">
        <f>IF(Table1[[#This Row],[Data de Início]]="","",MONTH(Table1[[#This Row],[Data de Início]]))</f>
        <v/>
      </c>
      <c r="BC2337" s="483"/>
    </row>
    <row r="2338" spans="2:55" x14ac:dyDescent="0.25">
      <c r="B2338" s="470"/>
      <c r="C2338" s="263"/>
      <c r="D2338" s="477" cm="1">
        <f t="array" ref="D2338">IFERROR(HorasUteisFabrica2Turnos(B2338,C2338), "")</f>
        <v>0</v>
      </c>
      <c r="E2338" s="478" t="str">
        <f t="shared" si="36"/>
        <v/>
      </c>
      <c r="F2338" s="266"/>
      <c r="G2338" s="656"/>
      <c r="H2338" s="479"/>
      <c r="I2338" s="268"/>
      <c r="J2338" s="268"/>
      <c r="K2338" s="268"/>
      <c r="L2338" s="269"/>
      <c r="M2338" s="511" t="str">
        <f>IFERROR(INDEX([1]Produtos!$C:$C,MATCH(L2338,[1]Produtos!$B:$B,0)), "-")</f>
        <v>-</v>
      </c>
      <c r="N2338" s="511" t="str">
        <f>IFERROR(INDEX([1]Produtos!$E:$E,MATCH(L2338,[1]Produtos!$B:$B,0)), "-")</f>
        <v>-</v>
      </c>
      <c r="O2338" s="483" t="str">
        <f>IFERROR(INDEX([1]Produtos!$F:$F,MATCH(L2338,[1]Produtos!$B:$B,0)), "-")</f>
        <v>-</v>
      </c>
      <c r="P2338" s="477" t="str">
        <f>IFERROR(INDEX([1]Produtos!$G:$G,MATCH(L2338,[1]Produtos!$B:$B,0)), "-")</f>
        <v>-</v>
      </c>
      <c r="Q2338" s="483" t="str">
        <f>IFERROR(INDEX([1]Produtos!$H:$H,MATCH(L2338,[1]Produtos!$B:$B,0)), "-")</f>
        <v>-</v>
      </c>
      <c r="R2338" s="483" t="str">
        <f>IFERROR(INDEX([1]Produtos!$I:$I,MATCH(L2338,[1]Produtos!$B:$B,0)), "-")</f>
        <v>-</v>
      </c>
      <c r="S2338" s="483" t="str">
        <f>IFERROR(INDEX([1]Produtos!$J:$J,MATCH(L2338,[1]Produtos!$B:$B,0)), "-")</f>
        <v>-</v>
      </c>
      <c r="T2338" s="484"/>
      <c r="U2338" s="483"/>
      <c r="V2338" s="483"/>
      <c r="W2338" s="483"/>
      <c r="X2338" s="483"/>
      <c r="Y2338" s="483"/>
      <c r="Z2338" s="483"/>
      <c r="AA2338" s="483"/>
      <c r="AB2338" s="483"/>
      <c r="AC2338" s="483"/>
      <c r="AD2338" s="483"/>
      <c r="AE2338" s="483"/>
      <c r="AF2338" s="483"/>
      <c r="AG2338" s="483"/>
      <c r="AH2338" s="483"/>
      <c r="AI2338" s="483"/>
      <c r="AJ2338" s="483"/>
      <c r="AK2338" s="483"/>
      <c r="AL2338" s="483"/>
      <c r="AM2338" s="670"/>
      <c r="AN2338" s="670"/>
      <c r="AO2338" s="711" t="str">
        <f>IF(OR(Table1[[#This Row],[Início Setup Envase]]="",Table1[[#This Row],[Final Setup Envase]]=""),"",Table1[[#This Row],[Final Setup Envase]]-Table1[[#This Row],[Início Setup Envase]])</f>
        <v/>
      </c>
      <c r="AP2338" s="670"/>
      <c r="AQ2338" s="670"/>
      <c r="AR2338" s="483"/>
      <c r="AS2338" s="483"/>
      <c r="AT2338" s="483"/>
      <c r="AU2338" s="483"/>
      <c r="AV2338" s="483"/>
      <c r="AW2338" s="483"/>
      <c r="AX2338" s="483"/>
      <c r="AY2338" s="270"/>
      <c r="AZ2338" s="270"/>
      <c r="BA2338" s="270" t="str">
        <f>IF(Table1[[#This Row],[Data de Início]]="","",YEAR(Table1[[#This Row],[Data de Início]]))</f>
        <v/>
      </c>
      <c r="BB2338" s="270" t="str">
        <f>IF(Table1[[#This Row],[Data de Início]]="","",MONTH(Table1[[#This Row],[Data de Início]]))</f>
        <v/>
      </c>
      <c r="BC2338" s="270"/>
    </row>
    <row r="2339" spans="2:55" x14ac:dyDescent="0.25">
      <c r="B2339" s="470"/>
      <c r="C2339" s="263"/>
      <c r="D2339" s="477" cm="1">
        <f t="array" ref="D2339">IFERROR(HorasUteisFabrica2Turnos(B2339,C2339), "")</f>
        <v>0</v>
      </c>
      <c r="E2339" s="697" t="str">
        <f t="shared" si="36"/>
        <v/>
      </c>
      <c r="F2339" s="266"/>
      <c r="G2339" s="698"/>
      <c r="H2339" s="266"/>
      <c r="I2339" s="268"/>
      <c r="J2339" s="268"/>
      <c r="K2339" s="268"/>
      <c r="L2339" s="269"/>
      <c r="M2339" s="510" t="str">
        <f>IFERROR(INDEX([1]Produtos!$C:$C,MATCH(L2339,[1]Produtos!$B:$B,0)), "-")</f>
        <v>-</v>
      </c>
      <c r="N2339" s="510" t="str">
        <f>IFERROR(INDEX([1]Produtos!$E:$E,MATCH(L2339,[1]Produtos!$B:$B,0)), "-")</f>
        <v>-</v>
      </c>
      <c r="O2339" s="270" t="str">
        <f>IFERROR(INDEX([1]Produtos!$F:$F,MATCH(L2339,[1]Produtos!$B:$B,0)), "-")</f>
        <v>-</v>
      </c>
      <c r="P2339" s="264" t="str">
        <f>IFERROR(INDEX([1]Produtos!$G:$G,MATCH(L2339,[1]Produtos!$B:$B,0)), "-")</f>
        <v>-</v>
      </c>
      <c r="Q2339" s="270" t="str">
        <f>IFERROR(INDEX([1]Produtos!$H:$H,MATCH(L2339,[1]Produtos!$B:$B,0)), "-")</f>
        <v>-</v>
      </c>
      <c r="R2339" s="270" t="str">
        <f>IFERROR(INDEX([1]Produtos!$I:$I,MATCH(L2339,[1]Produtos!$B:$B,0)), "-")</f>
        <v>-</v>
      </c>
      <c r="S2339" s="270" t="str">
        <f>IFERROR(INDEX([1]Produtos!$J:$J,MATCH(L2339,[1]Produtos!$B:$B,0)), "-")</f>
        <v>-</v>
      </c>
      <c r="T2339" s="475"/>
      <c r="U2339" s="270"/>
      <c r="V2339" s="270"/>
      <c r="W2339" s="270"/>
      <c r="X2339" s="270"/>
      <c r="Y2339" s="270"/>
      <c r="Z2339" s="270"/>
      <c r="AA2339" s="270"/>
      <c r="AB2339" s="270"/>
      <c r="AC2339" s="270"/>
      <c r="AD2339" s="270"/>
      <c r="AE2339" s="270"/>
      <c r="AF2339" s="270"/>
      <c r="AG2339" s="270"/>
      <c r="AH2339" s="270"/>
      <c r="AI2339" s="270"/>
      <c r="AJ2339" s="270"/>
      <c r="AK2339" s="270"/>
      <c r="AL2339" s="270"/>
      <c r="AM2339" s="663"/>
      <c r="AN2339" s="663"/>
      <c r="AO2339" s="708" t="str">
        <f>IF(OR(Table1[[#This Row],[Início Setup Envase]]="",Table1[[#This Row],[Final Setup Envase]]=""),"",Table1[[#This Row],[Final Setup Envase]]-Table1[[#This Row],[Início Setup Envase]])</f>
        <v/>
      </c>
      <c r="AP2339" s="663"/>
      <c r="AQ2339" s="663"/>
      <c r="AR2339" s="270"/>
      <c r="AS2339" s="674"/>
      <c r="AT2339" s="674"/>
      <c r="AU2339" s="270"/>
      <c r="AV2339" s="270"/>
      <c r="AW2339" s="270"/>
      <c r="AX2339" s="270"/>
      <c r="AY2339" s="270"/>
      <c r="AZ2339" s="270"/>
      <c r="BA2339" s="270" t="str">
        <f>IF(Table1[[#This Row],[Data de Início]]="","",YEAR(Table1[[#This Row],[Data de Início]]))</f>
        <v/>
      </c>
      <c r="BB2339" s="270" t="str">
        <f>IF(Table1[[#This Row],[Data de Início]]="","",MONTH(Table1[[#This Row],[Data de Início]]))</f>
        <v/>
      </c>
      <c r="BC2339" s="483"/>
    </row>
    <row r="2340" spans="2:55" x14ac:dyDescent="0.25">
      <c r="B2340" s="470"/>
      <c r="C2340" s="263"/>
      <c r="D2340" s="477" cm="1">
        <f t="array" ref="D2340">IFERROR(HorasUteisFabrica2Turnos(B2340,C2340), "")</f>
        <v>0</v>
      </c>
      <c r="E2340" s="478" t="str">
        <f t="shared" si="36"/>
        <v/>
      </c>
      <c r="F2340" s="266"/>
      <c r="G2340" s="656"/>
      <c r="H2340" s="479"/>
      <c r="I2340" s="268"/>
      <c r="J2340" s="268"/>
      <c r="K2340" s="268"/>
      <c r="L2340" s="269"/>
      <c r="M2340" s="511" t="str">
        <f>IFERROR(INDEX([1]Produtos!$C:$C,MATCH(L2340,[1]Produtos!$B:$B,0)), "-")</f>
        <v>-</v>
      </c>
      <c r="N2340" s="511" t="str">
        <f>IFERROR(INDEX([1]Produtos!$E:$E,MATCH(L2340,[1]Produtos!$B:$B,0)), "-")</f>
        <v>-</v>
      </c>
      <c r="O2340" s="483" t="str">
        <f>IFERROR(INDEX([1]Produtos!$F:$F,MATCH(L2340,[1]Produtos!$B:$B,0)), "-")</f>
        <v>-</v>
      </c>
      <c r="P2340" s="477" t="str">
        <f>IFERROR(INDEX([1]Produtos!$G:$G,MATCH(L2340,[1]Produtos!$B:$B,0)), "-")</f>
        <v>-</v>
      </c>
      <c r="Q2340" s="483" t="str">
        <f>IFERROR(INDEX([1]Produtos!$H:$H,MATCH(L2340,[1]Produtos!$B:$B,0)), "-")</f>
        <v>-</v>
      </c>
      <c r="R2340" s="483" t="str">
        <f>IFERROR(INDEX([1]Produtos!$I:$I,MATCH(L2340,[1]Produtos!$B:$B,0)), "-")</f>
        <v>-</v>
      </c>
      <c r="S2340" s="483" t="str">
        <f>IFERROR(INDEX([1]Produtos!$J:$J,MATCH(L2340,[1]Produtos!$B:$B,0)), "-")</f>
        <v>-</v>
      </c>
      <c r="T2340" s="484"/>
      <c r="U2340" s="483"/>
      <c r="V2340" s="483"/>
      <c r="W2340" s="483"/>
      <c r="X2340" s="483"/>
      <c r="Y2340" s="483"/>
      <c r="Z2340" s="483"/>
      <c r="AA2340" s="483"/>
      <c r="AB2340" s="483"/>
      <c r="AC2340" s="483"/>
      <c r="AD2340" s="483"/>
      <c r="AE2340" s="483"/>
      <c r="AF2340" s="483"/>
      <c r="AG2340" s="483"/>
      <c r="AH2340" s="483"/>
      <c r="AI2340" s="483"/>
      <c r="AJ2340" s="483"/>
      <c r="AK2340" s="483"/>
      <c r="AL2340" s="483"/>
      <c r="AM2340" s="670"/>
      <c r="AN2340" s="670"/>
      <c r="AO2340" s="711" t="str">
        <f>IF(OR(Table1[[#This Row],[Início Setup Envase]]="",Table1[[#This Row],[Final Setup Envase]]=""),"",Table1[[#This Row],[Final Setup Envase]]-Table1[[#This Row],[Início Setup Envase]])</f>
        <v/>
      </c>
      <c r="AP2340" s="670"/>
      <c r="AQ2340" s="670"/>
      <c r="AR2340" s="483"/>
      <c r="AS2340" s="483"/>
      <c r="AT2340" s="483"/>
      <c r="AU2340" s="483"/>
      <c r="AV2340" s="483"/>
      <c r="AW2340" s="483"/>
      <c r="AX2340" s="483"/>
      <c r="AY2340" s="270"/>
      <c r="AZ2340" s="270"/>
      <c r="BA2340" s="270" t="str">
        <f>IF(Table1[[#This Row],[Data de Início]]="","",YEAR(Table1[[#This Row],[Data de Início]]))</f>
        <v/>
      </c>
      <c r="BB2340" s="270" t="str">
        <f>IF(Table1[[#This Row],[Data de Início]]="","",MONTH(Table1[[#This Row],[Data de Início]]))</f>
        <v/>
      </c>
      <c r="BC2340" s="270"/>
    </row>
    <row r="2341" spans="2:55" x14ac:dyDescent="0.25">
      <c r="B2341" s="470"/>
      <c r="C2341" s="263"/>
      <c r="D2341" s="477" cm="1">
        <f t="array" ref="D2341">IFERROR(HorasUteisFabrica2Turnos(B2341,C2341), "")</f>
        <v>0</v>
      </c>
      <c r="E2341" s="697" t="str">
        <f t="shared" ref="E2341:E2404" si="37">IFERROR(K2341/D2341, "")</f>
        <v/>
      </c>
      <c r="F2341" s="266"/>
      <c r="G2341" s="698"/>
      <c r="H2341" s="266"/>
      <c r="I2341" s="268"/>
      <c r="J2341" s="268"/>
      <c r="K2341" s="268"/>
      <c r="L2341" s="269"/>
      <c r="M2341" s="510" t="str">
        <f>IFERROR(INDEX([1]Produtos!$C:$C,MATCH(L2341,[1]Produtos!$B:$B,0)), "-")</f>
        <v>-</v>
      </c>
      <c r="N2341" s="510" t="str">
        <f>IFERROR(INDEX([1]Produtos!$E:$E,MATCH(L2341,[1]Produtos!$B:$B,0)), "-")</f>
        <v>-</v>
      </c>
      <c r="O2341" s="270" t="str">
        <f>IFERROR(INDEX([1]Produtos!$F:$F,MATCH(L2341,[1]Produtos!$B:$B,0)), "-")</f>
        <v>-</v>
      </c>
      <c r="P2341" s="264" t="str">
        <f>IFERROR(INDEX([1]Produtos!$G:$G,MATCH(L2341,[1]Produtos!$B:$B,0)), "-")</f>
        <v>-</v>
      </c>
      <c r="Q2341" s="270" t="str">
        <f>IFERROR(INDEX([1]Produtos!$H:$H,MATCH(L2341,[1]Produtos!$B:$B,0)), "-")</f>
        <v>-</v>
      </c>
      <c r="R2341" s="270" t="str">
        <f>IFERROR(INDEX([1]Produtos!$I:$I,MATCH(L2341,[1]Produtos!$B:$B,0)), "-")</f>
        <v>-</v>
      </c>
      <c r="S2341" s="270" t="str">
        <f>IFERROR(INDEX([1]Produtos!$J:$J,MATCH(L2341,[1]Produtos!$B:$B,0)), "-")</f>
        <v>-</v>
      </c>
      <c r="T2341" s="475"/>
      <c r="U2341" s="270"/>
      <c r="V2341" s="270"/>
      <c r="W2341" s="270"/>
      <c r="X2341" s="270"/>
      <c r="Y2341" s="270"/>
      <c r="Z2341" s="270"/>
      <c r="AA2341" s="270"/>
      <c r="AB2341" s="270"/>
      <c r="AC2341" s="270"/>
      <c r="AD2341" s="270"/>
      <c r="AE2341" s="270"/>
      <c r="AF2341" s="270"/>
      <c r="AG2341" s="270"/>
      <c r="AH2341" s="270"/>
      <c r="AI2341" s="270"/>
      <c r="AJ2341" s="270"/>
      <c r="AK2341" s="270"/>
      <c r="AL2341" s="270"/>
      <c r="AM2341" s="663"/>
      <c r="AN2341" s="663"/>
      <c r="AO2341" s="708" t="str">
        <f>IF(OR(Table1[[#This Row],[Início Setup Envase]]="",Table1[[#This Row],[Final Setup Envase]]=""),"",Table1[[#This Row],[Final Setup Envase]]-Table1[[#This Row],[Início Setup Envase]])</f>
        <v/>
      </c>
      <c r="AP2341" s="663"/>
      <c r="AQ2341" s="663"/>
      <c r="AR2341" s="270"/>
      <c r="AS2341" s="674"/>
      <c r="AT2341" s="674"/>
      <c r="AU2341" s="270"/>
      <c r="AV2341" s="270"/>
      <c r="AW2341" s="270"/>
      <c r="AX2341" s="270"/>
      <c r="AY2341" s="270"/>
      <c r="AZ2341" s="270"/>
      <c r="BA2341" s="270" t="str">
        <f>IF(Table1[[#This Row],[Data de Início]]="","",YEAR(Table1[[#This Row],[Data de Início]]))</f>
        <v/>
      </c>
      <c r="BB2341" s="270" t="str">
        <f>IF(Table1[[#This Row],[Data de Início]]="","",MONTH(Table1[[#This Row],[Data de Início]]))</f>
        <v/>
      </c>
      <c r="BC2341" s="483"/>
    </row>
    <row r="2342" spans="2:55" x14ac:dyDescent="0.25">
      <c r="B2342" s="470"/>
      <c r="C2342" s="263"/>
      <c r="D2342" s="477" cm="1">
        <f t="array" ref="D2342">IFERROR(HorasUteisFabrica2Turnos(B2342,C2342), "")</f>
        <v>0</v>
      </c>
      <c r="E2342" s="478" t="str">
        <f t="shared" si="37"/>
        <v/>
      </c>
      <c r="F2342" s="266"/>
      <c r="G2342" s="656"/>
      <c r="H2342" s="479"/>
      <c r="I2342" s="268"/>
      <c r="J2342" s="268"/>
      <c r="K2342" s="268"/>
      <c r="L2342" s="269"/>
      <c r="M2342" s="511" t="str">
        <f>IFERROR(INDEX([1]Produtos!$C:$C,MATCH(L2342,[1]Produtos!$B:$B,0)), "-")</f>
        <v>-</v>
      </c>
      <c r="N2342" s="511" t="str">
        <f>IFERROR(INDEX([1]Produtos!$E:$E,MATCH(L2342,[1]Produtos!$B:$B,0)), "-")</f>
        <v>-</v>
      </c>
      <c r="O2342" s="483" t="str">
        <f>IFERROR(INDEX([1]Produtos!$F:$F,MATCH(L2342,[1]Produtos!$B:$B,0)), "-")</f>
        <v>-</v>
      </c>
      <c r="P2342" s="477" t="str">
        <f>IFERROR(INDEX([1]Produtos!$G:$G,MATCH(L2342,[1]Produtos!$B:$B,0)), "-")</f>
        <v>-</v>
      </c>
      <c r="Q2342" s="483" t="str">
        <f>IFERROR(INDEX([1]Produtos!$H:$H,MATCH(L2342,[1]Produtos!$B:$B,0)), "-")</f>
        <v>-</v>
      </c>
      <c r="R2342" s="483" t="str">
        <f>IFERROR(INDEX([1]Produtos!$I:$I,MATCH(L2342,[1]Produtos!$B:$B,0)), "-")</f>
        <v>-</v>
      </c>
      <c r="S2342" s="483" t="str">
        <f>IFERROR(INDEX([1]Produtos!$J:$J,MATCH(L2342,[1]Produtos!$B:$B,0)), "-")</f>
        <v>-</v>
      </c>
      <c r="T2342" s="484"/>
      <c r="U2342" s="483"/>
      <c r="V2342" s="483"/>
      <c r="W2342" s="483"/>
      <c r="X2342" s="483"/>
      <c r="Y2342" s="483"/>
      <c r="Z2342" s="483"/>
      <c r="AA2342" s="483"/>
      <c r="AB2342" s="483"/>
      <c r="AC2342" s="483"/>
      <c r="AD2342" s="483"/>
      <c r="AE2342" s="483"/>
      <c r="AF2342" s="483"/>
      <c r="AG2342" s="483"/>
      <c r="AH2342" s="483"/>
      <c r="AI2342" s="483"/>
      <c r="AJ2342" s="483"/>
      <c r="AK2342" s="483"/>
      <c r="AL2342" s="483"/>
      <c r="AM2342" s="670"/>
      <c r="AN2342" s="670"/>
      <c r="AO2342" s="711" t="str">
        <f>IF(OR(Table1[[#This Row],[Início Setup Envase]]="",Table1[[#This Row],[Final Setup Envase]]=""),"",Table1[[#This Row],[Final Setup Envase]]-Table1[[#This Row],[Início Setup Envase]])</f>
        <v/>
      </c>
      <c r="AP2342" s="670"/>
      <c r="AQ2342" s="670"/>
      <c r="AR2342" s="483"/>
      <c r="AS2342" s="483"/>
      <c r="AT2342" s="483"/>
      <c r="AU2342" s="483"/>
      <c r="AV2342" s="483"/>
      <c r="AW2342" s="483"/>
      <c r="AX2342" s="483"/>
      <c r="AY2342" s="270"/>
      <c r="AZ2342" s="270"/>
      <c r="BA2342" s="270" t="str">
        <f>IF(Table1[[#This Row],[Data de Início]]="","",YEAR(Table1[[#This Row],[Data de Início]]))</f>
        <v/>
      </c>
      <c r="BB2342" s="270" t="str">
        <f>IF(Table1[[#This Row],[Data de Início]]="","",MONTH(Table1[[#This Row],[Data de Início]]))</f>
        <v/>
      </c>
      <c r="BC2342" s="270"/>
    </row>
    <row r="2343" spans="2:55" x14ac:dyDescent="0.25">
      <c r="B2343" s="470"/>
      <c r="C2343" s="263"/>
      <c r="D2343" s="477" cm="1">
        <f t="array" ref="D2343">IFERROR(HorasUteisFabrica2Turnos(B2343,C2343), "")</f>
        <v>0</v>
      </c>
      <c r="E2343" s="697" t="str">
        <f t="shared" si="37"/>
        <v/>
      </c>
      <c r="F2343" s="266"/>
      <c r="G2343" s="698"/>
      <c r="H2343" s="266"/>
      <c r="I2343" s="268"/>
      <c r="J2343" s="268"/>
      <c r="K2343" s="268"/>
      <c r="L2343" s="269"/>
      <c r="M2343" s="510" t="str">
        <f>IFERROR(INDEX([1]Produtos!$C:$C,MATCH(L2343,[1]Produtos!$B:$B,0)), "-")</f>
        <v>-</v>
      </c>
      <c r="N2343" s="510" t="str">
        <f>IFERROR(INDEX([1]Produtos!$E:$E,MATCH(L2343,[1]Produtos!$B:$B,0)), "-")</f>
        <v>-</v>
      </c>
      <c r="O2343" s="270" t="str">
        <f>IFERROR(INDEX([1]Produtos!$F:$F,MATCH(L2343,[1]Produtos!$B:$B,0)), "-")</f>
        <v>-</v>
      </c>
      <c r="P2343" s="264" t="str">
        <f>IFERROR(INDEX([1]Produtos!$G:$G,MATCH(L2343,[1]Produtos!$B:$B,0)), "-")</f>
        <v>-</v>
      </c>
      <c r="Q2343" s="270" t="str">
        <f>IFERROR(INDEX([1]Produtos!$H:$H,MATCH(L2343,[1]Produtos!$B:$B,0)), "-")</f>
        <v>-</v>
      </c>
      <c r="R2343" s="270" t="str">
        <f>IFERROR(INDEX([1]Produtos!$I:$I,MATCH(L2343,[1]Produtos!$B:$B,0)), "-")</f>
        <v>-</v>
      </c>
      <c r="S2343" s="270" t="str">
        <f>IFERROR(INDEX([1]Produtos!$J:$J,MATCH(L2343,[1]Produtos!$B:$B,0)), "-")</f>
        <v>-</v>
      </c>
      <c r="T2343" s="475"/>
      <c r="U2343" s="270"/>
      <c r="V2343" s="270"/>
      <c r="W2343" s="270"/>
      <c r="X2343" s="270"/>
      <c r="Y2343" s="270"/>
      <c r="Z2343" s="270"/>
      <c r="AA2343" s="270"/>
      <c r="AB2343" s="270"/>
      <c r="AC2343" s="270"/>
      <c r="AD2343" s="270"/>
      <c r="AE2343" s="270"/>
      <c r="AF2343" s="270"/>
      <c r="AG2343" s="270"/>
      <c r="AH2343" s="270"/>
      <c r="AI2343" s="270"/>
      <c r="AJ2343" s="270"/>
      <c r="AK2343" s="270"/>
      <c r="AL2343" s="270"/>
      <c r="AM2343" s="663"/>
      <c r="AN2343" s="663"/>
      <c r="AO2343" s="708" t="str">
        <f>IF(OR(Table1[[#This Row],[Início Setup Envase]]="",Table1[[#This Row],[Final Setup Envase]]=""),"",Table1[[#This Row],[Final Setup Envase]]-Table1[[#This Row],[Início Setup Envase]])</f>
        <v/>
      </c>
      <c r="AP2343" s="663"/>
      <c r="AQ2343" s="663"/>
      <c r="AR2343" s="270"/>
      <c r="AS2343" s="674"/>
      <c r="AT2343" s="674"/>
      <c r="AU2343" s="270"/>
      <c r="AV2343" s="270"/>
      <c r="AW2343" s="270"/>
      <c r="AX2343" s="270"/>
      <c r="AY2343" s="270"/>
      <c r="AZ2343" s="270"/>
      <c r="BA2343" s="270" t="str">
        <f>IF(Table1[[#This Row],[Data de Início]]="","",YEAR(Table1[[#This Row],[Data de Início]]))</f>
        <v/>
      </c>
      <c r="BB2343" s="270" t="str">
        <f>IF(Table1[[#This Row],[Data de Início]]="","",MONTH(Table1[[#This Row],[Data de Início]]))</f>
        <v/>
      </c>
      <c r="BC2343" s="483"/>
    </row>
    <row r="2344" spans="2:55" x14ac:dyDescent="0.25">
      <c r="B2344" s="470"/>
      <c r="C2344" s="263"/>
      <c r="D2344" s="477" cm="1">
        <f t="array" ref="D2344">IFERROR(HorasUteisFabrica2Turnos(B2344,C2344), "")</f>
        <v>0</v>
      </c>
      <c r="E2344" s="478" t="str">
        <f t="shared" si="37"/>
        <v/>
      </c>
      <c r="F2344" s="266"/>
      <c r="G2344" s="656"/>
      <c r="H2344" s="479"/>
      <c r="I2344" s="268"/>
      <c r="J2344" s="268"/>
      <c r="K2344" s="268"/>
      <c r="L2344" s="269"/>
      <c r="M2344" s="511" t="str">
        <f>IFERROR(INDEX([1]Produtos!$C:$C,MATCH(L2344,[1]Produtos!$B:$B,0)), "-")</f>
        <v>-</v>
      </c>
      <c r="N2344" s="511" t="str">
        <f>IFERROR(INDEX([1]Produtos!$E:$E,MATCH(L2344,[1]Produtos!$B:$B,0)), "-")</f>
        <v>-</v>
      </c>
      <c r="O2344" s="483" t="str">
        <f>IFERROR(INDEX([1]Produtos!$F:$F,MATCH(L2344,[1]Produtos!$B:$B,0)), "-")</f>
        <v>-</v>
      </c>
      <c r="P2344" s="477" t="str">
        <f>IFERROR(INDEX([1]Produtos!$G:$G,MATCH(L2344,[1]Produtos!$B:$B,0)), "-")</f>
        <v>-</v>
      </c>
      <c r="Q2344" s="483" t="str">
        <f>IFERROR(INDEX([1]Produtos!$H:$H,MATCH(L2344,[1]Produtos!$B:$B,0)), "-")</f>
        <v>-</v>
      </c>
      <c r="R2344" s="483" t="str">
        <f>IFERROR(INDEX([1]Produtos!$I:$I,MATCH(L2344,[1]Produtos!$B:$B,0)), "-")</f>
        <v>-</v>
      </c>
      <c r="S2344" s="483" t="str">
        <f>IFERROR(INDEX([1]Produtos!$J:$J,MATCH(L2344,[1]Produtos!$B:$B,0)), "-")</f>
        <v>-</v>
      </c>
      <c r="T2344" s="484"/>
      <c r="U2344" s="483"/>
      <c r="V2344" s="483"/>
      <c r="W2344" s="483"/>
      <c r="X2344" s="483"/>
      <c r="Y2344" s="483"/>
      <c r="Z2344" s="483"/>
      <c r="AA2344" s="483"/>
      <c r="AB2344" s="483"/>
      <c r="AC2344" s="483"/>
      <c r="AD2344" s="483"/>
      <c r="AE2344" s="483"/>
      <c r="AF2344" s="483"/>
      <c r="AG2344" s="483"/>
      <c r="AH2344" s="483"/>
      <c r="AI2344" s="483"/>
      <c r="AJ2344" s="483"/>
      <c r="AK2344" s="483"/>
      <c r="AL2344" s="483"/>
      <c r="AM2344" s="670"/>
      <c r="AN2344" s="670"/>
      <c r="AO2344" s="711" t="str">
        <f>IF(OR(Table1[[#This Row],[Início Setup Envase]]="",Table1[[#This Row],[Final Setup Envase]]=""),"",Table1[[#This Row],[Final Setup Envase]]-Table1[[#This Row],[Início Setup Envase]])</f>
        <v/>
      </c>
      <c r="AP2344" s="670"/>
      <c r="AQ2344" s="670"/>
      <c r="AR2344" s="483"/>
      <c r="AS2344" s="483"/>
      <c r="AT2344" s="483"/>
      <c r="AU2344" s="483"/>
      <c r="AV2344" s="483"/>
      <c r="AW2344" s="483"/>
      <c r="AX2344" s="483"/>
      <c r="AY2344" s="270"/>
      <c r="AZ2344" s="270"/>
      <c r="BA2344" s="270" t="str">
        <f>IF(Table1[[#This Row],[Data de Início]]="","",YEAR(Table1[[#This Row],[Data de Início]]))</f>
        <v/>
      </c>
      <c r="BB2344" s="270" t="str">
        <f>IF(Table1[[#This Row],[Data de Início]]="","",MONTH(Table1[[#This Row],[Data de Início]]))</f>
        <v/>
      </c>
      <c r="BC2344" s="270"/>
    </row>
    <row r="2345" spans="2:55" x14ac:dyDescent="0.25">
      <c r="B2345" s="470"/>
      <c r="C2345" s="263"/>
      <c r="D2345" s="477" cm="1">
        <f t="array" ref="D2345">IFERROR(HorasUteisFabrica2Turnos(B2345,C2345), "")</f>
        <v>0</v>
      </c>
      <c r="E2345" s="697" t="str">
        <f t="shared" si="37"/>
        <v/>
      </c>
      <c r="F2345" s="266"/>
      <c r="G2345" s="698"/>
      <c r="H2345" s="266"/>
      <c r="I2345" s="268"/>
      <c r="J2345" s="268"/>
      <c r="K2345" s="268"/>
      <c r="L2345" s="269"/>
      <c r="M2345" s="510" t="str">
        <f>IFERROR(INDEX([1]Produtos!$C:$C,MATCH(L2345,[1]Produtos!$B:$B,0)), "-")</f>
        <v>-</v>
      </c>
      <c r="N2345" s="510" t="str">
        <f>IFERROR(INDEX([1]Produtos!$E:$E,MATCH(L2345,[1]Produtos!$B:$B,0)), "-")</f>
        <v>-</v>
      </c>
      <c r="O2345" s="270" t="str">
        <f>IFERROR(INDEX([1]Produtos!$F:$F,MATCH(L2345,[1]Produtos!$B:$B,0)), "-")</f>
        <v>-</v>
      </c>
      <c r="P2345" s="264" t="str">
        <f>IFERROR(INDEX([1]Produtos!$G:$G,MATCH(L2345,[1]Produtos!$B:$B,0)), "-")</f>
        <v>-</v>
      </c>
      <c r="Q2345" s="270" t="str">
        <f>IFERROR(INDEX([1]Produtos!$H:$H,MATCH(L2345,[1]Produtos!$B:$B,0)), "-")</f>
        <v>-</v>
      </c>
      <c r="R2345" s="270" t="str">
        <f>IFERROR(INDEX([1]Produtos!$I:$I,MATCH(L2345,[1]Produtos!$B:$B,0)), "-")</f>
        <v>-</v>
      </c>
      <c r="S2345" s="270" t="str">
        <f>IFERROR(INDEX([1]Produtos!$J:$J,MATCH(L2345,[1]Produtos!$B:$B,0)), "-")</f>
        <v>-</v>
      </c>
      <c r="T2345" s="475"/>
      <c r="U2345" s="270"/>
      <c r="V2345" s="270"/>
      <c r="W2345" s="270"/>
      <c r="X2345" s="270"/>
      <c r="Y2345" s="270"/>
      <c r="Z2345" s="270"/>
      <c r="AA2345" s="270"/>
      <c r="AB2345" s="270"/>
      <c r="AC2345" s="270"/>
      <c r="AD2345" s="270"/>
      <c r="AE2345" s="270"/>
      <c r="AF2345" s="270"/>
      <c r="AG2345" s="270"/>
      <c r="AH2345" s="270"/>
      <c r="AI2345" s="270"/>
      <c r="AJ2345" s="270"/>
      <c r="AK2345" s="270"/>
      <c r="AL2345" s="270"/>
      <c r="AM2345" s="663"/>
      <c r="AN2345" s="663"/>
      <c r="AO2345" s="708" t="str">
        <f>IF(OR(Table1[[#This Row],[Início Setup Envase]]="",Table1[[#This Row],[Final Setup Envase]]=""),"",Table1[[#This Row],[Final Setup Envase]]-Table1[[#This Row],[Início Setup Envase]])</f>
        <v/>
      </c>
      <c r="AP2345" s="663"/>
      <c r="AQ2345" s="663"/>
      <c r="AR2345" s="270"/>
      <c r="AS2345" s="674"/>
      <c r="AT2345" s="674"/>
      <c r="AU2345" s="270"/>
      <c r="AV2345" s="270"/>
      <c r="AW2345" s="270"/>
      <c r="AX2345" s="270"/>
      <c r="AY2345" s="270"/>
      <c r="AZ2345" s="270"/>
      <c r="BA2345" s="270" t="str">
        <f>IF(Table1[[#This Row],[Data de Início]]="","",YEAR(Table1[[#This Row],[Data de Início]]))</f>
        <v/>
      </c>
      <c r="BB2345" s="270" t="str">
        <f>IF(Table1[[#This Row],[Data de Início]]="","",MONTH(Table1[[#This Row],[Data de Início]]))</f>
        <v/>
      </c>
      <c r="BC2345" s="483"/>
    </row>
    <row r="2346" spans="2:55" x14ac:dyDescent="0.25">
      <c r="B2346" s="470"/>
      <c r="C2346" s="263"/>
      <c r="D2346" s="477" cm="1">
        <f t="array" ref="D2346">IFERROR(HorasUteisFabrica2Turnos(B2346,C2346), "")</f>
        <v>0</v>
      </c>
      <c r="E2346" s="478" t="str">
        <f t="shared" si="37"/>
        <v/>
      </c>
      <c r="F2346" s="266"/>
      <c r="G2346" s="656"/>
      <c r="H2346" s="479"/>
      <c r="I2346" s="268"/>
      <c r="J2346" s="268"/>
      <c r="K2346" s="268"/>
      <c r="L2346" s="269"/>
      <c r="M2346" s="511" t="str">
        <f>IFERROR(INDEX([1]Produtos!$C:$C,MATCH(L2346,[1]Produtos!$B:$B,0)), "-")</f>
        <v>-</v>
      </c>
      <c r="N2346" s="511" t="str">
        <f>IFERROR(INDEX([1]Produtos!$E:$E,MATCH(L2346,[1]Produtos!$B:$B,0)), "-")</f>
        <v>-</v>
      </c>
      <c r="O2346" s="483" t="str">
        <f>IFERROR(INDEX([1]Produtos!$F:$F,MATCH(L2346,[1]Produtos!$B:$B,0)), "-")</f>
        <v>-</v>
      </c>
      <c r="P2346" s="477" t="str">
        <f>IFERROR(INDEX([1]Produtos!$G:$G,MATCH(L2346,[1]Produtos!$B:$B,0)), "-")</f>
        <v>-</v>
      </c>
      <c r="Q2346" s="483" t="str">
        <f>IFERROR(INDEX([1]Produtos!$H:$H,MATCH(L2346,[1]Produtos!$B:$B,0)), "-")</f>
        <v>-</v>
      </c>
      <c r="R2346" s="483" t="str">
        <f>IFERROR(INDEX([1]Produtos!$I:$I,MATCH(L2346,[1]Produtos!$B:$B,0)), "-")</f>
        <v>-</v>
      </c>
      <c r="S2346" s="483" t="str">
        <f>IFERROR(INDEX([1]Produtos!$J:$J,MATCH(L2346,[1]Produtos!$B:$B,0)), "-")</f>
        <v>-</v>
      </c>
      <c r="T2346" s="484"/>
      <c r="U2346" s="483"/>
      <c r="V2346" s="483"/>
      <c r="W2346" s="483"/>
      <c r="X2346" s="483"/>
      <c r="Y2346" s="483"/>
      <c r="Z2346" s="483"/>
      <c r="AA2346" s="483"/>
      <c r="AB2346" s="483"/>
      <c r="AC2346" s="483"/>
      <c r="AD2346" s="483"/>
      <c r="AE2346" s="483"/>
      <c r="AF2346" s="483"/>
      <c r="AG2346" s="483"/>
      <c r="AH2346" s="483"/>
      <c r="AI2346" s="483"/>
      <c r="AJ2346" s="483"/>
      <c r="AK2346" s="483"/>
      <c r="AL2346" s="483"/>
      <c r="AM2346" s="670"/>
      <c r="AN2346" s="670"/>
      <c r="AO2346" s="711" t="str">
        <f>IF(OR(Table1[[#This Row],[Início Setup Envase]]="",Table1[[#This Row],[Final Setup Envase]]=""),"",Table1[[#This Row],[Final Setup Envase]]-Table1[[#This Row],[Início Setup Envase]])</f>
        <v/>
      </c>
      <c r="AP2346" s="670"/>
      <c r="AQ2346" s="670"/>
      <c r="AR2346" s="483"/>
      <c r="AS2346" s="483"/>
      <c r="AT2346" s="483"/>
      <c r="AU2346" s="483"/>
      <c r="AV2346" s="483"/>
      <c r="AW2346" s="483"/>
      <c r="AX2346" s="483"/>
      <c r="AY2346" s="270"/>
      <c r="AZ2346" s="270"/>
      <c r="BA2346" s="270" t="str">
        <f>IF(Table1[[#This Row],[Data de Início]]="","",YEAR(Table1[[#This Row],[Data de Início]]))</f>
        <v/>
      </c>
      <c r="BB2346" s="270" t="str">
        <f>IF(Table1[[#This Row],[Data de Início]]="","",MONTH(Table1[[#This Row],[Data de Início]]))</f>
        <v/>
      </c>
      <c r="BC2346" s="270"/>
    </row>
    <row r="2347" spans="2:55" x14ac:dyDescent="0.25">
      <c r="B2347" s="470"/>
      <c r="C2347" s="263"/>
      <c r="D2347" s="477" cm="1">
        <f t="array" ref="D2347">IFERROR(HorasUteisFabrica2Turnos(B2347,C2347), "")</f>
        <v>0</v>
      </c>
      <c r="E2347" s="697" t="str">
        <f t="shared" si="37"/>
        <v/>
      </c>
      <c r="F2347" s="266"/>
      <c r="G2347" s="698"/>
      <c r="H2347" s="266"/>
      <c r="I2347" s="268"/>
      <c r="J2347" s="268"/>
      <c r="K2347" s="268"/>
      <c r="L2347" s="269"/>
      <c r="M2347" s="510" t="str">
        <f>IFERROR(INDEX([1]Produtos!$C:$C,MATCH(L2347,[1]Produtos!$B:$B,0)), "-")</f>
        <v>-</v>
      </c>
      <c r="N2347" s="510" t="str">
        <f>IFERROR(INDEX([1]Produtos!$E:$E,MATCH(L2347,[1]Produtos!$B:$B,0)), "-")</f>
        <v>-</v>
      </c>
      <c r="O2347" s="270" t="str">
        <f>IFERROR(INDEX([1]Produtos!$F:$F,MATCH(L2347,[1]Produtos!$B:$B,0)), "-")</f>
        <v>-</v>
      </c>
      <c r="P2347" s="264" t="str">
        <f>IFERROR(INDEX([1]Produtos!$G:$G,MATCH(L2347,[1]Produtos!$B:$B,0)), "-")</f>
        <v>-</v>
      </c>
      <c r="Q2347" s="270" t="str">
        <f>IFERROR(INDEX([1]Produtos!$H:$H,MATCH(L2347,[1]Produtos!$B:$B,0)), "-")</f>
        <v>-</v>
      </c>
      <c r="R2347" s="270" t="str">
        <f>IFERROR(INDEX([1]Produtos!$I:$I,MATCH(L2347,[1]Produtos!$B:$B,0)), "-")</f>
        <v>-</v>
      </c>
      <c r="S2347" s="270" t="str">
        <f>IFERROR(INDEX([1]Produtos!$J:$J,MATCH(L2347,[1]Produtos!$B:$B,0)), "-")</f>
        <v>-</v>
      </c>
      <c r="T2347" s="475"/>
      <c r="U2347" s="270"/>
      <c r="V2347" s="270"/>
      <c r="W2347" s="270"/>
      <c r="X2347" s="270"/>
      <c r="Y2347" s="270"/>
      <c r="Z2347" s="270"/>
      <c r="AA2347" s="270"/>
      <c r="AB2347" s="270"/>
      <c r="AC2347" s="270"/>
      <c r="AD2347" s="270"/>
      <c r="AE2347" s="270"/>
      <c r="AF2347" s="270"/>
      <c r="AG2347" s="270"/>
      <c r="AH2347" s="270"/>
      <c r="AI2347" s="270"/>
      <c r="AJ2347" s="270"/>
      <c r="AK2347" s="270"/>
      <c r="AL2347" s="270"/>
      <c r="AM2347" s="663"/>
      <c r="AN2347" s="663"/>
      <c r="AO2347" s="708" t="str">
        <f>IF(OR(Table1[[#This Row],[Início Setup Envase]]="",Table1[[#This Row],[Final Setup Envase]]=""),"",Table1[[#This Row],[Final Setup Envase]]-Table1[[#This Row],[Início Setup Envase]])</f>
        <v/>
      </c>
      <c r="AP2347" s="663"/>
      <c r="AQ2347" s="663"/>
      <c r="AR2347" s="270"/>
      <c r="AS2347" s="674"/>
      <c r="AT2347" s="674"/>
      <c r="AU2347" s="270"/>
      <c r="AV2347" s="270"/>
      <c r="AW2347" s="270"/>
      <c r="AX2347" s="270"/>
      <c r="AY2347" s="270"/>
      <c r="AZ2347" s="270"/>
      <c r="BA2347" s="270" t="str">
        <f>IF(Table1[[#This Row],[Data de Início]]="","",YEAR(Table1[[#This Row],[Data de Início]]))</f>
        <v/>
      </c>
      <c r="BB2347" s="270" t="str">
        <f>IF(Table1[[#This Row],[Data de Início]]="","",MONTH(Table1[[#This Row],[Data de Início]]))</f>
        <v/>
      </c>
      <c r="BC2347" s="483"/>
    </row>
    <row r="2348" spans="2:55" x14ac:dyDescent="0.25">
      <c r="B2348" s="470"/>
      <c r="C2348" s="263"/>
      <c r="D2348" s="477" cm="1">
        <f t="array" ref="D2348">IFERROR(HorasUteisFabrica2Turnos(B2348,C2348), "")</f>
        <v>0</v>
      </c>
      <c r="E2348" s="478" t="str">
        <f t="shared" si="37"/>
        <v/>
      </c>
      <c r="F2348" s="266"/>
      <c r="G2348" s="656"/>
      <c r="H2348" s="479"/>
      <c r="I2348" s="268"/>
      <c r="J2348" s="268"/>
      <c r="K2348" s="268"/>
      <c r="L2348" s="269"/>
      <c r="M2348" s="511" t="str">
        <f>IFERROR(INDEX([1]Produtos!$C:$C,MATCH(L2348,[1]Produtos!$B:$B,0)), "-")</f>
        <v>-</v>
      </c>
      <c r="N2348" s="511" t="str">
        <f>IFERROR(INDEX([1]Produtos!$E:$E,MATCH(L2348,[1]Produtos!$B:$B,0)), "-")</f>
        <v>-</v>
      </c>
      <c r="O2348" s="483" t="str">
        <f>IFERROR(INDEX([1]Produtos!$F:$F,MATCH(L2348,[1]Produtos!$B:$B,0)), "-")</f>
        <v>-</v>
      </c>
      <c r="P2348" s="477" t="str">
        <f>IFERROR(INDEX([1]Produtos!$G:$G,MATCH(L2348,[1]Produtos!$B:$B,0)), "-")</f>
        <v>-</v>
      </c>
      <c r="Q2348" s="483" t="str">
        <f>IFERROR(INDEX([1]Produtos!$H:$H,MATCH(L2348,[1]Produtos!$B:$B,0)), "-")</f>
        <v>-</v>
      </c>
      <c r="R2348" s="483" t="str">
        <f>IFERROR(INDEX([1]Produtos!$I:$I,MATCH(L2348,[1]Produtos!$B:$B,0)), "-")</f>
        <v>-</v>
      </c>
      <c r="S2348" s="483" t="str">
        <f>IFERROR(INDEX([1]Produtos!$J:$J,MATCH(L2348,[1]Produtos!$B:$B,0)), "-")</f>
        <v>-</v>
      </c>
      <c r="T2348" s="484"/>
      <c r="U2348" s="483"/>
      <c r="V2348" s="483"/>
      <c r="W2348" s="483"/>
      <c r="X2348" s="483"/>
      <c r="Y2348" s="483"/>
      <c r="Z2348" s="483"/>
      <c r="AA2348" s="483"/>
      <c r="AB2348" s="483"/>
      <c r="AC2348" s="483"/>
      <c r="AD2348" s="483"/>
      <c r="AE2348" s="483"/>
      <c r="AF2348" s="483"/>
      <c r="AG2348" s="483"/>
      <c r="AH2348" s="483"/>
      <c r="AI2348" s="483"/>
      <c r="AJ2348" s="483"/>
      <c r="AK2348" s="483"/>
      <c r="AL2348" s="483"/>
      <c r="AM2348" s="670"/>
      <c r="AN2348" s="670"/>
      <c r="AO2348" s="711" t="str">
        <f>IF(OR(Table1[[#This Row],[Início Setup Envase]]="",Table1[[#This Row],[Final Setup Envase]]=""),"",Table1[[#This Row],[Final Setup Envase]]-Table1[[#This Row],[Início Setup Envase]])</f>
        <v/>
      </c>
      <c r="AP2348" s="670"/>
      <c r="AQ2348" s="670"/>
      <c r="AR2348" s="483"/>
      <c r="AS2348" s="483"/>
      <c r="AT2348" s="483"/>
      <c r="AU2348" s="483"/>
      <c r="AV2348" s="483"/>
      <c r="AW2348" s="483"/>
      <c r="AX2348" s="483"/>
      <c r="AY2348" s="270"/>
      <c r="AZ2348" s="270"/>
      <c r="BA2348" s="270" t="str">
        <f>IF(Table1[[#This Row],[Data de Início]]="","",YEAR(Table1[[#This Row],[Data de Início]]))</f>
        <v/>
      </c>
      <c r="BB2348" s="270" t="str">
        <f>IF(Table1[[#This Row],[Data de Início]]="","",MONTH(Table1[[#This Row],[Data de Início]]))</f>
        <v/>
      </c>
      <c r="BC2348" s="270"/>
    </row>
    <row r="2349" spans="2:55" x14ac:dyDescent="0.25">
      <c r="B2349" s="470"/>
      <c r="C2349" s="263"/>
      <c r="D2349" s="477" cm="1">
        <f t="array" ref="D2349">IFERROR(HorasUteisFabrica2Turnos(B2349,C2349), "")</f>
        <v>0</v>
      </c>
      <c r="E2349" s="697" t="str">
        <f t="shared" si="37"/>
        <v/>
      </c>
      <c r="F2349" s="266"/>
      <c r="G2349" s="698"/>
      <c r="H2349" s="266"/>
      <c r="I2349" s="268"/>
      <c r="J2349" s="268"/>
      <c r="K2349" s="268"/>
      <c r="L2349" s="269"/>
      <c r="M2349" s="510" t="str">
        <f>IFERROR(INDEX([1]Produtos!$C:$C,MATCH(L2349,[1]Produtos!$B:$B,0)), "-")</f>
        <v>-</v>
      </c>
      <c r="N2349" s="510" t="str">
        <f>IFERROR(INDEX([1]Produtos!$E:$E,MATCH(L2349,[1]Produtos!$B:$B,0)), "-")</f>
        <v>-</v>
      </c>
      <c r="O2349" s="270" t="str">
        <f>IFERROR(INDEX([1]Produtos!$F:$F,MATCH(L2349,[1]Produtos!$B:$B,0)), "-")</f>
        <v>-</v>
      </c>
      <c r="P2349" s="264" t="str">
        <f>IFERROR(INDEX([1]Produtos!$G:$G,MATCH(L2349,[1]Produtos!$B:$B,0)), "-")</f>
        <v>-</v>
      </c>
      <c r="Q2349" s="270" t="str">
        <f>IFERROR(INDEX([1]Produtos!$H:$H,MATCH(L2349,[1]Produtos!$B:$B,0)), "-")</f>
        <v>-</v>
      </c>
      <c r="R2349" s="270" t="str">
        <f>IFERROR(INDEX([1]Produtos!$I:$I,MATCH(L2349,[1]Produtos!$B:$B,0)), "-")</f>
        <v>-</v>
      </c>
      <c r="S2349" s="270" t="str">
        <f>IFERROR(INDEX([1]Produtos!$J:$J,MATCH(L2349,[1]Produtos!$B:$B,0)), "-")</f>
        <v>-</v>
      </c>
      <c r="T2349" s="475"/>
      <c r="U2349" s="270"/>
      <c r="V2349" s="270"/>
      <c r="W2349" s="270"/>
      <c r="X2349" s="270"/>
      <c r="Y2349" s="270"/>
      <c r="Z2349" s="270"/>
      <c r="AA2349" s="270"/>
      <c r="AB2349" s="270"/>
      <c r="AC2349" s="270"/>
      <c r="AD2349" s="270"/>
      <c r="AE2349" s="270"/>
      <c r="AF2349" s="270"/>
      <c r="AG2349" s="270"/>
      <c r="AH2349" s="270"/>
      <c r="AI2349" s="270"/>
      <c r="AJ2349" s="270"/>
      <c r="AK2349" s="270"/>
      <c r="AL2349" s="270"/>
      <c r="AM2349" s="663"/>
      <c r="AN2349" s="663"/>
      <c r="AO2349" s="708" t="str">
        <f>IF(OR(Table1[[#This Row],[Início Setup Envase]]="",Table1[[#This Row],[Final Setup Envase]]=""),"",Table1[[#This Row],[Final Setup Envase]]-Table1[[#This Row],[Início Setup Envase]])</f>
        <v/>
      </c>
      <c r="AP2349" s="663"/>
      <c r="AQ2349" s="663"/>
      <c r="AR2349" s="270"/>
      <c r="AS2349" s="674"/>
      <c r="AT2349" s="674"/>
      <c r="AU2349" s="270"/>
      <c r="AV2349" s="270"/>
      <c r="AW2349" s="270"/>
      <c r="AX2349" s="270"/>
      <c r="AY2349" s="270"/>
      <c r="AZ2349" s="270"/>
      <c r="BA2349" s="270" t="str">
        <f>IF(Table1[[#This Row],[Data de Início]]="","",YEAR(Table1[[#This Row],[Data de Início]]))</f>
        <v/>
      </c>
      <c r="BB2349" s="270" t="str">
        <f>IF(Table1[[#This Row],[Data de Início]]="","",MONTH(Table1[[#This Row],[Data de Início]]))</f>
        <v/>
      </c>
      <c r="BC2349" s="483"/>
    </row>
    <row r="2350" spans="2:55" x14ac:dyDescent="0.25">
      <c r="B2350" s="470"/>
      <c r="C2350" s="263"/>
      <c r="D2350" s="477" cm="1">
        <f t="array" ref="D2350">IFERROR(HorasUteisFabrica2Turnos(B2350,C2350), "")</f>
        <v>0</v>
      </c>
      <c r="E2350" s="478" t="str">
        <f t="shared" si="37"/>
        <v/>
      </c>
      <c r="F2350" s="266"/>
      <c r="G2350" s="656"/>
      <c r="H2350" s="479"/>
      <c r="I2350" s="268"/>
      <c r="J2350" s="268"/>
      <c r="K2350" s="268"/>
      <c r="L2350" s="269"/>
      <c r="M2350" s="511" t="str">
        <f>IFERROR(INDEX([1]Produtos!$C:$C,MATCH(L2350,[1]Produtos!$B:$B,0)), "-")</f>
        <v>-</v>
      </c>
      <c r="N2350" s="511" t="str">
        <f>IFERROR(INDEX([1]Produtos!$E:$E,MATCH(L2350,[1]Produtos!$B:$B,0)), "-")</f>
        <v>-</v>
      </c>
      <c r="O2350" s="483" t="str">
        <f>IFERROR(INDEX([1]Produtos!$F:$F,MATCH(L2350,[1]Produtos!$B:$B,0)), "-")</f>
        <v>-</v>
      </c>
      <c r="P2350" s="477" t="str">
        <f>IFERROR(INDEX([1]Produtos!$G:$G,MATCH(L2350,[1]Produtos!$B:$B,0)), "-")</f>
        <v>-</v>
      </c>
      <c r="Q2350" s="483" t="str">
        <f>IFERROR(INDEX([1]Produtos!$H:$H,MATCH(L2350,[1]Produtos!$B:$B,0)), "-")</f>
        <v>-</v>
      </c>
      <c r="R2350" s="483" t="str">
        <f>IFERROR(INDEX([1]Produtos!$I:$I,MATCH(L2350,[1]Produtos!$B:$B,0)), "-")</f>
        <v>-</v>
      </c>
      <c r="S2350" s="483" t="str">
        <f>IFERROR(INDEX([1]Produtos!$J:$J,MATCH(L2350,[1]Produtos!$B:$B,0)), "-")</f>
        <v>-</v>
      </c>
      <c r="T2350" s="484"/>
      <c r="U2350" s="483"/>
      <c r="V2350" s="483"/>
      <c r="W2350" s="483"/>
      <c r="X2350" s="483"/>
      <c r="Y2350" s="483"/>
      <c r="Z2350" s="483"/>
      <c r="AA2350" s="483"/>
      <c r="AB2350" s="483"/>
      <c r="AC2350" s="483"/>
      <c r="AD2350" s="483"/>
      <c r="AE2350" s="483"/>
      <c r="AF2350" s="483"/>
      <c r="AG2350" s="483"/>
      <c r="AH2350" s="483"/>
      <c r="AI2350" s="483"/>
      <c r="AJ2350" s="483"/>
      <c r="AK2350" s="483"/>
      <c r="AL2350" s="483"/>
      <c r="AM2350" s="670"/>
      <c r="AN2350" s="670"/>
      <c r="AO2350" s="711" t="str">
        <f>IF(OR(Table1[[#This Row],[Início Setup Envase]]="",Table1[[#This Row],[Final Setup Envase]]=""),"",Table1[[#This Row],[Final Setup Envase]]-Table1[[#This Row],[Início Setup Envase]])</f>
        <v/>
      </c>
      <c r="AP2350" s="670"/>
      <c r="AQ2350" s="670"/>
      <c r="AR2350" s="483"/>
      <c r="AS2350" s="483"/>
      <c r="AT2350" s="483"/>
      <c r="AU2350" s="483"/>
      <c r="AV2350" s="483"/>
      <c r="AW2350" s="483"/>
      <c r="AX2350" s="483"/>
      <c r="AY2350" s="270"/>
      <c r="AZ2350" s="270"/>
      <c r="BA2350" s="270" t="str">
        <f>IF(Table1[[#This Row],[Data de Início]]="","",YEAR(Table1[[#This Row],[Data de Início]]))</f>
        <v/>
      </c>
      <c r="BB2350" s="270" t="str">
        <f>IF(Table1[[#This Row],[Data de Início]]="","",MONTH(Table1[[#This Row],[Data de Início]]))</f>
        <v/>
      </c>
      <c r="BC2350" s="270"/>
    </row>
    <row r="2351" spans="2:55" x14ac:dyDescent="0.25">
      <c r="B2351" s="470"/>
      <c r="C2351" s="263"/>
      <c r="D2351" s="477" cm="1">
        <f t="array" ref="D2351">IFERROR(HorasUteisFabrica2Turnos(B2351,C2351), "")</f>
        <v>0</v>
      </c>
      <c r="E2351" s="697" t="str">
        <f t="shared" si="37"/>
        <v/>
      </c>
      <c r="F2351" s="266"/>
      <c r="G2351" s="698"/>
      <c r="H2351" s="266"/>
      <c r="I2351" s="268"/>
      <c r="J2351" s="268"/>
      <c r="K2351" s="268"/>
      <c r="L2351" s="269"/>
      <c r="M2351" s="510" t="str">
        <f>IFERROR(INDEX([1]Produtos!$C:$C,MATCH(L2351,[1]Produtos!$B:$B,0)), "-")</f>
        <v>-</v>
      </c>
      <c r="N2351" s="510" t="str">
        <f>IFERROR(INDEX([1]Produtos!$E:$E,MATCH(L2351,[1]Produtos!$B:$B,0)), "-")</f>
        <v>-</v>
      </c>
      <c r="O2351" s="270" t="str">
        <f>IFERROR(INDEX([1]Produtos!$F:$F,MATCH(L2351,[1]Produtos!$B:$B,0)), "-")</f>
        <v>-</v>
      </c>
      <c r="P2351" s="264" t="str">
        <f>IFERROR(INDEX([1]Produtos!$G:$G,MATCH(L2351,[1]Produtos!$B:$B,0)), "-")</f>
        <v>-</v>
      </c>
      <c r="Q2351" s="270" t="str">
        <f>IFERROR(INDEX([1]Produtos!$H:$H,MATCH(L2351,[1]Produtos!$B:$B,0)), "-")</f>
        <v>-</v>
      </c>
      <c r="R2351" s="270" t="str">
        <f>IFERROR(INDEX([1]Produtos!$I:$I,MATCH(L2351,[1]Produtos!$B:$B,0)), "-")</f>
        <v>-</v>
      </c>
      <c r="S2351" s="270" t="str">
        <f>IFERROR(INDEX([1]Produtos!$J:$J,MATCH(L2351,[1]Produtos!$B:$B,0)), "-")</f>
        <v>-</v>
      </c>
      <c r="T2351" s="475"/>
      <c r="U2351" s="270"/>
      <c r="V2351" s="270"/>
      <c r="W2351" s="270"/>
      <c r="X2351" s="270"/>
      <c r="Y2351" s="270"/>
      <c r="Z2351" s="270"/>
      <c r="AA2351" s="270"/>
      <c r="AB2351" s="270"/>
      <c r="AC2351" s="270"/>
      <c r="AD2351" s="270"/>
      <c r="AE2351" s="270"/>
      <c r="AF2351" s="270"/>
      <c r="AG2351" s="270"/>
      <c r="AH2351" s="270"/>
      <c r="AI2351" s="270"/>
      <c r="AJ2351" s="270"/>
      <c r="AK2351" s="270"/>
      <c r="AL2351" s="270"/>
      <c r="AM2351" s="663"/>
      <c r="AN2351" s="663"/>
      <c r="AO2351" s="708" t="str">
        <f>IF(OR(Table1[[#This Row],[Início Setup Envase]]="",Table1[[#This Row],[Final Setup Envase]]=""),"",Table1[[#This Row],[Final Setup Envase]]-Table1[[#This Row],[Início Setup Envase]])</f>
        <v/>
      </c>
      <c r="AP2351" s="663"/>
      <c r="AQ2351" s="663"/>
      <c r="AR2351" s="270"/>
      <c r="AS2351" s="674"/>
      <c r="AT2351" s="674"/>
      <c r="AU2351" s="270"/>
      <c r="AV2351" s="270"/>
      <c r="AW2351" s="270"/>
      <c r="AX2351" s="270"/>
      <c r="AY2351" s="270"/>
      <c r="AZ2351" s="270"/>
      <c r="BA2351" s="270" t="str">
        <f>IF(Table1[[#This Row],[Data de Início]]="","",YEAR(Table1[[#This Row],[Data de Início]]))</f>
        <v/>
      </c>
      <c r="BB2351" s="270" t="str">
        <f>IF(Table1[[#This Row],[Data de Início]]="","",MONTH(Table1[[#This Row],[Data de Início]]))</f>
        <v/>
      </c>
      <c r="BC2351" s="483"/>
    </row>
    <row r="2352" spans="2:55" x14ac:dyDescent="0.25">
      <c r="B2352" s="470"/>
      <c r="C2352" s="263"/>
      <c r="D2352" s="477" cm="1">
        <f t="array" ref="D2352">IFERROR(HorasUteisFabrica2Turnos(B2352,C2352), "")</f>
        <v>0</v>
      </c>
      <c r="E2352" s="478" t="str">
        <f t="shared" si="37"/>
        <v/>
      </c>
      <c r="F2352" s="266"/>
      <c r="G2352" s="656"/>
      <c r="H2352" s="479"/>
      <c r="I2352" s="268"/>
      <c r="J2352" s="268"/>
      <c r="K2352" s="268"/>
      <c r="L2352" s="269"/>
      <c r="M2352" s="511" t="str">
        <f>IFERROR(INDEX([1]Produtos!$C:$C,MATCH(L2352,[1]Produtos!$B:$B,0)), "-")</f>
        <v>-</v>
      </c>
      <c r="N2352" s="511" t="str">
        <f>IFERROR(INDEX([1]Produtos!$E:$E,MATCH(L2352,[1]Produtos!$B:$B,0)), "-")</f>
        <v>-</v>
      </c>
      <c r="O2352" s="483" t="str">
        <f>IFERROR(INDEX([1]Produtos!$F:$F,MATCH(L2352,[1]Produtos!$B:$B,0)), "-")</f>
        <v>-</v>
      </c>
      <c r="P2352" s="477" t="str">
        <f>IFERROR(INDEX([1]Produtos!$G:$G,MATCH(L2352,[1]Produtos!$B:$B,0)), "-")</f>
        <v>-</v>
      </c>
      <c r="Q2352" s="483" t="str">
        <f>IFERROR(INDEX([1]Produtos!$H:$H,MATCH(L2352,[1]Produtos!$B:$B,0)), "-")</f>
        <v>-</v>
      </c>
      <c r="R2352" s="483" t="str">
        <f>IFERROR(INDEX([1]Produtos!$I:$I,MATCH(L2352,[1]Produtos!$B:$B,0)), "-")</f>
        <v>-</v>
      </c>
      <c r="S2352" s="483" t="str">
        <f>IFERROR(INDEX([1]Produtos!$J:$J,MATCH(L2352,[1]Produtos!$B:$B,0)), "-")</f>
        <v>-</v>
      </c>
      <c r="T2352" s="484"/>
      <c r="U2352" s="483"/>
      <c r="V2352" s="483"/>
      <c r="W2352" s="483"/>
      <c r="X2352" s="483"/>
      <c r="Y2352" s="483"/>
      <c r="Z2352" s="483"/>
      <c r="AA2352" s="483"/>
      <c r="AB2352" s="483"/>
      <c r="AC2352" s="483"/>
      <c r="AD2352" s="483"/>
      <c r="AE2352" s="483"/>
      <c r="AF2352" s="483"/>
      <c r="AG2352" s="483"/>
      <c r="AH2352" s="483"/>
      <c r="AI2352" s="483"/>
      <c r="AJ2352" s="483"/>
      <c r="AK2352" s="483"/>
      <c r="AL2352" s="483"/>
      <c r="AM2352" s="670"/>
      <c r="AN2352" s="670"/>
      <c r="AO2352" s="711" t="str">
        <f>IF(OR(Table1[[#This Row],[Início Setup Envase]]="",Table1[[#This Row],[Final Setup Envase]]=""),"",Table1[[#This Row],[Final Setup Envase]]-Table1[[#This Row],[Início Setup Envase]])</f>
        <v/>
      </c>
      <c r="AP2352" s="670"/>
      <c r="AQ2352" s="670"/>
      <c r="AR2352" s="483"/>
      <c r="AS2352" s="483"/>
      <c r="AT2352" s="483"/>
      <c r="AU2352" s="483"/>
      <c r="AV2352" s="483"/>
      <c r="AW2352" s="483"/>
      <c r="AX2352" s="483"/>
      <c r="AY2352" s="270"/>
      <c r="AZ2352" s="270"/>
      <c r="BA2352" s="270" t="str">
        <f>IF(Table1[[#This Row],[Data de Início]]="","",YEAR(Table1[[#This Row],[Data de Início]]))</f>
        <v/>
      </c>
      <c r="BB2352" s="270" t="str">
        <f>IF(Table1[[#This Row],[Data de Início]]="","",MONTH(Table1[[#This Row],[Data de Início]]))</f>
        <v/>
      </c>
      <c r="BC2352" s="270"/>
    </row>
    <row r="2353" spans="2:55" x14ac:dyDescent="0.25">
      <c r="B2353" s="470"/>
      <c r="C2353" s="263"/>
      <c r="D2353" s="477" cm="1">
        <f t="array" ref="D2353">IFERROR(HorasUteisFabrica2Turnos(B2353,C2353), "")</f>
        <v>0</v>
      </c>
      <c r="E2353" s="697" t="str">
        <f t="shared" si="37"/>
        <v/>
      </c>
      <c r="F2353" s="266"/>
      <c r="G2353" s="698"/>
      <c r="H2353" s="266"/>
      <c r="I2353" s="268"/>
      <c r="J2353" s="268"/>
      <c r="K2353" s="268"/>
      <c r="L2353" s="269"/>
      <c r="M2353" s="510" t="str">
        <f>IFERROR(INDEX([1]Produtos!$C:$C,MATCH(L2353,[1]Produtos!$B:$B,0)), "-")</f>
        <v>-</v>
      </c>
      <c r="N2353" s="510" t="str">
        <f>IFERROR(INDEX([1]Produtos!$E:$E,MATCH(L2353,[1]Produtos!$B:$B,0)), "-")</f>
        <v>-</v>
      </c>
      <c r="O2353" s="270" t="str">
        <f>IFERROR(INDEX([1]Produtos!$F:$F,MATCH(L2353,[1]Produtos!$B:$B,0)), "-")</f>
        <v>-</v>
      </c>
      <c r="P2353" s="264" t="str">
        <f>IFERROR(INDEX([1]Produtos!$G:$G,MATCH(L2353,[1]Produtos!$B:$B,0)), "-")</f>
        <v>-</v>
      </c>
      <c r="Q2353" s="270" t="str">
        <f>IFERROR(INDEX([1]Produtos!$H:$H,MATCH(L2353,[1]Produtos!$B:$B,0)), "-")</f>
        <v>-</v>
      </c>
      <c r="R2353" s="270" t="str">
        <f>IFERROR(INDEX([1]Produtos!$I:$I,MATCH(L2353,[1]Produtos!$B:$B,0)), "-")</f>
        <v>-</v>
      </c>
      <c r="S2353" s="270" t="str">
        <f>IFERROR(INDEX([1]Produtos!$J:$J,MATCH(L2353,[1]Produtos!$B:$B,0)), "-")</f>
        <v>-</v>
      </c>
      <c r="T2353" s="475"/>
      <c r="U2353" s="270"/>
      <c r="V2353" s="270"/>
      <c r="W2353" s="270"/>
      <c r="X2353" s="270"/>
      <c r="Y2353" s="270"/>
      <c r="Z2353" s="270"/>
      <c r="AA2353" s="270"/>
      <c r="AB2353" s="270"/>
      <c r="AC2353" s="270"/>
      <c r="AD2353" s="270"/>
      <c r="AE2353" s="270"/>
      <c r="AF2353" s="270"/>
      <c r="AG2353" s="270"/>
      <c r="AH2353" s="270"/>
      <c r="AI2353" s="270"/>
      <c r="AJ2353" s="270"/>
      <c r="AK2353" s="270"/>
      <c r="AL2353" s="270"/>
      <c r="AM2353" s="663"/>
      <c r="AN2353" s="663"/>
      <c r="AO2353" s="708" t="str">
        <f>IF(OR(Table1[[#This Row],[Início Setup Envase]]="",Table1[[#This Row],[Final Setup Envase]]=""),"",Table1[[#This Row],[Final Setup Envase]]-Table1[[#This Row],[Início Setup Envase]])</f>
        <v/>
      </c>
      <c r="AP2353" s="663"/>
      <c r="AQ2353" s="663"/>
      <c r="AR2353" s="270"/>
      <c r="AS2353" s="674"/>
      <c r="AT2353" s="674"/>
      <c r="AU2353" s="270"/>
      <c r="AV2353" s="270"/>
      <c r="AW2353" s="270"/>
      <c r="AX2353" s="270"/>
      <c r="AY2353" s="270"/>
      <c r="AZ2353" s="270"/>
      <c r="BA2353" s="270" t="str">
        <f>IF(Table1[[#This Row],[Data de Início]]="","",YEAR(Table1[[#This Row],[Data de Início]]))</f>
        <v/>
      </c>
      <c r="BB2353" s="270" t="str">
        <f>IF(Table1[[#This Row],[Data de Início]]="","",MONTH(Table1[[#This Row],[Data de Início]]))</f>
        <v/>
      </c>
      <c r="BC2353" s="483"/>
    </row>
    <row r="2354" spans="2:55" x14ac:dyDescent="0.25">
      <c r="B2354" s="470"/>
      <c r="C2354" s="263"/>
      <c r="D2354" s="477" cm="1">
        <f t="array" ref="D2354">IFERROR(HorasUteisFabrica2Turnos(B2354,C2354), "")</f>
        <v>0</v>
      </c>
      <c r="E2354" s="478" t="str">
        <f t="shared" si="37"/>
        <v/>
      </c>
      <c r="F2354" s="266"/>
      <c r="G2354" s="656"/>
      <c r="H2354" s="479"/>
      <c r="I2354" s="268"/>
      <c r="J2354" s="268"/>
      <c r="K2354" s="268"/>
      <c r="L2354" s="269"/>
      <c r="M2354" s="511" t="str">
        <f>IFERROR(INDEX([1]Produtos!$C:$C,MATCH(L2354,[1]Produtos!$B:$B,0)), "-")</f>
        <v>-</v>
      </c>
      <c r="N2354" s="511" t="str">
        <f>IFERROR(INDEX([1]Produtos!$E:$E,MATCH(L2354,[1]Produtos!$B:$B,0)), "-")</f>
        <v>-</v>
      </c>
      <c r="O2354" s="483" t="str">
        <f>IFERROR(INDEX([1]Produtos!$F:$F,MATCH(L2354,[1]Produtos!$B:$B,0)), "-")</f>
        <v>-</v>
      </c>
      <c r="P2354" s="477" t="str">
        <f>IFERROR(INDEX([1]Produtos!$G:$G,MATCH(L2354,[1]Produtos!$B:$B,0)), "-")</f>
        <v>-</v>
      </c>
      <c r="Q2354" s="483" t="str">
        <f>IFERROR(INDEX([1]Produtos!$H:$H,MATCH(L2354,[1]Produtos!$B:$B,0)), "-")</f>
        <v>-</v>
      </c>
      <c r="R2354" s="483" t="str">
        <f>IFERROR(INDEX([1]Produtos!$I:$I,MATCH(L2354,[1]Produtos!$B:$B,0)), "-")</f>
        <v>-</v>
      </c>
      <c r="S2354" s="483" t="str">
        <f>IFERROR(INDEX([1]Produtos!$J:$J,MATCH(L2354,[1]Produtos!$B:$B,0)), "-")</f>
        <v>-</v>
      </c>
      <c r="T2354" s="484"/>
      <c r="U2354" s="483"/>
      <c r="V2354" s="483"/>
      <c r="W2354" s="483"/>
      <c r="X2354" s="483"/>
      <c r="Y2354" s="483"/>
      <c r="Z2354" s="483"/>
      <c r="AA2354" s="483"/>
      <c r="AB2354" s="483"/>
      <c r="AC2354" s="483"/>
      <c r="AD2354" s="483"/>
      <c r="AE2354" s="483"/>
      <c r="AF2354" s="483"/>
      <c r="AG2354" s="483"/>
      <c r="AH2354" s="483"/>
      <c r="AI2354" s="483"/>
      <c r="AJ2354" s="483"/>
      <c r="AK2354" s="483"/>
      <c r="AL2354" s="483"/>
      <c r="AM2354" s="670"/>
      <c r="AN2354" s="670"/>
      <c r="AO2354" s="711" t="str">
        <f>IF(OR(Table1[[#This Row],[Início Setup Envase]]="",Table1[[#This Row],[Final Setup Envase]]=""),"",Table1[[#This Row],[Final Setup Envase]]-Table1[[#This Row],[Início Setup Envase]])</f>
        <v/>
      </c>
      <c r="AP2354" s="670"/>
      <c r="AQ2354" s="670"/>
      <c r="AR2354" s="483"/>
      <c r="AS2354" s="483"/>
      <c r="AT2354" s="483"/>
      <c r="AU2354" s="483"/>
      <c r="AV2354" s="483"/>
      <c r="AW2354" s="483"/>
      <c r="AX2354" s="483"/>
      <c r="AY2354" s="270"/>
      <c r="AZ2354" s="270"/>
      <c r="BA2354" s="270" t="str">
        <f>IF(Table1[[#This Row],[Data de Início]]="","",YEAR(Table1[[#This Row],[Data de Início]]))</f>
        <v/>
      </c>
      <c r="BB2354" s="270" t="str">
        <f>IF(Table1[[#This Row],[Data de Início]]="","",MONTH(Table1[[#This Row],[Data de Início]]))</f>
        <v/>
      </c>
      <c r="BC2354" s="270"/>
    </row>
    <row r="2355" spans="2:55" x14ac:dyDescent="0.25">
      <c r="B2355" s="470"/>
      <c r="C2355" s="263"/>
      <c r="D2355" s="477" cm="1">
        <f t="array" ref="D2355">IFERROR(HorasUteisFabrica2Turnos(B2355,C2355), "")</f>
        <v>0</v>
      </c>
      <c r="E2355" s="697" t="str">
        <f t="shared" si="37"/>
        <v/>
      </c>
      <c r="F2355" s="266"/>
      <c r="G2355" s="698"/>
      <c r="H2355" s="266"/>
      <c r="I2355" s="268"/>
      <c r="J2355" s="268"/>
      <c r="K2355" s="268"/>
      <c r="L2355" s="269"/>
      <c r="M2355" s="510" t="str">
        <f>IFERROR(INDEX([1]Produtos!$C:$C,MATCH(L2355,[1]Produtos!$B:$B,0)), "-")</f>
        <v>-</v>
      </c>
      <c r="N2355" s="510" t="str">
        <f>IFERROR(INDEX([1]Produtos!$E:$E,MATCH(L2355,[1]Produtos!$B:$B,0)), "-")</f>
        <v>-</v>
      </c>
      <c r="O2355" s="270" t="str">
        <f>IFERROR(INDEX([1]Produtos!$F:$F,MATCH(L2355,[1]Produtos!$B:$B,0)), "-")</f>
        <v>-</v>
      </c>
      <c r="P2355" s="264" t="str">
        <f>IFERROR(INDEX([1]Produtos!$G:$G,MATCH(L2355,[1]Produtos!$B:$B,0)), "-")</f>
        <v>-</v>
      </c>
      <c r="Q2355" s="270" t="str">
        <f>IFERROR(INDEX([1]Produtos!$H:$H,MATCH(L2355,[1]Produtos!$B:$B,0)), "-")</f>
        <v>-</v>
      </c>
      <c r="R2355" s="270" t="str">
        <f>IFERROR(INDEX([1]Produtos!$I:$I,MATCH(L2355,[1]Produtos!$B:$B,0)), "-")</f>
        <v>-</v>
      </c>
      <c r="S2355" s="270" t="str">
        <f>IFERROR(INDEX([1]Produtos!$J:$J,MATCH(L2355,[1]Produtos!$B:$B,0)), "-")</f>
        <v>-</v>
      </c>
      <c r="T2355" s="475"/>
      <c r="U2355" s="270"/>
      <c r="V2355" s="270"/>
      <c r="W2355" s="270"/>
      <c r="X2355" s="270"/>
      <c r="Y2355" s="270"/>
      <c r="Z2355" s="270"/>
      <c r="AA2355" s="270"/>
      <c r="AB2355" s="270"/>
      <c r="AC2355" s="270"/>
      <c r="AD2355" s="270"/>
      <c r="AE2355" s="270"/>
      <c r="AF2355" s="270"/>
      <c r="AG2355" s="270"/>
      <c r="AH2355" s="270"/>
      <c r="AI2355" s="270"/>
      <c r="AJ2355" s="270"/>
      <c r="AK2355" s="270"/>
      <c r="AL2355" s="270"/>
      <c r="AM2355" s="663"/>
      <c r="AN2355" s="663"/>
      <c r="AO2355" s="708" t="str">
        <f>IF(OR(Table1[[#This Row],[Início Setup Envase]]="",Table1[[#This Row],[Final Setup Envase]]=""),"",Table1[[#This Row],[Final Setup Envase]]-Table1[[#This Row],[Início Setup Envase]])</f>
        <v/>
      </c>
      <c r="AP2355" s="663"/>
      <c r="AQ2355" s="663"/>
      <c r="AR2355" s="270"/>
      <c r="AS2355" s="674"/>
      <c r="AT2355" s="674"/>
      <c r="AU2355" s="270"/>
      <c r="AV2355" s="270"/>
      <c r="AW2355" s="270"/>
      <c r="AX2355" s="270"/>
      <c r="AY2355" s="270"/>
      <c r="AZ2355" s="270"/>
      <c r="BA2355" s="270" t="str">
        <f>IF(Table1[[#This Row],[Data de Início]]="","",YEAR(Table1[[#This Row],[Data de Início]]))</f>
        <v/>
      </c>
      <c r="BB2355" s="270" t="str">
        <f>IF(Table1[[#This Row],[Data de Início]]="","",MONTH(Table1[[#This Row],[Data de Início]]))</f>
        <v/>
      </c>
      <c r="BC2355" s="483"/>
    </row>
    <row r="2356" spans="2:55" x14ac:dyDescent="0.25">
      <c r="B2356" s="470"/>
      <c r="C2356" s="263"/>
      <c r="D2356" s="477" cm="1">
        <f t="array" ref="D2356">IFERROR(HorasUteisFabrica2Turnos(B2356,C2356), "")</f>
        <v>0</v>
      </c>
      <c r="E2356" s="478" t="str">
        <f t="shared" si="37"/>
        <v/>
      </c>
      <c r="F2356" s="266"/>
      <c r="G2356" s="656"/>
      <c r="H2356" s="479"/>
      <c r="I2356" s="268"/>
      <c r="J2356" s="268"/>
      <c r="K2356" s="268"/>
      <c r="L2356" s="269"/>
      <c r="M2356" s="511" t="str">
        <f>IFERROR(INDEX([1]Produtos!$C:$C,MATCH(L2356,[1]Produtos!$B:$B,0)), "-")</f>
        <v>-</v>
      </c>
      <c r="N2356" s="511" t="str">
        <f>IFERROR(INDEX([1]Produtos!$E:$E,MATCH(L2356,[1]Produtos!$B:$B,0)), "-")</f>
        <v>-</v>
      </c>
      <c r="O2356" s="483" t="str">
        <f>IFERROR(INDEX([1]Produtos!$F:$F,MATCH(L2356,[1]Produtos!$B:$B,0)), "-")</f>
        <v>-</v>
      </c>
      <c r="P2356" s="477" t="str">
        <f>IFERROR(INDEX([1]Produtos!$G:$G,MATCH(L2356,[1]Produtos!$B:$B,0)), "-")</f>
        <v>-</v>
      </c>
      <c r="Q2356" s="483" t="str">
        <f>IFERROR(INDEX([1]Produtos!$H:$H,MATCH(L2356,[1]Produtos!$B:$B,0)), "-")</f>
        <v>-</v>
      </c>
      <c r="R2356" s="483" t="str">
        <f>IFERROR(INDEX([1]Produtos!$I:$I,MATCH(L2356,[1]Produtos!$B:$B,0)), "-")</f>
        <v>-</v>
      </c>
      <c r="S2356" s="483" t="str">
        <f>IFERROR(INDEX([1]Produtos!$J:$J,MATCH(L2356,[1]Produtos!$B:$B,0)), "-")</f>
        <v>-</v>
      </c>
      <c r="T2356" s="484"/>
      <c r="U2356" s="483"/>
      <c r="V2356" s="483"/>
      <c r="W2356" s="483"/>
      <c r="X2356" s="483"/>
      <c r="Y2356" s="483"/>
      <c r="Z2356" s="483"/>
      <c r="AA2356" s="483"/>
      <c r="AB2356" s="483"/>
      <c r="AC2356" s="483"/>
      <c r="AD2356" s="483"/>
      <c r="AE2356" s="483"/>
      <c r="AF2356" s="483"/>
      <c r="AG2356" s="483"/>
      <c r="AH2356" s="483"/>
      <c r="AI2356" s="483"/>
      <c r="AJ2356" s="483"/>
      <c r="AK2356" s="483"/>
      <c r="AL2356" s="483"/>
      <c r="AM2356" s="670"/>
      <c r="AN2356" s="670"/>
      <c r="AO2356" s="711" t="str">
        <f>IF(OR(Table1[[#This Row],[Início Setup Envase]]="",Table1[[#This Row],[Final Setup Envase]]=""),"",Table1[[#This Row],[Final Setup Envase]]-Table1[[#This Row],[Início Setup Envase]])</f>
        <v/>
      </c>
      <c r="AP2356" s="670"/>
      <c r="AQ2356" s="670"/>
      <c r="AR2356" s="483"/>
      <c r="AS2356" s="483"/>
      <c r="AT2356" s="483"/>
      <c r="AU2356" s="483"/>
      <c r="AV2356" s="483"/>
      <c r="AW2356" s="483"/>
      <c r="AX2356" s="483"/>
      <c r="AY2356" s="270"/>
      <c r="AZ2356" s="270"/>
      <c r="BA2356" s="270" t="str">
        <f>IF(Table1[[#This Row],[Data de Início]]="","",YEAR(Table1[[#This Row],[Data de Início]]))</f>
        <v/>
      </c>
      <c r="BB2356" s="270" t="str">
        <f>IF(Table1[[#This Row],[Data de Início]]="","",MONTH(Table1[[#This Row],[Data de Início]]))</f>
        <v/>
      </c>
      <c r="BC2356" s="270"/>
    </row>
    <row r="2357" spans="2:55" x14ac:dyDescent="0.25">
      <c r="B2357" s="470"/>
      <c r="C2357" s="263"/>
      <c r="D2357" s="477" cm="1">
        <f t="array" ref="D2357">IFERROR(HorasUteisFabrica2Turnos(B2357,C2357), "")</f>
        <v>0</v>
      </c>
      <c r="E2357" s="697" t="str">
        <f t="shared" si="37"/>
        <v/>
      </c>
      <c r="F2357" s="266"/>
      <c r="G2357" s="698"/>
      <c r="H2357" s="266"/>
      <c r="I2357" s="268"/>
      <c r="J2357" s="268"/>
      <c r="K2357" s="268"/>
      <c r="L2357" s="269"/>
      <c r="M2357" s="510" t="str">
        <f>IFERROR(INDEX([1]Produtos!$C:$C,MATCH(L2357,[1]Produtos!$B:$B,0)), "-")</f>
        <v>-</v>
      </c>
      <c r="N2357" s="510" t="str">
        <f>IFERROR(INDEX([1]Produtos!$E:$E,MATCH(L2357,[1]Produtos!$B:$B,0)), "-")</f>
        <v>-</v>
      </c>
      <c r="O2357" s="270" t="str">
        <f>IFERROR(INDEX([1]Produtos!$F:$F,MATCH(L2357,[1]Produtos!$B:$B,0)), "-")</f>
        <v>-</v>
      </c>
      <c r="P2357" s="264" t="str">
        <f>IFERROR(INDEX([1]Produtos!$G:$G,MATCH(L2357,[1]Produtos!$B:$B,0)), "-")</f>
        <v>-</v>
      </c>
      <c r="Q2357" s="270" t="str">
        <f>IFERROR(INDEX([1]Produtos!$H:$H,MATCH(L2357,[1]Produtos!$B:$B,0)), "-")</f>
        <v>-</v>
      </c>
      <c r="R2357" s="270" t="str">
        <f>IFERROR(INDEX([1]Produtos!$I:$I,MATCH(L2357,[1]Produtos!$B:$B,0)), "-")</f>
        <v>-</v>
      </c>
      <c r="S2357" s="270" t="str">
        <f>IFERROR(INDEX([1]Produtos!$J:$J,MATCH(L2357,[1]Produtos!$B:$B,0)), "-")</f>
        <v>-</v>
      </c>
      <c r="T2357" s="475"/>
      <c r="U2357" s="270"/>
      <c r="V2357" s="270"/>
      <c r="W2357" s="270"/>
      <c r="X2357" s="270"/>
      <c r="Y2357" s="270"/>
      <c r="Z2357" s="270"/>
      <c r="AA2357" s="270"/>
      <c r="AB2357" s="270"/>
      <c r="AC2357" s="270"/>
      <c r="AD2357" s="270"/>
      <c r="AE2357" s="270"/>
      <c r="AF2357" s="270"/>
      <c r="AG2357" s="270"/>
      <c r="AH2357" s="270"/>
      <c r="AI2357" s="270"/>
      <c r="AJ2357" s="270"/>
      <c r="AK2357" s="270"/>
      <c r="AL2357" s="270"/>
      <c r="AM2357" s="663"/>
      <c r="AN2357" s="663"/>
      <c r="AO2357" s="708" t="str">
        <f>IF(OR(Table1[[#This Row],[Início Setup Envase]]="",Table1[[#This Row],[Final Setup Envase]]=""),"",Table1[[#This Row],[Final Setup Envase]]-Table1[[#This Row],[Início Setup Envase]])</f>
        <v/>
      </c>
      <c r="AP2357" s="663"/>
      <c r="AQ2357" s="663"/>
      <c r="AR2357" s="270"/>
      <c r="AS2357" s="674"/>
      <c r="AT2357" s="674"/>
      <c r="AU2357" s="270"/>
      <c r="AV2357" s="270"/>
      <c r="AW2357" s="270"/>
      <c r="AX2357" s="270"/>
      <c r="AY2357" s="270"/>
      <c r="AZ2357" s="270"/>
      <c r="BA2357" s="270" t="str">
        <f>IF(Table1[[#This Row],[Data de Início]]="","",YEAR(Table1[[#This Row],[Data de Início]]))</f>
        <v/>
      </c>
      <c r="BB2357" s="270" t="str">
        <f>IF(Table1[[#This Row],[Data de Início]]="","",MONTH(Table1[[#This Row],[Data de Início]]))</f>
        <v/>
      </c>
      <c r="BC2357" s="483"/>
    </row>
    <row r="2358" spans="2:55" x14ac:dyDescent="0.25">
      <c r="B2358" s="470"/>
      <c r="C2358" s="263"/>
      <c r="D2358" s="477" cm="1">
        <f t="array" ref="D2358">IFERROR(HorasUteisFabrica2Turnos(B2358,C2358), "")</f>
        <v>0</v>
      </c>
      <c r="E2358" s="478" t="str">
        <f t="shared" si="37"/>
        <v/>
      </c>
      <c r="F2358" s="266"/>
      <c r="G2358" s="656"/>
      <c r="H2358" s="479"/>
      <c r="I2358" s="268"/>
      <c r="J2358" s="268"/>
      <c r="K2358" s="268"/>
      <c r="L2358" s="269"/>
      <c r="M2358" s="511" t="str">
        <f>IFERROR(INDEX([1]Produtos!$C:$C,MATCH(L2358,[1]Produtos!$B:$B,0)), "-")</f>
        <v>-</v>
      </c>
      <c r="N2358" s="511" t="str">
        <f>IFERROR(INDEX([1]Produtos!$E:$E,MATCH(L2358,[1]Produtos!$B:$B,0)), "-")</f>
        <v>-</v>
      </c>
      <c r="O2358" s="483" t="str">
        <f>IFERROR(INDEX([1]Produtos!$F:$F,MATCH(L2358,[1]Produtos!$B:$B,0)), "-")</f>
        <v>-</v>
      </c>
      <c r="P2358" s="477" t="str">
        <f>IFERROR(INDEX([1]Produtos!$G:$G,MATCH(L2358,[1]Produtos!$B:$B,0)), "-")</f>
        <v>-</v>
      </c>
      <c r="Q2358" s="483" t="str">
        <f>IFERROR(INDEX([1]Produtos!$H:$H,MATCH(L2358,[1]Produtos!$B:$B,0)), "-")</f>
        <v>-</v>
      </c>
      <c r="R2358" s="483" t="str">
        <f>IFERROR(INDEX([1]Produtos!$I:$I,MATCH(L2358,[1]Produtos!$B:$B,0)), "-")</f>
        <v>-</v>
      </c>
      <c r="S2358" s="483" t="str">
        <f>IFERROR(INDEX([1]Produtos!$J:$J,MATCH(L2358,[1]Produtos!$B:$B,0)), "-")</f>
        <v>-</v>
      </c>
      <c r="T2358" s="484"/>
      <c r="U2358" s="483"/>
      <c r="V2358" s="483"/>
      <c r="W2358" s="483"/>
      <c r="X2358" s="483"/>
      <c r="Y2358" s="483"/>
      <c r="Z2358" s="483"/>
      <c r="AA2358" s="483"/>
      <c r="AB2358" s="483"/>
      <c r="AC2358" s="483"/>
      <c r="AD2358" s="483"/>
      <c r="AE2358" s="483"/>
      <c r="AF2358" s="483"/>
      <c r="AG2358" s="483"/>
      <c r="AH2358" s="483"/>
      <c r="AI2358" s="483"/>
      <c r="AJ2358" s="483"/>
      <c r="AK2358" s="483"/>
      <c r="AL2358" s="483"/>
      <c r="AM2358" s="670"/>
      <c r="AN2358" s="670"/>
      <c r="AO2358" s="711" t="str">
        <f>IF(OR(Table1[[#This Row],[Início Setup Envase]]="",Table1[[#This Row],[Final Setup Envase]]=""),"",Table1[[#This Row],[Final Setup Envase]]-Table1[[#This Row],[Início Setup Envase]])</f>
        <v/>
      </c>
      <c r="AP2358" s="670"/>
      <c r="AQ2358" s="670"/>
      <c r="AR2358" s="483"/>
      <c r="AS2358" s="483"/>
      <c r="AT2358" s="483"/>
      <c r="AU2358" s="483"/>
      <c r="AV2358" s="483"/>
      <c r="AW2358" s="483"/>
      <c r="AX2358" s="483"/>
      <c r="AY2358" s="270"/>
      <c r="AZ2358" s="270"/>
      <c r="BA2358" s="270" t="str">
        <f>IF(Table1[[#This Row],[Data de Início]]="","",YEAR(Table1[[#This Row],[Data de Início]]))</f>
        <v/>
      </c>
      <c r="BB2358" s="270" t="str">
        <f>IF(Table1[[#This Row],[Data de Início]]="","",MONTH(Table1[[#This Row],[Data de Início]]))</f>
        <v/>
      </c>
      <c r="BC2358" s="270"/>
    </row>
    <row r="2359" spans="2:55" x14ac:dyDescent="0.25">
      <c r="B2359" s="470"/>
      <c r="C2359" s="263"/>
      <c r="D2359" s="477" cm="1">
        <f t="array" ref="D2359">IFERROR(HorasUteisFabrica2Turnos(B2359,C2359), "")</f>
        <v>0</v>
      </c>
      <c r="E2359" s="697" t="str">
        <f t="shared" si="37"/>
        <v/>
      </c>
      <c r="F2359" s="266"/>
      <c r="G2359" s="698"/>
      <c r="H2359" s="266"/>
      <c r="I2359" s="268"/>
      <c r="J2359" s="268"/>
      <c r="K2359" s="268"/>
      <c r="L2359" s="269"/>
      <c r="M2359" s="510" t="str">
        <f>IFERROR(INDEX([1]Produtos!$C:$C,MATCH(L2359,[1]Produtos!$B:$B,0)), "-")</f>
        <v>-</v>
      </c>
      <c r="N2359" s="510" t="str">
        <f>IFERROR(INDEX([1]Produtos!$E:$E,MATCH(L2359,[1]Produtos!$B:$B,0)), "-")</f>
        <v>-</v>
      </c>
      <c r="O2359" s="270" t="str">
        <f>IFERROR(INDEX([1]Produtos!$F:$F,MATCH(L2359,[1]Produtos!$B:$B,0)), "-")</f>
        <v>-</v>
      </c>
      <c r="P2359" s="264" t="str">
        <f>IFERROR(INDEX([1]Produtos!$G:$G,MATCH(L2359,[1]Produtos!$B:$B,0)), "-")</f>
        <v>-</v>
      </c>
      <c r="Q2359" s="270" t="str">
        <f>IFERROR(INDEX([1]Produtos!$H:$H,MATCH(L2359,[1]Produtos!$B:$B,0)), "-")</f>
        <v>-</v>
      </c>
      <c r="R2359" s="270" t="str">
        <f>IFERROR(INDEX([1]Produtos!$I:$I,MATCH(L2359,[1]Produtos!$B:$B,0)), "-")</f>
        <v>-</v>
      </c>
      <c r="S2359" s="270" t="str">
        <f>IFERROR(INDEX([1]Produtos!$J:$J,MATCH(L2359,[1]Produtos!$B:$B,0)), "-")</f>
        <v>-</v>
      </c>
      <c r="T2359" s="475"/>
      <c r="U2359" s="270"/>
      <c r="V2359" s="270"/>
      <c r="W2359" s="270"/>
      <c r="X2359" s="270"/>
      <c r="Y2359" s="270"/>
      <c r="Z2359" s="270"/>
      <c r="AA2359" s="270"/>
      <c r="AB2359" s="270"/>
      <c r="AC2359" s="270"/>
      <c r="AD2359" s="270"/>
      <c r="AE2359" s="270"/>
      <c r="AF2359" s="270"/>
      <c r="AG2359" s="270"/>
      <c r="AH2359" s="270"/>
      <c r="AI2359" s="270"/>
      <c r="AJ2359" s="270"/>
      <c r="AK2359" s="270"/>
      <c r="AL2359" s="270"/>
      <c r="AM2359" s="663"/>
      <c r="AN2359" s="663"/>
      <c r="AO2359" s="708" t="str">
        <f>IF(OR(Table1[[#This Row],[Início Setup Envase]]="",Table1[[#This Row],[Final Setup Envase]]=""),"",Table1[[#This Row],[Final Setup Envase]]-Table1[[#This Row],[Início Setup Envase]])</f>
        <v/>
      </c>
      <c r="AP2359" s="663"/>
      <c r="AQ2359" s="663"/>
      <c r="AR2359" s="270"/>
      <c r="AS2359" s="674"/>
      <c r="AT2359" s="674"/>
      <c r="AU2359" s="270"/>
      <c r="AV2359" s="270"/>
      <c r="AW2359" s="270"/>
      <c r="AX2359" s="270"/>
      <c r="AY2359" s="270"/>
      <c r="AZ2359" s="270"/>
      <c r="BA2359" s="270" t="str">
        <f>IF(Table1[[#This Row],[Data de Início]]="","",YEAR(Table1[[#This Row],[Data de Início]]))</f>
        <v/>
      </c>
      <c r="BB2359" s="270" t="str">
        <f>IF(Table1[[#This Row],[Data de Início]]="","",MONTH(Table1[[#This Row],[Data de Início]]))</f>
        <v/>
      </c>
      <c r="BC2359" s="483"/>
    </row>
    <row r="2360" spans="2:55" x14ac:dyDescent="0.25">
      <c r="B2360" s="470"/>
      <c r="C2360" s="263"/>
      <c r="D2360" s="477" cm="1">
        <f t="array" ref="D2360">IFERROR(HorasUteisFabrica2Turnos(B2360,C2360), "")</f>
        <v>0</v>
      </c>
      <c r="E2360" s="478" t="str">
        <f t="shared" si="37"/>
        <v/>
      </c>
      <c r="F2360" s="266"/>
      <c r="G2360" s="656"/>
      <c r="H2360" s="479"/>
      <c r="I2360" s="268"/>
      <c r="J2360" s="268"/>
      <c r="K2360" s="268"/>
      <c r="L2360" s="269"/>
      <c r="M2360" s="511" t="str">
        <f>IFERROR(INDEX([1]Produtos!$C:$C,MATCH(L2360,[1]Produtos!$B:$B,0)), "-")</f>
        <v>-</v>
      </c>
      <c r="N2360" s="511" t="str">
        <f>IFERROR(INDEX([1]Produtos!$E:$E,MATCH(L2360,[1]Produtos!$B:$B,0)), "-")</f>
        <v>-</v>
      </c>
      <c r="O2360" s="483" t="str">
        <f>IFERROR(INDEX([1]Produtos!$F:$F,MATCH(L2360,[1]Produtos!$B:$B,0)), "-")</f>
        <v>-</v>
      </c>
      <c r="P2360" s="477" t="str">
        <f>IFERROR(INDEX([1]Produtos!$G:$G,MATCH(L2360,[1]Produtos!$B:$B,0)), "-")</f>
        <v>-</v>
      </c>
      <c r="Q2360" s="483" t="str">
        <f>IFERROR(INDEX([1]Produtos!$H:$H,MATCH(L2360,[1]Produtos!$B:$B,0)), "-")</f>
        <v>-</v>
      </c>
      <c r="R2360" s="483" t="str">
        <f>IFERROR(INDEX([1]Produtos!$I:$I,MATCH(L2360,[1]Produtos!$B:$B,0)), "-")</f>
        <v>-</v>
      </c>
      <c r="S2360" s="483" t="str">
        <f>IFERROR(INDEX([1]Produtos!$J:$J,MATCH(L2360,[1]Produtos!$B:$B,0)), "-")</f>
        <v>-</v>
      </c>
      <c r="T2360" s="484"/>
      <c r="U2360" s="483"/>
      <c r="V2360" s="483"/>
      <c r="W2360" s="483"/>
      <c r="X2360" s="483"/>
      <c r="Y2360" s="483"/>
      <c r="Z2360" s="483"/>
      <c r="AA2360" s="483"/>
      <c r="AB2360" s="483"/>
      <c r="AC2360" s="483"/>
      <c r="AD2360" s="483"/>
      <c r="AE2360" s="483"/>
      <c r="AF2360" s="483"/>
      <c r="AG2360" s="483"/>
      <c r="AH2360" s="483"/>
      <c r="AI2360" s="483"/>
      <c r="AJ2360" s="483"/>
      <c r="AK2360" s="483"/>
      <c r="AL2360" s="483"/>
      <c r="AM2360" s="670"/>
      <c r="AN2360" s="670"/>
      <c r="AO2360" s="711" t="str">
        <f>IF(OR(Table1[[#This Row],[Início Setup Envase]]="",Table1[[#This Row],[Final Setup Envase]]=""),"",Table1[[#This Row],[Final Setup Envase]]-Table1[[#This Row],[Início Setup Envase]])</f>
        <v/>
      </c>
      <c r="AP2360" s="670"/>
      <c r="AQ2360" s="670"/>
      <c r="AR2360" s="483"/>
      <c r="AS2360" s="483"/>
      <c r="AT2360" s="483"/>
      <c r="AU2360" s="483"/>
      <c r="AV2360" s="483"/>
      <c r="AW2360" s="483"/>
      <c r="AX2360" s="483"/>
      <c r="AY2360" s="270"/>
      <c r="AZ2360" s="270"/>
      <c r="BA2360" s="270" t="str">
        <f>IF(Table1[[#This Row],[Data de Início]]="","",YEAR(Table1[[#This Row],[Data de Início]]))</f>
        <v/>
      </c>
      <c r="BB2360" s="270" t="str">
        <f>IF(Table1[[#This Row],[Data de Início]]="","",MONTH(Table1[[#This Row],[Data de Início]]))</f>
        <v/>
      </c>
      <c r="BC2360" s="270"/>
    </row>
    <row r="2361" spans="2:55" x14ac:dyDescent="0.25">
      <c r="B2361" s="470"/>
      <c r="C2361" s="263"/>
      <c r="D2361" s="477" cm="1">
        <f t="array" ref="D2361">IFERROR(HorasUteisFabrica2Turnos(B2361,C2361), "")</f>
        <v>0</v>
      </c>
      <c r="E2361" s="697" t="str">
        <f t="shared" si="37"/>
        <v/>
      </c>
      <c r="F2361" s="266"/>
      <c r="G2361" s="698"/>
      <c r="H2361" s="266"/>
      <c r="I2361" s="268"/>
      <c r="J2361" s="268"/>
      <c r="K2361" s="268"/>
      <c r="L2361" s="269"/>
      <c r="M2361" s="510" t="str">
        <f>IFERROR(INDEX([1]Produtos!$C:$C,MATCH(L2361,[1]Produtos!$B:$B,0)), "-")</f>
        <v>-</v>
      </c>
      <c r="N2361" s="510" t="str">
        <f>IFERROR(INDEX([1]Produtos!$E:$E,MATCH(L2361,[1]Produtos!$B:$B,0)), "-")</f>
        <v>-</v>
      </c>
      <c r="O2361" s="270" t="str">
        <f>IFERROR(INDEX([1]Produtos!$F:$F,MATCH(L2361,[1]Produtos!$B:$B,0)), "-")</f>
        <v>-</v>
      </c>
      <c r="P2361" s="264" t="str">
        <f>IFERROR(INDEX([1]Produtos!$G:$G,MATCH(L2361,[1]Produtos!$B:$B,0)), "-")</f>
        <v>-</v>
      </c>
      <c r="Q2361" s="270" t="str">
        <f>IFERROR(INDEX([1]Produtos!$H:$H,MATCH(L2361,[1]Produtos!$B:$B,0)), "-")</f>
        <v>-</v>
      </c>
      <c r="R2361" s="270" t="str">
        <f>IFERROR(INDEX([1]Produtos!$I:$I,MATCH(L2361,[1]Produtos!$B:$B,0)), "-")</f>
        <v>-</v>
      </c>
      <c r="S2361" s="270" t="str">
        <f>IFERROR(INDEX([1]Produtos!$J:$J,MATCH(L2361,[1]Produtos!$B:$B,0)), "-")</f>
        <v>-</v>
      </c>
      <c r="T2361" s="475"/>
      <c r="U2361" s="270"/>
      <c r="V2361" s="270"/>
      <c r="W2361" s="270"/>
      <c r="X2361" s="270"/>
      <c r="Y2361" s="270"/>
      <c r="Z2361" s="270"/>
      <c r="AA2361" s="270"/>
      <c r="AB2361" s="270"/>
      <c r="AC2361" s="270"/>
      <c r="AD2361" s="270"/>
      <c r="AE2361" s="270"/>
      <c r="AF2361" s="270"/>
      <c r="AG2361" s="270"/>
      <c r="AH2361" s="270"/>
      <c r="AI2361" s="270"/>
      <c r="AJ2361" s="270"/>
      <c r="AK2361" s="270"/>
      <c r="AL2361" s="270"/>
      <c r="AM2361" s="663"/>
      <c r="AN2361" s="663"/>
      <c r="AO2361" s="708" t="str">
        <f>IF(OR(Table1[[#This Row],[Início Setup Envase]]="",Table1[[#This Row],[Final Setup Envase]]=""),"",Table1[[#This Row],[Final Setup Envase]]-Table1[[#This Row],[Início Setup Envase]])</f>
        <v/>
      </c>
      <c r="AP2361" s="663"/>
      <c r="AQ2361" s="663"/>
      <c r="AR2361" s="270"/>
      <c r="AS2361" s="674"/>
      <c r="AT2361" s="674"/>
      <c r="AU2361" s="270"/>
      <c r="AV2361" s="270"/>
      <c r="AW2361" s="270"/>
      <c r="AX2361" s="270"/>
      <c r="AY2361" s="270"/>
      <c r="AZ2361" s="270"/>
      <c r="BA2361" s="270" t="str">
        <f>IF(Table1[[#This Row],[Data de Início]]="","",YEAR(Table1[[#This Row],[Data de Início]]))</f>
        <v/>
      </c>
      <c r="BB2361" s="270" t="str">
        <f>IF(Table1[[#This Row],[Data de Início]]="","",MONTH(Table1[[#This Row],[Data de Início]]))</f>
        <v/>
      </c>
      <c r="BC2361" s="483"/>
    </row>
    <row r="2362" spans="2:55" x14ac:dyDescent="0.25">
      <c r="B2362" s="470"/>
      <c r="C2362" s="263"/>
      <c r="D2362" s="477" cm="1">
        <f t="array" ref="D2362">IFERROR(HorasUteisFabrica2Turnos(B2362,C2362), "")</f>
        <v>0</v>
      </c>
      <c r="E2362" s="478" t="str">
        <f t="shared" si="37"/>
        <v/>
      </c>
      <c r="F2362" s="266"/>
      <c r="G2362" s="656"/>
      <c r="H2362" s="479"/>
      <c r="I2362" s="268"/>
      <c r="J2362" s="268"/>
      <c r="K2362" s="268"/>
      <c r="L2362" s="269"/>
      <c r="M2362" s="511" t="str">
        <f>IFERROR(INDEX([1]Produtos!$C:$C,MATCH(L2362,[1]Produtos!$B:$B,0)), "-")</f>
        <v>-</v>
      </c>
      <c r="N2362" s="511" t="str">
        <f>IFERROR(INDEX([1]Produtos!$E:$E,MATCH(L2362,[1]Produtos!$B:$B,0)), "-")</f>
        <v>-</v>
      </c>
      <c r="O2362" s="483" t="str">
        <f>IFERROR(INDEX([1]Produtos!$F:$F,MATCH(L2362,[1]Produtos!$B:$B,0)), "-")</f>
        <v>-</v>
      </c>
      <c r="P2362" s="477" t="str">
        <f>IFERROR(INDEX([1]Produtos!$G:$G,MATCH(L2362,[1]Produtos!$B:$B,0)), "-")</f>
        <v>-</v>
      </c>
      <c r="Q2362" s="483" t="str">
        <f>IFERROR(INDEX([1]Produtos!$H:$H,MATCH(L2362,[1]Produtos!$B:$B,0)), "-")</f>
        <v>-</v>
      </c>
      <c r="R2362" s="483" t="str">
        <f>IFERROR(INDEX([1]Produtos!$I:$I,MATCH(L2362,[1]Produtos!$B:$B,0)), "-")</f>
        <v>-</v>
      </c>
      <c r="S2362" s="483" t="str">
        <f>IFERROR(INDEX([1]Produtos!$J:$J,MATCH(L2362,[1]Produtos!$B:$B,0)), "-")</f>
        <v>-</v>
      </c>
      <c r="T2362" s="484"/>
      <c r="U2362" s="483"/>
      <c r="V2362" s="483"/>
      <c r="W2362" s="483"/>
      <c r="X2362" s="483"/>
      <c r="Y2362" s="483"/>
      <c r="Z2362" s="483"/>
      <c r="AA2362" s="483"/>
      <c r="AB2362" s="483"/>
      <c r="AC2362" s="483"/>
      <c r="AD2362" s="483"/>
      <c r="AE2362" s="483"/>
      <c r="AF2362" s="483"/>
      <c r="AG2362" s="483"/>
      <c r="AH2362" s="483"/>
      <c r="AI2362" s="483"/>
      <c r="AJ2362" s="483"/>
      <c r="AK2362" s="483"/>
      <c r="AL2362" s="483"/>
      <c r="AM2362" s="670"/>
      <c r="AN2362" s="670"/>
      <c r="AO2362" s="711" t="str">
        <f>IF(OR(Table1[[#This Row],[Início Setup Envase]]="",Table1[[#This Row],[Final Setup Envase]]=""),"",Table1[[#This Row],[Final Setup Envase]]-Table1[[#This Row],[Início Setup Envase]])</f>
        <v/>
      </c>
      <c r="AP2362" s="670"/>
      <c r="AQ2362" s="670"/>
      <c r="AR2362" s="483"/>
      <c r="AS2362" s="483"/>
      <c r="AT2362" s="483"/>
      <c r="AU2362" s="483"/>
      <c r="AV2362" s="483"/>
      <c r="AW2362" s="483"/>
      <c r="AX2362" s="483"/>
      <c r="AY2362" s="270"/>
      <c r="AZ2362" s="270"/>
      <c r="BA2362" s="270" t="str">
        <f>IF(Table1[[#This Row],[Data de Início]]="","",YEAR(Table1[[#This Row],[Data de Início]]))</f>
        <v/>
      </c>
      <c r="BB2362" s="270" t="str">
        <f>IF(Table1[[#This Row],[Data de Início]]="","",MONTH(Table1[[#This Row],[Data de Início]]))</f>
        <v/>
      </c>
      <c r="BC2362" s="270"/>
    </row>
    <row r="2363" spans="2:55" x14ac:dyDescent="0.25">
      <c r="B2363" s="470"/>
      <c r="C2363" s="263"/>
      <c r="D2363" s="477" cm="1">
        <f t="array" ref="D2363">IFERROR(HorasUteisFabrica2Turnos(B2363,C2363), "")</f>
        <v>0</v>
      </c>
      <c r="E2363" s="697" t="str">
        <f t="shared" si="37"/>
        <v/>
      </c>
      <c r="F2363" s="266"/>
      <c r="G2363" s="698"/>
      <c r="H2363" s="266"/>
      <c r="I2363" s="268"/>
      <c r="J2363" s="268"/>
      <c r="K2363" s="268"/>
      <c r="L2363" s="269"/>
      <c r="M2363" s="510" t="str">
        <f>IFERROR(INDEX([1]Produtos!$C:$C,MATCH(L2363,[1]Produtos!$B:$B,0)), "-")</f>
        <v>-</v>
      </c>
      <c r="N2363" s="510" t="str">
        <f>IFERROR(INDEX([1]Produtos!$E:$E,MATCH(L2363,[1]Produtos!$B:$B,0)), "-")</f>
        <v>-</v>
      </c>
      <c r="O2363" s="270" t="str">
        <f>IFERROR(INDEX([1]Produtos!$F:$F,MATCH(L2363,[1]Produtos!$B:$B,0)), "-")</f>
        <v>-</v>
      </c>
      <c r="P2363" s="264" t="str">
        <f>IFERROR(INDEX([1]Produtos!$G:$G,MATCH(L2363,[1]Produtos!$B:$B,0)), "-")</f>
        <v>-</v>
      </c>
      <c r="Q2363" s="270" t="str">
        <f>IFERROR(INDEX([1]Produtos!$H:$H,MATCH(L2363,[1]Produtos!$B:$B,0)), "-")</f>
        <v>-</v>
      </c>
      <c r="R2363" s="270" t="str">
        <f>IFERROR(INDEX([1]Produtos!$I:$I,MATCH(L2363,[1]Produtos!$B:$B,0)), "-")</f>
        <v>-</v>
      </c>
      <c r="S2363" s="270" t="str">
        <f>IFERROR(INDEX([1]Produtos!$J:$J,MATCH(L2363,[1]Produtos!$B:$B,0)), "-")</f>
        <v>-</v>
      </c>
      <c r="T2363" s="475"/>
      <c r="U2363" s="270"/>
      <c r="V2363" s="270"/>
      <c r="W2363" s="270"/>
      <c r="X2363" s="270"/>
      <c r="Y2363" s="270"/>
      <c r="Z2363" s="270"/>
      <c r="AA2363" s="270"/>
      <c r="AB2363" s="270"/>
      <c r="AC2363" s="270"/>
      <c r="AD2363" s="270"/>
      <c r="AE2363" s="270"/>
      <c r="AF2363" s="270"/>
      <c r="AG2363" s="270"/>
      <c r="AH2363" s="270"/>
      <c r="AI2363" s="270"/>
      <c r="AJ2363" s="270"/>
      <c r="AK2363" s="270"/>
      <c r="AL2363" s="270"/>
      <c r="AM2363" s="663"/>
      <c r="AN2363" s="663"/>
      <c r="AO2363" s="708" t="str">
        <f>IF(OR(Table1[[#This Row],[Início Setup Envase]]="",Table1[[#This Row],[Final Setup Envase]]=""),"",Table1[[#This Row],[Final Setup Envase]]-Table1[[#This Row],[Início Setup Envase]])</f>
        <v/>
      </c>
      <c r="AP2363" s="663"/>
      <c r="AQ2363" s="663"/>
      <c r="AR2363" s="270"/>
      <c r="AS2363" s="674"/>
      <c r="AT2363" s="674"/>
      <c r="AU2363" s="270"/>
      <c r="AV2363" s="270"/>
      <c r="AW2363" s="270"/>
      <c r="AX2363" s="270"/>
      <c r="AY2363" s="270"/>
      <c r="AZ2363" s="270"/>
      <c r="BA2363" s="270" t="str">
        <f>IF(Table1[[#This Row],[Data de Início]]="","",YEAR(Table1[[#This Row],[Data de Início]]))</f>
        <v/>
      </c>
      <c r="BB2363" s="270" t="str">
        <f>IF(Table1[[#This Row],[Data de Início]]="","",MONTH(Table1[[#This Row],[Data de Início]]))</f>
        <v/>
      </c>
      <c r="BC2363" s="483"/>
    </row>
    <row r="2364" spans="2:55" x14ac:dyDescent="0.25">
      <c r="B2364" s="470"/>
      <c r="C2364" s="263"/>
      <c r="D2364" s="477" cm="1">
        <f t="array" ref="D2364">IFERROR(HorasUteisFabrica2Turnos(B2364,C2364), "")</f>
        <v>0</v>
      </c>
      <c r="E2364" s="478" t="str">
        <f t="shared" si="37"/>
        <v/>
      </c>
      <c r="F2364" s="266"/>
      <c r="G2364" s="656"/>
      <c r="H2364" s="479"/>
      <c r="I2364" s="268"/>
      <c r="J2364" s="268"/>
      <c r="K2364" s="268"/>
      <c r="L2364" s="269"/>
      <c r="M2364" s="511" t="str">
        <f>IFERROR(INDEX([1]Produtos!$C:$C,MATCH(L2364,[1]Produtos!$B:$B,0)), "-")</f>
        <v>-</v>
      </c>
      <c r="N2364" s="511" t="str">
        <f>IFERROR(INDEX([1]Produtos!$E:$E,MATCH(L2364,[1]Produtos!$B:$B,0)), "-")</f>
        <v>-</v>
      </c>
      <c r="O2364" s="483" t="str">
        <f>IFERROR(INDEX([1]Produtos!$F:$F,MATCH(L2364,[1]Produtos!$B:$B,0)), "-")</f>
        <v>-</v>
      </c>
      <c r="P2364" s="477" t="str">
        <f>IFERROR(INDEX([1]Produtos!$G:$G,MATCH(L2364,[1]Produtos!$B:$B,0)), "-")</f>
        <v>-</v>
      </c>
      <c r="Q2364" s="483" t="str">
        <f>IFERROR(INDEX([1]Produtos!$H:$H,MATCH(L2364,[1]Produtos!$B:$B,0)), "-")</f>
        <v>-</v>
      </c>
      <c r="R2364" s="483" t="str">
        <f>IFERROR(INDEX([1]Produtos!$I:$I,MATCH(L2364,[1]Produtos!$B:$B,0)), "-")</f>
        <v>-</v>
      </c>
      <c r="S2364" s="483" t="str">
        <f>IFERROR(INDEX([1]Produtos!$J:$J,MATCH(L2364,[1]Produtos!$B:$B,0)), "-")</f>
        <v>-</v>
      </c>
      <c r="T2364" s="484"/>
      <c r="U2364" s="483"/>
      <c r="V2364" s="483"/>
      <c r="W2364" s="483"/>
      <c r="X2364" s="483"/>
      <c r="Y2364" s="483"/>
      <c r="Z2364" s="483"/>
      <c r="AA2364" s="483"/>
      <c r="AB2364" s="483"/>
      <c r="AC2364" s="483"/>
      <c r="AD2364" s="483"/>
      <c r="AE2364" s="483"/>
      <c r="AF2364" s="483"/>
      <c r="AG2364" s="483"/>
      <c r="AH2364" s="483"/>
      <c r="AI2364" s="483"/>
      <c r="AJ2364" s="483"/>
      <c r="AK2364" s="483"/>
      <c r="AL2364" s="483"/>
      <c r="AM2364" s="670"/>
      <c r="AN2364" s="670"/>
      <c r="AO2364" s="711" t="str">
        <f>IF(OR(Table1[[#This Row],[Início Setup Envase]]="",Table1[[#This Row],[Final Setup Envase]]=""),"",Table1[[#This Row],[Final Setup Envase]]-Table1[[#This Row],[Início Setup Envase]])</f>
        <v/>
      </c>
      <c r="AP2364" s="670"/>
      <c r="AQ2364" s="670"/>
      <c r="AR2364" s="483"/>
      <c r="AS2364" s="483"/>
      <c r="AT2364" s="483"/>
      <c r="AU2364" s="483"/>
      <c r="AV2364" s="483"/>
      <c r="AW2364" s="483"/>
      <c r="AX2364" s="483"/>
      <c r="AY2364" s="270"/>
      <c r="AZ2364" s="270"/>
      <c r="BA2364" s="270" t="str">
        <f>IF(Table1[[#This Row],[Data de Início]]="","",YEAR(Table1[[#This Row],[Data de Início]]))</f>
        <v/>
      </c>
      <c r="BB2364" s="270" t="str">
        <f>IF(Table1[[#This Row],[Data de Início]]="","",MONTH(Table1[[#This Row],[Data de Início]]))</f>
        <v/>
      </c>
      <c r="BC2364" s="270"/>
    </row>
    <row r="2365" spans="2:55" x14ac:dyDescent="0.25">
      <c r="B2365" s="470"/>
      <c r="C2365" s="263"/>
      <c r="D2365" s="477" cm="1">
        <f t="array" ref="D2365">IFERROR(HorasUteisFabrica2Turnos(B2365,C2365), "")</f>
        <v>0</v>
      </c>
      <c r="E2365" s="697" t="str">
        <f t="shared" si="37"/>
        <v/>
      </c>
      <c r="F2365" s="266"/>
      <c r="G2365" s="698"/>
      <c r="H2365" s="266"/>
      <c r="I2365" s="268"/>
      <c r="J2365" s="268"/>
      <c r="K2365" s="268"/>
      <c r="L2365" s="269"/>
      <c r="M2365" s="510" t="str">
        <f>IFERROR(INDEX([1]Produtos!$C:$C,MATCH(L2365,[1]Produtos!$B:$B,0)), "-")</f>
        <v>-</v>
      </c>
      <c r="N2365" s="510" t="str">
        <f>IFERROR(INDEX([1]Produtos!$E:$E,MATCH(L2365,[1]Produtos!$B:$B,0)), "-")</f>
        <v>-</v>
      </c>
      <c r="O2365" s="270" t="str">
        <f>IFERROR(INDEX([1]Produtos!$F:$F,MATCH(L2365,[1]Produtos!$B:$B,0)), "-")</f>
        <v>-</v>
      </c>
      <c r="P2365" s="264" t="str">
        <f>IFERROR(INDEX([1]Produtos!$G:$G,MATCH(L2365,[1]Produtos!$B:$B,0)), "-")</f>
        <v>-</v>
      </c>
      <c r="Q2365" s="270" t="str">
        <f>IFERROR(INDEX([1]Produtos!$H:$H,MATCH(L2365,[1]Produtos!$B:$B,0)), "-")</f>
        <v>-</v>
      </c>
      <c r="R2365" s="270" t="str">
        <f>IFERROR(INDEX([1]Produtos!$I:$I,MATCH(L2365,[1]Produtos!$B:$B,0)), "-")</f>
        <v>-</v>
      </c>
      <c r="S2365" s="270" t="str">
        <f>IFERROR(INDEX([1]Produtos!$J:$J,MATCH(L2365,[1]Produtos!$B:$B,0)), "-")</f>
        <v>-</v>
      </c>
      <c r="T2365" s="475"/>
      <c r="U2365" s="270"/>
      <c r="V2365" s="270"/>
      <c r="W2365" s="270"/>
      <c r="X2365" s="270"/>
      <c r="Y2365" s="270"/>
      <c r="Z2365" s="270"/>
      <c r="AA2365" s="270"/>
      <c r="AB2365" s="270"/>
      <c r="AC2365" s="270"/>
      <c r="AD2365" s="270"/>
      <c r="AE2365" s="270"/>
      <c r="AF2365" s="270"/>
      <c r="AG2365" s="270"/>
      <c r="AH2365" s="270"/>
      <c r="AI2365" s="270"/>
      <c r="AJ2365" s="270"/>
      <c r="AK2365" s="270"/>
      <c r="AL2365" s="270"/>
      <c r="AM2365" s="663"/>
      <c r="AN2365" s="663"/>
      <c r="AO2365" s="708" t="str">
        <f>IF(OR(Table1[[#This Row],[Início Setup Envase]]="",Table1[[#This Row],[Final Setup Envase]]=""),"",Table1[[#This Row],[Final Setup Envase]]-Table1[[#This Row],[Início Setup Envase]])</f>
        <v/>
      </c>
      <c r="AP2365" s="663"/>
      <c r="AQ2365" s="663"/>
      <c r="AR2365" s="270"/>
      <c r="AS2365" s="674"/>
      <c r="AT2365" s="674"/>
      <c r="AU2365" s="270"/>
      <c r="AV2365" s="270"/>
      <c r="AW2365" s="270"/>
      <c r="AX2365" s="270"/>
      <c r="AY2365" s="270"/>
      <c r="AZ2365" s="270"/>
      <c r="BA2365" s="270" t="str">
        <f>IF(Table1[[#This Row],[Data de Início]]="","",YEAR(Table1[[#This Row],[Data de Início]]))</f>
        <v/>
      </c>
      <c r="BB2365" s="270" t="str">
        <f>IF(Table1[[#This Row],[Data de Início]]="","",MONTH(Table1[[#This Row],[Data de Início]]))</f>
        <v/>
      </c>
      <c r="BC2365" s="483"/>
    </row>
    <row r="2366" spans="2:55" x14ac:dyDescent="0.25">
      <c r="B2366" s="470"/>
      <c r="C2366" s="263"/>
      <c r="D2366" s="477" cm="1">
        <f t="array" ref="D2366">IFERROR(HorasUteisFabrica2Turnos(B2366,C2366), "")</f>
        <v>0</v>
      </c>
      <c r="E2366" s="478" t="str">
        <f t="shared" si="37"/>
        <v/>
      </c>
      <c r="F2366" s="266"/>
      <c r="G2366" s="656"/>
      <c r="H2366" s="479"/>
      <c r="I2366" s="268"/>
      <c r="J2366" s="268"/>
      <c r="K2366" s="268"/>
      <c r="L2366" s="269"/>
      <c r="M2366" s="511" t="str">
        <f>IFERROR(INDEX([1]Produtos!$C:$C,MATCH(L2366,[1]Produtos!$B:$B,0)), "-")</f>
        <v>-</v>
      </c>
      <c r="N2366" s="511" t="str">
        <f>IFERROR(INDEX([1]Produtos!$E:$E,MATCH(L2366,[1]Produtos!$B:$B,0)), "-")</f>
        <v>-</v>
      </c>
      <c r="O2366" s="483" t="str">
        <f>IFERROR(INDEX([1]Produtos!$F:$F,MATCH(L2366,[1]Produtos!$B:$B,0)), "-")</f>
        <v>-</v>
      </c>
      <c r="P2366" s="477" t="str">
        <f>IFERROR(INDEX([1]Produtos!$G:$G,MATCH(L2366,[1]Produtos!$B:$B,0)), "-")</f>
        <v>-</v>
      </c>
      <c r="Q2366" s="483" t="str">
        <f>IFERROR(INDEX([1]Produtos!$H:$H,MATCH(L2366,[1]Produtos!$B:$B,0)), "-")</f>
        <v>-</v>
      </c>
      <c r="R2366" s="483" t="str">
        <f>IFERROR(INDEX([1]Produtos!$I:$I,MATCH(L2366,[1]Produtos!$B:$B,0)), "-")</f>
        <v>-</v>
      </c>
      <c r="S2366" s="483" t="str">
        <f>IFERROR(INDEX([1]Produtos!$J:$J,MATCH(L2366,[1]Produtos!$B:$B,0)), "-")</f>
        <v>-</v>
      </c>
      <c r="T2366" s="484"/>
      <c r="U2366" s="483"/>
      <c r="V2366" s="483"/>
      <c r="W2366" s="483"/>
      <c r="X2366" s="483"/>
      <c r="Y2366" s="483"/>
      <c r="Z2366" s="483"/>
      <c r="AA2366" s="483"/>
      <c r="AB2366" s="483"/>
      <c r="AC2366" s="483"/>
      <c r="AD2366" s="483"/>
      <c r="AE2366" s="483"/>
      <c r="AF2366" s="483"/>
      <c r="AG2366" s="483"/>
      <c r="AH2366" s="483"/>
      <c r="AI2366" s="483"/>
      <c r="AJ2366" s="483"/>
      <c r="AK2366" s="483"/>
      <c r="AL2366" s="483"/>
      <c r="AM2366" s="670"/>
      <c r="AN2366" s="670"/>
      <c r="AO2366" s="711" t="str">
        <f>IF(OR(Table1[[#This Row],[Início Setup Envase]]="",Table1[[#This Row],[Final Setup Envase]]=""),"",Table1[[#This Row],[Final Setup Envase]]-Table1[[#This Row],[Início Setup Envase]])</f>
        <v/>
      </c>
      <c r="AP2366" s="670"/>
      <c r="AQ2366" s="670"/>
      <c r="AR2366" s="483"/>
      <c r="AS2366" s="483"/>
      <c r="AT2366" s="483"/>
      <c r="AU2366" s="483"/>
      <c r="AV2366" s="483"/>
      <c r="AW2366" s="483"/>
      <c r="AX2366" s="483"/>
      <c r="AY2366" s="270"/>
      <c r="AZ2366" s="270"/>
      <c r="BA2366" s="270" t="str">
        <f>IF(Table1[[#This Row],[Data de Início]]="","",YEAR(Table1[[#This Row],[Data de Início]]))</f>
        <v/>
      </c>
      <c r="BB2366" s="270" t="str">
        <f>IF(Table1[[#This Row],[Data de Início]]="","",MONTH(Table1[[#This Row],[Data de Início]]))</f>
        <v/>
      </c>
      <c r="BC2366" s="270"/>
    </row>
    <row r="2367" spans="2:55" x14ac:dyDescent="0.25">
      <c r="B2367" s="470"/>
      <c r="C2367" s="263"/>
      <c r="D2367" s="477" cm="1">
        <f t="array" ref="D2367">IFERROR(HorasUteisFabrica2Turnos(B2367,C2367), "")</f>
        <v>0</v>
      </c>
      <c r="E2367" s="697" t="str">
        <f t="shared" si="37"/>
        <v/>
      </c>
      <c r="F2367" s="266"/>
      <c r="G2367" s="698"/>
      <c r="H2367" s="266"/>
      <c r="I2367" s="268"/>
      <c r="J2367" s="268"/>
      <c r="K2367" s="268"/>
      <c r="L2367" s="269"/>
      <c r="M2367" s="510" t="str">
        <f>IFERROR(INDEX([1]Produtos!$C:$C,MATCH(L2367,[1]Produtos!$B:$B,0)), "-")</f>
        <v>-</v>
      </c>
      <c r="N2367" s="510" t="str">
        <f>IFERROR(INDEX([1]Produtos!$E:$E,MATCH(L2367,[1]Produtos!$B:$B,0)), "-")</f>
        <v>-</v>
      </c>
      <c r="O2367" s="270" t="str">
        <f>IFERROR(INDEX([1]Produtos!$F:$F,MATCH(L2367,[1]Produtos!$B:$B,0)), "-")</f>
        <v>-</v>
      </c>
      <c r="P2367" s="264" t="str">
        <f>IFERROR(INDEX([1]Produtos!$G:$G,MATCH(L2367,[1]Produtos!$B:$B,0)), "-")</f>
        <v>-</v>
      </c>
      <c r="Q2367" s="270" t="str">
        <f>IFERROR(INDEX([1]Produtos!$H:$H,MATCH(L2367,[1]Produtos!$B:$B,0)), "-")</f>
        <v>-</v>
      </c>
      <c r="R2367" s="270" t="str">
        <f>IFERROR(INDEX([1]Produtos!$I:$I,MATCH(L2367,[1]Produtos!$B:$B,0)), "-")</f>
        <v>-</v>
      </c>
      <c r="S2367" s="270" t="str">
        <f>IFERROR(INDEX([1]Produtos!$J:$J,MATCH(L2367,[1]Produtos!$B:$B,0)), "-")</f>
        <v>-</v>
      </c>
      <c r="T2367" s="475"/>
      <c r="U2367" s="270"/>
      <c r="V2367" s="270"/>
      <c r="W2367" s="270"/>
      <c r="X2367" s="270"/>
      <c r="Y2367" s="270"/>
      <c r="Z2367" s="270"/>
      <c r="AA2367" s="270"/>
      <c r="AB2367" s="270"/>
      <c r="AC2367" s="270"/>
      <c r="AD2367" s="270"/>
      <c r="AE2367" s="270"/>
      <c r="AF2367" s="270"/>
      <c r="AG2367" s="270"/>
      <c r="AH2367" s="270"/>
      <c r="AI2367" s="270"/>
      <c r="AJ2367" s="270"/>
      <c r="AK2367" s="270"/>
      <c r="AL2367" s="270"/>
      <c r="AM2367" s="663"/>
      <c r="AN2367" s="663"/>
      <c r="AO2367" s="708" t="str">
        <f>IF(OR(Table1[[#This Row],[Início Setup Envase]]="",Table1[[#This Row],[Final Setup Envase]]=""),"",Table1[[#This Row],[Final Setup Envase]]-Table1[[#This Row],[Início Setup Envase]])</f>
        <v/>
      </c>
      <c r="AP2367" s="663"/>
      <c r="AQ2367" s="663"/>
      <c r="AR2367" s="270"/>
      <c r="AS2367" s="674"/>
      <c r="AT2367" s="674"/>
      <c r="AU2367" s="270"/>
      <c r="AV2367" s="270"/>
      <c r="AW2367" s="270"/>
      <c r="AX2367" s="270"/>
      <c r="AY2367" s="270"/>
      <c r="AZ2367" s="270"/>
      <c r="BA2367" s="270" t="str">
        <f>IF(Table1[[#This Row],[Data de Início]]="","",YEAR(Table1[[#This Row],[Data de Início]]))</f>
        <v/>
      </c>
      <c r="BB2367" s="270" t="str">
        <f>IF(Table1[[#This Row],[Data de Início]]="","",MONTH(Table1[[#This Row],[Data de Início]]))</f>
        <v/>
      </c>
      <c r="BC2367" s="483"/>
    </row>
    <row r="2368" spans="2:55" x14ac:dyDescent="0.25">
      <c r="B2368" s="470"/>
      <c r="C2368" s="263"/>
      <c r="D2368" s="477" cm="1">
        <f t="array" ref="D2368">IFERROR(HorasUteisFabrica2Turnos(B2368,C2368), "")</f>
        <v>0</v>
      </c>
      <c r="E2368" s="478" t="str">
        <f t="shared" si="37"/>
        <v/>
      </c>
      <c r="F2368" s="266"/>
      <c r="G2368" s="656"/>
      <c r="H2368" s="479"/>
      <c r="I2368" s="268"/>
      <c r="J2368" s="268"/>
      <c r="K2368" s="268"/>
      <c r="L2368" s="269"/>
      <c r="M2368" s="511" t="str">
        <f>IFERROR(INDEX([1]Produtos!$C:$C,MATCH(L2368,[1]Produtos!$B:$B,0)), "-")</f>
        <v>-</v>
      </c>
      <c r="N2368" s="511" t="str">
        <f>IFERROR(INDEX([1]Produtos!$E:$E,MATCH(L2368,[1]Produtos!$B:$B,0)), "-")</f>
        <v>-</v>
      </c>
      <c r="O2368" s="483" t="str">
        <f>IFERROR(INDEX([1]Produtos!$F:$F,MATCH(L2368,[1]Produtos!$B:$B,0)), "-")</f>
        <v>-</v>
      </c>
      <c r="P2368" s="477" t="str">
        <f>IFERROR(INDEX([1]Produtos!$G:$G,MATCH(L2368,[1]Produtos!$B:$B,0)), "-")</f>
        <v>-</v>
      </c>
      <c r="Q2368" s="483" t="str">
        <f>IFERROR(INDEX([1]Produtos!$H:$H,MATCH(L2368,[1]Produtos!$B:$B,0)), "-")</f>
        <v>-</v>
      </c>
      <c r="R2368" s="483" t="str">
        <f>IFERROR(INDEX([1]Produtos!$I:$I,MATCH(L2368,[1]Produtos!$B:$B,0)), "-")</f>
        <v>-</v>
      </c>
      <c r="S2368" s="483" t="str">
        <f>IFERROR(INDEX([1]Produtos!$J:$J,MATCH(L2368,[1]Produtos!$B:$B,0)), "-")</f>
        <v>-</v>
      </c>
      <c r="T2368" s="484"/>
      <c r="U2368" s="483"/>
      <c r="V2368" s="483"/>
      <c r="W2368" s="483"/>
      <c r="X2368" s="483"/>
      <c r="Y2368" s="483"/>
      <c r="Z2368" s="483"/>
      <c r="AA2368" s="483"/>
      <c r="AB2368" s="483"/>
      <c r="AC2368" s="483"/>
      <c r="AD2368" s="483"/>
      <c r="AE2368" s="483"/>
      <c r="AF2368" s="483"/>
      <c r="AG2368" s="483"/>
      <c r="AH2368" s="483"/>
      <c r="AI2368" s="483"/>
      <c r="AJ2368" s="483"/>
      <c r="AK2368" s="483"/>
      <c r="AL2368" s="483"/>
      <c r="AM2368" s="670"/>
      <c r="AN2368" s="670"/>
      <c r="AO2368" s="711" t="str">
        <f>IF(OR(Table1[[#This Row],[Início Setup Envase]]="",Table1[[#This Row],[Final Setup Envase]]=""),"",Table1[[#This Row],[Final Setup Envase]]-Table1[[#This Row],[Início Setup Envase]])</f>
        <v/>
      </c>
      <c r="AP2368" s="670"/>
      <c r="AQ2368" s="670"/>
      <c r="AR2368" s="483"/>
      <c r="AS2368" s="483"/>
      <c r="AT2368" s="483"/>
      <c r="AU2368" s="483"/>
      <c r="AV2368" s="483"/>
      <c r="AW2368" s="483"/>
      <c r="AX2368" s="483"/>
      <c r="AY2368" s="270"/>
      <c r="AZ2368" s="270"/>
      <c r="BA2368" s="270" t="str">
        <f>IF(Table1[[#This Row],[Data de Início]]="","",YEAR(Table1[[#This Row],[Data de Início]]))</f>
        <v/>
      </c>
      <c r="BB2368" s="270" t="str">
        <f>IF(Table1[[#This Row],[Data de Início]]="","",MONTH(Table1[[#This Row],[Data de Início]]))</f>
        <v/>
      </c>
      <c r="BC2368" s="270"/>
    </row>
    <row r="2369" spans="2:55" x14ac:dyDescent="0.25">
      <c r="B2369" s="470"/>
      <c r="C2369" s="263"/>
      <c r="D2369" s="477" cm="1">
        <f t="array" ref="D2369">IFERROR(HorasUteisFabrica2Turnos(B2369,C2369), "")</f>
        <v>0</v>
      </c>
      <c r="E2369" s="697" t="str">
        <f t="shared" si="37"/>
        <v/>
      </c>
      <c r="F2369" s="266"/>
      <c r="G2369" s="698"/>
      <c r="H2369" s="266"/>
      <c r="I2369" s="268"/>
      <c r="J2369" s="268"/>
      <c r="K2369" s="268"/>
      <c r="L2369" s="269"/>
      <c r="M2369" s="510" t="str">
        <f>IFERROR(INDEX([1]Produtos!$C:$C,MATCH(L2369,[1]Produtos!$B:$B,0)), "-")</f>
        <v>-</v>
      </c>
      <c r="N2369" s="510" t="str">
        <f>IFERROR(INDEX([1]Produtos!$E:$E,MATCH(L2369,[1]Produtos!$B:$B,0)), "-")</f>
        <v>-</v>
      </c>
      <c r="O2369" s="270" t="str">
        <f>IFERROR(INDEX([1]Produtos!$F:$F,MATCH(L2369,[1]Produtos!$B:$B,0)), "-")</f>
        <v>-</v>
      </c>
      <c r="P2369" s="264" t="str">
        <f>IFERROR(INDEX([1]Produtos!$G:$G,MATCH(L2369,[1]Produtos!$B:$B,0)), "-")</f>
        <v>-</v>
      </c>
      <c r="Q2369" s="270" t="str">
        <f>IFERROR(INDEX([1]Produtos!$H:$H,MATCH(L2369,[1]Produtos!$B:$B,0)), "-")</f>
        <v>-</v>
      </c>
      <c r="R2369" s="270" t="str">
        <f>IFERROR(INDEX([1]Produtos!$I:$I,MATCH(L2369,[1]Produtos!$B:$B,0)), "-")</f>
        <v>-</v>
      </c>
      <c r="S2369" s="270" t="str">
        <f>IFERROR(INDEX([1]Produtos!$J:$J,MATCH(L2369,[1]Produtos!$B:$B,0)), "-")</f>
        <v>-</v>
      </c>
      <c r="T2369" s="475"/>
      <c r="U2369" s="270"/>
      <c r="V2369" s="270"/>
      <c r="W2369" s="270"/>
      <c r="X2369" s="270"/>
      <c r="Y2369" s="270"/>
      <c r="Z2369" s="270"/>
      <c r="AA2369" s="270"/>
      <c r="AB2369" s="270"/>
      <c r="AC2369" s="270"/>
      <c r="AD2369" s="270"/>
      <c r="AE2369" s="270"/>
      <c r="AF2369" s="270"/>
      <c r="AG2369" s="270"/>
      <c r="AH2369" s="270"/>
      <c r="AI2369" s="270"/>
      <c r="AJ2369" s="270"/>
      <c r="AK2369" s="270"/>
      <c r="AL2369" s="270"/>
      <c r="AM2369" s="663"/>
      <c r="AN2369" s="663"/>
      <c r="AO2369" s="708" t="str">
        <f>IF(OR(Table1[[#This Row],[Início Setup Envase]]="",Table1[[#This Row],[Final Setup Envase]]=""),"",Table1[[#This Row],[Final Setup Envase]]-Table1[[#This Row],[Início Setup Envase]])</f>
        <v/>
      </c>
      <c r="AP2369" s="663"/>
      <c r="AQ2369" s="663"/>
      <c r="AR2369" s="270"/>
      <c r="AS2369" s="674"/>
      <c r="AT2369" s="674"/>
      <c r="AU2369" s="270"/>
      <c r="AV2369" s="270"/>
      <c r="AW2369" s="270"/>
      <c r="AX2369" s="270"/>
      <c r="AY2369" s="270"/>
      <c r="AZ2369" s="270"/>
      <c r="BA2369" s="270" t="str">
        <f>IF(Table1[[#This Row],[Data de Início]]="","",YEAR(Table1[[#This Row],[Data de Início]]))</f>
        <v/>
      </c>
      <c r="BB2369" s="270" t="str">
        <f>IF(Table1[[#This Row],[Data de Início]]="","",MONTH(Table1[[#This Row],[Data de Início]]))</f>
        <v/>
      </c>
      <c r="BC2369" s="483"/>
    </row>
    <row r="2370" spans="2:55" x14ac:dyDescent="0.25">
      <c r="B2370" s="470"/>
      <c r="C2370" s="263"/>
      <c r="D2370" s="477" cm="1">
        <f t="array" ref="D2370">IFERROR(HorasUteisFabrica2Turnos(B2370,C2370), "")</f>
        <v>0</v>
      </c>
      <c r="E2370" s="478" t="str">
        <f t="shared" si="37"/>
        <v/>
      </c>
      <c r="F2370" s="266"/>
      <c r="G2370" s="656"/>
      <c r="H2370" s="479"/>
      <c r="I2370" s="268"/>
      <c r="J2370" s="268"/>
      <c r="K2370" s="268"/>
      <c r="L2370" s="269"/>
      <c r="M2370" s="511" t="str">
        <f>IFERROR(INDEX([1]Produtos!$C:$C,MATCH(L2370,[1]Produtos!$B:$B,0)), "-")</f>
        <v>-</v>
      </c>
      <c r="N2370" s="511" t="str">
        <f>IFERROR(INDEX([1]Produtos!$E:$E,MATCH(L2370,[1]Produtos!$B:$B,0)), "-")</f>
        <v>-</v>
      </c>
      <c r="O2370" s="483" t="str">
        <f>IFERROR(INDEX([1]Produtos!$F:$F,MATCH(L2370,[1]Produtos!$B:$B,0)), "-")</f>
        <v>-</v>
      </c>
      <c r="P2370" s="477" t="str">
        <f>IFERROR(INDEX([1]Produtos!$G:$G,MATCH(L2370,[1]Produtos!$B:$B,0)), "-")</f>
        <v>-</v>
      </c>
      <c r="Q2370" s="483" t="str">
        <f>IFERROR(INDEX([1]Produtos!$H:$H,MATCH(L2370,[1]Produtos!$B:$B,0)), "-")</f>
        <v>-</v>
      </c>
      <c r="R2370" s="483" t="str">
        <f>IFERROR(INDEX([1]Produtos!$I:$I,MATCH(L2370,[1]Produtos!$B:$B,0)), "-")</f>
        <v>-</v>
      </c>
      <c r="S2370" s="483" t="str">
        <f>IFERROR(INDEX([1]Produtos!$J:$J,MATCH(L2370,[1]Produtos!$B:$B,0)), "-")</f>
        <v>-</v>
      </c>
      <c r="T2370" s="484"/>
      <c r="U2370" s="483"/>
      <c r="V2370" s="483"/>
      <c r="W2370" s="483"/>
      <c r="X2370" s="483"/>
      <c r="Y2370" s="483"/>
      <c r="Z2370" s="483"/>
      <c r="AA2370" s="483"/>
      <c r="AB2370" s="483"/>
      <c r="AC2370" s="483"/>
      <c r="AD2370" s="483"/>
      <c r="AE2370" s="483"/>
      <c r="AF2370" s="483"/>
      <c r="AG2370" s="483"/>
      <c r="AH2370" s="483"/>
      <c r="AI2370" s="483"/>
      <c r="AJ2370" s="483"/>
      <c r="AK2370" s="483"/>
      <c r="AL2370" s="483"/>
      <c r="AM2370" s="670"/>
      <c r="AN2370" s="670"/>
      <c r="AO2370" s="711" t="str">
        <f>IF(OR(Table1[[#This Row],[Início Setup Envase]]="",Table1[[#This Row],[Final Setup Envase]]=""),"",Table1[[#This Row],[Final Setup Envase]]-Table1[[#This Row],[Início Setup Envase]])</f>
        <v/>
      </c>
      <c r="AP2370" s="670"/>
      <c r="AQ2370" s="670"/>
      <c r="AR2370" s="483"/>
      <c r="AS2370" s="483"/>
      <c r="AT2370" s="483"/>
      <c r="AU2370" s="483"/>
      <c r="AV2370" s="483"/>
      <c r="AW2370" s="483"/>
      <c r="AX2370" s="483"/>
      <c r="AY2370" s="270"/>
      <c r="AZ2370" s="270"/>
      <c r="BA2370" s="270" t="str">
        <f>IF(Table1[[#This Row],[Data de Início]]="","",YEAR(Table1[[#This Row],[Data de Início]]))</f>
        <v/>
      </c>
      <c r="BB2370" s="270" t="str">
        <f>IF(Table1[[#This Row],[Data de Início]]="","",MONTH(Table1[[#This Row],[Data de Início]]))</f>
        <v/>
      </c>
      <c r="BC2370" s="270"/>
    </row>
    <row r="2371" spans="2:55" x14ac:dyDescent="0.25">
      <c r="B2371" s="470"/>
      <c r="C2371" s="263"/>
      <c r="D2371" s="477" cm="1">
        <f t="array" ref="D2371">IFERROR(HorasUteisFabrica2Turnos(B2371,C2371), "")</f>
        <v>0</v>
      </c>
      <c r="E2371" s="697" t="str">
        <f t="shared" si="37"/>
        <v/>
      </c>
      <c r="F2371" s="266"/>
      <c r="G2371" s="698"/>
      <c r="H2371" s="266"/>
      <c r="I2371" s="268"/>
      <c r="J2371" s="268"/>
      <c r="K2371" s="268"/>
      <c r="L2371" s="269"/>
      <c r="M2371" s="510" t="str">
        <f>IFERROR(INDEX([1]Produtos!$C:$C,MATCH(L2371,[1]Produtos!$B:$B,0)), "-")</f>
        <v>-</v>
      </c>
      <c r="N2371" s="510" t="str">
        <f>IFERROR(INDEX([1]Produtos!$E:$E,MATCH(L2371,[1]Produtos!$B:$B,0)), "-")</f>
        <v>-</v>
      </c>
      <c r="O2371" s="270" t="str">
        <f>IFERROR(INDEX([1]Produtos!$F:$F,MATCH(L2371,[1]Produtos!$B:$B,0)), "-")</f>
        <v>-</v>
      </c>
      <c r="P2371" s="264" t="str">
        <f>IFERROR(INDEX([1]Produtos!$G:$G,MATCH(L2371,[1]Produtos!$B:$B,0)), "-")</f>
        <v>-</v>
      </c>
      <c r="Q2371" s="270" t="str">
        <f>IFERROR(INDEX([1]Produtos!$H:$H,MATCH(L2371,[1]Produtos!$B:$B,0)), "-")</f>
        <v>-</v>
      </c>
      <c r="R2371" s="270" t="str">
        <f>IFERROR(INDEX([1]Produtos!$I:$I,MATCH(L2371,[1]Produtos!$B:$B,0)), "-")</f>
        <v>-</v>
      </c>
      <c r="S2371" s="270" t="str">
        <f>IFERROR(INDEX([1]Produtos!$J:$J,MATCH(L2371,[1]Produtos!$B:$B,0)), "-")</f>
        <v>-</v>
      </c>
      <c r="T2371" s="475"/>
      <c r="U2371" s="270"/>
      <c r="V2371" s="270"/>
      <c r="W2371" s="270"/>
      <c r="X2371" s="270"/>
      <c r="Y2371" s="270"/>
      <c r="Z2371" s="270"/>
      <c r="AA2371" s="270"/>
      <c r="AB2371" s="270"/>
      <c r="AC2371" s="270"/>
      <c r="AD2371" s="270"/>
      <c r="AE2371" s="270"/>
      <c r="AF2371" s="270"/>
      <c r="AG2371" s="270"/>
      <c r="AH2371" s="270"/>
      <c r="AI2371" s="270"/>
      <c r="AJ2371" s="270"/>
      <c r="AK2371" s="270"/>
      <c r="AL2371" s="270"/>
      <c r="AM2371" s="663"/>
      <c r="AN2371" s="663"/>
      <c r="AO2371" s="708" t="str">
        <f>IF(OR(Table1[[#This Row],[Início Setup Envase]]="",Table1[[#This Row],[Final Setup Envase]]=""),"",Table1[[#This Row],[Final Setup Envase]]-Table1[[#This Row],[Início Setup Envase]])</f>
        <v/>
      </c>
      <c r="AP2371" s="663"/>
      <c r="AQ2371" s="663"/>
      <c r="AR2371" s="270"/>
      <c r="AS2371" s="674"/>
      <c r="AT2371" s="674"/>
      <c r="AU2371" s="270"/>
      <c r="AV2371" s="270"/>
      <c r="AW2371" s="270"/>
      <c r="AX2371" s="270"/>
      <c r="AY2371" s="270"/>
      <c r="AZ2371" s="270"/>
      <c r="BA2371" s="270" t="str">
        <f>IF(Table1[[#This Row],[Data de Início]]="","",YEAR(Table1[[#This Row],[Data de Início]]))</f>
        <v/>
      </c>
      <c r="BB2371" s="270" t="str">
        <f>IF(Table1[[#This Row],[Data de Início]]="","",MONTH(Table1[[#This Row],[Data de Início]]))</f>
        <v/>
      </c>
      <c r="BC2371" s="483"/>
    </row>
    <row r="2372" spans="2:55" x14ac:dyDescent="0.25">
      <c r="B2372" s="470"/>
      <c r="C2372" s="263"/>
      <c r="D2372" s="477" cm="1">
        <f t="array" ref="D2372">IFERROR(HorasUteisFabrica2Turnos(B2372,C2372), "")</f>
        <v>0</v>
      </c>
      <c r="E2372" s="478" t="str">
        <f t="shared" si="37"/>
        <v/>
      </c>
      <c r="F2372" s="266"/>
      <c r="G2372" s="656"/>
      <c r="H2372" s="479"/>
      <c r="I2372" s="268"/>
      <c r="J2372" s="268"/>
      <c r="K2372" s="268"/>
      <c r="L2372" s="269"/>
      <c r="M2372" s="511" t="str">
        <f>IFERROR(INDEX([1]Produtos!$C:$C,MATCH(L2372,[1]Produtos!$B:$B,0)), "-")</f>
        <v>-</v>
      </c>
      <c r="N2372" s="511" t="str">
        <f>IFERROR(INDEX([1]Produtos!$E:$E,MATCH(L2372,[1]Produtos!$B:$B,0)), "-")</f>
        <v>-</v>
      </c>
      <c r="O2372" s="483" t="str">
        <f>IFERROR(INDEX([1]Produtos!$F:$F,MATCH(L2372,[1]Produtos!$B:$B,0)), "-")</f>
        <v>-</v>
      </c>
      <c r="P2372" s="477" t="str">
        <f>IFERROR(INDEX([1]Produtos!$G:$G,MATCH(L2372,[1]Produtos!$B:$B,0)), "-")</f>
        <v>-</v>
      </c>
      <c r="Q2372" s="483" t="str">
        <f>IFERROR(INDEX([1]Produtos!$H:$H,MATCH(L2372,[1]Produtos!$B:$B,0)), "-")</f>
        <v>-</v>
      </c>
      <c r="R2372" s="483" t="str">
        <f>IFERROR(INDEX([1]Produtos!$I:$I,MATCH(L2372,[1]Produtos!$B:$B,0)), "-")</f>
        <v>-</v>
      </c>
      <c r="S2372" s="483" t="str">
        <f>IFERROR(INDEX([1]Produtos!$J:$J,MATCH(L2372,[1]Produtos!$B:$B,0)), "-")</f>
        <v>-</v>
      </c>
      <c r="T2372" s="484"/>
      <c r="U2372" s="483"/>
      <c r="V2372" s="483"/>
      <c r="W2372" s="483"/>
      <c r="X2372" s="483"/>
      <c r="Y2372" s="483"/>
      <c r="Z2372" s="483"/>
      <c r="AA2372" s="483"/>
      <c r="AB2372" s="483"/>
      <c r="AC2372" s="483"/>
      <c r="AD2372" s="483"/>
      <c r="AE2372" s="483"/>
      <c r="AF2372" s="483"/>
      <c r="AG2372" s="483"/>
      <c r="AH2372" s="483"/>
      <c r="AI2372" s="483"/>
      <c r="AJ2372" s="483"/>
      <c r="AK2372" s="483"/>
      <c r="AL2372" s="483"/>
      <c r="AM2372" s="670"/>
      <c r="AN2372" s="670"/>
      <c r="AO2372" s="711" t="str">
        <f>IF(OR(Table1[[#This Row],[Início Setup Envase]]="",Table1[[#This Row],[Final Setup Envase]]=""),"",Table1[[#This Row],[Final Setup Envase]]-Table1[[#This Row],[Início Setup Envase]])</f>
        <v/>
      </c>
      <c r="AP2372" s="670"/>
      <c r="AQ2372" s="670"/>
      <c r="AR2372" s="483"/>
      <c r="AS2372" s="483"/>
      <c r="AT2372" s="483"/>
      <c r="AU2372" s="483"/>
      <c r="AV2372" s="483"/>
      <c r="AW2372" s="483"/>
      <c r="AX2372" s="483"/>
      <c r="AY2372" s="270"/>
      <c r="AZ2372" s="270"/>
      <c r="BA2372" s="270" t="str">
        <f>IF(Table1[[#This Row],[Data de Início]]="","",YEAR(Table1[[#This Row],[Data de Início]]))</f>
        <v/>
      </c>
      <c r="BB2372" s="270" t="str">
        <f>IF(Table1[[#This Row],[Data de Início]]="","",MONTH(Table1[[#This Row],[Data de Início]]))</f>
        <v/>
      </c>
      <c r="BC2372" s="270"/>
    </row>
    <row r="2373" spans="2:55" x14ac:dyDescent="0.25">
      <c r="B2373" s="470"/>
      <c r="C2373" s="263"/>
      <c r="D2373" s="477" cm="1">
        <f t="array" ref="D2373">IFERROR(HorasUteisFabrica2Turnos(B2373,C2373), "")</f>
        <v>0</v>
      </c>
      <c r="E2373" s="697" t="str">
        <f t="shared" si="37"/>
        <v/>
      </c>
      <c r="F2373" s="266"/>
      <c r="G2373" s="698"/>
      <c r="H2373" s="266"/>
      <c r="I2373" s="268"/>
      <c r="J2373" s="268"/>
      <c r="K2373" s="268"/>
      <c r="L2373" s="269"/>
      <c r="M2373" s="510" t="str">
        <f>IFERROR(INDEX([1]Produtos!$C:$C,MATCH(L2373,[1]Produtos!$B:$B,0)), "-")</f>
        <v>-</v>
      </c>
      <c r="N2373" s="510" t="str">
        <f>IFERROR(INDEX([1]Produtos!$E:$E,MATCH(L2373,[1]Produtos!$B:$B,0)), "-")</f>
        <v>-</v>
      </c>
      <c r="O2373" s="270" t="str">
        <f>IFERROR(INDEX([1]Produtos!$F:$F,MATCH(L2373,[1]Produtos!$B:$B,0)), "-")</f>
        <v>-</v>
      </c>
      <c r="P2373" s="264" t="str">
        <f>IFERROR(INDEX([1]Produtos!$G:$G,MATCH(L2373,[1]Produtos!$B:$B,0)), "-")</f>
        <v>-</v>
      </c>
      <c r="Q2373" s="270" t="str">
        <f>IFERROR(INDEX([1]Produtos!$H:$H,MATCH(L2373,[1]Produtos!$B:$B,0)), "-")</f>
        <v>-</v>
      </c>
      <c r="R2373" s="270" t="str">
        <f>IFERROR(INDEX([1]Produtos!$I:$I,MATCH(L2373,[1]Produtos!$B:$B,0)), "-")</f>
        <v>-</v>
      </c>
      <c r="S2373" s="270" t="str">
        <f>IFERROR(INDEX([1]Produtos!$J:$J,MATCH(L2373,[1]Produtos!$B:$B,0)), "-")</f>
        <v>-</v>
      </c>
      <c r="T2373" s="475"/>
      <c r="U2373" s="270"/>
      <c r="V2373" s="270"/>
      <c r="W2373" s="270"/>
      <c r="X2373" s="270"/>
      <c r="Y2373" s="270"/>
      <c r="Z2373" s="270"/>
      <c r="AA2373" s="270"/>
      <c r="AB2373" s="270"/>
      <c r="AC2373" s="270"/>
      <c r="AD2373" s="270"/>
      <c r="AE2373" s="270"/>
      <c r="AF2373" s="270"/>
      <c r="AG2373" s="270"/>
      <c r="AH2373" s="270"/>
      <c r="AI2373" s="270"/>
      <c r="AJ2373" s="270"/>
      <c r="AK2373" s="270"/>
      <c r="AL2373" s="270"/>
      <c r="AM2373" s="663"/>
      <c r="AN2373" s="663"/>
      <c r="AO2373" s="708" t="str">
        <f>IF(OR(Table1[[#This Row],[Início Setup Envase]]="",Table1[[#This Row],[Final Setup Envase]]=""),"",Table1[[#This Row],[Final Setup Envase]]-Table1[[#This Row],[Início Setup Envase]])</f>
        <v/>
      </c>
      <c r="AP2373" s="663"/>
      <c r="AQ2373" s="663"/>
      <c r="AR2373" s="270"/>
      <c r="AS2373" s="674"/>
      <c r="AT2373" s="674"/>
      <c r="AU2373" s="270"/>
      <c r="AV2373" s="270"/>
      <c r="AW2373" s="270"/>
      <c r="AX2373" s="270"/>
      <c r="AY2373" s="270"/>
      <c r="AZ2373" s="270"/>
      <c r="BA2373" s="270" t="str">
        <f>IF(Table1[[#This Row],[Data de Início]]="","",YEAR(Table1[[#This Row],[Data de Início]]))</f>
        <v/>
      </c>
      <c r="BB2373" s="270" t="str">
        <f>IF(Table1[[#This Row],[Data de Início]]="","",MONTH(Table1[[#This Row],[Data de Início]]))</f>
        <v/>
      </c>
      <c r="BC2373" s="483"/>
    </row>
    <row r="2374" spans="2:55" x14ac:dyDescent="0.25">
      <c r="B2374" s="470"/>
      <c r="C2374" s="263"/>
      <c r="D2374" s="477" cm="1">
        <f t="array" ref="D2374">IFERROR(HorasUteisFabrica2Turnos(B2374,C2374), "")</f>
        <v>0</v>
      </c>
      <c r="E2374" s="478" t="str">
        <f t="shared" si="37"/>
        <v/>
      </c>
      <c r="F2374" s="266"/>
      <c r="G2374" s="656"/>
      <c r="H2374" s="479"/>
      <c r="I2374" s="268"/>
      <c r="J2374" s="268"/>
      <c r="K2374" s="268"/>
      <c r="L2374" s="269"/>
      <c r="M2374" s="511" t="str">
        <f>IFERROR(INDEX([1]Produtos!$C:$C,MATCH(L2374,[1]Produtos!$B:$B,0)), "-")</f>
        <v>-</v>
      </c>
      <c r="N2374" s="511" t="str">
        <f>IFERROR(INDEX([1]Produtos!$E:$E,MATCH(L2374,[1]Produtos!$B:$B,0)), "-")</f>
        <v>-</v>
      </c>
      <c r="O2374" s="483" t="str">
        <f>IFERROR(INDEX([1]Produtos!$F:$F,MATCH(L2374,[1]Produtos!$B:$B,0)), "-")</f>
        <v>-</v>
      </c>
      <c r="P2374" s="477" t="str">
        <f>IFERROR(INDEX([1]Produtos!$G:$G,MATCH(L2374,[1]Produtos!$B:$B,0)), "-")</f>
        <v>-</v>
      </c>
      <c r="Q2374" s="483" t="str">
        <f>IFERROR(INDEX([1]Produtos!$H:$H,MATCH(L2374,[1]Produtos!$B:$B,0)), "-")</f>
        <v>-</v>
      </c>
      <c r="R2374" s="483" t="str">
        <f>IFERROR(INDEX([1]Produtos!$I:$I,MATCH(L2374,[1]Produtos!$B:$B,0)), "-")</f>
        <v>-</v>
      </c>
      <c r="S2374" s="483" t="str">
        <f>IFERROR(INDEX([1]Produtos!$J:$J,MATCH(L2374,[1]Produtos!$B:$B,0)), "-")</f>
        <v>-</v>
      </c>
      <c r="T2374" s="484"/>
      <c r="U2374" s="483"/>
      <c r="V2374" s="483"/>
      <c r="W2374" s="483"/>
      <c r="X2374" s="483"/>
      <c r="Y2374" s="483"/>
      <c r="Z2374" s="483"/>
      <c r="AA2374" s="483"/>
      <c r="AB2374" s="483"/>
      <c r="AC2374" s="483"/>
      <c r="AD2374" s="483"/>
      <c r="AE2374" s="483"/>
      <c r="AF2374" s="483"/>
      <c r="AG2374" s="483"/>
      <c r="AH2374" s="483"/>
      <c r="AI2374" s="483"/>
      <c r="AJ2374" s="483"/>
      <c r="AK2374" s="483"/>
      <c r="AL2374" s="483"/>
      <c r="AM2374" s="670"/>
      <c r="AN2374" s="670"/>
      <c r="AO2374" s="711" t="str">
        <f>IF(OR(Table1[[#This Row],[Início Setup Envase]]="",Table1[[#This Row],[Final Setup Envase]]=""),"",Table1[[#This Row],[Final Setup Envase]]-Table1[[#This Row],[Início Setup Envase]])</f>
        <v/>
      </c>
      <c r="AP2374" s="670"/>
      <c r="AQ2374" s="670"/>
      <c r="AR2374" s="483"/>
      <c r="AS2374" s="483"/>
      <c r="AT2374" s="483"/>
      <c r="AU2374" s="483"/>
      <c r="AV2374" s="483"/>
      <c r="AW2374" s="483"/>
      <c r="AX2374" s="483"/>
      <c r="AY2374" s="270"/>
      <c r="AZ2374" s="270"/>
      <c r="BA2374" s="270" t="str">
        <f>IF(Table1[[#This Row],[Data de Início]]="","",YEAR(Table1[[#This Row],[Data de Início]]))</f>
        <v/>
      </c>
      <c r="BB2374" s="270" t="str">
        <f>IF(Table1[[#This Row],[Data de Início]]="","",MONTH(Table1[[#This Row],[Data de Início]]))</f>
        <v/>
      </c>
      <c r="BC2374" s="270"/>
    </row>
    <row r="2375" spans="2:55" x14ac:dyDescent="0.25">
      <c r="B2375" s="470"/>
      <c r="C2375" s="263"/>
      <c r="D2375" s="477" cm="1">
        <f t="array" ref="D2375">IFERROR(HorasUteisFabrica2Turnos(B2375,C2375), "")</f>
        <v>0</v>
      </c>
      <c r="E2375" s="697" t="str">
        <f t="shared" si="37"/>
        <v/>
      </c>
      <c r="F2375" s="266"/>
      <c r="G2375" s="698"/>
      <c r="H2375" s="266"/>
      <c r="I2375" s="268"/>
      <c r="J2375" s="268"/>
      <c r="K2375" s="268"/>
      <c r="L2375" s="269"/>
      <c r="M2375" s="510" t="str">
        <f>IFERROR(INDEX([1]Produtos!$C:$C,MATCH(L2375,[1]Produtos!$B:$B,0)), "-")</f>
        <v>-</v>
      </c>
      <c r="N2375" s="510" t="str">
        <f>IFERROR(INDEX([1]Produtos!$E:$E,MATCH(L2375,[1]Produtos!$B:$B,0)), "-")</f>
        <v>-</v>
      </c>
      <c r="O2375" s="270" t="str">
        <f>IFERROR(INDEX([1]Produtos!$F:$F,MATCH(L2375,[1]Produtos!$B:$B,0)), "-")</f>
        <v>-</v>
      </c>
      <c r="P2375" s="264" t="str">
        <f>IFERROR(INDEX([1]Produtos!$G:$G,MATCH(L2375,[1]Produtos!$B:$B,0)), "-")</f>
        <v>-</v>
      </c>
      <c r="Q2375" s="270" t="str">
        <f>IFERROR(INDEX([1]Produtos!$H:$H,MATCH(L2375,[1]Produtos!$B:$B,0)), "-")</f>
        <v>-</v>
      </c>
      <c r="R2375" s="270" t="str">
        <f>IFERROR(INDEX([1]Produtos!$I:$I,MATCH(L2375,[1]Produtos!$B:$B,0)), "-")</f>
        <v>-</v>
      </c>
      <c r="S2375" s="270" t="str">
        <f>IFERROR(INDEX([1]Produtos!$J:$J,MATCH(L2375,[1]Produtos!$B:$B,0)), "-")</f>
        <v>-</v>
      </c>
      <c r="T2375" s="475"/>
      <c r="U2375" s="270"/>
      <c r="V2375" s="270"/>
      <c r="W2375" s="270"/>
      <c r="X2375" s="270"/>
      <c r="Y2375" s="270"/>
      <c r="Z2375" s="270"/>
      <c r="AA2375" s="270"/>
      <c r="AB2375" s="270"/>
      <c r="AC2375" s="270"/>
      <c r="AD2375" s="270"/>
      <c r="AE2375" s="270"/>
      <c r="AF2375" s="270"/>
      <c r="AG2375" s="270"/>
      <c r="AH2375" s="270"/>
      <c r="AI2375" s="270"/>
      <c r="AJ2375" s="270"/>
      <c r="AK2375" s="270"/>
      <c r="AL2375" s="270"/>
      <c r="AM2375" s="663"/>
      <c r="AN2375" s="663"/>
      <c r="AO2375" s="708" t="str">
        <f>IF(OR(Table1[[#This Row],[Início Setup Envase]]="",Table1[[#This Row],[Final Setup Envase]]=""),"",Table1[[#This Row],[Final Setup Envase]]-Table1[[#This Row],[Início Setup Envase]])</f>
        <v/>
      </c>
      <c r="AP2375" s="663"/>
      <c r="AQ2375" s="663"/>
      <c r="AR2375" s="270"/>
      <c r="AS2375" s="674"/>
      <c r="AT2375" s="674"/>
      <c r="AU2375" s="270"/>
      <c r="AV2375" s="270"/>
      <c r="AW2375" s="270"/>
      <c r="AX2375" s="270"/>
      <c r="AY2375" s="270"/>
      <c r="AZ2375" s="270"/>
      <c r="BA2375" s="270" t="str">
        <f>IF(Table1[[#This Row],[Data de Início]]="","",YEAR(Table1[[#This Row],[Data de Início]]))</f>
        <v/>
      </c>
      <c r="BB2375" s="270" t="str">
        <f>IF(Table1[[#This Row],[Data de Início]]="","",MONTH(Table1[[#This Row],[Data de Início]]))</f>
        <v/>
      </c>
      <c r="BC2375" s="483"/>
    </row>
    <row r="2376" spans="2:55" x14ac:dyDescent="0.25">
      <c r="B2376" s="470"/>
      <c r="C2376" s="263"/>
      <c r="D2376" s="477" cm="1">
        <f t="array" ref="D2376">IFERROR(HorasUteisFabrica2Turnos(B2376,C2376), "")</f>
        <v>0</v>
      </c>
      <c r="E2376" s="478" t="str">
        <f t="shared" si="37"/>
        <v/>
      </c>
      <c r="F2376" s="266"/>
      <c r="G2376" s="656"/>
      <c r="H2376" s="479"/>
      <c r="I2376" s="268"/>
      <c r="J2376" s="268"/>
      <c r="K2376" s="268"/>
      <c r="L2376" s="269"/>
      <c r="M2376" s="511" t="str">
        <f>IFERROR(INDEX([1]Produtos!$C:$C,MATCH(L2376,[1]Produtos!$B:$B,0)), "-")</f>
        <v>-</v>
      </c>
      <c r="N2376" s="511" t="str">
        <f>IFERROR(INDEX([1]Produtos!$E:$E,MATCH(L2376,[1]Produtos!$B:$B,0)), "-")</f>
        <v>-</v>
      </c>
      <c r="O2376" s="483" t="str">
        <f>IFERROR(INDEX([1]Produtos!$F:$F,MATCH(L2376,[1]Produtos!$B:$B,0)), "-")</f>
        <v>-</v>
      </c>
      <c r="P2376" s="477" t="str">
        <f>IFERROR(INDEX([1]Produtos!$G:$G,MATCH(L2376,[1]Produtos!$B:$B,0)), "-")</f>
        <v>-</v>
      </c>
      <c r="Q2376" s="483" t="str">
        <f>IFERROR(INDEX([1]Produtos!$H:$H,MATCH(L2376,[1]Produtos!$B:$B,0)), "-")</f>
        <v>-</v>
      </c>
      <c r="R2376" s="483" t="str">
        <f>IFERROR(INDEX([1]Produtos!$I:$I,MATCH(L2376,[1]Produtos!$B:$B,0)), "-")</f>
        <v>-</v>
      </c>
      <c r="S2376" s="483" t="str">
        <f>IFERROR(INDEX([1]Produtos!$J:$J,MATCH(L2376,[1]Produtos!$B:$B,0)), "-")</f>
        <v>-</v>
      </c>
      <c r="T2376" s="484"/>
      <c r="U2376" s="483"/>
      <c r="V2376" s="483"/>
      <c r="W2376" s="483"/>
      <c r="X2376" s="483"/>
      <c r="Y2376" s="483"/>
      <c r="Z2376" s="483"/>
      <c r="AA2376" s="483"/>
      <c r="AB2376" s="483"/>
      <c r="AC2376" s="483"/>
      <c r="AD2376" s="483"/>
      <c r="AE2376" s="483"/>
      <c r="AF2376" s="483"/>
      <c r="AG2376" s="483"/>
      <c r="AH2376" s="483"/>
      <c r="AI2376" s="483"/>
      <c r="AJ2376" s="483"/>
      <c r="AK2376" s="483"/>
      <c r="AL2376" s="483"/>
      <c r="AM2376" s="670"/>
      <c r="AN2376" s="670"/>
      <c r="AO2376" s="711" t="str">
        <f>IF(OR(Table1[[#This Row],[Início Setup Envase]]="",Table1[[#This Row],[Final Setup Envase]]=""),"",Table1[[#This Row],[Final Setup Envase]]-Table1[[#This Row],[Início Setup Envase]])</f>
        <v/>
      </c>
      <c r="AP2376" s="670"/>
      <c r="AQ2376" s="670"/>
      <c r="AR2376" s="483"/>
      <c r="AS2376" s="483"/>
      <c r="AT2376" s="483"/>
      <c r="AU2376" s="483"/>
      <c r="AV2376" s="483"/>
      <c r="AW2376" s="483"/>
      <c r="AX2376" s="483"/>
      <c r="AY2376" s="270"/>
      <c r="AZ2376" s="270"/>
      <c r="BA2376" s="270" t="str">
        <f>IF(Table1[[#This Row],[Data de Início]]="","",YEAR(Table1[[#This Row],[Data de Início]]))</f>
        <v/>
      </c>
      <c r="BB2376" s="270" t="str">
        <f>IF(Table1[[#This Row],[Data de Início]]="","",MONTH(Table1[[#This Row],[Data de Início]]))</f>
        <v/>
      </c>
      <c r="BC2376" s="270"/>
    </row>
    <row r="2377" spans="2:55" x14ac:dyDescent="0.25">
      <c r="B2377" s="470"/>
      <c r="C2377" s="263"/>
      <c r="D2377" s="477" cm="1">
        <f t="array" ref="D2377">IFERROR(HorasUteisFabrica2Turnos(B2377,C2377), "")</f>
        <v>0</v>
      </c>
      <c r="E2377" s="697" t="str">
        <f t="shared" si="37"/>
        <v/>
      </c>
      <c r="F2377" s="266"/>
      <c r="G2377" s="698"/>
      <c r="H2377" s="266"/>
      <c r="I2377" s="268"/>
      <c r="J2377" s="268"/>
      <c r="K2377" s="268"/>
      <c r="L2377" s="269"/>
      <c r="M2377" s="510" t="str">
        <f>IFERROR(INDEX([1]Produtos!$C:$C,MATCH(L2377,[1]Produtos!$B:$B,0)), "-")</f>
        <v>-</v>
      </c>
      <c r="N2377" s="510" t="str">
        <f>IFERROR(INDEX([1]Produtos!$E:$E,MATCH(L2377,[1]Produtos!$B:$B,0)), "-")</f>
        <v>-</v>
      </c>
      <c r="O2377" s="270" t="str">
        <f>IFERROR(INDEX([1]Produtos!$F:$F,MATCH(L2377,[1]Produtos!$B:$B,0)), "-")</f>
        <v>-</v>
      </c>
      <c r="P2377" s="264" t="str">
        <f>IFERROR(INDEX([1]Produtos!$G:$G,MATCH(L2377,[1]Produtos!$B:$B,0)), "-")</f>
        <v>-</v>
      </c>
      <c r="Q2377" s="270" t="str">
        <f>IFERROR(INDEX([1]Produtos!$H:$H,MATCH(L2377,[1]Produtos!$B:$B,0)), "-")</f>
        <v>-</v>
      </c>
      <c r="R2377" s="270" t="str">
        <f>IFERROR(INDEX([1]Produtos!$I:$I,MATCH(L2377,[1]Produtos!$B:$B,0)), "-")</f>
        <v>-</v>
      </c>
      <c r="S2377" s="270" t="str">
        <f>IFERROR(INDEX([1]Produtos!$J:$J,MATCH(L2377,[1]Produtos!$B:$B,0)), "-")</f>
        <v>-</v>
      </c>
      <c r="T2377" s="475"/>
      <c r="U2377" s="270"/>
      <c r="V2377" s="270"/>
      <c r="W2377" s="270"/>
      <c r="X2377" s="270"/>
      <c r="Y2377" s="270"/>
      <c r="Z2377" s="270"/>
      <c r="AA2377" s="270"/>
      <c r="AB2377" s="270"/>
      <c r="AC2377" s="270"/>
      <c r="AD2377" s="270"/>
      <c r="AE2377" s="270"/>
      <c r="AF2377" s="270"/>
      <c r="AG2377" s="270"/>
      <c r="AH2377" s="270"/>
      <c r="AI2377" s="270"/>
      <c r="AJ2377" s="270"/>
      <c r="AK2377" s="270"/>
      <c r="AL2377" s="270"/>
      <c r="AM2377" s="663"/>
      <c r="AN2377" s="663"/>
      <c r="AO2377" s="708" t="str">
        <f>IF(OR(Table1[[#This Row],[Início Setup Envase]]="",Table1[[#This Row],[Final Setup Envase]]=""),"",Table1[[#This Row],[Final Setup Envase]]-Table1[[#This Row],[Início Setup Envase]])</f>
        <v/>
      </c>
      <c r="AP2377" s="663"/>
      <c r="AQ2377" s="663"/>
      <c r="AR2377" s="270"/>
      <c r="AS2377" s="674"/>
      <c r="AT2377" s="674"/>
      <c r="AU2377" s="270"/>
      <c r="AV2377" s="270"/>
      <c r="AW2377" s="270"/>
      <c r="AX2377" s="270"/>
      <c r="AY2377" s="270"/>
      <c r="AZ2377" s="270"/>
      <c r="BA2377" s="270" t="str">
        <f>IF(Table1[[#This Row],[Data de Início]]="","",YEAR(Table1[[#This Row],[Data de Início]]))</f>
        <v/>
      </c>
      <c r="BB2377" s="270" t="str">
        <f>IF(Table1[[#This Row],[Data de Início]]="","",MONTH(Table1[[#This Row],[Data de Início]]))</f>
        <v/>
      </c>
      <c r="BC2377" s="483"/>
    </row>
    <row r="2378" spans="2:55" x14ac:dyDescent="0.25">
      <c r="B2378" s="470"/>
      <c r="C2378" s="263"/>
      <c r="D2378" s="477" cm="1">
        <f t="array" ref="D2378">IFERROR(HorasUteisFabrica2Turnos(B2378,C2378), "")</f>
        <v>0</v>
      </c>
      <c r="E2378" s="478" t="str">
        <f t="shared" si="37"/>
        <v/>
      </c>
      <c r="F2378" s="266"/>
      <c r="G2378" s="656"/>
      <c r="H2378" s="479"/>
      <c r="I2378" s="268"/>
      <c r="J2378" s="268"/>
      <c r="K2378" s="268"/>
      <c r="L2378" s="269"/>
      <c r="M2378" s="511" t="str">
        <f>IFERROR(INDEX([1]Produtos!$C:$C,MATCH(L2378,[1]Produtos!$B:$B,0)), "-")</f>
        <v>-</v>
      </c>
      <c r="N2378" s="511" t="str">
        <f>IFERROR(INDEX([1]Produtos!$E:$E,MATCH(L2378,[1]Produtos!$B:$B,0)), "-")</f>
        <v>-</v>
      </c>
      <c r="O2378" s="483" t="str">
        <f>IFERROR(INDEX([1]Produtos!$F:$F,MATCH(L2378,[1]Produtos!$B:$B,0)), "-")</f>
        <v>-</v>
      </c>
      <c r="P2378" s="477" t="str">
        <f>IFERROR(INDEX([1]Produtos!$G:$G,MATCH(L2378,[1]Produtos!$B:$B,0)), "-")</f>
        <v>-</v>
      </c>
      <c r="Q2378" s="483" t="str">
        <f>IFERROR(INDEX([1]Produtos!$H:$H,MATCH(L2378,[1]Produtos!$B:$B,0)), "-")</f>
        <v>-</v>
      </c>
      <c r="R2378" s="483" t="str">
        <f>IFERROR(INDEX([1]Produtos!$I:$I,MATCH(L2378,[1]Produtos!$B:$B,0)), "-")</f>
        <v>-</v>
      </c>
      <c r="S2378" s="483" t="str">
        <f>IFERROR(INDEX([1]Produtos!$J:$J,MATCH(L2378,[1]Produtos!$B:$B,0)), "-")</f>
        <v>-</v>
      </c>
      <c r="T2378" s="484"/>
      <c r="U2378" s="483"/>
      <c r="V2378" s="483"/>
      <c r="W2378" s="483"/>
      <c r="X2378" s="483"/>
      <c r="Y2378" s="483"/>
      <c r="Z2378" s="483"/>
      <c r="AA2378" s="483"/>
      <c r="AB2378" s="483"/>
      <c r="AC2378" s="483"/>
      <c r="AD2378" s="483"/>
      <c r="AE2378" s="483"/>
      <c r="AF2378" s="483"/>
      <c r="AG2378" s="483"/>
      <c r="AH2378" s="483"/>
      <c r="AI2378" s="483"/>
      <c r="AJ2378" s="483"/>
      <c r="AK2378" s="483"/>
      <c r="AL2378" s="483"/>
      <c r="AM2378" s="670"/>
      <c r="AN2378" s="670"/>
      <c r="AO2378" s="711" t="str">
        <f>IF(OR(Table1[[#This Row],[Início Setup Envase]]="",Table1[[#This Row],[Final Setup Envase]]=""),"",Table1[[#This Row],[Final Setup Envase]]-Table1[[#This Row],[Início Setup Envase]])</f>
        <v/>
      </c>
      <c r="AP2378" s="670"/>
      <c r="AQ2378" s="670"/>
      <c r="AR2378" s="483"/>
      <c r="AS2378" s="483"/>
      <c r="AT2378" s="483"/>
      <c r="AU2378" s="483"/>
      <c r="AV2378" s="483"/>
      <c r="AW2378" s="483"/>
      <c r="AX2378" s="483"/>
      <c r="AY2378" s="270"/>
      <c r="AZ2378" s="270"/>
      <c r="BA2378" s="270" t="str">
        <f>IF(Table1[[#This Row],[Data de Início]]="","",YEAR(Table1[[#This Row],[Data de Início]]))</f>
        <v/>
      </c>
      <c r="BB2378" s="270" t="str">
        <f>IF(Table1[[#This Row],[Data de Início]]="","",MONTH(Table1[[#This Row],[Data de Início]]))</f>
        <v/>
      </c>
      <c r="BC2378" s="270"/>
    </row>
    <row r="2379" spans="2:55" x14ac:dyDescent="0.25">
      <c r="B2379" s="470"/>
      <c r="C2379" s="263"/>
      <c r="D2379" s="477" cm="1">
        <f t="array" ref="D2379">IFERROR(HorasUteisFabrica2Turnos(B2379,C2379), "")</f>
        <v>0</v>
      </c>
      <c r="E2379" s="697" t="str">
        <f t="shared" si="37"/>
        <v/>
      </c>
      <c r="F2379" s="266"/>
      <c r="G2379" s="698"/>
      <c r="H2379" s="266"/>
      <c r="I2379" s="268"/>
      <c r="J2379" s="268"/>
      <c r="K2379" s="268"/>
      <c r="L2379" s="269"/>
      <c r="M2379" s="510" t="str">
        <f>IFERROR(INDEX([1]Produtos!$C:$C,MATCH(L2379,[1]Produtos!$B:$B,0)), "-")</f>
        <v>-</v>
      </c>
      <c r="N2379" s="510" t="str">
        <f>IFERROR(INDEX([1]Produtos!$E:$E,MATCH(L2379,[1]Produtos!$B:$B,0)), "-")</f>
        <v>-</v>
      </c>
      <c r="O2379" s="270" t="str">
        <f>IFERROR(INDEX([1]Produtos!$F:$F,MATCH(L2379,[1]Produtos!$B:$B,0)), "-")</f>
        <v>-</v>
      </c>
      <c r="P2379" s="264" t="str">
        <f>IFERROR(INDEX([1]Produtos!$G:$G,MATCH(L2379,[1]Produtos!$B:$B,0)), "-")</f>
        <v>-</v>
      </c>
      <c r="Q2379" s="270" t="str">
        <f>IFERROR(INDEX([1]Produtos!$H:$H,MATCH(L2379,[1]Produtos!$B:$B,0)), "-")</f>
        <v>-</v>
      </c>
      <c r="R2379" s="270" t="str">
        <f>IFERROR(INDEX([1]Produtos!$I:$I,MATCH(L2379,[1]Produtos!$B:$B,0)), "-")</f>
        <v>-</v>
      </c>
      <c r="S2379" s="270" t="str">
        <f>IFERROR(INDEX([1]Produtos!$J:$J,MATCH(L2379,[1]Produtos!$B:$B,0)), "-")</f>
        <v>-</v>
      </c>
      <c r="T2379" s="475"/>
      <c r="U2379" s="270"/>
      <c r="V2379" s="270"/>
      <c r="W2379" s="270"/>
      <c r="X2379" s="270"/>
      <c r="Y2379" s="270"/>
      <c r="Z2379" s="270"/>
      <c r="AA2379" s="270"/>
      <c r="AB2379" s="270"/>
      <c r="AC2379" s="270"/>
      <c r="AD2379" s="270"/>
      <c r="AE2379" s="270"/>
      <c r="AF2379" s="270"/>
      <c r="AG2379" s="270"/>
      <c r="AH2379" s="270"/>
      <c r="AI2379" s="270"/>
      <c r="AJ2379" s="270"/>
      <c r="AK2379" s="270"/>
      <c r="AL2379" s="270"/>
      <c r="AM2379" s="663"/>
      <c r="AN2379" s="663"/>
      <c r="AO2379" s="708" t="str">
        <f>IF(OR(Table1[[#This Row],[Início Setup Envase]]="",Table1[[#This Row],[Final Setup Envase]]=""),"",Table1[[#This Row],[Final Setup Envase]]-Table1[[#This Row],[Início Setup Envase]])</f>
        <v/>
      </c>
      <c r="AP2379" s="663"/>
      <c r="AQ2379" s="663"/>
      <c r="AR2379" s="270"/>
      <c r="AS2379" s="674"/>
      <c r="AT2379" s="674"/>
      <c r="AU2379" s="270"/>
      <c r="AV2379" s="270"/>
      <c r="AW2379" s="270"/>
      <c r="AX2379" s="270"/>
      <c r="AY2379" s="270"/>
      <c r="AZ2379" s="270"/>
      <c r="BA2379" s="270" t="str">
        <f>IF(Table1[[#This Row],[Data de Início]]="","",YEAR(Table1[[#This Row],[Data de Início]]))</f>
        <v/>
      </c>
      <c r="BB2379" s="270" t="str">
        <f>IF(Table1[[#This Row],[Data de Início]]="","",MONTH(Table1[[#This Row],[Data de Início]]))</f>
        <v/>
      </c>
      <c r="BC2379" s="483"/>
    </row>
    <row r="2380" spans="2:55" x14ac:dyDescent="0.25">
      <c r="B2380" s="470"/>
      <c r="C2380" s="263"/>
      <c r="D2380" s="477" cm="1">
        <f t="array" ref="D2380">IFERROR(HorasUteisFabrica2Turnos(B2380,C2380), "")</f>
        <v>0</v>
      </c>
      <c r="E2380" s="478" t="str">
        <f t="shared" si="37"/>
        <v/>
      </c>
      <c r="F2380" s="266"/>
      <c r="G2380" s="656"/>
      <c r="H2380" s="479"/>
      <c r="I2380" s="268"/>
      <c r="J2380" s="268"/>
      <c r="K2380" s="268"/>
      <c r="L2380" s="269"/>
      <c r="M2380" s="511" t="str">
        <f>IFERROR(INDEX([1]Produtos!$C:$C,MATCH(L2380,[1]Produtos!$B:$B,0)), "-")</f>
        <v>-</v>
      </c>
      <c r="N2380" s="511" t="str">
        <f>IFERROR(INDEX([1]Produtos!$E:$E,MATCH(L2380,[1]Produtos!$B:$B,0)), "-")</f>
        <v>-</v>
      </c>
      <c r="O2380" s="483" t="str">
        <f>IFERROR(INDEX([1]Produtos!$F:$F,MATCH(L2380,[1]Produtos!$B:$B,0)), "-")</f>
        <v>-</v>
      </c>
      <c r="P2380" s="477" t="str">
        <f>IFERROR(INDEX([1]Produtos!$G:$G,MATCH(L2380,[1]Produtos!$B:$B,0)), "-")</f>
        <v>-</v>
      </c>
      <c r="Q2380" s="483" t="str">
        <f>IFERROR(INDEX([1]Produtos!$H:$H,MATCH(L2380,[1]Produtos!$B:$B,0)), "-")</f>
        <v>-</v>
      </c>
      <c r="R2380" s="483" t="str">
        <f>IFERROR(INDEX([1]Produtos!$I:$I,MATCH(L2380,[1]Produtos!$B:$B,0)), "-")</f>
        <v>-</v>
      </c>
      <c r="S2380" s="483" t="str">
        <f>IFERROR(INDEX([1]Produtos!$J:$J,MATCH(L2380,[1]Produtos!$B:$B,0)), "-")</f>
        <v>-</v>
      </c>
      <c r="T2380" s="484"/>
      <c r="U2380" s="483"/>
      <c r="V2380" s="483"/>
      <c r="W2380" s="483"/>
      <c r="X2380" s="483"/>
      <c r="Y2380" s="483"/>
      <c r="Z2380" s="483"/>
      <c r="AA2380" s="483"/>
      <c r="AB2380" s="483"/>
      <c r="AC2380" s="483"/>
      <c r="AD2380" s="483"/>
      <c r="AE2380" s="483"/>
      <c r="AF2380" s="483"/>
      <c r="AG2380" s="483"/>
      <c r="AH2380" s="483"/>
      <c r="AI2380" s="483"/>
      <c r="AJ2380" s="483"/>
      <c r="AK2380" s="483"/>
      <c r="AL2380" s="483"/>
      <c r="AM2380" s="670"/>
      <c r="AN2380" s="670"/>
      <c r="AO2380" s="711" t="str">
        <f>IF(OR(Table1[[#This Row],[Início Setup Envase]]="",Table1[[#This Row],[Final Setup Envase]]=""),"",Table1[[#This Row],[Final Setup Envase]]-Table1[[#This Row],[Início Setup Envase]])</f>
        <v/>
      </c>
      <c r="AP2380" s="670"/>
      <c r="AQ2380" s="670"/>
      <c r="AR2380" s="483"/>
      <c r="AS2380" s="483"/>
      <c r="AT2380" s="483"/>
      <c r="AU2380" s="483"/>
      <c r="AV2380" s="483"/>
      <c r="AW2380" s="483"/>
      <c r="AX2380" s="483"/>
      <c r="AY2380" s="270"/>
      <c r="AZ2380" s="270"/>
      <c r="BA2380" s="270" t="str">
        <f>IF(Table1[[#This Row],[Data de Início]]="","",YEAR(Table1[[#This Row],[Data de Início]]))</f>
        <v/>
      </c>
      <c r="BB2380" s="270" t="str">
        <f>IF(Table1[[#This Row],[Data de Início]]="","",MONTH(Table1[[#This Row],[Data de Início]]))</f>
        <v/>
      </c>
      <c r="BC2380" s="270"/>
    </row>
    <row r="2381" spans="2:55" x14ac:dyDescent="0.25">
      <c r="B2381" s="470"/>
      <c r="C2381" s="263"/>
      <c r="D2381" s="477" cm="1">
        <f t="array" ref="D2381">IFERROR(HorasUteisFabrica2Turnos(B2381,C2381), "")</f>
        <v>0</v>
      </c>
      <c r="E2381" s="697" t="str">
        <f t="shared" si="37"/>
        <v/>
      </c>
      <c r="F2381" s="266"/>
      <c r="G2381" s="698"/>
      <c r="H2381" s="266"/>
      <c r="I2381" s="268"/>
      <c r="J2381" s="268"/>
      <c r="K2381" s="268"/>
      <c r="L2381" s="269"/>
      <c r="M2381" s="510" t="str">
        <f>IFERROR(INDEX([1]Produtos!$C:$C,MATCH(L2381,[1]Produtos!$B:$B,0)), "-")</f>
        <v>-</v>
      </c>
      <c r="N2381" s="510" t="str">
        <f>IFERROR(INDEX([1]Produtos!$E:$E,MATCH(L2381,[1]Produtos!$B:$B,0)), "-")</f>
        <v>-</v>
      </c>
      <c r="O2381" s="270" t="str">
        <f>IFERROR(INDEX([1]Produtos!$F:$F,MATCH(L2381,[1]Produtos!$B:$B,0)), "-")</f>
        <v>-</v>
      </c>
      <c r="P2381" s="264" t="str">
        <f>IFERROR(INDEX([1]Produtos!$G:$G,MATCH(L2381,[1]Produtos!$B:$B,0)), "-")</f>
        <v>-</v>
      </c>
      <c r="Q2381" s="270" t="str">
        <f>IFERROR(INDEX([1]Produtos!$H:$H,MATCH(L2381,[1]Produtos!$B:$B,0)), "-")</f>
        <v>-</v>
      </c>
      <c r="R2381" s="270" t="str">
        <f>IFERROR(INDEX([1]Produtos!$I:$I,MATCH(L2381,[1]Produtos!$B:$B,0)), "-")</f>
        <v>-</v>
      </c>
      <c r="S2381" s="270" t="str">
        <f>IFERROR(INDEX([1]Produtos!$J:$J,MATCH(L2381,[1]Produtos!$B:$B,0)), "-")</f>
        <v>-</v>
      </c>
      <c r="T2381" s="475"/>
      <c r="U2381" s="270"/>
      <c r="V2381" s="270"/>
      <c r="W2381" s="270"/>
      <c r="X2381" s="270"/>
      <c r="Y2381" s="270"/>
      <c r="Z2381" s="270"/>
      <c r="AA2381" s="270"/>
      <c r="AB2381" s="270"/>
      <c r="AC2381" s="270"/>
      <c r="AD2381" s="270"/>
      <c r="AE2381" s="270"/>
      <c r="AF2381" s="270"/>
      <c r="AG2381" s="270"/>
      <c r="AH2381" s="270"/>
      <c r="AI2381" s="270"/>
      <c r="AJ2381" s="270"/>
      <c r="AK2381" s="270"/>
      <c r="AL2381" s="270"/>
      <c r="AM2381" s="663"/>
      <c r="AN2381" s="663"/>
      <c r="AO2381" s="708" t="str">
        <f>IF(OR(Table1[[#This Row],[Início Setup Envase]]="",Table1[[#This Row],[Final Setup Envase]]=""),"",Table1[[#This Row],[Final Setup Envase]]-Table1[[#This Row],[Início Setup Envase]])</f>
        <v/>
      </c>
      <c r="AP2381" s="663"/>
      <c r="AQ2381" s="663"/>
      <c r="AR2381" s="270"/>
      <c r="AS2381" s="674"/>
      <c r="AT2381" s="674"/>
      <c r="AU2381" s="270"/>
      <c r="AV2381" s="270"/>
      <c r="AW2381" s="270"/>
      <c r="AX2381" s="270"/>
      <c r="AY2381" s="270"/>
      <c r="AZ2381" s="270"/>
      <c r="BA2381" s="270" t="str">
        <f>IF(Table1[[#This Row],[Data de Início]]="","",YEAR(Table1[[#This Row],[Data de Início]]))</f>
        <v/>
      </c>
      <c r="BB2381" s="270" t="str">
        <f>IF(Table1[[#This Row],[Data de Início]]="","",MONTH(Table1[[#This Row],[Data de Início]]))</f>
        <v/>
      </c>
      <c r="BC2381" s="483"/>
    </row>
    <row r="2382" spans="2:55" x14ac:dyDescent="0.25">
      <c r="B2382" s="470"/>
      <c r="C2382" s="263"/>
      <c r="D2382" s="477" cm="1">
        <f t="array" ref="D2382">IFERROR(HorasUteisFabrica2Turnos(B2382,C2382), "")</f>
        <v>0</v>
      </c>
      <c r="E2382" s="478" t="str">
        <f t="shared" si="37"/>
        <v/>
      </c>
      <c r="F2382" s="266"/>
      <c r="G2382" s="656"/>
      <c r="H2382" s="479"/>
      <c r="I2382" s="268"/>
      <c r="J2382" s="268"/>
      <c r="K2382" s="268"/>
      <c r="L2382" s="269"/>
      <c r="M2382" s="511" t="str">
        <f>IFERROR(INDEX([1]Produtos!$C:$C,MATCH(L2382,[1]Produtos!$B:$B,0)), "-")</f>
        <v>-</v>
      </c>
      <c r="N2382" s="511" t="str">
        <f>IFERROR(INDEX([1]Produtos!$E:$E,MATCH(L2382,[1]Produtos!$B:$B,0)), "-")</f>
        <v>-</v>
      </c>
      <c r="O2382" s="483" t="str">
        <f>IFERROR(INDEX([1]Produtos!$F:$F,MATCH(L2382,[1]Produtos!$B:$B,0)), "-")</f>
        <v>-</v>
      </c>
      <c r="P2382" s="477" t="str">
        <f>IFERROR(INDEX([1]Produtos!$G:$G,MATCH(L2382,[1]Produtos!$B:$B,0)), "-")</f>
        <v>-</v>
      </c>
      <c r="Q2382" s="483" t="str">
        <f>IFERROR(INDEX([1]Produtos!$H:$H,MATCH(L2382,[1]Produtos!$B:$B,0)), "-")</f>
        <v>-</v>
      </c>
      <c r="R2382" s="483" t="str">
        <f>IFERROR(INDEX([1]Produtos!$I:$I,MATCH(L2382,[1]Produtos!$B:$B,0)), "-")</f>
        <v>-</v>
      </c>
      <c r="S2382" s="483" t="str">
        <f>IFERROR(INDEX([1]Produtos!$J:$J,MATCH(L2382,[1]Produtos!$B:$B,0)), "-")</f>
        <v>-</v>
      </c>
      <c r="T2382" s="484"/>
      <c r="U2382" s="483"/>
      <c r="V2382" s="483"/>
      <c r="W2382" s="483"/>
      <c r="X2382" s="483"/>
      <c r="Y2382" s="483"/>
      <c r="Z2382" s="483"/>
      <c r="AA2382" s="483"/>
      <c r="AB2382" s="483"/>
      <c r="AC2382" s="483"/>
      <c r="AD2382" s="483"/>
      <c r="AE2382" s="483"/>
      <c r="AF2382" s="483"/>
      <c r="AG2382" s="483"/>
      <c r="AH2382" s="483"/>
      <c r="AI2382" s="483"/>
      <c r="AJ2382" s="483"/>
      <c r="AK2382" s="483"/>
      <c r="AL2382" s="483"/>
      <c r="AM2382" s="670"/>
      <c r="AN2382" s="670"/>
      <c r="AO2382" s="711" t="str">
        <f>IF(OR(Table1[[#This Row],[Início Setup Envase]]="",Table1[[#This Row],[Final Setup Envase]]=""),"",Table1[[#This Row],[Final Setup Envase]]-Table1[[#This Row],[Início Setup Envase]])</f>
        <v/>
      </c>
      <c r="AP2382" s="670"/>
      <c r="AQ2382" s="670"/>
      <c r="AR2382" s="483"/>
      <c r="AS2382" s="483"/>
      <c r="AT2382" s="483"/>
      <c r="AU2382" s="483"/>
      <c r="AV2382" s="483"/>
      <c r="AW2382" s="483"/>
      <c r="AX2382" s="483"/>
      <c r="AY2382" s="270"/>
      <c r="AZ2382" s="270"/>
      <c r="BA2382" s="270" t="str">
        <f>IF(Table1[[#This Row],[Data de Início]]="","",YEAR(Table1[[#This Row],[Data de Início]]))</f>
        <v/>
      </c>
      <c r="BB2382" s="270" t="str">
        <f>IF(Table1[[#This Row],[Data de Início]]="","",MONTH(Table1[[#This Row],[Data de Início]]))</f>
        <v/>
      </c>
      <c r="BC2382" s="270"/>
    </row>
    <row r="2383" spans="2:55" x14ac:dyDescent="0.25">
      <c r="B2383" s="470"/>
      <c r="C2383" s="263"/>
      <c r="D2383" s="477" cm="1">
        <f t="array" ref="D2383">IFERROR(HorasUteisFabrica2Turnos(B2383,C2383), "")</f>
        <v>0</v>
      </c>
      <c r="E2383" s="697" t="str">
        <f t="shared" si="37"/>
        <v/>
      </c>
      <c r="F2383" s="266"/>
      <c r="G2383" s="698"/>
      <c r="H2383" s="266"/>
      <c r="I2383" s="268"/>
      <c r="J2383" s="268"/>
      <c r="K2383" s="268"/>
      <c r="L2383" s="269"/>
      <c r="M2383" s="510" t="str">
        <f>IFERROR(INDEX([1]Produtos!$C:$C,MATCH(L2383,[1]Produtos!$B:$B,0)), "-")</f>
        <v>-</v>
      </c>
      <c r="N2383" s="510" t="str">
        <f>IFERROR(INDEX([1]Produtos!$E:$E,MATCH(L2383,[1]Produtos!$B:$B,0)), "-")</f>
        <v>-</v>
      </c>
      <c r="O2383" s="270" t="str">
        <f>IFERROR(INDEX([1]Produtos!$F:$F,MATCH(L2383,[1]Produtos!$B:$B,0)), "-")</f>
        <v>-</v>
      </c>
      <c r="P2383" s="264" t="str">
        <f>IFERROR(INDEX([1]Produtos!$G:$G,MATCH(L2383,[1]Produtos!$B:$B,0)), "-")</f>
        <v>-</v>
      </c>
      <c r="Q2383" s="270" t="str">
        <f>IFERROR(INDEX([1]Produtos!$H:$H,MATCH(L2383,[1]Produtos!$B:$B,0)), "-")</f>
        <v>-</v>
      </c>
      <c r="R2383" s="270" t="str">
        <f>IFERROR(INDEX([1]Produtos!$I:$I,MATCH(L2383,[1]Produtos!$B:$B,0)), "-")</f>
        <v>-</v>
      </c>
      <c r="S2383" s="270" t="str">
        <f>IFERROR(INDEX([1]Produtos!$J:$J,MATCH(L2383,[1]Produtos!$B:$B,0)), "-")</f>
        <v>-</v>
      </c>
      <c r="T2383" s="475"/>
      <c r="U2383" s="270"/>
      <c r="V2383" s="270"/>
      <c r="W2383" s="270"/>
      <c r="X2383" s="270"/>
      <c r="Y2383" s="270"/>
      <c r="Z2383" s="270"/>
      <c r="AA2383" s="270"/>
      <c r="AB2383" s="270"/>
      <c r="AC2383" s="270"/>
      <c r="AD2383" s="270"/>
      <c r="AE2383" s="270"/>
      <c r="AF2383" s="270"/>
      <c r="AG2383" s="270"/>
      <c r="AH2383" s="270"/>
      <c r="AI2383" s="270"/>
      <c r="AJ2383" s="270"/>
      <c r="AK2383" s="270"/>
      <c r="AL2383" s="270"/>
      <c r="AM2383" s="663"/>
      <c r="AN2383" s="663"/>
      <c r="AO2383" s="708" t="str">
        <f>IF(OR(Table1[[#This Row],[Início Setup Envase]]="",Table1[[#This Row],[Final Setup Envase]]=""),"",Table1[[#This Row],[Final Setup Envase]]-Table1[[#This Row],[Início Setup Envase]])</f>
        <v/>
      </c>
      <c r="AP2383" s="663"/>
      <c r="AQ2383" s="663"/>
      <c r="AR2383" s="270"/>
      <c r="AS2383" s="674"/>
      <c r="AT2383" s="674"/>
      <c r="AU2383" s="270"/>
      <c r="AV2383" s="270"/>
      <c r="AW2383" s="270"/>
      <c r="AX2383" s="270"/>
      <c r="AY2383" s="270"/>
      <c r="AZ2383" s="270"/>
      <c r="BA2383" s="270" t="str">
        <f>IF(Table1[[#This Row],[Data de Início]]="","",YEAR(Table1[[#This Row],[Data de Início]]))</f>
        <v/>
      </c>
      <c r="BB2383" s="270" t="str">
        <f>IF(Table1[[#This Row],[Data de Início]]="","",MONTH(Table1[[#This Row],[Data de Início]]))</f>
        <v/>
      </c>
      <c r="BC2383" s="483"/>
    </row>
    <row r="2384" spans="2:55" x14ac:dyDescent="0.25">
      <c r="B2384" s="470"/>
      <c r="C2384" s="263"/>
      <c r="D2384" s="477" cm="1">
        <f t="array" ref="D2384">IFERROR(HorasUteisFabrica2Turnos(B2384,C2384), "")</f>
        <v>0</v>
      </c>
      <c r="E2384" s="478" t="str">
        <f t="shared" si="37"/>
        <v/>
      </c>
      <c r="F2384" s="266"/>
      <c r="G2384" s="656"/>
      <c r="H2384" s="479"/>
      <c r="I2384" s="268"/>
      <c r="J2384" s="268"/>
      <c r="K2384" s="268"/>
      <c r="L2384" s="269"/>
      <c r="M2384" s="511" t="str">
        <f>IFERROR(INDEX([1]Produtos!$C:$C,MATCH(L2384,[1]Produtos!$B:$B,0)), "-")</f>
        <v>-</v>
      </c>
      <c r="N2384" s="511" t="str">
        <f>IFERROR(INDEX([1]Produtos!$E:$E,MATCH(L2384,[1]Produtos!$B:$B,0)), "-")</f>
        <v>-</v>
      </c>
      <c r="O2384" s="483" t="str">
        <f>IFERROR(INDEX([1]Produtos!$F:$F,MATCH(L2384,[1]Produtos!$B:$B,0)), "-")</f>
        <v>-</v>
      </c>
      <c r="P2384" s="477" t="str">
        <f>IFERROR(INDEX([1]Produtos!$G:$G,MATCH(L2384,[1]Produtos!$B:$B,0)), "-")</f>
        <v>-</v>
      </c>
      <c r="Q2384" s="483" t="str">
        <f>IFERROR(INDEX([1]Produtos!$H:$H,MATCH(L2384,[1]Produtos!$B:$B,0)), "-")</f>
        <v>-</v>
      </c>
      <c r="R2384" s="483" t="str">
        <f>IFERROR(INDEX([1]Produtos!$I:$I,MATCH(L2384,[1]Produtos!$B:$B,0)), "-")</f>
        <v>-</v>
      </c>
      <c r="S2384" s="483" t="str">
        <f>IFERROR(INDEX([1]Produtos!$J:$J,MATCH(L2384,[1]Produtos!$B:$B,0)), "-")</f>
        <v>-</v>
      </c>
      <c r="T2384" s="484"/>
      <c r="U2384" s="483"/>
      <c r="V2384" s="483"/>
      <c r="W2384" s="483"/>
      <c r="X2384" s="483"/>
      <c r="Y2384" s="483"/>
      <c r="Z2384" s="483"/>
      <c r="AA2384" s="483"/>
      <c r="AB2384" s="483"/>
      <c r="AC2384" s="483"/>
      <c r="AD2384" s="483"/>
      <c r="AE2384" s="483"/>
      <c r="AF2384" s="483"/>
      <c r="AG2384" s="483"/>
      <c r="AH2384" s="483"/>
      <c r="AI2384" s="483"/>
      <c r="AJ2384" s="483"/>
      <c r="AK2384" s="483"/>
      <c r="AL2384" s="483"/>
      <c r="AM2384" s="670"/>
      <c r="AN2384" s="670"/>
      <c r="AO2384" s="711" t="str">
        <f>IF(OR(Table1[[#This Row],[Início Setup Envase]]="",Table1[[#This Row],[Final Setup Envase]]=""),"",Table1[[#This Row],[Final Setup Envase]]-Table1[[#This Row],[Início Setup Envase]])</f>
        <v/>
      </c>
      <c r="AP2384" s="670"/>
      <c r="AQ2384" s="670"/>
      <c r="AR2384" s="483"/>
      <c r="AS2384" s="483"/>
      <c r="AT2384" s="483"/>
      <c r="AU2384" s="483"/>
      <c r="AV2384" s="483"/>
      <c r="AW2384" s="483"/>
      <c r="AX2384" s="483"/>
      <c r="AY2384" s="270"/>
      <c r="AZ2384" s="270"/>
      <c r="BA2384" s="270" t="str">
        <f>IF(Table1[[#This Row],[Data de Início]]="","",YEAR(Table1[[#This Row],[Data de Início]]))</f>
        <v/>
      </c>
      <c r="BB2384" s="270" t="str">
        <f>IF(Table1[[#This Row],[Data de Início]]="","",MONTH(Table1[[#This Row],[Data de Início]]))</f>
        <v/>
      </c>
      <c r="BC2384" s="270"/>
    </row>
    <row r="2385" spans="2:55" x14ac:dyDescent="0.25">
      <c r="B2385" s="470"/>
      <c r="C2385" s="263"/>
      <c r="D2385" s="477" cm="1">
        <f t="array" ref="D2385">IFERROR(HorasUteisFabrica2Turnos(B2385,C2385), "")</f>
        <v>0</v>
      </c>
      <c r="E2385" s="697" t="str">
        <f t="shared" si="37"/>
        <v/>
      </c>
      <c r="F2385" s="266"/>
      <c r="G2385" s="698"/>
      <c r="H2385" s="266"/>
      <c r="I2385" s="268"/>
      <c r="J2385" s="268"/>
      <c r="K2385" s="268"/>
      <c r="L2385" s="269"/>
      <c r="M2385" s="510" t="str">
        <f>IFERROR(INDEX([1]Produtos!$C:$C,MATCH(L2385,[1]Produtos!$B:$B,0)), "-")</f>
        <v>-</v>
      </c>
      <c r="N2385" s="510" t="str">
        <f>IFERROR(INDEX([1]Produtos!$E:$E,MATCH(L2385,[1]Produtos!$B:$B,0)), "-")</f>
        <v>-</v>
      </c>
      <c r="O2385" s="270" t="str">
        <f>IFERROR(INDEX([1]Produtos!$F:$F,MATCH(L2385,[1]Produtos!$B:$B,0)), "-")</f>
        <v>-</v>
      </c>
      <c r="P2385" s="264" t="str">
        <f>IFERROR(INDEX([1]Produtos!$G:$G,MATCH(L2385,[1]Produtos!$B:$B,0)), "-")</f>
        <v>-</v>
      </c>
      <c r="Q2385" s="270" t="str">
        <f>IFERROR(INDEX([1]Produtos!$H:$H,MATCH(L2385,[1]Produtos!$B:$B,0)), "-")</f>
        <v>-</v>
      </c>
      <c r="R2385" s="270" t="str">
        <f>IFERROR(INDEX([1]Produtos!$I:$I,MATCH(L2385,[1]Produtos!$B:$B,0)), "-")</f>
        <v>-</v>
      </c>
      <c r="S2385" s="270" t="str">
        <f>IFERROR(INDEX([1]Produtos!$J:$J,MATCH(L2385,[1]Produtos!$B:$B,0)), "-")</f>
        <v>-</v>
      </c>
      <c r="T2385" s="475"/>
      <c r="U2385" s="270"/>
      <c r="V2385" s="270"/>
      <c r="W2385" s="270"/>
      <c r="X2385" s="270"/>
      <c r="Y2385" s="270"/>
      <c r="Z2385" s="270"/>
      <c r="AA2385" s="270"/>
      <c r="AB2385" s="270"/>
      <c r="AC2385" s="270"/>
      <c r="AD2385" s="270"/>
      <c r="AE2385" s="270"/>
      <c r="AF2385" s="270"/>
      <c r="AG2385" s="270"/>
      <c r="AH2385" s="270"/>
      <c r="AI2385" s="270"/>
      <c r="AJ2385" s="270"/>
      <c r="AK2385" s="270"/>
      <c r="AL2385" s="270"/>
      <c r="AM2385" s="663"/>
      <c r="AN2385" s="663"/>
      <c r="AO2385" s="708" t="str">
        <f>IF(OR(Table1[[#This Row],[Início Setup Envase]]="",Table1[[#This Row],[Final Setup Envase]]=""),"",Table1[[#This Row],[Final Setup Envase]]-Table1[[#This Row],[Início Setup Envase]])</f>
        <v/>
      </c>
      <c r="AP2385" s="663"/>
      <c r="AQ2385" s="663"/>
      <c r="AR2385" s="270"/>
      <c r="AS2385" s="674"/>
      <c r="AT2385" s="674"/>
      <c r="AU2385" s="270"/>
      <c r="AV2385" s="270"/>
      <c r="AW2385" s="270"/>
      <c r="AX2385" s="270"/>
      <c r="AY2385" s="270"/>
      <c r="AZ2385" s="270"/>
      <c r="BA2385" s="270" t="str">
        <f>IF(Table1[[#This Row],[Data de Início]]="","",YEAR(Table1[[#This Row],[Data de Início]]))</f>
        <v/>
      </c>
      <c r="BB2385" s="270" t="str">
        <f>IF(Table1[[#This Row],[Data de Início]]="","",MONTH(Table1[[#This Row],[Data de Início]]))</f>
        <v/>
      </c>
      <c r="BC2385" s="483"/>
    </row>
    <row r="2386" spans="2:55" x14ac:dyDescent="0.25">
      <c r="B2386" s="470"/>
      <c r="C2386" s="263"/>
      <c r="D2386" s="477" cm="1">
        <f t="array" ref="D2386">IFERROR(HorasUteisFabrica2Turnos(B2386,C2386), "")</f>
        <v>0</v>
      </c>
      <c r="E2386" s="478" t="str">
        <f t="shared" si="37"/>
        <v/>
      </c>
      <c r="F2386" s="266"/>
      <c r="G2386" s="656"/>
      <c r="H2386" s="479"/>
      <c r="I2386" s="268"/>
      <c r="J2386" s="268"/>
      <c r="K2386" s="268"/>
      <c r="L2386" s="269"/>
      <c r="M2386" s="511" t="str">
        <f>IFERROR(INDEX([1]Produtos!$C:$C,MATCH(L2386,[1]Produtos!$B:$B,0)), "-")</f>
        <v>-</v>
      </c>
      <c r="N2386" s="511" t="str">
        <f>IFERROR(INDEX([1]Produtos!$E:$E,MATCH(L2386,[1]Produtos!$B:$B,0)), "-")</f>
        <v>-</v>
      </c>
      <c r="O2386" s="483" t="str">
        <f>IFERROR(INDEX([1]Produtos!$F:$F,MATCH(L2386,[1]Produtos!$B:$B,0)), "-")</f>
        <v>-</v>
      </c>
      <c r="P2386" s="477" t="str">
        <f>IFERROR(INDEX([1]Produtos!$G:$G,MATCH(L2386,[1]Produtos!$B:$B,0)), "-")</f>
        <v>-</v>
      </c>
      <c r="Q2386" s="483" t="str">
        <f>IFERROR(INDEX([1]Produtos!$H:$H,MATCH(L2386,[1]Produtos!$B:$B,0)), "-")</f>
        <v>-</v>
      </c>
      <c r="R2386" s="483" t="str">
        <f>IFERROR(INDEX([1]Produtos!$I:$I,MATCH(L2386,[1]Produtos!$B:$B,0)), "-")</f>
        <v>-</v>
      </c>
      <c r="S2386" s="483" t="str">
        <f>IFERROR(INDEX([1]Produtos!$J:$J,MATCH(L2386,[1]Produtos!$B:$B,0)), "-")</f>
        <v>-</v>
      </c>
      <c r="T2386" s="484"/>
      <c r="U2386" s="483"/>
      <c r="V2386" s="483"/>
      <c r="W2386" s="483"/>
      <c r="X2386" s="483"/>
      <c r="Y2386" s="483"/>
      <c r="Z2386" s="483"/>
      <c r="AA2386" s="483"/>
      <c r="AB2386" s="483"/>
      <c r="AC2386" s="483"/>
      <c r="AD2386" s="483"/>
      <c r="AE2386" s="483"/>
      <c r="AF2386" s="483"/>
      <c r="AG2386" s="483"/>
      <c r="AH2386" s="483"/>
      <c r="AI2386" s="483"/>
      <c r="AJ2386" s="483"/>
      <c r="AK2386" s="483"/>
      <c r="AL2386" s="483"/>
      <c r="AM2386" s="670"/>
      <c r="AN2386" s="670"/>
      <c r="AO2386" s="711" t="str">
        <f>IF(OR(Table1[[#This Row],[Início Setup Envase]]="",Table1[[#This Row],[Final Setup Envase]]=""),"",Table1[[#This Row],[Final Setup Envase]]-Table1[[#This Row],[Início Setup Envase]])</f>
        <v/>
      </c>
      <c r="AP2386" s="670"/>
      <c r="AQ2386" s="670"/>
      <c r="AR2386" s="483"/>
      <c r="AS2386" s="483"/>
      <c r="AT2386" s="483"/>
      <c r="AU2386" s="483"/>
      <c r="AV2386" s="483"/>
      <c r="AW2386" s="483"/>
      <c r="AX2386" s="483"/>
      <c r="AY2386" s="270"/>
      <c r="AZ2386" s="270"/>
      <c r="BA2386" s="270" t="str">
        <f>IF(Table1[[#This Row],[Data de Início]]="","",YEAR(Table1[[#This Row],[Data de Início]]))</f>
        <v/>
      </c>
      <c r="BB2386" s="270" t="str">
        <f>IF(Table1[[#This Row],[Data de Início]]="","",MONTH(Table1[[#This Row],[Data de Início]]))</f>
        <v/>
      </c>
      <c r="BC2386" s="270"/>
    </row>
    <row r="2387" spans="2:55" x14ac:dyDescent="0.25">
      <c r="B2387" s="470"/>
      <c r="C2387" s="263"/>
      <c r="D2387" s="477" cm="1">
        <f t="array" ref="D2387">IFERROR(HorasUteisFabrica2Turnos(B2387,C2387), "")</f>
        <v>0</v>
      </c>
      <c r="E2387" s="697" t="str">
        <f t="shared" si="37"/>
        <v/>
      </c>
      <c r="F2387" s="266"/>
      <c r="G2387" s="698"/>
      <c r="H2387" s="266"/>
      <c r="I2387" s="268"/>
      <c r="J2387" s="268"/>
      <c r="K2387" s="268"/>
      <c r="L2387" s="269"/>
      <c r="M2387" s="510" t="str">
        <f>IFERROR(INDEX([1]Produtos!$C:$C,MATCH(L2387,[1]Produtos!$B:$B,0)), "-")</f>
        <v>-</v>
      </c>
      <c r="N2387" s="510" t="str">
        <f>IFERROR(INDEX([1]Produtos!$E:$E,MATCH(L2387,[1]Produtos!$B:$B,0)), "-")</f>
        <v>-</v>
      </c>
      <c r="O2387" s="270" t="str">
        <f>IFERROR(INDEX([1]Produtos!$F:$F,MATCH(L2387,[1]Produtos!$B:$B,0)), "-")</f>
        <v>-</v>
      </c>
      <c r="P2387" s="264" t="str">
        <f>IFERROR(INDEX([1]Produtos!$G:$G,MATCH(L2387,[1]Produtos!$B:$B,0)), "-")</f>
        <v>-</v>
      </c>
      <c r="Q2387" s="270" t="str">
        <f>IFERROR(INDEX([1]Produtos!$H:$H,MATCH(L2387,[1]Produtos!$B:$B,0)), "-")</f>
        <v>-</v>
      </c>
      <c r="R2387" s="270" t="str">
        <f>IFERROR(INDEX([1]Produtos!$I:$I,MATCH(L2387,[1]Produtos!$B:$B,0)), "-")</f>
        <v>-</v>
      </c>
      <c r="S2387" s="270" t="str">
        <f>IFERROR(INDEX([1]Produtos!$J:$J,MATCH(L2387,[1]Produtos!$B:$B,0)), "-")</f>
        <v>-</v>
      </c>
      <c r="T2387" s="475"/>
      <c r="U2387" s="270"/>
      <c r="V2387" s="270"/>
      <c r="W2387" s="270"/>
      <c r="X2387" s="270"/>
      <c r="Y2387" s="270"/>
      <c r="Z2387" s="270"/>
      <c r="AA2387" s="270"/>
      <c r="AB2387" s="270"/>
      <c r="AC2387" s="270"/>
      <c r="AD2387" s="270"/>
      <c r="AE2387" s="270"/>
      <c r="AF2387" s="270"/>
      <c r="AG2387" s="270"/>
      <c r="AH2387" s="270"/>
      <c r="AI2387" s="270"/>
      <c r="AJ2387" s="270"/>
      <c r="AK2387" s="270"/>
      <c r="AL2387" s="270"/>
      <c r="AM2387" s="663"/>
      <c r="AN2387" s="663"/>
      <c r="AO2387" s="708" t="str">
        <f>IF(OR(Table1[[#This Row],[Início Setup Envase]]="",Table1[[#This Row],[Final Setup Envase]]=""),"",Table1[[#This Row],[Final Setup Envase]]-Table1[[#This Row],[Início Setup Envase]])</f>
        <v/>
      </c>
      <c r="AP2387" s="663"/>
      <c r="AQ2387" s="663"/>
      <c r="AR2387" s="270"/>
      <c r="AS2387" s="674"/>
      <c r="AT2387" s="674"/>
      <c r="AU2387" s="270"/>
      <c r="AV2387" s="270"/>
      <c r="AW2387" s="270"/>
      <c r="AX2387" s="270"/>
      <c r="AY2387" s="270"/>
      <c r="AZ2387" s="270"/>
      <c r="BA2387" s="270" t="str">
        <f>IF(Table1[[#This Row],[Data de Início]]="","",YEAR(Table1[[#This Row],[Data de Início]]))</f>
        <v/>
      </c>
      <c r="BB2387" s="270" t="str">
        <f>IF(Table1[[#This Row],[Data de Início]]="","",MONTH(Table1[[#This Row],[Data de Início]]))</f>
        <v/>
      </c>
      <c r="BC2387" s="483"/>
    </row>
    <row r="2388" spans="2:55" x14ac:dyDescent="0.25">
      <c r="B2388" s="470"/>
      <c r="C2388" s="263"/>
      <c r="D2388" s="477" cm="1">
        <f t="array" ref="D2388">IFERROR(HorasUteisFabrica2Turnos(B2388,C2388), "")</f>
        <v>0</v>
      </c>
      <c r="E2388" s="478" t="str">
        <f t="shared" si="37"/>
        <v/>
      </c>
      <c r="F2388" s="266"/>
      <c r="G2388" s="656"/>
      <c r="H2388" s="479"/>
      <c r="I2388" s="268"/>
      <c r="J2388" s="268"/>
      <c r="K2388" s="268"/>
      <c r="L2388" s="269"/>
      <c r="M2388" s="511" t="str">
        <f>IFERROR(INDEX([1]Produtos!$C:$C,MATCH(L2388,[1]Produtos!$B:$B,0)), "-")</f>
        <v>-</v>
      </c>
      <c r="N2388" s="511" t="str">
        <f>IFERROR(INDEX([1]Produtos!$E:$E,MATCH(L2388,[1]Produtos!$B:$B,0)), "-")</f>
        <v>-</v>
      </c>
      <c r="O2388" s="483" t="str">
        <f>IFERROR(INDEX([1]Produtos!$F:$F,MATCH(L2388,[1]Produtos!$B:$B,0)), "-")</f>
        <v>-</v>
      </c>
      <c r="P2388" s="477" t="str">
        <f>IFERROR(INDEX([1]Produtos!$G:$G,MATCH(L2388,[1]Produtos!$B:$B,0)), "-")</f>
        <v>-</v>
      </c>
      <c r="Q2388" s="483" t="str">
        <f>IFERROR(INDEX([1]Produtos!$H:$H,MATCH(L2388,[1]Produtos!$B:$B,0)), "-")</f>
        <v>-</v>
      </c>
      <c r="R2388" s="483" t="str">
        <f>IFERROR(INDEX([1]Produtos!$I:$I,MATCH(L2388,[1]Produtos!$B:$B,0)), "-")</f>
        <v>-</v>
      </c>
      <c r="S2388" s="483" t="str">
        <f>IFERROR(INDEX([1]Produtos!$J:$J,MATCH(L2388,[1]Produtos!$B:$B,0)), "-")</f>
        <v>-</v>
      </c>
      <c r="T2388" s="484"/>
      <c r="U2388" s="483"/>
      <c r="V2388" s="483"/>
      <c r="W2388" s="483"/>
      <c r="X2388" s="483"/>
      <c r="Y2388" s="483"/>
      <c r="Z2388" s="483"/>
      <c r="AA2388" s="483"/>
      <c r="AB2388" s="483"/>
      <c r="AC2388" s="483"/>
      <c r="AD2388" s="483"/>
      <c r="AE2388" s="483"/>
      <c r="AF2388" s="483"/>
      <c r="AG2388" s="483"/>
      <c r="AH2388" s="483"/>
      <c r="AI2388" s="483"/>
      <c r="AJ2388" s="483"/>
      <c r="AK2388" s="483"/>
      <c r="AL2388" s="483"/>
      <c r="AM2388" s="670"/>
      <c r="AN2388" s="670"/>
      <c r="AO2388" s="711" t="str">
        <f>IF(OR(Table1[[#This Row],[Início Setup Envase]]="",Table1[[#This Row],[Final Setup Envase]]=""),"",Table1[[#This Row],[Final Setup Envase]]-Table1[[#This Row],[Início Setup Envase]])</f>
        <v/>
      </c>
      <c r="AP2388" s="670"/>
      <c r="AQ2388" s="670"/>
      <c r="AR2388" s="483"/>
      <c r="AS2388" s="483"/>
      <c r="AT2388" s="483"/>
      <c r="AU2388" s="483"/>
      <c r="AV2388" s="483"/>
      <c r="AW2388" s="483"/>
      <c r="AX2388" s="483"/>
      <c r="AY2388" s="270"/>
      <c r="AZ2388" s="270"/>
      <c r="BA2388" s="270" t="str">
        <f>IF(Table1[[#This Row],[Data de Início]]="","",YEAR(Table1[[#This Row],[Data de Início]]))</f>
        <v/>
      </c>
      <c r="BB2388" s="270" t="str">
        <f>IF(Table1[[#This Row],[Data de Início]]="","",MONTH(Table1[[#This Row],[Data de Início]]))</f>
        <v/>
      </c>
      <c r="BC2388" s="270"/>
    </row>
    <row r="2389" spans="2:55" x14ac:dyDescent="0.25">
      <c r="B2389" s="470"/>
      <c r="C2389" s="263"/>
      <c r="D2389" s="477" cm="1">
        <f t="array" ref="D2389">IFERROR(HorasUteisFabrica2Turnos(B2389,C2389), "")</f>
        <v>0</v>
      </c>
      <c r="E2389" s="697" t="str">
        <f t="shared" si="37"/>
        <v/>
      </c>
      <c r="F2389" s="266"/>
      <c r="G2389" s="698"/>
      <c r="H2389" s="266"/>
      <c r="I2389" s="268"/>
      <c r="J2389" s="268"/>
      <c r="K2389" s="268"/>
      <c r="L2389" s="269"/>
      <c r="M2389" s="510" t="str">
        <f>IFERROR(INDEX([1]Produtos!$C:$C,MATCH(L2389,[1]Produtos!$B:$B,0)), "-")</f>
        <v>-</v>
      </c>
      <c r="N2389" s="510" t="str">
        <f>IFERROR(INDEX([1]Produtos!$E:$E,MATCH(L2389,[1]Produtos!$B:$B,0)), "-")</f>
        <v>-</v>
      </c>
      <c r="O2389" s="270" t="str">
        <f>IFERROR(INDEX([1]Produtos!$F:$F,MATCH(L2389,[1]Produtos!$B:$B,0)), "-")</f>
        <v>-</v>
      </c>
      <c r="P2389" s="264" t="str">
        <f>IFERROR(INDEX([1]Produtos!$G:$G,MATCH(L2389,[1]Produtos!$B:$B,0)), "-")</f>
        <v>-</v>
      </c>
      <c r="Q2389" s="270" t="str">
        <f>IFERROR(INDEX([1]Produtos!$H:$H,MATCH(L2389,[1]Produtos!$B:$B,0)), "-")</f>
        <v>-</v>
      </c>
      <c r="R2389" s="270" t="str">
        <f>IFERROR(INDEX([1]Produtos!$I:$I,MATCH(L2389,[1]Produtos!$B:$B,0)), "-")</f>
        <v>-</v>
      </c>
      <c r="S2389" s="270" t="str">
        <f>IFERROR(INDEX([1]Produtos!$J:$J,MATCH(L2389,[1]Produtos!$B:$B,0)), "-")</f>
        <v>-</v>
      </c>
      <c r="T2389" s="475"/>
      <c r="U2389" s="270"/>
      <c r="V2389" s="270"/>
      <c r="W2389" s="270"/>
      <c r="X2389" s="270"/>
      <c r="Y2389" s="270"/>
      <c r="Z2389" s="270"/>
      <c r="AA2389" s="270"/>
      <c r="AB2389" s="270"/>
      <c r="AC2389" s="270"/>
      <c r="AD2389" s="270"/>
      <c r="AE2389" s="270"/>
      <c r="AF2389" s="270"/>
      <c r="AG2389" s="270"/>
      <c r="AH2389" s="270"/>
      <c r="AI2389" s="270"/>
      <c r="AJ2389" s="270"/>
      <c r="AK2389" s="270"/>
      <c r="AL2389" s="270"/>
      <c r="AM2389" s="663"/>
      <c r="AN2389" s="663"/>
      <c r="AO2389" s="708" t="str">
        <f>IF(OR(Table1[[#This Row],[Início Setup Envase]]="",Table1[[#This Row],[Final Setup Envase]]=""),"",Table1[[#This Row],[Final Setup Envase]]-Table1[[#This Row],[Início Setup Envase]])</f>
        <v/>
      </c>
      <c r="AP2389" s="663"/>
      <c r="AQ2389" s="663"/>
      <c r="AR2389" s="270"/>
      <c r="AS2389" s="674"/>
      <c r="AT2389" s="674"/>
      <c r="AU2389" s="270"/>
      <c r="AV2389" s="270"/>
      <c r="AW2389" s="270"/>
      <c r="AX2389" s="270"/>
      <c r="AY2389" s="270"/>
      <c r="AZ2389" s="270"/>
      <c r="BA2389" s="270" t="str">
        <f>IF(Table1[[#This Row],[Data de Início]]="","",YEAR(Table1[[#This Row],[Data de Início]]))</f>
        <v/>
      </c>
      <c r="BB2389" s="270" t="str">
        <f>IF(Table1[[#This Row],[Data de Início]]="","",MONTH(Table1[[#This Row],[Data de Início]]))</f>
        <v/>
      </c>
      <c r="BC2389" s="483"/>
    </row>
    <row r="2390" spans="2:55" x14ac:dyDescent="0.25">
      <c r="B2390" s="470"/>
      <c r="C2390" s="263"/>
      <c r="D2390" s="477" cm="1">
        <f t="array" ref="D2390">IFERROR(HorasUteisFabrica2Turnos(B2390,C2390), "")</f>
        <v>0</v>
      </c>
      <c r="E2390" s="478" t="str">
        <f t="shared" si="37"/>
        <v/>
      </c>
      <c r="F2390" s="266"/>
      <c r="G2390" s="656"/>
      <c r="H2390" s="479"/>
      <c r="I2390" s="268"/>
      <c r="J2390" s="268"/>
      <c r="K2390" s="268"/>
      <c r="L2390" s="269"/>
      <c r="M2390" s="511" t="str">
        <f>IFERROR(INDEX([1]Produtos!$C:$C,MATCH(L2390,[1]Produtos!$B:$B,0)), "-")</f>
        <v>-</v>
      </c>
      <c r="N2390" s="511" t="str">
        <f>IFERROR(INDEX([1]Produtos!$E:$E,MATCH(L2390,[1]Produtos!$B:$B,0)), "-")</f>
        <v>-</v>
      </c>
      <c r="O2390" s="483" t="str">
        <f>IFERROR(INDEX([1]Produtos!$F:$F,MATCH(L2390,[1]Produtos!$B:$B,0)), "-")</f>
        <v>-</v>
      </c>
      <c r="P2390" s="477" t="str">
        <f>IFERROR(INDEX([1]Produtos!$G:$G,MATCH(L2390,[1]Produtos!$B:$B,0)), "-")</f>
        <v>-</v>
      </c>
      <c r="Q2390" s="483" t="str">
        <f>IFERROR(INDEX([1]Produtos!$H:$H,MATCH(L2390,[1]Produtos!$B:$B,0)), "-")</f>
        <v>-</v>
      </c>
      <c r="R2390" s="483" t="str">
        <f>IFERROR(INDEX([1]Produtos!$I:$I,MATCH(L2390,[1]Produtos!$B:$B,0)), "-")</f>
        <v>-</v>
      </c>
      <c r="S2390" s="483" t="str">
        <f>IFERROR(INDEX([1]Produtos!$J:$J,MATCH(L2390,[1]Produtos!$B:$B,0)), "-")</f>
        <v>-</v>
      </c>
      <c r="T2390" s="484"/>
      <c r="U2390" s="483"/>
      <c r="V2390" s="483"/>
      <c r="W2390" s="483"/>
      <c r="X2390" s="483"/>
      <c r="Y2390" s="483"/>
      <c r="Z2390" s="483"/>
      <c r="AA2390" s="483"/>
      <c r="AB2390" s="483"/>
      <c r="AC2390" s="483"/>
      <c r="AD2390" s="483"/>
      <c r="AE2390" s="483"/>
      <c r="AF2390" s="483"/>
      <c r="AG2390" s="483"/>
      <c r="AH2390" s="483"/>
      <c r="AI2390" s="483"/>
      <c r="AJ2390" s="483"/>
      <c r="AK2390" s="483"/>
      <c r="AL2390" s="483"/>
      <c r="AM2390" s="670"/>
      <c r="AN2390" s="670"/>
      <c r="AO2390" s="711" t="str">
        <f>IF(OR(Table1[[#This Row],[Início Setup Envase]]="",Table1[[#This Row],[Final Setup Envase]]=""),"",Table1[[#This Row],[Final Setup Envase]]-Table1[[#This Row],[Início Setup Envase]])</f>
        <v/>
      </c>
      <c r="AP2390" s="670"/>
      <c r="AQ2390" s="670"/>
      <c r="AR2390" s="483"/>
      <c r="AS2390" s="483"/>
      <c r="AT2390" s="483"/>
      <c r="AU2390" s="483"/>
      <c r="AV2390" s="483"/>
      <c r="AW2390" s="483"/>
      <c r="AX2390" s="483"/>
      <c r="AY2390" s="270"/>
      <c r="AZ2390" s="270"/>
      <c r="BA2390" s="270" t="str">
        <f>IF(Table1[[#This Row],[Data de Início]]="","",YEAR(Table1[[#This Row],[Data de Início]]))</f>
        <v/>
      </c>
      <c r="BB2390" s="270" t="str">
        <f>IF(Table1[[#This Row],[Data de Início]]="","",MONTH(Table1[[#This Row],[Data de Início]]))</f>
        <v/>
      </c>
      <c r="BC2390" s="270"/>
    </row>
    <row r="2391" spans="2:55" x14ac:dyDescent="0.25">
      <c r="B2391" s="470"/>
      <c r="C2391" s="263"/>
      <c r="D2391" s="477" cm="1">
        <f t="array" ref="D2391">IFERROR(HorasUteisFabrica2Turnos(B2391,C2391), "")</f>
        <v>0</v>
      </c>
      <c r="E2391" s="697" t="str">
        <f t="shared" si="37"/>
        <v/>
      </c>
      <c r="F2391" s="266"/>
      <c r="G2391" s="698"/>
      <c r="H2391" s="266"/>
      <c r="I2391" s="268"/>
      <c r="J2391" s="268"/>
      <c r="K2391" s="268"/>
      <c r="L2391" s="269"/>
      <c r="M2391" s="510" t="str">
        <f>IFERROR(INDEX([1]Produtos!$C:$C,MATCH(L2391,[1]Produtos!$B:$B,0)), "-")</f>
        <v>-</v>
      </c>
      <c r="N2391" s="510" t="str">
        <f>IFERROR(INDEX([1]Produtos!$E:$E,MATCH(L2391,[1]Produtos!$B:$B,0)), "-")</f>
        <v>-</v>
      </c>
      <c r="O2391" s="270" t="str">
        <f>IFERROR(INDEX([1]Produtos!$F:$F,MATCH(L2391,[1]Produtos!$B:$B,0)), "-")</f>
        <v>-</v>
      </c>
      <c r="P2391" s="264" t="str">
        <f>IFERROR(INDEX([1]Produtos!$G:$G,MATCH(L2391,[1]Produtos!$B:$B,0)), "-")</f>
        <v>-</v>
      </c>
      <c r="Q2391" s="270" t="str">
        <f>IFERROR(INDEX([1]Produtos!$H:$H,MATCH(L2391,[1]Produtos!$B:$B,0)), "-")</f>
        <v>-</v>
      </c>
      <c r="R2391" s="270" t="str">
        <f>IFERROR(INDEX([1]Produtos!$I:$I,MATCH(L2391,[1]Produtos!$B:$B,0)), "-")</f>
        <v>-</v>
      </c>
      <c r="S2391" s="270" t="str">
        <f>IFERROR(INDEX([1]Produtos!$J:$J,MATCH(L2391,[1]Produtos!$B:$B,0)), "-")</f>
        <v>-</v>
      </c>
      <c r="T2391" s="475"/>
      <c r="U2391" s="270"/>
      <c r="V2391" s="270"/>
      <c r="W2391" s="270"/>
      <c r="X2391" s="270"/>
      <c r="Y2391" s="270"/>
      <c r="Z2391" s="270"/>
      <c r="AA2391" s="270"/>
      <c r="AB2391" s="270"/>
      <c r="AC2391" s="270"/>
      <c r="AD2391" s="270"/>
      <c r="AE2391" s="270"/>
      <c r="AF2391" s="270"/>
      <c r="AG2391" s="270"/>
      <c r="AH2391" s="270"/>
      <c r="AI2391" s="270"/>
      <c r="AJ2391" s="270"/>
      <c r="AK2391" s="270"/>
      <c r="AL2391" s="270"/>
      <c r="AM2391" s="663"/>
      <c r="AN2391" s="663"/>
      <c r="AO2391" s="708" t="str">
        <f>IF(OR(Table1[[#This Row],[Início Setup Envase]]="",Table1[[#This Row],[Final Setup Envase]]=""),"",Table1[[#This Row],[Final Setup Envase]]-Table1[[#This Row],[Início Setup Envase]])</f>
        <v/>
      </c>
      <c r="AP2391" s="663"/>
      <c r="AQ2391" s="663"/>
      <c r="AR2391" s="270"/>
      <c r="AS2391" s="674"/>
      <c r="AT2391" s="674"/>
      <c r="AU2391" s="270"/>
      <c r="AV2391" s="270"/>
      <c r="AW2391" s="270"/>
      <c r="AX2391" s="270"/>
      <c r="AY2391" s="270"/>
      <c r="AZ2391" s="270"/>
      <c r="BA2391" s="270" t="str">
        <f>IF(Table1[[#This Row],[Data de Início]]="","",YEAR(Table1[[#This Row],[Data de Início]]))</f>
        <v/>
      </c>
      <c r="BB2391" s="270" t="str">
        <f>IF(Table1[[#This Row],[Data de Início]]="","",MONTH(Table1[[#This Row],[Data de Início]]))</f>
        <v/>
      </c>
      <c r="BC2391" s="483"/>
    </row>
    <row r="2392" spans="2:55" x14ac:dyDescent="0.25">
      <c r="B2392" s="470"/>
      <c r="C2392" s="263"/>
      <c r="D2392" s="477" cm="1">
        <f t="array" ref="D2392">IFERROR(HorasUteisFabrica2Turnos(B2392,C2392), "")</f>
        <v>0</v>
      </c>
      <c r="E2392" s="478" t="str">
        <f t="shared" si="37"/>
        <v/>
      </c>
      <c r="F2392" s="266"/>
      <c r="G2392" s="656"/>
      <c r="H2392" s="479"/>
      <c r="I2392" s="268"/>
      <c r="J2392" s="268"/>
      <c r="K2392" s="268"/>
      <c r="L2392" s="269"/>
      <c r="M2392" s="511" t="str">
        <f>IFERROR(INDEX([1]Produtos!$C:$C,MATCH(L2392,[1]Produtos!$B:$B,0)), "-")</f>
        <v>-</v>
      </c>
      <c r="N2392" s="511" t="str">
        <f>IFERROR(INDEX([1]Produtos!$E:$E,MATCH(L2392,[1]Produtos!$B:$B,0)), "-")</f>
        <v>-</v>
      </c>
      <c r="O2392" s="483" t="str">
        <f>IFERROR(INDEX([1]Produtos!$F:$F,MATCH(L2392,[1]Produtos!$B:$B,0)), "-")</f>
        <v>-</v>
      </c>
      <c r="P2392" s="477" t="str">
        <f>IFERROR(INDEX([1]Produtos!$G:$G,MATCH(L2392,[1]Produtos!$B:$B,0)), "-")</f>
        <v>-</v>
      </c>
      <c r="Q2392" s="483" t="str">
        <f>IFERROR(INDEX([1]Produtos!$H:$H,MATCH(L2392,[1]Produtos!$B:$B,0)), "-")</f>
        <v>-</v>
      </c>
      <c r="R2392" s="483" t="str">
        <f>IFERROR(INDEX([1]Produtos!$I:$I,MATCH(L2392,[1]Produtos!$B:$B,0)), "-")</f>
        <v>-</v>
      </c>
      <c r="S2392" s="483" t="str">
        <f>IFERROR(INDEX([1]Produtos!$J:$J,MATCH(L2392,[1]Produtos!$B:$B,0)), "-")</f>
        <v>-</v>
      </c>
      <c r="T2392" s="484"/>
      <c r="U2392" s="483"/>
      <c r="V2392" s="483"/>
      <c r="W2392" s="483"/>
      <c r="X2392" s="483"/>
      <c r="Y2392" s="483"/>
      <c r="Z2392" s="483"/>
      <c r="AA2392" s="483"/>
      <c r="AB2392" s="483"/>
      <c r="AC2392" s="483"/>
      <c r="AD2392" s="483"/>
      <c r="AE2392" s="483"/>
      <c r="AF2392" s="483"/>
      <c r="AG2392" s="483"/>
      <c r="AH2392" s="483"/>
      <c r="AI2392" s="483"/>
      <c r="AJ2392" s="483"/>
      <c r="AK2392" s="483"/>
      <c r="AL2392" s="483"/>
      <c r="AM2392" s="670"/>
      <c r="AN2392" s="670"/>
      <c r="AO2392" s="711" t="str">
        <f>IF(OR(Table1[[#This Row],[Início Setup Envase]]="",Table1[[#This Row],[Final Setup Envase]]=""),"",Table1[[#This Row],[Final Setup Envase]]-Table1[[#This Row],[Início Setup Envase]])</f>
        <v/>
      </c>
      <c r="AP2392" s="670"/>
      <c r="AQ2392" s="670"/>
      <c r="AR2392" s="483"/>
      <c r="AS2392" s="483"/>
      <c r="AT2392" s="483"/>
      <c r="AU2392" s="483"/>
      <c r="AV2392" s="483"/>
      <c r="AW2392" s="483"/>
      <c r="AX2392" s="483"/>
      <c r="AY2392" s="270"/>
      <c r="AZ2392" s="270"/>
      <c r="BA2392" s="270" t="str">
        <f>IF(Table1[[#This Row],[Data de Início]]="","",YEAR(Table1[[#This Row],[Data de Início]]))</f>
        <v/>
      </c>
      <c r="BB2392" s="270" t="str">
        <f>IF(Table1[[#This Row],[Data de Início]]="","",MONTH(Table1[[#This Row],[Data de Início]]))</f>
        <v/>
      </c>
      <c r="BC2392" s="270"/>
    </row>
    <row r="2393" spans="2:55" x14ac:dyDescent="0.25">
      <c r="B2393" s="470"/>
      <c r="C2393" s="263"/>
      <c r="D2393" s="477" cm="1">
        <f t="array" ref="D2393">IFERROR(HorasUteisFabrica2Turnos(B2393,C2393), "")</f>
        <v>0</v>
      </c>
      <c r="E2393" s="697" t="str">
        <f t="shared" si="37"/>
        <v/>
      </c>
      <c r="F2393" s="266"/>
      <c r="G2393" s="698"/>
      <c r="H2393" s="266"/>
      <c r="I2393" s="268"/>
      <c r="J2393" s="268"/>
      <c r="K2393" s="268"/>
      <c r="L2393" s="269"/>
      <c r="M2393" s="510" t="str">
        <f>IFERROR(INDEX([1]Produtos!$C:$C,MATCH(L2393,[1]Produtos!$B:$B,0)), "-")</f>
        <v>-</v>
      </c>
      <c r="N2393" s="510" t="str">
        <f>IFERROR(INDEX([1]Produtos!$E:$E,MATCH(L2393,[1]Produtos!$B:$B,0)), "-")</f>
        <v>-</v>
      </c>
      <c r="O2393" s="270" t="str">
        <f>IFERROR(INDEX([1]Produtos!$F:$F,MATCH(L2393,[1]Produtos!$B:$B,0)), "-")</f>
        <v>-</v>
      </c>
      <c r="P2393" s="264" t="str">
        <f>IFERROR(INDEX([1]Produtos!$G:$G,MATCH(L2393,[1]Produtos!$B:$B,0)), "-")</f>
        <v>-</v>
      </c>
      <c r="Q2393" s="270" t="str">
        <f>IFERROR(INDEX([1]Produtos!$H:$H,MATCH(L2393,[1]Produtos!$B:$B,0)), "-")</f>
        <v>-</v>
      </c>
      <c r="R2393" s="270" t="str">
        <f>IFERROR(INDEX([1]Produtos!$I:$I,MATCH(L2393,[1]Produtos!$B:$B,0)), "-")</f>
        <v>-</v>
      </c>
      <c r="S2393" s="270" t="str">
        <f>IFERROR(INDEX([1]Produtos!$J:$J,MATCH(L2393,[1]Produtos!$B:$B,0)), "-")</f>
        <v>-</v>
      </c>
      <c r="T2393" s="475"/>
      <c r="U2393" s="270"/>
      <c r="V2393" s="270"/>
      <c r="W2393" s="270"/>
      <c r="X2393" s="270"/>
      <c r="Y2393" s="270"/>
      <c r="Z2393" s="270"/>
      <c r="AA2393" s="270"/>
      <c r="AB2393" s="270"/>
      <c r="AC2393" s="270"/>
      <c r="AD2393" s="270"/>
      <c r="AE2393" s="270"/>
      <c r="AF2393" s="270"/>
      <c r="AG2393" s="270"/>
      <c r="AH2393" s="270"/>
      <c r="AI2393" s="270"/>
      <c r="AJ2393" s="270"/>
      <c r="AK2393" s="270"/>
      <c r="AL2393" s="270"/>
      <c r="AM2393" s="663"/>
      <c r="AN2393" s="663"/>
      <c r="AO2393" s="708" t="str">
        <f>IF(OR(Table1[[#This Row],[Início Setup Envase]]="",Table1[[#This Row],[Final Setup Envase]]=""),"",Table1[[#This Row],[Final Setup Envase]]-Table1[[#This Row],[Início Setup Envase]])</f>
        <v/>
      </c>
      <c r="AP2393" s="663"/>
      <c r="AQ2393" s="663"/>
      <c r="AR2393" s="270"/>
      <c r="AS2393" s="674"/>
      <c r="AT2393" s="674"/>
      <c r="AU2393" s="270"/>
      <c r="AV2393" s="270"/>
      <c r="AW2393" s="270"/>
      <c r="AX2393" s="270"/>
      <c r="AY2393" s="270"/>
      <c r="AZ2393" s="270"/>
      <c r="BA2393" s="270" t="str">
        <f>IF(Table1[[#This Row],[Data de Início]]="","",YEAR(Table1[[#This Row],[Data de Início]]))</f>
        <v/>
      </c>
      <c r="BB2393" s="270" t="str">
        <f>IF(Table1[[#This Row],[Data de Início]]="","",MONTH(Table1[[#This Row],[Data de Início]]))</f>
        <v/>
      </c>
      <c r="BC2393" s="483"/>
    </row>
    <row r="2394" spans="2:55" x14ac:dyDescent="0.25">
      <c r="B2394" s="470"/>
      <c r="C2394" s="263"/>
      <c r="D2394" s="477" cm="1">
        <f t="array" ref="D2394">IFERROR(HorasUteisFabrica2Turnos(B2394,C2394), "")</f>
        <v>0</v>
      </c>
      <c r="E2394" s="478" t="str">
        <f t="shared" si="37"/>
        <v/>
      </c>
      <c r="F2394" s="266"/>
      <c r="G2394" s="656"/>
      <c r="H2394" s="479"/>
      <c r="I2394" s="268"/>
      <c r="J2394" s="268"/>
      <c r="K2394" s="268"/>
      <c r="L2394" s="269"/>
      <c r="M2394" s="511" t="str">
        <f>IFERROR(INDEX([1]Produtos!$C:$C,MATCH(L2394,[1]Produtos!$B:$B,0)), "-")</f>
        <v>-</v>
      </c>
      <c r="N2394" s="511" t="str">
        <f>IFERROR(INDEX([1]Produtos!$E:$E,MATCH(L2394,[1]Produtos!$B:$B,0)), "-")</f>
        <v>-</v>
      </c>
      <c r="O2394" s="483" t="str">
        <f>IFERROR(INDEX([1]Produtos!$F:$F,MATCH(L2394,[1]Produtos!$B:$B,0)), "-")</f>
        <v>-</v>
      </c>
      <c r="P2394" s="477" t="str">
        <f>IFERROR(INDEX([1]Produtos!$G:$G,MATCH(L2394,[1]Produtos!$B:$B,0)), "-")</f>
        <v>-</v>
      </c>
      <c r="Q2394" s="483" t="str">
        <f>IFERROR(INDEX([1]Produtos!$H:$H,MATCH(L2394,[1]Produtos!$B:$B,0)), "-")</f>
        <v>-</v>
      </c>
      <c r="R2394" s="483" t="str">
        <f>IFERROR(INDEX([1]Produtos!$I:$I,MATCH(L2394,[1]Produtos!$B:$B,0)), "-")</f>
        <v>-</v>
      </c>
      <c r="S2394" s="483" t="str">
        <f>IFERROR(INDEX([1]Produtos!$J:$J,MATCH(L2394,[1]Produtos!$B:$B,0)), "-")</f>
        <v>-</v>
      </c>
      <c r="T2394" s="484"/>
      <c r="U2394" s="483"/>
      <c r="V2394" s="483"/>
      <c r="W2394" s="483"/>
      <c r="X2394" s="483"/>
      <c r="Y2394" s="483"/>
      <c r="Z2394" s="483"/>
      <c r="AA2394" s="483"/>
      <c r="AB2394" s="483"/>
      <c r="AC2394" s="483"/>
      <c r="AD2394" s="483"/>
      <c r="AE2394" s="483"/>
      <c r="AF2394" s="483"/>
      <c r="AG2394" s="483"/>
      <c r="AH2394" s="483"/>
      <c r="AI2394" s="483"/>
      <c r="AJ2394" s="483"/>
      <c r="AK2394" s="483"/>
      <c r="AL2394" s="483"/>
      <c r="AM2394" s="670"/>
      <c r="AN2394" s="670"/>
      <c r="AO2394" s="711" t="str">
        <f>IF(OR(Table1[[#This Row],[Início Setup Envase]]="",Table1[[#This Row],[Final Setup Envase]]=""),"",Table1[[#This Row],[Final Setup Envase]]-Table1[[#This Row],[Início Setup Envase]])</f>
        <v/>
      </c>
      <c r="AP2394" s="670"/>
      <c r="AQ2394" s="670"/>
      <c r="AR2394" s="483"/>
      <c r="AS2394" s="483"/>
      <c r="AT2394" s="483"/>
      <c r="AU2394" s="483"/>
      <c r="AV2394" s="483"/>
      <c r="AW2394" s="483"/>
      <c r="AX2394" s="483"/>
      <c r="AY2394" s="270"/>
      <c r="AZ2394" s="270"/>
      <c r="BA2394" s="270" t="str">
        <f>IF(Table1[[#This Row],[Data de Início]]="","",YEAR(Table1[[#This Row],[Data de Início]]))</f>
        <v/>
      </c>
      <c r="BB2394" s="270" t="str">
        <f>IF(Table1[[#This Row],[Data de Início]]="","",MONTH(Table1[[#This Row],[Data de Início]]))</f>
        <v/>
      </c>
      <c r="BC2394" s="270"/>
    </row>
    <row r="2395" spans="2:55" x14ac:dyDescent="0.25">
      <c r="B2395" s="470"/>
      <c r="C2395" s="263"/>
      <c r="D2395" s="477" cm="1">
        <f t="array" ref="D2395">IFERROR(HorasUteisFabrica2Turnos(B2395,C2395), "")</f>
        <v>0</v>
      </c>
      <c r="E2395" s="697" t="str">
        <f t="shared" si="37"/>
        <v/>
      </c>
      <c r="F2395" s="266"/>
      <c r="G2395" s="698"/>
      <c r="H2395" s="266"/>
      <c r="I2395" s="268"/>
      <c r="J2395" s="268"/>
      <c r="K2395" s="268"/>
      <c r="L2395" s="269"/>
      <c r="M2395" s="510" t="str">
        <f>IFERROR(INDEX([1]Produtos!$C:$C,MATCH(L2395,[1]Produtos!$B:$B,0)), "-")</f>
        <v>-</v>
      </c>
      <c r="N2395" s="510" t="str">
        <f>IFERROR(INDEX([1]Produtos!$E:$E,MATCH(L2395,[1]Produtos!$B:$B,0)), "-")</f>
        <v>-</v>
      </c>
      <c r="O2395" s="270" t="str">
        <f>IFERROR(INDEX([1]Produtos!$F:$F,MATCH(L2395,[1]Produtos!$B:$B,0)), "-")</f>
        <v>-</v>
      </c>
      <c r="P2395" s="264" t="str">
        <f>IFERROR(INDEX([1]Produtos!$G:$G,MATCH(L2395,[1]Produtos!$B:$B,0)), "-")</f>
        <v>-</v>
      </c>
      <c r="Q2395" s="270" t="str">
        <f>IFERROR(INDEX([1]Produtos!$H:$H,MATCH(L2395,[1]Produtos!$B:$B,0)), "-")</f>
        <v>-</v>
      </c>
      <c r="R2395" s="270" t="str">
        <f>IFERROR(INDEX([1]Produtos!$I:$I,MATCH(L2395,[1]Produtos!$B:$B,0)), "-")</f>
        <v>-</v>
      </c>
      <c r="S2395" s="270" t="str">
        <f>IFERROR(INDEX([1]Produtos!$J:$J,MATCH(L2395,[1]Produtos!$B:$B,0)), "-")</f>
        <v>-</v>
      </c>
      <c r="T2395" s="475"/>
      <c r="U2395" s="270"/>
      <c r="V2395" s="270"/>
      <c r="W2395" s="270"/>
      <c r="X2395" s="270"/>
      <c r="Y2395" s="270"/>
      <c r="Z2395" s="270"/>
      <c r="AA2395" s="270"/>
      <c r="AB2395" s="270"/>
      <c r="AC2395" s="270"/>
      <c r="AD2395" s="270"/>
      <c r="AE2395" s="270"/>
      <c r="AF2395" s="270"/>
      <c r="AG2395" s="270"/>
      <c r="AH2395" s="270"/>
      <c r="AI2395" s="270"/>
      <c r="AJ2395" s="270"/>
      <c r="AK2395" s="270"/>
      <c r="AL2395" s="270"/>
      <c r="AM2395" s="663"/>
      <c r="AN2395" s="663"/>
      <c r="AO2395" s="708" t="str">
        <f>IF(OR(Table1[[#This Row],[Início Setup Envase]]="",Table1[[#This Row],[Final Setup Envase]]=""),"",Table1[[#This Row],[Final Setup Envase]]-Table1[[#This Row],[Início Setup Envase]])</f>
        <v/>
      </c>
      <c r="AP2395" s="663"/>
      <c r="AQ2395" s="663"/>
      <c r="AR2395" s="270"/>
      <c r="AS2395" s="674"/>
      <c r="AT2395" s="674"/>
      <c r="AU2395" s="270"/>
      <c r="AV2395" s="270"/>
      <c r="AW2395" s="270"/>
      <c r="AX2395" s="270"/>
      <c r="AY2395" s="270"/>
      <c r="AZ2395" s="270"/>
      <c r="BA2395" s="270" t="str">
        <f>IF(Table1[[#This Row],[Data de Início]]="","",YEAR(Table1[[#This Row],[Data de Início]]))</f>
        <v/>
      </c>
      <c r="BB2395" s="270" t="str">
        <f>IF(Table1[[#This Row],[Data de Início]]="","",MONTH(Table1[[#This Row],[Data de Início]]))</f>
        <v/>
      </c>
      <c r="BC2395" s="483"/>
    </row>
    <row r="2396" spans="2:55" x14ac:dyDescent="0.25">
      <c r="B2396" s="470"/>
      <c r="C2396" s="263"/>
      <c r="D2396" s="477" cm="1">
        <f t="array" ref="D2396">IFERROR(HorasUteisFabrica2Turnos(B2396,C2396), "")</f>
        <v>0</v>
      </c>
      <c r="E2396" s="478" t="str">
        <f t="shared" si="37"/>
        <v/>
      </c>
      <c r="F2396" s="266"/>
      <c r="G2396" s="656"/>
      <c r="H2396" s="479"/>
      <c r="I2396" s="268"/>
      <c r="J2396" s="268"/>
      <c r="K2396" s="268"/>
      <c r="L2396" s="269"/>
      <c r="M2396" s="511" t="str">
        <f>IFERROR(INDEX([1]Produtos!$C:$C,MATCH(L2396,[1]Produtos!$B:$B,0)), "-")</f>
        <v>-</v>
      </c>
      <c r="N2396" s="511" t="str">
        <f>IFERROR(INDEX([1]Produtos!$E:$E,MATCH(L2396,[1]Produtos!$B:$B,0)), "-")</f>
        <v>-</v>
      </c>
      <c r="O2396" s="483" t="str">
        <f>IFERROR(INDEX([1]Produtos!$F:$F,MATCH(L2396,[1]Produtos!$B:$B,0)), "-")</f>
        <v>-</v>
      </c>
      <c r="P2396" s="477" t="str">
        <f>IFERROR(INDEX([1]Produtos!$G:$G,MATCH(L2396,[1]Produtos!$B:$B,0)), "-")</f>
        <v>-</v>
      </c>
      <c r="Q2396" s="483" t="str">
        <f>IFERROR(INDEX([1]Produtos!$H:$H,MATCH(L2396,[1]Produtos!$B:$B,0)), "-")</f>
        <v>-</v>
      </c>
      <c r="R2396" s="483" t="str">
        <f>IFERROR(INDEX([1]Produtos!$I:$I,MATCH(L2396,[1]Produtos!$B:$B,0)), "-")</f>
        <v>-</v>
      </c>
      <c r="S2396" s="483" t="str">
        <f>IFERROR(INDEX([1]Produtos!$J:$J,MATCH(L2396,[1]Produtos!$B:$B,0)), "-")</f>
        <v>-</v>
      </c>
      <c r="T2396" s="484"/>
      <c r="U2396" s="483"/>
      <c r="V2396" s="483"/>
      <c r="W2396" s="483"/>
      <c r="X2396" s="483"/>
      <c r="Y2396" s="483"/>
      <c r="Z2396" s="483"/>
      <c r="AA2396" s="483"/>
      <c r="AB2396" s="483"/>
      <c r="AC2396" s="483"/>
      <c r="AD2396" s="483"/>
      <c r="AE2396" s="483"/>
      <c r="AF2396" s="483"/>
      <c r="AG2396" s="483"/>
      <c r="AH2396" s="483"/>
      <c r="AI2396" s="483"/>
      <c r="AJ2396" s="483"/>
      <c r="AK2396" s="483"/>
      <c r="AL2396" s="483"/>
      <c r="AM2396" s="670"/>
      <c r="AN2396" s="670"/>
      <c r="AO2396" s="711" t="str">
        <f>IF(OR(Table1[[#This Row],[Início Setup Envase]]="",Table1[[#This Row],[Final Setup Envase]]=""),"",Table1[[#This Row],[Final Setup Envase]]-Table1[[#This Row],[Início Setup Envase]])</f>
        <v/>
      </c>
      <c r="AP2396" s="670"/>
      <c r="AQ2396" s="670"/>
      <c r="AR2396" s="483"/>
      <c r="AS2396" s="483"/>
      <c r="AT2396" s="483"/>
      <c r="AU2396" s="483"/>
      <c r="AV2396" s="483"/>
      <c r="AW2396" s="483"/>
      <c r="AX2396" s="483"/>
      <c r="AY2396" s="270"/>
      <c r="AZ2396" s="270"/>
      <c r="BA2396" s="270" t="str">
        <f>IF(Table1[[#This Row],[Data de Início]]="","",YEAR(Table1[[#This Row],[Data de Início]]))</f>
        <v/>
      </c>
      <c r="BB2396" s="270" t="str">
        <f>IF(Table1[[#This Row],[Data de Início]]="","",MONTH(Table1[[#This Row],[Data de Início]]))</f>
        <v/>
      </c>
      <c r="BC2396" s="270"/>
    </row>
    <row r="2397" spans="2:55" x14ac:dyDescent="0.25">
      <c r="B2397" s="470"/>
      <c r="C2397" s="263"/>
      <c r="D2397" s="477" cm="1">
        <f t="array" ref="D2397">IFERROR(HorasUteisFabrica2Turnos(B2397,C2397), "")</f>
        <v>0</v>
      </c>
      <c r="E2397" s="697" t="str">
        <f t="shared" si="37"/>
        <v/>
      </c>
      <c r="F2397" s="266"/>
      <c r="G2397" s="698"/>
      <c r="H2397" s="266"/>
      <c r="I2397" s="268"/>
      <c r="J2397" s="268"/>
      <c r="K2397" s="268"/>
      <c r="L2397" s="269"/>
      <c r="M2397" s="510" t="str">
        <f>IFERROR(INDEX([1]Produtos!$C:$C,MATCH(L2397,[1]Produtos!$B:$B,0)), "-")</f>
        <v>-</v>
      </c>
      <c r="N2397" s="510" t="str">
        <f>IFERROR(INDEX([1]Produtos!$E:$E,MATCH(L2397,[1]Produtos!$B:$B,0)), "-")</f>
        <v>-</v>
      </c>
      <c r="O2397" s="270" t="str">
        <f>IFERROR(INDEX([1]Produtos!$F:$F,MATCH(L2397,[1]Produtos!$B:$B,0)), "-")</f>
        <v>-</v>
      </c>
      <c r="P2397" s="264" t="str">
        <f>IFERROR(INDEX([1]Produtos!$G:$G,MATCH(L2397,[1]Produtos!$B:$B,0)), "-")</f>
        <v>-</v>
      </c>
      <c r="Q2397" s="270" t="str">
        <f>IFERROR(INDEX([1]Produtos!$H:$H,MATCH(L2397,[1]Produtos!$B:$B,0)), "-")</f>
        <v>-</v>
      </c>
      <c r="R2397" s="270" t="str">
        <f>IFERROR(INDEX([1]Produtos!$I:$I,MATCH(L2397,[1]Produtos!$B:$B,0)), "-")</f>
        <v>-</v>
      </c>
      <c r="S2397" s="270" t="str">
        <f>IFERROR(INDEX([1]Produtos!$J:$J,MATCH(L2397,[1]Produtos!$B:$B,0)), "-")</f>
        <v>-</v>
      </c>
      <c r="T2397" s="475"/>
      <c r="U2397" s="270"/>
      <c r="V2397" s="270"/>
      <c r="W2397" s="270"/>
      <c r="X2397" s="270"/>
      <c r="Y2397" s="270"/>
      <c r="Z2397" s="270"/>
      <c r="AA2397" s="270"/>
      <c r="AB2397" s="270"/>
      <c r="AC2397" s="270"/>
      <c r="AD2397" s="270"/>
      <c r="AE2397" s="270"/>
      <c r="AF2397" s="270"/>
      <c r="AG2397" s="270"/>
      <c r="AH2397" s="270"/>
      <c r="AI2397" s="270"/>
      <c r="AJ2397" s="270"/>
      <c r="AK2397" s="270"/>
      <c r="AL2397" s="270"/>
      <c r="AM2397" s="663"/>
      <c r="AN2397" s="663"/>
      <c r="AO2397" s="708" t="str">
        <f>IF(OR(Table1[[#This Row],[Início Setup Envase]]="",Table1[[#This Row],[Final Setup Envase]]=""),"",Table1[[#This Row],[Final Setup Envase]]-Table1[[#This Row],[Início Setup Envase]])</f>
        <v/>
      </c>
      <c r="AP2397" s="663"/>
      <c r="AQ2397" s="663"/>
      <c r="AR2397" s="270"/>
      <c r="AS2397" s="674"/>
      <c r="AT2397" s="674"/>
      <c r="AU2397" s="270"/>
      <c r="AV2397" s="270"/>
      <c r="AW2397" s="270"/>
      <c r="AX2397" s="270"/>
      <c r="AY2397" s="270"/>
      <c r="AZ2397" s="270"/>
      <c r="BA2397" s="270" t="str">
        <f>IF(Table1[[#This Row],[Data de Início]]="","",YEAR(Table1[[#This Row],[Data de Início]]))</f>
        <v/>
      </c>
      <c r="BB2397" s="270" t="str">
        <f>IF(Table1[[#This Row],[Data de Início]]="","",MONTH(Table1[[#This Row],[Data de Início]]))</f>
        <v/>
      </c>
      <c r="BC2397" s="483"/>
    </row>
    <row r="2398" spans="2:55" x14ac:dyDescent="0.25">
      <c r="B2398" s="470"/>
      <c r="C2398" s="263"/>
      <c r="D2398" s="477" cm="1">
        <f t="array" ref="D2398">IFERROR(HorasUteisFabrica2Turnos(B2398,C2398), "")</f>
        <v>0</v>
      </c>
      <c r="E2398" s="478" t="str">
        <f t="shared" si="37"/>
        <v/>
      </c>
      <c r="F2398" s="266"/>
      <c r="G2398" s="656"/>
      <c r="H2398" s="479"/>
      <c r="I2398" s="268"/>
      <c r="J2398" s="268"/>
      <c r="K2398" s="268"/>
      <c r="L2398" s="269"/>
      <c r="M2398" s="511" t="str">
        <f>IFERROR(INDEX([1]Produtos!$C:$C,MATCH(L2398,[1]Produtos!$B:$B,0)), "-")</f>
        <v>-</v>
      </c>
      <c r="N2398" s="511" t="str">
        <f>IFERROR(INDEX([1]Produtos!$E:$E,MATCH(L2398,[1]Produtos!$B:$B,0)), "-")</f>
        <v>-</v>
      </c>
      <c r="O2398" s="483" t="str">
        <f>IFERROR(INDEX([1]Produtos!$F:$F,MATCH(L2398,[1]Produtos!$B:$B,0)), "-")</f>
        <v>-</v>
      </c>
      <c r="P2398" s="477" t="str">
        <f>IFERROR(INDEX([1]Produtos!$G:$G,MATCH(L2398,[1]Produtos!$B:$B,0)), "-")</f>
        <v>-</v>
      </c>
      <c r="Q2398" s="483" t="str">
        <f>IFERROR(INDEX([1]Produtos!$H:$H,MATCH(L2398,[1]Produtos!$B:$B,0)), "-")</f>
        <v>-</v>
      </c>
      <c r="R2398" s="483" t="str">
        <f>IFERROR(INDEX([1]Produtos!$I:$I,MATCH(L2398,[1]Produtos!$B:$B,0)), "-")</f>
        <v>-</v>
      </c>
      <c r="S2398" s="483" t="str">
        <f>IFERROR(INDEX([1]Produtos!$J:$J,MATCH(L2398,[1]Produtos!$B:$B,0)), "-")</f>
        <v>-</v>
      </c>
      <c r="T2398" s="484"/>
      <c r="U2398" s="483"/>
      <c r="V2398" s="483"/>
      <c r="W2398" s="483"/>
      <c r="X2398" s="483"/>
      <c r="Y2398" s="483"/>
      <c r="Z2398" s="483"/>
      <c r="AA2398" s="483"/>
      <c r="AB2398" s="483"/>
      <c r="AC2398" s="483"/>
      <c r="AD2398" s="483"/>
      <c r="AE2398" s="483"/>
      <c r="AF2398" s="483"/>
      <c r="AG2398" s="483"/>
      <c r="AH2398" s="483"/>
      <c r="AI2398" s="483"/>
      <c r="AJ2398" s="483"/>
      <c r="AK2398" s="483"/>
      <c r="AL2398" s="483"/>
      <c r="AM2398" s="670"/>
      <c r="AN2398" s="670"/>
      <c r="AO2398" s="711" t="str">
        <f>IF(OR(Table1[[#This Row],[Início Setup Envase]]="",Table1[[#This Row],[Final Setup Envase]]=""),"",Table1[[#This Row],[Final Setup Envase]]-Table1[[#This Row],[Início Setup Envase]])</f>
        <v/>
      </c>
      <c r="AP2398" s="670"/>
      <c r="AQ2398" s="670"/>
      <c r="AR2398" s="483"/>
      <c r="AS2398" s="483"/>
      <c r="AT2398" s="483"/>
      <c r="AU2398" s="483"/>
      <c r="AV2398" s="483"/>
      <c r="AW2398" s="483"/>
      <c r="AX2398" s="483"/>
      <c r="AY2398" s="270"/>
      <c r="AZ2398" s="270"/>
      <c r="BA2398" s="270" t="str">
        <f>IF(Table1[[#This Row],[Data de Início]]="","",YEAR(Table1[[#This Row],[Data de Início]]))</f>
        <v/>
      </c>
      <c r="BB2398" s="270" t="str">
        <f>IF(Table1[[#This Row],[Data de Início]]="","",MONTH(Table1[[#This Row],[Data de Início]]))</f>
        <v/>
      </c>
      <c r="BC2398" s="270"/>
    </row>
    <row r="2399" spans="2:55" x14ac:dyDescent="0.25">
      <c r="B2399" s="470"/>
      <c r="C2399" s="263"/>
      <c r="D2399" s="477" cm="1">
        <f t="array" ref="D2399">IFERROR(HorasUteisFabrica2Turnos(B2399,C2399), "")</f>
        <v>0</v>
      </c>
      <c r="E2399" s="697" t="str">
        <f t="shared" si="37"/>
        <v/>
      </c>
      <c r="F2399" s="266"/>
      <c r="G2399" s="698"/>
      <c r="H2399" s="266"/>
      <c r="I2399" s="268"/>
      <c r="J2399" s="268"/>
      <c r="K2399" s="268"/>
      <c r="L2399" s="269"/>
      <c r="M2399" s="510" t="str">
        <f>IFERROR(INDEX([1]Produtos!$C:$C,MATCH(L2399,[1]Produtos!$B:$B,0)), "-")</f>
        <v>-</v>
      </c>
      <c r="N2399" s="510" t="str">
        <f>IFERROR(INDEX([1]Produtos!$E:$E,MATCH(L2399,[1]Produtos!$B:$B,0)), "-")</f>
        <v>-</v>
      </c>
      <c r="O2399" s="270" t="str">
        <f>IFERROR(INDEX([1]Produtos!$F:$F,MATCH(L2399,[1]Produtos!$B:$B,0)), "-")</f>
        <v>-</v>
      </c>
      <c r="P2399" s="264" t="str">
        <f>IFERROR(INDEX([1]Produtos!$G:$G,MATCH(L2399,[1]Produtos!$B:$B,0)), "-")</f>
        <v>-</v>
      </c>
      <c r="Q2399" s="270" t="str">
        <f>IFERROR(INDEX([1]Produtos!$H:$H,MATCH(L2399,[1]Produtos!$B:$B,0)), "-")</f>
        <v>-</v>
      </c>
      <c r="R2399" s="270" t="str">
        <f>IFERROR(INDEX([1]Produtos!$I:$I,MATCH(L2399,[1]Produtos!$B:$B,0)), "-")</f>
        <v>-</v>
      </c>
      <c r="S2399" s="270" t="str">
        <f>IFERROR(INDEX([1]Produtos!$J:$J,MATCH(L2399,[1]Produtos!$B:$B,0)), "-")</f>
        <v>-</v>
      </c>
      <c r="T2399" s="475"/>
      <c r="U2399" s="270"/>
      <c r="V2399" s="270"/>
      <c r="W2399" s="270"/>
      <c r="X2399" s="270"/>
      <c r="Y2399" s="270"/>
      <c r="Z2399" s="270"/>
      <c r="AA2399" s="270"/>
      <c r="AB2399" s="270"/>
      <c r="AC2399" s="270"/>
      <c r="AD2399" s="270"/>
      <c r="AE2399" s="270"/>
      <c r="AF2399" s="270"/>
      <c r="AG2399" s="270"/>
      <c r="AH2399" s="270"/>
      <c r="AI2399" s="270"/>
      <c r="AJ2399" s="270"/>
      <c r="AK2399" s="270"/>
      <c r="AL2399" s="270"/>
      <c r="AM2399" s="663"/>
      <c r="AN2399" s="663"/>
      <c r="AO2399" s="708" t="str">
        <f>IF(OR(Table1[[#This Row],[Início Setup Envase]]="",Table1[[#This Row],[Final Setup Envase]]=""),"",Table1[[#This Row],[Final Setup Envase]]-Table1[[#This Row],[Início Setup Envase]])</f>
        <v/>
      </c>
      <c r="AP2399" s="663"/>
      <c r="AQ2399" s="663"/>
      <c r="AR2399" s="270"/>
      <c r="AS2399" s="674"/>
      <c r="AT2399" s="674"/>
      <c r="AU2399" s="270"/>
      <c r="AV2399" s="270"/>
      <c r="AW2399" s="270"/>
      <c r="AX2399" s="270"/>
      <c r="AY2399" s="270"/>
      <c r="AZ2399" s="270"/>
      <c r="BA2399" s="270" t="str">
        <f>IF(Table1[[#This Row],[Data de Início]]="","",YEAR(Table1[[#This Row],[Data de Início]]))</f>
        <v/>
      </c>
      <c r="BB2399" s="270" t="str">
        <f>IF(Table1[[#This Row],[Data de Início]]="","",MONTH(Table1[[#This Row],[Data de Início]]))</f>
        <v/>
      </c>
      <c r="BC2399" s="483"/>
    </row>
    <row r="2400" spans="2:55" x14ac:dyDescent="0.25">
      <c r="B2400" s="470"/>
      <c r="C2400" s="263"/>
      <c r="D2400" s="477" cm="1">
        <f t="array" ref="D2400">IFERROR(HorasUteisFabrica2Turnos(B2400,C2400), "")</f>
        <v>0</v>
      </c>
      <c r="E2400" s="478" t="str">
        <f t="shared" si="37"/>
        <v/>
      </c>
      <c r="F2400" s="266"/>
      <c r="G2400" s="656"/>
      <c r="H2400" s="479"/>
      <c r="I2400" s="268"/>
      <c r="J2400" s="268"/>
      <c r="K2400" s="268"/>
      <c r="L2400" s="269"/>
      <c r="M2400" s="511" t="str">
        <f>IFERROR(INDEX([1]Produtos!$C:$C,MATCH(L2400,[1]Produtos!$B:$B,0)), "-")</f>
        <v>-</v>
      </c>
      <c r="N2400" s="511" t="str">
        <f>IFERROR(INDEX([1]Produtos!$E:$E,MATCH(L2400,[1]Produtos!$B:$B,0)), "-")</f>
        <v>-</v>
      </c>
      <c r="O2400" s="483" t="str">
        <f>IFERROR(INDEX([1]Produtos!$F:$F,MATCH(L2400,[1]Produtos!$B:$B,0)), "-")</f>
        <v>-</v>
      </c>
      <c r="P2400" s="477" t="str">
        <f>IFERROR(INDEX([1]Produtos!$G:$G,MATCH(L2400,[1]Produtos!$B:$B,0)), "-")</f>
        <v>-</v>
      </c>
      <c r="Q2400" s="483" t="str">
        <f>IFERROR(INDEX([1]Produtos!$H:$H,MATCH(L2400,[1]Produtos!$B:$B,0)), "-")</f>
        <v>-</v>
      </c>
      <c r="R2400" s="483" t="str">
        <f>IFERROR(INDEX([1]Produtos!$I:$I,MATCH(L2400,[1]Produtos!$B:$B,0)), "-")</f>
        <v>-</v>
      </c>
      <c r="S2400" s="483" t="str">
        <f>IFERROR(INDEX([1]Produtos!$J:$J,MATCH(L2400,[1]Produtos!$B:$B,0)), "-")</f>
        <v>-</v>
      </c>
      <c r="T2400" s="484"/>
      <c r="U2400" s="483"/>
      <c r="V2400" s="483"/>
      <c r="W2400" s="483"/>
      <c r="X2400" s="483"/>
      <c r="Y2400" s="483"/>
      <c r="Z2400" s="483"/>
      <c r="AA2400" s="483"/>
      <c r="AB2400" s="483"/>
      <c r="AC2400" s="483"/>
      <c r="AD2400" s="483"/>
      <c r="AE2400" s="483"/>
      <c r="AF2400" s="483"/>
      <c r="AG2400" s="483"/>
      <c r="AH2400" s="483"/>
      <c r="AI2400" s="483"/>
      <c r="AJ2400" s="483"/>
      <c r="AK2400" s="483"/>
      <c r="AL2400" s="483"/>
      <c r="AM2400" s="670"/>
      <c r="AN2400" s="670"/>
      <c r="AO2400" s="711" t="str">
        <f>IF(OR(Table1[[#This Row],[Início Setup Envase]]="",Table1[[#This Row],[Final Setup Envase]]=""),"",Table1[[#This Row],[Final Setup Envase]]-Table1[[#This Row],[Início Setup Envase]])</f>
        <v/>
      </c>
      <c r="AP2400" s="670"/>
      <c r="AQ2400" s="670"/>
      <c r="AR2400" s="483"/>
      <c r="AS2400" s="483"/>
      <c r="AT2400" s="483"/>
      <c r="AU2400" s="483"/>
      <c r="AV2400" s="483"/>
      <c r="AW2400" s="483"/>
      <c r="AX2400" s="483"/>
      <c r="AY2400" s="270"/>
      <c r="AZ2400" s="270"/>
      <c r="BA2400" s="270" t="str">
        <f>IF(Table1[[#This Row],[Data de Início]]="","",YEAR(Table1[[#This Row],[Data de Início]]))</f>
        <v/>
      </c>
      <c r="BB2400" s="270" t="str">
        <f>IF(Table1[[#This Row],[Data de Início]]="","",MONTH(Table1[[#This Row],[Data de Início]]))</f>
        <v/>
      </c>
      <c r="BC2400" s="270"/>
    </row>
    <row r="2401" spans="2:55" x14ac:dyDescent="0.25">
      <c r="B2401" s="470"/>
      <c r="C2401" s="263"/>
      <c r="D2401" s="477" cm="1">
        <f t="array" ref="D2401">IFERROR(HorasUteisFabrica2Turnos(B2401,C2401), "")</f>
        <v>0</v>
      </c>
      <c r="E2401" s="697" t="str">
        <f t="shared" si="37"/>
        <v/>
      </c>
      <c r="F2401" s="266"/>
      <c r="G2401" s="698"/>
      <c r="H2401" s="266"/>
      <c r="I2401" s="268"/>
      <c r="J2401" s="268"/>
      <c r="K2401" s="268"/>
      <c r="L2401" s="269"/>
      <c r="M2401" s="510" t="str">
        <f>IFERROR(INDEX([1]Produtos!$C:$C,MATCH(L2401,[1]Produtos!$B:$B,0)), "-")</f>
        <v>-</v>
      </c>
      <c r="N2401" s="510" t="str">
        <f>IFERROR(INDEX([1]Produtos!$E:$E,MATCH(L2401,[1]Produtos!$B:$B,0)), "-")</f>
        <v>-</v>
      </c>
      <c r="O2401" s="270" t="str">
        <f>IFERROR(INDEX([1]Produtos!$F:$F,MATCH(L2401,[1]Produtos!$B:$B,0)), "-")</f>
        <v>-</v>
      </c>
      <c r="P2401" s="264" t="str">
        <f>IFERROR(INDEX([1]Produtos!$G:$G,MATCH(L2401,[1]Produtos!$B:$B,0)), "-")</f>
        <v>-</v>
      </c>
      <c r="Q2401" s="270" t="str">
        <f>IFERROR(INDEX([1]Produtos!$H:$H,MATCH(L2401,[1]Produtos!$B:$B,0)), "-")</f>
        <v>-</v>
      </c>
      <c r="R2401" s="270" t="str">
        <f>IFERROR(INDEX([1]Produtos!$I:$I,MATCH(L2401,[1]Produtos!$B:$B,0)), "-")</f>
        <v>-</v>
      </c>
      <c r="S2401" s="270" t="str">
        <f>IFERROR(INDEX([1]Produtos!$J:$J,MATCH(L2401,[1]Produtos!$B:$B,0)), "-")</f>
        <v>-</v>
      </c>
      <c r="T2401" s="475"/>
      <c r="U2401" s="270"/>
      <c r="V2401" s="270"/>
      <c r="W2401" s="270"/>
      <c r="X2401" s="270"/>
      <c r="Y2401" s="270"/>
      <c r="Z2401" s="270"/>
      <c r="AA2401" s="270"/>
      <c r="AB2401" s="270"/>
      <c r="AC2401" s="270"/>
      <c r="AD2401" s="270"/>
      <c r="AE2401" s="270"/>
      <c r="AF2401" s="270"/>
      <c r="AG2401" s="270"/>
      <c r="AH2401" s="270"/>
      <c r="AI2401" s="270"/>
      <c r="AJ2401" s="270"/>
      <c r="AK2401" s="270"/>
      <c r="AL2401" s="270"/>
      <c r="AM2401" s="663"/>
      <c r="AN2401" s="663"/>
      <c r="AO2401" s="708" t="str">
        <f>IF(OR(Table1[[#This Row],[Início Setup Envase]]="",Table1[[#This Row],[Final Setup Envase]]=""),"",Table1[[#This Row],[Final Setup Envase]]-Table1[[#This Row],[Início Setup Envase]])</f>
        <v/>
      </c>
      <c r="AP2401" s="663"/>
      <c r="AQ2401" s="663"/>
      <c r="AR2401" s="270"/>
      <c r="AS2401" s="674"/>
      <c r="AT2401" s="674"/>
      <c r="AU2401" s="270"/>
      <c r="AV2401" s="270"/>
      <c r="AW2401" s="270"/>
      <c r="AX2401" s="270"/>
      <c r="AY2401" s="270"/>
      <c r="AZ2401" s="270"/>
      <c r="BA2401" s="270" t="str">
        <f>IF(Table1[[#This Row],[Data de Início]]="","",YEAR(Table1[[#This Row],[Data de Início]]))</f>
        <v/>
      </c>
      <c r="BB2401" s="270" t="str">
        <f>IF(Table1[[#This Row],[Data de Início]]="","",MONTH(Table1[[#This Row],[Data de Início]]))</f>
        <v/>
      </c>
      <c r="BC2401" s="483"/>
    </row>
    <row r="2402" spans="2:55" x14ac:dyDescent="0.25">
      <c r="B2402" s="470"/>
      <c r="C2402" s="263"/>
      <c r="D2402" s="477" cm="1">
        <f t="array" ref="D2402">IFERROR(HorasUteisFabrica2Turnos(B2402,C2402), "")</f>
        <v>0</v>
      </c>
      <c r="E2402" s="478" t="str">
        <f t="shared" si="37"/>
        <v/>
      </c>
      <c r="F2402" s="266"/>
      <c r="G2402" s="656"/>
      <c r="H2402" s="479"/>
      <c r="I2402" s="268"/>
      <c r="J2402" s="268"/>
      <c r="K2402" s="268"/>
      <c r="L2402" s="269"/>
      <c r="M2402" s="511" t="str">
        <f>IFERROR(INDEX([1]Produtos!$C:$C,MATCH(L2402,[1]Produtos!$B:$B,0)), "-")</f>
        <v>-</v>
      </c>
      <c r="N2402" s="511" t="str">
        <f>IFERROR(INDEX([1]Produtos!$E:$E,MATCH(L2402,[1]Produtos!$B:$B,0)), "-")</f>
        <v>-</v>
      </c>
      <c r="O2402" s="483" t="str">
        <f>IFERROR(INDEX([1]Produtos!$F:$F,MATCH(L2402,[1]Produtos!$B:$B,0)), "-")</f>
        <v>-</v>
      </c>
      <c r="P2402" s="477" t="str">
        <f>IFERROR(INDEX([1]Produtos!$G:$G,MATCH(L2402,[1]Produtos!$B:$B,0)), "-")</f>
        <v>-</v>
      </c>
      <c r="Q2402" s="483" t="str">
        <f>IFERROR(INDEX([1]Produtos!$H:$H,MATCH(L2402,[1]Produtos!$B:$B,0)), "-")</f>
        <v>-</v>
      </c>
      <c r="R2402" s="483" t="str">
        <f>IFERROR(INDEX([1]Produtos!$I:$I,MATCH(L2402,[1]Produtos!$B:$B,0)), "-")</f>
        <v>-</v>
      </c>
      <c r="S2402" s="483" t="str">
        <f>IFERROR(INDEX([1]Produtos!$J:$J,MATCH(L2402,[1]Produtos!$B:$B,0)), "-")</f>
        <v>-</v>
      </c>
      <c r="T2402" s="484"/>
      <c r="U2402" s="483"/>
      <c r="V2402" s="483"/>
      <c r="W2402" s="483"/>
      <c r="X2402" s="483"/>
      <c r="Y2402" s="483"/>
      <c r="Z2402" s="483"/>
      <c r="AA2402" s="483"/>
      <c r="AB2402" s="483"/>
      <c r="AC2402" s="483"/>
      <c r="AD2402" s="483"/>
      <c r="AE2402" s="483"/>
      <c r="AF2402" s="483"/>
      <c r="AG2402" s="483"/>
      <c r="AH2402" s="483"/>
      <c r="AI2402" s="483"/>
      <c r="AJ2402" s="483"/>
      <c r="AK2402" s="483"/>
      <c r="AL2402" s="483"/>
      <c r="AM2402" s="670"/>
      <c r="AN2402" s="670"/>
      <c r="AO2402" s="711" t="str">
        <f>IF(OR(Table1[[#This Row],[Início Setup Envase]]="",Table1[[#This Row],[Final Setup Envase]]=""),"",Table1[[#This Row],[Final Setup Envase]]-Table1[[#This Row],[Início Setup Envase]])</f>
        <v/>
      </c>
      <c r="AP2402" s="670"/>
      <c r="AQ2402" s="670"/>
      <c r="AR2402" s="483"/>
      <c r="AS2402" s="483"/>
      <c r="AT2402" s="483"/>
      <c r="AU2402" s="483"/>
      <c r="AV2402" s="483"/>
      <c r="AW2402" s="483"/>
      <c r="AX2402" s="483"/>
      <c r="AY2402" s="270"/>
      <c r="AZ2402" s="270"/>
      <c r="BA2402" s="270" t="str">
        <f>IF(Table1[[#This Row],[Data de Início]]="","",YEAR(Table1[[#This Row],[Data de Início]]))</f>
        <v/>
      </c>
      <c r="BB2402" s="270" t="str">
        <f>IF(Table1[[#This Row],[Data de Início]]="","",MONTH(Table1[[#This Row],[Data de Início]]))</f>
        <v/>
      </c>
      <c r="BC2402" s="270"/>
    </row>
    <row r="2403" spans="2:55" x14ac:dyDescent="0.25">
      <c r="B2403" s="470"/>
      <c r="C2403" s="263"/>
      <c r="D2403" s="477" cm="1">
        <f t="array" ref="D2403">IFERROR(HorasUteisFabrica2Turnos(B2403,C2403), "")</f>
        <v>0</v>
      </c>
      <c r="E2403" s="697" t="str">
        <f t="shared" si="37"/>
        <v/>
      </c>
      <c r="F2403" s="266"/>
      <c r="G2403" s="698"/>
      <c r="H2403" s="266"/>
      <c r="I2403" s="268"/>
      <c r="J2403" s="268"/>
      <c r="K2403" s="268"/>
      <c r="L2403" s="269"/>
      <c r="M2403" s="510" t="str">
        <f>IFERROR(INDEX([1]Produtos!$C:$C,MATCH(L2403,[1]Produtos!$B:$B,0)), "-")</f>
        <v>-</v>
      </c>
      <c r="N2403" s="510" t="str">
        <f>IFERROR(INDEX([1]Produtos!$E:$E,MATCH(L2403,[1]Produtos!$B:$B,0)), "-")</f>
        <v>-</v>
      </c>
      <c r="O2403" s="270" t="str">
        <f>IFERROR(INDEX([1]Produtos!$F:$F,MATCH(L2403,[1]Produtos!$B:$B,0)), "-")</f>
        <v>-</v>
      </c>
      <c r="P2403" s="264" t="str">
        <f>IFERROR(INDEX([1]Produtos!$G:$G,MATCH(L2403,[1]Produtos!$B:$B,0)), "-")</f>
        <v>-</v>
      </c>
      <c r="Q2403" s="270" t="str">
        <f>IFERROR(INDEX([1]Produtos!$H:$H,MATCH(L2403,[1]Produtos!$B:$B,0)), "-")</f>
        <v>-</v>
      </c>
      <c r="R2403" s="270" t="str">
        <f>IFERROR(INDEX([1]Produtos!$I:$I,MATCH(L2403,[1]Produtos!$B:$B,0)), "-")</f>
        <v>-</v>
      </c>
      <c r="S2403" s="270" t="str">
        <f>IFERROR(INDEX([1]Produtos!$J:$J,MATCH(L2403,[1]Produtos!$B:$B,0)), "-")</f>
        <v>-</v>
      </c>
      <c r="T2403" s="475"/>
      <c r="U2403" s="270"/>
      <c r="V2403" s="270"/>
      <c r="W2403" s="270"/>
      <c r="X2403" s="270"/>
      <c r="Y2403" s="270"/>
      <c r="Z2403" s="270"/>
      <c r="AA2403" s="270"/>
      <c r="AB2403" s="270"/>
      <c r="AC2403" s="270"/>
      <c r="AD2403" s="270"/>
      <c r="AE2403" s="270"/>
      <c r="AF2403" s="270"/>
      <c r="AG2403" s="270"/>
      <c r="AH2403" s="270"/>
      <c r="AI2403" s="270"/>
      <c r="AJ2403" s="270"/>
      <c r="AK2403" s="270"/>
      <c r="AL2403" s="270"/>
      <c r="AM2403" s="663"/>
      <c r="AN2403" s="663"/>
      <c r="AO2403" s="708" t="str">
        <f>IF(OR(Table1[[#This Row],[Início Setup Envase]]="",Table1[[#This Row],[Final Setup Envase]]=""),"",Table1[[#This Row],[Final Setup Envase]]-Table1[[#This Row],[Início Setup Envase]])</f>
        <v/>
      </c>
      <c r="AP2403" s="663"/>
      <c r="AQ2403" s="663"/>
      <c r="AR2403" s="270"/>
      <c r="AS2403" s="674"/>
      <c r="AT2403" s="674"/>
      <c r="AU2403" s="270"/>
      <c r="AV2403" s="270"/>
      <c r="AW2403" s="270"/>
      <c r="AX2403" s="270"/>
      <c r="AY2403" s="270"/>
      <c r="AZ2403" s="270"/>
      <c r="BA2403" s="270" t="str">
        <f>IF(Table1[[#This Row],[Data de Início]]="","",YEAR(Table1[[#This Row],[Data de Início]]))</f>
        <v/>
      </c>
      <c r="BB2403" s="270" t="str">
        <f>IF(Table1[[#This Row],[Data de Início]]="","",MONTH(Table1[[#This Row],[Data de Início]]))</f>
        <v/>
      </c>
      <c r="BC2403" s="483"/>
    </row>
    <row r="2404" spans="2:55" x14ac:dyDescent="0.25">
      <c r="B2404" s="470"/>
      <c r="C2404" s="263"/>
      <c r="D2404" s="477" cm="1">
        <f t="array" ref="D2404">IFERROR(HorasUteisFabrica2Turnos(B2404,C2404), "")</f>
        <v>0</v>
      </c>
      <c r="E2404" s="478" t="str">
        <f t="shared" si="37"/>
        <v/>
      </c>
      <c r="F2404" s="266"/>
      <c r="G2404" s="656"/>
      <c r="H2404" s="479"/>
      <c r="I2404" s="268"/>
      <c r="J2404" s="268"/>
      <c r="K2404" s="268"/>
      <c r="L2404" s="269"/>
      <c r="M2404" s="511" t="str">
        <f>IFERROR(INDEX([1]Produtos!$C:$C,MATCH(L2404,[1]Produtos!$B:$B,0)), "-")</f>
        <v>-</v>
      </c>
      <c r="N2404" s="511" t="str">
        <f>IFERROR(INDEX([1]Produtos!$E:$E,MATCH(L2404,[1]Produtos!$B:$B,0)), "-")</f>
        <v>-</v>
      </c>
      <c r="O2404" s="483" t="str">
        <f>IFERROR(INDEX([1]Produtos!$F:$F,MATCH(L2404,[1]Produtos!$B:$B,0)), "-")</f>
        <v>-</v>
      </c>
      <c r="P2404" s="477" t="str">
        <f>IFERROR(INDEX([1]Produtos!$G:$G,MATCH(L2404,[1]Produtos!$B:$B,0)), "-")</f>
        <v>-</v>
      </c>
      <c r="Q2404" s="483" t="str">
        <f>IFERROR(INDEX([1]Produtos!$H:$H,MATCH(L2404,[1]Produtos!$B:$B,0)), "-")</f>
        <v>-</v>
      </c>
      <c r="R2404" s="483" t="str">
        <f>IFERROR(INDEX([1]Produtos!$I:$I,MATCH(L2404,[1]Produtos!$B:$B,0)), "-")</f>
        <v>-</v>
      </c>
      <c r="S2404" s="483" t="str">
        <f>IFERROR(INDEX([1]Produtos!$J:$J,MATCH(L2404,[1]Produtos!$B:$B,0)), "-")</f>
        <v>-</v>
      </c>
      <c r="T2404" s="484"/>
      <c r="U2404" s="483"/>
      <c r="V2404" s="483"/>
      <c r="W2404" s="483"/>
      <c r="X2404" s="483"/>
      <c r="Y2404" s="483"/>
      <c r="Z2404" s="483"/>
      <c r="AA2404" s="483"/>
      <c r="AB2404" s="483"/>
      <c r="AC2404" s="483"/>
      <c r="AD2404" s="483"/>
      <c r="AE2404" s="483"/>
      <c r="AF2404" s="483"/>
      <c r="AG2404" s="483"/>
      <c r="AH2404" s="483"/>
      <c r="AI2404" s="483"/>
      <c r="AJ2404" s="483"/>
      <c r="AK2404" s="483"/>
      <c r="AL2404" s="483"/>
      <c r="AM2404" s="670"/>
      <c r="AN2404" s="670"/>
      <c r="AO2404" s="711" t="str">
        <f>IF(OR(Table1[[#This Row],[Início Setup Envase]]="",Table1[[#This Row],[Final Setup Envase]]=""),"",Table1[[#This Row],[Final Setup Envase]]-Table1[[#This Row],[Início Setup Envase]])</f>
        <v/>
      </c>
      <c r="AP2404" s="670"/>
      <c r="AQ2404" s="670"/>
      <c r="AR2404" s="483"/>
      <c r="AS2404" s="483"/>
      <c r="AT2404" s="483"/>
      <c r="AU2404" s="483"/>
      <c r="AV2404" s="483"/>
      <c r="AW2404" s="483"/>
      <c r="AX2404" s="483"/>
      <c r="AY2404" s="270"/>
      <c r="AZ2404" s="270"/>
      <c r="BA2404" s="270" t="str">
        <f>IF(Table1[[#This Row],[Data de Início]]="","",YEAR(Table1[[#This Row],[Data de Início]]))</f>
        <v/>
      </c>
      <c r="BB2404" s="270" t="str">
        <f>IF(Table1[[#This Row],[Data de Início]]="","",MONTH(Table1[[#This Row],[Data de Início]]))</f>
        <v/>
      </c>
      <c r="BC2404" s="270"/>
    </row>
    <row r="2405" spans="2:55" x14ac:dyDescent="0.25">
      <c r="B2405" s="470"/>
      <c r="C2405" s="263"/>
      <c r="D2405" s="477" cm="1">
        <f t="array" ref="D2405">IFERROR(HorasUteisFabrica2Turnos(B2405,C2405), "")</f>
        <v>0</v>
      </c>
      <c r="E2405" s="697" t="str">
        <f t="shared" ref="E2405:E2468" si="38">IFERROR(K2405/D2405, "")</f>
        <v/>
      </c>
      <c r="F2405" s="266"/>
      <c r="G2405" s="698"/>
      <c r="H2405" s="266"/>
      <c r="I2405" s="268"/>
      <c r="J2405" s="268"/>
      <c r="K2405" s="268"/>
      <c r="L2405" s="269"/>
      <c r="M2405" s="510" t="str">
        <f>IFERROR(INDEX([1]Produtos!$C:$C,MATCH(L2405,[1]Produtos!$B:$B,0)), "-")</f>
        <v>-</v>
      </c>
      <c r="N2405" s="510" t="str">
        <f>IFERROR(INDEX([1]Produtos!$E:$E,MATCH(L2405,[1]Produtos!$B:$B,0)), "-")</f>
        <v>-</v>
      </c>
      <c r="O2405" s="270" t="str">
        <f>IFERROR(INDEX([1]Produtos!$F:$F,MATCH(L2405,[1]Produtos!$B:$B,0)), "-")</f>
        <v>-</v>
      </c>
      <c r="P2405" s="264" t="str">
        <f>IFERROR(INDEX([1]Produtos!$G:$G,MATCH(L2405,[1]Produtos!$B:$B,0)), "-")</f>
        <v>-</v>
      </c>
      <c r="Q2405" s="270" t="str">
        <f>IFERROR(INDEX([1]Produtos!$H:$H,MATCH(L2405,[1]Produtos!$B:$B,0)), "-")</f>
        <v>-</v>
      </c>
      <c r="R2405" s="270" t="str">
        <f>IFERROR(INDEX([1]Produtos!$I:$I,MATCH(L2405,[1]Produtos!$B:$B,0)), "-")</f>
        <v>-</v>
      </c>
      <c r="S2405" s="270" t="str">
        <f>IFERROR(INDEX([1]Produtos!$J:$J,MATCH(L2405,[1]Produtos!$B:$B,0)), "-")</f>
        <v>-</v>
      </c>
      <c r="T2405" s="475"/>
      <c r="U2405" s="270"/>
      <c r="V2405" s="270"/>
      <c r="W2405" s="270"/>
      <c r="X2405" s="270"/>
      <c r="Y2405" s="270"/>
      <c r="Z2405" s="270"/>
      <c r="AA2405" s="270"/>
      <c r="AB2405" s="270"/>
      <c r="AC2405" s="270"/>
      <c r="AD2405" s="270"/>
      <c r="AE2405" s="270"/>
      <c r="AF2405" s="270"/>
      <c r="AG2405" s="270"/>
      <c r="AH2405" s="270"/>
      <c r="AI2405" s="270"/>
      <c r="AJ2405" s="270"/>
      <c r="AK2405" s="270"/>
      <c r="AL2405" s="270"/>
      <c r="AM2405" s="663"/>
      <c r="AN2405" s="663"/>
      <c r="AO2405" s="708" t="str">
        <f>IF(OR(Table1[[#This Row],[Início Setup Envase]]="",Table1[[#This Row],[Final Setup Envase]]=""),"",Table1[[#This Row],[Final Setup Envase]]-Table1[[#This Row],[Início Setup Envase]])</f>
        <v/>
      </c>
      <c r="AP2405" s="663"/>
      <c r="AQ2405" s="663"/>
      <c r="AR2405" s="270"/>
      <c r="AS2405" s="674"/>
      <c r="AT2405" s="674"/>
      <c r="AU2405" s="270"/>
      <c r="AV2405" s="270"/>
      <c r="AW2405" s="270"/>
      <c r="AX2405" s="270"/>
      <c r="AY2405" s="270"/>
      <c r="AZ2405" s="270"/>
      <c r="BA2405" s="270" t="str">
        <f>IF(Table1[[#This Row],[Data de Início]]="","",YEAR(Table1[[#This Row],[Data de Início]]))</f>
        <v/>
      </c>
      <c r="BB2405" s="270" t="str">
        <f>IF(Table1[[#This Row],[Data de Início]]="","",MONTH(Table1[[#This Row],[Data de Início]]))</f>
        <v/>
      </c>
      <c r="BC2405" s="483"/>
    </row>
    <row r="2406" spans="2:55" x14ac:dyDescent="0.25">
      <c r="B2406" s="470"/>
      <c r="C2406" s="263"/>
      <c r="D2406" s="477" cm="1">
        <f t="array" ref="D2406">IFERROR(HorasUteisFabrica2Turnos(B2406,C2406), "")</f>
        <v>0</v>
      </c>
      <c r="E2406" s="478" t="str">
        <f t="shared" si="38"/>
        <v/>
      </c>
      <c r="F2406" s="266"/>
      <c r="G2406" s="656"/>
      <c r="H2406" s="479"/>
      <c r="I2406" s="268"/>
      <c r="J2406" s="268"/>
      <c r="K2406" s="268"/>
      <c r="L2406" s="269"/>
      <c r="M2406" s="511" t="str">
        <f>IFERROR(INDEX([1]Produtos!$C:$C,MATCH(L2406,[1]Produtos!$B:$B,0)), "-")</f>
        <v>-</v>
      </c>
      <c r="N2406" s="511" t="str">
        <f>IFERROR(INDEX([1]Produtos!$E:$E,MATCH(L2406,[1]Produtos!$B:$B,0)), "-")</f>
        <v>-</v>
      </c>
      <c r="O2406" s="483" t="str">
        <f>IFERROR(INDEX([1]Produtos!$F:$F,MATCH(L2406,[1]Produtos!$B:$B,0)), "-")</f>
        <v>-</v>
      </c>
      <c r="P2406" s="477" t="str">
        <f>IFERROR(INDEX([1]Produtos!$G:$G,MATCH(L2406,[1]Produtos!$B:$B,0)), "-")</f>
        <v>-</v>
      </c>
      <c r="Q2406" s="483" t="str">
        <f>IFERROR(INDEX([1]Produtos!$H:$H,MATCH(L2406,[1]Produtos!$B:$B,0)), "-")</f>
        <v>-</v>
      </c>
      <c r="R2406" s="483" t="str">
        <f>IFERROR(INDEX([1]Produtos!$I:$I,MATCH(L2406,[1]Produtos!$B:$B,0)), "-")</f>
        <v>-</v>
      </c>
      <c r="S2406" s="483" t="str">
        <f>IFERROR(INDEX([1]Produtos!$J:$J,MATCH(L2406,[1]Produtos!$B:$B,0)), "-")</f>
        <v>-</v>
      </c>
      <c r="T2406" s="484"/>
      <c r="U2406" s="483"/>
      <c r="V2406" s="483"/>
      <c r="W2406" s="483"/>
      <c r="X2406" s="483"/>
      <c r="Y2406" s="483"/>
      <c r="Z2406" s="483"/>
      <c r="AA2406" s="483"/>
      <c r="AB2406" s="483"/>
      <c r="AC2406" s="483"/>
      <c r="AD2406" s="483"/>
      <c r="AE2406" s="483"/>
      <c r="AF2406" s="483"/>
      <c r="AG2406" s="483"/>
      <c r="AH2406" s="483"/>
      <c r="AI2406" s="483"/>
      <c r="AJ2406" s="483"/>
      <c r="AK2406" s="483"/>
      <c r="AL2406" s="483"/>
      <c r="AM2406" s="670"/>
      <c r="AN2406" s="670"/>
      <c r="AO2406" s="711" t="str">
        <f>IF(OR(Table1[[#This Row],[Início Setup Envase]]="",Table1[[#This Row],[Final Setup Envase]]=""),"",Table1[[#This Row],[Final Setup Envase]]-Table1[[#This Row],[Início Setup Envase]])</f>
        <v/>
      </c>
      <c r="AP2406" s="670"/>
      <c r="AQ2406" s="670"/>
      <c r="AR2406" s="483"/>
      <c r="AS2406" s="483"/>
      <c r="AT2406" s="483"/>
      <c r="AU2406" s="483"/>
      <c r="AV2406" s="483"/>
      <c r="AW2406" s="483"/>
      <c r="AX2406" s="483"/>
      <c r="AY2406" s="270"/>
      <c r="AZ2406" s="270"/>
      <c r="BA2406" s="270" t="str">
        <f>IF(Table1[[#This Row],[Data de Início]]="","",YEAR(Table1[[#This Row],[Data de Início]]))</f>
        <v/>
      </c>
      <c r="BB2406" s="270" t="str">
        <f>IF(Table1[[#This Row],[Data de Início]]="","",MONTH(Table1[[#This Row],[Data de Início]]))</f>
        <v/>
      </c>
      <c r="BC2406" s="270"/>
    </row>
    <row r="2407" spans="2:55" x14ac:dyDescent="0.25">
      <c r="B2407" s="470"/>
      <c r="C2407" s="263"/>
      <c r="D2407" s="477" cm="1">
        <f t="array" ref="D2407">IFERROR(HorasUteisFabrica2Turnos(B2407,C2407), "")</f>
        <v>0</v>
      </c>
      <c r="E2407" s="697" t="str">
        <f t="shared" si="38"/>
        <v/>
      </c>
      <c r="F2407" s="266"/>
      <c r="G2407" s="698"/>
      <c r="H2407" s="266"/>
      <c r="I2407" s="268"/>
      <c r="J2407" s="268"/>
      <c r="K2407" s="268"/>
      <c r="L2407" s="269"/>
      <c r="M2407" s="510" t="str">
        <f>IFERROR(INDEX([1]Produtos!$C:$C,MATCH(L2407,[1]Produtos!$B:$B,0)), "-")</f>
        <v>-</v>
      </c>
      <c r="N2407" s="510" t="str">
        <f>IFERROR(INDEX([1]Produtos!$E:$E,MATCH(L2407,[1]Produtos!$B:$B,0)), "-")</f>
        <v>-</v>
      </c>
      <c r="O2407" s="270" t="str">
        <f>IFERROR(INDEX([1]Produtos!$F:$F,MATCH(L2407,[1]Produtos!$B:$B,0)), "-")</f>
        <v>-</v>
      </c>
      <c r="P2407" s="264" t="str">
        <f>IFERROR(INDEX([1]Produtos!$G:$G,MATCH(L2407,[1]Produtos!$B:$B,0)), "-")</f>
        <v>-</v>
      </c>
      <c r="Q2407" s="270" t="str">
        <f>IFERROR(INDEX([1]Produtos!$H:$H,MATCH(L2407,[1]Produtos!$B:$B,0)), "-")</f>
        <v>-</v>
      </c>
      <c r="R2407" s="270" t="str">
        <f>IFERROR(INDEX([1]Produtos!$I:$I,MATCH(L2407,[1]Produtos!$B:$B,0)), "-")</f>
        <v>-</v>
      </c>
      <c r="S2407" s="270" t="str">
        <f>IFERROR(INDEX([1]Produtos!$J:$J,MATCH(L2407,[1]Produtos!$B:$B,0)), "-")</f>
        <v>-</v>
      </c>
      <c r="T2407" s="475"/>
      <c r="U2407" s="270"/>
      <c r="V2407" s="270"/>
      <c r="W2407" s="270"/>
      <c r="X2407" s="270"/>
      <c r="Y2407" s="270"/>
      <c r="Z2407" s="270"/>
      <c r="AA2407" s="270"/>
      <c r="AB2407" s="270"/>
      <c r="AC2407" s="270"/>
      <c r="AD2407" s="270"/>
      <c r="AE2407" s="270"/>
      <c r="AF2407" s="270"/>
      <c r="AG2407" s="270"/>
      <c r="AH2407" s="270"/>
      <c r="AI2407" s="270"/>
      <c r="AJ2407" s="270"/>
      <c r="AK2407" s="270"/>
      <c r="AL2407" s="270"/>
      <c r="AM2407" s="663"/>
      <c r="AN2407" s="663"/>
      <c r="AO2407" s="708" t="str">
        <f>IF(OR(Table1[[#This Row],[Início Setup Envase]]="",Table1[[#This Row],[Final Setup Envase]]=""),"",Table1[[#This Row],[Final Setup Envase]]-Table1[[#This Row],[Início Setup Envase]])</f>
        <v/>
      </c>
      <c r="AP2407" s="663"/>
      <c r="AQ2407" s="663"/>
      <c r="AR2407" s="270"/>
      <c r="AS2407" s="674"/>
      <c r="AT2407" s="674"/>
      <c r="AU2407" s="270"/>
      <c r="AV2407" s="270"/>
      <c r="AW2407" s="270"/>
      <c r="AX2407" s="270"/>
      <c r="AY2407" s="270"/>
      <c r="AZ2407" s="270"/>
      <c r="BA2407" s="270" t="str">
        <f>IF(Table1[[#This Row],[Data de Início]]="","",YEAR(Table1[[#This Row],[Data de Início]]))</f>
        <v/>
      </c>
      <c r="BB2407" s="270" t="str">
        <f>IF(Table1[[#This Row],[Data de Início]]="","",MONTH(Table1[[#This Row],[Data de Início]]))</f>
        <v/>
      </c>
      <c r="BC2407" s="483"/>
    </row>
    <row r="2408" spans="2:55" x14ac:dyDescent="0.25">
      <c r="B2408" s="470"/>
      <c r="C2408" s="263"/>
      <c r="D2408" s="477" cm="1">
        <f t="array" ref="D2408">IFERROR(HorasUteisFabrica2Turnos(B2408,C2408), "")</f>
        <v>0</v>
      </c>
      <c r="E2408" s="478" t="str">
        <f t="shared" si="38"/>
        <v/>
      </c>
      <c r="F2408" s="266"/>
      <c r="G2408" s="656"/>
      <c r="H2408" s="479"/>
      <c r="I2408" s="268"/>
      <c r="J2408" s="268"/>
      <c r="K2408" s="268"/>
      <c r="L2408" s="269"/>
      <c r="M2408" s="511" t="str">
        <f>IFERROR(INDEX([1]Produtos!$C:$C,MATCH(L2408,[1]Produtos!$B:$B,0)), "-")</f>
        <v>-</v>
      </c>
      <c r="N2408" s="511" t="str">
        <f>IFERROR(INDEX([1]Produtos!$E:$E,MATCH(L2408,[1]Produtos!$B:$B,0)), "-")</f>
        <v>-</v>
      </c>
      <c r="O2408" s="483" t="str">
        <f>IFERROR(INDEX([1]Produtos!$F:$F,MATCH(L2408,[1]Produtos!$B:$B,0)), "-")</f>
        <v>-</v>
      </c>
      <c r="P2408" s="477" t="str">
        <f>IFERROR(INDEX([1]Produtos!$G:$G,MATCH(L2408,[1]Produtos!$B:$B,0)), "-")</f>
        <v>-</v>
      </c>
      <c r="Q2408" s="483" t="str">
        <f>IFERROR(INDEX([1]Produtos!$H:$H,MATCH(L2408,[1]Produtos!$B:$B,0)), "-")</f>
        <v>-</v>
      </c>
      <c r="R2408" s="483" t="str">
        <f>IFERROR(INDEX([1]Produtos!$I:$I,MATCH(L2408,[1]Produtos!$B:$B,0)), "-")</f>
        <v>-</v>
      </c>
      <c r="S2408" s="483" t="str">
        <f>IFERROR(INDEX([1]Produtos!$J:$J,MATCH(L2408,[1]Produtos!$B:$B,0)), "-")</f>
        <v>-</v>
      </c>
      <c r="T2408" s="484"/>
      <c r="U2408" s="483"/>
      <c r="V2408" s="483"/>
      <c r="W2408" s="483"/>
      <c r="X2408" s="483"/>
      <c r="Y2408" s="483"/>
      <c r="Z2408" s="483"/>
      <c r="AA2408" s="483"/>
      <c r="AB2408" s="483"/>
      <c r="AC2408" s="483"/>
      <c r="AD2408" s="483"/>
      <c r="AE2408" s="483"/>
      <c r="AF2408" s="483"/>
      <c r="AG2408" s="483"/>
      <c r="AH2408" s="483"/>
      <c r="AI2408" s="483"/>
      <c r="AJ2408" s="483"/>
      <c r="AK2408" s="483"/>
      <c r="AL2408" s="483"/>
      <c r="AM2408" s="670"/>
      <c r="AN2408" s="670"/>
      <c r="AO2408" s="711" t="str">
        <f>IF(OR(Table1[[#This Row],[Início Setup Envase]]="",Table1[[#This Row],[Final Setup Envase]]=""),"",Table1[[#This Row],[Final Setup Envase]]-Table1[[#This Row],[Início Setup Envase]])</f>
        <v/>
      </c>
      <c r="AP2408" s="670"/>
      <c r="AQ2408" s="670"/>
      <c r="AR2408" s="483"/>
      <c r="AS2408" s="483"/>
      <c r="AT2408" s="483"/>
      <c r="AU2408" s="483"/>
      <c r="AV2408" s="483"/>
      <c r="AW2408" s="483"/>
      <c r="AX2408" s="483"/>
      <c r="AY2408" s="270"/>
      <c r="AZ2408" s="270"/>
      <c r="BA2408" s="270" t="str">
        <f>IF(Table1[[#This Row],[Data de Início]]="","",YEAR(Table1[[#This Row],[Data de Início]]))</f>
        <v/>
      </c>
      <c r="BB2408" s="270" t="str">
        <f>IF(Table1[[#This Row],[Data de Início]]="","",MONTH(Table1[[#This Row],[Data de Início]]))</f>
        <v/>
      </c>
      <c r="BC2408" s="270"/>
    </row>
    <row r="2409" spans="2:55" x14ac:dyDescent="0.25">
      <c r="B2409" s="470"/>
      <c r="C2409" s="263"/>
      <c r="D2409" s="477" cm="1">
        <f t="array" ref="D2409">IFERROR(HorasUteisFabrica2Turnos(B2409,C2409), "")</f>
        <v>0</v>
      </c>
      <c r="E2409" s="697" t="str">
        <f t="shared" si="38"/>
        <v/>
      </c>
      <c r="F2409" s="266"/>
      <c r="G2409" s="698"/>
      <c r="H2409" s="266"/>
      <c r="I2409" s="268"/>
      <c r="J2409" s="268"/>
      <c r="K2409" s="268"/>
      <c r="L2409" s="269"/>
      <c r="M2409" s="510" t="str">
        <f>IFERROR(INDEX([1]Produtos!$C:$C,MATCH(L2409,[1]Produtos!$B:$B,0)), "-")</f>
        <v>-</v>
      </c>
      <c r="N2409" s="510" t="str">
        <f>IFERROR(INDEX([1]Produtos!$E:$E,MATCH(L2409,[1]Produtos!$B:$B,0)), "-")</f>
        <v>-</v>
      </c>
      <c r="O2409" s="270" t="str">
        <f>IFERROR(INDEX([1]Produtos!$F:$F,MATCH(L2409,[1]Produtos!$B:$B,0)), "-")</f>
        <v>-</v>
      </c>
      <c r="P2409" s="264" t="str">
        <f>IFERROR(INDEX([1]Produtos!$G:$G,MATCH(L2409,[1]Produtos!$B:$B,0)), "-")</f>
        <v>-</v>
      </c>
      <c r="Q2409" s="270" t="str">
        <f>IFERROR(INDEX([1]Produtos!$H:$H,MATCH(L2409,[1]Produtos!$B:$B,0)), "-")</f>
        <v>-</v>
      </c>
      <c r="R2409" s="270" t="str">
        <f>IFERROR(INDEX([1]Produtos!$I:$I,MATCH(L2409,[1]Produtos!$B:$B,0)), "-")</f>
        <v>-</v>
      </c>
      <c r="S2409" s="270" t="str">
        <f>IFERROR(INDEX([1]Produtos!$J:$J,MATCH(L2409,[1]Produtos!$B:$B,0)), "-")</f>
        <v>-</v>
      </c>
      <c r="T2409" s="475"/>
      <c r="U2409" s="270"/>
      <c r="V2409" s="270"/>
      <c r="W2409" s="270"/>
      <c r="X2409" s="270"/>
      <c r="Y2409" s="270"/>
      <c r="Z2409" s="270"/>
      <c r="AA2409" s="270"/>
      <c r="AB2409" s="270"/>
      <c r="AC2409" s="270"/>
      <c r="AD2409" s="270"/>
      <c r="AE2409" s="270"/>
      <c r="AF2409" s="270"/>
      <c r="AG2409" s="270"/>
      <c r="AH2409" s="270"/>
      <c r="AI2409" s="270"/>
      <c r="AJ2409" s="270"/>
      <c r="AK2409" s="270"/>
      <c r="AL2409" s="270"/>
      <c r="AM2409" s="663"/>
      <c r="AN2409" s="663"/>
      <c r="AO2409" s="708" t="str">
        <f>IF(OR(Table1[[#This Row],[Início Setup Envase]]="",Table1[[#This Row],[Final Setup Envase]]=""),"",Table1[[#This Row],[Final Setup Envase]]-Table1[[#This Row],[Início Setup Envase]])</f>
        <v/>
      </c>
      <c r="AP2409" s="663"/>
      <c r="AQ2409" s="663"/>
      <c r="AR2409" s="270"/>
      <c r="AS2409" s="674"/>
      <c r="AT2409" s="674"/>
      <c r="AU2409" s="270"/>
      <c r="AV2409" s="270"/>
      <c r="AW2409" s="270"/>
      <c r="AX2409" s="270"/>
      <c r="AY2409" s="270"/>
      <c r="AZ2409" s="270"/>
      <c r="BA2409" s="270" t="str">
        <f>IF(Table1[[#This Row],[Data de Início]]="","",YEAR(Table1[[#This Row],[Data de Início]]))</f>
        <v/>
      </c>
      <c r="BB2409" s="270" t="str">
        <f>IF(Table1[[#This Row],[Data de Início]]="","",MONTH(Table1[[#This Row],[Data de Início]]))</f>
        <v/>
      </c>
      <c r="BC2409" s="483"/>
    </row>
    <row r="2410" spans="2:55" x14ac:dyDescent="0.25">
      <c r="B2410" s="470"/>
      <c r="C2410" s="263"/>
      <c r="D2410" s="477" cm="1">
        <f t="array" ref="D2410">IFERROR(HorasUteisFabrica2Turnos(B2410,C2410), "")</f>
        <v>0</v>
      </c>
      <c r="E2410" s="478" t="str">
        <f t="shared" si="38"/>
        <v/>
      </c>
      <c r="F2410" s="266"/>
      <c r="G2410" s="656"/>
      <c r="H2410" s="479"/>
      <c r="I2410" s="268"/>
      <c r="J2410" s="268"/>
      <c r="K2410" s="268"/>
      <c r="L2410" s="269"/>
      <c r="M2410" s="511" t="str">
        <f>IFERROR(INDEX([1]Produtos!$C:$C,MATCH(L2410,[1]Produtos!$B:$B,0)), "-")</f>
        <v>-</v>
      </c>
      <c r="N2410" s="511" t="str">
        <f>IFERROR(INDEX([1]Produtos!$E:$E,MATCH(L2410,[1]Produtos!$B:$B,0)), "-")</f>
        <v>-</v>
      </c>
      <c r="O2410" s="483" t="str">
        <f>IFERROR(INDEX([1]Produtos!$F:$F,MATCH(L2410,[1]Produtos!$B:$B,0)), "-")</f>
        <v>-</v>
      </c>
      <c r="P2410" s="477" t="str">
        <f>IFERROR(INDEX([1]Produtos!$G:$G,MATCH(L2410,[1]Produtos!$B:$B,0)), "-")</f>
        <v>-</v>
      </c>
      <c r="Q2410" s="483" t="str">
        <f>IFERROR(INDEX([1]Produtos!$H:$H,MATCH(L2410,[1]Produtos!$B:$B,0)), "-")</f>
        <v>-</v>
      </c>
      <c r="R2410" s="483" t="str">
        <f>IFERROR(INDEX([1]Produtos!$I:$I,MATCH(L2410,[1]Produtos!$B:$B,0)), "-")</f>
        <v>-</v>
      </c>
      <c r="S2410" s="483" t="str">
        <f>IFERROR(INDEX([1]Produtos!$J:$J,MATCH(L2410,[1]Produtos!$B:$B,0)), "-")</f>
        <v>-</v>
      </c>
      <c r="T2410" s="484"/>
      <c r="U2410" s="483"/>
      <c r="V2410" s="483"/>
      <c r="W2410" s="483"/>
      <c r="X2410" s="483"/>
      <c r="Y2410" s="483"/>
      <c r="Z2410" s="483"/>
      <c r="AA2410" s="483"/>
      <c r="AB2410" s="483"/>
      <c r="AC2410" s="483"/>
      <c r="AD2410" s="483"/>
      <c r="AE2410" s="483"/>
      <c r="AF2410" s="483"/>
      <c r="AG2410" s="483"/>
      <c r="AH2410" s="483"/>
      <c r="AI2410" s="483"/>
      <c r="AJ2410" s="483"/>
      <c r="AK2410" s="483"/>
      <c r="AL2410" s="483"/>
      <c r="AM2410" s="670"/>
      <c r="AN2410" s="670"/>
      <c r="AO2410" s="711" t="str">
        <f>IF(OR(Table1[[#This Row],[Início Setup Envase]]="",Table1[[#This Row],[Final Setup Envase]]=""),"",Table1[[#This Row],[Final Setup Envase]]-Table1[[#This Row],[Início Setup Envase]])</f>
        <v/>
      </c>
      <c r="AP2410" s="670"/>
      <c r="AQ2410" s="670"/>
      <c r="AR2410" s="483"/>
      <c r="AS2410" s="483"/>
      <c r="AT2410" s="483"/>
      <c r="AU2410" s="483"/>
      <c r="AV2410" s="483"/>
      <c r="AW2410" s="483"/>
      <c r="AX2410" s="483"/>
      <c r="AY2410" s="270"/>
      <c r="AZ2410" s="270"/>
      <c r="BA2410" s="270" t="str">
        <f>IF(Table1[[#This Row],[Data de Início]]="","",YEAR(Table1[[#This Row],[Data de Início]]))</f>
        <v/>
      </c>
      <c r="BB2410" s="270" t="str">
        <f>IF(Table1[[#This Row],[Data de Início]]="","",MONTH(Table1[[#This Row],[Data de Início]]))</f>
        <v/>
      </c>
      <c r="BC2410" s="270"/>
    </row>
    <row r="2411" spans="2:55" x14ac:dyDescent="0.25">
      <c r="B2411" s="470"/>
      <c r="C2411" s="263"/>
      <c r="D2411" s="477" cm="1">
        <f t="array" ref="D2411">IFERROR(HorasUteisFabrica2Turnos(B2411,C2411), "")</f>
        <v>0</v>
      </c>
      <c r="E2411" s="697" t="str">
        <f t="shared" si="38"/>
        <v/>
      </c>
      <c r="F2411" s="266"/>
      <c r="G2411" s="698"/>
      <c r="H2411" s="266"/>
      <c r="I2411" s="268"/>
      <c r="J2411" s="268"/>
      <c r="K2411" s="268"/>
      <c r="L2411" s="269"/>
      <c r="M2411" s="510" t="str">
        <f>IFERROR(INDEX([1]Produtos!$C:$C,MATCH(L2411,[1]Produtos!$B:$B,0)), "-")</f>
        <v>-</v>
      </c>
      <c r="N2411" s="510" t="str">
        <f>IFERROR(INDEX([1]Produtos!$E:$E,MATCH(L2411,[1]Produtos!$B:$B,0)), "-")</f>
        <v>-</v>
      </c>
      <c r="O2411" s="270" t="str">
        <f>IFERROR(INDEX([1]Produtos!$F:$F,MATCH(L2411,[1]Produtos!$B:$B,0)), "-")</f>
        <v>-</v>
      </c>
      <c r="P2411" s="264" t="str">
        <f>IFERROR(INDEX([1]Produtos!$G:$G,MATCH(L2411,[1]Produtos!$B:$B,0)), "-")</f>
        <v>-</v>
      </c>
      <c r="Q2411" s="270" t="str">
        <f>IFERROR(INDEX([1]Produtos!$H:$H,MATCH(L2411,[1]Produtos!$B:$B,0)), "-")</f>
        <v>-</v>
      </c>
      <c r="R2411" s="270" t="str">
        <f>IFERROR(INDEX([1]Produtos!$I:$I,MATCH(L2411,[1]Produtos!$B:$B,0)), "-")</f>
        <v>-</v>
      </c>
      <c r="S2411" s="270" t="str">
        <f>IFERROR(INDEX([1]Produtos!$J:$J,MATCH(L2411,[1]Produtos!$B:$B,0)), "-")</f>
        <v>-</v>
      </c>
      <c r="T2411" s="475"/>
      <c r="U2411" s="270"/>
      <c r="V2411" s="270"/>
      <c r="W2411" s="270"/>
      <c r="X2411" s="270"/>
      <c r="Y2411" s="270"/>
      <c r="Z2411" s="270"/>
      <c r="AA2411" s="270"/>
      <c r="AB2411" s="270"/>
      <c r="AC2411" s="270"/>
      <c r="AD2411" s="270"/>
      <c r="AE2411" s="270"/>
      <c r="AF2411" s="270"/>
      <c r="AG2411" s="270"/>
      <c r="AH2411" s="270"/>
      <c r="AI2411" s="270"/>
      <c r="AJ2411" s="270"/>
      <c r="AK2411" s="270"/>
      <c r="AL2411" s="270"/>
      <c r="AM2411" s="663"/>
      <c r="AN2411" s="663"/>
      <c r="AO2411" s="708" t="str">
        <f>IF(OR(Table1[[#This Row],[Início Setup Envase]]="",Table1[[#This Row],[Final Setup Envase]]=""),"",Table1[[#This Row],[Final Setup Envase]]-Table1[[#This Row],[Início Setup Envase]])</f>
        <v/>
      </c>
      <c r="AP2411" s="663"/>
      <c r="AQ2411" s="663"/>
      <c r="AR2411" s="270"/>
      <c r="AS2411" s="674"/>
      <c r="AT2411" s="674"/>
      <c r="AU2411" s="270"/>
      <c r="AV2411" s="270"/>
      <c r="AW2411" s="270"/>
      <c r="AX2411" s="270"/>
      <c r="AY2411" s="270"/>
      <c r="AZ2411" s="270"/>
      <c r="BA2411" s="270" t="str">
        <f>IF(Table1[[#This Row],[Data de Início]]="","",YEAR(Table1[[#This Row],[Data de Início]]))</f>
        <v/>
      </c>
      <c r="BB2411" s="270" t="str">
        <f>IF(Table1[[#This Row],[Data de Início]]="","",MONTH(Table1[[#This Row],[Data de Início]]))</f>
        <v/>
      </c>
      <c r="BC2411" s="483"/>
    </row>
    <row r="2412" spans="2:55" x14ac:dyDescent="0.25">
      <c r="B2412" s="470"/>
      <c r="C2412" s="263"/>
      <c r="D2412" s="477" cm="1">
        <f t="array" ref="D2412">IFERROR(HorasUteisFabrica2Turnos(B2412,C2412), "")</f>
        <v>0</v>
      </c>
      <c r="E2412" s="478" t="str">
        <f t="shared" si="38"/>
        <v/>
      </c>
      <c r="F2412" s="266"/>
      <c r="G2412" s="656"/>
      <c r="H2412" s="479"/>
      <c r="I2412" s="268"/>
      <c r="J2412" s="268"/>
      <c r="K2412" s="268"/>
      <c r="L2412" s="269"/>
      <c r="M2412" s="511" t="str">
        <f>IFERROR(INDEX([1]Produtos!$C:$C,MATCH(L2412,[1]Produtos!$B:$B,0)), "-")</f>
        <v>-</v>
      </c>
      <c r="N2412" s="511" t="str">
        <f>IFERROR(INDEX([1]Produtos!$E:$E,MATCH(L2412,[1]Produtos!$B:$B,0)), "-")</f>
        <v>-</v>
      </c>
      <c r="O2412" s="483" t="str">
        <f>IFERROR(INDEX([1]Produtos!$F:$F,MATCH(L2412,[1]Produtos!$B:$B,0)), "-")</f>
        <v>-</v>
      </c>
      <c r="P2412" s="477" t="str">
        <f>IFERROR(INDEX([1]Produtos!$G:$G,MATCH(L2412,[1]Produtos!$B:$B,0)), "-")</f>
        <v>-</v>
      </c>
      <c r="Q2412" s="483" t="str">
        <f>IFERROR(INDEX([1]Produtos!$H:$H,MATCH(L2412,[1]Produtos!$B:$B,0)), "-")</f>
        <v>-</v>
      </c>
      <c r="R2412" s="483" t="str">
        <f>IFERROR(INDEX([1]Produtos!$I:$I,MATCH(L2412,[1]Produtos!$B:$B,0)), "-")</f>
        <v>-</v>
      </c>
      <c r="S2412" s="483" t="str">
        <f>IFERROR(INDEX([1]Produtos!$J:$J,MATCH(L2412,[1]Produtos!$B:$B,0)), "-")</f>
        <v>-</v>
      </c>
      <c r="T2412" s="484"/>
      <c r="U2412" s="483"/>
      <c r="V2412" s="483"/>
      <c r="W2412" s="483"/>
      <c r="X2412" s="483"/>
      <c r="Y2412" s="483"/>
      <c r="Z2412" s="483"/>
      <c r="AA2412" s="483"/>
      <c r="AB2412" s="483"/>
      <c r="AC2412" s="483"/>
      <c r="AD2412" s="483"/>
      <c r="AE2412" s="483"/>
      <c r="AF2412" s="483"/>
      <c r="AG2412" s="483"/>
      <c r="AH2412" s="483"/>
      <c r="AI2412" s="483"/>
      <c r="AJ2412" s="483"/>
      <c r="AK2412" s="483"/>
      <c r="AL2412" s="483"/>
      <c r="AM2412" s="670"/>
      <c r="AN2412" s="670"/>
      <c r="AO2412" s="711" t="str">
        <f>IF(OR(Table1[[#This Row],[Início Setup Envase]]="",Table1[[#This Row],[Final Setup Envase]]=""),"",Table1[[#This Row],[Final Setup Envase]]-Table1[[#This Row],[Início Setup Envase]])</f>
        <v/>
      </c>
      <c r="AP2412" s="670"/>
      <c r="AQ2412" s="670"/>
      <c r="AR2412" s="483"/>
      <c r="AS2412" s="483"/>
      <c r="AT2412" s="483"/>
      <c r="AU2412" s="483"/>
      <c r="AV2412" s="483"/>
      <c r="AW2412" s="483"/>
      <c r="AX2412" s="483"/>
      <c r="AY2412" s="270"/>
      <c r="AZ2412" s="270"/>
      <c r="BA2412" s="270" t="str">
        <f>IF(Table1[[#This Row],[Data de Início]]="","",YEAR(Table1[[#This Row],[Data de Início]]))</f>
        <v/>
      </c>
      <c r="BB2412" s="270" t="str">
        <f>IF(Table1[[#This Row],[Data de Início]]="","",MONTH(Table1[[#This Row],[Data de Início]]))</f>
        <v/>
      </c>
      <c r="BC2412" s="270"/>
    </row>
    <row r="2413" spans="2:55" x14ac:dyDescent="0.25">
      <c r="B2413" s="470"/>
      <c r="C2413" s="263"/>
      <c r="D2413" s="477" cm="1">
        <f t="array" ref="D2413">IFERROR(HorasUteisFabrica2Turnos(B2413,C2413), "")</f>
        <v>0</v>
      </c>
      <c r="E2413" s="697" t="str">
        <f t="shared" si="38"/>
        <v/>
      </c>
      <c r="F2413" s="266"/>
      <c r="G2413" s="698"/>
      <c r="H2413" s="266"/>
      <c r="I2413" s="268"/>
      <c r="J2413" s="268"/>
      <c r="K2413" s="268"/>
      <c r="L2413" s="269"/>
      <c r="M2413" s="510" t="str">
        <f>IFERROR(INDEX([1]Produtos!$C:$C,MATCH(L2413,[1]Produtos!$B:$B,0)), "-")</f>
        <v>-</v>
      </c>
      <c r="N2413" s="510" t="str">
        <f>IFERROR(INDEX([1]Produtos!$E:$E,MATCH(L2413,[1]Produtos!$B:$B,0)), "-")</f>
        <v>-</v>
      </c>
      <c r="O2413" s="270" t="str">
        <f>IFERROR(INDEX([1]Produtos!$F:$F,MATCH(L2413,[1]Produtos!$B:$B,0)), "-")</f>
        <v>-</v>
      </c>
      <c r="P2413" s="264" t="str">
        <f>IFERROR(INDEX([1]Produtos!$G:$G,MATCH(L2413,[1]Produtos!$B:$B,0)), "-")</f>
        <v>-</v>
      </c>
      <c r="Q2413" s="270" t="str">
        <f>IFERROR(INDEX([1]Produtos!$H:$H,MATCH(L2413,[1]Produtos!$B:$B,0)), "-")</f>
        <v>-</v>
      </c>
      <c r="R2413" s="270" t="str">
        <f>IFERROR(INDEX([1]Produtos!$I:$I,MATCH(L2413,[1]Produtos!$B:$B,0)), "-")</f>
        <v>-</v>
      </c>
      <c r="S2413" s="270" t="str">
        <f>IFERROR(INDEX([1]Produtos!$J:$J,MATCH(L2413,[1]Produtos!$B:$B,0)), "-")</f>
        <v>-</v>
      </c>
      <c r="T2413" s="475"/>
      <c r="U2413" s="270"/>
      <c r="V2413" s="270"/>
      <c r="W2413" s="270"/>
      <c r="X2413" s="270"/>
      <c r="Y2413" s="270"/>
      <c r="Z2413" s="270"/>
      <c r="AA2413" s="270"/>
      <c r="AB2413" s="270"/>
      <c r="AC2413" s="270"/>
      <c r="AD2413" s="270"/>
      <c r="AE2413" s="270"/>
      <c r="AF2413" s="270"/>
      <c r="AG2413" s="270"/>
      <c r="AH2413" s="270"/>
      <c r="AI2413" s="270"/>
      <c r="AJ2413" s="270"/>
      <c r="AK2413" s="270"/>
      <c r="AL2413" s="270"/>
      <c r="AM2413" s="663"/>
      <c r="AN2413" s="663"/>
      <c r="AO2413" s="708" t="str">
        <f>IF(OR(Table1[[#This Row],[Início Setup Envase]]="",Table1[[#This Row],[Final Setup Envase]]=""),"",Table1[[#This Row],[Final Setup Envase]]-Table1[[#This Row],[Início Setup Envase]])</f>
        <v/>
      </c>
      <c r="AP2413" s="663"/>
      <c r="AQ2413" s="663"/>
      <c r="AR2413" s="270"/>
      <c r="AS2413" s="674"/>
      <c r="AT2413" s="674"/>
      <c r="AU2413" s="270"/>
      <c r="AV2413" s="270"/>
      <c r="AW2413" s="270"/>
      <c r="AX2413" s="270"/>
      <c r="AY2413" s="270"/>
      <c r="AZ2413" s="270"/>
      <c r="BA2413" s="270" t="str">
        <f>IF(Table1[[#This Row],[Data de Início]]="","",YEAR(Table1[[#This Row],[Data de Início]]))</f>
        <v/>
      </c>
      <c r="BB2413" s="270" t="str">
        <f>IF(Table1[[#This Row],[Data de Início]]="","",MONTH(Table1[[#This Row],[Data de Início]]))</f>
        <v/>
      </c>
      <c r="BC2413" s="483"/>
    </row>
    <row r="2414" spans="2:55" x14ac:dyDescent="0.25">
      <c r="B2414" s="470"/>
      <c r="C2414" s="263"/>
      <c r="D2414" s="477" cm="1">
        <f t="array" ref="D2414">IFERROR(HorasUteisFabrica2Turnos(B2414,C2414), "")</f>
        <v>0</v>
      </c>
      <c r="E2414" s="478" t="str">
        <f t="shared" si="38"/>
        <v/>
      </c>
      <c r="F2414" s="266"/>
      <c r="G2414" s="656"/>
      <c r="H2414" s="479"/>
      <c r="I2414" s="268"/>
      <c r="J2414" s="268"/>
      <c r="K2414" s="268"/>
      <c r="L2414" s="269"/>
      <c r="M2414" s="511" t="str">
        <f>IFERROR(INDEX([1]Produtos!$C:$C,MATCH(L2414,[1]Produtos!$B:$B,0)), "-")</f>
        <v>-</v>
      </c>
      <c r="N2414" s="511" t="str">
        <f>IFERROR(INDEX([1]Produtos!$E:$E,MATCH(L2414,[1]Produtos!$B:$B,0)), "-")</f>
        <v>-</v>
      </c>
      <c r="O2414" s="483" t="str">
        <f>IFERROR(INDEX([1]Produtos!$F:$F,MATCH(L2414,[1]Produtos!$B:$B,0)), "-")</f>
        <v>-</v>
      </c>
      <c r="P2414" s="477" t="str">
        <f>IFERROR(INDEX([1]Produtos!$G:$G,MATCH(L2414,[1]Produtos!$B:$B,0)), "-")</f>
        <v>-</v>
      </c>
      <c r="Q2414" s="483" t="str">
        <f>IFERROR(INDEX([1]Produtos!$H:$H,MATCH(L2414,[1]Produtos!$B:$B,0)), "-")</f>
        <v>-</v>
      </c>
      <c r="R2414" s="483" t="str">
        <f>IFERROR(INDEX([1]Produtos!$I:$I,MATCH(L2414,[1]Produtos!$B:$B,0)), "-")</f>
        <v>-</v>
      </c>
      <c r="S2414" s="483" t="str">
        <f>IFERROR(INDEX([1]Produtos!$J:$J,MATCH(L2414,[1]Produtos!$B:$B,0)), "-")</f>
        <v>-</v>
      </c>
      <c r="T2414" s="484"/>
      <c r="U2414" s="483"/>
      <c r="V2414" s="483"/>
      <c r="W2414" s="483"/>
      <c r="X2414" s="483"/>
      <c r="Y2414" s="483"/>
      <c r="Z2414" s="483"/>
      <c r="AA2414" s="483"/>
      <c r="AB2414" s="483"/>
      <c r="AC2414" s="483"/>
      <c r="AD2414" s="483"/>
      <c r="AE2414" s="483"/>
      <c r="AF2414" s="483"/>
      <c r="AG2414" s="483"/>
      <c r="AH2414" s="483"/>
      <c r="AI2414" s="483"/>
      <c r="AJ2414" s="483"/>
      <c r="AK2414" s="483"/>
      <c r="AL2414" s="483"/>
      <c r="AM2414" s="670"/>
      <c r="AN2414" s="670"/>
      <c r="AO2414" s="711" t="str">
        <f>IF(OR(Table1[[#This Row],[Início Setup Envase]]="",Table1[[#This Row],[Final Setup Envase]]=""),"",Table1[[#This Row],[Final Setup Envase]]-Table1[[#This Row],[Início Setup Envase]])</f>
        <v/>
      </c>
      <c r="AP2414" s="670"/>
      <c r="AQ2414" s="670"/>
      <c r="AR2414" s="483"/>
      <c r="AS2414" s="483"/>
      <c r="AT2414" s="483"/>
      <c r="AU2414" s="483"/>
      <c r="AV2414" s="483"/>
      <c r="AW2414" s="483"/>
      <c r="AX2414" s="483"/>
      <c r="AY2414" s="270"/>
      <c r="AZ2414" s="270"/>
      <c r="BA2414" s="270" t="str">
        <f>IF(Table1[[#This Row],[Data de Início]]="","",YEAR(Table1[[#This Row],[Data de Início]]))</f>
        <v/>
      </c>
      <c r="BB2414" s="270" t="str">
        <f>IF(Table1[[#This Row],[Data de Início]]="","",MONTH(Table1[[#This Row],[Data de Início]]))</f>
        <v/>
      </c>
      <c r="BC2414" s="270"/>
    </row>
    <row r="2415" spans="2:55" x14ac:dyDescent="0.25">
      <c r="B2415" s="470"/>
      <c r="C2415" s="263"/>
      <c r="D2415" s="477" cm="1">
        <f t="array" ref="D2415">IFERROR(HorasUteisFabrica2Turnos(B2415,C2415), "")</f>
        <v>0</v>
      </c>
      <c r="E2415" s="697" t="str">
        <f t="shared" si="38"/>
        <v/>
      </c>
      <c r="F2415" s="266"/>
      <c r="G2415" s="698"/>
      <c r="H2415" s="266"/>
      <c r="I2415" s="268"/>
      <c r="J2415" s="268"/>
      <c r="K2415" s="268"/>
      <c r="L2415" s="269"/>
      <c r="M2415" s="510" t="str">
        <f>IFERROR(INDEX([1]Produtos!$C:$C,MATCH(L2415,[1]Produtos!$B:$B,0)), "-")</f>
        <v>-</v>
      </c>
      <c r="N2415" s="510" t="str">
        <f>IFERROR(INDEX([1]Produtos!$E:$E,MATCH(L2415,[1]Produtos!$B:$B,0)), "-")</f>
        <v>-</v>
      </c>
      <c r="O2415" s="270" t="str">
        <f>IFERROR(INDEX([1]Produtos!$F:$F,MATCH(L2415,[1]Produtos!$B:$B,0)), "-")</f>
        <v>-</v>
      </c>
      <c r="P2415" s="264" t="str">
        <f>IFERROR(INDEX([1]Produtos!$G:$G,MATCH(L2415,[1]Produtos!$B:$B,0)), "-")</f>
        <v>-</v>
      </c>
      <c r="Q2415" s="270" t="str">
        <f>IFERROR(INDEX([1]Produtos!$H:$H,MATCH(L2415,[1]Produtos!$B:$B,0)), "-")</f>
        <v>-</v>
      </c>
      <c r="R2415" s="270" t="str">
        <f>IFERROR(INDEX([1]Produtos!$I:$I,MATCH(L2415,[1]Produtos!$B:$B,0)), "-")</f>
        <v>-</v>
      </c>
      <c r="S2415" s="270" t="str">
        <f>IFERROR(INDEX([1]Produtos!$J:$J,MATCH(L2415,[1]Produtos!$B:$B,0)), "-")</f>
        <v>-</v>
      </c>
      <c r="T2415" s="475"/>
      <c r="U2415" s="270"/>
      <c r="V2415" s="270"/>
      <c r="W2415" s="270"/>
      <c r="X2415" s="270"/>
      <c r="Y2415" s="270"/>
      <c r="Z2415" s="270"/>
      <c r="AA2415" s="270"/>
      <c r="AB2415" s="270"/>
      <c r="AC2415" s="270"/>
      <c r="AD2415" s="270"/>
      <c r="AE2415" s="270"/>
      <c r="AF2415" s="270"/>
      <c r="AG2415" s="270"/>
      <c r="AH2415" s="270"/>
      <c r="AI2415" s="270"/>
      <c r="AJ2415" s="270"/>
      <c r="AK2415" s="270"/>
      <c r="AL2415" s="270"/>
      <c r="AM2415" s="663"/>
      <c r="AN2415" s="663"/>
      <c r="AO2415" s="708" t="str">
        <f>IF(OR(Table1[[#This Row],[Início Setup Envase]]="",Table1[[#This Row],[Final Setup Envase]]=""),"",Table1[[#This Row],[Final Setup Envase]]-Table1[[#This Row],[Início Setup Envase]])</f>
        <v/>
      </c>
      <c r="AP2415" s="663"/>
      <c r="AQ2415" s="663"/>
      <c r="AR2415" s="270"/>
      <c r="AS2415" s="674"/>
      <c r="AT2415" s="674"/>
      <c r="AU2415" s="270"/>
      <c r="AV2415" s="270"/>
      <c r="AW2415" s="270"/>
      <c r="AX2415" s="270"/>
      <c r="AY2415" s="270"/>
      <c r="AZ2415" s="270"/>
      <c r="BA2415" s="270" t="str">
        <f>IF(Table1[[#This Row],[Data de Início]]="","",YEAR(Table1[[#This Row],[Data de Início]]))</f>
        <v/>
      </c>
      <c r="BB2415" s="270" t="str">
        <f>IF(Table1[[#This Row],[Data de Início]]="","",MONTH(Table1[[#This Row],[Data de Início]]))</f>
        <v/>
      </c>
      <c r="BC2415" s="483"/>
    </row>
    <row r="2416" spans="2:55" x14ac:dyDescent="0.25">
      <c r="B2416" s="470"/>
      <c r="C2416" s="263"/>
      <c r="D2416" s="477" cm="1">
        <f t="array" ref="D2416">IFERROR(HorasUteisFabrica2Turnos(B2416,C2416), "")</f>
        <v>0</v>
      </c>
      <c r="E2416" s="478" t="str">
        <f t="shared" si="38"/>
        <v/>
      </c>
      <c r="F2416" s="266"/>
      <c r="G2416" s="656"/>
      <c r="H2416" s="479"/>
      <c r="I2416" s="268"/>
      <c r="J2416" s="268"/>
      <c r="K2416" s="268"/>
      <c r="L2416" s="269"/>
      <c r="M2416" s="511" t="str">
        <f>IFERROR(INDEX([1]Produtos!$C:$C,MATCH(L2416,[1]Produtos!$B:$B,0)), "-")</f>
        <v>-</v>
      </c>
      <c r="N2416" s="511" t="str">
        <f>IFERROR(INDEX([1]Produtos!$E:$E,MATCH(L2416,[1]Produtos!$B:$B,0)), "-")</f>
        <v>-</v>
      </c>
      <c r="O2416" s="483" t="str">
        <f>IFERROR(INDEX([1]Produtos!$F:$F,MATCH(L2416,[1]Produtos!$B:$B,0)), "-")</f>
        <v>-</v>
      </c>
      <c r="P2416" s="477" t="str">
        <f>IFERROR(INDEX([1]Produtos!$G:$G,MATCH(L2416,[1]Produtos!$B:$B,0)), "-")</f>
        <v>-</v>
      </c>
      <c r="Q2416" s="483" t="str">
        <f>IFERROR(INDEX([1]Produtos!$H:$H,MATCH(L2416,[1]Produtos!$B:$B,0)), "-")</f>
        <v>-</v>
      </c>
      <c r="R2416" s="483" t="str">
        <f>IFERROR(INDEX([1]Produtos!$I:$I,MATCH(L2416,[1]Produtos!$B:$B,0)), "-")</f>
        <v>-</v>
      </c>
      <c r="S2416" s="483" t="str">
        <f>IFERROR(INDEX([1]Produtos!$J:$J,MATCH(L2416,[1]Produtos!$B:$B,0)), "-")</f>
        <v>-</v>
      </c>
      <c r="T2416" s="484"/>
      <c r="U2416" s="483"/>
      <c r="V2416" s="483"/>
      <c r="W2416" s="483"/>
      <c r="X2416" s="483"/>
      <c r="Y2416" s="483"/>
      <c r="Z2416" s="483"/>
      <c r="AA2416" s="483"/>
      <c r="AB2416" s="483"/>
      <c r="AC2416" s="483"/>
      <c r="AD2416" s="483"/>
      <c r="AE2416" s="483"/>
      <c r="AF2416" s="483"/>
      <c r="AG2416" s="483"/>
      <c r="AH2416" s="483"/>
      <c r="AI2416" s="483"/>
      <c r="AJ2416" s="483"/>
      <c r="AK2416" s="483"/>
      <c r="AL2416" s="483"/>
      <c r="AM2416" s="670"/>
      <c r="AN2416" s="670"/>
      <c r="AO2416" s="711" t="str">
        <f>IF(OR(Table1[[#This Row],[Início Setup Envase]]="",Table1[[#This Row],[Final Setup Envase]]=""),"",Table1[[#This Row],[Final Setup Envase]]-Table1[[#This Row],[Início Setup Envase]])</f>
        <v/>
      </c>
      <c r="AP2416" s="670"/>
      <c r="AQ2416" s="670"/>
      <c r="AR2416" s="483"/>
      <c r="AS2416" s="483"/>
      <c r="AT2416" s="483"/>
      <c r="AU2416" s="483"/>
      <c r="AV2416" s="483"/>
      <c r="AW2416" s="483"/>
      <c r="AX2416" s="483"/>
      <c r="AY2416" s="270"/>
      <c r="AZ2416" s="270"/>
      <c r="BA2416" s="270" t="str">
        <f>IF(Table1[[#This Row],[Data de Início]]="","",YEAR(Table1[[#This Row],[Data de Início]]))</f>
        <v/>
      </c>
      <c r="BB2416" s="270" t="str">
        <f>IF(Table1[[#This Row],[Data de Início]]="","",MONTH(Table1[[#This Row],[Data de Início]]))</f>
        <v/>
      </c>
      <c r="BC2416" s="270"/>
    </row>
    <row r="2417" spans="2:55" x14ac:dyDescent="0.25">
      <c r="B2417" s="470"/>
      <c r="C2417" s="263"/>
      <c r="D2417" s="477" cm="1">
        <f t="array" ref="D2417">IFERROR(HorasUteisFabrica2Turnos(B2417,C2417), "")</f>
        <v>0</v>
      </c>
      <c r="E2417" s="697" t="str">
        <f t="shared" si="38"/>
        <v/>
      </c>
      <c r="F2417" s="266"/>
      <c r="G2417" s="698"/>
      <c r="H2417" s="266"/>
      <c r="I2417" s="268"/>
      <c r="J2417" s="268"/>
      <c r="K2417" s="268"/>
      <c r="L2417" s="269"/>
      <c r="M2417" s="510" t="str">
        <f>IFERROR(INDEX([1]Produtos!$C:$C,MATCH(L2417,[1]Produtos!$B:$B,0)), "-")</f>
        <v>-</v>
      </c>
      <c r="N2417" s="510" t="str">
        <f>IFERROR(INDEX([1]Produtos!$E:$E,MATCH(L2417,[1]Produtos!$B:$B,0)), "-")</f>
        <v>-</v>
      </c>
      <c r="O2417" s="270" t="str">
        <f>IFERROR(INDEX([1]Produtos!$F:$F,MATCH(L2417,[1]Produtos!$B:$B,0)), "-")</f>
        <v>-</v>
      </c>
      <c r="P2417" s="264" t="str">
        <f>IFERROR(INDEX([1]Produtos!$G:$G,MATCH(L2417,[1]Produtos!$B:$B,0)), "-")</f>
        <v>-</v>
      </c>
      <c r="Q2417" s="270" t="str">
        <f>IFERROR(INDEX([1]Produtos!$H:$H,MATCH(L2417,[1]Produtos!$B:$B,0)), "-")</f>
        <v>-</v>
      </c>
      <c r="R2417" s="270" t="str">
        <f>IFERROR(INDEX([1]Produtos!$I:$I,MATCH(L2417,[1]Produtos!$B:$B,0)), "-")</f>
        <v>-</v>
      </c>
      <c r="S2417" s="270" t="str">
        <f>IFERROR(INDEX([1]Produtos!$J:$J,MATCH(L2417,[1]Produtos!$B:$B,0)), "-")</f>
        <v>-</v>
      </c>
      <c r="T2417" s="475"/>
      <c r="U2417" s="270"/>
      <c r="V2417" s="270"/>
      <c r="W2417" s="270"/>
      <c r="X2417" s="270"/>
      <c r="Y2417" s="270"/>
      <c r="Z2417" s="270"/>
      <c r="AA2417" s="270"/>
      <c r="AB2417" s="270"/>
      <c r="AC2417" s="270"/>
      <c r="AD2417" s="270"/>
      <c r="AE2417" s="270"/>
      <c r="AF2417" s="270"/>
      <c r="AG2417" s="270"/>
      <c r="AH2417" s="270"/>
      <c r="AI2417" s="270"/>
      <c r="AJ2417" s="270"/>
      <c r="AK2417" s="270"/>
      <c r="AL2417" s="270"/>
      <c r="AM2417" s="663"/>
      <c r="AN2417" s="663"/>
      <c r="AO2417" s="708" t="str">
        <f>IF(OR(Table1[[#This Row],[Início Setup Envase]]="",Table1[[#This Row],[Final Setup Envase]]=""),"",Table1[[#This Row],[Final Setup Envase]]-Table1[[#This Row],[Início Setup Envase]])</f>
        <v/>
      </c>
      <c r="AP2417" s="663"/>
      <c r="AQ2417" s="663"/>
      <c r="AR2417" s="270"/>
      <c r="AS2417" s="674"/>
      <c r="AT2417" s="674"/>
      <c r="AU2417" s="270"/>
      <c r="AV2417" s="270"/>
      <c r="AW2417" s="270"/>
      <c r="AX2417" s="270"/>
      <c r="AY2417" s="270"/>
      <c r="AZ2417" s="270"/>
      <c r="BA2417" s="270" t="str">
        <f>IF(Table1[[#This Row],[Data de Início]]="","",YEAR(Table1[[#This Row],[Data de Início]]))</f>
        <v/>
      </c>
      <c r="BB2417" s="270" t="str">
        <f>IF(Table1[[#This Row],[Data de Início]]="","",MONTH(Table1[[#This Row],[Data de Início]]))</f>
        <v/>
      </c>
      <c r="BC2417" s="483"/>
    </row>
    <row r="2418" spans="2:55" x14ac:dyDescent="0.25">
      <c r="B2418" s="470"/>
      <c r="C2418" s="263"/>
      <c r="D2418" s="477" cm="1">
        <f t="array" ref="D2418">IFERROR(HorasUteisFabrica2Turnos(B2418,C2418), "")</f>
        <v>0</v>
      </c>
      <c r="E2418" s="478" t="str">
        <f t="shared" si="38"/>
        <v/>
      </c>
      <c r="F2418" s="266"/>
      <c r="G2418" s="656"/>
      <c r="H2418" s="479"/>
      <c r="I2418" s="268"/>
      <c r="J2418" s="268"/>
      <c r="K2418" s="268"/>
      <c r="L2418" s="269"/>
      <c r="M2418" s="511" t="str">
        <f>IFERROR(INDEX([1]Produtos!$C:$C,MATCH(L2418,[1]Produtos!$B:$B,0)), "-")</f>
        <v>-</v>
      </c>
      <c r="N2418" s="511" t="str">
        <f>IFERROR(INDEX([1]Produtos!$E:$E,MATCH(L2418,[1]Produtos!$B:$B,0)), "-")</f>
        <v>-</v>
      </c>
      <c r="O2418" s="483" t="str">
        <f>IFERROR(INDEX([1]Produtos!$F:$F,MATCH(L2418,[1]Produtos!$B:$B,0)), "-")</f>
        <v>-</v>
      </c>
      <c r="P2418" s="477" t="str">
        <f>IFERROR(INDEX([1]Produtos!$G:$G,MATCH(L2418,[1]Produtos!$B:$B,0)), "-")</f>
        <v>-</v>
      </c>
      <c r="Q2418" s="483" t="str">
        <f>IFERROR(INDEX([1]Produtos!$H:$H,MATCH(L2418,[1]Produtos!$B:$B,0)), "-")</f>
        <v>-</v>
      </c>
      <c r="R2418" s="483" t="str">
        <f>IFERROR(INDEX([1]Produtos!$I:$I,MATCH(L2418,[1]Produtos!$B:$B,0)), "-")</f>
        <v>-</v>
      </c>
      <c r="S2418" s="483" t="str">
        <f>IFERROR(INDEX([1]Produtos!$J:$J,MATCH(L2418,[1]Produtos!$B:$B,0)), "-")</f>
        <v>-</v>
      </c>
      <c r="T2418" s="484"/>
      <c r="U2418" s="483"/>
      <c r="V2418" s="483"/>
      <c r="W2418" s="483"/>
      <c r="X2418" s="483"/>
      <c r="Y2418" s="483"/>
      <c r="Z2418" s="483"/>
      <c r="AA2418" s="483"/>
      <c r="AB2418" s="483"/>
      <c r="AC2418" s="483"/>
      <c r="AD2418" s="483"/>
      <c r="AE2418" s="483"/>
      <c r="AF2418" s="483"/>
      <c r="AG2418" s="483"/>
      <c r="AH2418" s="483"/>
      <c r="AI2418" s="483"/>
      <c r="AJ2418" s="483"/>
      <c r="AK2418" s="483"/>
      <c r="AL2418" s="483"/>
      <c r="AM2418" s="670"/>
      <c r="AN2418" s="670"/>
      <c r="AO2418" s="711" t="str">
        <f>IF(OR(Table1[[#This Row],[Início Setup Envase]]="",Table1[[#This Row],[Final Setup Envase]]=""),"",Table1[[#This Row],[Final Setup Envase]]-Table1[[#This Row],[Início Setup Envase]])</f>
        <v/>
      </c>
      <c r="AP2418" s="670"/>
      <c r="AQ2418" s="670"/>
      <c r="AR2418" s="483"/>
      <c r="AS2418" s="483"/>
      <c r="AT2418" s="483"/>
      <c r="AU2418" s="483"/>
      <c r="AV2418" s="483"/>
      <c r="AW2418" s="483"/>
      <c r="AX2418" s="483"/>
      <c r="AY2418" s="270"/>
      <c r="AZ2418" s="270"/>
      <c r="BA2418" s="270" t="str">
        <f>IF(Table1[[#This Row],[Data de Início]]="","",YEAR(Table1[[#This Row],[Data de Início]]))</f>
        <v/>
      </c>
      <c r="BB2418" s="270" t="str">
        <f>IF(Table1[[#This Row],[Data de Início]]="","",MONTH(Table1[[#This Row],[Data de Início]]))</f>
        <v/>
      </c>
      <c r="BC2418" s="270"/>
    </row>
    <row r="2419" spans="2:55" x14ac:dyDescent="0.25">
      <c r="B2419" s="470"/>
      <c r="C2419" s="263"/>
      <c r="D2419" s="477" cm="1">
        <f t="array" ref="D2419">IFERROR(HorasUteisFabrica2Turnos(B2419,C2419), "")</f>
        <v>0</v>
      </c>
      <c r="E2419" s="697" t="str">
        <f t="shared" si="38"/>
        <v/>
      </c>
      <c r="F2419" s="266"/>
      <c r="G2419" s="698"/>
      <c r="H2419" s="266"/>
      <c r="I2419" s="268"/>
      <c r="J2419" s="268"/>
      <c r="K2419" s="268"/>
      <c r="L2419" s="269"/>
      <c r="M2419" s="510" t="str">
        <f>IFERROR(INDEX([1]Produtos!$C:$C,MATCH(L2419,[1]Produtos!$B:$B,0)), "-")</f>
        <v>-</v>
      </c>
      <c r="N2419" s="510" t="str">
        <f>IFERROR(INDEX([1]Produtos!$E:$E,MATCH(L2419,[1]Produtos!$B:$B,0)), "-")</f>
        <v>-</v>
      </c>
      <c r="O2419" s="270" t="str">
        <f>IFERROR(INDEX([1]Produtos!$F:$F,MATCH(L2419,[1]Produtos!$B:$B,0)), "-")</f>
        <v>-</v>
      </c>
      <c r="P2419" s="264" t="str">
        <f>IFERROR(INDEX([1]Produtos!$G:$G,MATCH(L2419,[1]Produtos!$B:$B,0)), "-")</f>
        <v>-</v>
      </c>
      <c r="Q2419" s="270" t="str">
        <f>IFERROR(INDEX([1]Produtos!$H:$H,MATCH(L2419,[1]Produtos!$B:$B,0)), "-")</f>
        <v>-</v>
      </c>
      <c r="R2419" s="270" t="str">
        <f>IFERROR(INDEX([1]Produtos!$I:$I,MATCH(L2419,[1]Produtos!$B:$B,0)), "-")</f>
        <v>-</v>
      </c>
      <c r="S2419" s="270" t="str">
        <f>IFERROR(INDEX([1]Produtos!$J:$J,MATCH(L2419,[1]Produtos!$B:$B,0)), "-")</f>
        <v>-</v>
      </c>
      <c r="T2419" s="475"/>
      <c r="U2419" s="270"/>
      <c r="V2419" s="270"/>
      <c r="W2419" s="270"/>
      <c r="X2419" s="270"/>
      <c r="Y2419" s="270"/>
      <c r="Z2419" s="270"/>
      <c r="AA2419" s="270"/>
      <c r="AB2419" s="270"/>
      <c r="AC2419" s="270"/>
      <c r="AD2419" s="270"/>
      <c r="AE2419" s="270"/>
      <c r="AF2419" s="270"/>
      <c r="AG2419" s="270"/>
      <c r="AH2419" s="270"/>
      <c r="AI2419" s="270"/>
      <c r="AJ2419" s="270"/>
      <c r="AK2419" s="270"/>
      <c r="AL2419" s="270"/>
      <c r="AM2419" s="663"/>
      <c r="AN2419" s="663"/>
      <c r="AO2419" s="708" t="str">
        <f>IF(OR(Table1[[#This Row],[Início Setup Envase]]="",Table1[[#This Row],[Final Setup Envase]]=""),"",Table1[[#This Row],[Final Setup Envase]]-Table1[[#This Row],[Início Setup Envase]])</f>
        <v/>
      </c>
      <c r="AP2419" s="663"/>
      <c r="AQ2419" s="663"/>
      <c r="AR2419" s="270"/>
      <c r="AS2419" s="674"/>
      <c r="AT2419" s="674"/>
      <c r="AU2419" s="270"/>
      <c r="AV2419" s="270"/>
      <c r="AW2419" s="270"/>
      <c r="AX2419" s="270"/>
      <c r="AY2419" s="270"/>
      <c r="AZ2419" s="270"/>
      <c r="BA2419" s="270" t="str">
        <f>IF(Table1[[#This Row],[Data de Início]]="","",YEAR(Table1[[#This Row],[Data de Início]]))</f>
        <v/>
      </c>
      <c r="BB2419" s="270" t="str">
        <f>IF(Table1[[#This Row],[Data de Início]]="","",MONTH(Table1[[#This Row],[Data de Início]]))</f>
        <v/>
      </c>
      <c r="BC2419" s="483"/>
    </row>
    <row r="2420" spans="2:55" x14ac:dyDescent="0.25">
      <c r="B2420" s="470"/>
      <c r="C2420" s="263"/>
      <c r="D2420" s="477" cm="1">
        <f t="array" ref="D2420">IFERROR(HorasUteisFabrica2Turnos(B2420,C2420), "")</f>
        <v>0</v>
      </c>
      <c r="E2420" s="478" t="str">
        <f t="shared" si="38"/>
        <v/>
      </c>
      <c r="F2420" s="266"/>
      <c r="G2420" s="656"/>
      <c r="H2420" s="479"/>
      <c r="I2420" s="268"/>
      <c r="J2420" s="268"/>
      <c r="K2420" s="268"/>
      <c r="L2420" s="269"/>
      <c r="M2420" s="511" t="str">
        <f>IFERROR(INDEX([1]Produtos!$C:$C,MATCH(L2420,[1]Produtos!$B:$B,0)), "-")</f>
        <v>-</v>
      </c>
      <c r="N2420" s="511" t="str">
        <f>IFERROR(INDEX([1]Produtos!$E:$E,MATCH(L2420,[1]Produtos!$B:$B,0)), "-")</f>
        <v>-</v>
      </c>
      <c r="O2420" s="483" t="str">
        <f>IFERROR(INDEX([1]Produtos!$F:$F,MATCH(L2420,[1]Produtos!$B:$B,0)), "-")</f>
        <v>-</v>
      </c>
      <c r="P2420" s="477" t="str">
        <f>IFERROR(INDEX([1]Produtos!$G:$G,MATCH(L2420,[1]Produtos!$B:$B,0)), "-")</f>
        <v>-</v>
      </c>
      <c r="Q2420" s="483" t="str">
        <f>IFERROR(INDEX([1]Produtos!$H:$H,MATCH(L2420,[1]Produtos!$B:$B,0)), "-")</f>
        <v>-</v>
      </c>
      <c r="R2420" s="483" t="str">
        <f>IFERROR(INDEX([1]Produtos!$I:$I,MATCH(L2420,[1]Produtos!$B:$B,0)), "-")</f>
        <v>-</v>
      </c>
      <c r="S2420" s="483" t="str">
        <f>IFERROR(INDEX([1]Produtos!$J:$J,MATCH(L2420,[1]Produtos!$B:$B,0)), "-")</f>
        <v>-</v>
      </c>
      <c r="T2420" s="484"/>
      <c r="U2420" s="483"/>
      <c r="V2420" s="483"/>
      <c r="W2420" s="483"/>
      <c r="X2420" s="483"/>
      <c r="Y2420" s="483"/>
      <c r="Z2420" s="483"/>
      <c r="AA2420" s="483"/>
      <c r="AB2420" s="483"/>
      <c r="AC2420" s="483"/>
      <c r="AD2420" s="483"/>
      <c r="AE2420" s="483"/>
      <c r="AF2420" s="483"/>
      <c r="AG2420" s="483"/>
      <c r="AH2420" s="483"/>
      <c r="AI2420" s="483"/>
      <c r="AJ2420" s="483"/>
      <c r="AK2420" s="483"/>
      <c r="AL2420" s="483"/>
      <c r="AM2420" s="670"/>
      <c r="AN2420" s="670"/>
      <c r="AO2420" s="711" t="str">
        <f>IF(OR(Table1[[#This Row],[Início Setup Envase]]="",Table1[[#This Row],[Final Setup Envase]]=""),"",Table1[[#This Row],[Final Setup Envase]]-Table1[[#This Row],[Início Setup Envase]])</f>
        <v/>
      </c>
      <c r="AP2420" s="670"/>
      <c r="AQ2420" s="670"/>
      <c r="AR2420" s="483"/>
      <c r="AS2420" s="483"/>
      <c r="AT2420" s="483"/>
      <c r="AU2420" s="483"/>
      <c r="AV2420" s="483"/>
      <c r="AW2420" s="483"/>
      <c r="AX2420" s="483"/>
      <c r="AY2420" s="270"/>
      <c r="AZ2420" s="270"/>
      <c r="BA2420" s="270" t="str">
        <f>IF(Table1[[#This Row],[Data de Início]]="","",YEAR(Table1[[#This Row],[Data de Início]]))</f>
        <v/>
      </c>
      <c r="BB2420" s="270" t="str">
        <f>IF(Table1[[#This Row],[Data de Início]]="","",MONTH(Table1[[#This Row],[Data de Início]]))</f>
        <v/>
      </c>
      <c r="BC2420" s="270"/>
    </row>
    <row r="2421" spans="2:55" x14ac:dyDescent="0.25">
      <c r="B2421" s="470"/>
      <c r="C2421" s="263"/>
      <c r="D2421" s="477" cm="1">
        <f t="array" ref="D2421">IFERROR(HorasUteisFabrica2Turnos(B2421,C2421), "")</f>
        <v>0</v>
      </c>
      <c r="E2421" s="697" t="str">
        <f t="shared" si="38"/>
        <v/>
      </c>
      <c r="F2421" s="266"/>
      <c r="G2421" s="698"/>
      <c r="H2421" s="266"/>
      <c r="I2421" s="268"/>
      <c r="J2421" s="268"/>
      <c r="K2421" s="268"/>
      <c r="L2421" s="269"/>
      <c r="M2421" s="510" t="str">
        <f>IFERROR(INDEX([1]Produtos!$C:$C,MATCH(L2421,[1]Produtos!$B:$B,0)), "-")</f>
        <v>-</v>
      </c>
      <c r="N2421" s="510" t="str">
        <f>IFERROR(INDEX([1]Produtos!$E:$E,MATCH(L2421,[1]Produtos!$B:$B,0)), "-")</f>
        <v>-</v>
      </c>
      <c r="O2421" s="270" t="str">
        <f>IFERROR(INDEX([1]Produtos!$F:$F,MATCH(L2421,[1]Produtos!$B:$B,0)), "-")</f>
        <v>-</v>
      </c>
      <c r="P2421" s="264" t="str">
        <f>IFERROR(INDEX([1]Produtos!$G:$G,MATCH(L2421,[1]Produtos!$B:$B,0)), "-")</f>
        <v>-</v>
      </c>
      <c r="Q2421" s="270" t="str">
        <f>IFERROR(INDEX([1]Produtos!$H:$H,MATCH(L2421,[1]Produtos!$B:$B,0)), "-")</f>
        <v>-</v>
      </c>
      <c r="R2421" s="270" t="str">
        <f>IFERROR(INDEX([1]Produtos!$I:$I,MATCH(L2421,[1]Produtos!$B:$B,0)), "-")</f>
        <v>-</v>
      </c>
      <c r="S2421" s="270" t="str">
        <f>IFERROR(INDEX([1]Produtos!$J:$J,MATCH(L2421,[1]Produtos!$B:$B,0)), "-")</f>
        <v>-</v>
      </c>
      <c r="T2421" s="475"/>
      <c r="U2421" s="270"/>
      <c r="V2421" s="270"/>
      <c r="W2421" s="270"/>
      <c r="X2421" s="270"/>
      <c r="Y2421" s="270"/>
      <c r="Z2421" s="270"/>
      <c r="AA2421" s="270"/>
      <c r="AB2421" s="270"/>
      <c r="AC2421" s="270"/>
      <c r="AD2421" s="270"/>
      <c r="AE2421" s="270"/>
      <c r="AF2421" s="270"/>
      <c r="AG2421" s="270"/>
      <c r="AH2421" s="270"/>
      <c r="AI2421" s="270"/>
      <c r="AJ2421" s="270"/>
      <c r="AK2421" s="270"/>
      <c r="AL2421" s="270"/>
      <c r="AM2421" s="663"/>
      <c r="AN2421" s="663"/>
      <c r="AO2421" s="708" t="str">
        <f>IF(OR(Table1[[#This Row],[Início Setup Envase]]="",Table1[[#This Row],[Final Setup Envase]]=""),"",Table1[[#This Row],[Final Setup Envase]]-Table1[[#This Row],[Início Setup Envase]])</f>
        <v/>
      </c>
      <c r="AP2421" s="663"/>
      <c r="AQ2421" s="663"/>
      <c r="AR2421" s="270"/>
      <c r="AS2421" s="674"/>
      <c r="AT2421" s="674"/>
      <c r="AU2421" s="270"/>
      <c r="AV2421" s="270"/>
      <c r="AW2421" s="270"/>
      <c r="AX2421" s="270"/>
      <c r="AY2421" s="270"/>
      <c r="AZ2421" s="270"/>
      <c r="BA2421" s="270" t="str">
        <f>IF(Table1[[#This Row],[Data de Início]]="","",YEAR(Table1[[#This Row],[Data de Início]]))</f>
        <v/>
      </c>
      <c r="BB2421" s="270" t="str">
        <f>IF(Table1[[#This Row],[Data de Início]]="","",MONTH(Table1[[#This Row],[Data de Início]]))</f>
        <v/>
      </c>
      <c r="BC2421" s="483"/>
    </row>
    <row r="2422" spans="2:55" x14ac:dyDescent="0.25">
      <c r="B2422" s="470"/>
      <c r="C2422" s="263"/>
      <c r="D2422" s="477" cm="1">
        <f t="array" ref="D2422">IFERROR(HorasUteisFabrica2Turnos(B2422,C2422), "")</f>
        <v>0</v>
      </c>
      <c r="E2422" s="478" t="str">
        <f t="shared" si="38"/>
        <v/>
      </c>
      <c r="F2422" s="266"/>
      <c r="G2422" s="656"/>
      <c r="H2422" s="479"/>
      <c r="I2422" s="268"/>
      <c r="J2422" s="268"/>
      <c r="K2422" s="268"/>
      <c r="L2422" s="269"/>
      <c r="M2422" s="511" t="str">
        <f>IFERROR(INDEX([1]Produtos!$C:$C,MATCH(L2422,[1]Produtos!$B:$B,0)), "-")</f>
        <v>-</v>
      </c>
      <c r="N2422" s="511" t="str">
        <f>IFERROR(INDEX([1]Produtos!$E:$E,MATCH(L2422,[1]Produtos!$B:$B,0)), "-")</f>
        <v>-</v>
      </c>
      <c r="O2422" s="483" t="str">
        <f>IFERROR(INDEX([1]Produtos!$F:$F,MATCH(L2422,[1]Produtos!$B:$B,0)), "-")</f>
        <v>-</v>
      </c>
      <c r="P2422" s="477" t="str">
        <f>IFERROR(INDEX([1]Produtos!$G:$G,MATCH(L2422,[1]Produtos!$B:$B,0)), "-")</f>
        <v>-</v>
      </c>
      <c r="Q2422" s="483" t="str">
        <f>IFERROR(INDEX([1]Produtos!$H:$H,MATCH(L2422,[1]Produtos!$B:$B,0)), "-")</f>
        <v>-</v>
      </c>
      <c r="R2422" s="483" t="str">
        <f>IFERROR(INDEX([1]Produtos!$I:$I,MATCH(L2422,[1]Produtos!$B:$B,0)), "-")</f>
        <v>-</v>
      </c>
      <c r="S2422" s="483" t="str">
        <f>IFERROR(INDEX([1]Produtos!$J:$J,MATCH(L2422,[1]Produtos!$B:$B,0)), "-")</f>
        <v>-</v>
      </c>
      <c r="T2422" s="484"/>
      <c r="U2422" s="483"/>
      <c r="V2422" s="483"/>
      <c r="W2422" s="483"/>
      <c r="X2422" s="483"/>
      <c r="Y2422" s="483"/>
      <c r="Z2422" s="483"/>
      <c r="AA2422" s="483"/>
      <c r="AB2422" s="483"/>
      <c r="AC2422" s="483"/>
      <c r="AD2422" s="483"/>
      <c r="AE2422" s="483"/>
      <c r="AF2422" s="483"/>
      <c r="AG2422" s="483"/>
      <c r="AH2422" s="483"/>
      <c r="AI2422" s="483"/>
      <c r="AJ2422" s="483"/>
      <c r="AK2422" s="483"/>
      <c r="AL2422" s="483"/>
      <c r="AM2422" s="670"/>
      <c r="AN2422" s="670"/>
      <c r="AO2422" s="711" t="str">
        <f>IF(OR(Table1[[#This Row],[Início Setup Envase]]="",Table1[[#This Row],[Final Setup Envase]]=""),"",Table1[[#This Row],[Final Setup Envase]]-Table1[[#This Row],[Início Setup Envase]])</f>
        <v/>
      </c>
      <c r="AP2422" s="670"/>
      <c r="AQ2422" s="670"/>
      <c r="AR2422" s="483"/>
      <c r="AS2422" s="483"/>
      <c r="AT2422" s="483"/>
      <c r="AU2422" s="483"/>
      <c r="AV2422" s="483"/>
      <c r="AW2422" s="483"/>
      <c r="AX2422" s="483"/>
      <c r="AY2422" s="270"/>
      <c r="AZ2422" s="270"/>
      <c r="BA2422" s="270" t="str">
        <f>IF(Table1[[#This Row],[Data de Início]]="","",YEAR(Table1[[#This Row],[Data de Início]]))</f>
        <v/>
      </c>
      <c r="BB2422" s="270" t="str">
        <f>IF(Table1[[#This Row],[Data de Início]]="","",MONTH(Table1[[#This Row],[Data de Início]]))</f>
        <v/>
      </c>
      <c r="BC2422" s="270"/>
    </row>
    <row r="2423" spans="2:55" x14ac:dyDescent="0.25">
      <c r="B2423" s="470"/>
      <c r="C2423" s="263"/>
      <c r="D2423" s="477" cm="1">
        <f t="array" ref="D2423">IFERROR(HorasUteisFabrica2Turnos(B2423,C2423), "")</f>
        <v>0</v>
      </c>
      <c r="E2423" s="697" t="str">
        <f t="shared" si="38"/>
        <v/>
      </c>
      <c r="F2423" s="266"/>
      <c r="G2423" s="698"/>
      <c r="H2423" s="266"/>
      <c r="I2423" s="268"/>
      <c r="J2423" s="268"/>
      <c r="K2423" s="268"/>
      <c r="L2423" s="269"/>
      <c r="M2423" s="510" t="str">
        <f>IFERROR(INDEX([1]Produtos!$C:$C,MATCH(L2423,[1]Produtos!$B:$B,0)), "-")</f>
        <v>-</v>
      </c>
      <c r="N2423" s="510" t="str">
        <f>IFERROR(INDEX([1]Produtos!$E:$E,MATCH(L2423,[1]Produtos!$B:$B,0)), "-")</f>
        <v>-</v>
      </c>
      <c r="O2423" s="270" t="str">
        <f>IFERROR(INDEX([1]Produtos!$F:$F,MATCH(L2423,[1]Produtos!$B:$B,0)), "-")</f>
        <v>-</v>
      </c>
      <c r="P2423" s="264" t="str">
        <f>IFERROR(INDEX([1]Produtos!$G:$G,MATCH(L2423,[1]Produtos!$B:$B,0)), "-")</f>
        <v>-</v>
      </c>
      <c r="Q2423" s="270" t="str">
        <f>IFERROR(INDEX([1]Produtos!$H:$H,MATCH(L2423,[1]Produtos!$B:$B,0)), "-")</f>
        <v>-</v>
      </c>
      <c r="R2423" s="270" t="str">
        <f>IFERROR(INDEX([1]Produtos!$I:$I,MATCH(L2423,[1]Produtos!$B:$B,0)), "-")</f>
        <v>-</v>
      </c>
      <c r="S2423" s="270" t="str">
        <f>IFERROR(INDEX([1]Produtos!$J:$J,MATCH(L2423,[1]Produtos!$B:$B,0)), "-")</f>
        <v>-</v>
      </c>
      <c r="T2423" s="475"/>
      <c r="U2423" s="270"/>
      <c r="V2423" s="270"/>
      <c r="W2423" s="270"/>
      <c r="X2423" s="270"/>
      <c r="Y2423" s="270"/>
      <c r="Z2423" s="270"/>
      <c r="AA2423" s="270"/>
      <c r="AB2423" s="270"/>
      <c r="AC2423" s="270"/>
      <c r="AD2423" s="270"/>
      <c r="AE2423" s="270"/>
      <c r="AF2423" s="270"/>
      <c r="AG2423" s="270"/>
      <c r="AH2423" s="270"/>
      <c r="AI2423" s="270"/>
      <c r="AJ2423" s="270"/>
      <c r="AK2423" s="270"/>
      <c r="AL2423" s="270"/>
      <c r="AM2423" s="663"/>
      <c r="AN2423" s="663"/>
      <c r="AO2423" s="708" t="str">
        <f>IF(OR(Table1[[#This Row],[Início Setup Envase]]="",Table1[[#This Row],[Final Setup Envase]]=""),"",Table1[[#This Row],[Final Setup Envase]]-Table1[[#This Row],[Início Setup Envase]])</f>
        <v/>
      </c>
      <c r="AP2423" s="663"/>
      <c r="AQ2423" s="663"/>
      <c r="AR2423" s="270"/>
      <c r="AS2423" s="674"/>
      <c r="AT2423" s="674"/>
      <c r="AU2423" s="270"/>
      <c r="AV2423" s="270"/>
      <c r="AW2423" s="270"/>
      <c r="AX2423" s="270"/>
      <c r="AY2423" s="270"/>
      <c r="AZ2423" s="270"/>
      <c r="BA2423" s="270" t="str">
        <f>IF(Table1[[#This Row],[Data de Início]]="","",YEAR(Table1[[#This Row],[Data de Início]]))</f>
        <v/>
      </c>
      <c r="BB2423" s="270" t="str">
        <f>IF(Table1[[#This Row],[Data de Início]]="","",MONTH(Table1[[#This Row],[Data de Início]]))</f>
        <v/>
      </c>
      <c r="BC2423" s="483"/>
    </row>
    <row r="2424" spans="2:55" x14ac:dyDescent="0.25">
      <c r="B2424" s="470"/>
      <c r="C2424" s="263"/>
      <c r="D2424" s="477" cm="1">
        <f t="array" ref="D2424">IFERROR(HorasUteisFabrica2Turnos(B2424,C2424), "")</f>
        <v>0</v>
      </c>
      <c r="E2424" s="478" t="str">
        <f t="shared" si="38"/>
        <v/>
      </c>
      <c r="F2424" s="266"/>
      <c r="G2424" s="656"/>
      <c r="H2424" s="479"/>
      <c r="I2424" s="268"/>
      <c r="J2424" s="268"/>
      <c r="K2424" s="268"/>
      <c r="L2424" s="269"/>
      <c r="M2424" s="511" t="str">
        <f>IFERROR(INDEX([1]Produtos!$C:$C,MATCH(L2424,[1]Produtos!$B:$B,0)), "-")</f>
        <v>-</v>
      </c>
      <c r="N2424" s="511" t="str">
        <f>IFERROR(INDEX([1]Produtos!$E:$E,MATCH(L2424,[1]Produtos!$B:$B,0)), "-")</f>
        <v>-</v>
      </c>
      <c r="O2424" s="483" t="str">
        <f>IFERROR(INDEX([1]Produtos!$F:$F,MATCH(L2424,[1]Produtos!$B:$B,0)), "-")</f>
        <v>-</v>
      </c>
      <c r="P2424" s="477" t="str">
        <f>IFERROR(INDEX([1]Produtos!$G:$G,MATCH(L2424,[1]Produtos!$B:$B,0)), "-")</f>
        <v>-</v>
      </c>
      <c r="Q2424" s="483" t="str">
        <f>IFERROR(INDEX([1]Produtos!$H:$H,MATCH(L2424,[1]Produtos!$B:$B,0)), "-")</f>
        <v>-</v>
      </c>
      <c r="R2424" s="483" t="str">
        <f>IFERROR(INDEX([1]Produtos!$I:$I,MATCH(L2424,[1]Produtos!$B:$B,0)), "-")</f>
        <v>-</v>
      </c>
      <c r="S2424" s="483" t="str">
        <f>IFERROR(INDEX([1]Produtos!$J:$J,MATCH(L2424,[1]Produtos!$B:$B,0)), "-")</f>
        <v>-</v>
      </c>
      <c r="T2424" s="484"/>
      <c r="U2424" s="483"/>
      <c r="V2424" s="483"/>
      <c r="W2424" s="483"/>
      <c r="X2424" s="483"/>
      <c r="Y2424" s="483"/>
      <c r="Z2424" s="483"/>
      <c r="AA2424" s="483"/>
      <c r="AB2424" s="483"/>
      <c r="AC2424" s="483"/>
      <c r="AD2424" s="483"/>
      <c r="AE2424" s="483"/>
      <c r="AF2424" s="483"/>
      <c r="AG2424" s="483"/>
      <c r="AH2424" s="483"/>
      <c r="AI2424" s="483"/>
      <c r="AJ2424" s="483"/>
      <c r="AK2424" s="483"/>
      <c r="AL2424" s="483"/>
      <c r="AM2424" s="670"/>
      <c r="AN2424" s="670"/>
      <c r="AO2424" s="711" t="str">
        <f>IF(OR(Table1[[#This Row],[Início Setup Envase]]="",Table1[[#This Row],[Final Setup Envase]]=""),"",Table1[[#This Row],[Final Setup Envase]]-Table1[[#This Row],[Início Setup Envase]])</f>
        <v/>
      </c>
      <c r="AP2424" s="670"/>
      <c r="AQ2424" s="670"/>
      <c r="AR2424" s="483"/>
      <c r="AS2424" s="483"/>
      <c r="AT2424" s="483"/>
      <c r="AU2424" s="483"/>
      <c r="AV2424" s="483"/>
      <c r="AW2424" s="483"/>
      <c r="AX2424" s="483"/>
      <c r="AY2424" s="270"/>
      <c r="AZ2424" s="270"/>
      <c r="BA2424" s="270" t="str">
        <f>IF(Table1[[#This Row],[Data de Início]]="","",YEAR(Table1[[#This Row],[Data de Início]]))</f>
        <v/>
      </c>
      <c r="BB2424" s="270" t="str">
        <f>IF(Table1[[#This Row],[Data de Início]]="","",MONTH(Table1[[#This Row],[Data de Início]]))</f>
        <v/>
      </c>
      <c r="BC2424" s="270"/>
    </row>
    <row r="2425" spans="2:55" x14ac:dyDescent="0.25">
      <c r="B2425" s="470"/>
      <c r="C2425" s="263"/>
      <c r="D2425" s="477" cm="1">
        <f t="array" ref="D2425">IFERROR(HorasUteisFabrica2Turnos(B2425,C2425), "")</f>
        <v>0</v>
      </c>
      <c r="E2425" s="697" t="str">
        <f t="shared" si="38"/>
        <v/>
      </c>
      <c r="F2425" s="266"/>
      <c r="G2425" s="698"/>
      <c r="H2425" s="266"/>
      <c r="I2425" s="268"/>
      <c r="J2425" s="268"/>
      <c r="K2425" s="268"/>
      <c r="L2425" s="269"/>
      <c r="M2425" s="510" t="str">
        <f>IFERROR(INDEX([1]Produtos!$C:$C,MATCH(L2425,[1]Produtos!$B:$B,0)), "-")</f>
        <v>-</v>
      </c>
      <c r="N2425" s="510" t="str">
        <f>IFERROR(INDEX([1]Produtos!$E:$E,MATCH(L2425,[1]Produtos!$B:$B,0)), "-")</f>
        <v>-</v>
      </c>
      <c r="O2425" s="270" t="str">
        <f>IFERROR(INDEX([1]Produtos!$F:$F,MATCH(L2425,[1]Produtos!$B:$B,0)), "-")</f>
        <v>-</v>
      </c>
      <c r="P2425" s="264" t="str">
        <f>IFERROR(INDEX([1]Produtos!$G:$G,MATCH(L2425,[1]Produtos!$B:$B,0)), "-")</f>
        <v>-</v>
      </c>
      <c r="Q2425" s="270" t="str">
        <f>IFERROR(INDEX([1]Produtos!$H:$H,MATCH(L2425,[1]Produtos!$B:$B,0)), "-")</f>
        <v>-</v>
      </c>
      <c r="R2425" s="270" t="str">
        <f>IFERROR(INDEX([1]Produtos!$I:$I,MATCH(L2425,[1]Produtos!$B:$B,0)), "-")</f>
        <v>-</v>
      </c>
      <c r="S2425" s="270" t="str">
        <f>IFERROR(INDEX([1]Produtos!$J:$J,MATCH(L2425,[1]Produtos!$B:$B,0)), "-")</f>
        <v>-</v>
      </c>
      <c r="T2425" s="475"/>
      <c r="U2425" s="270"/>
      <c r="V2425" s="270"/>
      <c r="W2425" s="270"/>
      <c r="X2425" s="270"/>
      <c r="Y2425" s="270"/>
      <c r="Z2425" s="270"/>
      <c r="AA2425" s="270"/>
      <c r="AB2425" s="270"/>
      <c r="AC2425" s="270"/>
      <c r="AD2425" s="270"/>
      <c r="AE2425" s="270"/>
      <c r="AF2425" s="270"/>
      <c r="AG2425" s="270"/>
      <c r="AH2425" s="270"/>
      <c r="AI2425" s="270"/>
      <c r="AJ2425" s="270"/>
      <c r="AK2425" s="270"/>
      <c r="AL2425" s="270"/>
      <c r="AM2425" s="663"/>
      <c r="AN2425" s="663"/>
      <c r="AO2425" s="708" t="str">
        <f>IF(OR(Table1[[#This Row],[Início Setup Envase]]="",Table1[[#This Row],[Final Setup Envase]]=""),"",Table1[[#This Row],[Final Setup Envase]]-Table1[[#This Row],[Início Setup Envase]])</f>
        <v/>
      </c>
      <c r="AP2425" s="663"/>
      <c r="AQ2425" s="663"/>
      <c r="AR2425" s="270"/>
      <c r="AS2425" s="674"/>
      <c r="AT2425" s="674"/>
      <c r="AU2425" s="270"/>
      <c r="AV2425" s="270"/>
      <c r="AW2425" s="270"/>
      <c r="AX2425" s="270"/>
      <c r="AY2425" s="270"/>
      <c r="AZ2425" s="270"/>
      <c r="BA2425" s="270" t="str">
        <f>IF(Table1[[#This Row],[Data de Início]]="","",YEAR(Table1[[#This Row],[Data de Início]]))</f>
        <v/>
      </c>
      <c r="BB2425" s="270" t="str">
        <f>IF(Table1[[#This Row],[Data de Início]]="","",MONTH(Table1[[#This Row],[Data de Início]]))</f>
        <v/>
      </c>
      <c r="BC2425" s="483"/>
    </row>
    <row r="2426" spans="2:55" x14ac:dyDescent="0.25">
      <c r="B2426" s="470"/>
      <c r="C2426" s="263"/>
      <c r="D2426" s="477" cm="1">
        <f t="array" ref="D2426">IFERROR(HorasUteisFabrica2Turnos(B2426,C2426), "")</f>
        <v>0</v>
      </c>
      <c r="E2426" s="478" t="str">
        <f t="shared" si="38"/>
        <v/>
      </c>
      <c r="F2426" s="266"/>
      <c r="G2426" s="656"/>
      <c r="H2426" s="479"/>
      <c r="I2426" s="268"/>
      <c r="J2426" s="268"/>
      <c r="K2426" s="268"/>
      <c r="L2426" s="269"/>
      <c r="M2426" s="511" t="str">
        <f>IFERROR(INDEX([1]Produtos!$C:$C,MATCH(L2426,[1]Produtos!$B:$B,0)), "-")</f>
        <v>-</v>
      </c>
      <c r="N2426" s="511" t="str">
        <f>IFERROR(INDEX([1]Produtos!$E:$E,MATCH(L2426,[1]Produtos!$B:$B,0)), "-")</f>
        <v>-</v>
      </c>
      <c r="O2426" s="483" t="str">
        <f>IFERROR(INDEX([1]Produtos!$F:$F,MATCH(L2426,[1]Produtos!$B:$B,0)), "-")</f>
        <v>-</v>
      </c>
      <c r="P2426" s="477" t="str">
        <f>IFERROR(INDEX([1]Produtos!$G:$G,MATCH(L2426,[1]Produtos!$B:$B,0)), "-")</f>
        <v>-</v>
      </c>
      <c r="Q2426" s="483" t="str">
        <f>IFERROR(INDEX([1]Produtos!$H:$H,MATCH(L2426,[1]Produtos!$B:$B,0)), "-")</f>
        <v>-</v>
      </c>
      <c r="R2426" s="483" t="str">
        <f>IFERROR(INDEX([1]Produtos!$I:$I,MATCH(L2426,[1]Produtos!$B:$B,0)), "-")</f>
        <v>-</v>
      </c>
      <c r="S2426" s="483" t="str">
        <f>IFERROR(INDEX([1]Produtos!$J:$J,MATCH(L2426,[1]Produtos!$B:$B,0)), "-")</f>
        <v>-</v>
      </c>
      <c r="T2426" s="484"/>
      <c r="U2426" s="483"/>
      <c r="V2426" s="483"/>
      <c r="W2426" s="483"/>
      <c r="X2426" s="483"/>
      <c r="Y2426" s="483"/>
      <c r="Z2426" s="483"/>
      <c r="AA2426" s="483"/>
      <c r="AB2426" s="483"/>
      <c r="AC2426" s="483"/>
      <c r="AD2426" s="483"/>
      <c r="AE2426" s="483"/>
      <c r="AF2426" s="483"/>
      <c r="AG2426" s="483"/>
      <c r="AH2426" s="483"/>
      <c r="AI2426" s="483"/>
      <c r="AJ2426" s="483"/>
      <c r="AK2426" s="483"/>
      <c r="AL2426" s="483"/>
      <c r="AM2426" s="670"/>
      <c r="AN2426" s="670"/>
      <c r="AO2426" s="711" t="str">
        <f>IF(OR(Table1[[#This Row],[Início Setup Envase]]="",Table1[[#This Row],[Final Setup Envase]]=""),"",Table1[[#This Row],[Final Setup Envase]]-Table1[[#This Row],[Início Setup Envase]])</f>
        <v/>
      </c>
      <c r="AP2426" s="670"/>
      <c r="AQ2426" s="670"/>
      <c r="AR2426" s="483"/>
      <c r="AS2426" s="483"/>
      <c r="AT2426" s="483"/>
      <c r="AU2426" s="483"/>
      <c r="AV2426" s="483"/>
      <c r="AW2426" s="483"/>
      <c r="AX2426" s="483"/>
      <c r="AY2426" s="270"/>
      <c r="AZ2426" s="270"/>
      <c r="BA2426" s="270" t="str">
        <f>IF(Table1[[#This Row],[Data de Início]]="","",YEAR(Table1[[#This Row],[Data de Início]]))</f>
        <v/>
      </c>
      <c r="BB2426" s="270" t="str">
        <f>IF(Table1[[#This Row],[Data de Início]]="","",MONTH(Table1[[#This Row],[Data de Início]]))</f>
        <v/>
      </c>
      <c r="BC2426" s="270"/>
    </row>
    <row r="2427" spans="2:55" x14ac:dyDescent="0.25">
      <c r="B2427" s="470"/>
      <c r="C2427" s="263"/>
      <c r="D2427" s="477" cm="1">
        <f t="array" ref="D2427">IFERROR(HorasUteisFabrica2Turnos(B2427,C2427), "")</f>
        <v>0</v>
      </c>
      <c r="E2427" s="697" t="str">
        <f t="shared" si="38"/>
        <v/>
      </c>
      <c r="F2427" s="266"/>
      <c r="G2427" s="698"/>
      <c r="H2427" s="266"/>
      <c r="I2427" s="268"/>
      <c r="J2427" s="268"/>
      <c r="K2427" s="268"/>
      <c r="L2427" s="269"/>
      <c r="M2427" s="510" t="str">
        <f>IFERROR(INDEX([1]Produtos!$C:$C,MATCH(L2427,[1]Produtos!$B:$B,0)), "-")</f>
        <v>-</v>
      </c>
      <c r="N2427" s="510" t="str">
        <f>IFERROR(INDEX([1]Produtos!$E:$E,MATCH(L2427,[1]Produtos!$B:$B,0)), "-")</f>
        <v>-</v>
      </c>
      <c r="O2427" s="270" t="str">
        <f>IFERROR(INDEX([1]Produtos!$F:$F,MATCH(L2427,[1]Produtos!$B:$B,0)), "-")</f>
        <v>-</v>
      </c>
      <c r="P2427" s="264" t="str">
        <f>IFERROR(INDEX([1]Produtos!$G:$G,MATCH(L2427,[1]Produtos!$B:$B,0)), "-")</f>
        <v>-</v>
      </c>
      <c r="Q2427" s="270" t="str">
        <f>IFERROR(INDEX([1]Produtos!$H:$H,MATCH(L2427,[1]Produtos!$B:$B,0)), "-")</f>
        <v>-</v>
      </c>
      <c r="R2427" s="270" t="str">
        <f>IFERROR(INDEX([1]Produtos!$I:$I,MATCH(L2427,[1]Produtos!$B:$B,0)), "-")</f>
        <v>-</v>
      </c>
      <c r="S2427" s="270" t="str">
        <f>IFERROR(INDEX([1]Produtos!$J:$J,MATCH(L2427,[1]Produtos!$B:$B,0)), "-")</f>
        <v>-</v>
      </c>
      <c r="T2427" s="475"/>
      <c r="U2427" s="270"/>
      <c r="V2427" s="270"/>
      <c r="W2427" s="270"/>
      <c r="X2427" s="270"/>
      <c r="Y2427" s="270"/>
      <c r="Z2427" s="270"/>
      <c r="AA2427" s="270"/>
      <c r="AB2427" s="270"/>
      <c r="AC2427" s="270"/>
      <c r="AD2427" s="270"/>
      <c r="AE2427" s="270"/>
      <c r="AF2427" s="270"/>
      <c r="AG2427" s="270"/>
      <c r="AH2427" s="270"/>
      <c r="AI2427" s="270"/>
      <c r="AJ2427" s="270"/>
      <c r="AK2427" s="270"/>
      <c r="AL2427" s="270"/>
      <c r="AM2427" s="663"/>
      <c r="AN2427" s="663"/>
      <c r="AO2427" s="708" t="str">
        <f>IF(OR(Table1[[#This Row],[Início Setup Envase]]="",Table1[[#This Row],[Final Setup Envase]]=""),"",Table1[[#This Row],[Final Setup Envase]]-Table1[[#This Row],[Início Setup Envase]])</f>
        <v/>
      </c>
      <c r="AP2427" s="663"/>
      <c r="AQ2427" s="663"/>
      <c r="AR2427" s="270"/>
      <c r="AS2427" s="674"/>
      <c r="AT2427" s="674"/>
      <c r="AU2427" s="270"/>
      <c r="AV2427" s="270"/>
      <c r="AW2427" s="270"/>
      <c r="AX2427" s="270"/>
      <c r="AY2427" s="270"/>
      <c r="AZ2427" s="270"/>
      <c r="BA2427" s="270" t="str">
        <f>IF(Table1[[#This Row],[Data de Início]]="","",YEAR(Table1[[#This Row],[Data de Início]]))</f>
        <v/>
      </c>
      <c r="BB2427" s="270" t="str">
        <f>IF(Table1[[#This Row],[Data de Início]]="","",MONTH(Table1[[#This Row],[Data de Início]]))</f>
        <v/>
      </c>
      <c r="BC2427" s="483"/>
    </row>
    <row r="2428" spans="2:55" x14ac:dyDescent="0.25">
      <c r="B2428" s="470"/>
      <c r="C2428" s="263"/>
      <c r="D2428" s="477" cm="1">
        <f t="array" ref="D2428">IFERROR(HorasUteisFabrica2Turnos(B2428,C2428), "")</f>
        <v>0</v>
      </c>
      <c r="E2428" s="478" t="str">
        <f t="shared" si="38"/>
        <v/>
      </c>
      <c r="F2428" s="266"/>
      <c r="G2428" s="656"/>
      <c r="H2428" s="479"/>
      <c r="I2428" s="268"/>
      <c r="J2428" s="268"/>
      <c r="K2428" s="268"/>
      <c r="L2428" s="269"/>
      <c r="M2428" s="511" t="str">
        <f>IFERROR(INDEX([1]Produtos!$C:$C,MATCH(L2428,[1]Produtos!$B:$B,0)), "-")</f>
        <v>-</v>
      </c>
      <c r="N2428" s="511" t="str">
        <f>IFERROR(INDEX([1]Produtos!$E:$E,MATCH(L2428,[1]Produtos!$B:$B,0)), "-")</f>
        <v>-</v>
      </c>
      <c r="O2428" s="483" t="str">
        <f>IFERROR(INDEX([1]Produtos!$F:$F,MATCH(L2428,[1]Produtos!$B:$B,0)), "-")</f>
        <v>-</v>
      </c>
      <c r="P2428" s="477" t="str">
        <f>IFERROR(INDEX([1]Produtos!$G:$G,MATCH(L2428,[1]Produtos!$B:$B,0)), "-")</f>
        <v>-</v>
      </c>
      <c r="Q2428" s="483" t="str">
        <f>IFERROR(INDEX([1]Produtos!$H:$H,MATCH(L2428,[1]Produtos!$B:$B,0)), "-")</f>
        <v>-</v>
      </c>
      <c r="R2428" s="483" t="str">
        <f>IFERROR(INDEX([1]Produtos!$I:$I,MATCH(L2428,[1]Produtos!$B:$B,0)), "-")</f>
        <v>-</v>
      </c>
      <c r="S2428" s="483" t="str">
        <f>IFERROR(INDEX([1]Produtos!$J:$J,MATCH(L2428,[1]Produtos!$B:$B,0)), "-")</f>
        <v>-</v>
      </c>
      <c r="T2428" s="484"/>
      <c r="U2428" s="483"/>
      <c r="V2428" s="483"/>
      <c r="W2428" s="483"/>
      <c r="X2428" s="483"/>
      <c r="Y2428" s="483"/>
      <c r="Z2428" s="483"/>
      <c r="AA2428" s="483"/>
      <c r="AB2428" s="483"/>
      <c r="AC2428" s="483"/>
      <c r="AD2428" s="483"/>
      <c r="AE2428" s="483"/>
      <c r="AF2428" s="483"/>
      <c r="AG2428" s="483"/>
      <c r="AH2428" s="483"/>
      <c r="AI2428" s="483"/>
      <c r="AJ2428" s="483"/>
      <c r="AK2428" s="483"/>
      <c r="AL2428" s="483"/>
      <c r="AM2428" s="670"/>
      <c r="AN2428" s="670"/>
      <c r="AO2428" s="711" t="str">
        <f>IF(OR(Table1[[#This Row],[Início Setup Envase]]="",Table1[[#This Row],[Final Setup Envase]]=""),"",Table1[[#This Row],[Final Setup Envase]]-Table1[[#This Row],[Início Setup Envase]])</f>
        <v/>
      </c>
      <c r="AP2428" s="670"/>
      <c r="AQ2428" s="670"/>
      <c r="AR2428" s="483"/>
      <c r="AS2428" s="483"/>
      <c r="AT2428" s="483"/>
      <c r="AU2428" s="483"/>
      <c r="AV2428" s="483"/>
      <c r="AW2428" s="483"/>
      <c r="AX2428" s="483"/>
      <c r="AY2428" s="270"/>
      <c r="AZ2428" s="270"/>
      <c r="BA2428" s="270" t="str">
        <f>IF(Table1[[#This Row],[Data de Início]]="","",YEAR(Table1[[#This Row],[Data de Início]]))</f>
        <v/>
      </c>
      <c r="BB2428" s="270" t="str">
        <f>IF(Table1[[#This Row],[Data de Início]]="","",MONTH(Table1[[#This Row],[Data de Início]]))</f>
        <v/>
      </c>
      <c r="BC2428" s="270"/>
    </row>
    <row r="2429" spans="2:55" x14ac:dyDescent="0.25">
      <c r="B2429" s="470"/>
      <c r="C2429" s="263"/>
      <c r="D2429" s="477" cm="1">
        <f t="array" ref="D2429">IFERROR(HorasUteisFabrica2Turnos(B2429,C2429), "")</f>
        <v>0</v>
      </c>
      <c r="E2429" s="697" t="str">
        <f t="shared" si="38"/>
        <v/>
      </c>
      <c r="F2429" s="266"/>
      <c r="G2429" s="698"/>
      <c r="H2429" s="266"/>
      <c r="I2429" s="268"/>
      <c r="J2429" s="268"/>
      <c r="K2429" s="268"/>
      <c r="L2429" s="269"/>
      <c r="M2429" s="510" t="str">
        <f>IFERROR(INDEX([1]Produtos!$C:$C,MATCH(L2429,[1]Produtos!$B:$B,0)), "-")</f>
        <v>-</v>
      </c>
      <c r="N2429" s="510" t="str">
        <f>IFERROR(INDEX([1]Produtos!$E:$E,MATCH(L2429,[1]Produtos!$B:$B,0)), "-")</f>
        <v>-</v>
      </c>
      <c r="O2429" s="270" t="str">
        <f>IFERROR(INDEX([1]Produtos!$F:$F,MATCH(L2429,[1]Produtos!$B:$B,0)), "-")</f>
        <v>-</v>
      </c>
      <c r="P2429" s="264" t="str">
        <f>IFERROR(INDEX([1]Produtos!$G:$G,MATCH(L2429,[1]Produtos!$B:$B,0)), "-")</f>
        <v>-</v>
      </c>
      <c r="Q2429" s="270" t="str">
        <f>IFERROR(INDEX([1]Produtos!$H:$H,MATCH(L2429,[1]Produtos!$B:$B,0)), "-")</f>
        <v>-</v>
      </c>
      <c r="R2429" s="270" t="str">
        <f>IFERROR(INDEX([1]Produtos!$I:$I,MATCH(L2429,[1]Produtos!$B:$B,0)), "-")</f>
        <v>-</v>
      </c>
      <c r="S2429" s="270" t="str">
        <f>IFERROR(INDEX([1]Produtos!$J:$J,MATCH(L2429,[1]Produtos!$B:$B,0)), "-")</f>
        <v>-</v>
      </c>
      <c r="T2429" s="475"/>
      <c r="U2429" s="270"/>
      <c r="V2429" s="270"/>
      <c r="W2429" s="270"/>
      <c r="X2429" s="270"/>
      <c r="Y2429" s="270"/>
      <c r="Z2429" s="270"/>
      <c r="AA2429" s="270"/>
      <c r="AB2429" s="270"/>
      <c r="AC2429" s="270"/>
      <c r="AD2429" s="270"/>
      <c r="AE2429" s="270"/>
      <c r="AF2429" s="270"/>
      <c r="AG2429" s="270"/>
      <c r="AH2429" s="270"/>
      <c r="AI2429" s="270"/>
      <c r="AJ2429" s="270"/>
      <c r="AK2429" s="270"/>
      <c r="AL2429" s="270"/>
      <c r="AM2429" s="663"/>
      <c r="AN2429" s="663"/>
      <c r="AO2429" s="708" t="str">
        <f>IF(OR(Table1[[#This Row],[Início Setup Envase]]="",Table1[[#This Row],[Final Setup Envase]]=""),"",Table1[[#This Row],[Final Setup Envase]]-Table1[[#This Row],[Início Setup Envase]])</f>
        <v/>
      </c>
      <c r="AP2429" s="663"/>
      <c r="AQ2429" s="663"/>
      <c r="AR2429" s="270"/>
      <c r="AS2429" s="674"/>
      <c r="AT2429" s="674"/>
      <c r="AU2429" s="270"/>
      <c r="AV2429" s="270"/>
      <c r="AW2429" s="270"/>
      <c r="AX2429" s="270"/>
      <c r="AY2429" s="270"/>
      <c r="AZ2429" s="270"/>
      <c r="BA2429" s="270" t="str">
        <f>IF(Table1[[#This Row],[Data de Início]]="","",YEAR(Table1[[#This Row],[Data de Início]]))</f>
        <v/>
      </c>
      <c r="BB2429" s="270" t="str">
        <f>IF(Table1[[#This Row],[Data de Início]]="","",MONTH(Table1[[#This Row],[Data de Início]]))</f>
        <v/>
      </c>
      <c r="BC2429" s="483"/>
    </row>
    <row r="2430" spans="2:55" x14ac:dyDescent="0.25">
      <c r="B2430" s="470"/>
      <c r="C2430" s="263"/>
      <c r="D2430" s="477" cm="1">
        <f t="array" ref="D2430">IFERROR(HorasUteisFabrica2Turnos(B2430,C2430), "")</f>
        <v>0</v>
      </c>
      <c r="E2430" s="478" t="str">
        <f t="shared" si="38"/>
        <v/>
      </c>
      <c r="F2430" s="266"/>
      <c r="G2430" s="656"/>
      <c r="H2430" s="479"/>
      <c r="I2430" s="268"/>
      <c r="J2430" s="268"/>
      <c r="K2430" s="268"/>
      <c r="L2430" s="269"/>
      <c r="M2430" s="511" t="str">
        <f>IFERROR(INDEX([1]Produtos!$C:$C,MATCH(L2430,[1]Produtos!$B:$B,0)), "-")</f>
        <v>-</v>
      </c>
      <c r="N2430" s="511" t="str">
        <f>IFERROR(INDEX([1]Produtos!$E:$E,MATCH(L2430,[1]Produtos!$B:$B,0)), "-")</f>
        <v>-</v>
      </c>
      <c r="O2430" s="483" t="str">
        <f>IFERROR(INDEX([1]Produtos!$F:$F,MATCH(L2430,[1]Produtos!$B:$B,0)), "-")</f>
        <v>-</v>
      </c>
      <c r="P2430" s="477" t="str">
        <f>IFERROR(INDEX([1]Produtos!$G:$G,MATCH(L2430,[1]Produtos!$B:$B,0)), "-")</f>
        <v>-</v>
      </c>
      <c r="Q2430" s="483" t="str">
        <f>IFERROR(INDEX([1]Produtos!$H:$H,MATCH(L2430,[1]Produtos!$B:$B,0)), "-")</f>
        <v>-</v>
      </c>
      <c r="R2430" s="483" t="str">
        <f>IFERROR(INDEX([1]Produtos!$I:$I,MATCH(L2430,[1]Produtos!$B:$B,0)), "-")</f>
        <v>-</v>
      </c>
      <c r="S2430" s="483" t="str">
        <f>IFERROR(INDEX([1]Produtos!$J:$J,MATCH(L2430,[1]Produtos!$B:$B,0)), "-")</f>
        <v>-</v>
      </c>
      <c r="T2430" s="484"/>
      <c r="U2430" s="483"/>
      <c r="V2430" s="483"/>
      <c r="W2430" s="483"/>
      <c r="X2430" s="483"/>
      <c r="Y2430" s="483"/>
      <c r="Z2430" s="483"/>
      <c r="AA2430" s="483"/>
      <c r="AB2430" s="483"/>
      <c r="AC2430" s="483"/>
      <c r="AD2430" s="483"/>
      <c r="AE2430" s="483"/>
      <c r="AF2430" s="483"/>
      <c r="AG2430" s="483"/>
      <c r="AH2430" s="483"/>
      <c r="AI2430" s="483"/>
      <c r="AJ2430" s="483"/>
      <c r="AK2430" s="483"/>
      <c r="AL2430" s="483"/>
      <c r="AM2430" s="670"/>
      <c r="AN2430" s="670"/>
      <c r="AO2430" s="711" t="str">
        <f>IF(OR(Table1[[#This Row],[Início Setup Envase]]="",Table1[[#This Row],[Final Setup Envase]]=""),"",Table1[[#This Row],[Final Setup Envase]]-Table1[[#This Row],[Início Setup Envase]])</f>
        <v/>
      </c>
      <c r="AP2430" s="670"/>
      <c r="AQ2430" s="670"/>
      <c r="AR2430" s="483"/>
      <c r="AS2430" s="483"/>
      <c r="AT2430" s="483"/>
      <c r="AU2430" s="483"/>
      <c r="AV2430" s="483"/>
      <c r="AW2430" s="483"/>
      <c r="AX2430" s="483"/>
      <c r="AY2430" s="270"/>
      <c r="AZ2430" s="270"/>
      <c r="BA2430" s="270" t="str">
        <f>IF(Table1[[#This Row],[Data de Início]]="","",YEAR(Table1[[#This Row],[Data de Início]]))</f>
        <v/>
      </c>
      <c r="BB2430" s="270" t="str">
        <f>IF(Table1[[#This Row],[Data de Início]]="","",MONTH(Table1[[#This Row],[Data de Início]]))</f>
        <v/>
      </c>
      <c r="BC2430" s="270"/>
    </row>
    <row r="2431" spans="2:55" x14ac:dyDescent="0.25">
      <c r="B2431" s="470"/>
      <c r="C2431" s="263"/>
      <c r="D2431" s="477" cm="1">
        <f t="array" ref="D2431">IFERROR(HorasUteisFabrica2Turnos(B2431,C2431), "")</f>
        <v>0</v>
      </c>
      <c r="E2431" s="697" t="str">
        <f t="shared" si="38"/>
        <v/>
      </c>
      <c r="F2431" s="266"/>
      <c r="G2431" s="698"/>
      <c r="H2431" s="266"/>
      <c r="I2431" s="268"/>
      <c r="J2431" s="268"/>
      <c r="K2431" s="268"/>
      <c r="L2431" s="269"/>
      <c r="M2431" s="510" t="str">
        <f>IFERROR(INDEX([1]Produtos!$C:$C,MATCH(L2431,[1]Produtos!$B:$B,0)), "-")</f>
        <v>-</v>
      </c>
      <c r="N2431" s="510" t="str">
        <f>IFERROR(INDEX([1]Produtos!$E:$E,MATCH(L2431,[1]Produtos!$B:$B,0)), "-")</f>
        <v>-</v>
      </c>
      <c r="O2431" s="270" t="str">
        <f>IFERROR(INDEX([1]Produtos!$F:$F,MATCH(L2431,[1]Produtos!$B:$B,0)), "-")</f>
        <v>-</v>
      </c>
      <c r="P2431" s="264" t="str">
        <f>IFERROR(INDEX([1]Produtos!$G:$G,MATCH(L2431,[1]Produtos!$B:$B,0)), "-")</f>
        <v>-</v>
      </c>
      <c r="Q2431" s="270" t="str">
        <f>IFERROR(INDEX([1]Produtos!$H:$H,MATCH(L2431,[1]Produtos!$B:$B,0)), "-")</f>
        <v>-</v>
      </c>
      <c r="R2431" s="270" t="str">
        <f>IFERROR(INDEX([1]Produtos!$I:$I,MATCH(L2431,[1]Produtos!$B:$B,0)), "-")</f>
        <v>-</v>
      </c>
      <c r="S2431" s="270" t="str">
        <f>IFERROR(INDEX([1]Produtos!$J:$J,MATCH(L2431,[1]Produtos!$B:$B,0)), "-")</f>
        <v>-</v>
      </c>
      <c r="T2431" s="475"/>
      <c r="U2431" s="270"/>
      <c r="V2431" s="270"/>
      <c r="W2431" s="270"/>
      <c r="X2431" s="270"/>
      <c r="Y2431" s="270"/>
      <c r="Z2431" s="270"/>
      <c r="AA2431" s="270"/>
      <c r="AB2431" s="270"/>
      <c r="AC2431" s="270"/>
      <c r="AD2431" s="270"/>
      <c r="AE2431" s="270"/>
      <c r="AF2431" s="270"/>
      <c r="AG2431" s="270"/>
      <c r="AH2431" s="270"/>
      <c r="AI2431" s="270"/>
      <c r="AJ2431" s="270"/>
      <c r="AK2431" s="270"/>
      <c r="AL2431" s="270"/>
      <c r="AM2431" s="663"/>
      <c r="AN2431" s="663"/>
      <c r="AO2431" s="708" t="str">
        <f>IF(OR(Table1[[#This Row],[Início Setup Envase]]="",Table1[[#This Row],[Final Setup Envase]]=""),"",Table1[[#This Row],[Final Setup Envase]]-Table1[[#This Row],[Início Setup Envase]])</f>
        <v/>
      </c>
      <c r="AP2431" s="663"/>
      <c r="AQ2431" s="663"/>
      <c r="AR2431" s="270"/>
      <c r="AS2431" s="674"/>
      <c r="AT2431" s="674"/>
      <c r="AU2431" s="270"/>
      <c r="AV2431" s="270"/>
      <c r="AW2431" s="270"/>
      <c r="AX2431" s="270"/>
      <c r="AY2431" s="270"/>
      <c r="AZ2431" s="270"/>
      <c r="BA2431" s="270" t="str">
        <f>IF(Table1[[#This Row],[Data de Início]]="","",YEAR(Table1[[#This Row],[Data de Início]]))</f>
        <v/>
      </c>
      <c r="BB2431" s="270" t="str">
        <f>IF(Table1[[#This Row],[Data de Início]]="","",MONTH(Table1[[#This Row],[Data de Início]]))</f>
        <v/>
      </c>
      <c r="BC2431" s="483"/>
    </row>
    <row r="2432" spans="2:55" x14ac:dyDescent="0.25">
      <c r="B2432" s="470"/>
      <c r="C2432" s="263"/>
      <c r="D2432" s="477" cm="1">
        <f t="array" ref="D2432">IFERROR(HorasUteisFabrica2Turnos(B2432,C2432), "")</f>
        <v>0</v>
      </c>
      <c r="E2432" s="478" t="str">
        <f t="shared" si="38"/>
        <v/>
      </c>
      <c r="F2432" s="266"/>
      <c r="G2432" s="656"/>
      <c r="H2432" s="479"/>
      <c r="I2432" s="268"/>
      <c r="J2432" s="268"/>
      <c r="K2432" s="268"/>
      <c r="L2432" s="269"/>
      <c r="M2432" s="511" t="str">
        <f>IFERROR(INDEX([1]Produtos!$C:$C,MATCH(L2432,[1]Produtos!$B:$B,0)), "-")</f>
        <v>-</v>
      </c>
      <c r="N2432" s="511" t="str">
        <f>IFERROR(INDEX([1]Produtos!$E:$E,MATCH(L2432,[1]Produtos!$B:$B,0)), "-")</f>
        <v>-</v>
      </c>
      <c r="O2432" s="483" t="str">
        <f>IFERROR(INDEX([1]Produtos!$F:$F,MATCH(L2432,[1]Produtos!$B:$B,0)), "-")</f>
        <v>-</v>
      </c>
      <c r="P2432" s="477" t="str">
        <f>IFERROR(INDEX([1]Produtos!$G:$G,MATCH(L2432,[1]Produtos!$B:$B,0)), "-")</f>
        <v>-</v>
      </c>
      <c r="Q2432" s="483" t="str">
        <f>IFERROR(INDEX([1]Produtos!$H:$H,MATCH(L2432,[1]Produtos!$B:$B,0)), "-")</f>
        <v>-</v>
      </c>
      <c r="R2432" s="483" t="str">
        <f>IFERROR(INDEX([1]Produtos!$I:$I,MATCH(L2432,[1]Produtos!$B:$B,0)), "-")</f>
        <v>-</v>
      </c>
      <c r="S2432" s="483" t="str">
        <f>IFERROR(INDEX([1]Produtos!$J:$J,MATCH(L2432,[1]Produtos!$B:$B,0)), "-")</f>
        <v>-</v>
      </c>
      <c r="T2432" s="484"/>
      <c r="U2432" s="483"/>
      <c r="V2432" s="483"/>
      <c r="W2432" s="483"/>
      <c r="X2432" s="483"/>
      <c r="Y2432" s="483"/>
      <c r="Z2432" s="483"/>
      <c r="AA2432" s="483"/>
      <c r="AB2432" s="483"/>
      <c r="AC2432" s="483"/>
      <c r="AD2432" s="483"/>
      <c r="AE2432" s="483"/>
      <c r="AF2432" s="483"/>
      <c r="AG2432" s="483"/>
      <c r="AH2432" s="483"/>
      <c r="AI2432" s="483"/>
      <c r="AJ2432" s="483"/>
      <c r="AK2432" s="483"/>
      <c r="AL2432" s="483"/>
      <c r="AM2432" s="670"/>
      <c r="AN2432" s="670"/>
      <c r="AO2432" s="711" t="str">
        <f>IF(OR(Table1[[#This Row],[Início Setup Envase]]="",Table1[[#This Row],[Final Setup Envase]]=""),"",Table1[[#This Row],[Final Setup Envase]]-Table1[[#This Row],[Início Setup Envase]])</f>
        <v/>
      </c>
      <c r="AP2432" s="670"/>
      <c r="AQ2432" s="670"/>
      <c r="AR2432" s="483"/>
      <c r="AS2432" s="483"/>
      <c r="AT2432" s="483"/>
      <c r="AU2432" s="483"/>
      <c r="AV2432" s="483"/>
      <c r="AW2432" s="483"/>
      <c r="AX2432" s="483"/>
      <c r="AY2432" s="270"/>
      <c r="AZ2432" s="270"/>
      <c r="BA2432" s="270" t="str">
        <f>IF(Table1[[#This Row],[Data de Início]]="","",YEAR(Table1[[#This Row],[Data de Início]]))</f>
        <v/>
      </c>
      <c r="BB2432" s="270" t="str">
        <f>IF(Table1[[#This Row],[Data de Início]]="","",MONTH(Table1[[#This Row],[Data de Início]]))</f>
        <v/>
      </c>
      <c r="BC2432" s="270"/>
    </row>
    <row r="2433" spans="2:55" x14ac:dyDescent="0.25">
      <c r="B2433" s="470"/>
      <c r="C2433" s="263"/>
      <c r="D2433" s="477" cm="1">
        <f t="array" ref="D2433">IFERROR(HorasUteisFabrica2Turnos(B2433,C2433), "")</f>
        <v>0</v>
      </c>
      <c r="E2433" s="697" t="str">
        <f t="shared" si="38"/>
        <v/>
      </c>
      <c r="F2433" s="266"/>
      <c r="G2433" s="698"/>
      <c r="H2433" s="266"/>
      <c r="I2433" s="268"/>
      <c r="J2433" s="268"/>
      <c r="K2433" s="268"/>
      <c r="L2433" s="269"/>
      <c r="M2433" s="510" t="str">
        <f>IFERROR(INDEX([1]Produtos!$C:$C,MATCH(L2433,[1]Produtos!$B:$B,0)), "-")</f>
        <v>-</v>
      </c>
      <c r="N2433" s="510" t="str">
        <f>IFERROR(INDEX([1]Produtos!$E:$E,MATCH(L2433,[1]Produtos!$B:$B,0)), "-")</f>
        <v>-</v>
      </c>
      <c r="O2433" s="270" t="str">
        <f>IFERROR(INDEX([1]Produtos!$F:$F,MATCH(L2433,[1]Produtos!$B:$B,0)), "-")</f>
        <v>-</v>
      </c>
      <c r="P2433" s="264" t="str">
        <f>IFERROR(INDEX([1]Produtos!$G:$G,MATCH(L2433,[1]Produtos!$B:$B,0)), "-")</f>
        <v>-</v>
      </c>
      <c r="Q2433" s="270" t="str">
        <f>IFERROR(INDEX([1]Produtos!$H:$H,MATCH(L2433,[1]Produtos!$B:$B,0)), "-")</f>
        <v>-</v>
      </c>
      <c r="R2433" s="270" t="str">
        <f>IFERROR(INDEX([1]Produtos!$I:$I,MATCH(L2433,[1]Produtos!$B:$B,0)), "-")</f>
        <v>-</v>
      </c>
      <c r="S2433" s="270" t="str">
        <f>IFERROR(INDEX([1]Produtos!$J:$J,MATCH(L2433,[1]Produtos!$B:$B,0)), "-")</f>
        <v>-</v>
      </c>
      <c r="T2433" s="475"/>
      <c r="U2433" s="270"/>
      <c r="V2433" s="270"/>
      <c r="W2433" s="270"/>
      <c r="X2433" s="270"/>
      <c r="Y2433" s="270"/>
      <c r="Z2433" s="270"/>
      <c r="AA2433" s="270"/>
      <c r="AB2433" s="270"/>
      <c r="AC2433" s="270"/>
      <c r="AD2433" s="270"/>
      <c r="AE2433" s="270"/>
      <c r="AF2433" s="270"/>
      <c r="AG2433" s="270"/>
      <c r="AH2433" s="270"/>
      <c r="AI2433" s="270"/>
      <c r="AJ2433" s="270"/>
      <c r="AK2433" s="270"/>
      <c r="AL2433" s="270"/>
      <c r="AM2433" s="663"/>
      <c r="AN2433" s="663"/>
      <c r="AO2433" s="708" t="str">
        <f>IF(OR(Table1[[#This Row],[Início Setup Envase]]="",Table1[[#This Row],[Final Setup Envase]]=""),"",Table1[[#This Row],[Final Setup Envase]]-Table1[[#This Row],[Início Setup Envase]])</f>
        <v/>
      </c>
      <c r="AP2433" s="663"/>
      <c r="AQ2433" s="663"/>
      <c r="AR2433" s="270"/>
      <c r="AS2433" s="674"/>
      <c r="AT2433" s="674"/>
      <c r="AU2433" s="270"/>
      <c r="AV2433" s="270"/>
      <c r="AW2433" s="270"/>
      <c r="AX2433" s="270"/>
      <c r="AY2433" s="270"/>
      <c r="AZ2433" s="270"/>
      <c r="BA2433" s="270" t="str">
        <f>IF(Table1[[#This Row],[Data de Início]]="","",YEAR(Table1[[#This Row],[Data de Início]]))</f>
        <v/>
      </c>
      <c r="BB2433" s="270" t="str">
        <f>IF(Table1[[#This Row],[Data de Início]]="","",MONTH(Table1[[#This Row],[Data de Início]]))</f>
        <v/>
      </c>
      <c r="BC2433" s="483"/>
    </row>
    <row r="2434" spans="2:55" x14ac:dyDescent="0.25">
      <c r="B2434" s="470"/>
      <c r="C2434" s="263"/>
      <c r="D2434" s="477" cm="1">
        <f t="array" ref="D2434">IFERROR(HorasUteisFabrica2Turnos(B2434,C2434), "")</f>
        <v>0</v>
      </c>
      <c r="E2434" s="478" t="str">
        <f t="shared" si="38"/>
        <v/>
      </c>
      <c r="F2434" s="266"/>
      <c r="G2434" s="656"/>
      <c r="H2434" s="479"/>
      <c r="I2434" s="268"/>
      <c r="J2434" s="268"/>
      <c r="K2434" s="268"/>
      <c r="L2434" s="269"/>
      <c r="M2434" s="511" t="str">
        <f>IFERROR(INDEX([1]Produtos!$C:$C,MATCH(L2434,[1]Produtos!$B:$B,0)), "-")</f>
        <v>-</v>
      </c>
      <c r="N2434" s="511" t="str">
        <f>IFERROR(INDEX([1]Produtos!$E:$E,MATCH(L2434,[1]Produtos!$B:$B,0)), "-")</f>
        <v>-</v>
      </c>
      <c r="O2434" s="483" t="str">
        <f>IFERROR(INDEX([1]Produtos!$F:$F,MATCH(L2434,[1]Produtos!$B:$B,0)), "-")</f>
        <v>-</v>
      </c>
      <c r="P2434" s="477" t="str">
        <f>IFERROR(INDEX([1]Produtos!$G:$G,MATCH(L2434,[1]Produtos!$B:$B,0)), "-")</f>
        <v>-</v>
      </c>
      <c r="Q2434" s="483" t="str">
        <f>IFERROR(INDEX([1]Produtos!$H:$H,MATCH(L2434,[1]Produtos!$B:$B,0)), "-")</f>
        <v>-</v>
      </c>
      <c r="R2434" s="483" t="str">
        <f>IFERROR(INDEX([1]Produtos!$I:$I,MATCH(L2434,[1]Produtos!$B:$B,0)), "-")</f>
        <v>-</v>
      </c>
      <c r="S2434" s="483" t="str">
        <f>IFERROR(INDEX([1]Produtos!$J:$J,MATCH(L2434,[1]Produtos!$B:$B,0)), "-")</f>
        <v>-</v>
      </c>
      <c r="T2434" s="484"/>
      <c r="U2434" s="483"/>
      <c r="V2434" s="483"/>
      <c r="W2434" s="483"/>
      <c r="X2434" s="483"/>
      <c r="Y2434" s="483"/>
      <c r="Z2434" s="483"/>
      <c r="AA2434" s="483"/>
      <c r="AB2434" s="483"/>
      <c r="AC2434" s="483"/>
      <c r="AD2434" s="483"/>
      <c r="AE2434" s="483"/>
      <c r="AF2434" s="483"/>
      <c r="AG2434" s="483"/>
      <c r="AH2434" s="483"/>
      <c r="AI2434" s="483"/>
      <c r="AJ2434" s="483"/>
      <c r="AK2434" s="483"/>
      <c r="AL2434" s="483"/>
      <c r="AM2434" s="670"/>
      <c r="AN2434" s="670"/>
      <c r="AO2434" s="711" t="str">
        <f>IF(OR(Table1[[#This Row],[Início Setup Envase]]="",Table1[[#This Row],[Final Setup Envase]]=""),"",Table1[[#This Row],[Final Setup Envase]]-Table1[[#This Row],[Início Setup Envase]])</f>
        <v/>
      </c>
      <c r="AP2434" s="670"/>
      <c r="AQ2434" s="670"/>
      <c r="AR2434" s="483"/>
      <c r="AS2434" s="483"/>
      <c r="AT2434" s="483"/>
      <c r="AU2434" s="483"/>
      <c r="AV2434" s="483"/>
      <c r="AW2434" s="483"/>
      <c r="AX2434" s="483"/>
      <c r="AY2434" s="270"/>
      <c r="AZ2434" s="270"/>
      <c r="BA2434" s="270" t="str">
        <f>IF(Table1[[#This Row],[Data de Início]]="","",YEAR(Table1[[#This Row],[Data de Início]]))</f>
        <v/>
      </c>
      <c r="BB2434" s="270" t="str">
        <f>IF(Table1[[#This Row],[Data de Início]]="","",MONTH(Table1[[#This Row],[Data de Início]]))</f>
        <v/>
      </c>
      <c r="BC2434" s="270"/>
    </row>
    <row r="2435" spans="2:55" x14ac:dyDescent="0.25">
      <c r="B2435" s="470"/>
      <c r="C2435" s="263"/>
      <c r="D2435" s="477" cm="1">
        <f t="array" ref="D2435">IFERROR(HorasUteisFabrica2Turnos(B2435,C2435), "")</f>
        <v>0</v>
      </c>
      <c r="E2435" s="697" t="str">
        <f t="shared" si="38"/>
        <v/>
      </c>
      <c r="F2435" s="266"/>
      <c r="G2435" s="698"/>
      <c r="H2435" s="266"/>
      <c r="I2435" s="268"/>
      <c r="J2435" s="268"/>
      <c r="K2435" s="268"/>
      <c r="L2435" s="269"/>
      <c r="M2435" s="510" t="str">
        <f>IFERROR(INDEX([1]Produtos!$C:$C,MATCH(L2435,[1]Produtos!$B:$B,0)), "-")</f>
        <v>-</v>
      </c>
      <c r="N2435" s="510" t="str">
        <f>IFERROR(INDEX([1]Produtos!$E:$E,MATCH(L2435,[1]Produtos!$B:$B,0)), "-")</f>
        <v>-</v>
      </c>
      <c r="O2435" s="270" t="str">
        <f>IFERROR(INDEX([1]Produtos!$F:$F,MATCH(L2435,[1]Produtos!$B:$B,0)), "-")</f>
        <v>-</v>
      </c>
      <c r="P2435" s="264" t="str">
        <f>IFERROR(INDEX([1]Produtos!$G:$G,MATCH(L2435,[1]Produtos!$B:$B,0)), "-")</f>
        <v>-</v>
      </c>
      <c r="Q2435" s="270" t="str">
        <f>IFERROR(INDEX([1]Produtos!$H:$H,MATCH(L2435,[1]Produtos!$B:$B,0)), "-")</f>
        <v>-</v>
      </c>
      <c r="R2435" s="270" t="str">
        <f>IFERROR(INDEX([1]Produtos!$I:$I,MATCH(L2435,[1]Produtos!$B:$B,0)), "-")</f>
        <v>-</v>
      </c>
      <c r="S2435" s="270" t="str">
        <f>IFERROR(INDEX([1]Produtos!$J:$J,MATCH(L2435,[1]Produtos!$B:$B,0)), "-")</f>
        <v>-</v>
      </c>
      <c r="T2435" s="475"/>
      <c r="U2435" s="270"/>
      <c r="V2435" s="270"/>
      <c r="W2435" s="270"/>
      <c r="X2435" s="270"/>
      <c r="Y2435" s="270"/>
      <c r="Z2435" s="270"/>
      <c r="AA2435" s="270"/>
      <c r="AB2435" s="270"/>
      <c r="AC2435" s="270"/>
      <c r="AD2435" s="270"/>
      <c r="AE2435" s="270"/>
      <c r="AF2435" s="270"/>
      <c r="AG2435" s="270"/>
      <c r="AH2435" s="270"/>
      <c r="AI2435" s="270"/>
      <c r="AJ2435" s="270"/>
      <c r="AK2435" s="270"/>
      <c r="AL2435" s="270"/>
      <c r="AM2435" s="663"/>
      <c r="AN2435" s="663"/>
      <c r="AO2435" s="708" t="str">
        <f>IF(OR(Table1[[#This Row],[Início Setup Envase]]="",Table1[[#This Row],[Final Setup Envase]]=""),"",Table1[[#This Row],[Final Setup Envase]]-Table1[[#This Row],[Início Setup Envase]])</f>
        <v/>
      </c>
      <c r="AP2435" s="663"/>
      <c r="AQ2435" s="663"/>
      <c r="AR2435" s="270"/>
      <c r="AS2435" s="674"/>
      <c r="AT2435" s="674"/>
      <c r="AU2435" s="270"/>
      <c r="AV2435" s="270"/>
      <c r="AW2435" s="270"/>
      <c r="AX2435" s="270"/>
      <c r="AY2435" s="270"/>
      <c r="AZ2435" s="270"/>
      <c r="BA2435" s="270" t="str">
        <f>IF(Table1[[#This Row],[Data de Início]]="","",YEAR(Table1[[#This Row],[Data de Início]]))</f>
        <v/>
      </c>
      <c r="BB2435" s="270" t="str">
        <f>IF(Table1[[#This Row],[Data de Início]]="","",MONTH(Table1[[#This Row],[Data de Início]]))</f>
        <v/>
      </c>
      <c r="BC2435" s="483"/>
    </row>
    <row r="2436" spans="2:55" x14ac:dyDescent="0.25">
      <c r="B2436" s="470"/>
      <c r="C2436" s="263"/>
      <c r="D2436" s="477" cm="1">
        <f t="array" ref="D2436">IFERROR(HorasUteisFabrica2Turnos(B2436,C2436), "")</f>
        <v>0</v>
      </c>
      <c r="E2436" s="478" t="str">
        <f t="shared" si="38"/>
        <v/>
      </c>
      <c r="F2436" s="266"/>
      <c r="G2436" s="656"/>
      <c r="H2436" s="479"/>
      <c r="I2436" s="268"/>
      <c r="J2436" s="268"/>
      <c r="K2436" s="268"/>
      <c r="L2436" s="269"/>
      <c r="M2436" s="511" t="str">
        <f>IFERROR(INDEX([1]Produtos!$C:$C,MATCH(L2436,[1]Produtos!$B:$B,0)), "-")</f>
        <v>-</v>
      </c>
      <c r="N2436" s="511" t="str">
        <f>IFERROR(INDEX([1]Produtos!$E:$E,MATCH(L2436,[1]Produtos!$B:$B,0)), "-")</f>
        <v>-</v>
      </c>
      <c r="O2436" s="483" t="str">
        <f>IFERROR(INDEX([1]Produtos!$F:$F,MATCH(L2436,[1]Produtos!$B:$B,0)), "-")</f>
        <v>-</v>
      </c>
      <c r="P2436" s="477" t="str">
        <f>IFERROR(INDEX([1]Produtos!$G:$G,MATCH(L2436,[1]Produtos!$B:$B,0)), "-")</f>
        <v>-</v>
      </c>
      <c r="Q2436" s="483" t="str">
        <f>IFERROR(INDEX([1]Produtos!$H:$H,MATCH(L2436,[1]Produtos!$B:$B,0)), "-")</f>
        <v>-</v>
      </c>
      <c r="R2436" s="483" t="str">
        <f>IFERROR(INDEX([1]Produtos!$I:$I,MATCH(L2436,[1]Produtos!$B:$B,0)), "-")</f>
        <v>-</v>
      </c>
      <c r="S2436" s="483" t="str">
        <f>IFERROR(INDEX([1]Produtos!$J:$J,MATCH(L2436,[1]Produtos!$B:$B,0)), "-")</f>
        <v>-</v>
      </c>
      <c r="T2436" s="484"/>
      <c r="U2436" s="483"/>
      <c r="V2436" s="483"/>
      <c r="W2436" s="483"/>
      <c r="X2436" s="483"/>
      <c r="Y2436" s="483"/>
      <c r="Z2436" s="483"/>
      <c r="AA2436" s="483"/>
      <c r="AB2436" s="483"/>
      <c r="AC2436" s="483"/>
      <c r="AD2436" s="483"/>
      <c r="AE2436" s="483"/>
      <c r="AF2436" s="483"/>
      <c r="AG2436" s="483"/>
      <c r="AH2436" s="483"/>
      <c r="AI2436" s="483"/>
      <c r="AJ2436" s="483"/>
      <c r="AK2436" s="483"/>
      <c r="AL2436" s="483"/>
      <c r="AM2436" s="670"/>
      <c r="AN2436" s="670"/>
      <c r="AO2436" s="711" t="str">
        <f>IF(OR(Table1[[#This Row],[Início Setup Envase]]="",Table1[[#This Row],[Final Setup Envase]]=""),"",Table1[[#This Row],[Final Setup Envase]]-Table1[[#This Row],[Início Setup Envase]])</f>
        <v/>
      </c>
      <c r="AP2436" s="670"/>
      <c r="AQ2436" s="670"/>
      <c r="AR2436" s="483"/>
      <c r="AS2436" s="483"/>
      <c r="AT2436" s="483"/>
      <c r="AU2436" s="483"/>
      <c r="AV2436" s="483"/>
      <c r="AW2436" s="483"/>
      <c r="AX2436" s="483"/>
      <c r="AY2436" s="270"/>
      <c r="AZ2436" s="270"/>
      <c r="BA2436" s="270" t="str">
        <f>IF(Table1[[#This Row],[Data de Início]]="","",YEAR(Table1[[#This Row],[Data de Início]]))</f>
        <v/>
      </c>
      <c r="BB2436" s="270" t="str">
        <f>IF(Table1[[#This Row],[Data de Início]]="","",MONTH(Table1[[#This Row],[Data de Início]]))</f>
        <v/>
      </c>
      <c r="BC2436" s="270"/>
    </row>
    <row r="2437" spans="2:55" x14ac:dyDescent="0.25">
      <c r="B2437" s="470"/>
      <c r="C2437" s="263"/>
      <c r="D2437" s="477" cm="1">
        <f t="array" ref="D2437">IFERROR(HorasUteisFabrica2Turnos(B2437,C2437), "")</f>
        <v>0</v>
      </c>
      <c r="E2437" s="697" t="str">
        <f t="shared" si="38"/>
        <v/>
      </c>
      <c r="F2437" s="266"/>
      <c r="G2437" s="698"/>
      <c r="H2437" s="266"/>
      <c r="I2437" s="268"/>
      <c r="J2437" s="268"/>
      <c r="K2437" s="268"/>
      <c r="L2437" s="269"/>
      <c r="M2437" s="510" t="str">
        <f>IFERROR(INDEX([1]Produtos!$C:$C,MATCH(L2437,[1]Produtos!$B:$B,0)), "-")</f>
        <v>-</v>
      </c>
      <c r="N2437" s="510" t="str">
        <f>IFERROR(INDEX([1]Produtos!$E:$E,MATCH(L2437,[1]Produtos!$B:$B,0)), "-")</f>
        <v>-</v>
      </c>
      <c r="O2437" s="270" t="str">
        <f>IFERROR(INDEX([1]Produtos!$F:$F,MATCH(L2437,[1]Produtos!$B:$B,0)), "-")</f>
        <v>-</v>
      </c>
      <c r="P2437" s="264" t="str">
        <f>IFERROR(INDEX([1]Produtos!$G:$G,MATCH(L2437,[1]Produtos!$B:$B,0)), "-")</f>
        <v>-</v>
      </c>
      <c r="Q2437" s="270" t="str">
        <f>IFERROR(INDEX([1]Produtos!$H:$H,MATCH(L2437,[1]Produtos!$B:$B,0)), "-")</f>
        <v>-</v>
      </c>
      <c r="R2437" s="270" t="str">
        <f>IFERROR(INDEX([1]Produtos!$I:$I,MATCH(L2437,[1]Produtos!$B:$B,0)), "-")</f>
        <v>-</v>
      </c>
      <c r="S2437" s="270" t="str">
        <f>IFERROR(INDEX([1]Produtos!$J:$J,MATCH(L2437,[1]Produtos!$B:$B,0)), "-")</f>
        <v>-</v>
      </c>
      <c r="T2437" s="475"/>
      <c r="U2437" s="270"/>
      <c r="V2437" s="270"/>
      <c r="W2437" s="270"/>
      <c r="X2437" s="270"/>
      <c r="Y2437" s="270"/>
      <c r="Z2437" s="270"/>
      <c r="AA2437" s="270"/>
      <c r="AB2437" s="270"/>
      <c r="AC2437" s="270"/>
      <c r="AD2437" s="270"/>
      <c r="AE2437" s="270"/>
      <c r="AF2437" s="270"/>
      <c r="AG2437" s="270"/>
      <c r="AH2437" s="270"/>
      <c r="AI2437" s="270"/>
      <c r="AJ2437" s="270"/>
      <c r="AK2437" s="270"/>
      <c r="AL2437" s="270"/>
      <c r="AM2437" s="663"/>
      <c r="AN2437" s="663"/>
      <c r="AO2437" s="708" t="str">
        <f>IF(OR(Table1[[#This Row],[Início Setup Envase]]="",Table1[[#This Row],[Final Setup Envase]]=""),"",Table1[[#This Row],[Final Setup Envase]]-Table1[[#This Row],[Início Setup Envase]])</f>
        <v/>
      </c>
      <c r="AP2437" s="663"/>
      <c r="AQ2437" s="663"/>
      <c r="AR2437" s="270"/>
      <c r="AS2437" s="674"/>
      <c r="AT2437" s="674"/>
      <c r="AU2437" s="270"/>
      <c r="AV2437" s="270"/>
      <c r="AW2437" s="270"/>
      <c r="AX2437" s="270"/>
      <c r="AY2437" s="270"/>
      <c r="AZ2437" s="270"/>
      <c r="BA2437" s="270" t="str">
        <f>IF(Table1[[#This Row],[Data de Início]]="","",YEAR(Table1[[#This Row],[Data de Início]]))</f>
        <v/>
      </c>
      <c r="BB2437" s="270" t="str">
        <f>IF(Table1[[#This Row],[Data de Início]]="","",MONTH(Table1[[#This Row],[Data de Início]]))</f>
        <v/>
      </c>
      <c r="BC2437" s="483"/>
    </row>
    <row r="2438" spans="2:55" x14ac:dyDescent="0.25">
      <c r="B2438" s="470"/>
      <c r="C2438" s="263"/>
      <c r="D2438" s="477" cm="1">
        <f t="array" ref="D2438">IFERROR(HorasUteisFabrica2Turnos(B2438,C2438), "")</f>
        <v>0</v>
      </c>
      <c r="E2438" s="478" t="str">
        <f t="shared" si="38"/>
        <v/>
      </c>
      <c r="F2438" s="266"/>
      <c r="G2438" s="656"/>
      <c r="H2438" s="479"/>
      <c r="I2438" s="268"/>
      <c r="J2438" s="268"/>
      <c r="K2438" s="268"/>
      <c r="L2438" s="269"/>
      <c r="M2438" s="511" t="str">
        <f>IFERROR(INDEX([1]Produtos!$C:$C,MATCH(L2438,[1]Produtos!$B:$B,0)), "-")</f>
        <v>-</v>
      </c>
      <c r="N2438" s="511" t="str">
        <f>IFERROR(INDEX([1]Produtos!$E:$E,MATCH(L2438,[1]Produtos!$B:$B,0)), "-")</f>
        <v>-</v>
      </c>
      <c r="O2438" s="483" t="str">
        <f>IFERROR(INDEX([1]Produtos!$F:$F,MATCH(L2438,[1]Produtos!$B:$B,0)), "-")</f>
        <v>-</v>
      </c>
      <c r="P2438" s="477" t="str">
        <f>IFERROR(INDEX([1]Produtos!$G:$G,MATCH(L2438,[1]Produtos!$B:$B,0)), "-")</f>
        <v>-</v>
      </c>
      <c r="Q2438" s="483" t="str">
        <f>IFERROR(INDEX([1]Produtos!$H:$H,MATCH(L2438,[1]Produtos!$B:$B,0)), "-")</f>
        <v>-</v>
      </c>
      <c r="R2438" s="483" t="str">
        <f>IFERROR(INDEX([1]Produtos!$I:$I,MATCH(L2438,[1]Produtos!$B:$B,0)), "-")</f>
        <v>-</v>
      </c>
      <c r="S2438" s="483" t="str">
        <f>IFERROR(INDEX([1]Produtos!$J:$J,MATCH(L2438,[1]Produtos!$B:$B,0)), "-")</f>
        <v>-</v>
      </c>
      <c r="T2438" s="484"/>
      <c r="U2438" s="483"/>
      <c r="V2438" s="483"/>
      <c r="W2438" s="483"/>
      <c r="X2438" s="483"/>
      <c r="Y2438" s="483"/>
      <c r="Z2438" s="483"/>
      <c r="AA2438" s="483"/>
      <c r="AB2438" s="483"/>
      <c r="AC2438" s="483"/>
      <c r="AD2438" s="483"/>
      <c r="AE2438" s="483"/>
      <c r="AF2438" s="483"/>
      <c r="AG2438" s="483"/>
      <c r="AH2438" s="483"/>
      <c r="AI2438" s="483"/>
      <c r="AJ2438" s="483"/>
      <c r="AK2438" s="483"/>
      <c r="AL2438" s="483"/>
      <c r="AM2438" s="670"/>
      <c r="AN2438" s="670"/>
      <c r="AO2438" s="711" t="str">
        <f>IF(OR(Table1[[#This Row],[Início Setup Envase]]="",Table1[[#This Row],[Final Setup Envase]]=""),"",Table1[[#This Row],[Final Setup Envase]]-Table1[[#This Row],[Início Setup Envase]])</f>
        <v/>
      </c>
      <c r="AP2438" s="670"/>
      <c r="AQ2438" s="670"/>
      <c r="AR2438" s="483"/>
      <c r="AS2438" s="483"/>
      <c r="AT2438" s="483"/>
      <c r="AU2438" s="483"/>
      <c r="AV2438" s="483"/>
      <c r="AW2438" s="483"/>
      <c r="AX2438" s="483"/>
      <c r="AY2438" s="270"/>
      <c r="AZ2438" s="270"/>
      <c r="BA2438" s="270" t="str">
        <f>IF(Table1[[#This Row],[Data de Início]]="","",YEAR(Table1[[#This Row],[Data de Início]]))</f>
        <v/>
      </c>
      <c r="BB2438" s="270" t="str">
        <f>IF(Table1[[#This Row],[Data de Início]]="","",MONTH(Table1[[#This Row],[Data de Início]]))</f>
        <v/>
      </c>
      <c r="BC2438" s="270"/>
    </row>
    <row r="2439" spans="2:55" x14ac:dyDescent="0.25">
      <c r="B2439" s="470"/>
      <c r="C2439" s="263"/>
      <c r="D2439" s="477" cm="1">
        <f t="array" ref="D2439">IFERROR(HorasUteisFabrica2Turnos(B2439,C2439), "")</f>
        <v>0</v>
      </c>
      <c r="E2439" s="697" t="str">
        <f t="shared" si="38"/>
        <v/>
      </c>
      <c r="F2439" s="266"/>
      <c r="G2439" s="698"/>
      <c r="H2439" s="266"/>
      <c r="I2439" s="268"/>
      <c r="J2439" s="268"/>
      <c r="K2439" s="268"/>
      <c r="L2439" s="269"/>
      <c r="M2439" s="510" t="str">
        <f>IFERROR(INDEX([1]Produtos!$C:$C,MATCH(L2439,[1]Produtos!$B:$B,0)), "-")</f>
        <v>-</v>
      </c>
      <c r="N2439" s="510" t="str">
        <f>IFERROR(INDEX([1]Produtos!$E:$E,MATCH(L2439,[1]Produtos!$B:$B,0)), "-")</f>
        <v>-</v>
      </c>
      <c r="O2439" s="270" t="str">
        <f>IFERROR(INDEX([1]Produtos!$F:$F,MATCH(L2439,[1]Produtos!$B:$B,0)), "-")</f>
        <v>-</v>
      </c>
      <c r="P2439" s="264" t="str">
        <f>IFERROR(INDEX([1]Produtos!$G:$G,MATCH(L2439,[1]Produtos!$B:$B,0)), "-")</f>
        <v>-</v>
      </c>
      <c r="Q2439" s="270" t="str">
        <f>IFERROR(INDEX([1]Produtos!$H:$H,MATCH(L2439,[1]Produtos!$B:$B,0)), "-")</f>
        <v>-</v>
      </c>
      <c r="R2439" s="270" t="str">
        <f>IFERROR(INDEX([1]Produtos!$I:$I,MATCH(L2439,[1]Produtos!$B:$B,0)), "-")</f>
        <v>-</v>
      </c>
      <c r="S2439" s="270" t="str">
        <f>IFERROR(INDEX([1]Produtos!$J:$J,MATCH(L2439,[1]Produtos!$B:$B,0)), "-")</f>
        <v>-</v>
      </c>
      <c r="T2439" s="475"/>
      <c r="U2439" s="270"/>
      <c r="V2439" s="270"/>
      <c r="W2439" s="270"/>
      <c r="X2439" s="270"/>
      <c r="Y2439" s="270"/>
      <c r="Z2439" s="270"/>
      <c r="AA2439" s="270"/>
      <c r="AB2439" s="270"/>
      <c r="AC2439" s="270"/>
      <c r="AD2439" s="270"/>
      <c r="AE2439" s="270"/>
      <c r="AF2439" s="270"/>
      <c r="AG2439" s="270"/>
      <c r="AH2439" s="270"/>
      <c r="AI2439" s="270"/>
      <c r="AJ2439" s="270"/>
      <c r="AK2439" s="270"/>
      <c r="AL2439" s="270"/>
      <c r="AM2439" s="663"/>
      <c r="AN2439" s="663"/>
      <c r="AO2439" s="708" t="str">
        <f>IF(OR(Table1[[#This Row],[Início Setup Envase]]="",Table1[[#This Row],[Final Setup Envase]]=""),"",Table1[[#This Row],[Final Setup Envase]]-Table1[[#This Row],[Início Setup Envase]])</f>
        <v/>
      </c>
      <c r="AP2439" s="663"/>
      <c r="AQ2439" s="663"/>
      <c r="AR2439" s="270"/>
      <c r="AS2439" s="674"/>
      <c r="AT2439" s="674"/>
      <c r="AU2439" s="270"/>
      <c r="AV2439" s="270"/>
      <c r="AW2439" s="270"/>
      <c r="AX2439" s="270"/>
      <c r="AY2439" s="270"/>
      <c r="AZ2439" s="270"/>
      <c r="BA2439" s="270" t="str">
        <f>IF(Table1[[#This Row],[Data de Início]]="","",YEAR(Table1[[#This Row],[Data de Início]]))</f>
        <v/>
      </c>
      <c r="BB2439" s="270" t="str">
        <f>IF(Table1[[#This Row],[Data de Início]]="","",MONTH(Table1[[#This Row],[Data de Início]]))</f>
        <v/>
      </c>
      <c r="BC2439" s="483"/>
    </row>
    <row r="2440" spans="2:55" x14ac:dyDescent="0.25">
      <c r="B2440" s="470"/>
      <c r="C2440" s="263"/>
      <c r="D2440" s="477" cm="1">
        <f t="array" ref="D2440">IFERROR(HorasUteisFabrica2Turnos(B2440,C2440), "")</f>
        <v>0</v>
      </c>
      <c r="E2440" s="478" t="str">
        <f t="shared" si="38"/>
        <v/>
      </c>
      <c r="F2440" s="266"/>
      <c r="G2440" s="656"/>
      <c r="H2440" s="479"/>
      <c r="I2440" s="268"/>
      <c r="J2440" s="268"/>
      <c r="K2440" s="268"/>
      <c r="L2440" s="269"/>
      <c r="M2440" s="511" t="str">
        <f>IFERROR(INDEX([1]Produtos!$C:$C,MATCH(L2440,[1]Produtos!$B:$B,0)), "-")</f>
        <v>-</v>
      </c>
      <c r="N2440" s="511" t="str">
        <f>IFERROR(INDEX([1]Produtos!$E:$E,MATCH(L2440,[1]Produtos!$B:$B,0)), "-")</f>
        <v>-</v>
      </c>
      <c r="O2440" s="483" t="str">
        <f>IFERROR(INDEX([1]Produtos!$F:$F,MATCH(L2440,[1]Produtos!$B:$B,0)), "-")</f>
        <v>-</v>
      </c>
      <c r="P2440" s="477" t="str">
        <f>IFERROR(INDEX([1]Produtos!$G:$G,MATCH(L2440,[1]Produtos!$B:$B,0)), "-")</f>
        <v>-</v>
      </c>
      <c r="Q2440" s="483" t="str">
        <f>IFERROR(INDEX([1]Produtos!$H:$H,MATCH(L2440,[1]Produtos!$B:$B,0)), "-")</f>
        <v>-</v>
      </c>
      <c r="R2440" s="483" t="str">
        <f>IFERROR(INDEX([1]Produtos!$I:$I,MATCH(L2440,[1]Produtos!$B:$B,0)), "-")</f>
        <v>-</v>
      </c>
      <c r="S2440" s="483" t="str">
        <f>IFERROR(INDEX([1]Produtos!$J:$J,MATCH(L2440,[1]Produtos!$B:$B,0)), "-")</f>
        <v>-</v>
      </c>
      <c r="T2440" s="484"/>
      <c r="U2440" s="483"/>
      <c r="V2440" s="483"/>
      <c r="W2440" s="483"/>
      <c r="X2440" s="483"/>
      <c r="Y2440" s="483"/>
      <c r="Z2440" s="483"/>
      <c r="AA2440" s="483"/>
      <c r="AB2440" s="483"/>
      <c r="AC2440" s="483"/>
      <c r="AD2440" s="483"/>
      <c r="AE2440" s="483"/>
      <c r="AF2440" s="483"/>
      <c r="AG2440" s="483"/>
      <c r="AH2440" s="483"/>
      <c r="AI2440" s="483"/>
      <c r="AJ2440" s="483"/>
      <c r="AK2440" s="483"/>
      <c r="AL2440" s="483"/>
      <c r="AM2440" s="670"/>
      <c r="AN2440" s="670"/>
      <c r="AO2440" s="711" t="str">
        <f>IF(OR(Table1[[#This Row],[Início Setup Envase]]="",Table1[[#This Row],[Final Setup Envase]]=""),"",Table1[[#This Row],[Final Setup Envase]]-Table1[[#This Row],[Início Setup Envase]])</f>
        <v/>
      </c>
      <c r="AP2440" s="670"/>
      <c r="AQ2440" s="670"/>
      <c r="AR2440" s="483"/>
      <c r="AS2440" s="483"/>
      <c r="AT2440" s="483"/>
      <c r="AU2440" s="483"/>
      <c r="AV2440" s="483"/>
      <c r="AW2440" s="483"/>
      <c r="AX2440" s="483"/>
      <c r="AY2440" s="270"/>
      <c r="AZ2440" s="270"/>
      <c r="BA2440" s="270" t="str">
        <f>IF(Table1[[#This Row],[Data de Início]]="","",YEAR(Table1[[#This Row],[Data de Início]]))</f>
        <v/>
      </c>
      <c r="BB2440" s="270" t="str">
        <f>IF(Table1[[#This Row],[Data de Início]]="","",MONTH(Table1[[#This Row],[Data de Início]]))</f>
        <v/>
      </c>
      <c r="BC2440" s="270"/>
    </row>
    <row r="2441" spans="2:55" x14ac:dyDescent="0.25">
      <c r="B2441" s="470"/>
      <c r="C2441" s="263"/>
      <c r="D2441" s="477" cm="1">
        <f t="array" ref="D2441">IFERROR(HorasUteisFabrica2Turnos(B2441,C2441), "")</f>
        <v>0</v>
      </c>
      <c r="E2441" s="697" t="str">
        <f t="shared" si="38"/>
        <v/>
      </c>
      <c r="F2441" s="266"/>
      <c r="G2441" s="698"/>
      <c r="H2441" s="266"/>
      <c r="I2441" s="268"/>
      <c r="J2441" s="268"/>
      <c r="K2441" s="268"/>
      <c r="L2441" s="269"/>
      <c r="M2441" s="510" t="str">
        <f>IFERROR(INDEX([1]Produtos!$C:$C,MATCH(L2441,[1]Produtos!$B:$B,0)), "-")</f>
        <v>-</v>
      </c>
      <c r="N2441" s="510" t="str">
        <f>IFERROR(INDEX([1]Produtos!$E:$E,MATCH(L2441,[1]Produtos!$B:$B,0)), "-")</f>
        <v>-</v>
      </c>
      <c r="O2441" s="270" t="str">
        <f>IFERROR(INDEX([1]Produtos!$F:$F,MATCH(L2441,[1]Produtos!$B:$B,0)), "-")</f>
        <v>-</v>
      </c>
      <c r="P2441" s="264" t="str">
        <f>IFERROR(INDEX([1]Produtos!$G:$G,MATCH(L2441,[1]Produtos!$B:$B,0)), "-")</f>
        <v>-</v>
      </c>
      <c r="Q2441" s="270" t="str">
        <f>IFERROR(INDEX([1]Produtos!$H:$H,MATCH(L2441,[1]Produtos!$B:$B,0)), "-")</f>
        <v>-</v>
      </c>
      <c r="R2441" s="270" t="str">
        <f>IFERROR(INDEX([1]Produtos!$I:$I,MATCH(L2441,[1]Produtos!$B:$B,0)), "-")</f>
        <v>-</v>
      </c>
      <c r="S2441" s="270" t="str">
        <f>IFERROR(INDEX([1]Produtos!$J:$J,MATCH(L2441,[1]Produtos!$B:$B,0)), "-")</f>
        <v>-</v>
      </c>
      <c r="T2441" s="475"/>
      <c r="U2441" s="270"/>
      <c r="V2441" s="270"/>
      <c r="W2441" s="270"/>
      <c r="X2441" s="270"/>
      <c r="Y2441" s="270"/>
      <c r="Z2441" s="270"/>
      <c r="AA2441" s="270"/>
      <c r="AB2441" s="270"/>
      <c r="AC2441" s="270"/>
      <c r="AD2441" s="270"/>
      <c r="AE2441" s="270"/>
      <c r="AF2441" s="270"/>
      <c r="AG2441" s="270"/>
      <c r="AH2441" s="270"/>
      <c r="AI2441" s="270"/>
      <c r="AJ2441" s="270"/>
      <c r="AK2441" s="270"/>
      <c r="AL2441" s="270"/>
      <c r="AM2441" s="663"/>
      <c r="AN2441" s="663"/>
      <c r="AO2441" s="708" t="str">
        <f>IF(OR(Table1[[#This Row],[Início Setup Envase]]="",Table1[[#This Row],[Final Setup Envase]]=""),"",Table1[[#This Row],[Final Setup Envase]]-Table1[[#This Row],[Início Setup Envase]])</f>
        <v/>
      </c>
      <c r="AP2441" s="663"/>
      <c r="AQ2441" s="663"/>
      <c r="AR2441" s="270"/>
      <c r="AS2441" s="674"/>
      <c r="AT2441" s="674"/>
      <c r="AU2441" s="270"/>
      <c r="AV2441" s="270"/>
      <c r="AW2441" s="270"/>
      <c r="AX2441" s="270"/>
      <c r="AY2441" s="270"/>
      <c r="AZ2441" s="270"/>
      <c r="BA2441" s="270" t="str">
        <f>IF(Table1[[#This Row],[Data de Início]]="","",YEAR(Table1[[#This Row],[Data de Início]]))</f>
        <v/>
      </c>
      <c r="BB2441" s="270" t="str">
        <f>IF(Table1[[#This Row],[Data de Início]]="","",MONTH(Table1[[#This Row],[Data de Início]]))</f>
        <v/>
      </c>
      <c r="BC2441" s="483"/>
    </row>
    <row r="2442" spans="2:55" x14ac:dyDescent="0.25">
      <c r="B2442" s="470"/>
      <c r="C2442" s="263"/>
      <c r="D2442" s="477" cm="1">
        <f t="array" ref="D2442">IFERROR(HorasUteisFabrica2Turnos(B2442,C2442), "")</f>
        <v>0</v>
      </c>
      <c r="E2442" s="478" t="str">
        <f t="shared" si="38"/>
        <v/>
      </c>
      <c r="F2442" s="266"/>
      <c r="G2442" s="656"/>
      <c r="H2442" s="479"/>
      <c r="I2442" s="268"/>
      <c r="J2442" s="268"/>
      <c r="K2442" s="268"/>
      <c r="L2442" s="269"/>
      <c r="M2442" s="511" t="str">
        <f>IFERROR(INDEX([1]Produtos!$C:$C,MATCH(L2442,[1]Produtos!$B:$B,0)), "-")</f>
        <v>-</v>
      </c>
      <c r="N2442" s="511" t="str">
        <f>IFERROR(INDEX([1]Produtos!$E:$E,MATCH(L2442,[1]Produtos!$B:$B,0)), "-")</f>
        <v>-</v>
      </c>
      <c r="O2442" s="483" t="str">
        <f>IFERROR(INDEX([1]Produtos!$F:$F,MATCH(L2442,[1]Produtos!$B:$B,0)), "-")</f>
        <v>-</v>
      </c>
      <c r="P2442" s="477" t="str">
        <f>IFERROR(INDEX([1]Produtos!$G:$G,MATCH(L2442,[1]Produtos!$B:$B,0)), "-")</f>
        <v>-</v>
      </c>
      <c r="Q2442" s="483" t="str">
        <f>IFERROR(INDEX([1]Produtos!$H:$H,MATCH(L2442,[1]Produtos!$B:$B,0)), "-")</f>
        <v>-</v>
      </c>
      <c r="R2442" s="483" t="str">
        <f>IFERROR(INDEX([1]Produtos!$I:$I,MATCH(L2442,[1]Produtos!$B:$B,0)), "-")</f>
        <v>-</v>
      </c>
      <c r="S2442" s="483" t="str">
        <f>IFERROR(INDEX([1]Produtos!$J:$J,MATCH(L2442,[1]Produtos!$B:$B,0)), "-")</f>
        <v>-</v>
      </c>
      <c r="T2442" s="484"/>
      <c r="U2442" s="483"/>
      <c r="V2442" s="483"/>
      <c r="W2442" s="483"/>
      <c r="X2442" s="483"/>
      <c r="Y2442" s="483"/>
      <c r="Z2442" s="483"/>
      <c r="AA2442" s="483"/>
      <c r="AB2442" s="483"/>
      <c r="AC2442" s="483"/>
      <c r="AD2442" s="483"/>
      <c r="AE2442" s="483"/>
      <c r="AF2442" s="483"/>
      <c r="AG2442" s="483"/>
      <c r="AH2442" s="483"/>
      <c r="AI2442" s="483"/>
      <c r="AJ2442" s="483"/>
      <c r="AK2442" s="483"/>
      <c r="AL2442" s="483"/>
      <c r="AM2442" s="670"/>
      <c r="AN2442" s="670"/>
      <c r="AO2442" s="711" t="str">
        <f>IF(OR(Table1[[#This Row],[Início Setup Envase]]="",Table1[[#This Row],[Final Setup Envase]]=""),"",Table1[[#This Row],[Final Setup Envase]]-Table1[[#This Row],[Início Setup Envase]])</f>
        <v/>
      </c>
      <c r="AP2442" s="670"/>
      <c r="AQ2442" s="670"/>
      <c r="AR2442" s="483"/>
      <c r="AS2442" s="483"/>
      <c r="AT2442" s="483"/>
      <c r="AU2442" s="483"/>
      <c r="AV2442" s="483"/>
      <c r="AW2442" s="483"/>
      <c r="AX2442" s="483"/>
      <c r="AY2442" s="270"/>
      <c r="AZ2442" s="270"/>
      <c r="BA2442" s="270" t="str">
        <f>IF(Table1[[#This Row],[Data de Início]]="","",YEAR(Table1[[#This Row],[Data de Início]]))</f>
        <v/>
      </c>
      <c r="BB2442" s="270" t="str">
        <f>IF(Table1[[#This Row],[Data de Início]]="","",MONTH(Table1[[#This Row],[Data de Início]]))</f>
        <v/>
      </c>
      <c r="BC2442" s="270"/>
    </row>
    <row r="2443" spans="2:55" x14ac:dyDescent="0.25">
      <c r="B2443" s="470"/>
      <c r="C2443" s="263"/>
      <c r="D2443" s="477" cm="1">
        <f t="array" ref="D2443">IFERROR(HorasUteisFabrica2Turnos(B2443,C2443), "")</f>
        <v>0</v>
      </c>
      <c r="E2443" s="697" t="str">
        <f t="shared" si="38"/>
        <v/>
      </c>
      <c r="F2443" s="266"/>
      <c r="G2443" s="698"/>
      <c r="H2443" s="266"/>
      <c r="I2443" s="268"/>
      <c r="J2443" s="268"/>
      <c r="K2443" s="268"/>
      <c r="L2443" s="269"/>
      <c r="M2443" s="510" t="str">
        <f>IFERROR(INDEX([1]Produtos!$C:$C,MATCH(L2443,[1]Produtos!$B:$B,0)), "-")</f>
        <v>-</v>
      </c>
      <c r="N2443" s="510" t="str">
        <f>IFERROR(INDEX([1]Produtos!$E:$E,MATCH(L2443,[1]Produtos!$B:$B,0)), "-")</f>
        <v>-</v>
      </c>
      <c r="O2443" s="270" t="str">
        <f>IFERROR(INDEX([1]Produtos!$F:$F,MATCH(L2443,[1]Produtos!$B:$B,0)), "-")</f>
        <v>-</v>
      </c>
      <c r="P2443" s="264" t="str">
        <f>IFERROR(INDEX([1]Produtos!$G:$G,MATCH(L2443,[1]Produtos!$B:$B,0)), "-")</f>
        <v>-</v>
      </c>
      <c r="Q2443" s="270" t="str">
        <f>IFERROR(INDEX([1]Produtos!$H:$H,MATCH(L2443,[1]Produtos!$B:$B,0)), "-")</f>
        <v>-</v>
      </c>
      <c r="R2443" s="270" t="str">
        <f>IFERROR(INDEX([1]Produtos!$I:$I,MATCH(L2443,[1]Produtos!$B:$B,0)), "-")</f>
        <v>-</v>
      </c>
      <c r="S2443" s="270" t="str">
        <f>IFERROR(INDEX([1]Produtos!$J:$J,MATCH(L2443,[1]Produtos!$B:$B,0)), "-")</f>
        <v>-</v>
      </c>
      <c r="T2443" s="475"/>
      <c r="U2443" s="270"/>
      <c r="V2443" s="270"/>
      <c r="W2443" s="270"/>
      <c r="X2443" s="270"/>
      <c r="Y2443" s="270"/>
      <c r="Z2443" s="270"/>
      <c r="AA2443" s="270"/>
      <c r="AB2443" s="270"/>
      <c r="AC2443" s="270"/>
      <c r="AD2443" s="270"/>
      <c r="AE2443" s="270"/>
      <c r="AF2443" s="270"/>
      <c r="AG2443" s="270"/>
      <c r="AH2443" s="270"/>
      <c r="AI2443" s="270"/>
      <c r="AJ2443" s="270"/>
      <c r="AK2443" s="270"/>
      <c r="AL2443" s="270"/>
      <c r="AM2443" s="663"/>
      <c r="AN2443" s="663"/>
      <c r="AO2443" s="708" t="str">
        <f>IF(OR(Table1[[#This Row],[Início Setup Envase]]="",Table1[[#This Row],[Final Setup Envase]]=""),"",Table1[[#This Row],[Final Setup Envase]]-Table1[[#This Row],[Início Setup Envase]])</f>
        <v/>
      </c>
      <c r="AP2443" s="663"/>
      <c r="AQ2443" s="663"/>
      <c r="AR2443" s="270"/>
      <c r="AS2443" s="674"/>
      <c r="AT2443" s="674"/>
      <c r="AU2443" s="270"/>
      <c r="AV2443" s="270"/>
      <c r="AW2443" s="270"/>
      <c r="AX2443" s="270"/>
      <c r="AY2443" s="270"/>
      <c r="AZ2443" s="270"/>
      <c r="BA2443" s="270" t="str">
        <f>IF(Table1[[#This Row],[Data de Início]]="","",YEAR(Table1[[#This Row],[Data de Início]]))</f>
        <v/>
      </c>
      <c r="BB2443" s="270" t="str">
        <f>IF(Table1[[#This Row],[Data de Início]]="","",MONTH(Table1[[#This Row],[Data de Início]]))</f>
        <v/>
      </c>
      <c r="BC2443" s="483"/>
    </row>
    <row r="2444" spans="2:55" x14ac:dyDescent="0.25">
      <c r="B2444" s="470"/>
      <c r="C2444" s="263"/>
      <c r="D2444" s="477" cm="1">
        <f t="array" ref="D2444">IFERROR(HorasUteisFabrica2Turnos(B2444,C2444), "")</f>
        <v>0</v>
      </c>
      <c r="E2444" s="478" t="str">
        <f t="shared" si="38"/>
        <v/>
      </c>
      <c r="F2444" s="266"/>
      <c r="G2444" s="656"/>
      <c r="H2444" s="479"/>
      <c r="I2444" s="268"/>
      <c r="J2444" s="268"/>
      <c r="K2444" s="268"/>
      <c r="L2444" s="269"/>
      <c r="M2444" s="511" t="str">
        <f>IFERROR(INDEX([1]Produtos!$C:$C,MATCH(L2444,[1]Produtos!$B:$B,0)), "-")</f>
        <v>-</v>
      </c>
      <c r="N2444" s="511" t="str">
        <f>IFERROR(INDEX([1]Produtos!$E:$E,MATCH(L2444,[1]Produtos!$B:$B,0)), "-")</f>
        <v>-</v>
      </c>
      <c r="O2444" s="483" t="str">
        <f>IFERROR(INDEX([1]Produtos!$F:$F,MATCH(L2444,[1]Produtos!$B:$B,0)), "-")</f>
        <v>-</v>
      </c>
      <c r="P2444" s="477" t="str">
        <f>IFERROR(INDEX([1]Produtos!$G:$G,MATCH(L2444,[1]Produtos!$B:$B,0)), "-")</f>
        <v>-</v>
      </c>
      <c r="Q2444" s="483" t="str">
        <f>IFERROR(INDEX([1]Produtos!$H:$H,MATCH(L2444,[1]Produtos!$B:$B,0)), "-")</f>
        <v>-</v>
      </c>
      <c r="R2444" s="483" t="str">
        <f>IFERROR(INDEX([1]Produtos!$I:$I,MATCH(L2444,[1]Produtos!$B:$B,0)), "-")</f>
        <v>-</v>
      </c>
      <c r="S2444" s="483" t="str">
        <f>IFERROR(INDEX([1]Produtos!$J:$J,MATCH(L2444,[1]Produtos!$B:$B,0)), "-")</f>
        <v>-</v>
      </c>
      <c r="T2444" s="484"/>
      <c r="U2444" s="483"/>
      <c r="V2444" s="483"/>
      <c r="W2444" s="483"/>
      <c r="X2444" s="483"/>
      <c r="Y2444" s="483"/>
      <c r="Z2444" s="483"/>
      <c r="AA2444" s="483"/>
      <c r="AB2444" s="483"/>
      <c r="AC2444" s="483"/>
      <c r="AD2444" s="483"/>
      <c r="AE2444" s="483"/>
      <c r="AF2444" s="483"/>
      <c r="AG2444" s="483"/>
      <c r="AH2444" s="483"/>
      <c r="AI2444" s="483"/>
      <c r="AJ2444" s="483"/>
      <c r="AK2444" s="483"/>
      <c r="AL2444" s="483"/>
      <c r="AM2444" s="670"/>
      <c r="AN2444" s="670"/>
      <c r="AO2444" s="711" t="str">
        <f>IF(OR(Table1[[#This Row],[Início Setup Envase]]="",Table1[[#This Row],[Final Setup Envase]]=""),"",Table1[[#This Row],[Final Setup Envase]]-Table1[[#This Row],[Início Setup Envase]])</f>
        <v/>
      </c>
      <c r="AP2444" s="670"/>
      <c r="AQ2444" s="670"/>
      <c r="AR2444" s="483"/>
      <c r="AS2444" s="483"/>
      <c r="AT2444" s="483"/>
      <c r="AU2444" s="483"/>
      <c r="AV2444" s="483"/>
      <c r="AW2444" s="483"/>
      <c r="AX2444" s="483"/>
      <c r="AY2444" s="270"/>
      <c r="AZ2444" s="270"/>
      <c r="BA2444" s="270" t="str">
        <f>IF(Table1[[#This Row],[Data de Início]]="","",YEAR(Table1[[#This Row],[Data de Início]]))</f>
        <v/>
      </c>
      <c r="BB2444" s="270" t="str">
        <f>IF(Table1[[#This Row],[Data de Início]]="","",MONTH(Table1[[#This Row],[Data de Início]]))</f>
        <v/>
      </c>
      <c r="BC2444" s="270"/>
    </row>
    <row r="2445" spans="2:55" x14ac:dyDescent="0.25">
      <c r="B2445" s="470"/>
      <c r="C2445" s="263"/>
      <c r="D2445" s="477" cm="1">
        <f t="array" ref="D2445">IFERROR(HorasUteisFabrica2Turnos(B2445,C2445), "")</f>
        <v>0</v>
      </c>
      <c r="E2445" s="697" t="str">
        <f t="shared" si="38"/>
        <v/>
      </c>
      <c r="F2445" s="266"/>
      <c r="G2445" s="698"/>
      <c r="H2445" s="266"/>
      <c r="I2445" s="268"/>
      <c r="J2445" s="268"/>
      <c r="K2445" s="268"/>
      <c r="L2445" s="269"/>
      <c r="M2445" s="510" t="str">
        <f>IFERROR(INDEX([1]Produtos!$C:$C,MATCH(L2445,[1]Produtos!$B:$B,0)), "-")</f>
        <v>-</v>
      </c>
      <c r="N2445" s="510" t="str">
        <f>IFERROR(INDEX([1]Produtos!$E:$E,MATCH(L2445,[1]Produtos!$B:$B,0)), "-")</f>
        <v>-</v>
      </c>
      <c r="O2445" s="270" t="str">
        <f>IFERROR(INDEX([1]Produtos!$F:$F,MATCH(L2445,[1]Produtos!$B:$B,0)), "-")</f>
        <v>-</v>
      </c>
      <c r="P2445" s="264" t="str">
        <f>IFERROR(INDEX([1]Produtos!$G:$G,MATCH(L2445,[1]Produtos!$B:$B,0)), "-")</f>
        <v>-</v>
      </c>
      <c r="Q2445" s="270" t="str">
        <f>IFERROR(INDEX([1]Produtos!$H:$H,MATCH(L2445,[1]Produtos!$B:$B,0)), "-")</f>
        <v>-</v>
      </c>
      <c r="R2445" s="270" t="str">
        <f>IFERROR(INDEX([1]Produtos!$I:$I,MATCH(L2445,[1]Produtos!$B:$B,0)), "-")</f>
        <v>-</v>
      </c>
      <c r="S2445" s="270" t="str">
        <f>IFERROR(INDEX([1]Produtos!$J:$J,MATCH(L2445,[1]Produtos!$B:$B,0)), "-")</f>
        <v>-</v>
      </c>
      <c r="T2445" s="475"/>
      <c r="U2445" s="270"/>
      <c r="V2445" s="270"/>
      <c r="W2445" s="270"/>
      <c r="X2445" s="270"/>
      <c r="Y2445" s="270"/>
      <c r="Z2445" s="270"/>
      <c r="AA2445" s="270"/>
      <c r="AB2445" s="270"/>
      <c r="AC2445" s="270"/>
      <c r="AD2445" s="270"/>
      <c r="AE2445" s="270"/>
      <c r="AF2445" s="270"/>
      <c r="AG2445" s="270"/>
      <c r="AH2445" s="270"/>
      <c r="AI2445" s="270"/>
      <c r="AJ2445" s="270"/>
      <c r="AK2445" s="270"/>
      <c r="AL2445" s="270"/>
      <c r="AM2445" s="663"/>
      <c r="AN2445" s="663"/>
      <c r="AO2445" s="708" t="str">
        <f>IF(OR(Table1[[#This Row],[Início Setup Envase]]="",Table1[[#This Row],[Final Setup Envase]]=""),"",Table1[[#This Row],[Final Setup Envase]]-Table1[[#This Row],[Início Setup Envase]])</f>
        <v/>
      </c>
      <c r="AP2445" s="663"/>
      <c r="AQ2445" s="663"/>
      <c r="AR2445" s="270"/>
      <c r="AS2445" s="674"/>
      <c r="AT2445" s="674"/>
      <c r="AU2445" s="270"/>
      <c r="AV2445" s="270"/>
      <c r="AW2445" s="270"/>
      <c r="AX2445" s="270"/>
      <c r="AY2445" s="270"/>
      <c r="AZ2445" s="270"/>
      <c r="BA2445" s="270" t="str">
        <f>IF(Table1[[#This Row],[Data de Início]]="","",YEAR(Table1[[#This Row],[Data de Início]]))</f>
        <v/>
      </c>
      <c r="BB2445" s="270" t="str">
        <f>IF(Table1[[#This Row],[Data de Início]]="","",MONTH(Table1[[#This Row],[Data de Início]]))</f>
        <v/>
      </c>
      <c r="BC2445" s="483"/>
    </row>
    <row r="2446" spans="2:55" x14ac:dyDescent="0.25">
      <c r="B2446" s="470"/>
      <c r="C2446" s="263"/>
      <c r="D2446" s="477" cm="1">
        <f t="array" ref="D2446">IFERROR(HorasUteisFabrica2Turnos(B2446,C2446), "")</f>
        <v>0</v>
      </c>
      <c r="E2446" s="478" t="str">
        <f t="shared" si="38"/>
        <v/>
      </c>
      <c r="F2446" s="266"/>
      <c r="G2446" s="656"/>
      <c r="H2446" s="479"/>
      <c r="I2446" s="268"/>
      <c r="J2446" s="268"/>
      <c r="K2446" s="268"/>
      <c r="L2446" s="269"/>
      <c r="M2446" s="511" t="str">
        <f>IFERROR(INDEX([1]Produtos!$C:$C,MATCH(L2446,[1]Produtos!$B:$B,0)), "-")</f>
        <v>-</v>
      </c>
      <c r="N2446" s="511" t="str">
        <f>IFERROR(INDEX([1]Produtos!$E:$E,MATCH(L2446,[1]Produtos!$B:$B,0)), "-")</f>
        <v>-</v>
      </c>
      <c r="O2446" s="483" t="str">
        <f>IFERROR(INDEX([1]Produtos!$F:$F,MATCH(L2446,[1]Produtos!$B:$B,0)), "-")</f>
        <v>-</v>
      </c>
      <c r="P2446" s="477" t="str">
        <f>IFERROR(INDEX([1]Produtos!$G:$G,MATCH(L2446,[1]Produtos!$B:$B,0)), "-")</f>
        <v>-</v>
      </c>
      <c r="Q2446" s="483" t="str">
        <f>IFERROR(INDEX([1]Produtos!$H:$H,MATCH(L2446,[1]Produtos!$B:$B,0)), "-")</f>
        <v>-</v>
      </c>
      <c r="R2446" s="483" t="str">
        <f>IFERROR(INDEX([1]Produtos!$I:$I,MATCH(L2446,[1]Produtos!$B:$B,0)), "-")</f>
        <v>-</v>
      </c>
      <c r="S2446" s="483" t="str">
        <f>IFERROR(INDEX([1]Produtos!$J:$J,MATCH(L2446,[1]Produtos!$B:$B,0)), "-")</f>
        <v>-</v>
      </c>
      <c r="T2446" s="484"/>
      <c r="U2446" s="483"/>
      <c r="V2446" s="483"/>
      <c r="W2446" s="483"/>
      <c r="X2446" s="483"/>
      <c r="Y2446" s="483"/>
      <c r="Z2446" s="483"/>
      <c r="AA2446" s="483"/>
      <c r="AB2446" s="483"/>
      <c r="AC2446" s="483"/>
      <c r="AD2446" s="483"/>
      <c r="AE2446" s="483"/>
      <c r="AF2446" s="483"/>
      <c r="AG2446" s="483"/>
      <c r="AH2446" s="483"/>
      <c r="AI2446" s="483"/>
      <c r="AJ2446" s="483"/>
      <c r="AK2446" s="483"/>
      <c r="AL2446" s="483"/>
      <c r="AM2446" s="670"/>
      <c r="AN2446" s="670"/>
      <c r="AO2446" s="711" t="str">
        <f>IF(OR(Table1[[#This Row],[Início Setup Envase]]="",Table1[[#This Row],[Final Setup Envase]]=""),"",Table1[[#This Row],[Final Setup Envase]]-Table1[[#This Row],[Início Setup Envase]])</f>
        <v/>
      </c>
      <c r="AP2446" s="670"/>
      <c r="AQ2446" s="670"/>
      <c r="AR2446" s="483"/>
      <c r="AS2446" s="483"/>
      <c r="AT2446" s="483"/>
      <c r="AU2446" s="483"/>
      <c r="AV2446" s="483"/>
      <c r="AW2446" s="483"/>
      <c r="AX2446" s="483"/>
      <c r="AY2446" s="270"/>
      <c r="AZ2446" s="270"/>
      <c r="BA2446" s="270" t="str">
        <f>IF(Table1[[#This Row],[Data de Início]]="","",YEAR(Table1[[#This Row],[Data de Início]]))</f>
        <v/>
      </c>
      <c r="BB2446" s="270" t="str">
        <f>IF(Table1[[#This Row],[Data de Início]]="","",MONTH(Table1[[#This Row],[Data de Início]]))</f>
        <v/>
      </c>
      <c r="BC2446" s="270"/>
    </row>
    <row r="2447" spans="2:55" x14ac:dyDescent="0.25">
      <c r="B2447" s="470"/>
      <c r="C2447" s="263"/>
      <c r="D2447" s="477" cm="1">
        <f t="array" ref="D2447">IFERROR(HorasUteisFabrica2Turnos(B2447,C2447), "")</f>
        <v>0</v>
      </c>
      <c r="E2447" s="697" t="str">
        <f t="shared" si="38"/>
        <v/>
      </c>
      <c r="F2447" s="266"/>
      <c r="G2447" s="698"/>
      <c r="H2447" s="266"/>
      <c r="I2447" s="268"/>
      <c r="J2447" s="268"/>
      <c r="K2447" s="268"/>
      <c r="L2447" s="269"/>
      <c r="M2447" s="510" t="str">
        <f>IFERROR(INDEX([1]Produtos!$C:$C,MATCH(L2447,[1]Produtos!$B:$B,0)), "-")</f>
        <v>-</v>
      </c>
      <c r="N2447" s="510" t="str">
        <f>IFERROR(INDEX([1]Produtos!$E:$E,MATCH(L2447,[1]Produtos!$B:$B,0)), "-")</f>
        <v>-</v>
      </c>
      <c r="O2447" s="270" t="str">
        <f>IFERROR(INDEX([1]Produtos!$F:$F,MATCH(L2447,[1]Produtos!$B:$B,0)), "-")</f>
        <v>-</v>
      </c>
      <c r="P2447" s="264" t="str">
        <f>IFERROR(INDEX([1]Produtos!$G:$G,MATCH(L2447,[1]Produtos!$B:$B,0)), "-")</f>
        <v>-</v>
      </c>
      <c r="Q2447" s="270" t="str">
        <f>IFERROR(INDEX([1]Produtos!$H:$H,MATCH(L2447,[1]Produtos!$B:$B,0)), "-")</f>
        <v>-</v>
      </c>
      <c r="R2447" s="270" t="str">
        <f>IFERROR(INDEX([1]Produtos!$I:$I,MATCH(L2447,[1]Produtos!$B:$B,0)), "-")</f>
        <v>-</v>
      </c>
      <c r="S2447" s="270" t="str">
        <f>IFERROR(INDEX([1]Produtos!$J:$J,MATCH(L2447,[1]Produtos!$B:$B,0)), "-")</f>
        <v>-</v>
      </c>
      <c r="T2447" s="475"/>
      <c r="U2447" s="270"/>
      <c r="V2447" s="270"/>
      <c r="W2447" s="270"/>
      <c r="X2447" s="270"/>
      <c r="Y2447" s="270"/>
      <c r="Z2447" s="270"/>
      <c r="AA2447" s="270"/>
      <c r="AB2447" s="270"/>
      <c r="AC2447" s="270"/>
      <c r="AD2447" s="270"/>
      <c r="AE2447" s="270"/>
      <c r="AF2447" s="270"/>
      <c r="AG2447" s="270"/>
      <c r="AH2447" s="270"/>
      <c r="AI2447" s="270"/>
      <c r="AJ2447" s="270"/>
      <c r="AK2447" s="270"/>
      <c r="AL2447" s="270"/>
      <c r="AM2447" s="663"/>
      <c r="AN2447" s="663"/>
      <c r="AO2447" s="708" t="str">
        <f>IF(OR(Table1[[#This Row],[Início Setup Envase]]="",Table1[[#This Row],[Final Setup Envase]]=""),"",Table1[[#This Row],[Final Setup Envase]]-Table1[[#This Row],[Início Setup Envase]])</f>
        <v/>
      </c>
      <c r="AP2447" s="663"/>
      <c r="AQ2447" s="663"/>
      <c r="AR2447" s="270"/>
      <c r="AS2447" s="674"/>
      <c r="AT2447" s="674"/>
      <c r="AU2447" s="270"/>
      <c r="AV2447" s="270"/>
      <c r="AW2447" s="270"/>
      <c r="AX2447" s="270"/>
      <c r="AY2447" s="270"/>
      <c r="AZ2447" s="270"/>
      <c r="BA2447" s="270" t="str">
        <f>IF(Table1[[#This Row],[Data de Início]]="","",YEAR(Table1[[#This Row],[Data de Início]]))</f>
        <v/>
      </c>
      <c r="BB2447" s="270" t="str">
        <f>IF(Table1[[#This Row],[Data de Início]]="","",MONTH(Table1[[#This Row],[Data de Início]]))</f>
        <v/>
      </c>
      <c r="BC2447" s="483"/>
    </row>
    <row r="2448" spans="2:55" x14ac:dyDescent="0.25">
      <c r="B2448" s="470"/>
      <c r="C2448" s="263"/>
      <c r="D2448" s="477" cm="1">
        <f t="array" ref="D2448">IFERROR(HorasUteisFabrica2Turnos(B2448,C2448), "")</f>
        <v>0</v>
      </c>
      <c r="E2448" s="478" t="str">
        <f t="shared" si="38"/>
        <v/>
      </c>
      <c r="F2448" s="266"/>
      <c r="G2448" s="656"/>
      <c r="H2448" s="479"/>
      <c r="I2448" s="268"/>
      <c r="J2448" s="268"/>
      <c r="K2448" s="268"/>
      <c r="L2448" s="269"/>
      <c r="M2448" s="511" t="str">
        <f>IFERROR(INDEX([1]Produtos!$C:$C,MATCH(L2448,[1]Produtos!$B:$B,0)), "-")</f>
        <v>-</v>
      </c>
      <c r="N2448" s="511" t="str">
        <f>IFERROR(INDEX([1]Produtos!$E:$E,MATCH(L2448,[1]Produtos!$B:$B,0)), "-")</f>
        <v>-</v>
      </c>
      <c r="O2448" s="483" t="str">
        <f>IFERROR(INDEX([1]Produtos!$F:$F,MATCH(L2448,[1]Produtos!$B:$B,0)), "-")</f>
        <v>-</v>
      </c>
      <c r="P2448" s="477" t="str">
        <f>IFERROR(INDEX([1]Produtos!$G:$G,MATCH(L2448,[1]Produtos!$B:$B,0)), "-")</f>
        <v>-</v>
      </c>
      <c r="Q2448" s="483" t="str">
        <f>IFERROR(INDEX([1]Produtos!$H:$H,MATCH(L2448,[1]Produtos!$B:$B,0)), "-")</f>
        <v>-</v>
      </c>
      <c r="R2448" s="483" t="str">
        <f>IFERROR(INDEX([1]Produtos!$I:$I,MATCH(L2448,[1]Produtos!$B:$B,0)), "-")</f>
        <v>-</v>
      </c>
      <c r="S2448" s="483" t="str">
        <f>IFERROR(INDEX([1]Produtos!$J:$J,MATCH(L2448,[1]Produtos!$B:$B,0)), "-")</f>
        <v>-</v>
      </c>
      <c r="T2448" s="484"/>
      <c r="U2448" s="483"/>
      <c r="V2448" s="483"/>
      <c r="W2448" s="483"/>
      <c r="X2448" s="483"/>
      <c r="Y2448" s="483"/>
      <c r="Z2448" s="483"/>
      <c r="AA2448" s="483"/>
      <c r="AB2448" s="483"/>
      <c r="AC2448" s="483"/>
      <c r="AD2448" s="483"/>
      <c r="AE2448" s="483"/>
      <c r="AF2448" s="483"/>
      <c r="AG2448" s="483"/>
      <c r="AH2448" s="483"/>
      <c r="AI2448" s="483"/>
      <c r="AJ2448" s="483"/>
      <c r="AK2448" s="483"/>
      <c r="AL2448" s="483"/>
      <c r="AM2448" s="670"/>
      <c r="AN2448" s="670"/>
      <c r="AO2448" s="711" t="str">
        <f>IF(OR(Table1[[#This Row],[Início Setup Envase]]="",Table1[[#This Row],[Final Setup Envase]]=""),"",Table1[[#This Row],[Final Setup Envase]]-Table1[[#This Row],[Início Setup Envase]])</f>
        <v/>
      </c>
      <c r="AP2448" s="670"/>
      <c r="AQ2448" s="670"/>
      <c r="AR2448" s="483"/>
      <c r="AS2448" s="483"/>
      <c r="AT2448" s="483"/>
      <c r="AU2448" s="483"/>
      <c r="AV2448" s="483"/>
      <c r="AW2448" s="483"/>
      <c r="AX2448" s="483"/>
      <c r="AY2448" s="270"/>
      <c r="AZ2448" s="270"/>
      <c r="BA2448" s="270" t="str">
        <f>IF(Table1[[#This Row],[Data de Início]]="","",YEAR(Table1[[#This Row],[Data de Início]]))</f>
        <v/>
      </c>
      <c r="BB2448" s="270" t="str">
        <f>IF(Table1[[#This Row],[Data de Início]]="","",MONTH(Table1[[#This Row],[Data de Início]]))</f>
        <v/>
      </c>
      <c r="BC2448" s="270"/>
    </row>
    <row r="2449" spans="2:55" x14ac:dyDescent="0.25">
      <c r="B2449" s="470"/>
      <c r="C2449" s="263"/>
      <c r="D2449" s="477" cm="1">
        <f t="array" ref="D2449">IFERROR(HorasUteisFabrica2Turnos(B2449,C2449), "")</f>
        <v>0</v>
      </c>
      <c r="E2449" s="697" t="str">
        <f t="shared" si="38"/>
        <v/>
      </c>
      <c r="F2449" s="266"/>
      <c r="G2449" s="698"/>
      <c r="H2449" s="266"/>
      <c r="I2449" s="268"/>
      <c r="J2449" s="268"/>
      <c r="K2449" s="268"/>
      <c r="L2449" s="269"/>
      <c r="M2449" s="510" t="str">
        <f>IFERROR(INDEX([1]Produtos!$C:$C,MATCH(L2449,[1]Produtos!$B:$B,0)), "-")</f>
        <v>-</v>
      </c>
      <c r="N2449" s="510" t="str">
        <f>IFERROR(INDEX([1]Produtos!$E:$E,MATCH(L2449,[1]Produtos!$B:$B,0)), "-")</f>
        <v>-</v>
      </c>
      <c r="O2449" s="270" t="str">
        <f>IFERROR(INDEX([1]Produtos!$F:$F,MATCH(L2449,[1]Produtos!$B:$B,0)), "-")</f>
        <v>-</v>
      </c>
      <c r="P2449" s="264" t="str">
        <f>IFERROR(INDEX([1]Produtos!$G:$G,MATCH(L2449,[1]Produtos!$B:$B,0)), "-")</f>
        <v>-</v>
      </c>
      <c r="Q2449" s="270" t="str">
        <f>IFERROR(INDEX([1]Produtos!$H:$H,MATCH(L2449,[1]Produtos!$B:$B,0)), "-")</f>
        <v>-</v>
      </c>
      <c r="R2449" s="270" t="str">
        <f>IFERROR(INDEX([1]Produtos!$I:$I,MATCH(L2449,[1]Produtos!$B:$B,0)), "-")</f>
        <v>-</v>
      </c>
      <c r="S2449" s="270" t="str">
        <f>IFERROR(INDEX([1]Produtos!$J:$J,MATCH(L2449,[1]Produtos!$B:$B,0)), "-")</f>
        <v>-</v>
      </c>
      <c r="T2449" s="475"/>
      <c r="U2449" s="270"/>
      <c r="V2449" s="270"/>
      <c r="W2449" s="270"/>
      <c r="X2449" s="270"/>
      <c r="Y2449" s="270"/>
      <c r="Z2449" s="270"/>
      <c r="AA2449" s="270"/>
      <c r="AB2449" s="270"/>
      <c r="AC2449" s="270"/>
      <c r="AD2449" s="270"/>
      <c r="AE2449" s="270"/>
      <c r="AF2449" s="270"/>
      <c r="AG2449" s="270"/>
      <c r="AH2449" s="270"/>
      <c r="AI2449" s="270"/>
      <c r="AJ2449" s="270"/>
      <c r="AK2449" s="270"/>
      <c r="AL2449" s="270"/>
      <c r="AM2449" s="663"/>
      <c r="AN2449" s="663"/>
      <c r="AO2449" s="708" t="str">
        <f>IF(OR(Table1[[#This Row],[Início Setup Envase]]="",Table1[[#This Row],[Final Setup Envase]]=""),"",Table1[[#This Row],[Final Setup Envase]]-Table1[[#This Row],[Início Setup Envase]])</f>
        <v/>
      </c>
      <c r="AP2449" s="663"/>
      <c r="AQ2449" s="663"/>
      <c r="AR2449" s="270"/>
      <c r="AS2449" s="674"/>
      <c r="AT2449" s="674"/>
      <c r="AU2449" s="270"/>
      <c r="AV2449" s="270"/>
      <c r="AW2449" s="270"/>
      <c r="AX2449" s="270"/>
      <c r="AY2449" s="270"/>
      <c r="AZ2449" s="270"/>
      <c r="BA2449" s="270" t="str">
        <f>IF(Table1[[#This Row],[Data de Início]]="","",YEAR(Table1[[#This Row],[Data de Início]]))</f>
        <v/>
      </c>
      <c r="BB2449" s="270" t="str">
        <f>IF(Table1[[#This Row],[Data de Início]]="","",MONTH(Table1[[#This Row],[Data de Início]]))</f>
        <v/>
      </c>
      <c r="BC2449" s="483"/>
    </row>
    <row r="2450" spans="2:55" x14ac:dyDescent="0.25">
      <c r="B2450" s="470"/>
      <c r="C2450" s="263"/>
      <c r="D2450" s="477" cm="1">
        <f t="array" ref="D2450">IFERROR(HorasUteisFabrica2Turnos(B2450,C2450), "")</f>
        <v>0</v>
      </c>
      <c r="E2450" s="478" t="str">
        <f t="shared" si="38"/>
        <v/>
      </c>
      <c r="F2450" s="266"/>
      <c r="G2450" s="656"/>
      <c r="H2450" s="479"/>
      <c r="I2450" s="268"/>
      <c r="J2450" s="268"/>
      <c r="K2450" s="268"/>
      <c r="L2450" s="269"/>
      <c r="M2450" s="511" t="str">
        <f>IFERROR(INDEX([1]Produtos!$C:$C,MATCH(L2450,[1]Produtos!$B:$B,0)), "-")</f>
        <v>-</v>
      </c>
      <c r="N2450" s="511" t="str">
        <f>IFERROR(INDEX([1]Produtos!$E:$E,MATCH(L2450,[1]Produtos!$B:$B,0)), "-")</f>
        <v>-</v>
      </c>
      <c r="O2450" s="483" t="str">
        <f>IFERROR(INDEX([1]Produtos!$F:$F,MATCH(L2450,[1]Produtos!$B:$B,0)), "-")</f>
        <v>-</v>
      </c>
      <c r="P2450" s="477" t="str">
        <f>IFERROR(INDEX([1]Produtos!$G:$G,MATCH(L2450,[1]Produtos!$B:$B,0)), "-")</f>
        <v>-</v>
      </c>
      <c r="Q2450" s="483" t="str">
        <f>IFERROR(INDEX([1]Produtos!$H:$H,MATCH(L2450,[1]Produtos!$B:$B,0)), "-")</f>
        <v>-</v>
      </c>
      <c r="R2450" s="483" t="str">
        <f>IFERROR(INDEX([1]Produtos!$I:$I,MATCH(L2450,[1]Produtos!$B:$B,0)), "-")</f>
        <v>-</v>
      </c>
      <c r="S2450" s="483" t="str">
        <f>IFERROR(INDEX([1]Produtos!$J:$J,MATCH(L2450,[1]Produtos!$B:$B,0)), "-")</f>
        <v>-</v>
      </c>
      <c r="T2450" s="484"/>
      <c r="U2450" s="483"/>
      <c r="V2450" s="483"/>
      <c r="W2450" s="483"/>
      <c r="X2450" s="483"/>
      <c r="Y2450" s="483"/>
      <c r="Z2450" s="483"/>
      <c r="AA2450" s="483"/>
      <c r="AB2450" s="483"/>
      <c r="AC2450" s="483"/>
      <c r="AD2450" s="483"/>
      <c r="AE2450" s="483"/>
      <c r="AF2450" s="483"/>
      <c r="AG2450" s="483"/>
      <c r="AH2450" s="483"/>
      <c r="AI2450" s="483"/>
      <c r="AJ2450" s="483"/>
      <c r="AK2450" s="483"/>
      <c r="AL2450" s="483"/>
      <c r="AM2450" s="670"/>
      <c r="AN2450" s="670"/>
      <c r="AO2450" s="711" t="str">
        <f>IF(OR(Table1[[#This Row],[Início Setup Envase]]="",Table1[[#This Row],[Final Setup Envase]]=""),"",Table1[[#This Row],[Final Setup Envase]]-Table1[[#This Row],[Início Setup Envase]])</f>
        <v/>
      </c>
      <c r="AP2450" s="670"/>
      <c r="AQ2450" s="670"/>
      <c r="AR2450" s="483"/>
      <c r="AS2450" s="483"/>
      <c r="AT2450" s="483"/>
      <c r="AU2450" s="483"/>
      <c r="AV2450" s="483"/>
      <c r="AW2450" s="483"/>
      <c r="AX2450" s="483"/>
      <c r="AY2450" s="270"/>
      <c r="AZ2450" s="270"/>
      <c r="BA2450" s="270" t="str">
        <f>IF(Table1[[#This Row],[Data de Início]]="","",YEAR(Table1[[#This Row],[Data de Início]]))</f>
        <v/>
      </c>
      <c r="BB2450" s="270" t="str">
        <f>IF(Table1[[#This Row],[Data de Início]]="","",MONTH(Table1[[#This Row],[Data de Início]]))</f>
        <v/>
      </c>
      <c r="BC2450" s="270"/>
    </row>
    <row r="2451" spans="2:55" x14ac:dyDescent="0.25">
      <c r="B2451" s="470"/>
      <c r="C2451" s="263"/>
      <c r="D2451" s="477" cm="1">
        <f t="array" ref="D2451">IFERROR(HorasUteisFabrica2Turnos(B2451,C2451), "")</f>
        <v>0</v>
      </c>
      <c r="E2451" s="697" t="str">
        <f t="shared" si="38"/>
        <v/>
      </c>
      <c r="F2451" s="266"/>
      <c r="G2451" s="698"/>
      <c r="H2451" s="266"/>
      <c r="I2451" s="268"/>
      <c r="J2451" s="268"/>
      <c r="K2451" s="268"/>
      <c r="L2451" s="269"/>
      <c r="M2451" s="510" t="str">
        <f>IFERROR(INDEX([1]Produtos!$C:$C,MATCH(L2451,[1]Produtos!$B:$B,0)), "-")</f>
        <v>-</v>
      </c>
      <c r="N2451" s="510" t="str">
        <f>IFERROR(INDEX([1]Produtos!$E:$E,MATCH(L2451,[1]Produtos!$B:$B,0)), "-")</f>
        <v>-</v>
      </c>
      <c r="O2451" s="270" t="str">
        <f>IFERROR(INDEX([1]Produtos!$F:$F,MATCH(L2451,[1]Produtos!$B:$B,0)), "-")</f>
        <v>-</v>
      </c>
      <c r="P2451" s="264" t="str">
        <f>IFERROR(INDEX([1]Produtos!$G:$G,MATCH(L2451,[1]Produtos!$B:$B,0)), "-")</f>
        <v>-</v>
      </c>
      <c r="Q2451" s="270" t="str">
        <f>IFERROR(INDEX([1]Produtos!$H:$H,MATCH(L2451,[1]Produtos!$B:$B,0)), "-")</f>
        <v>-</v>
      </c>
      <c r="R2451" s="270" t="str">
        <f>IFERROR(INDEX([1]Produtos!$I:$I,MATCH(L2451,[1]Produtos!$B:$B,0)), "-")</f>
        <v>-</v>
      </c>
      <c r="S2451" s="270" t="str">
        <f>IFERROR(INDEX([1]Produtos!$J:$J,MATCH(L2451,[1]Produtos!$B:$B,0)), "-")</f>
        <v>-</v>
      </c>
      <c r="T2451" s="475"/>
      <c r="U2451" s="270"/>
      <c r="V2451" s="270"/>
      <c r="W2451" s="270"/>
      <c r="X2451" s="270"/>
      <c r="Y2451" s="270"/>
      <c r="Z2451" s="270"/>
      <c r="AA2451" s="270"/>
      <c r="AB2451" s="270"/>
      <c r="AC2451" s="270"/>
      <c r="AD2451" s="270"/>
      <c r="AE2451" s="270"/>
      <c r="AF2451" s="270"/>
      <c r="AG2451" s="270"/>
      <c r="AH2451" s="270"/>
      <c r="AI2451" s="270"/>
      <c r="AJ2451" s="270"/>
      <c r="AK2451" s="270"/>
      <c r="AL2451" s="270"/>
      <c r="AM2451" s="663"/>
      <c r="AN2451" s="663"/>
      <c r="AO2451" s="708" t="str">
        <f>IF(OR(Table1[[#This Row],[Início Setup Envase]]="",Table1[[#This Row],[Final Setup Envase]]=""),"",Table1[[#This Row],[Final Setup Envase]]-Table1[[#This Row],[Início Setup Envase]])</f>
        <v/>
      </c>
      <c r="AP2451" s="663"/>
      <c r="AQ2451" s="663"/>
      <c r="AR2451" s="270"/>
      <c r="AS2451" s="674"/>
      <c r="AT2451" s="674"/>
      <c r="AU2451" s="270"/>
      <c r="AV2451" s="270"/>
      <c r="AW2451" s="270"/>
      <c r="AX2451" s="270"/>
      <c r="AY2451" s="270"/>
      <c r="AZ2451" s="270"/>
      <c r="BA2451" s="270" t="str">
        <f>IF(Table1[[#This Row],[Data de Início]]="","",YEAR(Table1[[#This Row],[Data de Início]]))</f>
        <v/>
      </c>
      <c r="BB2451" s="270" t="str">
        <f>IF(Table1[[#This Row],[Data de Início]]="","",MONTH(Table1[[#This Row],[Data de Início]]))</f>
        <v/>
      </c>
      <c r="BC2451" s="483"/>
    </row>
    <row r="2452" spans="2:55" x14ac:dyDescent="0.25">
      <c r="B2452" s="470"/>
      <c r="C2452" s="263"/>
      <c r="D2452" s="477" cm="1">
        <f t="array" ref="D2452">IFERROR(HorasUteisFabrica2Turnos(B2452,C2452), "")</f>
        <v>0</v>
      </c>
      <c r="E2452" s="478" t="str">
        <f t="shared" si="38"/>
        <v/>
      </c>
      <c r="F2452" s="266"/>
      <c r="G2452" s="656"/>
      <c r="H2452" s="479"/>
      <c r="I2452" s="268"/>
      <c r="J2452" s="268"/>
      <c r="K2452" s="268"/>
      <c r="L2452" s="269"/>
      <c r="M2452" s="511" t="str">
        <f>IFERROR(INDEX([1]Produtos!$C:$C,MATCH(L2452,[1]Produtos!$B:$B,0)), "-")</f>
        <v>-</v>
      </c>
      <c r="N2452" s="511" t="str">
        <f>IFERROR(INDEX([1]Produtos!$E:$E,MATCH(L2452,[1]Produtos!$B:$B,0)), "-")</f>
        <v>-</v>
      </c>
      <c r="O2452" s="483" t="str">
        <f>IFERROR(INDEX([1]Produtos!$F:$F,MATCH(L2452,[1]Produtos!$B:$B,0)), "-")</f>
        <v>-</v>
      </c>
      <c r="P2452" s="477" t="str">
        <f>IFERROR(INDEX([1]Produtos!$G:$G,MATCH(L2452,[1]Produtos!$B:$B,0)), "-")</f>
        <v>-</v>
      </c>
      <c r="Q2452" s="483" t="str">
        <f>IFERROR(INDEX([1]Produtos!$H:$H,MATCH(L2452,[1]Produtos!$B:$B,0)), "-")</f>
        <v>-</v>
      </c>
      <c r="R2452" s="483" t="str">
        <f>IFERROR(INDEX([1]Produtos!$I:$I,MATCH(L2452,[1]Produtos!$B:$B,0)), "-")</f>
        <v>-</v>
      </c>
      <c r="S2452" s="483" t="str">
        <f>IFERROR(INDEX([1]Produtos!$J:$J,MATCH(L2452,[1]Produtos!$B:$B,0)), "-")</f>
        <v>-</v>
      </c>
      <c r="T2452" s="484"/>
      <c r="U2452" s="483"/>
      <c r="V2452" s="483"/>
      <c r="W2452" s="483"/>
      <c r="X2452" s="483"/>
      <c r="Y2452" s="483"/>
      <c r="Z2452" s="483"/>
      <c r="AA2452" s="483"/>
      <c r="AB2452" s="483"/>
      <c r="AC2452" s="483"/>
      <c r="AD2452" s="483"/>
      <c r="AE2452" s="483"/>
      <c r="AF2452" s="483"/>
      <c r="AG2452" s="483"/>
      <c r="AH2452" s="483"/>
      <c r="AI2452" s="483"/>
      <c r="AJ2452" s="483"/>
      <c r="AK2452" s="483"/>
      <c r="AL2452" s="483"/>
      <c r="AM2452" s="670"/>
      <c r="AN2452" s="670"/>
      <c r="AO2452" s="711" t="str">
        <f>IF(OR(Table1[[#This Row],[Início Setup Envase]]="",Table1[[#This Row],[Final Setup Envase]]=""),"",Table1[[#This Row],[Final Setup Envase]]-Table1[[#This Row],[Início Setup Envase]])</f>
        <v/>
      </c>
      <c r="AP2452" s="670"/>
      <c r="AQ2452" s="670"/>
      <c r="AR2452" s="483"/>
      <c r="AS2452" s="483"/>
      <c r="AT2452" s="483"/>
      <c r="AU2452" s="483"/>
      <c r="AV2452" s="483"/>
      <c r="AW2452" s="483"/>
      <c r="AX2452" s="483"/>
      <c r="AY2452" s="270"/>
      <c r="AZ2452" s="270"/>
      <c r="BA2452" s="270" t="str">
        <f>IF(Table1[[#This Row],[Data de Início]]="","",YEAR(Table1[[#This Row],[Data de Início]]))</f>
        <v/>
      </c>
      <c r="BB2452" s="270" t="str">
        <f>IF(Table1[[#This Row],[Data de Início]]="","",MONTH(Table1[[#This Row],[Data de Início]]))</f>
        <v/>
      </c>
      <c r="BC2452" s="270"/>
    </row>
    <row r="2453" spans="2:55" x14ac:dyDescent="0.25">
      <c r="B2453" s="470"/>
      <c r="C2453" s="263"/>
      <c r="D2453" s="477" cm="1">
        <f t="array" ref="D2453">IFERROR(HorasUteisFabrica2Turnos(B2453,C2453), "")</f>
        <v>0</v>
      </c>
      <c r="E2453" s="697" t="str">
        <f t="shared" si="38"/>
        <v/>
      </c>
      <c r="F2453" s="266"/>
      <c r="G2453" s="698"/>
      <c r="H2453" s="266"/>
      <c r="I2453" s="268"/>
      <c r="J2453" s="268"/>
      <c r="K2453" s="268"/>
      <c r="L2453" s="269"/>
      <c r="M2453" s="510" t="str">
        <f>IFERROR(INDEX([1]Produtos!$C:$C,MATCH(L2453,[1]Produtos!$B:$B,0)), "-")</f>
        <v>-</v>
      </c>
      <c r="N2453" s="510" t="str">
        <f>IFERROR(INDEX([1]Produtos!$E:$E,MATCH(L2453,[1]Produtos!$B:$B,0)), "-")</f>
        <v>-</v>
      </c>
      <c r="O2453" s="270" t="str">
        <f>IFERROR(INDEX([1]Produtos!$F:$F,MATCH(L2453,[1]Produtos!$B:$B,0)), "-")</f>
        <v>-</v>
      </c>
      <c r="P2453" s="264" t="str">
        <f>IFERROR(INDEX([1]Produtos!$G:$G,MATCH(L2453,[1]Produtos!$B:$B,0)), "-")</f>
        <v>-</v>
      </c>
      <c r="Q2453" s="270" t="str">
        <f>IFERROR(INDEX([1]Produtos!$H:$H,MATCH(L2453,[1]Produtos!$B:$B,0)), "-")</f>
        <v>-</v>
      </c>
      <c r="R2453" s="270" t="str">
        <f>IFERROR(INDEX([1]Produtos!$I:$I,MATCH(L2453,[1]Produtos!$B:$B,0)), "-")</f>
        <v>-</v>
      </c>
      <c r="S2453" s="270" t="str">
        <f>IFERROR(INDEX([1]Produtos!$J:$J,MATCH(L2453,[1]Produtos!$B:$B,0)), "-")</f>
        <v>-</v>
      </c>
      <c r="T2453" s="475"/>
      <c r="U2453" s="270"/>
      <c r="V2453" s="270"/>
      <c r="W2453" s="270"/>
      <c r="X2453" s="270"/>
      <c r="Y2453" s="270"/>
      <c r="Z2453" s="270"/>
      <c r="AA2453" s="270"/>
      <c r="AB2453" s="270"/>
      <c r="AC2453" s="270"/>
      <c r="AD2453" s="270"/>
      <c r="AE2453" s="270"/>
      <c r="AF2453" s="270"/>
      <c r="AG2453" s="270"/>
      <c r="AH2453" s="270"/>
      <c r="AI2453" s="270"/>
      <c r="AJ2453" s="270"/>
      <c r="AK2453" s="270"/>
      <c r="AL2453" s="270"/>
      <c r="AM2453" s="663"/>
      <c r="AN2453" s="663"/>
      <c r="AO2453" s="708" t="str">
        <f>IF(OR(Table1[[#This Row],[Início Setup Envase]]="",Table1[[#This Row],[Final Setup Envase]]=""),"",Table1[[#This Row],[Final Setup Envase]]-Table1[[#This Row],[Início Setup Envase]])</f>
        <v/>
      </c>
      <c r="AP2453" s="663"/>
      <c r="AQ2453" s="663"/>
      <c r="AR2453" s="270"/>
      <c r="AS2453" s="674"/>
      <c r="AT2453" s="674"/>
      <c r="AU2453" s="270"/>
      <c r="AV2453" s="270"/>
      <c r="AW2453" s="270"/>
      <c r="AX2453" s="270"/>
      <c r="AY2453" s="270"/>
      <c r="AZ2453" s="270"/>
      <c r="BA2453" s="270" t="str">
        <f>IF(Table1[[#This Row],[Data de Início]]="","",YEAR(Table1[[#This Row],[Data de Início]]))</f>
        <v/>
      </c>
      <c r="BB2453" s="270" t="str">
        <f>IF(Table1[[#This Row],[Data de Início]]="","",MONTH(Table1[[#This Row],[Data de Início]]))</f>
        <v/>
      </c>
      <c r="BC2453" s="483"/>
    </row>
    <row r="2454" spans="2:55" x14ac:dyDescent="0.25">
      <c r="B2454" s="470"/>
      <c r="C2454" s="263"/>
      <c r="D2454" s="477" cm="1">
        <f t="array" ref="D2454">IFERROR(HorasUteisFabrica2Turnos(B2454,C2454), "")</f>
        <v>0</v>
      </c>
      <c r="E2454" s="478" t="str">
        <f t="shared" si="38"/>
        <v/>
      </c>
      <c r="F2454" s="266"/>
      <c r="G2454" s="656"/>
      <c r="H2454" s="479"/>
      <c r="I2454" s="268"/>
      <c r="J2454" s="268"/>
      <c r="K2454" s="268"/>
      <c r="L2454" s="269"/>
      <c r="M2454" s="511" t="str">
        <f>IFERROR(INDEX([1]Produtos!$C:$C,MATCH(L2454,[1]Produtos!$B:$B,0)), "-")</f>
        <v>-</v>
      </c>
      <c r="N2454" s="511" t="str">
        <f>IFERROR(INDEX([1]Produtos!$E:$E,MATCH(L2454,[1]Produtos!$B:$B,0)), "-")</f>
        <v>-</v>
      </c>
      <c r="O2454" s="483" t="str">
        <f>IFERROR(INDEX([1]Produtos!$F:$F,MATCH(L2454,[1]Produtos!$B:$B,0)), "-")</f>
        <v>-</v>
      </c>
      <c r="P2454" s="477" t="str">
        <f>IFERROR(INDEX([1]Produtos!$G:$G,MATCH(L2454,[1]Produtos!$B:$B,0)), "-")</f>
        <v>-</v>
      </c>
      <c r="Q2454" s="483" t="str">
        <f>IFERROR(INDEX([1]Produtos!$H:$H,MATCH(L2454,[1]Produtos!$B:$B,0)), "-")</f>
        <v>-</v>
      </c>
      <c r="R2454" s="483" t="str">
        <f>IFERROR(INDEX([1]Produtos!$I:$I,MATCH(L2454,[1]Produtos!$B:$B,0)), "-")</f>
        <v>-</v>
      </c>
      <c r="S2454" s="483" t="str">
        <f>IFERROR(INDEX([1]Produtos!$J:$J,MATCH(L2454,[1]Produtos!$B:$B,0)), "-")</f>
        <v>-</v>
      </c>
      <c r="T2454" s="484"/>
      <c r="U2454" s="483"/>
      <c r="V2454" s="483"/>
      <c r="W2454" s="483"/>
      <c r="X2454" s="483"/>
      <c r="Y2454" s="483"/>
      <c r="Z2454" s="483"/>
      <c r="AA2454" s="483"/>
      <c r="AB2454" s="483"/>
      <c r="AC2454" s="483"/>
      <c r="AD2454" s="483"/>
      <c r="AE2454" s="483"/>
      <c r="AF2454" s="483"/>
      <c r="AG2454" s="483"/>
      <c r="AH2454" s="483"/>
      <c r="AI2454" s="483"/>
      <c r="AJ2454" s="483"/>
      <c r="AK2454" s="483"/>
      <c r="AL2454" s="483"/>
      <c r="AM2454" s="670"/>
      <c r="AN2454" s="670"/>
      <c r="AO2454" s="711" t="str">
        <f>IF(OR(Table1[[#This Row],[Início Setup Envase]]="",Table1[[#This Row],[Final Setup Envase]]=""),"",Table1[[#This Row],[Final Setup Envase]]-Table1[[#This Row],[Início Setup Envase]])</f>
        <v/>
      </c>
      <c r="AP2454" s="670"/>
      <c r="AQ2454" s="670"/>
      <c r="AR2454" s="483"/>
      <c r="AS2454" s="483"/>
      <c r="AT2454" s="483"/>
      <c r="AU2454" s="483"/>
      <c r="AV2454" s="483"/>
      <c r="AW2454" s="483"/>
      <c r="AX2454" s="483"/>
      <c r="AY2454" s="270"/>
      <c r="AZ2454" s="270"/>
      <c r="BA2454" s="270" t="str">
        <f>IF(Table1[[#This Row],[Data de Início]]="","",YEAR(Table1[[#This Row],[Data de Início]]))</f>
        <v/>
      </c>
      <c r="BB2454" s="270" t="str">
        <f>IF(Table1[[#This Row],[Data de Início]]="","",MONTH(Table1[[#This Row],[Data de Início]]))</f>
        <v/>
      </c>
      <c r="BC2454" s="270"/>
    </row>
    <row r="2455" spans="2:55" x14ac:dyDescent="0.25">
      <c r="B2455" s="470"/>
      <c r="C2455" s="263"/>
      <c r="D2455" s="477" cm="1">
        <f t="array" ref="D2455">IFERROR(HorasUteisFabrica2Turnos(B2455,C2455), "")</f>
        <v>0</v>
      </c>
      <c r="E2455" s="697" t="str">
        <f t="shared" si="38"/>
        <v/>
      </c>
      <c r="F2455" s="266"/>
      <c r="G2455" s="698"/>
      <c r="H2455" s="266"/>
      <c r="I2455" s="268"/>
      <c r="J2455" s="268"/>
      <c r="K2455" s="268"/>
      <c r="L2455" s="269"/>
      <c r="M2455" s="510" t="str">
        <f>IFERROR(INDEX([1]Produtos!$C:$C,MATCH(L2455,[1]Produtos!$B:$B,0)), "-")</f>
        <v>-</v>
      </c>
      <c r="N2455" s="510" t="str">
        <f>IFERROR(INDEX([1]Produtos!$E:$E,MATCH(L2455,[1]Produtos!$B:$B,0)), "-")</f>
        <v>-</v>
      </c>
      <c r="O2455" s="270" t="str">
        <f>IFERROR(INDEX([1]Produtos!$F:$F,MATCH(L2455,[1]Produtos!$B:$B,0)), "-")</f>
        <v>-</v>
      </c>
      <c r="P2455" s="264" t="str">
        <f>IFERROR(INDEX([1]Produtos!$G:$G,MATCH(L2455,[1]Produtos!$B:$B,0)), "-")</f>
        <v>-</v>
      </c>
      <c r="Q2455" s="270" t="str">
        <f>IFERROR(INDEX([1]Produtos!$H:$H,MATCH(L2455,[1]Produtos!$B:$B,0)), "-")</f>
        <v>-</v>
      </c>
      <c r="R2455" s="270" t="str">
        <f>IFERROR(INDEX([1]Produtos!$I:$I,MATCH(L2455,[1]Produtos!$B:$B,0)), "-")</f>
        <v>-</v>
      </c>
      <c r="S2455" s="270" t="str">
        <f>IFERROR(INDEX([1]Produtos!$J:$J,MATCH(L2455,[1]Produtos!$B:$B,0)), "-")</f>
        <v>-</v>
      </c>
      <c r="T2455" s="475"/>
      <c r="U2455" s="270"/>
      <c r="V2455" s="270"/>
      <c r="W2455" s="270"/>
      <c r="X2455" s="270"/>
      <c r="Y2455" s="270"/>
      <c r="Z2455" s="270"/>
      <c r="AA2455" s="270"/>
      <c r="AB2455" s="270"/>
      <c r="AC2455" s="270"/>
      <c r="AD2455" s="270"/>
      <c r="AE2455" s="270"/>
      <c r="AF2455" s="270"/>
      <c r="AG2455" s="270"/>
      <c r="AH2455" s="270"/>
      <c r="AI2455" s="270"/>
      <c r="AJ2455" s="270"/>
      <c r="AK2455" s="270"/>
      <c r="AL2455" s="270"/>
      <c r="AM2455" s="663"/>
      <c r="AN2455" s="663"/>
      <c r="AO2455" s="708" t="str">
        <f>IF(OR(Table1[[#This Row],[Início Setup Envase]]="",Table1[[#This Row],[Final Setup Envase]]=""),"",Table1[[#This Row],[Final Setup Envase]]-Table1[[#This Row],[Início Setup Envase]])</f>
        <v/>
      </c>
      <c r="AP2455" s="663"/>
      <c r="AQ2455" s="663"/>
      <c r="AR2455" s="270"/>
      <c r="AS2455" s="674"/>
      <c r="AT2455" s="674"/>
      <c r="AU2455" s="270"/>
      <c r="AV2455" s="270"/>
      <c r="AW2455" s="270"/>
      <c r="AX2455" s="270"/>
      <c r="AY2455" s="270"/>
      <c r="AZ2455" s="270"/>
      <c r="BA2455" s="270" t="str">
        <f>IF(Table1[[#This Row],[Data de Início]]="","",YEAR(Table1[[#This Row],[Data de Início]]))</f>
        <v/>
      </c>
      <c r="BB2455" s="270" t="str">
        <f>IF(Table1[[#This Row],[Data de Início]]="","",MONTH(Table1[[#This Row],[Data de Início]]))</f>
        <v/>
      </c>
      <c r="BC2455" s="483"/>
    </row>
    <row r="2456" spans="2:55" x14ac:dyDescent="0.25">
      <c r="B2456" s="470"/>
      <c r="C2456" s="263"/>
      <c r="D2456" s="477" cm="1">
        <f t="array" ref="D2456">IFERROR(HorasUteisFabrica2Turnos(B2456,C2456), "")</f>
        <v>0</v>
      </c>
      <c r="E2456" s="478" t="str">
        <f t="shared" si="38"/>
        <v/>
      </c>
      <c r="F2456" s="266"/>
      <c r="G2456" s="656"/>
      <c r="H2456" s="479"/>
      <c r="I2456" s="268"/>
      <c r="J2456" s="268"/>
      <c r="K2456" s="268"/>
      <c r="L2456" s="269"/>
      <c r="M2456" s="511" t="str">
        <f>IFERROR(INDEX([1]Produtos!$C:$C,MATCH(L2456,[1]Produtos!$B:$B,0)), "-")</f>
        <v>-</v>
      </c>
      <c r="N2456" s="511" t="str">
        <f>IFERROR(INDEX([1]Produtos!$E:$E,MATCH(L2456,[1]Produtos!$B:$B,0)), "-")</f>
        <v>-</v>
      </c>
      <c r="O2456" s="483" t="str">
        <f>IFERROR(INDEX([1]Produtos!$F:$F,MATCH(L2456,[1]Produtos!$B:$B,0)), "-")</f>
        <v>-</v>
      </c>
      <c r="P2456" s="477" t="str">
        <f>IFERROR(INDEX([1]Produtos!$G:$G,MATCH(L2456,[1]Produtos!$B:$B,0)), "-")</f>
        <v>-</v>
      </c>
      <c r="Q2456" s="483" t="str">
        <f>IFERROR(INDEX([1]Produtos!$H:$H,MATCH(L2456,[1]Produtos!$B:$B,0)), "-")</f>
        <v>-</v>
      </c>
      <c r="R2456" s="483" t="str">
        <f>IFERROR(INDEX([1]Produtos!$I:$I,MATCH(L2456,[1]Produtos!$B:$B,0)), "-")</f>
        <v>-</v>
      </c>
      <c r="S2456" s="483" t="str">
        <f>IFERROR(INDEX([1]Produtos!$J:$J,MATCH(L2456,[1]Produtos!$B:$B,0)), "-")</f>
        <v>-</v>
      </c>
      <c r="T2456" s="484"/>
      <c r="U2456" s="483"/>
      <c r="V2456" s="483"/>
      <c r="W2456" s="483"/>
      <c r="X2456" s="483"/>
      <c r="Y2456" s="483"/>
      <c r="Z2456" s="483"/>
      <c r="AA2456" s="483"/>
      <c r="AB2456" s="483"/>
      <c r="AC2456" s="483"/>
      <c r="AD2456" s="483"/>
      <c r="AE2456" s="483"/>
      <c r="AF2456" s="483"/>
      <c r="AG2456" s="483"/>
      <c r="AH2456" s="483"/>
      <c r="AI2456" s="483"/>
      <c r="AJ2456" s="483"/>
      <c r="AK2456" s="483"/>
      <c r="AL2456" s="483"/>
      <c r="AM2456" s="670"/>
      <c r="AN2456" s="670"/>
      <c r="AO2456" s="711" t="str">
        <f>IF(OR(Table1[[#This Row],[Início Setup Envase]]="",Table1[[#This Row],[Final Setup Envase]]=""),"",Table1[[#This Row],[Final Setup Envase]]-Table1[[#This Row],[Início Setup Envase]])</f>
        <v/>
      </c>
      <c r="AP2456" s="670"/>
      <c r="AQ2456" s="670"/>
      <c r="AR2456" s="483"/>
      <c r="AS2456" s="483"/>
      <c r="AT2456" s="483"/>
      <c r="AU2456" s="483"/>
      <c r="AV2456" s="483"/>
      <c r="AW2456" s="483"/>
      <c r="AX2456" s="483"/>
      <c r="AY2456" s="270"/>
      <c r="AZ2456" s="270"/>
      <c r="BA2456" s="270" t="str">
        <f>IF(Table1[[#This Row],[Data de Início]]="","",YEAR(Table1[[#This Row],[Data de Início]]))</f>
        <v/>
      </c>
      <c r="BB2456" s="270" t="str">
        <f>IF(Table1[[#This Row],[Data de Início]]="","",MONTH(Table1[[#This Row],[Data de Início]]))</f>
        <v/>
      </c>
      <c r="BC2456" s="270"/>
    </row>
    <row r="2457" spans="2:55" x14ac:dyDescent="0.25">
      <c r="B2457" s="470"/>
      <c r="C2457" s="263"/>
      <c r="D2457" s="477" cm="1">
        <f t="array" ref="D2457">IFERROR(HorasUteisFabrica2Turnos(B2457,C2457), "")</f>
        <v>0</v>
      </c>
      <c r="E2457" s="697" t="str">
        <f t="shared" si="38"/>
        <v/>
      </c>
      <c r="F2457" s="266"/>
      <c r="G2457" s="698"/>
      <c r="H2457" s="266"/>
      <c r="I2457" s="268"/>
      <c r="J2457" s="268"/>
      <c r="K2457" s="268"/>
      <c r="L2457" s="269"/>
      <c r="M2457" s="510" t="str">
        <f>IFERROR(INDEX([1]Produtos!$C:$C,MATCH(L2457,[1]Produtos!$B:$B,0)), "-")</f>
        <v>-</v>
      </c>
      <c r="N2457" s="510" t="str">
        <f>IFERROR(INDEX([1]Produtos!$E:$E,MATCH(L2457,[1]Produtos!$B:$B,0)), "-")</f>
        <v>-</v>
      </c>
      <c r="O2457" s="270" t="str">
        <f>IFERROR(INDEX([1]Produtos!$F:$F,MATCH(L2457,[1]Produtos!$B:$B,0)), "-")</f>
        <v>-</v>
      </c>
      <c r="P2457" s="264" t="str">
        <f>IFERROR(INDEX([1]Produtos!$G:$G,MATCH(L2457,[1]Produtos!$B:$B,0)), "-")</f>
        <v>-</v>
      </c>
      <c r="Q2457" s="270" t="str">
        <f>IFERROR(INDEX([1]Produtos!$H:$H,MATCH(L2457,[1]Produtos!$B:$B,0)), "-")</f>
        <v>-</v>
      </c>
      <c r="R2457" s="270" t="str">
        <f>IFERROR(INDEX([1]Produtos!$I:$I,MATCH(L2457,[1]Produtos!$B:$B,0)), "-")</f>
        <v>-</v>
      </c>
      <c r="S2457" s="270" t="str">
        <f>IFERROR(INDEX([1]Produtos!$J:$J,MATCH(L2457,[1]Produtos!$B:$B,0)), "-")</f>
        <v>-</v>
      </c>
      <c r="T2457" s="475"/>
      <c r="U2457" s="270"/>
      <c r="V2457" s="270"/>
      <c r="W2457" s="270"/>
      <c r="X2457" s="270"/>
      <c r="Y2457" s="270"/>
      <c r="Z2457" s="270"/>
      <c r="AA2457" s="270"/>
      <c r="AB2457" s="270"/>
      <c r="AC2457" s="270"/>
      <c r="AD2457" s="270"/>
      <c r="AE2457" s="270"/>
      <c r="AF2457" s="270"/>
      <c r="AG2457" s="270"/>
      <c r="AH2457" s="270"/>
      <c r="AI2457" s="270"/>
      <c r="AJ2457" s="270"/>
      <c r="AK2457" s="270"/>
      <c r="AL2457" s="270"/>
      <c r="AM2457" s="663"/>
      <c r="AN2457" s="663"/>
      <c r="AO2457" s="708" t="str">
        <f>IF(OR(Table1[[#This Row],[Início Setup Envase]]="",Table1[[#This Row],[Final Setup Envase]]=""),"",Table1[[#This Row],[Final Setup Envase]]-Table1[[#This Row],[Início Setup Envase]])</f>
        <v/>
      </c>
      <c r="AP2457" s="663"/>
      <c r="AQ2457" s="663"/>
      <c r="AR2457" s="270"/>
      <c r="AS2457" s="674"/>
      <c r="AT2457" s="674"/>
      <c r="AU2457" s="270"/>
      <c r="AV2457" s="270"/>
      <c r="AW2457" s="270"/>
      <c r="AX2457" s="270"/>
      <c r="AY2457" s="270"/>
      <c r="AZ2457" s="270"/>
      <c r="BA2457" s="270" t="str">
        <f>IF(Table1[[#This Row],[Data de Início]]="","",YEAR(Table1[[#This Row],[Data de Início]]))</f>
        <v/>
      </c>
      <c r="BB2457" s="270" t="str">
        <f>IF(Table1[[#This Row],[Data de Início]]="","",MONTH(Table1[[#This Row],[Data de Início]]))</f>
        <v/>
      </c>
      <c r="BC2457" s="483"/>
    </row>
    <row r="2458" spans="2:55" x14ac:dyDescent="0.25">
      <c r="B2458" s="470"/>
      <c r="C2458" s="263"/>
      <c r="D2458" s="477" cm="1">
        <f t="array" ref="D2458">IFERROR(HorasUteisFabrica2Turnos(B2458,C2458), "")</f>
        <v>0</v>
      </c>
      <c r="E2458" s="478" t="str">
        <f t="shared" si="38"/>
        <v/>
      </c>
      <c r="F2458" s="266"/>
      <c r="G2458" s="656"/>
      <c r="H2458" s="479"/>
      <c r="I2458" s="268"/>
      <c r="J2458" s="268"/>
      <c r="K2458" s="268"/>
      <c r="L2458" s="269"/>
      <c r="M2458" s="511" t="str">
        <f>IFERROR(INDEX([1]Produtos!$C:$C,MATCH(L2458,[1]Produtos!$B:$B,0)), "-")</f>
        <v>-</v>
      </c>
      <c r="N2458" s="511" t="str">
        <f>IFERROR(INDEX([1]Produtos!$E:$E,MATCH(L2458,[1]Produtos!$B:$B,0)), "-")</f>
        <v>-</v>
      </c>
      <c r="O2458" s="483" t="str">
        <f>IFERROR(INDEX([1]Produtos!$F:$F,MATCH(L2458,[1]Produtos!$B:$B,0)), "-")</f>
        <v>-</v>
      </c>
      <c r="P2458" s="477" t="str">
        <f>IFERROR(INDEX([1]Produtos!$G:$G,MATCH(L2458,[1]Produtos!$B:$B,0)), "-")</f>
        <v>-</v>
      </c>
      <c r="Q2458" s="483" t="str">
        <f>IFERROR(INDEX([1]Produtos!$H:$H,MATCH(L2458,[1]Produtos!$B:$B,0)), "-")</f>
        <v>-</v>
      </c>
      <c r="R2458" s="483" t="str">
        <f>IFERROR(INDEX([1]Produtos!$I:$I,MATCH(L2458,[1]Produtos!$B:$B,0)), "-")</f>
        <v>-</v>
      </c>
      <c r="S2458" s="483" t="str">
        <f>IFERROR(INDEX([1]Produtos!$J:$J,MATCH(L2458,[1]Produtos!$B:$B,0)), "-")</f>
        <v>-</v>
      </c>
      <c r="T2458" s="484"/>
      <c r="U2458" s="483"/>
      <c r="V2458" s="483"/>
      <c r="W2458" s="483"/>
      <c r="X2458" s="483"/>
      <c r="Y2458" s="483"/>
      <c r="Z2458" s="483"/>
      <c r="AA2458" s="483"/>
      <c r="AB2458" s="483"/>
      <c r="AC2458" s="483"/>
      <c r="AD2458" s="483"/>
      <c r="AE2458" s="483"/>
      <c r="AF2458" s="483"/>
      <c r="AG2458" s="483"/>
      <c r="AH2458" s="483"/>
      <c r="AI2458" s="483"/>
      <c r="AJ2458" s="483"/>
      <c r="AK2458" s="483"/>
      <c r="AL2458" s="483"/>
      <c r="AM2458" s="670"/>
      <c r="AN2458" s="670"/>
      <c r="AO2458" s="711" t="str">
        <f>IF(OR(Table1[[#This Row],[Início Setup Envase]]="",Table1[[#This Row],[Final Setup Envase]]=""),"",Table1[[#This Row],[Final Setup Envase]]-Table1[[#This Row],[Início Setup Envase]])</f>
        <v/>
      </c>
      <c r="AP2458" s="670"/>
      <c r="AQ2458" s="670"/>
      <c r="AR2458" s="483"/>
      <c r="AS2458" s="483"/>
      <c r="AT2458" s="483"/>
      <c r="AU2458" s="483"/>
      <c r="AV2458" s="483"/>
      <c r="AW2458" s="483"/>
      <c r="AX2458" s="483"/>
      <c r="AY2458" s="270"/>
      <c r="AZ2458" s="270"/>
      <c r="BA2458" s="270" t="str">
        <f>IF(Table1[[#This Row],[Data de Início]]="","",YEAR(Table1[[#This Row],[Data de Início]]))</f>
        <v/>
      </c>
      <c r="BB2458" s="270" t="str">
        <f>IF(Table1[[#This Row],[Data de Início]]="","",MONTH(Table1[[#This Row],[Data de Início]]))</f>
        <v/>
      </c>
      <c r="BC2458" s="270"/>
    </row>
    <row r="2459" spans="2:55" x14ac:dyDescent="0.25">
      <c r="B2459" s="470"/>
      <c r="C2459" s="263"/>
      <c r="D2459" s="477" cm="1">
        <f t="array" ref="D2459">IFERROR(HorasUteisFabrica2Turnos(B2459,C2459), "")</f>
        <v>0</v>
      </c>
      <c r="E2459" s="697" t="str">
        <f t="shared" si="38"/>
        <v/>
      </c>
      <c r="F2459" s="266"/>
      <c r="G2459" s="698"/>
      <c r="H2459" s="266"/>
      <c r="I2459" s="268"/>
      <c r="J2459" s="268"/>
      <c r="K2459" s="268"/>
      <c r="L2459" s="269"/>
      <c r="M2459" s="510" t="str">
        <f>IFERROR(INDEX([1]Produtos!$C:$C,MATCH(L2459,[1]Produtos!$B:$B,0)), "-")</f>
        <v>-</v>
      </c>
      <c r="N2459" s="510" t="str">
        <f>IFERROR(INDEX([1]Produtos!$E:$E,MATCH(L2459,[1]Produtos!$B:$B,0)), "-")</f>
        <v>-</v>
      </c>
      <c r="O2459" s="270" t="str">
        <f>IFERROR(INDEX([1]Produtos!$F:$F,MATCH(L2459,[1]Produtos!$B:$B,0)), "-")</f>
        <v>-</v>
      </c>
      <c r="P2459" s="264" t="str">
        <f>IFERROR(INDEX([1]Produtos!$G:$G,MATCH(L2459,[1]Produtos!$B:$B,0)), "-")</f>
        <v>-</v>
      </c>
      <c r="Q2459" s="270" t="str">
        <f>IFERROR(INDEX([1]Produtos!$H:$H,MATCH(L2459,[1]Produtos!$B:$B,0)), "-")</f>
        <v>-</v>
      </c>
      <c r="R2459" s="270" t="str">
        <f>IFERROR(INDEX([1]Produtos!$I:$I,MATCH(L2459,[1]Produtos!$B:$B,0)), "-")</f>
        <v>-</v>
      </c>
      <c r="S2459" s="270" t="str">
        <f>IFERROR(INDEX([1]Produtos!$J:$J,MATCH(L2459,[1]Produtos!$B:$B,0)), "-")</f>
        <v>-</v>
      </c>
      <c r="T2459" s="475"/>
      <c r="U2459" s="270"/>
      <c r="V2459" s="270"/>
      <c r="W2459" s="270"/>
      <c r="X2459" s="270"/>
      <c r="Y2459" s="270"/>
      <c r="Z2459" s="270"/>
      <c r="AA2459" s="270"/>
      <c r="AB2459" s="270"/>
      <c r="AC2459" s="270"/>
      <c r="AD2459" s="270"/>
      <c r="AE2459" s="270"/>
      <c r="AF2459" s="270"/>
      <c r="AG2459" s="270"/>
      <c r="AH2459" s="270"/>
      <c r="AI2459" s="270"/>
      <c r="AJ2459" s="270"/>
      <c r="AK2459" s="270"/>
      <c r="AL2459" s="270"/>
      <c r="AM2459" s="663"/>
      <c r="AN2459" s="663"/>
      <c r="AO2459" s="708" t="str">
        <f>IF(OR(Table1[[#This Row],[Início Setup Envase]]="",Table1[[#This Row],[Final Setup Envase]]=""),"",Table1[[#This Row],[Final Setup Envase]]-Table1[[#This Row],[Início Setup Envase]])</f>
        <v/>
      </c>
      <c r="AP2459" s="663"/>
      <c r="AQ2459" s="663"/>
      <c r="AR2459" s="270"/>
      <c r="AS2459" s="674"/>
      <c r="AT2459" s="674"/>
      <c r="AU2459" s="270"/>
      <c r="AV2459" s="270"/>
      <c r="AW2459" s="270"/>
      <c r="AX2459" s="270"/>
      <c r="AY2459" s="270"/>
      <c r="AZ2459" s="270"/>
      <c r="BA2459" s="270" t="str">
        <f>IF(Table1[[#This Row],[Data de Início]]="","",YEAR(Table1[[#This Row],[Data de Início]]))</f>
        <v/>
      </c>
      <c r="BB2459" s="270" t="str">
        <f>IF(Table1[[#This Row],[Data de Início]]="","",MONTH(Table1[[#This Row],[Data de Início]]))</f>
        <v/>
      </c>
      <c r="BC2459" s="483"/>
    </row>
    <row r="2460" spans="2:55" x14ac:dyDescent="0.25">
      <c r="B2460" s="470"/>
      <c r="C2460" s="263"/>
      <c r="D2460" s="477" cm="1">
        <f t="array" ref="D2460">IFERROR(HorasUteisFabrica2Turnos(B2460,C2460), "")</f>
        <v>0</v>
      </c>
      <c r="E2460" s="478" t="str">
        <f t="shared" si="38"/>
        <v/>
      </c>
      <c r="F2460" s="266"/>
      <c r="G2460" s="656"/>
      <c r="H2460" s="479"/>
      <c r="I2460" s="268"/>
      <c r="J2460" s="268"/>
      <c r="K2460" s="268"/>
      <c r="L2460" s="269"/>
      <c r="M2460" s="511" t="str">
        <f>IFERROR(INDEX([1]Produtos!$C:$C,MATCH(L2460,[1]Produtos!$B:$B,0)), "-")</f>
        <v>-</v>
      </c>
      <c r="N2460" s="511" t="str">
        <f>IFERROR(INDEX([1]Produtos!$E:$E,MATCH(L2460,[1]Produtos!$B:$B,0)), "-")</f>
        <v>-</v>
      </c>
      <c r="O2460" s="483" t="str">
        <f>IFERROR(INDEX([1]Produtos!$F:$F,MATCH(L2460,[1]Produtos!$B:$B,0)), "-")</f>
        <v>-</v>
      </c>
      <c r="P2460" s="477" t="str">
        <f>IFERROR(INDEX([1]Produtos!$G:$G,MATCH(L2460,[1]Produtos!$B:$B,0)), "-")</f>
        <v>-</v>
      </c>
      <c r="Q2460" s="483" t="str">
        <f>IFERROR(INDEX([1]Produtos!$H:$H,MATCH(L2460,[1]Produtos!$B:$B,0)), "-")</f>
        <v>-</v>
      </c>
      <c r="R2460" s="483" t="str">
        <f>IFERROR(INDEX([1]Produtos!$I:$I,MATCH(L2460,[1]Produtos!$B:$B,0)), "-")</f>
        <v>-</v>
      </c>
      <c r="S2460" s="483" t="str">
        <f>IFERROR(INDEX([1]Produtos!$J:$J,MATCH(L2460,[1]Produtos!$B:$B,0)), "-")</f>
        <v>-</v>
      </c>
      <c r="T2460" s="484"/>
      <c r="U2460" s="483"/>
      <c r="V2460" s="483"/>
      <c r="W2460" s="483"/>
      <c r="X2460" s="483"/>
      <c r="Y2460" s="483"/>
      <c r="Z2460" s="483"/>
      <c r="AA2460" s="483"/>
      <c r="AB2460" s="483"/>
      <c r="AC2460" s="483"/>
      <c r="AD2460" s="483"/>
      <c r="AE2460" s="483"/>
      <c r="AF2460" s="483"/>
      <c r="AG2460" s="483"/>
      <c r="AH2460" s="483"/>
      <c r="AI2460" s="483"/>
      <c r="AJ2460" s="483"/>
      <c r="AK2460" s="483"/>
      <c r="AL2460" s="483"/>
      <c r="AM2460" s="670"/>
      <c r="AN2460" s="670"/>
      <c r="AO2460" s="711" t="str">
        <f>IF(OR(Table1[[#This Row],[Início Setup Envase]]="",Table1[[#This Row],[Final Setup Envase]]=""),"",Table1[[#This Row],[Final Setup Envase]]-Table1[[#This Row],[Início Setup Envase]])</f>
        <v/>
      </c>
      <c r="AP2460" s="670"/>
      <c r="AQ2460" s="670"/>
      <c r="AR2460" s="483"/>
      <c r="AS2460" s="483"/>
      <c r="AT2460" s="483"/>
      <c r="AU2460" s="483"/>
      <c r="AV2460" s="483"/>
      <c r="AW2460" s="483"/>
      <c r="AX2460" s="483"/>
      <c r="AY2460" s="270"/>
      <c r="AZ2460" s="270"/>
      <c r="BA2460" s="270" t="str">
        <f>IF(Table1[[#This Row],[Data de Início]]="","",YEAR(Table1[[#This Row],[Data de Início]]))</f>
        <v/>
      </c>
      <c r="BB2460" s="270" t="str">
        <f>IF(Table1[[#This Row],[Data de Início]]="","",MONTH(Table1[[#This Row],[Data de Início]]))</f>
        <v/>
      </c>
      <c r="BC2460" s="270"/>
    </row>
    <row r="2461" spans="2:55" x14ac:dyDescent="0.25">
      <c r="B2461" s="470"/>
      <c r="C2461" s="263"/>
      <c r="D2461" s="477" cm="1">
        <f t="array" ref="D2461">IFERROR(HorasUteisFabrica2Turnos(B2461,C2461), "")</f>
        <v>0</v>
      </c>
      <c r="E2461" s="697" t="str">
        <f t="shared" si="38"/>
        <v/>
      </c>
      <c r="F2461" s="266"/>
      <c r="G2461" s="698"/>
      <c r="H2461" s="266"/>
      <c r="I2461" s="268"/>
      <c r="J2461" s="268"/>
      <c r="K2461" s="268"/>
      <c r="L2461" s="269"/>
      <c r="M2461" s="510" t="str">
        <f>IFERROR(INDEX([1]Produtos!$C:$C,MATCH(L2461,[1]Produtos!$B:$B,0)), "-")</f>
        <v>-</v>
      </c>
      <c r="N2461" s="510" t="str">
        <f>IFERROR(INDEX([1]Produtos!$E:$E,MATCH(L2461,[1]Produtos!$B:$B,0)), "-")</f>
        <v>-</v>
      </c>
      <c r="O2461" s="270" t="str">
        <f>IFERROR(INDEX([1]Produtos!$F:$F,MATCH(L2461,[1]Produtos!$B:$B,0)), "-")</f>
        <v>-</v>
      </c>
      <c r="P2461" s="264" t="str">
        <f>IFERROR(INDEX([1]Produtos!$G:$G,MATCH(L2461,[1]Produtos!$B:$B,0)), "-")</f>
        <v>-</v>
      </c>
      <c r="Q2461" s="270" t="str">
        <f>IFERROR(INDEX([1]Produtos!$H:$H,MATCH(L2461,[1]Produtos!$B:$B,0)), "-")</f>
        <v>-</v>
      </c>
      <c r="R2461" s="270" t="str">
        <f>IFERROR(INDEX([1]Produtos!$I:$I,MATCH(L2461,[1]Produtos!$B:$B,0)), "-")</f>
        <v>-</v>
      </c>
      <c r="S2461" s="270" t="str">
        <f>IFERROR(INDEX([1]Produtos!$J:$J,MATCH(L2461,[1]Produtos!$B:$B,0)), "-")</f>
        <v>-</v>
      </c>
      <c r="T2461" s="475"/>
      <c r="U2461" s="270"/>
      <c r="V2461" s="270"/>
      <c r="W2461" s="270"/>
      <c r="X2461" s="270"/>
      <c r="Y2461" s="270"/>
      <c r="Z2461" s="270"/>
      <c r="AA2461" s="270"/>
      <c r="AB2461" s="270"/>
      <c r="AC2461" s="270"/>
      <c r="AD2461" s="270"/>
      <c r="AE2461" s="270"/>
      <c r="AF2461" s="270"/>
      <c r="AG2461" s="270"/>
      <c r="AH2461" s="270"/>
      <c r="AI2461" s="270"/>
      <c r="AJ2461" s="270"/>
      <c r="AK2461" s="270"/>
      <c r="AL2461" s="270"/>
      <c r="AM2461" s="663"/>
      <c r="AN2461" s="663"/>
      <c r="AO2461" s="708" t="str">
        <f>IF(OR(Table1[[#This Row],[Início Setup Envase]]="",Table1[[#This Row],[Final Setup Envase]]=""),"",Table1[[#This Row],[Final Setup Envase]]-Table1[[#This Row],[Início Setup Envase]])</f>
        <v/>
      </c>
      <c r="AP2461" s="663"/>
      <c r="AQ2461" s="663"/>
      <c r="AR2461" s="270"/>
      <c r="AS2461" s="674"/>
      <c r="AT2461" s="674"/>
      <c r="AU2461" s="270"/>
      <c r="AV2461" s="270"/>
      <c r="AW2461" s="270"/>
      <c r="AX2461" s="270"/>
      <c r="AY2461" s="270"/>
      <c r="AZ2461" s="270"/>
      <c r="BA2461" s="270" t="str">
        <f>IF(Table1[[#This Row],[Data de Início]]="","",YEAR(Table1[[#This Row],[Data de Início]]))</f>
        <v/>
      </c>
      <c r="BB2461" s="270" t="str">
        <f>IF(Table1[[#This Row],[Data de Início]]="","",MONTH(Table1[[#This Row],[Data de Início]]))</f>
        <v/>
      </c>
      <c r="BC2461" s="483"/>
    </row>
    <row r="2462" spans="2:55" x14ac:dyDescent="0.25">
      <c r="B2462" s="470"/>
      <c r="C2462" s="263"/>
      <c r="D2462" s="477" cm="1">
        <f t="array" ref="D2462">IFERROR(HorasUteisFabrica2Turnos(B2462,C2462), "")</f>
        <v>0</v>
      </c>
      <c r="E2462" s="478" t="str">
        <f t="shared" si="38"/>
        <v/>
      </c>
      <c r="F2462" s="266"/>
      <c r="G2462" s="656"/>
      <c r="H2462" s="479"/>
      <c r="I2462" s="268"/>
      <c r="J2462" s="268"/>
      <c r="K2462" s="268"/>
      <c r="L2462" s="269"/>
      <c r="M2462" s="511" t="str">
        <f>IFERROR(INDEX([1]Produtos!$C:$C,MATCH(L2462,[1]Produtos!$B:$B,0)), "-")</f>
        <v>-</v>
      </c>
      <c r="N2462" s="511" t="str">
        <f>IFERROR(INDEX([1]Produtos!$E:$E,MATCH(L2462,[1]Produtos!$B:$B,0)), "-")</f>
        <v>-</v>
      </c>
      <c r="O2462" s="483" t="str">
        <f>IFERROR(INDEX([1]Produtos!$F:$F,MATCH(L2462,[1]Produtos!$B:$B,0)), "-")</f>
        <v>-</v>
      </c>
      <c r="P2462" s="477" t="str">
        <f>IFERROR(INDEX([1]Produtos!$G:$G,MATCH(L2462,[1]Produtos!$B:$B,0)), "-")</f>
        <v>-</v>
      </c>
      <c r="Q2462" s="483" t="str">
        <f>IFERROR(INDEX([1]Produtos!$H:$H,MATCH(L2462,[1]Produtos!$B:$B,0)), "-")</f>
        <v>-</v>
      </c>
      <c r="R2462" s="483" t="str">
        <f>IFERROR(INDEX([1]Produtos!$I:$I,MATCH(L2462,[1]Produtos!$B:$B,0)), "-")</f>
        <v>-</v>
      </c>
      <c r="S2462" s="483" t="str">
        <f>IFERROR(INDEX([1]Produtos!$J:$J,MATCH(L2462,[1]Produtos!$B:$B,0)), "-")</f>
        <v>-</v>
      </c>
      <c r="T2462" s="484"/>
      <c r="U2462" s="483"/>
      <c r="V2462" s="483"/>
      <c r="W2462" s="483"/>
      <c r="X2462" s="483"/>
      <c r="Y2462" s="483"/>
      <c r="Z2462" s="483"/>
      <c r="AA2462" s="483"/>
      <c r="AB2462" s="483"/>
      <c r="AC2462" s="483"/>
      <c r="AD2462" s="483"/>
      <c r="AE2462" s="483"/>
      <c r="AF2462" s="483"/>
      <c r="AG2462" s="483"/>
      <c r="AH2462" s="483"/>
      <c r="AI2462" s="483"/>
      <c r="AJ2462" s="483"/>
      <c r="AK2462" s="483"/>
      <c r="AL2462" s="483"/>
      <c r="AM2462" s="670"/>
      <c r="AN2462" s="670"/>
      <c r="AO2462" s="711" t="str">
        <f>IF(OR(Table1[[#This Row],[Início Setup Envase]]="",Table1[[#This Row],[Final Setup Envase]]=""),"",Table1[[#This Row],[Final Setup Envase]]-Table1[[#This Row],[Início Setup Envase]])</f>
        <v/>
      </c>
      <c r="AP2462" s="670"/>
      <c r="AQ2462" s="670"/>
      <c r="AR2462" s="483"/>
      <c r="AS2462" s="483"/>
      <c r="AT2462" s="483"/>
      <c r="AU2462" s="483"/>
      <c r="AV2462" s="483"/>
      <c r="AW2462" s="483"/>
      <c r="AX2462" s="483"/>
      <c r="AY2462" s="270"/>
      <c r="AZ2462" s="270"/>
      <c r="BA2462" s="270" t="str">
        <f>IF(Table1[[#This Row],[Data de Início]]="","",YEAR(Table1[[#This Row],[Data de Início]]))</f>
        <v/>
      </c>
      <c r="BB2462" s="270" t="str">
        <f>IF(Table1[[#This Row],[Data de Início]]="","",MONTH(Table1[[#This Row],[Data de Início]]))</f>
        <v/>
      </c>
      <c r="BC2462" s="270"/>
    </row>
    <row r="2463" spans="2:55" x14ac:dyDescent="0.25">
      <c r="B2463" s="470"/>
      <c r="C2463" s="263"/>
      <c r="D2463" s="477" cm="1">
        <f t="array" ref="D2463">IFERROR(HorasUteisFabrica2Turnos(B2463,C2463), "")</f>
        <v>0</v>
      </c>
      <c r="E2463" s="697" t="str">
        <f t="shared" si="38"/>
        <v/>
      </c>
      <c r="F2463" s="266"/>
      <c r="G2463" s="698"/>
      <c r="H2463" s="266"/>
      <c r="I2463" s="268"/>
      <c r="J2463" s="268"/>
      <c r="K2463" s="268"/>
      <c r="L2463" s="269"/>
      <c r="M2463" s="510" t="str">
        <f>IFERROR(INDEX([1]Produtos!$C:$C,MATCH(L2463,[1]Produtos!$B:$B,0)), "-")</f>
        <v>-</v>
      </c>
      <c r="N2463" s="510" t="str">
        <f>IFERROR(INDEX([1]Produtos!$E:$E,MATCH(L2463,[1]Produtos!$B:$B,0)), "-")</f>
        <v>-</v>
      </c>
      <c r="O2463" s="270" t="str">
        <f>IFERROR(INDEX([1]Produtos!$F:$F,MATCH(L2463,[1]Produtos!$B:$B,0)), "-")</f>
        <v>-</v>
      </c>
      <c r="P2463" s="264" t="str">
        <f>IFERROR(INDEX([1]Produtos!$G:$G,MATCH(L2463,[1]Produtos!$B:$B,0)), "-")</f>
        <v>-</v>
      </c>
      <c r="Q2463" s="270" t="str">
        <f>IFERROR(INDEX([1]Produtos!$H:$H,MATCH(L2463,[1]Produtos!$B:$B,0)), "-")</f>
        <v>-</v>
      </c>
      <c r="R2463" s="270" t="str">
        <f>IFERROR(INDEX([1]Produtos!$I:$I,MATCH(L2463,[1]Produtos!$B:$B,0)), "-")</f>
        <v>-</v>
      </c>
      <c r="S2463" s="270" t="str">
        <f>IFERROR(INDEX([1]Produtos!$J:$J,MATCH(L2463,[1]Produtos!$B:$B,0)), "-")</f>
        <v>-</v>
      </c>
      <c r="T2463" s="475"/>
      <c r="U2463" s="270"/>
      <c r="V2463" s="270"/>
      <c r="W2463" s="270"/>
      <c r="X2463" s="270"/>
      <c r="Y2463" s="270"/>
      <c r="Z2463" s="270"/>
      <c r="AA2463" s="270"/>
      <c r="AB2463" s="270"/>
      <c r="AC2463" s="270"/>
      <c r="AD2463" s="270"/>
      <c r="AE2463" s="270"/>
      <c r="AF2463" s="270"/>
      <c r="AG2463" s="270"/>
      <c r="AH2463" s="270"/>
      <c r="AI2463" s="270"/>
      <c r="AJ2463" s="270"/>
      <c r="AK2463" s="270"/>
      <c r="AL2463" s="270"/>
      <c r="AM2463" s="663"/>
      <c r="AN2463" s="663"/>
      <c r="AO2463" s="708" t="str">
        <f>IF(OR(Table1[[#This Row],[Início Setup Envase]]="",Table1[[#This Row],[Final Setup Envase]]=""),"",Table1[[#This Row],[Final Setup Envase]]-Table1[[#This Row],[Início Setup Envase]])</f>
        <v/>
      </c>
      <c r="AP2463" s="663"/>
      <c r="AQ2463" s="663"/>
      <c r="AR2463" s="270"/>
      <c r="AS2463" s="674"/>
      <c r="AT2463" s="674"/>
      <c r="AU2463" s="270"/>
      <c r="AV2463" s="270"/>
      <c r="AW2463" s="270"/>
      <c r="AX2463" s="270"/>
      <c r="AY2463" s="270"/>
      <c r="AZ2463" s="270"/>
      <c r="BA2463" s="270" t="str">
        <f>IF(Table1[[#This Row],[Data de Início]]="","",YEAR(Table1[[#This Row],[Data de Início]]))</f>
        <v/>
      </c>
      <c r="BB2463" s="270" t="str">
        <f>IF(Table1[[#This Row],[Data de Início]]="","",MONTH(Table1[[#This Row],[Data de Início]]))</f>
        <v/>
      </c>
      <c r="BC2463" s="483"/>
    </row>
    <row r="2464" spans="2:55" x14ac:dyDescent="0.25">
      <c r="B2464" s="470"/>
      <c r="C2464" s="263"/>
      <c r="D2464" s="477" cm="1">
        <f t="array" ref="D2464">IFERROR(HorasUteisFabrica2Turnos(B2464,C2464), "")</f>
        <v>0</v>
      </c>
      <c r="E2464" s="478" t="str">
        <f t="shared" si="38"/>
        <v/>
      </c>
      <c r="F2464" s="266"/>
      <c r="G2464" s="656"/>
      <c r="H2464" s="479"/>
      <c r="I2464" s="268"/>
      <c r="J2464" s="268"/>
      <c r="K2464" s="268"/>
      <c r="L2464" s="269"/>
      <c r="M2464" s="511" t="str">
        <f>IFERROR(INDEX([1]Produtos!$C:$C,MATCH(L2464,[1]Produtos!$B:$B,0)), "-")</f>
        <v>-</v>
      </c>
      <c r="N2464" s="511" t="str">
        <f>IFERROR(INDEX([1]Produtos!$E:$E,MATCH(L2464,[1]Produtos!$B:$B,0)), "-")</f>
        <v>-</v>
      </c>
      <c r="O2464" s="483" t="str">
        <f>IFERROR(INDEX([1]Produtos!$F:$F,MATCH(L2464,[1]Produtos!$B:$B,0)), "-")</f>
        <v>-</v>
      </c>
      <c r="P2464" s="477" t="str">
        <f>IFERROR(INDEX([1]Produtos!$G:$G,MATCH(L2464,[1]Produtos!$B:$B,0)), "-")</f>
        <v>-</v>
      </c>
      <c r="Q2464" s="483" t="str">
        <f>IFERROR(INDEX([1]Produtos!$H:$H,MATCH(L2464,[1]Produtos!$B:$B,0)), "-")</f>
        <v>-</v>
      </c>
      <c r="R2464" s="483" t="str">
        <f>IFERROR(INDEX([1]Produtos!$I:$I,MATCH(L2464,[1]Produtos!$B:$B,0)), "-")</f>
        <v>-</v>
      </c>
      <c r="S2464" s="483" t="str">
        <f>IFERROR(INDEX([1]Produtos!$J:$J,MATCH(L2464,[1]Produtos!$B:$B,0)), "-")</f>
        <v>-</v>
      </c>
      <c r="T2464" s="484"/>
      <c r="U2464" s="483"/>
      <c r="V2464" s="483"/>
      <c r="W2464" s="483"/>
      <c r="X2464" s="483"/>
      <c r="Y2464" s="483"/>
      <c r="Z2464" s="483"/>
      <c r="AA2464" s="483"/>
      <c r="AB2464" s="483"/>
      <c r="AC2464" s="483"/>
      <c r="AD2464" s="483"/>
      <c r="AE2464" s="483"/>
      <c r="AF2464" s="483"/>
      <c r="AG2464" s="483"/>
      <c r="AH2464" s="483"/>
      <c r="AI2464" s="483"/>
      <c r="AJ2464" s="483"/>
      <c r="AK2464" s="483"/>
      <c r="AL2464" s="483"/>
      <c r="AM2464" s="670"/>
      <c r="AN2464" s="670"/>
      <c r="AO2464" s="711" t="str">
        <f>IF(OR(Table1[[#This Row],[Início Setup Envase]]="",Table1[[#This Row],[Final Setup Envase]]=""),"",Table1[[#This Row],[Final Setup Envase]]-Table1[[#This Row],[Início Setup Envase]])</f>
        <v/>
      </c>
      <c r="AP2464" s="670"/>
      <c r="AQ2464" s="670"/>
      <c r="AR2464" s="483"/>
      <c r="AS2464" s="483"/>
      <c r="AT2464" s="483"/>
      <c r="AU2464" s="483"/>
      <c r="AV2464" s="483"/>
      <c r="AW2464" s="483"/>
      <c r="AX2464" s="483"/>
      <c r="AY2464" s="270"/>
      <c r="AZ2464" s="270"/>
      <c r="BA2464" s="270" t="str">
        <f>IF(Table1[[#This Row],[Data de Início]]="","",YEAR(Table1[[#This Row],[Data de Início]]))</f>
        <v/>
      </c>
      <c r="BB2464" s="270" t="str">
        <f>IF(Table1[[#This Row],[Data de Início]]="","",MONTH(Table1[[#This Row],[Data de Início]]))</f>
        <v/>
      </c>
      <c r="BC2464" s="270"/>
    </row>
    <row r="2465" spans="2:55" x14ac:dyDescent="0.25">
      <c r="B2465" s="470"/>
      <c r="C2465" s="263"/>
      <c r="D2465" s="477" cm="1">
        <f t="array" ref="D2465">IFERROR(HorasUteisFabrica2Turnos(B2465,C2465), "")</f>
        <v>0</v>
      </c>
      <c r="E2465" s="697" t="str">
        <f t="shared" si="38"/>
        <v/>
      </c>
      <c r="F2465" s="266"/>
      <c r="G2465" s="698"/>
      <c r="H2465" s="266"/>
      <c r="I2465" s="268"/>
      <c r="J2465" s="268"/>
      <c r="K2465" s="268"/>
      <c r="L2465" s="269"/>
      <c r="M2465" s="510" t="str">
        <f>IFERROR(INDEX([1]Produtos!$C:$C,MATCH(L2465,[1]Produtos!$B:$B,0)), "-")</f>
        <v>-</v>
      </c>
      <c r="N2465" s="510" t="str">
        <f>IFERROR(INDEX([1]Produtos!$E:$E,MATCH(L2465,[1]Produtos!$B:$B,0)), "-")</f>
        <v>-</v>
      </c>
      <c r="O2465" s="270" t="str">
        <f>IFERROR(INDEX([1]Produtos!$F:$F,MATCH(L2465,[1]Produtos!$B:$B,0)), "-")</f>
        <v>-</v>
      </c>
      <c r="P2465" s="264" t="str">
        <f>IFERROR(INDEX([1]Produtos!$G:$G,MATCH(L2465,[1]Produtos!$B:$B,0)), "-")</f>
        <v>-</v>
      </c>
      <c r="Q2465" s="270" t="str">
        <f>IFERROR(INDEX([1]Produtos!$H:$H,MATCH(L2465,[1]Produtos!$B:$B,0)), "-")</f>
        <v>-</v>
      </c>
      <c r="R2465" s="270" t="str">
        <f>IFERROR(INDEX([1]Produtos!$I:$I,MATCH(L2465,[1]Produtos!$B:$B,0)), "-")</f>
        <v>-</v>
      </c>
      <c r="S2465" s="270" t="str">
        <f>IFERROR(INDEX([1]Produtos!$J:$J,MATCH(L2465,[1]Produtos!$B:$B,0)), "-")</f>
        <v>-</v>
      </c>
      <c r="T2465" s="475"/>
      <c r="U2465" s="270"/>
      <c r="V2465" s="270"/>
      <c r="W2465" s="270"/>
      <c r="X2465" s="270"/>
      <c r="Y2465" s="270"/>
      <c r="Z2465" s="270"/>
      <c r="AA2465" s="270"/>
      <c r="AB2465" s="270"/>
      <c r="AC2465" s="270"/>
      <c r="AD2465" s="270"/>
      <c r="AE2465" s="270"/>
      <c r="AF2465" s="270"/>
      <c r="AG2465" s="270"/>
      <c r="AH2465" s="270"/>
      <c r="AI2465" s="270"/>
      <c r="AJ2465" s="270"/>
      <c r="AK2465" s="270"/>
      <c r="AL2465" s="270"/>
      <c r="AM2465" s="663"/>
      <c r="AN2465" s="663"/>
      <c r="AO2465" s="708" t="str">
        <f>IF(OR(Table1[[#This Row],[Início Setup Envase]]="",Table1[[#This Row],[Final Setup Envase]]=""),"",Table1[[#This Row],[Final Setup Envase]]-Table1[[#This Row],[Início Setup Envase]])</f>
        <v/>
      </c>
      <c r="AP2465" s="663"/>
      <c r="AQ2465" s="663"/>
      <c r="AR2465" s="270"/>
      <c r="AS2465" s="674"/>
      <c r="AT2465" s="674"/>
      <c r="AU2465" s="270"/>
      <c r="AV2465" s="270"/>
      <c r="AW2465" s="270"/>
      <c r="AX2465" s="270"/>
      <c r="AY2465" s="270"/>
      <c r="AZ2465" s="270"/>
      <c r="BA2465" s="270" t="str">
        <f>IF(Table1[[#This Row],[Data de Início]]="","",YEAR(Table1[[#This Row],[Data de Início]]))</f>
        <v/>
      </c>
      <c r="BB2465" s="270" t="str">
        <f>IF(Table1[[#This Row],[Data de Início]]="","",MONTH(Table1[[#This Row],[Data de Início]]))</f>
        <v/>
      </c>
      <c r="BC2465" s="483"/>
    </row>
    <row r="2466" spans="2:55" x14ac:dyDescent="0.25">
      <c r="B2466" s="470"/>
      <c r="C2466" s="263"/>
      <c r="D2466" s="477" cm="1">
        <f t="array" ref="D2466">IFERROR(HorasUteisFabrica2Turnos(B2466,C2466), "")</f>
        <v>0</v>
      </c>
      <c r="E2466" s="478" t="str">
        <f t="shared" si="38"/>
        <v/>
      </c>
      <c r="F2466" s="266"/>
      <c r="G2466" s="656"/>
      <c r="H2466" s="479"/>
      <c r="I2466" s="268"/>
      <c r="J2466" s="268"/>
      <c r="K2466" s="268"/>
      <c r="L2466" s="269"/>
      <c r="M2466" s="511" t="str">
        <f>IFERROR(INDEX([1]Produtos!$C:$C,MATCH(L2466,[1]Produtos!$B:$B,0)), "-")</f>
        <v>-</v>
      </c>
      <c r="N2466" s="511" t="str">
        <f>IFERROR(INDEX([1]Produtos!$E:$E,MATCH(L2466,[1]Produtos!$B:$B,0)), "-")</f>
        <v>-</v>
      </c>
      <c r="O2466" s="483" t="str">
        <f>IFERROR(INDEX([1]Produtos!$F:$F,MATCH(L2466,[1]Produtos!$B:$B,0)), "-")</f>
        <v>-</v>
      </c>
      <c r="P2466" s="477" t="str">
        <f>IFERROR(INDEX([1]Produtos!$G:$G,MATCH(L2466,[1]Produtos!$B:$B,0)), "-")</f>
        <v>-</v>
      </c>
      <c r="Q2466" s="483" t="str">
        <f>IFERROR(INDEX([1]Produtos!$H:$H,MATCH(L2466,[1]Produtos!$B:$B,0)), "-")</f>
        <v>-</v>
      </c>
      <c r="R2466" s="483" t="str">
        <f>IFERROR(INDEX([1]Produtos!$I:$I,MATCH(L2466,[1]Produtos!$B:$B,0)), "-")</f>
        <v>-</v>
      </c>
      <c r="S2466" s="483" t="str">
        <f>IFERROR(INDEX([1]Produtos!$J:$J,MATCH(L2466,[1]Produtos!$B:$B,0)), "-")</f>
        <v>-</v>
      </c>
      <c r="T2466" s="484"/>
      <c r="U2466" s="483"/>
      <c r="V2466" s="483"/>
      <c r="W2466" s="483"/>
      <c r="X2466" s="483"/>
      <c r="Y2466" s="483"/>
      <c r="Z2466" s="483"/>
      <c r="AA2466" s="483"/>
      <c r="AB2466" s="483"/>
      <c r="AC2466" s="483"/>
      <c r="AD2466" s="483"/>
      <c r="AE2466" s="483"/>
      <c r="AF2466" s="483"/>
      <c r="AG2466" s="483"/>
      <c r="AH2466" s="483"/>
      <c r="AI2466" s="483"/>
      <c r="AJ2466" s="483"/>
      <c r="AK2466" s="483"/>
      <c r="AL2466" s="483"/>
      <c r="AM2466" s="670"/>
      <c r="AN2466" s="670"/>
      <c r="AO2466" s="711" t="str">
        <f>IF(OR(Table1[[#This Row],[Início Setup Envase]]="",Table1[[#This Row],[Final Setup Envase]]=""),"",Table1[[#This Row],[Final Setup Envase]]-Table1[[#This Row],[Início Setup Envase]])</f>
        <v/>
      </c>
      <c r="AP2466" s="670"/>
      <c r="AQ2466" s="670"/>
      <c r="AR2466" s="483"/>
      <c r="AS2466" s="483"/>
      <c r="AT2466" s="483"/>
      <c r="AU2466" s="483"/>
      <c r="AV2466" s="483"/>
      <c r="AW2466" s="483"/>
      <c r="AX2466" s="483"/>
      <c r="AY2466" s="270"/>
      <c r="AZ2466" s="270"/>
      <c r="BA2466" s="270" t="str">
        <f>IF(Table1[[#This Row],[Data de Início]]="","",YEAR(Table1[[#This Row],[Data de Início]]))</f>
        <v/>
      </c>
      <c r="BB2466" s="270" t="str">
        <f>IF(Table1[[#This Row],[Data de Início]]="","",MONTH(Table1[[#This Row],[Data de Início]]))</f>
        <v/>
      </c>
      <c r="BC2466" s="270"/>
    </row>
    <row r="2467" spans="2:55" x14ac:dyDescent="0.25">
      <c r="B2467" s="470"/>
      <c r="C2467" s="263"/>
      <c r="D2467" s="477" cm="1">
        <f t="array" ref="D2467">IFERROR(HorasUteisFabrica2Turnos(B2467,C2467), "")</f>
        <v>0</v>
      </c>
      <c r="E2467" s="697" t="str">
        <f t="shared" si="38"/>
        <v/>
      </c>
      <c r="F2467" s="266"/>
      <c r="G2467" s="698"/>
      <c r="H2467" s="266"/>
      <c r="I2467" s="268"/>
      <c r="J2467" s="268"/>
      <c r="K2467" s="268"/>
      <c r="L2467" s="269"/>
      <c r="M2467" s="510" t="str">
        <f>IFERROR(INDEX([1]Produtos!$C:$C,MATCH(L2467,[1]Produtos!$B:$B,0)), "-")</f>
        <v>-</v>
      </c>
      <c r="N2467" s="510" t="str">
        <f>IFERROR(INDEX([1]Produtos!$E:$E,MATCH(L2467,[1]Produtos!$B:$B,0)), "-")</f>
        <v>-</v>
      </c>
      <c r="O2467" s="270" t="str">
        <f>IFERROR(INDEX([1]Produtos!$F:$F,MATCH(L2467,[1]Produtos!$B:$B,0)), "-")</f>
        <v>-</v>
      </c>
      <c r="P2467" s="264" t="str">
        <f>IFERROR(INDEX([1]Produtos!$G:$G,MATCH(L2467,[1]Produtos!$B:$B,0)), "-")</f>
        <v>-</v>
      </c>
      <c r="Q2467" s="270" t="str">
        <f>IFERROR(INDEX([1]Produtos!$H:$H,MATCH(L2467,[1]Produtos!$B:$B,0)), "-")</f>
        <v>-</v>
      </c>
      <c r="R2467" s="270" t="str">
        <f>IFERROR(INDEX([1]Produtos!$I:$I,MATCH(L2467,[1]Produtos!$B:$B,0)), "-")</f>
        <v>-</v>
      </c>
      <c r="S2467" s="270" t="str">
        <f>IFERROR(INDEX([1]Produtos!$J:$J,MATCH(L2467,[1]Produtos!$B:$B,0)), "-")</f>
        <v>-</v>
      </c>
      <c r="T2467" s="475"/>
      <c r="U2467" s="270"/>
      <c r="V2467" s="270"/>
      <c r="W2467" s="270"/>
      <c r="X2467" s="270"/>
      <c r="Y2467" s="270"/>
      <c r="Z2467" s="270"/>
      <c r="AA2467" s="270"/>
      <c r="AB2467" s="270"/>
      <c r="AC2467" s="270"/>
      <c r="AD2467" s="270"/>
      <c r="AE2467" s="270"/>
      <c r="AF2467" s="270"/>
      <c r="AG2467" s="270"/>
      <c r="AH2467" s="270"/>
      <c r="AI2467" s="270"/>
      <c r="AJ2467" s="270"/>
      <c r="AK2467" s="270"/>
      <c r="AL2467" s="270"/>
      <c r="AM2467" s="663"/>
      <c r="AN2467" s="663"/>
      <c r="AO2467" s="708" t="str">
        <f>IF(OR(Table1[[#This Row],[Início Setup Envase]]="",Table1[[#This Row],[Final Setup Envase]]=""),"",Table1[[#This Row],[Final Setup Envase]]-Table1[[#This Row],[Início Setup Envase]])</f>
        <v/>
      </c>
      <c r="AP2467" s="663"/>
      <c r="AQ2467" s="663"/>
      <c r="AR2467" s="270"/>
      <c r="AS2467" s="674"/>
      <c r="AT2467" s="674"/>
      <c r="AU2467" s="270"/>
      <c r="AV2467" s="270"/>
      <c r="AW2467" s="270"/>
      <c r="AX2467" s="270"/>
      <c r="AY2467" s="270"/>
      <c r="AZ2467" s="270"/>
      <c r="BA2467" s="270" t="str">
        <f>IF(Table1[[#This Row],[Data de Início]]="","",YEAR(Table1[[#This Row],[Data de Início]]))</f>
        <v/>
      </c>
      <c r="BB2467" s="270" t="str">
        <f>IF(Table1[[#This Row],[Data de Início]]="","",MONTH(Table1[[#This Row],[Data de Início]]))</f>
        <v/>
      </c>
      <c r="BC2467" s="483"/>
    </row>
    <row r="2468" spans="2:55" x14ac:dyDescent="0.25">
      <c r="B2468" s="470"/>
      <c r="C2468" s="263"/>
      <c r="D2468" s="477" cm="1">
        <f t="array" ref="D2468">IFERROR(HorasUteisFabrica2Turnos(B2468,C2468), "")</f>
        <v>0</v>
      </c>
      <c r="E2468" s="478" t="str">
        <f t="shared" si="38"/>
        <v/>
      </c>
      <c r="F2468" s="266"/>
      <c r="G2468" s="656"/>
      <c r="H2468" s="479"/>
      <c r="I2468" s="268"/>
      <c r="J2468" s="268"/>
      <c r="K2468" s="268"/>
      <c r="L2468" s="269"/>
      <c r="M2468" s="511" t="str">
        <f>IFERROR(INDEX([1]Produtos!$C:$C,MATCH(L2468,[1]Produtos!$B:$B,0)), "-")</f>
        <v>-</v>
      </c>
      <c r="N2468" s="511" t="str">
        <f>IFERROR(INDEX([1]Produtos!$E:$E,MATCH(L2468,[1]Produtos!$B:$B,0)), "-")</f>
        <v>-</v>
      </c>
      <c r="O2468" s="483" t="str">
        <f>IFERROR(INDEX([1]Produtos!$F:$F,MATCH(L2468,[1]Produtos!$B:$B,0)), "-")</f>
        <v>-</v>
      </c>
      <c r="P2468" s="477" t="str">
        <f>IFERROR(INDEX([1]Produtos!$G:$G,MATCH(L2468,[1]Produtos!$B:$B,0)), "-")</f>
        <v>-</v>
      </c>
      <c r="Q2468" s="483" t="str">
        <f>IFERROR(INDEX([1]Produtos!$H:$H,MATCH(L2468,[1]Produtos!$B:$B,0)), "-")</f>
        <v>-</v>
      </c>
      <c r="R2468" s="483" t="str">
        <f>IFERROR(INDEX([1]Produtos!$I:$I,MATCH(L2468,[1]Produtos!$B:$B,0)), "-")</f>
        <v>-</v>
      </c>
      <c r="S2468" s="483" t="str">
        <f>IFERROR(INDEX([1]Produtos!$J:$J,MATCH(L2468,[1]Produtos!$B:$B,0)), "-")</f>
        <v>-</v>
      </c>
      <c r="T2468" s="484"/>
      <c r="U2468" s="483"/>
      <c r="V2468" s="483"/>
      <c r="W2468" s="483"/>
      <c r="X2468" s="483"/>
      <c r="Y2468" s="483"/>
      <c r="Z2468" s="483"/>
      <c r="AA2468" s="483"/>
      <c r="AB2468" s="483"/>
      <c r="AC2468" s="483"/>
      <c r="AD2468" s="483"/>
      <c r="AE2468" s="483"/>
      <c r="AF2468" s="483"/>
      <c r="AG2468" s="483"/>
      <c r="AH2468" s="483"/>
      <c r="AI2468" s="483"/>
      <c r="AJ2468" s="483"/>
      <c r="AK2468" s="483"/>
      <c r="AL2468" s="483"/>
      <c r="AM2468" s="670"/>
      <c r="AN2468" s="670"/>
      <c r="AO2468" s="711" t="str">
        <f>IF(OR(Table1[[#This Row],[Início Setup Envase]]="",Table1[[#This Row],[Final Setup Envase]]=""),"",Table1[[#This Row],[Final Setup Envase]]-Table1[[#This Row],[Início Setup Envase]])</f>
        <v/>
      </c>
      <c r="AP2468" s="670"/>
      <c r="AQ2468" s="670"/>
      <c r="AR2468" s="483"/>
      <c r="AS2468" s="483"/>
      <c r="AT2468" s="483"/>
      <c r="AU2468" s="483"/>
      <c r="AV2468" s="483"/>
      <c r="AW2468" s="483"/>
      <c r="AX2468" s="483"/>
      <c r="AY2468" s="270"/>
      <c r="AZ2468" s="270"/>
      <c r="BA2468" s="270" t="str">
        <f>IF(Table1[[#This Row],[Data de Início]]="","",YEAR(Table1[[#This Row],[Data de Início]]))</f>
        <v/>
      </c>
      <c r="BB2468" s="270" t="str">
        <f>IF(Table1[[#This Row],[Data de Início]]="","",MONTH(Table1[[#This Row],[Data de Início]]))</f>
        <v/>
      </c>
      <c r="BC2468" s="270"/>
    </row>
    <row r="2469" spans="2:55" x14ac:dyDescent="0.25">
      <c r="B2469" s="470"/>
      <c r="C2469" s="263"/>
      <c r="D2469" s="477" cm="1">
        <f t="array" ref="D2469">IFERROR(HorasUteisFabrica2Turnos(B2469,C2469), "")</f>
        <v>0</v>
      </c>
      <c r="E2469" s="697" t="str">
        <f t="shared" ref="E2469:E2532" si="39">IFERROR(K2469/D2469, "")</f>
        <v/>
      </c>
      <c r="F2469" s="266"/>
      <c r="G2469" s="698"/>
      <c r="H2469" s="266"/>
      <c r="I2469" s="268"/>
      <c r="J2469" s="268"/>
      <c r="K2469" s="268"/>
      <c r="L2469" s="269"/>
      <c r="M2469" s="510" t="str">
        <f>IFERROR(INDEX([1]Produtos!$C:$C,MATCH(L2469,[1]Produtos!$B:$B,0)), "-")</f>
        <v>-</v>
      </c>
      <c r="N2469" s="510" t="str">
        <f>IFERROR(INDEX([1]Produtos!$E:$E,MATCH(L2469,[1]Produtos!$B:$B,0)), "-")</f>
        <v>-</v>
      </c>
      <c r="O2469" s="270" t="str">
        <f>IFERROR(INDEX([1]Produtos!$F:$F,MATCH(L2469,[1]Produtos!$B:$B,0)), "-")</f>
        <v>-</v>
      </c>
      <c r="P2469" s="264" t="str">
        <f>IFERROR(INDEX([1]Produtos!$G:$G,MATCH(L2469,[1]Produtos!$B:$B,0)), "-")</f>
        <v>-</v>
      </c>
      <c r="Q2469" s="270" t="str">
        <f>IFERROR(INDEX([1]Produtos!$H:$H,MATCH(L2469,[1]Produtos!$B:$B,0)), "-")</f>
        <v>-</v>
      </c>
      <c r="R2469" s="270" t="str">
        <f>IFERROR(INDEX([1]Produtos!$I:$I,MATCH(L2469,[1]Produtos!$B:$B,0)), "-")</f>
        <v>-</v>
      </c>
      <c r="S2469" s="270" t="str">
        <f>IFERROR(INDEX([1]Produtos!$J:$J,MATCH(L2469,[1]Produtos!$B:$B,0)), "-")</f>
        <v>-</v>
      </c>
      <c r="T2469" s="475"/>
      <c r="U2469" s="270"/>
      <c r="V2469" s="270"/>
      <c r="W2469" s="270"/>
      <c r="X2469" s="270"/>
      <c r="Y2469" s="270"/>
      <c r="Z2469" s="270"/>
      <c r="AA2469" s="270"/>
      <c r="AB2469" s="270"/>
      <c r="AC2469" s="270"/>
      <c r="AD2469" s="270"/>
      <c r="AE2469" s="270"/>
      <c r="AF2469" s="270"/>
      <c r="AG2469" s="270"/>
      <c r="AH2469" s="270"/>
      <c r="AI2469" s="270"/>
      <c r="AJ2469" s="270"/>
      <c r="AK2469" s="270"/>
      <c r="AL2469" s="270"/>
      <c r="AM2469" s="663"/>
      <c r="AN2469" s="663"/>
      <c r="AO2469" s="708" t="str">
        <f>IF(OR(Table1[[#This Row],[Início Setup Envase]]="",Table1[[#This Row],[Final Setup Envase]]=""),"",Table1[[#This Row],[Final Setup Envase]]-Table1[[#This Row],[Início Setup Envase]])</f>
        <v/>
      </c>
      <c r="AP2469" s="663"/>
      <c r="AQ2469" s="663"/>
      <c r="AR2469" s="270"/>
      <c r="AS2469" s="674"/>
      <c r="AT2469" s="674"/>
      <c r="AU2469" s="270"/>
      <c r="AV2469" s="270"/>
      <c r="AW2469" s="270"/>
      <c r="AX2469" s="270"/>
      <c r="AY2469" s="270"/>
      <c r="AZ2469" s="270"/>
      <c r="BA2469" s="270" t="str">
        <f>IF(Table1[[#This Row],[Data de Início]]="","",YEAR(Table1[[#This Row],[Data de Início]]))</f>
        <v/>
      </c>
      <c r="BB2469" s="270" t="str">
        <f>IF(Table1[[#This Row],[Data de Início]]="","",MONTH(Table1[[#This Row],[Data de Início]]))</f>
        <v/>
      </c>
      <c r="BC2469" s="483"/>
    </row>
    <row r="2470" spans="2:55" x14ac:dyDescent="0.25">
      <c r="B2470" s="470"/>
      <c r="C2470" s="263"/>
      <c r="D2470" s="477" cm="1">
        <f t="array" ref="D2470">IFERROR(HorasUteisFabrica2Turnos(B2470,C2470), "")</f>
        <v>0</v>
      </c>
      <c r="E2470" s="478" t="str">
        <f t="shared" si="39"/>
        <v/>
      </c>
      <c r="F2470" s="266"/>
      <c r="G2470" s="656"/>
      <c r="H2470" s="479"/>
      <c r="I2470" s="268"/>
      <c r="J2470" s="268"/>
      <c r="K2470" s="268"/>
      <c r="L2470" s="269"/>
      <c r="M2470" s="511" t="str">
        <f>IFERROR(INDEX([1]Produtos!$C:$C,MATCH(L2470,[1]Produtos!$B:$B,0)), "-")</f>
        <v>-</v>
      </c>
      <c r="N2470" s="511" t="str">
        <f>IFERROR(INDEX([1]Produtos!$E:$E,MATCH(L2470,[1]Produtos!$B:$B,0)), "-")</f>
        <v>-</v>
      </c>
      <c r="O2470" s="483" t="str">
        <f>IFERROR(INDEX([1]Produtos!$F:$F,MATCH(L2470,[1]Produtos!$B:$B,0)), "-")</f>
        <v>-</v>
      </c>
      <c r="P2470" s="477" t="str">
        <f>IFERROR(INDEX([1]Produtos!$G:$G,MATCH(L2470,[1]Produtos!$B:$B,0)), "-")</f>
        <v>-</v>
      </c>
      <c r="Q2470" s="483" t="str">
        <f>IFERROR(INDEX([1]Produtos!$H:$H,MATCH(L2470,[1]Produtos!$B:$B,0)), "-")</f>
        <v>-</v>
      </c>
      <c r="R2470" s="483" t="str">
        <f>IFERROR(INDEX([1]Produtos!$I:$I,MATCH(L2470,[1]Produtos!$B:$B,0)), "-")</f>
        <v>-</v>
      </c>
      <c r="S2470" s="483" t="str">
        <f>IFERROR(INDEX([1]Produtos!$J:$J,MATCH(L2470,[1]Produtos!$B:$B,0)), "-")</f>
        <v>-</v>
      </c>
      <c r="T2470" s="484"/>
      <c r="U2470" s="483"/>
      <c r="V2470" s="483"/>
      <c r="W2470" s="483"/>
      <c r="X2470" s="483"/>
      <c r="Y2470" s="483"/>
      <c r="Z2470" s="483"/>
      <c r="AA2470" s="483"/>
      <c r="AB2470" s="483"/>
      <c r="AC2470" s="483"/>
      <c r="AD2470" s="483"/>
      <c r="AE2470" s="483"/>
      <c r="AF2470" s="483"/>
      <c r="AG2470" s="483"/>
      <c r="AH2470" s="483"/>
      <c r="AI2470" s="483"/>
      <c r="AJ2470" s="483"/>
      <c r="AK2470" s="483"/>
      <c r="AL2470" s="483"/>
      <c r="AM2470" s="670"/>
      <c r="AN2470" s="670"/>
      <c r="AO2470" s="711" t="str">
        <f>IF(OR(Table1[[#This Row],[Início Setup Envase]]="",Table1[[#This Row],[Final Setup Envase]]=""),"",Table1[[#This Row],[Final Setup Envase]]-Table1[[#This Row],[Início Setup Envase]])</f>
        <v/>
      </c>
      <c r="AP2470" s="670"/>
      <c r="AQ2470" s="670"/>
      <c r="AR2470" s="483"/>
      <c r="AS2470" s="483"/>
      <c r="AT2470" s="483"/>
      <c r="AU2470" s="483"/>
      <c r="AV2470" s="483"/>
      <c r="AW2470" s="483"/>
      <c r="AX2470" s="483"/>
      <c r="AY2470" s="270"/>
      <c r="AZ2470" s="270"/>
      <c r="BA2470" s="270" t="str">
        <f>IF(Table1[[#This Row],[Data de Início]]="","",YEAR(Table1[[#This Row],[Data de Início]]))</f>
        <v/>
      </c>
      <c r="BB2470" s="270" t="str">
        <f>IF(Table1[[#This Row],[Data de Início]]="","",MONTH(Table1[[#This Row],[Data de Início]]))</f>
        <v/>
      </c>
      <c r="BC2470" s="270"/>
    </row>
    <row r="2471" spans="2:55" x14ac:dyDescent="0.25">
      <c r="B2471" s="470"/>
      <c r="C2471" s="263"/>
      <c r="D2471" s="477" cm="1">
        <f t="array" ref="D2471">IFERROR(HorasUteisFabrica2Turnos(B2471,C2471), "")</f>
        <v>0</v>
      </c>
      <c r="E2471" s="697" t="str">
        <f t="shared" si="39"/>
        <v/>
      </c>
      <c r="F2471" s="266"/>
      <c r="G2471" s="698"/>
      <c r="H2471" s="266"/>
      <c r="I2471" s="268"/>
      <c r="J2471" s="268"/>
      <c r="K2471" s="268"/>
      <c r="L2471" s="269"/>
      <c r="M2471" s="510" t="str">
        <f>IFERROR(INDEX([1]Produtos!$C:$C,MATCH(L2471,[1]Produtos!$B:$B,0)), "-")</f>
        <v>-</v>
      </c>
      <c r="N2471" s="510" t="str">
        <f>IFERROR(INDEX([1]Produtos!$E:$E,MATCH(L2471,[1]Produtos!$B:$B,0)), "-")</f>
        <v>-</v>
      </c>
      <c r="O2471" s="270" t="str">
        <f>IFERROR(INDEX([1]Produtos!$F:$F,MATCH(L2471,[1]Produtos!$B:$B,0)), "-")</f>
        <v>-</v>
      </c>
      <c r="P2471" s="264" t="str">
        <f>IFERROR(INDEX([1]Produtos!$G:$G,MATCH(L2471,[1]Produtos!$B:$B,0)), "-")</f>
        <v>-</v>
      </c>
      <c r="Q2471" s="270" t="str">
        <f>IFERROR(INDEX([1]Produtos!$H:$H,MATCH(L2471,[1]Produtos!$B:$B,0)), "-")</f>
        <v>-</v>
      </c>
      <c r="R2471" s="270" t="str">
        <f>IFERROR(INDEX([1]Produtos!$I:$I,MATCH(L2471,[1]Produtos!$B:$B,0)), "-")</f>
        <v>-</v>
      </c>
      <c r="S2471" s="270" t="str">
        <f>IFERROR(INDEX([1]Produtos!$J:$J,MATCH(L2471,[1]Produtos!$B:$B,0)), "-")</f>
        <v>-</v>
      </c>
      <c r="T2471" s="475"/>
      <c r="U2471" s="270"/>
      <c r="V2471" s="270"/>
      <c r="W2471" s="270"/>
      <c r="X2471" s="270"/>
      <c r="Y2471" s="270"/>
      <c r="Z2471" s="270"/>
      <c r="AA2471" s="270"/>
      <c r="AB2471" s="270"/>
      <c r="AC2471" s="270"/>
      <c r="AD2471" s="270"/>
      <c r="AE2471" s="270"/>
      <c r="AF2471" s="270"/>
      <c r="AG2471" s="270"/>
      <c r="AH2471" s="270"/>
      <c r="AI2471" s="270"/>
      <c r="AJ2471" s="270"/>
      <c r="AK2471" s="270"/>
      <c r="AL2471" s="270"/>
      <c r="AM2471" s="663"/>
      <c r="AN2471" s="663"/>
      <c r="AO2471" s="708" t="str">
        <f>IF(OR(Table1[[#This Row],[Início Setup Envase]]="",Table1[[#This Row],[Final Setup Envase]]=""),"",Table1[[#This Row],[Final Setup Envase]]-Table1[[#This Row],[Início Setup Envase]])</f>
        <v/>
      </c>
      <c r="AP2471" s="663"/>
      <c r="AQ2471" s="663"/>
      <c r="AR2471" s="270"/>
      <c r="AS2471" s="674"/>
      <c r="AT2471" s="674"/>
      <c r="AU2471" s="270"/>
      <c r="AV2471" s="270"/>
      <c r="AW2471" s="270"/>
      <c r="AX2471" s="270"/>
      <c r="AY2471" s="270"/>
      <c r="AZ2471" s="270"/>
      <c r="BA2471" s="270" t="str">
        <f>IF(Table1[[#This Row],[Data de Início]]="","",YEAR(Table1[[#This Row],[Data de Início]]))</f>
        <v/>
      </c>
      <c r="BB2471" s="270" t="str">
        <f>IF(Table1[[#This Row],[Data de Início]]="","",MONTH(Table1[[#This Row],[Data de Início]]))</f>
        <v/>
      </c>
      <c r="BC2471" s="483"/>
    </row>
    <row r="2472" spans="2:55" x14ac:dyDescent="0.25">
      <c r="B2472" s="470"/>
      <c r="C2472" s="263"/>
      <c r="D2472" s="477" cm="1">
        <f t="array" ref="D2472">IFERROR(HorasUteisFabrica2Turnos(B2472,C2472), "")</f>
        <v>0</v>
      </c>
      <c r="E2472" s="478" t="str">
        <f t="shared" si="39"/>
        <v/>
      </c>
      <c r="F2472" s="266"/>
      <c r="G2472" s="656"/>
      <c r="H2472" s="479"/>
      <c r="I2472" s="268"/>
      <c r="J2472" s="268"/>
      <c r="K2472" s="268"/>
      <c r="L2472" s="269"/>
      <c r="M2472" s="511" t="str">
        <f>IFERROR(INDEX([1]Produtos!$C:$C,MATCH(L2472,[1]Produtos!$B:$B,0)), "-")</f>
        <v>-</v>
      </c>
      <c r="N2472" s="511" t="str">
        <f>IFERROR(INDEX([1]Produtos!$E:$E,MATCH(L2472,[1]Produtos!$B:$B,0)), "-")</f>
        <v>-</v>
      </c>
      <c r="O2472" s="483" t="str">
        <f>IFERROR(INDEX([1]Produtos!$F:$F,MATCH(L2472,[1]Produtos!$B:$B,0)), "-")</f>
        <v>-</v>
      </c>
      <c r="P2472" s="477" t="str">
        <f>IFERROR(INDEX([1]Produtos!$G:$G,MATCH(L2472,[1]Produtos!$B:$B,0)), "-")</f>
        <v>-</v>
      </c>
      <c r="Q2472" s="483" t="str">
        <f>IFERROR(INDEX([1]Produtos!$H:$H,MATCH(L2472,[1]Produtos!$B:$B,0)), "-")</f>
        <v>-</v>
      </c>
      <c r="R2472" s="483" t="str">
        <f>IFERROR(INDEX([1]Produtos!$I:$I,MATCH(L2472,[1]Produtos!$B:$B,0)), "-")</f>
        <v>-</v>
      </c>
      <c r="S2472" s="483" t="str">
        <f>IFERROR(INDEX([1]Produtos!$J:$J,MATCH(L2472,[1]Produtos!$B:$B,0)), "-")</f>
        <v>-</v>
      </c>
      <c r="T2472" s="484"/>
      <c r="U2472" s="483"/>
      <c r="V2472" s="483"/>
      <c r="W2472" s="483"/>
      <c r="X2472" s="483"/>
      <c r="Y2472" s="483"/>
      <c r="Z2472" s="483"/>
      <c r="AA2472" s="483"/>
      <c r="AB2472" s="483"/>
      <c r="AC2472" s="483"/>
      <c r="AD2472" s="483"/>
      <c r="AE2472" s="483"/>
      <c r="AF2472" s="483"/>
      <c r="AG2472" s="483"/>
      <c r="AH2472" s="483"/>
      <c r="AI2472" s="483"/>
      <c r="AJ2472" s="483"/>
      <c r="AK2472" s="483"/>
      <c r="AL2472" s="483"/>
      <c r="AM2472" s="670"/>
      <c r="AN2472" s="670"/>
      <c r="AO2472" s="711" t="str">
        <f>IF(OR(Table1[[#This Row],[Início Setup Envase]]="",Table1[[#This Row],[Final Setup Envase]]=""),"",Table1[[#This Row],[Final Setup Envase]]-Table1[[#This Row],[Início Setup Envase]])</f>
        <v/>
      </c>
      <c r="AP2472" s="670"/>
      <c r="AQ2472" s="670"/>
      <c r="AR2472" s="483"/>
      <c r="AS2472" s="483"/>
      <c r="AT2472" s="483"/>
      <c r="AU2472" s="483"/>
      <c r="AV2472" s="483"/>
      <c r="AW2472" s="483"/>
      <c r="AX2472" s="483"/>
      <c r="AY2472" s="270"/>
      <c r="AZ2472" s="270"/>
      <c r="BA2472" s="270" t="str">
        <f>IF(Table1[[#This Row],[Data de Início]]="","",YEAR(Table1[[#This Row],[Data de Início]]))</f>
        <v/>
      </c>
      <c r="BB2472" s="270" t="str">
        <f>IF(Table1[[#This Row],[Data de Início]]="","",MONTH(Table1[[#This Row],[Data de Início]]))</f>
        <v/>
      </c>
      <c r="BC2472" s="270"/>
    </row>
    <row r="2473" spans="2:55" x14ac:dyDescent="0.25">
      <c r="B2473" s="470"/>
      <c r="C2473" s="263"/>
      <c r="D2473" s="477" cm="1">
        <f t="array" ref="D2473">IFERROR(HorasUteisFabrica2Turnos(B2473,C2473), "")</f>
        <v>0</v>
      </c>
      <c r="E2473" s="697" t="str">
        <f t="shared" si="39"/>
        <v/>
      </c>
      <c r="F2473" s="266"/>
      <c r="G2473" s="698"/>
      <c r="H2473" s="266"/>
      <c r="I2473" s="268"/>
      <c r="J2473" s="268"/>
      <c r="K2473" s="268"/>
      <c r="L2473" s="269"/>
      <c r="M2473" s="510" t="str">
        <f>IFERROR(INDEX([1]Produtos!$C:$C,MATCH(L2473,[1]Produtos!$B:$B,0)), "-")</f>
        <v>-</v>
      </c>
      <c r="N2473" s="510" t="str">
        <f>IFERROR(INDEX([1]Produtos!$E:$E,MATCH(L2473,[1]Produtos!$B:$B,0)), "-")</f>
        <v>-</v>
      </c>
      <c r="O2473" s="270" t="str">
        <f>IFERROR(INDEX([1]Produtos!$F:$F,MATCH(L2473,[1]Produtos!$B:$B,0)), "-")</f>
        <v>-</v>
      </c>
      <c r="P2473" s="264" t="str">
        <f>IFERROR(INDEX([1]Produtos!$G:$G,MATCH(L2473,[1]Produtos!$B:$B,0)), "-")</f>
        <v>-</v>
      </c>
      <c r="Q2473" s="270" t="str">
        <f>IFERROR(INDEX([1]Produtos!$H:$H,MATCH(L2473,[1]Produtos!$B:$B,0)), "-")</f>
        <v>-</v>
      </c>
      <c r="R2473" s="270" t="str">
        <f>IFERROR(INDEX([1]Produtos!$I:$I,MATCH(L2473,[1]Produtos!$B:$B,0)), "-")</f>
        <v>-</v>
      </c>
      <c r="S2473" s="270" t="str">
        <f>IFERROR(INDEX([1]Produtos!$J:$J,MATCH(L2473,[1]Produtos!$B:$B,0)), "-")</f>
        <v>-</v>
      </c>
      <c r="T2473" s="475"/>
      <c r="U2473" s="270"/>
      <c r="V2473" s="270"/>
      <c r="W2473" s="270"/>
      <c r="X2473" s="270"/>
      <c r="Y2473" s="270"/>
      <c r="Z2473" s="270"/>
      <c r="AA2473" s="270"/>
      <c r="AB2473" s="270"/>
      <c r="AC2473" s="270"/>
      <c r="AD2473" s="270"/>
      <c r="AE2473" s="270"/>
      <c r="AF2473" s="270"/>
      <c r="AG2473" s="270"/>
      <c r="AH2473" s="270"/>
      <c r="AI2473" s="270"/>
      <c r="AJ2473" s="270"/>
      <c r="AK2473" s="270"/>
      <c r="AL2473" s="270"/>
      <c r="AM2473" s="663"/>
      <c r="AN2473" s="663"/>
      <c r="AO2473" s="708" t="str">
        <f>IF(OR(Table1[[#This Row],[Início Setup Envase]]="",Table1[[#This Row],[Final Setup Envase]]=""),"",Table1[[#This Row],[Final Setup Envase]]-Table1[[#This Row],[Início Setup Envase]])</f>
        <v/>
      </c>
      <c r="AP2473" s="663"/>
      <c r="AQ2473" s="663"/>
      <c r="AR2473" s="270"/>
      <c r="AS2473" s="674"/>
      <c r="AT2473" s="674"/>
      <c r="AU2473" s="270"/>
      <c r="AV2473" s="270"/>
      <c r="AW2473" s="270"/>
      <c r="AX2473" s="270"/>
      <c r="AY2473" s="270"/>
      <c r="AZ2473" s="270"/>
      <c r="BA2473" s="270" t="str">
        <f>IF(Table1[[#This Row],[Data de Início]]="","",YEAR(Table1[[#This Row],[Data de Início]]))</f>
        <v/>
      </c>
      <c r="BB2473" s="270" t="str">
        <f>IF(Table1[[#This Row],[Data de Início]]="","",MONTH(Table1[[#This Row],[Data de Início]]))</f>
        <v/>
      </c>
      <c r="BC2473" s="483"/>
    </row>
    <row r="2474" spans="2:55" x14ac:dyDescent="0.25">
      <c r="B2474" s="470"/>
      <c r="C2474" s="263"/>
      <c r="D2474" s="477" cm="1">
        <f t="array" ref="D2474">IFERROR(HorasUteisFabrica2Turnos(B2474,C2474), "")</f>
        <v>0</v>
      </c>
      <c r="E2474" s="478" t="str">
        <f t="shared" si="39"/>
        <v/>
      </c>
      <c r="F2474" s="266"/>
      <c r="G2474" s="656"/>
      <c r="H2474" s="479"/>
      <c r="I2474" s="268"/>
      <c r="J2474" s="268"/>
      <c r="K2474" s="268"/>
      <c r="L2474" s="269"/>
      <c r="M2474" s="511" t="str">
        <f>IFERROR(INDEX([1]Produtos!$C:$C,MATCH(L2474,[1]Produtos!$B:$B,0)), "-")</f>
        <v>-</v>
      </c>
      <c r="N2474" s="511" t="str">
        <f>IFERROR(INDEX([1]Produtos!$E:$E,MATCH(L2474,[1]Produtos!$B:$B,0)), "-")</f>
        <v>-</v>
      </c>
      <c r="O2474" s="483" t="str">
        <f>IFERROR(INDEX([1]Produtos!$F:$F,MATCH(L2474,[1]Produtos!$B:$B,0)), "-")</f>
        <v>-</v>
      </c>
      <c r="P2474" s="477" t="str">
        <f>IFERROR(INDEX([1]Produtos!$G:$G,MATCH(L2474,[1]Produtos!$B:$B,0)), "-")</f>
        <v>-</v>
      </c>
      <c r="Q2474" s="483" t="str">
        <f>IFERROR(INDEX([1]Produtos!$H:$H,MATCH(L2474,[1]Produtos!$B:$B,0)), "-")</f>
        <v>-</v>
      </c>
      <c r="R2474" s="483" t="str">
        <f>IFERROR(INDEX([1]Produtos!$I:$I,MATCH(L2474,[1]Produtos!$B:$B,0)), "-")</f>
        <v>-</v>
      </c>
      <c r="S2474" s="483" t="str">
        <f>IFERROR(INDEX([1]Produtos!$J:$J,MATCH(L2474,[1]Produtos!$B:$B,0)), "-")</f>
        <v>-</v>
      </c>
      <c r="T2474" s="484"/>
      <c r="U2474" s="483"/>
      <c r="V2474" s="483"/>
      <c r="W2474" s="483"/>
      <c r="X2474" s="483"/>
      <c r="Y2474" s="483"/>
      <c r="Z2474" s="483"/>
      <c r="AA2474" s="483"/>
      <c r="AB2474" s="483"/>
      <c r="AC2474" s="483"/>
      <c r="AD2474" s="483"/>
      <c r="AE2474" s="483"/>
      <c r="AF2474" s="483"/>
      <c r="AG2474" s="483"/>
      <c r="AH2474" s="483"/>
      <c r="AI2474" s="483"/>
      <c r="AJ2474" s="483"/>
      <c r="AK2474" s="483"/>
      <c r="AL2474" s="483"/>
      <c r="AM2474" s="670"/>
      <c r="AN2474" s="670"/>
      <c r="AO2474" s="711" t="str">
        <f>IF(OR(Table1[[#This Row],[Início Setup Envase]]="",Table1[[#This Row],[Final Setup Envase]]=""),"",Table1[[#This Row],[Final Setup Envase]]-Table1[[#This Row],[Início Setup Envase]])</f>
        <v/>
      </c>
      <c r="AP2474" s="670"/>
      <c r="AQ2474" s="670"/>
      <c r="AR2474" s="483"/>
      <c r="AS2474" s="483"/>
      <c r="AT2474" s="483"/>
      <c r="AU2474" s="483"/>
      <c r="AV2474" s="483"/>
      <c r="AW2474" s="483"/>
      <c r="AX2474" s="483"/>
      <c r="AY2474" s="270"/>
      <c r="AZ2474" s="270"/>
      <c r="BA2474" s="270" t="str">
        <f>IF(Table1[[#This Row],[Data de Início]]="","",YEAR(Table1[[#This Row],[Data de Início]]))</f>
        <v/>
      </c>
      <c r="BB2474" s="270" t="str">
        <f>IF(Table1[[#This Row],[Data de Início]]="","",MONTH(Table1[[#This Row],[Data de Início]]))</f>
        <v/>
      </c>
      <c r="BC2474" s="270"/>
    </row>
    <row r="2475" spans="2:55" x14ac:dyDescent="0.25">
      <c r="B2475" s="470"/>
      <c r="C2475" s="263"/>
      <c r="D2475" s="477" cm="1">
        <f t="array" ref="D2475">IFERROR(HorasUteisFabrica2Turnos(B2475,C2475), "")</f>
        <v>0</v>
      </c>
      <c r="E2475" s="697" t="str">
        <f t="shared" si="39"/>
        <v/>
      </c>
      <c r="F2475" s="266"/>
      <c r="G2475" s="698"/>
      <c r="H2475" s="266"/>
      <c r="I2475" s="268"/>
      <c r="J2475" s="268"/>
      <c r="K2475" s="268"/>
      <c r="L2475" s="269"/>
      <c r="M2475" s="510" t="str">
        <f>IFERROR(INDEX([1]Produtos!$C:$C,MATCH(L2475,[1]Produtos!$B:$B,0)), "-")</f>
        <v>-</v>
      </c>
      <c r="N2475" s="510" t="str">
        <f>IFERROR(INDEX([1]Produtos!$E:$E,MATCH(L2475,[1]Produtos!$B:$B,0)), "-")</f>
        <v>-</v>
      </c>
      <c r="O2475" s="270" t="str">
        <f>IFERROR(INDEX([1]Produtos!$F:$F,MATCH(L2475,[1]Produtos!$B:$B,0)), "-")</f>
        <v>-</v>
      </c>
      <c r="P2475" s="264" t="str">
        <f>IFERROR(INDEX([1]Produtos!$G:$G,MATCH(L2475,[1]Produtos!$B:$B,0)), "-")</f>
        <v>-</v>
      </c>
      <c r="Q2475" s="270" t="str">
        <f>IFERROR(INDEX([1]Produtos!$H:$H,MATCH(L2475,[1]Produtos!$B:$B,0)), "-")</f>
        <v>-</v>
      </c>
      <c r="R2475" s="270" t="str">
        <f>IFERROR(INDEX([1]Produtos!$I:$I,MATCH(L2475,[1]Produtos!$B:$B,0)), "-")</f>
        <v>-</v>
      </c>
      <c r="S2475" s="270" t="str">
        <f>IFERROR(INDEX([1]Produtos!$J:$J,MATCH(L2475,[1]Produtos!$B:$B,0)), "-")</f>
        <v>-</v>
      </c>
      <c r="T2475" s="475"/>
      <c r="U2475" s="270"/>
      <c r="V2475" s="270"/>
      <c r="W2475" s="270"/>
      <c r="X2475" s="270"/>
      <c r="Y2475" s="270"/>
      <c r="Z2475" s="270"/>
      <c r="AA2475" s="270"/>
      <c r="AB2475" s="270"/>
      <c r="AC2475" s="270"/>
      <c r="AD2475" s="270"/>
      <c r="AE2475" s="270"/>
      <c r="AF2475" s="270"/>
      <c r="AG2475" s="270"/>
      <c r="AH2475" s="270"/>
      <c r="AI2475" s="270"/>
      <c r="AJ2475" s="270"/>
      <c r="AK2475" s="270"/>
      <c r="AL2475" s="270"/>
      <c r="AM2475" s="663"/>
      <c r="AN2475" s="663"/>
      <c r="AO2475" s="708" t="str">
        <f>IF(OR(Table1[[#This Row],[Início Setup Envase]]="",Table1[[#This Row],[Final Setup Envase]]=""),"",Table1[[#This Row],[Final Setup Envase]]-Table1[[#This Row],[Início Setup Envase]])</f>
        <v/>
      </c>
      <c r="AP2475" s="663"/>
      <c r="AQ2475" s="663"/>
      <c r="AR2475" s="270"/>
      <c r="AS2475" s="674"/>
      <c r="AT2475" s="674"/>
      <c r="AU2475" s="270"/>
      <c r="AV2475" s="270"/>
      <c r="AW2475" s="270"/>
      <c r="AX2475" s="270"/>
      <c r="AY2475" s="270"/>
      <c r="AZ2475" s="270"/>
      <c r="BA2475" s="270" t="str">
        <f>IF(Table1[[#This Row],[Data de Início]]="","",YEAR(Table1[[#This Row],[Data de Início]]))</f>
        <v/>
      </c>
      <c r="BB2475" s="270" t="str">
        <f>IF(Table1[[#This Row],[Data de Início]]="","",MONTH(Table1[[#This Row],[Data de Início]]))</f>
        <v/>
      </c>
      <c r="BC2475" s="483"/>
    </row>
    <row r="2476" spans="2:55" x14ac:dyDescent="0.25">
      <c r="B2476" s="470"/>
      <c r="C2476" s="263"/>
      <c r="D2476" s="477" cm="1">
        <f t="array" ref="D2476">IFERROR(HorasUteisFabrica2Turnos(B2476,C2476), "")</f>
        <v>0</v>
      </c>
      <c r="E2476" s="478" t="str">
        <f t="shared" si="39"/>
        <v/>
      </c>
      <c r="F2476" s="266"/>
      <c r="G2476" s="656"/>
      <c r="H2476" s="479"/>
      <c r="I2476" s="268"/>
      <c r="J2476" s="268"/>
      <c r="K2476" s="268"/>
      <c r="L2476" s="269"/>
      <c r="M2476" s="511" t="str">
        <f>IFERROR(INDEX([1]Produtos!$C:$C,MATCH(L2476,[1]Produtos!$B:$B,0)), "-")</f>
        <v>-</v>
      </c>
      <c r="N2476" s="511" t="str">
        <f>IFERROR(INDEX([1]Produtos!$E:$E,MATCH(L2476,[1]Produtos!$B:$B,0)), "-")</f>
        <v>-</v>
      </c>
      <c r="O2476" s="483" t="str">
        <f>IFERROR(INDEX([1]Produtos!$F:$F,MATCH(L2476,[1]Produtos!$B:$B,0)), "-")</f>
        <v>-</v>
      </c>
      <c r="P2476" s="477" t="str">
        <f>IFERROR(INDEX([1]Produtos!$G:$G,MATCH(L2476,[1]Produtos!$B:$B,0)), "-")</f>
        <v>-</v>
      </c>
      <c r="Q2476" s="483" t="str">
        <f>IFERROR(INDEX([1]Produtos!$H:$H,MATCH(L2476,[1]Produtos!$B:$B,0)), "-")</f>
        <v>-</v>
      </c>
      <c r="R2476" s="483" t="str">
        <f>IFERROR(INDEX([1]Produtos!$I:$I,MATCH(L2476,[1]Produtos!$B:$B,0)), "-")</f>
        <v>-</v>
      </c>
      <c r="S2476" s="483" t="str">
        <f>IFERROR(INDEX([1]Produtos!$J:$J,MATCH(L2476,[1]Produtos!$B:$B,0)), "-")</f>
        <v>-</v>
      </c>
      <c r="T2476" s="484"/>
      <c r="U2476" s="483"/>
      <c r="V2476" s="483"/>
      <c r="W2476" s="483"/>
      <c r="X2476" s="483"/>
      <c r="Y2476" s="483"/>
      <c r="Z2476" s="483"/>
      <c r="AA2476" s="483"/>
      <c r="AB2476" s="483"/>
      <c r="AC2476" s="483"/>
      <c r="AD2476" s="483"/>
      <c r="AE2476" s="483"/>
      <c r="AF2476" s="483"/>
      <c r="AG2476" s="483"/>
      <c r="AH2476" s="483"/>
      <c r="AI2476" s="483"/>
      <c r="AJ2476" s="483"/>
      <c r="AK2476" s="483"/>
      <c r="AL2476" s="483"/>
      <c r="AM2476" s="670"/>
      <c r="AN2476" s="670"/>
      <c r="AO2476" s="711" t="str">
        <f>IF(OR(Table1[[#This Row],[Início Setup Envase]]="",Table1[[#This Row],[Final Setup Envase]]=""),"",Table1[[#This Row],[Final Setup Envase]]-Table1[[#This Row],[Início Setup Envase]])</f>
        <v/>
      </c>
      <c r="AP2476" s="670"/>
      <c r="AQ2476" s="670"/>
      <c r="AR2476" s="483"/>
      <c r="AS2476" s="483"/>
      <c r="AT2476" s="483"/>
      <c r="AU2476" s="483"/>
      <c r="AV2476" s="483"/>
      <c r="AW2476" s="483"/>
      <c r="AX2476" s="483"/>
      <c r="AY2476" s="270"/>
      <c r="AZ2476" s="270"/>
      <c r="BA2476" s="270" t="str">
        <f>IF(Table1[[#This Row],[Data de Início]]="","",YEAR(Table1[[#This Row],[Data de Início]]))</f>
        <v/>
      </c>
      <c r="BB2476" s="270" t="str">
        <f>IF(Table1[[#This Row],[Data de Início]]="","",MONTH(Table1[[#This Row],[Data de Início]]))</f>
        <v/>
      </c>
      <c r="BC2476" s="270"/>
    </row>
    <row r="2477" spans="2:55" x14ac:dyDescent="0.25">
      <c r="B2477" s="470"/>
      <c r="C2477" s="263"/>
      <c r="D2477" s="477" cm="1">
        <f t="array" ref="D2477">IFERROR(HorasUteisFabrica2Turnos(B2477,C2477), "")</f>
        <v>0</v>
      </c>
      <c r="E2477" s="697" t="str">
        <f t="shared" si="39"/>
        <v/>
      </c>
      <c r="F2477" s="266"/>
      <c r="G2477" s="698"/>
      <c r="H2477" s="266"/>
      <c r="I2477" s="268"/>
      <c r="J2477" s="268"/>
      <c r="K2477" s="268"/>
      <c r="L2477" s="269"/>
      <c r="M2477" s="510" t="str">
        <f>IFERROR(INDEX([1]Produtos!$C:$C,MATCH(L2477,[1]Produtos!$B:$B,0)), "-")</f>
        <v>-</v>
      </c>
      <c r="N2477" s="510" t="str">
        <f>IFERROR(INDEX([1]Produtos!$E:$E,MATCH(L2477,[1]Produtos!$B:$B,0)), "-")</f>
        <v>-</v>
      </c>
      <c r="O2477" s="270" t="str">
        <f>IFERROR(INDEX([1]Produtos!$F:$F,MATCH(L2477,[1]Produtos!$B:$B,0)), "-")</f>
        <v>-</v>
      </c>
      <c r="P2477" s="264" t="str">
        <f>IFERROR(INDEX([1]Produtos!$G:$G,MATCH(L2477,[1]Produtos!$B:$B,0)), "-")</f>
        <v>-</v>
      </c>
      <c r="Q2477" s="270" t="str">
        <f>IFERROR(INDEX([1]Produtos!$H:$H,MATCH(L2477,[1]Produtos!$B:$B,0)), "-")</f>
        <v>-</v>
      </c>
      <c r="R2477" s="270" t="str">
        <f>IFERROR(INDEX([1]Produtos!$I:$I,MATCH(L2477,[1]Produtos!$B:$B,0)), "-")</f>
        <v>-</v>
      </c>
      <c r="S2477" s="270" t="str">
        <f>IFERROR(INDEX([1]Produtos!$J:$J,MATCH(L2477,[1]Produtos!$B:$B,0)), "-")</f>
        <v>-</v>
      </c>
      <c r="T2477" s="475"/>
      <c r="U2477" s="270"/>
      <c r="V2477" s="270"/>
      <c r="W2477" s="270"/>
      <c r="X2477" s="270"/>
      <c r="Y2477" s="270"/>
      <c r="Z2477" s="270"/>
      <c r="AA2477" s="270"/>
      <c r="AB2477" s="270"/>
      <c r="AC2477" s="270"/>
      <c r="AD2477" s="270"/>
      <c r="AE2477" s="270"/>
      <c r="AF2477" s="270"/>
      <c r="AG2477" s="270"/>
      <c r="AH2477" s="270"/>
      <c r="AI2477" s="270"/>
      <c r="AJ2477" s="270"/>
      <c r="AK2477" s="270"/>
      <c r="AL2477" s="270"/>
      <c r="AM2477" s="663"/>
      <c r="AN2477" s="663"/>
      <c r="AO2477" s="708" t="str">
        <f>IF(OR(Table1[[#This Row],[Início Setup Envase]]="",Table1[[#This Row],[Final Setup Envase]]=""),"",Table1[[#This Row],[Final Setup Envase]]-Table1[[#This Row],[Início Setup Envase]])</f>
        <v/>
      </c>
      <c r="AP2477" s="663"/>
      <c r="AQ2477" s="663"/>
      <c r="AR2477" s="270"/>
      <c r="AS2477" s="674"/>
      <c r="AT2477" s="674"/>
      <c r="AU2477" s="270"/>
      <c r="AV2477" s="270"/>
      <c r="AW2477" s="270"/>
      <c r="AX2477" s="270"/>
      <c r="AY2477" s="270"/>
      <c r="AZ2477" s="270"/>
      <c r="BA2477" s="270" t="str">
        <f>IF(Table1[[#This Row],[Data de Início]]="","",YEAR(Table1[[#This Row],[Data de Início]]))</f>
        <v/>
      </c>
      <c r="BB2477" s="270" t="str">
        <f>IF(Table1[[#This Row],[Data de Início]]="","",MONTH(Table1[[#This Row],[Data de Início]]))</f>
        <v/>
      </c>
      <c r="BC2477" s="483"/>
    </row>
    <row r="2478" spans="2:55" x14ac:dyDescent="0.25">
      <c r="B2478" s="470"/>
      <c r="C2478" s="263"/>
      <c r="D2478" s="477" cm="1">
        <f t="array" ref="D2478">IFERROR(HorasUteisFabrica2Turnos(B2478,C2478), "")</f>
        <v>0</v>
      </c>
      <c r="E2478" s="478" t="str">
        <f t="shared" si="39"/>
        <v/>
      </c>
      <c r="F2478" s="266"/>
      <c r="G2478" s="656"/>
      <c r="H2478" s="479"/>
      <c r="I2478" s="268"/>
      <c r="J2478" s="268"/>
      <c r="K2478" s="268"/>
      <c r="L2478" s="269"/>
      <c r="M2478" s="511" t="str">
        <f>IFERROR(INDEX([1]Produtos!$C:$C,MATCH(L2478,[1]Produtos!$B:$B,0)), "-")</f>
        <v>-</v>
      </c>
      <c r="N2478" s="511" t="str">
        <f>IFERROR(INDEX([1]Produtos!$E:$E,MATCH(L2478,[1]Produtos!$B:$B,0)), "-")</f>
        <v>-</v>
      </c>
      <c r="O2478" s="483" t="str">
        <f>IFERROR(INDEX([1]Produtos!$F:$F,MATCH(L2478,[1]Produtos!$B:$B,0)), "-")</f>
        <v>-</v>
      </c>
      <c r="P2478" s="477" t="str">
        <f>IFERROR(INDEX([1]Produtos!$G:$G,MATCH(L2478,[1]Produtos!$B:$B,0)), "-")</f>
        <v>-</v>
      </c>
      <c r="Q2478" s="483" t="str">
        <f>IFERROR(INDEX([1]Produtos!$H:$H,MATCH(L2478,[1]Produtos!$B:$B,0)), "-")</f>
        <v>-</v>
      </c>
      <c r="R2478" s="483" t="str">
        <f>IFERROR(INDEX([1]Produtos!$I:$I,MATCH(L2478,[1]Produtos!$B:$B,0)), "-")</f>
        <v>-</v>
      </c>
      <c r="S2478" s="483" t="str">
        <f>IFERROR(INDEX([1]Produtos!$J:$J,MATCH(L2478,[1]Produtos!$B:$B,0)), "-")</f>
        <v>-</v>
      </c>
      <c r="T2478" s="484"/>
      <c r="U2478" s="483"/>
      <c r="V2478" s="483"/>
      <c r="W2478" s="483"/>
      <c r="X2478" s="483"/>
      <c r="Y2478" s="483"/>
      <c r="Z2478" s="483"/>
      <c r="AA2478" s="483"/>
      <c r="AB2478" s="483"/>
      <c r="AC2478" s="483"/>
      <c r="AD2478" s="483"/>
      <c r="AE2478" s="483"/>
      <c r="AF2478" s="483"/>
      <c r="AG2478" s="483"/>
      <c r="AH2478" s="483"/>
      <c r="AI2478" s="483"/>
      <c r="AJ2478" s="483"/>
      <c r="AK2478" s="483"/>
      <c r="AL2478" s="483"/>
      <c r="AM2478" s="670"/>
      <c r="AN2478" s="670"/>
      <c r="AO2478" s="711" t="str">
        <f>IF(OR(Table1[[#This Row],[Início Setup Envase]]="",Table1[[#This Row],[Final Setup Envase]]=""),"",Table1[[#This Row],[Final Setup Envase]]-Table1[[#This Row],[Início Setup Envase]])</f>
        <v/>
      </c>
      <c r="AP2478" s="670"/>
      <c r="AQ2478" s="670"/>
      <c r="AR2478" s="483"/>
      <c r="AS2478" s="483"/>
      <c r="AT2478" s="483"/>
      <c r="AU2478" s="483"/>
      <c r="AV2478" s="483"/>
      <c r="AW2478" s="483"/>
      <c r="AX2478" s="483"/>
      <c r="AY2478" s="270"/>
      <c r="AZ2478" s="270"/>
      <c r="BA2478" s="270" t="str">
        <f>IF(Table1[[#This Row],[Data de Início]]="","",YEAR(Table1[[#This Row],[Data de Início]]))</f>
        <v/>
      </c>
      <c r="BB2478" s="270" t="str">
        <f>IF(Table1[[#This Row],[Data de Início]]="","",MONTH(Table1[[#This Row],[Data de Início]]))</f>
        <v/>
      </c>
      <c r="BC2478" s="270"/>
    </row>
    <row r="2479" spans="2:55" x14ac:dyDescent="0.25">
      <c r="B2479" s="470"/>
      <c r="C2479" s="263"/>
      <c r="D2479" s="477" cm="1">
        <f t="array" ref="D2479">IFERROR(HorasUteisFabrica2Turnos(B2479,C2479), "")</f>
        <v>0</v>
      </c>
      <c r="E2479" s="697" t="str">
        <f t="shared" si="39"/>
        <v/>
      </c>
      <c r="F2479" s="266"/>
      <c r="G2479" s="698"/>
      <c r="H2479" s="266"/>
      <c r="I2479" s="268"/>
      <c r="J2479" s="268"/>
      <c r="K2479" s="268"/>
      <c r="L2479" s="269"/>
      <c r="M2479" s="510" t="str">
        <f>IFERROR(INDEX([1]Produtos!$C:$C,MATCH(L2479,[1]Produtos!$B:$B,0)), "-")</f>
        <v>-</v>
      </c>
      <c r="N2479" s="510" t="str">
        <f>IFERROR(INDEX([1]Produtos!$E:$E,MATCH(L2479,[1]Produtos!$B:$B,0)), "-")</f>
        <v>-</v>
      </c>
      <c r="O2479" s="270" t="str">
        <f>IFERROR(INDEX([1]Produtos!$F:$F,MATCH(L2479,[1]Produtos!$B:$B,0)), "-")</f>
        <v>-</v>
      </c>
      <c r="P2479" s="264" t="str">
        <f>IFERROR(INDEX([1]Produtos!$G:$G,MATCH(L2479,[1]Produtos!$B:$B,0)), "-")</f>
        <v>-</v>
      </c>
      <c r="Q2479" s="270" t="str">
        <f>IFERROR(INDEX([1]Produtos!$H:$H,MATCH(L2479,[1]Produtos!$B:$B,0)), "-")</f>
        <v>-</v>
      </c>
      <c r="R2479" s="270" t="str">
        <f>IFERROR(INDEX([1]Produtos!$I:$I,MATCH(L2479,[1]Produtos!$B:$B,0)), "-")</f>
        <v>-</v>
      </c>
      <c r="S2479" s="270" t="str">
        <f>IFERROR(INDEX([1]Produtos!$J:$J,MATCH(L2479,[1]Produtos!$B:$B,0)), "-")</f>
        <v>-</v>
      </c>
      <c r="T2479" s="475"/>
      <c r="U2479" s="270"/>
      <c r="V2479" s="270"/>
      <c r="W2479" s="270"/>
      <c r="X2479" s="270"/>
      <c r="Y2479" s="270"/>
      <c r="Z2479" s="270"/>
      <c r="AA2479" s="270"/>
      <c r="AB2479" s="270"/>
      <c r="AC2479" s="270"/>
      <c r="AD2479" s="270"/>
      <c r="AE2479" s="270"/>
      <c r="AF2479" s="270"/>
      <c r="AG2479" s="270"/>
      <c r="AH2479" s="270"/>
      <c r="AI2479" s="270"/>
      <c r="AJ2479" s="270"/>
      <c r="AK2479" s="270"/>
      <c r="AL2479" s="270"/>
      <c r="AM2479" s="663"/>
      <c r="AN2479" s="663"/>
      <c r="AO2479" s="708" t="str">
        <f>IF(OR(Table1[[#This Row],[Início Setup Envase]]="",Table1[[#This Row],[Final Setup Envase]]=""),"",Table1[[#This Row],[Final Setup Envase]]-Table1[[#This Row],[Início Setup Envase]])</f>
        <v/>
      </c>
      <c r="AP2479" s="663"/>
      <c r="AQ2479" s="663"/>
      <c r="AR2479" s="270"/>
      <c r="AS2479" s="674"/>
      <c r="AT2479" s="674"/>
      <c r="AU2479" s="270"/>
      <c r="AV2479" s="270"/>
      <c r="AW2479" s="270"/>
      <c r="AX2479" s="270"/>
      <c r="AY2479" s="270"/>
      <c r="AZ2479" s="270"/>
      <c r="BA2479" s="270" t="str">
        <f>IF(Table1[[#This Row],[Data de Início]]="","",YEAR(Table1[[#This Row],[Data de Início]]))</f>
        <v/>
      </c>
      <c r="BB2479" s="270" t="str">
        <f>IF(Table1[[#This Row],[Data de Início]]="","",MONTH(Table1[[#This Row],[Data de Início]]))</f>
        <v/>
      </c>
      <c r="BC2479" s="483"/>
    </row>
    <row r="2480" spans="2:55" x14ac:dyDescent="0.25">
      <c r="B2480" s="470"/>
      <c r="C2480" s="263"/>
      <c r="D2480" s="477" cm="1">
        <f t="array" ref="D2480">IFERROR(HorasUteisFabrica2Turnos(B2480,C2480), "")</f>
        <v>0</v>
      </c>
      <c r="E2480" s="478" t="str">
        <f t="shared" si="39"/>
        <v/>
      </c>
      <c r="F2480" s="266"/>
      <c r="G2480" s="656"/>
      <c r="H2480" s="479"/>
      <c r="I2480" s="268"/>
      <c r="J2480" s="268"/>
      <c r="K2480" s="268"/>
      <c r="L2480" s="269"/>
      <c r="M2480" s="511" t="str">
        <f>IFERROR(INDEX([1]Produtos!$C:$C,MATCH(L2480,[1]Produtos!$B:$B,0)), "-")</f>
        <v>-</v>
      </c>
      <c r="N2480" s="511" t="str">
        <f>IFERROR(INDEX([1]Produtos!$E:$E,MATCH(L2480,[1]Produtos!$B:$B,0)), "-")</f>
        <v>-</v>
      </c>
      <c r="O2480" s="483" t="str">
        <f>IFERROR(INDEX([1]Produtos!$F:$F,MATCH(L2480,[1]Produtos!$B:$B,0)), "-")</f>
        <v>-</v>
      </c>
      <c r="P2480" s="477" t="str">
        <f>IFERROR(INDEX([1]Produtos!$G:$G,MATCH(L2480,[1]Produtos!$B:$B,0)), "-")</f>
        <v>-</v>
      </c>
      <c r="Q2480" s="483" t="str">
        <f>IFERROR(INDEX([1]Produtos!$H:$H,MATCH(L2480,[1]Produtos!$B:$B,0)), "-")</f>
        <v>-</v>
      </c>
      <c r="R2480" s="483" t="str">
        <f>IFERROR(INDEX([1]Produtos!$I:$I,MATCH(L2480,[1]Produtos!$B:$B,0)), "-")</f>
        <v>-</v>
      </c>
      <c r="S2480" s="483" t="str">
        <f>IFERROR(INDEX([1]Produtos!$J:$J,MATCH(L2480,[1]Produtos!$B:$B,0)), "-")</f>
        <v>-</v>
      </c>
      <c r="T2480" s="484"/>
      <c r="U2480" s="483"/>
      <c r="V2480" s="483"/>
      <c r="W2480" s="483"/>
      <c r="X2480" s="483"/>
      <c r="Y2480" s="483"/>
      <c r="Z2480" s="483"/>
      <c r="AA2480" s="483"/>
      <c r="AB2480" s="483"/>
      <c r="AC2480" s="483"/>
      <c r="AD2480" s="483"/>
      <c r="AE2480" s="483"/>
      <c r="AF2480" s="483"/>
      <c r="AG2480" s="483"/>
      <c r="AH2480" s="483"/>
      <c r="AI2480" s="483"/>
      <c r="AJ2480" s="483"/>
      <c r="AK2480" s="483"/>
      <c r="AL2480" s="483"/>
      <c r="AM2480" s="670"/>
      <c r="AN2480" s="670"/>
      <c r="AO2480" s="711" t="str">
        <f>IF(OR(Table1[[#This Row],[Início Setup Envase]]="",Table1[[#This Row],[Final Setup Envase]]=""),"",Table1[[#This Row],[Final Setup Envase]]-Table1[[#This Row],[Início Setup Envase]])</f>
        <v/>
      </c>
      <c r="AP2480" s="670"/>
      <c r="AQ2480" s="670"/>
      <c r="AR2480" s="483"/>
      <c r="AS2480" s="483"/>
      <c r="AT2480" s="483"/>
      <c r="AU2480" s="483"/>
      <c r="AV2480" s="483"/>
      <c r="AW2480" s="483"/>
      <c r="AX2480" s="483"/>
      <c r="AY2480" s="270"/>
      <c r="AZ2480" s="270"/>
      <c r="BA2480" s="270" t="str">
        <f>IF(Table1[[#This Row],[Data de Início]]="","",YEAR(Table1[[#This Row],[Data de Início]]))</f>
        <v/>
      </c>
      <c r="BB2480" s="270" t="str">
        <f>IF(Table1[[#This Row],[Data de Início]]="","",MONTH(Table1[[#This Row],[Data de Início]]))</f>
        <v/>
      </c>
      <c r="BC2480" s="270"/>
    </row>
    <row r="2481" spans="2:55" x14ac:dyDescent="0.25">
      <c r="B2481" s="470"/>
      <c r="C2481" s="263"/>
      <c r="D2481" s="477" cm="1">
        <f t="array" ref="D2481">IFERROR(HorasUteisFabrica2Turnos(B2481,C2481), "")</f>
        <v>0</v>
      </c>
      <c r="E2481" s="697" t="str">
        <f t="shared" si="39"/>
        <v/>
      </c>
      <c r="F2481" s="266"/>
      <c r="G2481" s="698"/>
      <c r="H2481" s="266"/>
      <c r="I2481" s="268"/>
      <c r="J2481" s="268"/>
      <c r="K2481" s="268"/>
      <c r="L2481" s="269"/>
      <c r="M2481" s="510" t="str">
        <f>IFERROR(INDEX([1]Produtos!$C:$C,MATCH(L2481,[1]Produtos!$B:$B,0)), "-")</f>
        <v>-</v>
      </c>
      <c r="N2481" s="510" t="str">
        <f>IFERROR(INDEX([1]Produtos!$E:$E,MATCH(L2481,[1]Produtos!$B:$B,0)), "-")</f>
        <v>-</v>
      </c>
      <c r="O2481" s="270" t="str">
        <f>IFERROR(INDEX([1]Produtos!$F:$F,MATCH(L2481,[1]Produtos!$B:$B,0)), "-")</f>
        <v>-</v>
      </c>
      <c r="P2481" s="264" t="str">
        <f>IFERROR(INDEX([1]Produtos!$G:$G,MATCH(L2481,[1]Produtos!$B:$B,0)), "-")</f>
        <v>-</v>
      </c>
      <c r="Q2481" s="270" t="str">
        <f>IFERROR(INDEX([1]Produtos!$H:$H,MATCH(L2481,[1]Produtos!$B:$B,0)), "-")</f>
        <v>-</v>
      </c>
      <c r="R2481" s="270" t="str">
        <f>IFERROR(INDEX([1]Produtos!$I:$I,MATCH(L2481,[1]Produtos!$B:$B,0)), "-")</f>
        <v>-</v>
      </c>
      <c r="S2481" s="270" t="str">
        <f>IFERROR(INDEX([1]Produtos!$J:$J,MATCH(L2481,[1]Produtos!$B:$B,0)), "-")</f>
        <v>-</v>
      </c>
      <c r="T2481" s="475"/>
      <c r="U2481" s="270"/>
      <c r="V2481" s="270"/>
      <c r="W2481" s="270"/>
      <c r="X2481" s="270"/>
      <c r="Y2481" s="270"/>
      <c r="Z2481" s="270"/>
      <c r="AA2481" s="270"/>
      <c r="AB2481" s="270"/>
      <c r="AC2481" s="270"/>
      <c r="AD2481" s="270"/>
      <c r="AE2481" s="270"/>
      <c r="AF2481" s="270"/>
      <c r="AG2481" s="270"/>
      <c r="AH2481" s="270"/>
      <c r="AI2481" s="270"/>
      <c r="AJ2481" s="270"/>
      <c r="AK2481" s="270"/>
      <c r="AL2481" s="270"/>
      <c r="AM2481" s="663"/>
      <c r="AN2481" s="663"/>
      <c r="AO2481" s="708" t="str">
        <f>IF(OR(Table1[[#This Row],[Início Setup Envase]]="",Table1[[#This Row],[Final Setup Envase]]=""),"",Table1[[#This Row],[Final Setup Envase]]-Table1[[#This Row],[Início Setup Envase]])</f>
        <v/>
      </c>
      <c r="AP2481" s="663"/>
      <c r="AQ2481" s="663"/>
      <c r="AR2481" s="270"/>
      <c r="AS2481" s="674"/>
      <c r="AT2481" s="674"/>
      <c r="AU2481" s="270"/>
      <c r="AV2481" s="270"/>
      <c r="AW2481" s="270"/>
      <c r="AX2481" s="270"/>
      <c r="AY2481" s="270"/>
      <c r="AZ2481" s="270"/>
      <c r="BA2481" s="270" t="str">
        <f>IF(Table1[[#This Row],[Data de Início]]="","",YEAR(Table1[[#This Row],[Data de Início]]))</f>
        <v/>
      </c>
      <c r="BB2481" s="270" t="str">
        <f>IF(Table1[[#This Row],[Data de Início]]="","",MONTH(Table1[[#This Row],[Data de Início]]))</f>
        <v/>
      </c>
      <c r="BC2481" s="483"/>
    </row>
    <row r="2482" spans="2:55" x14ac:dyDescent="0.25">
      <c r="B2482" s="470"/>
      <c r="C2482" s="263"/>
      <c r="D2482" s="477" cm="1">
        <f t="array" ref="D2482">IFERROR(HorasUteisFabrica2Turnos(B2482,C2482), "")</f>
        <v>0</v>
      </c>
      <c r="E2482" s="478" t="str">
        <f t="shared" si="39"/>
        <v/>
      </c>
      <c r="F2482" s="266"/>
      <c r="G2482" s="656"/>
      <c r="H2482" s="479"/>
      <c r="I2482" s="268"/>
      <c r="J2482" s="268"/>
      <c r="K2482" s="268"/>
      <c r="L2482" s="269"/>
      <c r="M2482" s="511" t="str">
        <f>IFERROR(INDEX([1]Produtos!$C:$C,MATCH(L2482,[1]Produtos!$B:$B,0)), "-")</f>
        <v>-</v>
      </c>
      <c r="N2482" s="511" t="str">
        <f>IFERROR(INDEX([1]Produtos!$E:$E,MATCH(L2482,[1]Produtos!$B:$B,0)), "-")</f>
        <v>-</v>
      </c>
      <c r="O2482" s="483" t="str">
        <f>IFERROR(INDEX([1]Produtos!$F:$F,MATCH(L2482,[1]Produtos!$B:$B,0)), "-")</f>
        <v>-</v>
      </c>
      <c r="P2482" s="477" t="str">
        <f>IFERROR(INDEX([1]Produtos!$G:$G,MATCH(L2482,[1]Produtos!$B:$B,0)), "-")</f>
        <v>-</v>
      </c>
      <c r="Q2482" s="483" t="str">
        <f>IFERROR(INDEX([1]Produtos!$H:$H,MATCH(L2482,[1]Produtos!$B:$B,0)), "-")</f>
        <v>-</v>
      </c>
      <c r="R2482" s="483" t="str">
        <f>IFERROR(INDEX([1]Produtos!$I:$I,MATCH(L2482,[1]Produtos!$B:$B,0)), "-")</f>
        <v>-</v>
      </c>
      <c r="S2482" s="483" t="str">
        <f>IFERROR(INDEX([1]Produtos!$J:$J,MATCH(L2482,[1]Produtos!$B:$B,0)), "-")</f>
        <v>-</v>
      </c>
      <c r="T2482" s="484"/>
      <c r="U2482" s="483"/>
      <c r="V2482" s="483"/>
      <c r="W2482" s="483"/>
      <c r="X2482" s="483"/>
      <c r="Y2482" s="483"/>
      <c r="Z2482" s="483"/>
      <c r="AA2482" s="483"/>
      <c r="AB2482" s="483"/>
      <c r="AC2482" s="483"/>
      <c r="AD2482" s="483"/>
      <c r="AE2482" s="483"/>
      <c r="AF2482" s="483"/>
      <c r="AG2482" s="483"/>
      <c r="AH2482" s="483"/>
      <c r="AI2482" s="483"/>
      <c r="AJ2482" s="483"/>
      <c r="AK2482" s="483"/>
      <c r="AL2482" s="483"/>
      <c r="AM2482" s="670"/>
      <c r="AN2482" s="670"/>
      <c r="AO2482" s="711" t="str">
        <f>IF(OR(Table1[[#This Row],[Início Setup Envase]]="",Table1[[#This Row],[Final Setup Envase]]=""),"",Table1[[#This Row],[Final Setup Envase]]-Table1[[#This Row],[Início Setup Envase]])</f>
        <v/>
      </c>
      <c r="AP2482" s="670"/>
      <c r="AQ2482" s="670"/>
      <c r="AR2482" s="483"/>
      <c r="AS2482" s="483"/>
      <c r="AT2482" s="483"/>
      <c r="AU2482" s="483"/>
      <c r="AV2482" s="483"/>
      <c r="AW2482" s="483"/>
      <c r="AX2482" s="483"/>
      <c r="AY2482" s="270"/>
      <c r="AZ2482" s="270"/>
      <c r="BA2482" s="270" t="str">
        <f>IF(Table1[[#This Row],[Data de Início]]="","",YEAR(Table1[[#This Row],[Data de Início]]))</f>
        <v/>
      </c>
      <c r="BB2482" s="270" t="str">
        <f>IF(Table1[[#This Row],[Data de Início]]="","",MONTH(Table1[[#This Row],[Data de Início]]))</f>
        <v/>
      </c>
      <c r="BC2482" s="270"/>
    </row>
    <row r="2483" spans="2:55" x14ac:dyDescent="0.25">
      <c r="B2483" s="470"/>
      <c r="C2483" s="263"/>
      <c r="D2483" s="477" cm="1">
        <f t="array" ref="D2483">IFERROR(HorasUteisFabrica2Turnos(B2483,C2483), "")</f>
        <v>0</v>
      </c>
      <c r="E2483" s="697" t="str">
        <f t="shared" si="39"/>
        <v/>
      </c>
      <c r="F2483" s="266"/>
      <c r="G2483" s="698"/>
      <c r="H2483" s="266"/>
      <c r="I2483" s="268"/>
      <c r="J2483" s="268"/>
      <c r="K2483" s="268"/>
      <c r="L2483" s="269"/>
      <c r="M2483" s="510" t="str">
        <f>IFERROR(INDEX([1]Produtos!$C:$C,MATCH(L2483,[1]Produtos!$B:$B,0)), "-")</f>
        <v>-</v>
      </c>
      <c r="N2483" s="510" t="str">
        <f>IFERROR(INDEX([1]Produtos!$E:$E,MATCH(L2483,[1]Produtos!$B:$B,0)), "-")</f>
        <v>-</v>
      </c>
      <c r="O2483" s="270" t="str">
        <f>IFERROR(INDEX([1]Produtos!$F:$F,MATCH(L2483,[1]Produtos!$B:$B,0)), "-")</f>
        <v>-</v>
      </c>
      <c r="P2483" s="264" t="str">
        <f>IFERROR(INDEX([1]Produtos!$G:$G,MATCH(L2483,[1]Produtos!$B:$B,0)), "-")</f>
        <v>-</v>
      </c>
      <c r="Q2483" s="270" t="str">
        <f>IFERROR(INDEX([1]Produtos!$H:$H,MATCH(L2483,[1]Produtos!$B:$B,0)), "-")</f>
        <v>-</v>
      </c>
      <c r="R2483" s="270" t="str">
        <f>IFERROR(INDEX([1]Produtos!$I:$I,MATCH(L2483,[1]Produtos!$B:$B,0)), "-")</f>
        <v>-</v>
      </c>
      <c r="S2483" s="270" t="str">
        <f>IFERROR(INDEX([1]Produtos!$J:$J,MATCH(L2483,[1]Produtos!$B:$B,0)), "-")</f>
        <v>-</v>
      </c>
      <c r="T2483" s="475"/>
      <c r="U2483" s="270"/>
      <c r="V2483" s="270"/>
      <c r="W2483" s="270"/>
      <c r="X2483" s="270"/>
      <c r="Y2483" s="270"/>
      <c r="Z2483" s="270"/>
      <c r="AA2483" s="270"/>
      <c r="AB2483" s="270"/>
      <c r="AC2483" s="270"/>
      <c r="AD2483" s="270"/>
      <c r="AE2483" s="270"/>
      <c r="AF2483" s="270"/>
      <c r="AG2483" s="270"/>
      <c r="AH2483" s="270"/>
      <c r="AI2483" s="270"/>
      <c r="AJ2483" s="270"/>
      <c r="AK2483" s="270"/>
      <c r="AL2483" s="270"/>
      <c r="AM2483" s="663"/>
      <c r="AN2483" s="663"/>
      <c r="AO2483" s="708" t="str">
        <f>IF(OR(Table1[[#This Row],[Início Setup Envase]]="",Table1[[#This Row],[Final Setup Envase]]=""),"",Table1[[#This Row],[Final Setup Envase]]-Table1[[#This Row],[Início Setup Envase]])</f>
        <v/>
      </c>
      <c r="AP2483" s="663"/>
      <c r="AQ2483" s="663"/>
      <c r="AR2483" s="270"/>
      <c r="AS2483" s="674"/>
      <c r="AT2483" s="674"/>
      <c r="AU2483" s="270"/>
      <c r="AV2483" s="270"/>
      <c r="AW2483" s="270"/>
      <c r="AX2483" s="270"/>
      <c r="AY2483" s="270"/>
      <c r="AZ2483" s="270"/>
      <c r="BA2483" s="270" t="str">
        <f>IF(Table1[[#This Row],[Data de Início]]="","",YEAR(Table1[[#This Row],[Data de Início]]))</f>
        <v/>
      </c>
      <c r="BB2483" s="270" t="str">
        <f>IF(Table1[[#This Row],[Data de Início]]="","",MONTH(Table1[[#This Row],[Data de Início]]))</f>
        <v/>
      </c>
      <c r="BC2483" s="483"/>
    </row>
    <row r="2484" spans="2:55" x14ac:dyDescent="0.25">
      <c r="B2484" s="470"/>
      <c r="C2484" s="263"/>
      <c r="D2484" s="477" cm="1">
        <f t="array" ref="D2484">IFERROR(HorasUteisFabrica2Turnos(B2484,C2484), "")</f>
        <v>0</v>
      </c>
      <c r="E2484" s="478" t="str">
        <f t="shared" si="39"/>
        <v/>
      </c>
      <c r="F2484" s="266"/>
      <c r="G2484" s="656"/>
      <c r="H2484" s="479"/>
      <c r="I2484" s="268"/>
      <c r="J2484" s="268"/>
      <c r="K2484" s="268"/>
      <c r="L2484" s="269"/>
      <c r="M2484" s="511" t="str">
        <f>IFERROR(INDEX([1]Produtos!$C:$C,MATCH(L2484,[1]Produtos!$B:$B,0)), "-")</f>
        <v>-</v>
      </c>
      <c r="N2484" s="511" t="str">
        <f>IFERROR(INDEX([1]Produtos!$E:$E,MATCH(L2484,[1]Produtos!$B:$B,0)), "-")</f>
        <v>-</v>
      </c>
      <c r="O2484" s="483" t="str">
        <f>IFERROR(INDEX([1]Produtos!$F:$F,MATCH(L2484,[1]Produtos!$B:$B,0)), "-")</f>
        <v>-</v>
      </c>
      <c r="P2484" s="477" t="str">
        <f>IFERROR(INDEX([1]Produtos!$G:$G,MATCH(L2484,[1]Produtos!$B:$B,0)), "-")</f>
        <v>-</v>
      </c>
      <c r="Q2484" s="483" t="str">
        <f>IFERROR(INDEX([1]Produtos!$H:$H,MATCH(L2484,[1]Produtos!$B:$B,0)), "-")</f>
        <v>-</v>
      </c>
      <c r="R2484" s="483" t="str">
        <f>IFERROR(INDEX([1]Produtos!$I:$I,MATCH(L2484,[1]Produtos!$B:$B,0)), "-")</f>
        <v>-</v>
      </c>
      <c r="S2484" s="483" t="str">
        <f>IFERROR(INDEX([1]Produtos!$J:$J,MATCH(L2484,[1]Produtos!$B:$B,0)), "-")</f>
        <v>-</v>
      </c>
      <c r="T2484" s="484"/>
      <c r="U2484" s="483"/>
      <c r="V2484" s="483"/>
      <c r="W2484" s="483"/>
      <c r="X2484" s="483"/>
      <c r="Y2484" s="483"/>
      <c r="Z2484" s="483"/>
      <c r="AA2484" s="483"/>
      <c r="AB2484" s="483"/>
      <c r="AC2484" s="483"/>
      <c r="AD2484" s="483"/>
      <c r="AE2484" s="483"/>
      <c r="AF2484" s="483"/>
      <c r="AG2484" s="483"/>
      <c r="AH2484" s="483"/>
      <c r="AI2484" s="483"/>
      <c r="AJ2484" s="483"/>
      <c r="AK2484" s="483"/>
      <c r="AL2484" s="483"/>
      <c r="AM2484" s="670"/>
      <c r="AN2484" s="670"/>
      <c r="AO2484" s="711" t="str">
        <f>IF(OR(Table1[[#This Row],[Início Setup Envase]]="",Table1[[#This Row],[Final Setup Envase]]=""),"",Table1[[#This Row],[Final Setup Envase]]-Table1[[#This Row],[Início Setup Envase]])</f>
        <v/>
      </c>
      <c r="AP2484" s="670"/>
      <c r="AQ2484" s="670"/>
      <c r="AR2484" s="483"/>
      <c r="AS2484" s="483"/>
      <c r="AT2484" s="483"/>
      <c r="AU2484" s="483"/>
      <c r="AV2484" s="483"/>
      <c r="AW2484" s="483"/>
      <c r="AX2484" s="483"/>
      <c r="AY2484" s="270"/>
      <c r="AZ2484" s="270"/>
      <c r="BA2484" s="270" t="str">
        <f>IF(Table1[[#This Row],[Data de Início]]="","",YEAR(Table1[[#This Row],[Data de Início]]))</f>
        <v/>
      </c>
      <c r="BB2484" s="270" t="str">
        <f>IF(Table1[[#This Row],[Data de Início]]="","",MONTH(Table1[[#This Row],[Data de Início]]))</f>
        <v/>
      </c>
      <c r="BC2484" s="270"/>
    </row>
    <row r="2485" spans="2:55" x14ac:dyDescent="0.25">
      <c r="B2485" s="470"/>
      <c r="C2485" s="263"/>
      <c r="D2485" s="477" cm="1">
        <f t="array" ref="D2485">IFERROR(HorasUteisFabrica2Turnos(B2485,C2485), "")</f>
        <v>0</v>
      </c>
      <c r="E2485" s="697" t="str">
        <f t="shared" si="39"/>
        <v/>
      </c>
      <c r="F2485" s="266"/>
      <c r="G2485" s="698"/>
      <c r="H2485" s="266"/>
      <c r="I2485" s="268"/>
      <c r="J2485" s="268"/>
      <c r="K2485" s="268"/>
      <c r="L2485" s="269"/>
      <c r="M2485" s="510" t="str">
        <f>IFERROR(INDEX([1]Produtos!$C:$C,MATCH(L2485,[1]Produtos!$B:$B,0)), "-")</f>
        <v>-</v>
      </c>
      <c r="N2485" s="510" t="str">
        <f>IFERROR(INDEX([1]Produtos!$E:$E,MATCH(L2485,[1]Produtos!$B:$B,0)), "-")</f>
        <v>-</v>
      </c>
      <c r="O2485" s="270" t="str">
        <f>IFERROR(INDEX([1]Produtos!$F:$F,MATCH(L2485,[1]Produtos!$B:$B,0)), "-")</f>
        <v>-</v>
      </c>
      <c r="P2485" s="264" t="str">
        <f>IFERROR(INDEX([1]Produtos!$G:$G,MATCH(L2485,[1]Produtos!$B:$B,0)), "-")</f>
        <v>-</v>
      </c>
      <c r="Q2485" s="270" t="str">
        <f>IFERROR(INDEX([1]Produtos!$H:$H,MATCH(L2485,[1]Produtos!$B:$B,0)), "-")</f>
        <v>-</v>
      </c>
      <c r="R2485" s="270" t="str">
        <f>IFERROR(INDEX([1]Produtos!$I:$I,MATCH(L2485,[1]Produtos!$B:$B,0)), "-")</f>
        <v>-</v>
      </c>
      <c r="S2485" s="270" t="str">
        <f>IFERROR(INDEX([1]Produtos!$J:$J,MATCH(L2485,[1]Produtos!$B:$B,0)), "-")</f>
        <v>-</v>
      </c>
      <c r="T2485" s="475"/>
      <c r="U2485" s="270"/>
      <c r="V2485" s="270"/>
      <c r="W2485" s="270"/>
      <c r="X2485" s="270"/>
      <c r="Y2485" s="270"/>
      <c r="Z2485" s="270"/>
      <c r="AA2485" s="270"/>
      <c r="AB2485" s="270"/>
      <c r="AC2485" s="270"/>
      <c r="AD2485" s="270"/>
      <c r="AE2485" s="270"/>
      <c r="AF2485" s="270"/>
      <c r="AG2485" s="270"/>
      <c r="AH2485" s="270"/>
      <c r="AI2485" s="270"/>
      <c r="AJ2485" s="270"/>
      <c r="AK2485" s="270"/>
      <c r="AL2485" s="270"/>
      <c r="AM2485" s="663"/>
      <c r="AN2485" s="663"/>
      <c r="AO2485" s="708" t="str">
        <f>IF(OR(Table1[[#This Row],[Início Setup Envase]]="",Table1[[#This Row],[Final Setup Envase]]=""),"",Table1[[#This Row],[Final Setup Envase]]-Table1[[#This Row],[Início Setup Envase]])</f>
        <v/>
      </c>
      <c r="AP2485" s="663"/>
      <c r="AQ2485" s="663"/>
      <c r="AR2485" s="270"/>
      <c r="AS2485" s="674"/>
      <c r="AT2485" s="674"/>
      <c r="AU2485" s="270"/>
      <c r="AV2485" s="270"/>
      <c r="AW2485" s="270"/>
      <c r="AX2485" s="270"/>
      <c r="AY2485" s="270"/>
      <c r="AZ2485" s="270"/>
      <c r="BA2485" s="270" t="str">
        <f>IF(Table1[[#This Row],[Data de Início]]="","",YEAR(Table1[[#This Row],[Data de Início]]))</f>
        <v/>
      </c>
      <c r="BB2485" s="270" t="str">
        <f>IF(Table1[[#This Row],[Data de Início]]="","",MONTH(Table1[[#This Row],[Data de Início]]))</f>
        <v/>
      </c>
      <c r="BC2485" s="483"/>
    </row>
    <row r="2486" spans="2:55" x14ac:dyDescent="0.25">
      <c r="B2486" s="470"/>
      <c r="C2486" s="263"/>
      <c r="D2486" s="477" cm="1">
        <f t="array" ref="D2486">IFERROR(HorasUteisFabrica2Turnos(B2486,C2486), "")</f>
        <v>0</v>
      </c>
      <c r="E2486" s="478" t="str">
        <f t="shared" si="39"/>
        <v/>
      </c>
      <c r="F2486" s="266"/>
      <c r="G2486" s="656"/>
      <c r="H2486" s="479"/>
      <c r="I2486" s="268"/>
      <c r="J2486" s="268"/>
      <c r="K2486" s="268"/>
      <c r="L2486" s="269"/>
      <c r="M2486" s="511" t="str">
        <f>IFERROR(INDEX([1]Produtos!$C:$C,MATCH(L2486,[1]Produtos!$B:$B,0)), "-")</f>
        <v>-</v>
      </c>
      <c r="N2486" s="511" t="str">
        <f>IFERROR(INDEX([1]Produtos!$E:$E,MATCH(L2486,[1]Produtos!$B:$B,0)), "-")</f>
        <v>-</v>
      </c>
      <c r="O2486" s="483" t="str">
        <f>IFERROR(INDEX([1]Produtos!$F:$F,MATCH(L2486,[1]Produtos!$B:$B,0)), "-")</f>
        <v>-</v>
      </c>
      <c r="P2486" s="477" t="str">
        <f>IFERROR(INDEX([1]Produtos!$G:$G,MATCH(L2486,[1]Produtos!$B:$B,0)), "-")</f>
        <v>-</v>
      </c>
      <c r="Q2486" s="483" t="str">
        <f>IFERROR(INDEX([1]Produtos!$H:$H,MATCH(L2486,[1]Produtos!$B:$B,0)), "-")</f>
        <v>-</v>
      </c>
      <c r="R2486" s="483" t="str">
        <f>IFERROR(INDEX([1]Produtos!$I:$I,MATCH(L2486,[1]Produtos!$B:$B,0)), "-")</f>
        <v>-</v>
      </c>
      <c r="S2486" s="483" t="str">
        <f>IFERROR(INDEX([1]Produtos!$J:$J,MATCH(L2486,[1]Produtos!$B:$B,0)), "-")</f>
        <v>-</v>
      </c>
      <c r="T2486" s="484"/>
      <c r="U2486" s="483"/>
      <c r="V2486" s="483"/>
      <c r="W2486" s="483"/>
      <c r="X2486" s="483"/>
      <c r="Y2486" s="483"/>
      <c r="Z2486" s="483"/>
      <c r="AA2486" s="483"/>
      <c r="AB2486" s="483"/>
      <c r="AC2486" s="483"/>
      <c r="AD2486" s="483"/>
      <c r="AE2486" s="483"/>
      <c r="AF2486" s="483"/>
      <c r="AG2486" s="483"/>
      <c r="AH2486" s="483"/>
      <c r="AI2486" s="483"/>
      <c r="AJ2486" s="483"/>
      <c r="AK2486" s="483"/>
      <c r="AL2486" s="483"/>
      <c r="AM2486" s="670"/>
      <c r="AN2486" s="670"/>
      <c r="AO2486" s="711" t="str">
        <f>IF(OR(Table1[[#This Row],[Início Setup Envase]]="",Table1[[#This Row],[Final Setup Envase]]=""),"",Table1[[#This Row],[Final Setup Envase]]-Table1[[#This Row],[Início Setup Envase]])</f>
        <v/>
      </c>
      <c r="AP2486" s="670"/>
      <c r="AQ2486" s="670"/>
      <c r="AR2486" s="483"/>
      <c r="AS2486" s="483"/>
      <c r="AT2486" s="483"/>
      <c r="AU2486" s="483"/>
      <c r="AV2486" s="483"/>
      <c r="AW2486" s="483"/>
      <c r="AX2486" s="483"/>
      <c r="AY2486" s="270"/>
      <c r="AZ2486" s="270"/>
      <c r="BA2486" s="270" t="str">
        <f>IF(Table1[[#This Row],[Data de Início]]="","",YEAR(Table1[[#This Row],[Data de Início]]))</f>
        <v/>
      </c>
      <c r="BB2486" s="270" t="str">
        <f>IF(Table1[[#This Row],[Data de Início]]="","",MONTH(Table1[[#This Row],[Data de Início]]))</f>
        <v/>
      </c>
      <c r="BC2486" s="270"/>
    </row>
    <row r="2487" spans="2:55" x14ac:dyDescent="0.25">
      <c r="B2487" s="470"/>
      <c r="C2487" s="263"/>
      <c r="D2487" s="477" cm="1">
        <f t="array" ref="D2487">IFERROR(HorasUteisFabrica2Turnos(B2487,C2487), "")</f>
        <v>0</v>
      </c>
      <c r="E2487" s="697" t="str">
        <f t="shared" si="39"/>
        <v/>
      </c>
      <c r="F2487" s="266"/>
      <c r="G2487" s="698"/>
      <c r="H2487" s="266"/>
      <c r="I2487" s="268"/>
      <c r="J2487" s="268"/>
      <c r="K2487" s="268"/>
      <c r="L2487" s="269"/>
      <c r="M2487" s="510" t="str">
        <f>IFERROR(INDEX([1]Produtos!$C:$C,MATCH(L2487,[1]Produtos!$B:$B,0)), "-")</f>
        <v>-</v>
      </c>
      <c r="N2487" s="510" t="str">
        <f>IFERROR(INDEX([1]Produtos!$E:$E,MATCH(L2487,[1]Produtos!$B:$B,0)), "-")</f>
        <v>-</v>
      </c>
      <c r="O2487" s="270" t="str">
        <f>IFERROR(INDEX([1]Produtos!$F:$F,MATCH(L2487,[1]Produtos!$B:$B,0)), "-")</f>
        <v>-</v>
      </c>
      <c r="P2487" s="264" t="str">
        <f>IFERROR(INDEX([1]Produtos!$G:$G,MATCH(L2487,[1]Produtos!$B:$B,0)), "-")</f>
        <v>-</v>
      </c>
      <c r="Q2487" s="270" t="str">
        <f>IFERROR(INDEX([1]Produtos!$H:$H,MATCH(L2487,[1]Produtos!$B:$B,0)), "-")</f>
        <v>-</v>
      </c>
      <c r="R2487" s="270" t="str">
        <f>IFERROR(INDEX([1]Produtos!$I:$I,MATCH(L2487,[1]Produtos!$B:$B,0)), "-")</f>
        <v>-</v>
      </c>
      <c r="S2487" s="270" t="str">
        <f>IFERROR(INDEX([1]Produtos!$J:$J,MATCH(L2487,[1]Produtos!$B:$B,0)), "-")</f>
        <v>-</v>
      </c>
      <c r="T2487" s="475"/>
      <c r="U2487" s="270"/>
      <c r="V2487" s="270"/>
      <c r="W2487" s="270"/>
      <c r="X2487" s="270"/>
      <c r="Y2487" s="270"/>
      <c r="Z2487" s="270"/>
      <c r="AA2487" s="270"/>
      <c r="AB2487" s="270"/>
      <c r="AC2487" s="270"/>
      <c r="AD2487" s="270"/>
      <c r="AE2487" s="270"/>
      <c r="AF2487" s="270"/>
      <c r="AG2487" s="270"/>
      <c r="AH2487" s="270"/>
      <c r="AI2487" s="270"/>
      <c r="AJ2487" s="270"/>
      <c r="AK2487" s="270"/>
      <c r="AL2487" s="270"/>
      <c r="AM2487" s="663"/>
      <c r="AN2487" s="663"/>
      <c r="AO2487" s="708" t="str">
        <f>IF(OR(Table1[[#This Row],[Início Setup Envase]]="",Table1[[#This Row],[Final Setup Envase]]=""),"",Table1[[#This Row],[Final Setup Envase]]-Table1[[#This Row],[Início Setup Envase]])</f>
        <v/>
      </c>
      <c r="AP2487" s="663"/>
      <c r="AQ2487" s="663"/>
      <c r="AR2487" s="270"/>
      <c r="AS2487" s="674"/>
      <c r="AT2487" s="674"/>
      <c r="AU2487" s="270"/>
      <c r="AV2487" s="270"/>
      <c r="AW2487" s="270"/>
      <c r="AX2487" s="270"/>
      <c r="AY2487" s="270"/>
      <c r="AZ2487" s="270"/>
      <c r="BA2487" s="270" t="str">
        <f>IF(Table1[[#This Row],[Data de Início]]="","",YEAR(Table1[[#This Row],[Data de Início]]))</f>
        <v/>
      </c>
      <c r="BB2487" s="270" t="str">
        <f>IF(Table1[[#This Row],[Data de Início]]="","",MONTH(Table1[[#This Row],[Data de Início]]))</f>
        <v/>
      </c>
      <c r="BC2487" s="483"/>
    </row>
    <row r="2488" spans="2:55" x14ac:dyDescent="0.25">
      <c r="B2488" s="470"/>
      <c r="C2488" s="263"/>
      <c r="D2488" s="477" cm="1">
        <f t="array" ref="D2488">IFERROR(HorasUteisFabrica2Turnos(B2488,C2488), "")</f>
        <v>0</v>
      </c>
      <c r="E2488" s="478" t="str">
        <f t="shared" si="39"/>
        <v/>
      </c>
      <c r="F2488" s="266"/>
      <c r="G2488" s="656"/>
      <c r="H2488" s="479"/>
      <c r="I2488" s="268"/>
      <c r="J2488" s="268"/>
      <c r="K2488" s="268"/>
      <c r="L2488" s="269"/>
      <c r="M2488" s="511" t="str">
        <f>IFERROR(INDEX([1]Produtos!$C:$C,MATCH(L2488,[1]Produtos!$B:$B,0)), "-")</f>
        <v>-</v>
      </c>
      <c r="N2488" s="511" t="str">
        <f>IFERROR(INDEX([1]Produtos!$E:$E,MATCH(L2488,[1]Produtos!$B:$B,0)), "-")</f>
        <v>-</v>
      </c>
      <c r="O2488" s="483" t="str">
        <f>IFERROR(INDEX([1]Produtos!$F:$F,MATCH(L2488,[1]Produtos!$B:$B,0)), "-")</f>
        <v>-</v>
      </c>
      <c r="P2488" s="477" t="str">
        <f>IFERROR(INDEX([1]Produtos!$G:$G,MATCH(L2488,[1]Produtos!$B:$B,0)), "-")</f>
        <v>-</v>
      </c>
      <c r="Q2488" s="483" t="str">
        <f>IFERROR(INDEX([1]Produtos!$H:$H,MATCH(L2488,[1]Produtos!$B:$B,0)), "-")</f>
        <v>-</v>
      </c>
      <c r="R2488" s="483" t="str">
        <f>IFERROR(INDEX([1]Produtos!$I:$I,MATCH(L2488,[1]Produtos!$B:$B,0)), "-")</f>
        <v>-</v>
      </c>
      <c r="S2488" s="483" t="str">
        <f>IFERROR(INDEX([1]Produtos!$J:$J,MATCH(L2488,[1]Produtos!$B:$B,0)), "-")</f>
        <v>-</v>
      </c>
      <c r="T2488" s="484"/>
      <c r="U2488" s="483"/>
      <c r="V2488" s="483"/>
      <c r="W2488" s="483"/>
      <c r="X2488" s="483"/>
      <c r="Y2488" s="483"/>
      <c r="Z2488" s="483"/>
      <c r="AA2488" s="483"/>
      <c r="AB2488" s="483"/>
      <c r="AC2488" s="483"/>
      <c r="AD2488" s="483"/>
      <c r="AE2488" s="483"/>
      <c r="AF2488" s="483"/>
      <c r="AG2488" s="483"/>
      <c r="AH2488" s="483"/>
      <c r="AI2488" s="483"/>
      <c r="AJ2488" s="483"/>
      <c r="AK2488" s="483"/>
      <c r="AL2488" s="483"/>
      <c r="AM2488" s="670"/>
      <c r="AN2488" s="670"/>
      <c r="AO2488" s="711" t="str">
        <f>IF(OR(Table1[[#This Row],[Início Setup Envase]]="",Table1[[#This Row],[Final Setup Envase]]=""),"",Table1[[#This Row],[Final Setup Envase]]-Table1[[#This Row],[Início Setup Envase]])</f>
        <v/>
      </c>
      <c r="AP2488" s="670"/>
      <c r="AQ2488" s="670"/>
      <c r="AR2488" s="483"/>
      <c r="AS2488" s="483"/>
      <c r="AT2488" s="483"/>
      <c r="AU2488" s="483"/>
      <c r="AV2488" s="483"/>
      <c r="AW2488" s="483"/>
      <c r="AX2488" s="483"/>
      <c r="AY2488" s="270"/>
      <c r="AZ2488" s="270"/>
      <c r="BA2488" s="270" t="str">
        <f>IF(Table1[[#This Row],[Data de Início]]="","",YEAR(Table1[[#This Row],[Data de Início]]))</f>
        <v/>
      </c>
      <c r="BB2488" s="270" t="str">
        <f>IF(Table1[[#This Row],[Data de Início]]="","",MONTH(Table1[[#This Row],[Data de Início]]))</f>
        <v/>
      </c>
      <c r="BC2488" s="270"/>
    </row>
    <row r="2489" spans="2:55" x14ac:dyDescent="0.25">
      <c r="B2489" s="470"/>
      <c r="C2489" s="263"/>
      <c r="D2489" s="477" cm="1">
        <f t="array" ref="D2489">IFERROR(HorasUteisFabrica2Turnos(B2489,C2489), "")</f>
        <v>0</v>
      </c>
      <c r="E2489" s="697" t="str">
        <f t="shared" si="39"/>
        <v/>
      </c>
      <c r="F2489" s="266"/>
      <c r="G2489" s="698"/>
      <c r="H2489" s="266"/>
      <c r="I2489" s="268"/>
      <c r="J2489" s="268"/>
      <c r="K2489" s="268"/>
      <c r="L2489" s="269"/>
      <c r="M2489" s="510" t="str">
        <f>IFERROR(INDEX([1]Produtos!$C:$C,MATCH(L2489,[1]Produtos!$B:$B,0)), "-")</f>
        <v>-</v>
      </c>
      <c r="N2489" s="510" t="str">
        <f>IFERROR(INDEX([1]Produtos!$E:$E,MATCH(L2489,[1]Produtos!$B:$B,0)), "-")</f>
        <v>-</v>
      </c>
      <c r="O2489" s="270" t="str">
        <f>IFERROR(INDEX([1]Produtos!$F:$F,MATCH(L2489,[1]Produtos!$B:$B,0)), "-")</f>
        <v>-</v>
      </c>
      <c r="P2489" s="264" t="str">
        <f>IFERROR(INDEX([1]Produtos!$G:$G,MATCH(L2489,[1]Produtos!$B:$B,0)), "-")</f>
        <v>-</v>
      </c>
      <c r="Q2489" s="270" t="str">
        <f>IFERROR(INDEX([1]Produtos!$H:$H,MATCH(L2489,[1]Produtos!$B:$B,0)), "-")</f>
        <v>-</v>
      </c>
      <c r="R2489" s="270" t="str">
        <f>IFERROR(INDEX([1]Produtos!$I:$I,MATCH(L2489,[1]Produtos!$B:$B,0)), "-")</f>
        <v>-</v>
      </c>
      <c r="S2489" s="270" t="str">
        <f>IFERROR(INDEX([1]Produtos!$J:$J,MATCH(L2489,[1]Produtos!$B:$B,0)), "-")</f>
        <v>-</v>
      </c>
      <c r="T2489" s="475"/>
      <c r="U2489" s="270"/>
      <c r="V2489" s="270"/>
      <c r="W2489" s="270"/>
      <c r="X2489" s="270"/>
      <c r="Y2489" s="270"/>
      <c r="Z2489" s="270"/>
      <c r="AA2489" s="270"/>
      <c r="AB2489" s="270"/>
      <c r="AC2489" s="270"/>
      <c r="AD2489" s="270"/>
      <c r="AE2489" s="270"/>
      <c r="AF2489" s="270"/>
      <c r="AG2489" s="270"/>
      <c r="AH2489" s="270"/>
      <c r="AI2489" s="270"/>
      <c r="AJ2489" s="270"/>
      <c r="AK2489" s="270"/>
      <c r="AL2489" s="270"/>
      <c r="AM2489" s="663"/>
      <c r="AN2489" s="663"/>
      <c r="AO2489" s="708" t="str">
        <f>IF(OR(Table1[[#This Row],[Início Setup Envase]]="",Table1[[#This Row],[Final Setup Envase]]=""),"",Table1[[#This Row],[Final Setup Envase]]-Table1[[#This Row],[Início Setup Envase]])</f>
        <v/>
      </c>
      <c r="AP2489" s="663"/>
      <c r="AQ2489" s="663"/>
      <c r="AR2489" s="270"/>
      <c r="AS2489" s="674"/>
      <c r="AT2489" s="674"/>
      <c r="AU2489" s="270"/>
      <c r="AV2489" s="270"/>
      <c r="AW2489" s="270"/>
      <c r="AX2489" s="270"/>
      <c r="AY2489" s="270"/>
      <c r="AZ2489" s="270"/>
      <c r="BA2489" s="270" t="str">
        <f>IF(Table1[[#This Row],[Data de Início]]="","",YEAR(Table1[[#This Row],[Data de Início]]))</f>
        <v/>
      </c>
      <c r="BB2489" s="270" t="str">
        <f>IF(Table1[[#This Row],[Data de Início]]="","",MONTH(Table1[[#This Row],[Data de Início]]))</f>
        <v/>
      </c>
      <c r="BC2489" s="483"/>
    </row>
    <row r="2490" spans="2:55" x14ac:dyDescent="0.25">
      <c r="B2490" s="470"/>
      <c r="C2490" s="263"/>
      <c r="D2490" s="477" cm="1">
        <f t="array" ref="D2490">IFERROR(HorasUteisFabrica2Turnos(B2490,C2490), "")</f>
        <v>0</v>
      </c>
      <c r="E2490" s="478" t="str">
        <f t="shared" si="39"/>
        <v/>
      </c>
      <c r="F2490" s="266"/>
      <c r="G2490" s="656"/>
      <c r="H2490" s="479"/>
      <c r="I2490" s="268"/>
      <c r="J2490" s="268"/>
      <c r="K2490" s="268"/>
      <c r="L2490" s="269"/>
      <c r="M2490" s="511" t="str">
        <f>IFERROR(INDEX([1]Produtos!$C:$C,MATCH(L2490,[1]Produtos!$B:$B,0)), "-")</f>
        <v>-</v>
      </c>
      <c r="N2490" s="511" t="str">
        <f>IFERROR(INDEX([1]Produtos!$E:$E,MATCH(L2490,[1]Produtos!$B:$B,0)), "-")</f>
        <v>-</v>
      </c>
      <c r="O2490" s="483" t="str">
        <f>IFERROR(INDEX([1]Produtos!$F:$F,MATCH(L2490,[1]Produtos!$B:$B,0)), "-")</f>
        <v>-</v>
      </c>
      <c r="P2490" s="477" t="str">
        <f>IFERROR(INDEX([1]Produtos!$G:$G,MATCH(L2490,[1]Produtos!$B:$B,0)), "-")</f>
        <v>-</v>
      </c>
      <c r="Q2490" s="483" t="str">
        <f>IFERROR(INDEX([1]Produtos!$H:$H,MATCH(L2490,[1]Produtos!$B:$B,0)), "-")</f>
        <v>-</v>
      </c>
      <c r="R2490" s="483" t="str">
        <f>IFERROR(INDEX([1]Produtos!$I:$I,MATCH(L2490,[1]Produtos!$B:$B,0)), "-")</f>
        <v>-</v>
      </c>
      <c r="S2490" s="483" t="str">
        <f>IFERROR(INDEX([1]Produtos!$J:$J,MATCH(L2490,[1]Produtos!$B:$B,0)), "-")</f>
        <v>-</v>
      </c>
      <c r="T2490" s="484"/>
      <c r="U2490" s="483"/>
      <c r="V2490" s="483"/>
      <c r="W2490" s="483"/>
      <c r="X2490" s="483"/>
      <c r="Y2490" s="483"/>
      <c r="Z2490" s="483"/>
      <c r="AA2490" s="483"/>
      <c r="AB2490" s="483"/>
      <c r="AC2490" s="483"/>
      <c r="AD2490" s="483"/>
      <c r="AE2490" s="483"/>
      <c r="AF2490" s="483"/>
      <c r="AG2490" s="483"/>
      <c r="AH2490" s="483"/>
      <c r="AI2490" s="483"/>
      <c r="AJ2490" s="483"/>
      <c r="AK2490" s="483"/>
      <c r="AL2490" s="483"/>
      <c r="AM2490" s="670"/>
      <c r="AN2490" s="670"/>
      <c r="AO2490" s="711" t="str">
        <f>IF(OR(Table1[[#This Row],[Início Setup Envase]]="",Table1[[#This Row],[Final Setup Envase]]=""),"",Table1[[#This Row],[Final Setup Envase]]-Table1[[#This Row],[Início Setup Envase]])</f>
        <v/>
      </c>
      <c r="AP2490" s="670"/>
      <c r="AQ2490" s="670"/>
      <c r="AR2490" s="483"/>
      <c r="AS2490" s="483"/>
      <c r="AT2490" s="483"/>
      <c r="AU2490" s="483"/>
      <c r="AV2490" s="483"/>
      <c r="AW2490" s="483"/>
      <c r="AX2490" s="483"/>
      <c r="AY2490" s="270"/>
      <c r="AZ2490" s="270"/>
      <c r="BA2490" s="270" t="str">
        <f>IF(Table1[[#This Row],[Data de Início]]="","",YEAR(Table1[[#This Row],[Data de Início]]))</f>
        <v/>
      </c>
      <c r="BB2490" s="270" t="str">
        <f>IF(Table1[[#This Row],[Data de Início]]="","",MONTH(Table1[[#This Row],[Data de Início]]))</f>
        <v/>
      </c>
      <c r="BC2490" s="270"/>
    </row>
    <row r="2491" spans="2:55" x14ac:dyDescent="0.25">
      <c r="B2491" s="470"/>
      <c r="C2491" s="263"/>
      <c r="D2491" s="477" cm="1">
        <f t="array" ref="D2491">IFERROR(HorasUteisFabrica2Turnos(B2491,C2491), "")</f>
        <v>0</v>
      </c>
      <c r="E2491" s="697" t="str">
        <f t="shared" si="39"/>
        <v/>
      </c>
      <c r="F2491" s="266"/>
      <c r="G2491" s="698"/>
      <c r="H2491" s="266"/>
      <c r="I2491" s="268"/>
      <c r="J2491" s="268"/>
      <c r="K2491" s="268"/>
      <c r="L2491" s="269"/>
      <c r="M2491" s="510" t="str">
        <f>IFERROR(INDEX([1]Produtos!$C:$C,MATCH(L2491,[1]Produtos!$B:$B,0)), "-")</f>
        <v>-</v>
      </c>
      <c r="N2491" s="510" t="str">
        <f>IFERROR(INDEX([1]Produtos!$E:$E,MATCH(L2491,[1]Produtos!$B:$B,0)), "-")</f>
        <v>-</v>
      </c>
      <c r="O2491" s="270" t="str">
        <f>IFERROR(INDEX([1]Produtos!$F:$F,MATCH(L2491,[1]Produtos!$B:$B,0)), "-")</f>
        <v>-</v>
      </c>
      <c r="P2491" s="264" t="str">
        <f>IFERROR(INDEX([1]Produtos!$G:$G,MATCH(L2491,[1]Produtos!$B:$B,0)), "-")</f>
        <v>-</v>
      </c>
      <c r="Q2491" s="270" t="str">
        <f>IFERROR(INDEX([1]Produtos!$H:$H,MATCH(L2491,[1]Produtos!$B:$B,0)), "-")</f>
        <v>-</v>
      </c>
      <c r="R2491" s="270" t="str">
        <f>IFERROR(INDEX([1]Produtos!$I:$I,MATCH(L2491,[1]Produtos!$B:$B,0)), "-")</f>
        <v>-</v>
      </c>
      <c r="S2491" s="270" t="str">
        <f>IFERROR(INDEX([1]Produtos!$J:$J,MATCH(L2491,[1]Produtos!$B:$B,0)), "-")</f>
        <v>-</v>
      </c>
      <c r="T2491" s="475"/>
      <c r="U2491" s="270"/>
      <c r="V2491" s="270"/>
      <c r="W2491" s="270"/>
      <c r="X2491" s="270"/>
      <c r="Y2491" s="270"/>
      <c r="Z2491" s="270"/>
      <c r="AA2491" s="270"/>
      <c r="AB2491" s="270"/>
      <c r="AC2491" s="270"/>
      <c r="AD2491" s="270"/>
      <c r="AE2491" s="270"/>
      <c r="AF2491" s="270"/>
      <c r="AG2491" s="270"/>
      <c r="AH2491" s="270"/>
      <c r="AI2491" s="270"/>
      <c r="AJ2491" s="270"/>
      <c r="AK2491" s="270"/>
      <c r="AL2491" s="270"/>
      <c r="AM2491" s="663"/>
      <c r="AN2491" s="663"/>
      <c r="AO2491" s="708" t="str">
        <f>IF(OR(Table1[[#This Row],[Início Setup Envase]]="",Table1[[#This Row],[Final Setup Envase]]=""),"",Table1[[#This Row],[Final Setup Envase]]-Table1[[#This Row],[Início Setup Envase]])</f>
        <v/>
      </c>
      <c r="AP2491" s="663"/>
      <c r="AQ2491" s="663"/>
      <c r="AR2491" s="270"/>
      <c r="AS2491" s="674"/>
      <c r="AT2491" s="674"/>
      <c r="AU2491" s="270"/>
      <c r="AV2491" s="270"/>
      <c r="AW2491" s="270"/>
      <c r="AX2491" s="270"/>
      <c r="AY2491" s="270"/>
      <c r="AZ2491" s="270"/>
      <c r="BA2491" s="270" t="str">
        <f>IF(Table1[[#This Row],[Data de Início]]="","",YEAR(Table1[[#This Row],[Data de Início]]))</f>
        <v/>
      </c>
      <c r="BB2491" s="270" t="str">
        <f>IF(Table1[[#This Row],[Data de Início]]="","",MONTH(Table1[[#This Row],[Data de Início]]))</f>
        <v/>
      </c>
      <c r="BC2491" s="483"/>
    </row>
    <row r="2492" spans="2:55" x14ac:dyDescent="0.25">
      <c r="B2492" s="470"/>
      <c r="C2492" s="263"/>
      <c r="D2492" s="477" cm="1">
        <f t="array" ref="D2492">IFERROR(HorasUteisFabrica2Turnos(B2492,C2492), "")</f>
        <v>0</v>
      </c>
      <c r="E2492" s="478" t="str">
        <f t="shared" si="39"/>
        <v/>
      </c>
      <c r="F2492" s="266"/>
      <c r="G2492" s="656"/>
      <c r="H2492" s="479"/>
      <c r="I2492" s="268"/>
      <c r="J2492" s="268"/>
      <c r="K2492" s="268"/>
      <c r="L2492" s="269"/>
      <c r="M2492" s="511" t="str">
        <f>IFERROR(INDEX([1]Produtos!$C:$C,MATCH(L2492,[1]Produtos!$B:$B,0)), "-")</f>
        <v>-</v>
      </c>
      <c r="N2492" s="511" t="str">
        <f>IFERROR(INDEX([1]Produtos!$E:$E,MATCH(L2492,[1]Produtos!$B:$B,0)), "-")</f>
        <v>-</v>
      </c>
      <c r="O2492" s="483" t="str">
        <f>IFERROR(INDEX([1]Produtos!$F:$F,MATCH(L2492,[1]Produtos!$B:$B,0)), "-")</f>
        <v>-</v>
      </c>
      <c r="P2492" s="477" t="str">
        <f>IFERROR(INDEX([1]Produtos!$G:$G,MATCH(L2492,[1]Produtos!$B:$B,0)), "-")</f>
        <v>-</v>
      </c>
      <c r="Q2492" s="483" t="str">
        <f>IFERROR(INDEX([1]Produtos!$H:$H,MATCH(L2492,[1]Produtos!$B:$B,0)), "-")</f>
        <v>-</v>
      </c>
      <c r="R2492" s="483" t="str">
        <f>IFERROR(INDEX([1]Produtos!$I:$I,MATCH(L2492,[1]Produtos!$B:$B,0)), "-")</f>
        <v>-</v>
      </c>
      <c r="S2492" s="483" t="str">
        <f>IFERROR(INDEX([1]Produtos!$J:$J,MATCH(L2492,[1]Produtos!$B:$B,0)), "-")</f>
        <v>-</v>
      </c>
      <c r="T2492" s="484"/>
      <c r="U2492" s="483"/>
      <c r="V2492" s="483"/>
      <c r="W2492" s="483"/>
      <c r="X2492" s="483"/>
      <c r="Y2492" s="483"/>
      <c r="Z2492" s="483"/>
      <c r="AA2492" s="483"/>
      <c r="AB2492" s="483"/>
      <c r="AC2492" s="483"/>
      <c r="AD2492" s="483"/>
      <c r="AE2492" s="483"/>
      <c r="AF2492" s="483"/>
      <c r="AG2492" s="483"/>
      <c r="AH2492" s="483"/>
      <c r="AI2492" s="483"/>
      <c r="AJ2492" s="483"/>
      <c r="AK2492" s="483"/>
      <c r="AL2492" s="483"/>
      <c r="AM2492" s="670"/>
      <c r="AN2492" s="670"/>
      <c r="AO2492" s="711" t="str">
        <f>IF(OR(Table1[[#This Row],[Início Setup Envase]]="",Table1[[#This Row],[Final Setup Envase]]=""),"",Table1[[#This Row],[Final Setup Envase]]-Table1[[#This Row],[Início Setup Envase]])</f>
        <v/>
      </c>
      <c r="AP2492" s="670"/>
      <c r="AQ2492" s="670"/>
      <c r="AR2492" s="483"/>
      <c r="AS2492" s="483"/>
      <c r="AT2492" s="483"/>
      <c r="AU2492" s="483"/>
      <c r="AV2492" s="483"/>
      <c r="AW2492" s="483"/>
      <c r="AX2492" s="483"/>
      <c r="AY2492" s="270"/>
      <c r="AZ2492" s="270"/>
      <c r="BA2492" s="270" t="str">
        <f>IF(Table1[[#This Row],[Data de Início]]="","",YEAR(Table1[[#This Row],[Data de Início]]))</f>
        <v/>
      </c>
      <c r="BB2492" s="270" t="str">
        <f>IF(Table1[[#This Row],[Data de Início]]="","",MONTH(Table1[[#This Row],[Data de Início]]))</f>
        <v/>
      </c>
      <c r="BC2492" s="270"/>
    </row>
    <row r="2493" spans="2:55" x14ac:dyDescent="0.25">
      <c r="B2493" s="470"/>
      <c r="C2493" s="263"/>
      <c r="D2493" s="477" cm="1">
        <f t="array" ref="D2493">IFERROR(HorasUteisFabrica2Turnos(B2493,C2493), "")</f>
        <v>0</v>
      </c>
      <c r="E2493" s="697" t="str">
        <f t="shared" si="39"/>
        <v/>
      </c>
      <c r="F2493" s="266"/>
      <c r="G2493" s="698"/>
      <c r="H2493" s="266"/>
      <c r="I2493" s="268"/>
      <c r="J2493" s="268"/>
      <c r="K2493" s="268"/>
      <c r="L2493" s="269"/>
      <c r="M2493" s="510" t="str">
        <f>IFERROR(INDEX([1]Produtos!$C:$C,MATCH(L2493,[1]Produtos!$B:$B,0)), "-")</f>
        <v>-</v>
      </c>
      <c r="N2493" s="510" t="str">
        <f>IFERROR(INDEX([1]Produtos!$E:$E,MATCH(L2493,[1]Produtos!$B:$B,0)), "-")</f>
        <v>-</v>
      </c>
      <c r="O2493" s="270" t="str">
        <f>IFERROR(INDEX([1]Produtos!$F:$F,MATCH(L2493,[1]Produtos!$B:$B,0)), "-")</f>
        <v>-</v>
      </c>
      <c r="P2493" s="264" t="str">
        <f>IFERROR(INDEX([1]Produtos!$G:$G,MATCH(L2493,[1]Produtos!$B:$B,0)), "-")</f>
        <v>-</v>
      </c>
      <c r="Q2493" s="270" t="str">
        <f>IFERROR(INDEX([1]Produtos!$H:$H,MATCH(L2493,[1]Produtos!$B:$B,0)), "-")</f>
        <v>-</v>
      </c>
      <c r="R2493" s="270" t="str">
        <f>IFERROR(INDEX([1]Produtos!$I:$I,MATCH(L2493,[1]Produtos!$B:$B,0)), "-")</f>
        <v>-</v>
      </c>
      <c r="S2493" s="270" t="str">
        <f>IFERROR(INDEX([1]Produtos!$J:$J,MATCH(L2493,[1]Produtos!$B:$B,0)), "-")</f>
        <v>-</v>
      </c>
      <c r="T2493" s="475"/>
      <c r="U2493" s="270"/>
      <c r="V2493" s="270"/>
      <c r="W2493" s="270"/>
      <c r="X2493" s="270"/>
      <c r="Y2493" s="270"/>
      <c r="Z2493" s="270"/>
      <c r="AA2493" s="270"/>
      <c r="AB2493" s="270"/>
      <c r="AC2493" s="270"/>
      <c r="AD2493" s="270"/>
      <c r="AE2493" s="270"/>
      <c r="AF2493" s="270"/>
      <c r="AG2493" s="270"/>
      <c r="AH2493" s="270"/>
      <c r="AI2493" s="270"/>
      <c r="AJ2493" s="270"/>
      <c r="AK2493" s="270"/>
      <c r="AL2493" s="270"/>
      <c r="AM2493" s="663"/>
      <c r="AN2493" s="663"/>
      <c r="AO2493" s="708" t="str">
        <f>IF(OR(Table1[[#This Row],[Início Setup Envase]]="",Table1[[#This Row],[Final Setup Envase]]=""),"",Table1[[#This Row],[Final Setup Envase]]-Table1[[#This Row],[Início Setup Envase]])</f>
        <v/>
      </c>
      <c r="AP2493" s="663"/>
      <c r="AQ2493" s="663"/>
      <c r="AR2493" s="270"/>
      <c r="AS2493" s="674"/>
      <c r="AT2493" s="674"/>
      <c r="AU2493" s="270"/>
      <c r="AV2493" s="270"/>
      <c r="AW2493" s="270"/>
      <c r="AX2493" s="270"/>
      <c r="AY2493" s="270"/>
      <c r="AZ2493" s="270"/>
      <c r="BA2493" s="270" t="str">
        <f>IF(Table1[[#This Row],[Data de Início]]="","",YEAR(Table1[[#This Row],[Data de Início]]))</f>
        <v/>
      </c>
      <c r="BB2493" s="270" t="str">
        <f>IF(Table1[[#This Row],[Data de Início]]="","",MONTH(Table1[[#This Row],[Data de Início]]))</f>
        <v/>
      </c>
      <c r="BC2493" s="483"/>
    </row>
    <row r="2494" spans="2:55" x14ac:dyDescent="0.25">
      <c r="B2494" s="470"/>
      <c r="C2494" s="263"/>
      <c r="D2494" s="477" cm="1">
        <f t="array" ref="D2494">IFERROR(HorasUteisFabrica2Turnos(B2494,C2494), "")</f>
        <v>0</v>
      </c>
      <c r="E2494" s="478" t="str">
        <f t="shared" si="39"/>
        <v/>
      </c>
      <c r="F2494" s="266"/>
      <c r="G2494" s="656"/>
      <c r="H2494" s="479"/>
      <c r="I2494" s="268"/>
      <c r="J2494" s="268"/>
      <c r="K2494" s="268"/>
      <c r="L2494" s="269"/>
      <c r="M2494" s="511" t="str">
        <f>IFERROR(INDEX([1]Produtos!$C:$C,MATCH(L2494,[1]Produtos!$B:$B,0)), "-")</f>
        <v>-</v>
      </c>
      <c r="N2494" s="511" t="str">
        <f>IFERROR(INDEX([1]Produtos!$E:$E,MATCH(L2494,[1]Produtos!$B:$B,0)), "-")</f>
        <v>-</v>
      </c>
      <c r="O2494" s="483" t="str">
        <f>IFERROR(INDEX([1]Produtos!$F:$F,MATCH(L2494,[1]Produtos!$B:$B,0)), "-")</f>
        <v>-</v>
      </c>
      <c r="P2494" s="477" t="str">
        <f>IFERROR(INDEX([1]Produtos!$G:$G,MATCH(L2494,[1]Produtos!$B:$B,0)), "-")</f>
        <v>-</v>
      </c>
      <c r="Q2494" s="483" t="str">
        <f>IFERROR(INDEX([1]Produtos!$H:$H,MATCH(L2494,[1]Produtos!$B:$B,0)), "-")</f>
        <v>-</v>
      </c>
      <c r="R2494" s="483" t="str">
        <f>IFERROR(INDEX([1]Produtos!$I:$I,MATCH(L2494,[1]Produtos!$B:$B,0)), "-")</f>
        <v>-</v>
      </c>
      <c r="S2494" s="483" t="str">
        <f>IFERROR(INDEX([1]Produtos!$J:$J,MATCH(L2494,[1]Produtos!$B:$B,0)), "-")</f>
        <v>-</v>
      </c>
      <c r="T2494" s="484"/>
      <c r="U2494" s="483"/>
      <c r="V2494" s="483"/>
      <c r="W2494" s="483"/>
      <c r="X2494" s="483"/>
      <c r="Y2494" s="483"/>
      <c r="Z2494" s="483"/>
      <c r="AA2494" s="483"/>
      <c r="AB2494" s="483"/>
      <c r="AC2494" s="483"/>
      <c r="AD2494" s="483"/>
      <c r="AE2494" s="483"/>
      <c r="AF2494" s="483"/>
      <c r="AG2494" s="483"/>
      <c r="AH2494" s="483"/>
      <c r="AI2494" s="483"/>
      <c r="AJ2494" s="483"/>
      <c r="AK2494" s="483"/>
      <c r="AL2494" s="483"/>
      <c r="AM2494" s="670"/>
      <c r="AN2494" s="670"/>
      <c r="AO2494" s="711" t="str">
        <f>IF(OR(Table1[[#This Row],[Início Setup Envase]]="",Table1[[#This Row],[Final Setup Envase]]=""),"",Table1[[#This Row],[Final Setup Envase]]-Table1[[#This Row],[Início Setup Envase]])</f>
        <v/>
      </c>
      <c r="AP2494" s="670"/>
      <c r="AQ2494" s="670"/>
      <c r="AR2494" s="483"/>
      <c r="AS2494" s="483"/>
      <c r="AT2494" s="483"/>
      <c r="AU2494" s="483"/>
      <c r="AV2494" s="483"/>
      <c r="AW2494" s="483"/>
      <c r="AX2494" s="483"/>
      <c r="AY2494" s="270"/>
      <c r="AZ2494" s="270"/>
      <c r="BA2494" s="270" t="str">
        <f>IF(Table1[[#This Row],[Data de Início]]="","",YEAR(Table1[[#This Row],[Data de Início]]))</f>
        <v/>
      </c>
      <c r="BB2494" s="270" t="str">
        <f>IF(Table1[[#This Row],[Data de Início]]="","",MONTH(Table1[[#This Row],[Data de Início]]))</f>
        <v/>
      </c>
      <c r="BC2494" s="270"/>
    </row>
    <row r="2495" spans="2:55" x14ac:dyDescent="0.25">
      <c r="B2495" s="470"/>
      <c r="C2495" s="263"/>
      <c r="D2495" s="477" cm="1">
        <f t="array" ref="D2495">IFERROR(HorasUteisFabrica2Turnos(B2495,C2495), "")</f>
        <v>0</v>
      </c>
      <c r="E2495" s="697" t="str">
        <f t="shared" si="39"/>
        <v/>
      </c>
      <c r="F2495" s="266"/>
      <c r="G2495" s="698"/>
      <c r="H2495" s="266"/>
      <c r="I2495" s="268"/>
      <c r="J2495" s="268"/>
      <c r="K2495" s="268"/>
      <c r="L2495" s="269"/>
      <c r="M2495" s="510" t="str">
        <f>IFERROR(INDEX([1]Produtos!$C:$C,MATCH(L2495,[1]Produtos!$B:$B,0)), "-")</f>
        <v>-</v>
      </c>
      <c r="N2495" s="510" t="str">
        <f>IFERROR(INDEX([1]Produtos!$E:$E,MATCH(L2495,[1]Produtos!$B:$B,0)), "-")</f>
        <v>-</v>
      </c>
      <c r="O2495" s="270" t="str">
        <f>IFERROR(INDEX([1]Produtos!$F:$F,MATCH(L2495,[1]Produtos!$B:$B,0)), "-")</f>
        <v>-</v>
      </c>
      <c r="P2495" s="264" t="str">
        <f>IFERROR(INDEX([1]Produtos!$G:$G,MATCH(L2495,[1]Produtos!$B:$B,0)), "-")</f>
        <v>-</v>
      </c>
      <c r="Q2495" s="270" t="str">
        <f>IFERROR(INDEX([1]Produtos!$H:$H,MATCH(L2495,[1]Produtos!$B:$B,0)), "-")</f>
        <v>-</v>
      </c>
      <c r="R2495" s="270" t="str">
        <f>IFERROR(INDEX([1]Produtos!$I:$I,MATCH(L2495,[1]Produtos!$B:$B,0)), "-")</f>
        <v>-</v>
      </c>
      <c r="S2495" s="270" t="str">
        <f>IFERROR(INDEX([1]Produtos!$J:$J,MATCH(L2495,[1]Produtos!$B:$B,0)), "-")</f>
        <v>-</v>
      </c>
      <c r="T2495" s="475"/>
      <c r="U2495" s="270"/>
      <c r="V2495" s="270"/>
      <c r="W2495" s="270"/>
      <c r="X2495" s="270"/>
      <c r="Y2495" s="270"/>
      <c r="Z2495" s="270"/>
      <c r="AA2495" s="270"/>
      <c r="AB2495" s="270"/>
      <c r="AC2495" s="270"/>
      <c r="AD2495" s="270"/>
      <c r="AE2495" s="270"/>
      <c r="AF2495" s="270"/>
      <c r="AG2495" s="270"/>
      <c r="AH2495" s="270"/>
      <c r="AI2495" s="270"/>
      <c r="AJ2495" s="270"/>
      <c r="AK2495" s="270"/>
      <c r="AL2495" s="270"/>
      <c r="AM2495" s="663"/>
      <c r="AN2495" s="663"/>
      <c r="AO2495" s="708" t="str">
        <f>IF(OR(Table1[[#This Row],[Início Setup Envase]]="",Table1[[#This Row],[Final Setup Envase]]=""),"",Table1[[#This Row],[Final Setup Envase]]-Table1[[#This Row],[Início Setup Envase]])</f>
        <v/>
      </c>
      <c r="AP2495" s="663"/>
      <c r="AQ2495" s="663"/>
      <c r="AR2495" s="270"/>
      <c r="AS2495" s="674"/>
      <c r="AT2495" s="674"/>
      <c r="AU2495" s="270"/>
      <c r="AV2495" s="270"/>
      <c r="AW2495" s="270"/>
      <c r="AX2495" s="270"/>
      <c r="AY2495" s="270"/>
      <c r="AZ2495" s="270"/>
      <c r="BA2495" s="270" t="str">
        <f>IF(Table1[[#This Row],[Data de Início]]="","",YEAR(Table1[[#This Row],[Data de Início]]))</f>
        <v/>
      </c>
      <c r="BB2495" s="270" t="str">
        <f>IF(Table1[[#This Row],[Data de Início]]="","",MONTH(Table1[[#This Row],[Data de Início]]))</f>
        <v/>
      </c>
      <c r="BC2495" s="483"/>
    </row>
    <row r="2496" spans="2:55" x14ac:dyDescent="0.25">
      <c r="B2496" s="470"/>
      <c r="C2496" s="263"/>
      <c r="D2496" s="477" cm="1">
        <f t="array" ref="D2496">IFERROR(HorasUteisFabrica2Turnos(B2496,C2496), "")</f>
        <v>0</v>
      </c>
      <c r="E2496" s="478" t="str">
        <f t="shared" si="39"/>
        <v/>
      </c>
      <c r="F2496" s="266"/>
      <c r="G2496" s="656"/>
      <c r="H2496" s="479"/>
      <c r="I2496" s="268"/>
      <c r="J2496" s="268"/>
      <c r="K2496" s="268"/>
      <c r="L2496" s="269"/>
      <c r="M2496" s="511" t="str">
        <f>IFERROR(INDEX([1]Produtos!$C:$C,MATCH(L2496,[1]Produtos!$B:$B,0)), "-")</f>
        <v>-</v>
      </c>
      <c r="N2496" s="511" t="str">
        <f>IFERROR(INDEX([1]Produtos!$E:$E,MATCH(L2496,[1]Produtos!$B:$B,0)), "-")</f>
        <v>-</v>
      </c>
      <c r="O2496" s="483" t="str">
        <f>IFERROR(INDEX([1]Produtos!$F:$F,MATCH(L2496,[1]Produtos!$B:$B,0)), "-")</f>
        <v>-</v>
      </c>
      <c r="P2496" s="477" t="str">
        <f>IFERROR(INDEX([1]Produtos!$G:$G,MATCH(L2496,[1]Produtos!$B:$B,0)), "-")</f>
        <v>-</v>
      </c>
      <c r="Q2496" s="483" t="str">
        <f>IFERROR(INDEX([1]Produtos!$H:$H,MATCH(L2496,[1]Produtos!$B:$B,0)), "-")</f>
        <v>-</v>
      </c>
      <c r="R2496" s="483" t="str">
        <f>IFERROR(INDEX([1]Produtos!$I:$I,MATCH(L2496,[1]Produtos!$B:$B,0)), "-")</f>
        <v>-</v>
      </c>
      <c r="S2496" s="483" t="str">
        <f>IFERROR(INDEX([1]Produtos!$J:$J,MATCH(L2496,[1]Produtos!$B:$B,0)), "-")</f>
        <v>-</v>
      </c>
      <c r="T2496" s="484"/>
      <c r="U2496" s="483"/>
      <c r="V2496" s="483"/>
      <c r="W2496" s="483"/>
      <c r="X2496" s="483"/>
      <c r="Y2496" s="483"/>
      <c r="Z2496" s="483"/>
      <c r="AA2496" s="483"/>
      <c r="AB2496" s="483"/>
      <c r="AC2496" s="483"/>
      <c r="AD2496" s="483"/>
      <c r="AE2496" s="483"/>
      <c r="AF2496" s="483"/>
      <c r="AG2496" s="483"/>
      <c r="AH2496" s="483"/>
      <c r="AI2496" s="483"/>
      <c r="AJ2496" s="483"/>
      <c r="AK2496" s="483"/>
      <c r="AL2496" s="483"/>
      <c r="AM2496" s="670"/>
      <c r="AN2496" s="670"/>
      <c r="AO2496" s="711" t="str">
        <f>IF(OR(Table1[[#This Row],[Início Setup Envase]]="",Table1[[#This Row],[Final Setup Envase]]=""),"",Table1[[#This Row],[Final Setup Envase]]-Table1[[#This Row],[Início Setup Envase]])</f>
        <v/>
      </c>
      <c r="AP2496" s="670"/>
      <c r="AQ2496" s="670"/>
      <c r="AR2496" s="483"/>
      <c r="AS2496" s="483"/>
      <c r="AT2496" s="483"/>
      <c r="AU2496" s="483"/>
      <c r="AV2496" s="483"/>
      <c r="AW2496" s="483"/>
      <c r="AX2496" s="483"/>
      <c r="AY2496" s="270"/>
      <c r="AZ2496" s="270"/>
      <c r="BA2496" s="270" t="str">
        <f>IF(Table1[[#This Row],[Data de Início]]="","",YEAR(Table1[[#This Row],[Data de Início]]))</f>
        <v/>
      </c>
      <c r="BB2496" s="270" t="str">
        <f>IF(Table1[[#This Row],[Data de Início]]="","",MONTH(Table1[[#This Row],[Data de Início]]))</f>
        <v/>
      </c>
      <c r="BC2496" s="270"/>
    </row>
    <row r="2497" spans="2:55" x14ac:dyDescent="0.25">
      <c r="B2497" s="470"/>
      <c r="C2497" s="263"/>
      <c r="D2497" s="477" cm="1">
        <f t="array" ref="D2497">IFERROR(HorasUteisFabrica2Turnos(B2497,C2497), "")</f>
        <v>0</v>
      </c>
      <c r="E2497" s="697" t="str">
        <f t="shared" si="39"/>
        <v/>
      </c>
      <c r="F2497" s="266"/>
      <c r="G2497" s="698"/>
      <c r="H2497" s="266"/>
      <c r="I2497" s="268"/>
      <c r="J2497" s="268"/>
      <c r="K2497" s="268"/>
      <c r="L2497" s="269"/>
      <c r="M2497" s="510" t="str">
        <f>IFERROR(INDEX([1]Produtos!$C:$C,MATCH(L2497,[1]Produtos!$B:$B,0)), "-")</f>
        <v>-</v>
      </c>
      <c r="N2497" s="510" t="str">
        <f>IFERROR(INDEX([1]Produtos!$E:$E,MATCH(L2497,[1]Produtos!$B:$B,0)), "-")</f>
        <v>-</v>
      </c>
      <c r="O2497" s="270" t="str">
        <f>IFERROR(INDEX([1]Produtos!$F:$F,MATCH(L2497,[1]Produtos!$B:$B,0)), "-")</f>
        <v>-</v>
      </c>
      <c r="P2497" s="264" t="str">
        <f>IFERROR(INDEX([1]Produtos!$G:$G,MATCH(L2497,[1]Produtos!$B:$B,0)), "-")</f>
        <v>-</v>
      </c>
      <c r="Q2497" s="270" t="str">
        <f>IFERROR(INDEX([1]Produtos!$H:$H,MATCH(L2497,[1]Produtos!$B:$B,0)), "-")</f>
        <v>-</v>
      </c>
      <c r="R2497" s="270" t="str">
        <f>IFERROR(INDEX([1]Produtos!$I:$I,MATCH(L2497,[1]Produtos!$B:$B,0)), "-")</f>
        <v>-</v>
      </c>
      <c r="S2497" s="270" t="str">
        <f>IFERROR(INDEX([1]Produtos!$J:$J,MATCH(L2497,[1]Produtos!$B:$B,0)), "-")</f>
        <v>-</v>
      </c>
      <c r="T2497" s="475"/>
      <c r="U2497" s="270"/>
      <c r="V2497" s="270"/>
      <c r="W2497" s="270"/>
      <c r="X2497" s="270"/>
      <c r="Y2497" s="270"/>
      <c r="Z2497" s="270"/>
      <c r="AA2497" s="270"/>
      <c r="AB2497" s="270"/>
      <c r="AC2497" s="270"/>
      <c r="AD2497" s="270"/>
      <c r="AE2497" s="270"/>
      <c r="AF2497" s="270"/>
      <c r="AG2497" s="270"/>
      <c r="AH2497" s="270"/>
      <c r="AI2497" s="270"/>
      <c r="AJ2497" s="270"/>
      <c r="AK2497" s="270"/>
      <c r="AL2497" s="270"/>
      <c r="AM2497" s="663"/>
      <c r="AN2497" s="663"/>
      <c r="AO2497" s="708" t="str">
        <f>IF(OR(Table1[[#This Row],[Início Setup Envase]]="",Table1[[#This Row],[Final Setup Envase]]=""),"",Table1[[#This Row],[Final Setup Envase]]-Table1[[#This Row],[Início Setup Envase]])</f>
        <v/>
      </c>
      <c r="AP2497" s="663"/>
      <c r="AQ2497" s="663"/>
      <c r="AR2497" s="270"/>
      <c r="AS2497" s="674"/>
      <c r="AT2497" s="674"/>
      <c r="AU2497" s="270"/>
      <c r="AV2497" s="270"/>
      <c r="AW2497" s="270"/>
      <c r="AX2497" s="270"/>
      <c r="AY2497" s="270"/>
      <c r="AZ2497" s="270"/>
      <c r="BA2497" s="270" t="str">
        <f>IF(Table1[[#This Row],[Data de Início]]="","",YEAR(Table1[[#This Row],[Data de Início]]))</f>
        <v/>
      </c>
      <c r="BB2497" s="270" t="str">
        <f>IF(Table1[[#This Row],[Data de Início]]="","",MONTH(Table1[[#This Row],[Data de Início]]))</f>
        <v/>
      </c>
      <c r="BC2497" s="483"/>
    </row>
    <row r="2498" spans="2:55" x14ac:dyDescent="0.25">
      <c r="B2498" s="470"/>
      <c r="C2498" s="263"/>
      <c r="D2498" s="477" cm="1">
        <f t="array" ref="D2498">IFERROR(HorasUteisFabrica2Turnos(B2498,C2498), "")</f>
        <v>0</v>
      </c>
      <c r="E2498" s="478" t="str">
        <f t="shared" si="39"/>
        <v/>
      </c>
      <c r="F2498" s="266"/>
      <c r="G2498" s="656"/>
      <c r="H2498" s="479"/>
      <c r="I2498" s="268"/>
      <c r="J2498" s="268"/>
      <c r="K2498" s="268"/>
      <c r="L2498" s="269"/>
      <c r="M2498" s="511" t="str">
        <f>IFERROR(INDEX([1]Produtos!$C:$C,MATCH(L2498,[1]Produtos!$B:$B,0)), "-")</f>
        <v>-</v>
      </c>
      <c r="N2498" s="511" t="str">
        <f>IFERROR(INDEX([1]Produtos!$E:$E,MATCH(L2498,[1]Produtos!$B:$B,0)), "-")</f>
        <v>-</v>
      </c>
      <c r="O2498" s="483" t="str">
        <f>IFERROR(INDEX([1]Produtos!$F:$F,MATCH(L2498,[1]Produtos!$B:$B,0)), "-")</f>
        <v>-</v>
      </c>
      <c r="P2498" s="477" t="str">
        <f>IFERROR(INDEX([1]Produtos!$G:$G,MATCH(L2498,[1]Produtos!$B:$B,0)), "-")</f>
        <v>-</v>
      </c>
      <c r="Q2498" s="483" t="str">
        <f>IFERROR(INDEX([1]Produtos!$H:$H,MATCH(L2498,[1]Produtos!$B:$B,0)), "-")</f>
        <v>-</v>
      </c>
      <c r="R2498" s="483" t="str">
        <f>IFERROR(INDEX([1]Produtos!$I:$I,MATCH(L2498,[1]Produtos!$B:$B,0)), "-")</f>
        <v>-</v>
      </c>
      <c r="S2498" s="483" t="str">
        <f>IFERROR(INDEX([1]Produtos!$J:$J,MATCH(L2498,[1]Produtos!$B:$B,0)), "-")</f>
        <v>-</v>
      </c>
      <c r="T2498" s="484"/>
      <c r="U2498" s="483"/>
      <c r="V2498" s="483"/>
      <c r="W2498" s="483"/>
      <c r="X2498" s="483"/>
      <c r="Y2498" s="483"/>
      <c r="Z2498" s="483"/>
      <c r="AA2498" s="483"/>
      <c r="AB2498" s="483"/>
      <c r="AC2498" s="483"/>
      <c r="AD2498" s="483"/>
      <c r="AE2498" s="483"/>
      <c r="AF2498" s="483"/>
      <c r="AG2498" s="483"/>
      <c r="AH2498" s="483"/>
      <c r="AI2498" s="483"/>
      <c r="AJ2498" s="483"/>
      <c r="AK2498" s="483"/>
      <c r="AL2498" s="483"/>
      <c r="AM2498" s="670"/>
      <c r="AN2498" s="670"/>
      <c r="AO2498" s="711" t="str">
        <f>IF(OR(Table1[[#This Row],[Início Setup Envase]]="",Table1[[#This Row],[Final Setup Envase]]=""),"",Table1[[#This Row],[Final Setup Envase]]-Table1[[#This Row],[Início Setup Envase]])</f>
        <v/>
      </c>
      <c r="AP2498" s="670"/>
      <c r="AQ2498" s="670"/>
      <c r="AR2498" s="483"/>
      <c r="AS2498" s="483"/>
      <c r="AT2498" s="483"/>
      <c r="AU2498" s="483"/>
      <c r="AV2498" s="483"/>
      <c r="AW2498" s="483"/>
      <c r="AX2498" s="483"/>
      <c r="AY2498" s="270"/>
      <c r="AZ2498" s="270"/>
      <c r="BA2498" s="270" t="str">
        <f>IF(Table1[[#This Row],[Data de Início]]="","",YEAR(Table1[[#This Row],[Data de Início]]))</f>
        <v/>
      </c>
      <c r="BB2498" s="270" t="str">
        <f>IF(Table1[[#This Row],[Data de Início]]="","",MONTH(Table1[[#This Row],[Data de Início]]))</f>
        <v/>
      </c>
      <c r="BC2498" s="270"/>
    </row>
    <row r="2499" spans="2:55" x14ac:dyDescent="0.25">
      <c r="B2499" s="470"/>
      <c r="C2499" s="263"/>
      <c r="D2499" s="477" cm="1">
        <f t="array" ref="D2499">IFERROR(HorasUteisFabrica2Turnos(B2499,C2499), "")</f>
        <v>0</v>
      </c>
      <c r="E2499" s="697" t="str">
        <f t="shared" si="39"/>
        <v/>
      </c>
      <c r="F2499" s="266"/>
      <c r="G2499" s="698"/>
      <c r="H2499" s="266"/>
      <c r="I2499" s="268"/>
      <c r="J2499" s="268"/>
      <c r="K2499" s="268"/>
      <c r="L2499" s="269"/>
      <c r="M2499" s="510" t="str">
        <f>IFERROR(INDEX([1]Produtos!$C:$C,MATCH(L2499,[1]Produtos!$B:$B,0)), "-")</f>
        <v>-</v>
      </c>
      <c r="N2499" s="510" t="str">
        <f>IFERROR(INDEX([1]Produtos!$E:$E,MATCH(L2499,[1]Produtos!$B:$B,0)), "-")</f>
        <v>-</v>
      </c>
      <c r="O2499" s="270" t="str">
        <f>IFERROR(INDEX([1]Produtos!$F:$F,MATCH(L2499,[1]Produtos!$B:$B,0)), "-")</f>
        <v>-</v>
      </c>
      <c r="P2499" s="264" t="str">
        <f>IFERROR(INDEX([1]Produtos!$G:$G,MATCH(L2499,[1]Produtos!$B:$B,0)), "-")</f>
        <v>-</v>
      </c>
      <c r="Q2499" s="270" t="str">
        <f>IFERROR(INDEX([1]Produtos!$H:$H,MATCH(L2499,[1]Produtos!$B:$B,0)), "-")</f>
        <v>-</v>
      </c>
      <c r="R2499" s="270" t="str">
        <f>IFERROR(INDEX([1]Produtos!$I:$I,MATCH(L2499,[1]Produtos!$B:$B,0)), "-")</f>
        <v>-</v>
      </c>
      <c r="S2499" s="270" t="str">
        <f>IFERROR(INDEX([1]Produtos!$J:$J,MATCH(L2499,[1]Produtos!$B:$B,0)), "-")</f>
        <v>-</v>
      </c>
      <c r="T2499" s="475"/>
      <c r="U2499" s="270"/>
      <c r="V2499" s="270"/>
      <c r="W2499" s="270"/>
      <c r="X2499" s="270"/>
      <c r="Y2499" s="270"/>
      <c r="Z2499" s="270"/>
      <c r="AA2499" s="270"/>
      <c r="AB2499" s="270"/>
      <c r="AC2499" s="270"/>
      <c r="AD2499" s="270"/>
      <c r="AE2499" s="270"/>
      <c r="AF2499" s="270"/>
      <c r="AG2499" s="270"/>
      <c r="AH2499" s="270"/>
      <c r="AI2499" s="270"/>
      <c r="AJ2499" s="270"/>
      <c r="AK2499" s="270"/>
      <c r="AL2499" s="270"/>
      <c r="AM2499" s="663"/>
      <c r="AN2499" s="663"/>
      <c r="AO2499" s="708" t="str">
        <f>IF(OR(Table1[[#This Row],[Início Setup Envase]]="",Table1[[#This Row],[Final Setup Envase]]=""),"",Table1[[#This Row],[Final Setup Envase]]-Table1[[#This Row],[Início Setup Envase]])</f>
        <v/>
      </c>
      <c r="AP2499" s="663"/>
      <c r="AQ2499" s="663"/>
      <c r="AR2499" s="270"/>
      <c r="AS2499" s="674"/>
      <c r="AT2499" s="674"/>
      <c r="AU2499" s="270"/>
      <c r="AV2499" s="270"/>
      <c r="AW2499" s="270"/>
      <c r="AX2499" s="270"/>
      <c r="AY2499" s="270"/>
      <c r="AZ2499" s="270"/>
      <c r="BA2499" s="270" t="str">
        <f>IF(Table1[[#This Row],[Data de Início]]="","",YEAR(Table1[[#This Row],[Data de Início]]))</f>
        <v/>
      </c>
      <c r="BB2499" s="270" t="str">
        <f>IF(Table1[[#This Row],[Data de Início]]="","",MONTH(Table1[[#This Row],[Data de Início]]))</f>
        <v/>
      </c>
      <c r="BC2499" s="483"/>
    </row>
    <row r="2500" spans="2:55" x14ac:dyDescent="0.25">
      <c r="B2500" s="470"/>
      <c r="C2500" s="263"/>
      <c r="D2500" s="477" cm="1">
        <f t="array" ref="D2500">IFERROR(HorasUteisFabrica2Turnos(B2500,C2500), "")</f>
        <v>0</v>
      </c>
      <c r="E2500" s="478" t="str">
        <f t="shared" si="39"/>
        <v/>
      </c>
      <c r="F2500" s="266"/>
      <c r="G2500" s="656"/>
      <c r="H2500" s="479"/>
      <c r="I2500" s="268"/>
      <c r="J2500" s="268"/>
      <c r="K2500" s="268"/>
      <c r="L2500" s="269"/>
      <c r="M2500" s="511" t="str">
        <f>IFERROR(INDEX([1]Produtos!$C:$C,MATCH(L2500,[1]Produtos!$B:$B,0)), "-")</f>
        <v>-</v>
      </c>
      <c r="N2500" s="511" t="str">
        <f>IFERROR(INDEX([1]Produtos!$E:$E,MATCH(L2500,[1]Produtos!$B:$B,0)), "-")</f>
        <v>-</v>
      </c>
      <c r="O2500" s="483" t="str">
        <f>IFERROR(INDEX([1]Produtos!$F:$F,MATCH(L2500,[1]Produtos!$B:$B,0)), "-")</f>
        <v>-</v>
      </c>
      <c r="P2500" s="477" t="str">
        <f>IFERROR(INDEX([1]Produtos!$G:$G,MATCH(L2500,[1]Produtos!$B:$B,0)), "-")</f>
        <v>-</v>
      </c>
      <c r="Q2500" s="483" t="str">
        <f>IFERROR(INDEX([1]Produtos!$H:$H,MATCH(L2500,[1]Produtos!$B:$B,0)), "-")</f>
        <v>-</v>
      </c>
      <c r="R2500" s="483" t="str">
        <f>IFERROR(INDEX([1]Produtos!$I:$I,MATCH(L2500,[1]Produtos!$B:$B,0)), "-")</f>
        <v>-</v>
      </c>
      <c r="S2500" s="483" t="str">
        <f>IFERROR(INDEX([1]Produtos!$J:$J,MATCH(L2500,[1]Produtos!$B:$B,0)), "-")</f>
        <v>-</v>
      </c>
      <c r="T2500" s="484"/>
      <c r="U2500" s="483"/>
      <c r="V2500" s="483"/>
      <c r="W2500" s="483"/>
      <c r="X2500" s="483"/>
      <c r="Y2500" s="483"/>
      <c r="Z2500" s="483"/>
      <c r="AA2500" s="483"/>
      <c r="AB2500" s="483"/>
      <c r="AC2500" s="483"/>
      <c r="AD2500" s="483"/>
      <c r="AE2500" s="483"/>
      <c r="AF2500" s="483"/>
      <c r="AG2500" s="483"/>
      <c r="AH2500" s="483"/>
      <c r="AI2500" s="483"/>
      <c r="AJ2500" s="483"/>
      <c r="AK2500" s="483"/>
      <c r="AL2500" s="483"/>
      <c r="AM2500" s="670"/>
      <c r="AN2500" s="670"/>
      <c r="AO2500" s="711" t="str">
        <f>IF(OR(Table1[[#This Row],[Início Setup Envase]]="",Table1[[#This Row],[Final Setup Envase]]=""),"",Table1[[#This Row],[Final Setup Envase]]-Table1[[#This Row],[Início Setup Envase]])</f>
        <v/>
      </c>
      <c r="AP2500" s="670"/>
      <c r="AQ2500" s="670"/>
      <c r="AR2500" s="483"/>
      <c r="AS2500" s="483"/>
      <c r="AT2500" s="483"/>
      <c r="AU2500" s="483"/>
      <c r="AV2500" s="483"/>
      <c r="AW2500" s="483"/>
      <c r="AX2500" s="483"/>
      <c r="AY2500" s="270"/>
      <c r="AZ2500" s="270"/>
      <c r="BA2500" s="270" t="str">
        <f>IF(Table1[[#This Row],[Data de Início]]="","",YEAR(Table1[[#This Row],[Data de Início]]))</f>
        <v/>
      </c>
      <c r="BB2500" s="270" t="str">
        <f>IF(Table1[[#This Row],[Data de Início]]="","",MONTH(Table1[[#This Row],[Data de Início]]))</f>
        <v/>
      </c>
      <c r="BC2500" s="270"/>
    </row>
    <row r="2501" spans="2:55" x14ac:dyDescent="0.25">
      <c r="B2501" s="470"/>
      <c r="C2501" s="263"/>
      <c r="D2501" s="477" cm="1">
        <f t="array" ref="D2501">IFERROR(HorasUteisFabrica2Turnos(B2501,C2501), "")</f>
        <v>0</v>
      </c>
      <c r="E2501" s="697" t="str">
        <f t="shared" si="39"/>
        <v/>
      </c>
      <c r="F2501" s="266"/>
      <c r="G2501" s="698"/>
      <c r="H2501" s="266"/>
      <c r="I2501" s="268"/>
      <c r="J2501" s="268"/>
      <c r="K2501" s="268"/>
      <c r="L2501" s="269"/>
      <c r="M2501" s="510" t="str">
        <f>IFERROR(INDEX([1]Produtos!$C:$C,MATCH(L2501,[1]Produtos!$B:$B,0)), "-")</f>
        <v>-</v>
      </c>
      <c r="N2501" s="510" t="str">
        <f>IFERROR(INDEX([1]Produtos!$E:$E,MATCH(L2501,[1]Produtos!$B:$B,0)), "-")</f>
        <v>-</v>
      </c>
      <c r="O2501" s="270" t="str">
        <f>IFERROR(INDEX([1]Produtos!$F:$F,MATCH(L2501,[1]Produtos!$B:$B,0)), "-")</f>
        <v>-</v>
      </c>
      <c r="P2501" s="264" t="str">
        <f>IFERROR(INDEX([1]Produtos!$G:$G,MATCH(L2501,[1]Produtos!$B:$B,0)), "-")</f>
        <v>-</v>
      </c>
      <c r="Q2501" s="270" t="str">
        <f>IFERROR(INDEX([1]Produtos!$H:$H,MATCH(L2501,[1]Produtos!$B:$B,0)), "-")</f>
        <v>-</v>
      </c>
      <c r="R2501" s="270" t="str">
        <f>IFERROR(INDEX([1]Produtos!$I:$I,MATCH(L2501,[1]Produtos!$B:$B,0)), "-")</f>
        <v>-</v>
      </c>
      <c r="S2501" s="270" t="str">
        <f>IFERROR(INDEX([1]Produtos!$J:$J,MATCH(L2501,[1]Produtos!$B:$B,0)), "-")</f>
        <v>-</v>
      </c>
      <c r="T2501" s="475"/>
      <c r="U2501" s="270"/>
      <c r="V2501" s="270"/>
      <c r="W2501" s="270"/>
      <c r="X2501" s="270"/>
      <c r="Y2501" s="270"/>
      <c r="Z2501" s="270"/>
      <c r="AA2501" s="270"/>
      <c r="AB2501" s="270"/>
      <c r="AC2501" s="270"/>
      <c r="AD2501" s="270"/>
      <c r="AE2501" s="270"/>
      <c r="AF2501" s="270"/>
      <c r="AG2501" s="270"/>
      <c r="AH2501" s="270"/>
      <c r="AI2501" s="270"/>
      <c r="AJ2501" s="270"/>
      <c r="AK2501" s="270"/>
      <c r="AL2501" s="270"/>
      <c r="AM2501" s="663"/>
      <c r="AN2501" s="663"/>
      <c r="AO2501" s="708" t="str">
        <f>IF(OR(Table1[[#This Row],[Início Setup Envase]]="",Table1[[#This Row],[Final Setup Envase]]=""),"",Table1[[#This Row],[Final Setup Envase]]-Table1[[#This Row],[Início Setup Envase]])</f>
        <v/>
      </c>
      <c r="AP2501" s="663"/>
      <c r="AQ2501" s="663"/>
      <c r="AR2501" s="270"/>
      <c r="AS2501" s="674"/>
      <c r="AT2501" s="674"/>
      <c r="AU2501" s="270"/>
      <c r="AV2501" s="270"/>
      <c r="AW2501" s="270"/>
      <c r="AX2501" s="270"/>
      <c r="AY2501" s="270"/>
      <c r="AZ2501" s="270"/>
      <c r="BA2501" s="270" t="str">
        <f>IF(Table1[[#This Row],[Data de Início]]="","",YEAR(Table1[[#This Row],[Data de Início]]))</f>
        <v/>
      </c>
      <c r="BB2501" s="270" t="str">
        <f>IF(Table1[[#This Row],[Data de Início]]="","",MONTH(Table1[[#This Row],[Data de Início]]))</f>
        <v/>
      </c>
      <c r="BC2501" s="483"/>
    </row>
    <row r="2502" spans="2:55" x14ac:dyDescent="0.25">
      <c r="B2502" s="470"/>
      <c r="C2502" s="263"/>
      <c r="D2502" s="477" cm="1">
        <f t="array" ref="D2502">IFERROR(HorasUteisFabrica2Turnos(B2502,C2502), "")</f>
        <v>0</v>
      </c>
      <c r="E2502" s="478" t="str">
        <f t="shared" si="39"/>
        <v/>
      </c>
      <c r="F2502" s="266"/>
      <c r="G2502" s="656"/>
      <c r="H2502" s="479"/>
      <c r="I2502" s="268"/>
      <c r="J2502" s="268"/>
      <c r="K2502" s="268"/>
      <c r="L2502" s="269"/>
      <c r="M2502" s="511" t="str">
        <f>IFERROR(INDEX([1]Produtos!$C:$C,MATCH(L2502,[1]Produtos!$B:$B,0)), "-")</f>
        <v>-</v>
      </c>
      <c r="N2502" s="511" t="str">
        <f>IFERROR(INDEX([1]Produtos!$E:$E,MATCH(L2502,[1]Produtos!$B:$B,0)), "-")</f>
        <v>-</v>
      </c>
      <c r="O2502" s="483" t="str">
        <f>IFERROR(INDEX([1]Produtos!$F:$F,MATCH(L2502,[1]Produtos!$B:$B,0)), "-")</f>
        <v>-</v>
      </c>
      <c r="P2502" s="477" t="str">
        <f>IFERROR(INDEX([1]Produtos!$G:$G,MATCH(L2502,[1]Produtos!$B:$B,0)), "-")</f>
        <v>-</v>
      </c>
      <c r="Q2502" s="483" t="str">
        <f>IFERROR(INDEX([1]Produtos!$H:$H,MATCH(L2502,[1]Produtos!$B:$B,0)), "-")</f>
        <v>-</v>
      </c>
      <c r="R2502" s="483" t="str">
        <f>IFERROR(INDEX([1]Produtos!$I:$I,MATCH(L2502,[1]Produtos!$B:$B,0)), "-")</f>
        <v>-</v>
      </c>
      <c r="S2502" s="483" t="str">
        <f>IFERROR(INDEX([1]Produtos!$J:$J,MATCH(L2502,[1]Produtos!$B:$B,0)), "-")</f>
        <v>-</v>
      </c>
      <c r="T2502" s="484"/>
      <c r="U2502" s="483"/>
      <c r="V2502" s="483"/>
      <c r="W2502" s="483"/>
      <c r="X2502" s="483"/>
      <c r="Y2502" s="483"/>
      <c r="Z2502" s="483"/>
      <c r="AA2502" s="483"/>
      <c r="AB2502" s="483"/>
      <c r="AC2502" s="483"/>
      <c r="AD2502" s="483"/>
      <c r="AE2502" s="483"/>
      <c r="AF2502" s="483"/>
      <c r="AG2502" s="483"/>
      <c r="AH2502" s="483"/>
      <c r="AI2502" s="483"/>
      <c r="AJ2502" s="483"/>
      <c r="AK2502" s="483"/>
      <c r="AL2502" s="483"/>
      <c r="AM2502" s="670"/>
      <c r="AN2502" s="670"/>
      <c r="AO2502" s="711" t="str">
        <f>IF(OR(Table1[[#This Row],[Início Setup Envase]]="",Table1[[#This Row],[Final Setup Envase]]=""),"",Table1[[#This Row],[Final Setup Envase]]-Table1[[#This Row],[Início Setup Envase]])</f>
        <v/>
      </c>
      <c r="AP2502" s="670"/>
      <c r="AQ2502" s="670"/>
      <c r="AR2502" s="483"/>
      <c r="AS2502" s="483"/>
      <c r="AT2502" s="483"/>
      <c r="AU2502" s="483"/>
      <c r="AV2502" s="483"/>
      <c r="AW2502" s="483"/>
      <c r="AX2502" s="483"/>
      <c r="AY2502" s="270"/>
      <c r="AZ2502" s="270"/>
      <c r="BA2502" s="270" t="str">
        <f>IF(Table1[[#This Row],[Data de Início]]="","",YEAR(Table1[[#This Row],[Data de Início]]))</f>
        <v/>
      </c>
      <c r="BB2502" s="270" t="str">
        <f>IF(Table1[[#This Row],[Data de Início]]="","",MONTH(Table1[[#This Row],[Data de Início]]))</f>
        <v/>
      </c>
      <c r="BC2502" s="270"/>
    </row>
    <row r="2503" spans="2:55" x14ac:dyDescent="0.25">
      <c r="B2503" s="470"/>
      <c r="C2503" s="263"/>
      <c r="D2503" s="477" cm="1">
        <f t="array" ref="D2503">IFERROR(HorasUteisFabrica2Turnos(B2503,C2503), "")</f>
        <v>0</v>
      </c>
      <c r="E2503" s="697" t="str">
        <f t="shared" si="39"/>
        <v/>
      </c>
      <c r="F2503" s="266"/>
      <c r="G2503" s="698"/>
      <c r="H2503" s="266"/>
      <c r="I2503" s="268"/>
      <c r="J2503" s="268"/>
      <c r="K2503" s="268"/>
      <c r="L2503" s="269"/>
      <c r="M2503" s="510" t="str">
        <f>IFERROR(INDEX([1]Produtos!$C:$C,MATCH(L2503,[1]Produtos!$B:$B,0)), "-")</f>
        <v>-</v>
      </c>
      <c r="N2503" s="510" t="str">
        <f>IFERROR(INDEX([1]Produtos!$E:$E,MATCH(L2503,[1]Produtos!$B:$B,0)), "-")</f>
        <v>-</v>
      </c>
      <c r="O2503" s="270" t="str">
        <f>IFERROR(INDEX([1]Produtos!$F:$F,MATCH(L2503,[1]Produtos!$B:$B,0)), "-")</f>
        <v>-</v>
      </c>
      <c r="P2503" s="264" t="str">
        <f>IFERROR(INDEX([1]Produtos!$G:$G,MATCH(L2503,[1]Produtos!$B:$B,0)), "-")</f>
        <v>-</v>
      </c>
      <c r="Q2503" s="270" t="str">
        <f>IFERROR(INDEX([1]Produtos!$H:$H,MATCH(L2503,[1]Produtos!$B:$B,0)), "-")</f>
        <v>-</v>
      </c>
      <c r="R2503" s="270" t="str">
        <f>IFERROR(INDEX([1]Produtos!$I:$I,MATCH(L2503,[1]Produtos!$B:$B,0)), "-")</f>
        <v>-</v>
      </c>
      <c r="S2503" s="270" t="str">
        <f>IFERROR(INDEX([1]Produtos!$J:$J,MATCH(L2503,[1]Produtos!$B:$B,0)), "-")</f>
        <v>-</v>
      </c>
      <c r="T2503" s="475"/>
      <c r="U2503" s="270"/>
      <c r="V2503" s="270"/>
      <c r="W2503" s="270"/>
      <c r="X2503" s="270"/>
      <c r="Y2503" s="270"/>
      <c r="Z2503" s="270"/>
      <c r="AA2503" s="270"/>
      <c r="AB2503" s="270"/>
      <c r="AC2503" s="270"/>
      <c r="AD2503" s="270"/>
      <c r="AE2503" s="270"/>
      <c r="AF2503" s="270"/>
      <c r="AG2503" s="270"/>
      <c r="AH2503" s="270"/>
      <c r="AI2503" s="270"/>
      <c r="AJ2503" s="270"/>
      <c r="AK2503" s="270"/>
      <c r="AL2503" s="270"/>
      <c r="AM2503" s="663"/>
      <c r="AN2503" s="663"/>
      <c r="AO2503" s="708" t="str">
        <f>IF(OR(Table1[[#This Row],[Início Setup Envase]]="",Table1[[#This Row],[Final Setup Envase]]=""),"",Table1[[#This Row],[Final Setup Envase]]-Table1[[#This Row],[Início Setup Envase]])</f>
        <v/>
      </c>
      <c r="AP2503" s="663"/>
      <c r="AQ2503" s="663"/>
      <c r="AR2503" s="270"/>
      <c r="AS2503" s="674"/>
      <c r="AT2503" s="674"/>
      <c r="AU2503" s="270"/>
      <c r="AV2503" s="270"/>
      <c r="AW2503" s="270"/>
      <c r="AX2503" s="270"/>
      <c r="AY2503" s="270"/>
      <c r="AZ2503" s="270"/>
      <c r="BA2503" s="270" t="str">
        <f>IF(Table1[[#This Row],[Data de Início]]="","",YEAR(Table1[[#This Row],[Data de Início]]))</f>
        <v/>
      </c>
      <c r="BB2503" s="270" t="str">
        <f>IF(Table1[[#This Row],[Data de Início]]="","",MONTH(Table1[[#This Row],[Data de Início]]))</f>
        <v/>
      </c>
      <c r="BC2503" s="483"/>
    </row>
    <row r="2504" spans="2:55" x14ac:dyDescent="0.25">
      <c r="B2504" s="470"/>
      <c r="C2504" s="263"/>
      <c r="D2504" s="477" cm="1">
        <f t="array" ref="D2504">IFERROR(HorasUteisFabrica2Turnos(B2504,C2504), "")</f>
        <v>0</v>
      </c>
      <c r="E2504" s="478" t="str">
        <f t="shared" si="39"/>
        <v/>
      </c>
      <c r="F2504" s="266"/>
      <c r="G2504" s="656"/>
      <c r="H2504" s="479"/>
      <c r="I2504" s="268"/>
      <c r="J2504" s="268"/>
      <c r="K2504" s="268"/>
      <c r="L2504" s="269"/>
      <c r="M2504" s="511" t="str">
        <f>IFERROR(INDEX([1]Produtos!$C:$C,MATCH(L2504,[1]Produtos!$B:$B,0)), "-")</f>
        <v>-</v>
      </c>
      <c r="N2504" s="511" t="str">
        <f>IFERROR(INDEX([1]Produtos!$E:$E,MATCH(L2504,[1]Produtos!$B:$B,0)), "-")</f>
        <v>-</v>
      </c>
      <c r="O2504" s="483" t="str">
        <f>IFERROR(INDEX([1]Produtos!$F:$F,MATCH(L2504,[1]Produtos!$B:$B,0)), "-")</f>
        <v>-</v>
      </c>
      <c r="P2504" s="477" t="str">
        <f>IFERROR(INDEX([1]Produtos!$G:$G,MATCH(L2504,[1]Produtos!$B:$B,0)), "-")</f>
        <v>-</v>
      </c>
      <c r="Q2504" s="483" t="str">
        <f>IFERROR(INDEX([1]Produtos!$H:$H,MATCH(L2504,[1]Produtos!$B:$B,0)), "-")</f>
        <v>-</v>
      </c>
      <c r="R2504" s="483" t="str">
        <f>IFERROR(INDEX([1]Produtos!$I:$I,MATCH(L2504,[1]Produtos!$B:$B,0)), "-")</f>
        <v>-</v>
      </c>
      <c r="S2504" s="483" t="str">
        <f>IFERROR(INDEX([1]Produtos!$J:$J,MATCH(L2504,[1]Produtos!$B:$B,0)), "-")</f>
        <v>-</v>
      </c>
      <c r="T2504" s="484"/>
      <c r="U2504" s="483"/>
      <c r="V2504" s="483"/>
      <c r="W2504" s="483"/>
      <c r="X2504" s="483"/>
      <c r="Y2504" s="483"/>
      <c r="Z2504" s="483"/>
      <c r="AA2504" s="483"/>
      <c r="AB2504" s="483"/>
      <c r="AC2504" s="483"/>
      <c r="AD2504" s="483"/>
      <c r="AE2504" s="483"/>
      <c r="AF2504" s="483"/>
      <c r="AG2504" s="483"/>
      <c r="AH2504" s="483"/>
      <c r="AI2504" s="483"/>
      <c r="AJ2504" s="483"/>
      <c r="AK2504" s="483"/>
      <c r="AL2504" s="483"/>
      <c r="AM2504" s="670"/>
      <c r="AN2504" s="670"/>
      <c r="AO2504" s="711" t="str">
        <f>IF(OR(Table1[[#This Row],[Início Setup Envase]]="",Table1[[#This Row],[Final Setup Envase]]=""),"",Table1[[#This Row],[Final Setup Envase]]-Table1[[#This Row],[Início Setup Envase]])</f>
        <v/>
      </c>
      <c r="AP2504" s="670"/>
      <c r="AQ2504" s="670"/>
      <c r="AR2504" s="483"/>
      <c r="AS2504" s="483"/>
      <c r="AT2504" s="483"/>
      <c r="AU2504" s="483"/>
      <c r="AV2504" s="483"/>
      <c r="AW2504" s="483"/>
      <c r="AX2504" s="483"/>
      <c r="AY2504" s="270"/>
      <c r="AZ2504" s="270"/>
      <c r="BA2504" s="270" t="str">
        <f>IF(Table1[[#This Row],[Data de Início]]="","",YEAR(Table1[[#This Row],[Data de Início]]))</f>
        <v/>
      </c>
      <c r="BB2504" s="270" t="str">
        <f>IF(Table1[[#This Row],[Data de Início]]="","",MONTH(Table1[[#This Row],[Data de Início]]))</f>
        <v/>
      </c>
      <c r="BC2504" s="270"/>
    </row>
    <row r="2505" spans="2:55" x14ac:dyDescent="0.25">
      <c r="B2505" s="470"/>
      <c r="C2505" s="263"/>
      <c r="D2505" s="477" cm="1">
        <f t="array" ref="D2505">IFERROR(HorasUteisFabrica2Turnos(B2505,C2505), "")</f>
        <v>0</v>
      </c>
      <c r="E2505" s="697" t="str">
        <f t="shared" si="39"/>
        <v/>
      </c>
      <c r="F2505" s="266"/>
      <c r="G2505" s="698"/>
      <c r="H2505" s="266"/>
      <c r="I2505" s="268"/>
      <c r="J2505" s="268"/>
      <c r="K2505" s="268"/>
      <c r="L2505" s="269"/>
      <c r="M2505" s="510" t="str">
        <f>IFERROR(INDEX([1]Produtos!$C:$C,MATCH(L2505,[1]Produtos!$B:$B,0)), "-")</f>
        <v>-</v>
      </c>
      <c r="N2505" s="510" t="str">
        <f>IFERROR(INDEX([1]Produtos!$E:$E,MATCH(L2505,[1]Produtos!$B:$B,0)), "-")</f>
        <v>-</v>
      </c>
      <c r="O2505" s="270" t="str">
        <f>IFERROR(INDEX([1]Produtos!$F:$F,MATCH(L2505,[1]Produtos!$B:$B,0)), "-")</f>
        <v>-</v>
      </c>
      <c r="P2505" s="264" t="str">
        <f>IFERROR(INDEX([1]Produtos!$G:$G,MATCH(L2505,[1]Produtos!$B:$B,0)), "-")</f>
        <v>-</v>
      </c>
      <c r="Q2505" s="270" t="str">
        <f>IFERROR(INDEX([1]Produtos!$H:$H,MATCH(L2505,[1]Produtos!$B:$B,0)), "-")</f>
        <v>-</v>
      </c>
      <c r="R2505" s="270" t="str">
        <f>IFERROR(INDEX([1]Produtos!$I:$I,MATCH(L2505,[1]Produtos!$B:$B,0)), "-")</f>
        <v>-</v>
      </c>
      <c r="S2505" s="270" t="str">
        <f>IFERROR(INDEX([1]Produtos!$J:$J,MATCH(L2505,[1]Produtos!$B:$B,0)), "-")</f>
        <v>-</v>
      </c>
      <c r="T2505" s="475"/>
      <c r="U2505" s="270"/>
      <c r="V2505" s="270"/>
      <c r="W2505" s="270"/>
      <c r="X2505" s="270"/>
      <c r="Y2505" s="270"/>
      <c r="Z2505" s="270"/>
      <c r="AA2505" s="270"/>
      <c r="AB2505" s="270"/>
      <c r="AC2505" s="270"/>
      <c r="AD2505" s="270"/>
      <c r="AE2505" s="270"/>
      <c r="AF2505" s="270"/>
      <c r="AG2505" s="270"/>
      <c r="AH2505" s="270"/>
      <c r="AI2505" s="270"/>
      <c r="AJ2505" s="270"/>
      <c r="AK2505" s="270"/>
      <c r="AL2505" s="270"/>
      <c r="AM2505" s="663"/>
      <c r="AN2505" s="663"/>
      <c r="AO2505" s="708" t="str">
        <f>IF(OR(Table1[[#This Row],[Início Setup Envase]]="",Table1[[#This Row],[Final Setup Envase]]=""),"",Table1[[#This Row],[Final Setup Envase]]-Table1[[#This Row],[Início Setup Envase]])</f>
        <v/>
      </c>
      <c r="AP2505" s="663"/>
      <c r="AQ2505" s="663"/>
      <c r="AR2505" s="270"/>
      <c r="AS2505" s="674"/>
      <c r="AT2505" s="674"/>
      <c r="AU2505" s="270"/>
      <c r="AV2505" s="270"/>
      <c r="AW2505" s="270"/>
      <c r="AX2505" s="270"/>
      <c r="AY2505" s="270"/>
      <c r="AZ2505" s="270"/>
      <c r="BA2505" s="270" t="str">
        <f>IF(Table1[[#This Row],[Data de Início]]="","",YEAR(Table1[[#This Row],[Data de Início]]))</f>
        <v/>
      </c>
      <c r="BB2505" s="270" t="str">
        <f>IF(Table1[[#This Row],[Data de Início]]="","",MONTH(Table1[[#This Row],[Data de Início]]))</f>
        <v/>
      </c>
      <c r="BC2505" s="483"/>
    </row>
    <row r="2506" spans="2:55" x14ac:dyDescent="0.25">
      <c r="B2506" s="470"/>
      <c r="C2506" s="263"/>
      <c r="D2506" s="477" cm="1">
        <f t="array" ref="D2506">IFERROR(HorasUteisFabrica2Turnos(B2506,C2506), "")</f>
        <v>0</v>
      </c>
      <c r="E2506" s="478" t="str">
        <f t="shared" si="39"/>
        <v/>
      </c>
      <c r="F2506" s="266"/>
      <c r="G2506" s="656"/>
      <c r="H2506" s="479"/>
      <c r="I2506" s="268"/>
      <c r="J2506" s="268"/>
      <c r="K2506" s="268"/>
      <c r="L2506" s="269"/>
      <c r="M2506" s="511" t="str">
        <f>IFERROR(INDEX([1]Produtos!$C:$C,MATCH(L2506,[1]Produtos!$B:$B,0)), "-")</f>
        <v>-</v>
      </c>
      <c r="N2506" s="511" t="str">
        <f>IFERROR(INDEX([1]Produtos!$E:$E,MATCH(L2506,[1]Produtos!$B:$B,0)), "-")</f>
        <v>-</v>
      </c>
      <c r="O2506" s="483" t="str">
        <f>IFERROR(INDEX([1]Produtos!$F:$F,MATCH(L2506,[1]Produtos!$B:$B,0)), "-")</f>
        <v>-</v>
      </c>
      <c r="P2506" s="477" t="str">
        <f>IFERROR(INDEX([1]Produtos!$G:$G,MATCH(L2506,[1]Produtos!$B:$B,0)), "-")</f>
        <v>-</v>
      </c>
      <c r="Q2506" s="483" t="str">
        <f>IFERROR(INDEX([1]Produtos!$H:$H,MATCH(L2506,[1]Produtos!$B:$B,0)), "-")</f>
        <v>-</v>
      </c>
      <c r="R2506" s="483" t="str">
        <f>IFERROR(INDEX([1]Produtos!$I:$I,MATCH(L2506,[1]Produtos!$B:$B,0)), "-")</f>
        <v>-</v>
      </c>
      <c r="S2506" s="483" t="str">
        <f>IFERROR(INDEX([1]Produtos!$J:$J,MATCH(L2506,[1]Produtos!$B:$B,0)), "-")</f>
        <v>-</v>
      </c>
      <c r="T2506" s="484"/>
      <c r="U2506" s="483"/>
      <c r="V2506" s="483"/>
      <c r="W2506" s="483"/>
      <c r="X2506" s="483"/>
      <c r="Y2506" s="483"/>
      <c r="Z2506" s="483"/>
      <c r="AA2506" s="483"/>
      <c r="AB2506" s="483"/>
      <c r="AC2506" s="483"/>
      <c r="AD2506" s="483"/>
      <c r="AE2506" s="483"/>
      <c r="AF2506" s="483"/>
      <c r="AG2506" s="483"/>
      <c r="AH2506" s="483"/>
      <c r="AI2506" s="483"/>
      <c r="AJ2506" s="483"/>
      <c r="AK2506" s="483"/>
      <c r="AL2506" s="483"/>
      <c r="AM2506" s="670"/>
      <c r="AN2506" s="670"/>
      <c r="AO2506" s="711" t="str">
        <f>IF(OR(Table1[[#This Row],[Início Setup Envase]]="",Table1[[#This Row],[Final Setup Envase]]=""),"",Table1[[#This Row],[Final Setup Envase]]-Table1[[#This Row],[Início Setup Envase]])</f>
        <v/>
      </c>
      <c r="AP2506" s="670"/>
      <c r="AQ2506" s="670"/>
      <c r="AR2506" s="483"/>
      <c r="AS2506" s="483"/>
      <c r="AT2506" s="483"/>
      <c r="AU2506" s="483"/>
      <c r="AV2506" s="483"/>
      <c r="AW2506" s="483"/>
      <c r="AX2506" s="483"/>
      <c r="AY2506" s="270"/>
      <c r="AZ2506" s="270"/>
      <c r="BA2506" s="270" t="str">
        <f>IF(Table1[[#This Row],[Data de Início]]="","",YEAR(Table1[[#This Row],[Data de Início]]))</f>
        <v/>
      </c>
      <c r="BB2506" s="270" t="str">
        <f>IF(Table1[[#This Row],[Data de Início]]="","",MONTH(Table1[[#This Row],[Data de Início]]))</f>
        <v/>
      </c>
      <c r="BC2506" s="270"/>
    </row>
    <row r="2507" spans="2:55" x14ac:dyDescent="0.25">
      <c r="B2507" s="470"/>
      <c r="C2507" s="263"/>
      <c r="D2507" s="477" cm="1">
        <f t="array" ref="D2507">IFERROR(HorasUteisFabrica2Turnos(B2507,C2507), "")</f>
        <v>0</v>
      </c>
      <c r="E2507" s="697" t="str">
        <f t="shared" si="39"/>
        <v/>
      </c>
      <c r="F2507" s="266"/>
      <c r="G2507" s="698"/>
      <c r="H2507" s="266"/>
      <c r="I2507" s="268"/>
      <c r="J2507" s="268"/>
      <c r="K2507" s="268"/>
      <c r="L2507" s="269"/>
      <c r="M2507" s="510" t="str">
        <f>IFERROR(INDEX([1]Produtos!$C:$C,MATCH(L2507,[1]Produtos!$B:$B,0)), "-")</f>
        <v>-</v>
      </c>
      <c r="N2507" s="510" t="str">
        <f>IFERROR(INDEX([1]Produtos!$E:$E,MATCH(L2507,[1]Produtos!$B:$B,0)), "-")</f>
        <v>-</v>
      </c>
      <c r="O2507" s="270" t="str">
        <f>IFERROR(INDEX([1]Produtos!$F:$F,MATCH(L2507,[1]Produtos!$B:$B,0)), "-")</f>
        <v>-</v>
      </c>
      <c r="P2507" s="264" t="str">
        <f>IFERROR(INDEX([1]Produtos!$G:$G,MATCH(L2507,[1]Produtos!$B:$B,0)), "-")</f>
        <v>-</v>
      </c>
      <c r="Q2507" s="270" t="str">
        <f>IFERROR(INDEX([1]Produtos!$H:$H,MATCH(L2507,[1]Produtos!$B:$B,0)), "-")</f>
        <v>-</v>
      </c>
      <c r="R2507" s="270" t="str">
        <f>IFERROR(INDEX([1]Produtos!$I:$I,MATCH(L2507,[1]Produtos!$B:$B,0)), "-")</f>
        <v>-</v>
      </c>
      <c r="S2507" s="270" t="str">
        <f>IFERROR(INDEX([1]Produtos!$J:$J,MATCH(L2507,[1]Produtos!$B:$B,0)), "-")</f>
        <v>-</v>
      </c>
      <c r="T2507" s="475"/>
      <c r="U2507" s="270"/>
      <c r="V2507" s="270"/>
      <c r="W2507" s="270"/>
      <c r="X2507" s="270"/>
      <c r="Y2507" s="270"/>
      <c r="Z2507" s="270"/>
      <c r="AA2507" s="270"/>
      <c r="AB2507" s="270"/>
      <c r="AC2507" s="270"/>
      <c r="AD2507" s="270"/>
      <c r="AE2507" s="270"/>
      <c r="AF2507" s="270"/>
      <c r="AG2507" s="270"/>
      <c r="AH2507" s="270"/>
      <c r="AI2507" s="270"/>
      <c r="AJ2507" s="270"/>
      <c r="AK2507" s="270"/>
      <c r="AL2507" s="270"/>
      <c r="AM2507" s="663"/>
      <c r="AN2507" s="663"/>
      <c r="AO2507" s="708" t="str">
        <f>IF(OR(Table1[[#This Row],[Início Setup Envase]]="",Table1[[#This Row],[Final Setup Envase]]=""),"",Table1[[#This Row],[Final Setup Envase]]-Table1[[#This Row],[Início Setup Envase]])</f>
        <v/>
      </c>
      <c r="AP2507" s="663"/>
      <c r="AQ2507" s="663"/>
      <c r="AR2507" s="270"/>
      <c r="AS2507" s="674"/>
      <c r="AT2507" s="674"/>
      <c r="AU2507" s="270"/>
      <c r="AV2507" s="270"/>
      <c r="AW2507" s="270"/>
      <c r="AX2507" s="270"/>
      <c r="AY2507" s="270"/>
      <c r="AZ2507" s="270"/>
      <c r="BA2507" s="270" t="str">
        <f>IF(Table1[[#This Row],[Data de Início]]="","",YEAR(Table1[[#This Row],[Data de Início]]))</f>
        <v/>
      </c>
      <c r="BB2507" s="270" t="str">
        <f>IF(Table1[[#This Row],[Data de Início]]="","",MONTH(Table1[[#This Row],[Data de Início]]))</f>
        <v/>
      </c>
      <c r="BC2507" s="483"/>
    </row>
    <row r="2508" spans="2:55" x14ac:dyDescent="0.25">
      <c r="B2508" s="470"/>
      <c r="C2508" s="263"/>
      <c r="D2508" s="477" cm="1">
        <f t="array" ref="D2508">IFERROR(HorasUteisFabrica2Turnos(B2508,C2508), "")</f>
        <v>0</v>
      </c>
      <c r="E2508" s="478" t="str">
        <f t="shared" si="39"/>
        <v/>
      </c>
      <c r="F2508" s="266"/>
      <c r="G2508" s="656"/>
      <c r="H2508" s="479"/>
      <c r="I2508" s="268"/>
      <c r="J2508" s="268"/>
      <c r="K2508" s="268"/>
      <c r="L2508" s="269"/>
      <c r="M2508" s="511" t="str">
        <f>IFERROR(INDEX([1]Produtos!$C:$C,MATCH(L2508,[1]Produtos!$B:$B,0)), "-")</f>
        <v>-</v>
      </c>
      <c r="N2508" s="511" t="str">
        <f>IFERROR(INDEX([1]Produtos!$E:$E,MATCH(L2508,[1]Produtos!$B:$B,0)), "-")</f>
        <v>-</v>
      </c>
      <c r="O2508" s="483" t="str">
        <f>IFERROR(INDEX([1]Produtos!$F:$F,MATCH(L2508,[1]Produtos!$B:$B,0)), "-")</f>
        <v>-</v>
      </c>
      <c r="P2508" s="477" t="str">
        <f>IFERROR(INDEX([1]Produtos!$G:$G,MATCH(L2508,[1]Produtos!$B:$B,0)), "-")</f>
        <v>-</v>
      </c>
      <c r="Q2508" s="483" t="str">
        <f>IFERROR(INDEX([1]Produtos!$H:$H,MATCH(L2508,[1]Produtos!$B:$B,0)), "-")</f>
        <v>-</v>
      </c>
      <c r="R2508" s="483" t="str">
        <f>IFERROR(INDEX([1]Produtos!$I:$I,MATCH(L2508,[1]Produtos!$B:$B,0)), "-")</f>
        <v>-</v>
      </c>
      <c r="S2508" s="483" t="str">
        <f>IFERROR(INDEX([1]Produtos!$J:$J,MATCH(L2508,[1]Produtos!$B:$B,0)), "-")</f>
        <v>-</v>
      </c>
      <c r="T2508" s="484"/>
      <c r="U2508" s="483"/>
      <c r="V2508" s="483"/>
      <c r="W2508" s="483"/>
      <c r="X2508" s="483"/>
      <c r="Y2508" s="483"/>
      <c r="Z2508" s="483"/>
      <c r="AA2508" s="483"/>
      <c r="AB2508" s="483"/>
      <c r="AC2508" s="483"/>
      <c r="AD2508" s="483"/>
      <c r="AE2508" s="483"/>
      <c r="AF2508" s="483"/>
      <c r="AG2508" s="483"/>
      <c r="AH2508" s="483"/>
      <c r="AI2508" s="483"/>
      <c r="AJ2508" s="483"/>
      <c r="AK2508" s="483"/>
      <c r="AL2508" s="483"/>
      <c r="AM2508" s="670"/>
      <c r="AN2508" s="670"/>
      <c r="AO2508" s="711" t="str">
        <f>IF(OR(Table1[[#This Row],[Início Setup Envase]]="",Table1[[#This Row],[Final Setup Envase]]=""),"",Table1[[#This Row],[Final Setup Envase]]-Table1[[#This Row],[Início Setup Envase]])</f>
        <v/>
      </c>
      <c r="AP2508" s="670"/>
      <c r="AQ2508" s="670"/>
      <c r="AR2508" s="483"/>
      <c r="AS2508" s="483"/>
      <c r="AT2508" s="483"/>
      <c r="AU2508" s="483"/>
      <c r="AV2508" s="483"/>
      <c r="AW2508" s="483"/>
      <c r="AX2508" s="483"/>
      <c r="AY2508" s="270"/>
      <c r="AZ2508" s="270"/>
      <c r="BA2508" s="270" t="str">
        <f>IF(Table1[[#This Row],[Data de Início]]="","",YEAR(Table1[[#This Row],[Data de Início]]))</f>
        <v/>
      </c>
      <c r="BB2508" s="270" t="str">
        <f>IF(Table1[[#This Row],[Data de Início]]="","",MONTH(Table1[[#This Row],[Data de Início]]))</f>
        <v/>
      </c>
      <c r="BC2508" s="270"/>
    </row>
    <row r="2509" spans="2:55" x14ac:dyDescent="0.25">
      <c r="B2509" s="470"/>
      <c r="C2509" s="263"/>
      <c r="D2509" s="477" cm="1">
        <f t="array" ref="D2509">IFERROR(HorasUteisFabrica2Turnos(B2509,C2509), "")</f>
        <v>0</v>
      </c>
      <c r="E2509" s="697" t="str">
        <f t="shared" si="39"/>
        <v/>
      </c>
      <c r="F2509" s="266"/>
      <c r="G2509" s="698"/>
      <c r="H2509" s="266"/>
      <c r="I2509" s="268"/>
      <c r="J2509" s="268"/>
      <c r="K2509" s="268"/>
      <c r="L2509" s="269"/>
      <c r="M2509" s="510" t="str">
        <f>IFERROR(INDEX([1]Produtos!$C:$C,MATCH(L2509,[1]Produtos!$B:$B,0)), "-")</f>
        <v>-</v>
      </c>
      <c r="N2509" s="510" t="str">
        <f>IFERROR(INDEX([1]Produtos!$E:$E,MATCH(L2509,[1]Produtos!$B:$B,0)), "-")</f>
        <v>-</v>
      </c>
      <c r="O2509" s="270" t="str">
        <f>IFERROR(INDEX([1]Produtos!$F:$F,MATCH(L2509,[1]Produtos!$B:$B,0)), "-")</f>
        <v>-</v>
      </c>
      <c r="P2509" s="264" t="str">
        <f>IFERROR(INDEX([1]Produtos!$G:$G,MATCH(L2509,[1]Produtos!$B:$B,0)), "-")</f>
        <v>-</v>
      </c>
      <c r="Q2509" s="270" t="str">
        <f>IFERROR(INDEX([1]Produtos!$H:$H,MATCH(L2509,[1]Produtos!$B:$B,0)), "-")</f>
        <v>-</v>
      </c>
      <c r="R2509" s="270" t="str">
        <f>IFERROR(INDEX([1]Produtos!$I:$I,MATCH(L2509,[1]Produtos!$B:$B,0)), "-")</f>
        <v>-</v>
      </c>
      <c r="S2509" s="270" t="str">
        <f>IFERROR(INDEX([1]Produtos!$J:$J,MATCH(L2509,[1]Produtos!$B:$B,0)), "-")</f>
        <v>-</v>
      </c>
      <c r="T2509" s="475"/>
      <c r="U2509" s="270"/>
      <c r="V2509" s="270"/>
      <c r="W2509" s="270"/>
      <c r="X2509" s="270"/>
      <c r="Y2509" s="270"/>
      <c r="Z2509" s="270"/>
      <c r="AA2509" s="270"/>
      <c r="AB2509" s="270"/>
      <c r="AC2509" s="270"/>
      <c r="AD2509" s="270"/>
      <c r="AE2509" s="270"/>
      <c r="AF2509" s="270"/>
      <c r="AG2509" s="270"/>
      <c r="AH2509" s="270"/>
      <c r="AI2509" s="270"/>
      <c r="AJ2509" s="270"/>
      <c r="AK2509" s="270"/>
      <c r="AL2509" s="270"/>
      <c r="AM2509" s="663"/>
      <c r="AN2509" s="663"/>
      <c r="AO2509" s="708" t="str">
        <f>IF(OR(Table1[[#This Row],[Início Setup Envase]]="",Table1[[#This Row],[Final Setup Envase]]=""),"",Table1[[#This Row],[Final Setup Envase]]-Table1[[#This Row],[Início Setup Envase]])</f>
        <v/>
      </c>
      <c r="AP2509" s="663"/>
      <c r="AQ2509" s="663"/>
      <c r="AR2509" s="270"/>
      <c r="AS2509" s="674"/>
      <c r="AT2509" s="674"/>
      <c r="AU2509" s="270"/>
      <c r="AV2509" s="270"/>
      <c r="AW2509" s="270"/>
      <c r="AX2509" s="270"/>
      <c r="AY2509" s="270"/>
      <c r="AZ2509" s="270"/>
      <c r="BA2509" s="270" t="str">
        <f>IF(Table1[[#This Row],[Data de Início]]="","",YEAR(Table1[[#This Row],[Data de Início]]))</f>
        <v/>
      </c>
      <c r="BB2509" s="270" t="str">
        <f>IF(Table1[[#This Row],[Data de Início]]="","",MONTH(Table1[[#This Row],[Data de Início]]))</f>
        <v/>
      </c>
      <c r="BC2509" s="483"/>
    </row>
    <row r="2510" spans="2:55" x14ac:dyDescent="0.25">
      <c r="B2510" s="470"/>
      <c r="C2510" s="263"/>
      <c r="D2510" s="477" cm="1">
        <f t="array" ref="D2510">IFERROR(HorasUteisFabrica2Turnos(B2510,C2510), "")</f>
        <v>0</v>
      </c>
      <c r="E2510" s="478" t="str">
        <f t="shared" si="39"/>
        <v/>
      </c>
      <c r="F2510" s="266"/>
      <c r="G2510" s="656"/>
      <c r="H2510" s="479"/>
      <c r="I2510" s="268"/>
      <c r="J2510" s="268"/>
      <c r="K2510" s="268"/>
      <c r="L2510" s="269"/>
      <c r="M2510" s="511" t="str">
        <f>IFERROR(INDEX([1]Produtos!$C:$C,MATCH(L2510,[1]Produtos!$B:$B,0)), "-")</f>
        <v>-</v>
      </c>
      <c r="N2510" s="511" t="str">
        <f>IFERROR(INDEX([1]Produtos!$E:$E,MATCH(L2510,[1]Produtos!$B:$B,0)), "-")</f>
        <v>-</v>
      </c>
      <c r="O2510" s="483" t="str">
        <f>IFERROR(INDEX([1]Produtos!$F:$F,MATCH(L2510,[1]Produtos!$B:$B,0)), "-")</f>
        <v>-</v>
      </c>
      <c r="P2510" s="477" t="str">
        <f>IFERROR(INDEX([1]Produtos!$G:$G,MATCH(L2510,[1]Produtos!$B:$B,0)), "-")</f>
        <v>-</v>
      </c>
      <c r="Q2510" s="483" t="str">
        <f>IFERROR(INDEX([1]Produtos!$H:$H,MATCH(L2510,[1]Produtos!$B:$B,0)), "-")</f>
        <v>-</v>
      </c>
      <c r="R2510" s="483" t="str">
        <f>IFERROR(INDEX([1]Produtos!$I:$I,MATCH(L2510,[1]Produtos!$B:$B,0)), "-")</f>
        <v>-</v>
      </c>
      <c r="S2510" s="483" t="str">
        <f>IFERROR(INDEX([1]Produtos!$J:$J,MATCH(L2510,[1]Produtos!$B:$B,0)), "-")</f>
        <v>-</v>
      </c>
      <c r="T2510" s="484"/>
      <c r="U2510" s="483"/>
      <c r="V2510" s="483"/>
      <c r="W2510" s="483"/>
      <c r="X2510" s="483"/>
      <c r="Y2510" s="483"/>
      <c r="Z2510" s="483"/>
      <c r="AA2510" s="483"/>
      <c r="AB2510" s="483"/>
      <c r="AC2510" s="483"/>
      <c r="AD2510" s="483"/>
      <c r="AE2510" s="483"/>
      <c r="AF2510" s="483"/>
      <c r="AG2510" s="483"/>
      <c r="AH2510" s="483"/>
      <c r="AI2510" s="483"/>
      <c r="AJ2510" s="483"/>
      <c r="AK2510" s="483"/>
      <c r="AL2510" s="483"/>
      <c r="AM2510" s="670"/>
      <c r="AN2510" s="670"/>
      <c r="AO2510" s="711" t="str">
        <f>IF(OR(Table1[[#This Row],[Início Setup Envase]]="",Table1[[#This Row],[Final Setup Envase]]=""),"",Table1[[#This Row],[Final Setup Envase]]-Table1[[#This Row],[Início Setup Envase]])</f>
        <v/>
      </c>
      <c r="AP2510" s="670"/>
      <c r="AQ2510" s="670"/>
      <c r="AR2510" s="483"/>
      <c r="AS2510" s="483"/>
      <c r="AT2510" s="483"/>
      <c r="AU2510" s="483"/>
      <c r="AV2510" s="483"/>
      <c r="AW2510" s="483"/>
      <c r="AX2510" s="483"/>
      <c r="AY2510" s="270"/>
      <c r="AZ2510" s="270"/>
      <c r="BA2510" s="270" t="str">
        <f>IF(Table1[[#This Row],[Data de Início]]="","",YEAR(Table1[[#This Row],[Data de Início]]))</f>
        <v/>
      </c>
      <c r="BB2510" s="270" t="str">
        <f>IF(Table1[[#This Row],[Data de Início]]="","",MONTH(Table1[[#This Row],[Data de Início]]))</f>
        <v/>
      </c>
      <c r="BC2510" s="270"/>
    </row>
    <row r="2511" spans="2:55" x14ac:dyDescent="0.25">
      <c r="B2511" s="470"/>
      <c r="C2511" s="263"/>
      <c r="D2511" s="477" cm="1">
        <f t="array" ref="D2511">IFERROR(HorasUteisFabrica2Turnos(B2511,C2511), "")</f>
        <v>0</v>
      </c>
      <c r="E2511" s="697" t="str">
        <f t="shared" si="39"/>
        <v/>
      </c>
      <c r="F2511" s="266"/>
      <c r="G2511" s="698"/>
      <c r="H2511" s="266"/>
      <c r="I2511" s="268"/>
      <c r="J2511" s="268"/>
      <c r="K2511" s="268"/>
      <c r="L2511" s="269"/>
      <c r="M2511" s="510" t="str">
        <f>IFERROR(INDEX([1]Produtos!$C:$C,MATCH(L2511,[1]Produtos!$B:$B,0)), "-")</f>
        <v>-</v>
      </c>
      <c r="N2511" s="510" t="str">
        <f>IFERROR(INDEX([1]Produtos!$E:$E,MATCH(L2511,[1]Produtos!$B:$B,0)), "-")</f>
        <v>-</v>
      </c>
      <c r="O2511" s="270" t="str">
        <f>IFERROR(INDEX([1]Produtos!$F:$F,MATCH(L2511,[1]Produtos!$B:$B,0)), "-")</f>
        <v>-</v>
      </c>
      <c r="P2511" s="264" t="str">
        <f>IFERROR(INDEX([1]Produtos!$G:$G,MATCH(L2511,[1]Produtos!$B:$B,0)), "-")</f>
        <v>-</v>
      </c>
      <c r="Q2511" s="270" t="str">
        <f>IFERROR(INDEX([1]Produtos!$H:$H,MATCH(L2511,[1]Produtos!$B:$B,0)), "-")</f>
        <v>-</v>
      </c>
      <c r="R2511" s="270" t="str">
        <f>IFERROR(INDEX([1]Produtos!$I:$I,MATCH(L2511,[1]Produtos!$B:$B,0)), "-")</f>
        <v>-</v>
      </c>
      <c r="S2511" s="270" t="str">
        <f>IFERROR(INDEX([1]Produtos!$J:$J,MATCH(L2511,[1]Produtos!$B:$B,0)), "-")</f>
        <v>-</v>
      </c>
      <c r="T2511" s="475"/>
      <c r="U2511" s="270"/>
      <c r="V2511" s="270"/>
      <c r="W2511" s="270"/>
      <c r="X2511" s="270"/>
      <c r="Y2511" s="270"/>
      <c r="Z2511" s="270"/>
      <c r="AA2511" s="270"/>
      <c r="AB2511" s="270"/>
      <c r="AC2511" s="270"/>
      <c r="AD2511" s="270"/>
      <c r="AE2511" s="270"/>
      <c r="AF2511" s="270"/>
      <c r="AG2511" s="270"/>
      <c r="AH2511" s="270"/>
      <c r="AI2511" s="270"/>
      <c r="AJ2511" s="270"/>
      <c r="AK2511" s="270"/>
      <c r="AL2511" s="270"/>
      <c r="AM2511" s="663"/>
      <c r="AN2511" s="663"/>
      <c r="AO2511" s="708" t="str">
        <f>IF(OR(Table1[[#This Row],[Início Setup Envase]]="",Table1[[#This Row],[Final Setup Envase]]=""),"",Table1[[#This Row],[Final Setup Envase]]-Table1[[#This Row],[Início Setup Envase]])</f>
        <v/>
      </c>
      <c r="AP2511" s="663"/>
      <c r="AQ2511" s="663"/>
      <c r="AR2511" s="270"/>
      <c r="AS2511" s="674"/>
      <c r="AT2511" s="674"/>
      <c r="AU2511" s="270"/>
      <c r="AV2511" s="270"/>
      <c r="AW2511" s="270"/>
      <c r="AX2511" s="270"/>
      <c r="AY2511" s="270"/>
      <c r="AZ2511" s="270"/>
      <c r="BA2511" s="270" t="str">
        <f>IF(Table1[[#This Row],[Data de Início]]="","",YEAR(Table1[[#This Row],[Data de Início]]))</f>
        <v/>
      </c>
      <c r="BB2511" s="270" t="str">
        <f>IF(Table1[[#This Row],[Data de Início]]="","",MONTH(Table1[[#This Row],[Data de Início]]))</f>
        <v/>
      </c>
      <c r="BC2511" s="483"/>
    </row>
    <row r="2512" spans="2:55" x14ac:dyDescent="0.25">
      <c r="B2512" s="470"/>
      <c r="C2512" s="263"/>
      <c r="D2512" s="477" cm="1">
        <f t="array" ref="D2512">IFERROR(HorasUteisFabrica2Turnos(B2512,C2512), "")</f>
        <v>0</v>
      </c>
      <c r="E2512" s="478" t="str">
        <f t="shared" si="39"/>
        <v/>
      </c>
      <c r="F2512" s="266"/>
      <c r="G2512" s="656"/>
      <c r="H2512" s="479"/>
      <c r="I2512" s="268"/>
      <c r="J2512" s="268"/>
      <c r="K2512" s="268"/>
      <c r="L2512" s="269"/>
      <c r="M2512" s="511" t="str">
        <f>IFERROR(INDEX([1]Produtos!$C:$C,MATCH(L2512,[1]Produtos!$B:$B,0)), "-")</f>
        <v>-</v>
      </c>
      <c r="N2512" s="511" t="str">
        <f>IFERROR(INDEX([1]Produtos!$E:$E,MATCH(L2512,[1]Produtos!$B:$B,0)), "-")</f>
        <v>-</v>
      </c>
      <c r="O2512" s="483" t="str">
        <f>IFERROR(INDEX([1]Produtos!$F:$F,MATCH(L2512,[1]Produtos!$B:$B,0)), "-")</f>
        <v>-</v>
      </c>
      <c r="P2512" s="477" t="str">
        <f>IFERROR(INDEX([1]Produtos!$G:$G,MATCH(L2512,[1]Produtos!$B:$B,0)), "-")</f>
        <v>-</v>
      </c>
      <c r="Q2512" s="483" t="str">
        <f>IFERROR(INDEX([1]Produtos!$H:$H,MATCH(L2512,[1]Produtos!$B:$B,0)), "-")</f>
        <v>-</v>
      </c>
      <c r="R2512" s="483" t="str">
        <f>IFERROR(INDEX([1]Produtos!$I:$I,MATCH(L2512,[1]Produtos!$B:$B,0)), "-")</f>
        <v>-</v>
      </c>
      <c r="S2512" s="483" t="str">
        <f>IFERROR(INDEX([1]Produtos!$J:$J,MATCH(L2512,[1]Produtos!$B:$B,0)), "-")</f>
        <v>-</v>
      </c>
      <c r="T2512" s="484"/>
      <c r="U2512" s="483"/>
      <c r="V2512" s="483"/>
      <c r="W2512" s="483"/>
      <c r="X2512" s="483"/>
      <c r="Y2512" s="483"/>
      <c r="Z2512" s="483"/>
      <c r="AA2512" s="483"/>
      <c r="AB2512" s="483"/>
      <c r="AC2512" s="483"/>
      <c r="AD2512" s="483"/>
      <c r="AE2512" s="483"/>
      <c r="AF2512" s="483"/>
      <c r="AG2512" s="483"/>
      <c r="AH2512" s="483"/>
      <c r="AI2512" s="483"/>
      <c r="AJ2512" s="483"/>
      <c r="AK2512" s="483"/>
      <c r="AL2512" s="483"/>
      <c r="AM2512" s="670"/>
      <c r="AN2512" s="670"/>
      <c r="AO2512" s="711" t="str">
        <f>IF(OR(Table1[[#This Row],[Início Setup Envase]]="",Table1[[#This Row],[Final Setup Envase]]=""),"",Table1[[#This Row],[Final Setup Envase]]-Table1[[#This Row],[Início Setup Envase]])</f>
        <v/>
      </c>
      <c r="AP2512" s="670"/>
      <c r="AQ2512" s="670"/>
      <c r="AR2512" s="483"/>
      <c r="AS2512" s="483"/>
      <c r="AT2512" s="483"/>
      <c r="AU2512" s="483"/>
      <c r="AV2512" s="483"/>
      <c r="AW2512" s="483"/>
      <c r="AX2512" s="483"/>
      <c r="AY2512" s="270"/>
      <c r="AZ2512" s="270"/>
      <c r="BA2512" s="270" t="str">
        <f>IF(Table1[[#This Row],[Data de Início]]="","",YEAR(Table1[[#This Row],[Data de Início]]))</f>
        <v/>
      </c>
      <c r="BB2512" s="270" t="str">
        <f>IF(Table1[[#This Row],[Data de Início]]="","",MONTH(Table1[[#This Row],[Data de Início]]))</f>
        <v/>
      </c>
      <c r="BC2512" s="270"/>
    </row>
    <row r="2513" spans="2:55" x14ac:dyDescent="0.25">
      <c r="B2513" s="470"/>
      <c r="C2513" s="263"/>
      <c r="D2513" s="477" cm="1">
        <f t="array" ref="D2513">IFERROR(HorasUteisFabrica2Turnos(B2513,C2513), "")</f>
        <v>0</v>
      </c>
      <c r="E2513" s="697" t="str">
        <f t="shared" si="39"/>
        <v/>
      </c>
      <c r="F2513" s="266"/>
      <c r="G2513" s="698"/>
      <c r="H2513" s="266"/>
      <c r="I2513" s="268"/>
      <c r="J2513" s="268"/>
      <c r="K2513" s="268"/>
      <c r="L2513" s="269"/>
      <c r="M2513" s="510" t="str">
        <f>IFERROR(INDEX([1]Produtos!$C:$C,MATCH(L2513,[1]Produtos!$B:$B,0)), "-")</f>
        <v>-</v>
      </c>
      <c r="N2513" s="510" t="str">
        <f>IFERROR(INDEX([1]Produtos!$E:$E,MATCH(L2513,[1]Produtos!$B:$B,0)), "-")</f>
        <v>-</v>
      </c>
      <c r="O2513" s="270" t="str">
        <f>IFERROR(INDEX([1]Produtos!$F:$F,MATCH(L2513,[1]Produtos!$B:$B,0)), "-")</f>
        <v>-</v>
      </c>
      <c r="P2513" s="264" t="str">
        <f>IFERROR(INDEX([1]Produtos!$G:$G,MATCH(L2513,[1]Produtos!$B:$B,0)), "-")</f>
        <v>-</v>
      </c>
      <c r="Q2513" s="270" t="str">
        <f>IFERROR(INDEX([1]Produtos!$H:$H,MATCH(L2513,[1]Produtos!$B:$B,0)), "-")</f>
        <v>-</v>
      </c>
      <c r="R2513" s="270" t="str">
        <f>IFERROR(INDEX([1]Produtos!$I:$I,MATCH(L2513,[1]Produtos!$B:$B,0)), "-")</f>
        <v>-</v>
      </c>
      <c r="S2513" s="270" t="str">
        <f>IFERROR(INDEX([1]Produtos!$J:$J,MATCH(L2513,[1]Produtos!$B:$B,0)), "-")</f>
        <v>-</v>
      </c>
      <c r="T2513" s="475"/>
      <c r="U2513" s="270"/>
      <c r="V2513" s="270"/>
      <c r="W2513" s="270"/>
      <c r="X2513" s="270"/>
      <c r="Y2513" s="270"/>
      <c r="Z2513" s="270"/>
      <c r="AA2513" s="270"/>
      <c r="AB2513" s="270"/>
      <c r="AC2513" s="270"/>
      <c r="AD2513" s="270"/>
      <c r="AE2513" s="270"/>
      <c r="AF2513" s="270"/>
      <c r="AG2513" s="270"/>
      <c r="AH2513" s="270"/>
      <c r="AI2513" s="270"/>
      <c r="AJ2513" s="270"/>
      <c r="AK2513" s="270"/>
      <c r="AL2513" s="270"/>
      <c r="AM2513" s="663"/>
      <c r="AN2513" s="663"/>
      <c r="AO2513" s="708" t="str">
        <f>IF(OR(Table1[[#This Row],[Início Setup Envase]]="",Table1[[#This Row],[Final Setup Envase]]=""),"",Table1[[#This Row],[Final Setup Envase]]-Table1[[#This Row],[Início Setup Envase]])</f>
        <v/>
      </c>
      <c r="AP2513" s="663"/>
      <c r="AQ2513" s="663"/>
      <c r="AR2513" s="270"/>
      <c r="AS2513" s="674"/>
      <c r="AT2513" s="674"/>
      <c r="AU2513" s="270"/>
      <c r="AV2513" s="270"/>
      <c r="AW2513" s="270"/>
      <c r="AX2513" s="270"/>
      <c r="AY2513" s="270"/>
      <c r="AZ2513" s="270"/>
      <c r="BA2513" s="270" t="str">
        <f>IF(Table1[[#This Row],[Data de Início]]="","",YEAR(Table1[[#This Row],[Data de Início]]))</f>
        <v/>
      </c>
      <c r="BB2513" s="270" t="str">
        <f>IF(Table1[[#This Row],[Data de Início]]="","",MONTH(Table1[[#This Row],[Data de Início]]))</f>
        <v/>
      </c>
      <c r="BC2513" s="483"/>
    </row>
    <row r="2514" spans="2:55" x14ac:dyDescent="0.25">
      <c r="B2514" s="470"/>
      <c r="C2514" s="263"/>
      <c r="D2514" s="477" cm="1">
        <f t="array" ref="D2514">IFERROR(HorasUteisFabrica2Turnos(B2514,C2514), "")</f>
        <v>0</v>
      </c>
      <c r="E2514" s="478" t="str">
        <f t="shared" si="39"/>
        <v/>
      </c>
      <c r="F2514" s="266"/>
      <c r="G2514" s="656"/>
      <c r="H2514" s="479"/>
      <c r="I2514" s="268"/>
      <c r="J2514" s="268"/>
      <c r="K2514" s="268"/>
      <c r="L2514" s="269"/>
      <c r="M2514" s="511" t="str">
        <f>IFERROR(INDEX([1]Produtos!$C:$C,MATCH(L2514,[1]Produtos!$B:$B,0)), "-")</f>
        <v>-</v>
      </c>
      <c r="N2514" s="511" t="str">
        <f>IFERROR(INDEX([1]Produtos!$E:$E,MATCH(L2514,[1]Produtos!$B:$B,0)), "-")</f>
        <v>-</v>
      </c>
      <c r="O2514" s="483" t="str">
        <f>IFERROR(INDEX([1]Produtos!$F:$F,MATCH(L2514,[1]Produtos!$B:$B,0)), "-")</f>
        <v>-</v>
      </c>
      <c r="P2514" s="477" t="str">
        <f>IFERROR(INDEX([1]Produtos!$G:$G,MATCH(L2514,[1]Produtos!$B:$B,0)), "-")</f>
        <v>-</v>
      </c>
      <c r="Q2514" s="483" t="str">
        <f>IFERROR(INDEX([1]Produtos!$H:$H,MATCH(L2514,[1]Produtos!$B:$B,0)), "-")</f>
        <v>-</v>
      </c>
      <c r="R2514" s="483" t="str">
        <f>IFERROR(INDEX([1]Produtos!$I:$I,MATCH(L2514,[1]Produtos!$B:$B,0)), "-")</f>
        <v>-</v>
      </c>
      <c r="S2514" s="483" t="str">
        <f>IFERROR(INDEX([1]Produtos!$J:$J,MATCH(L2514,[1]Produtos!$B:$B,0)), "-")</f>
        <v>-</v>
      </c>
      <c r="T2514" s="484"/>
      <c r="U2514" s="483"/>
      <c r="V2514" s="483"/>
      <c r="W2514" s="483"/>
      <c r="X2514" s="483"/>
      <c r="Y2514" s="483"/>
      <c r="Z2514" s="483"/>
      <c r="AA2514" s="483"/>
      <c r="AB2514" s="483"/>
      <c r="AC2514" s="483"/>
      <c r="AD2514" s="483"/>
      <c r="AE2514" s="483"/>
      <c r="AF2514" s="483"/>
      <c r="AG2514" s="483"/>
      <c r="AH2514" s="483"/>
      <c r="AI2514" s="483"/>
      <c r="AJ2514" s="483"/>
      <c r="AK2514" s="483"/>
      <c r="AL2514" s="483"/>
      <c r="AM2514" s="670"/>
      <c r="AN2514" s="670"/>
      <c r="AO2514" s="711" t="str">
        <f>IF(OR(Table1[[#This Row],[Início Setup Envase]]="",Table1[[#This Row],[Final Setup Envase]]=""),"",Table1[[#This Row],[Final Setup Envase]]-Table1[[#This Row],[Início Setup Envase]])</f>
        <v/>
      </c>
      <c r="AP2514" s="670"/>
      <c r="AQ2514" s="670"/>
      <c r="AR2514" s="483"/>
      <c r="AS2514" s="483"/>
      <c r="AT2514" s="483"/>
      <c r="AU2514" s="483"/>
      <c r="AV2514" s="483"/>
      <c r="AW2514" s="483"/>
      <c r="AX2514" s="483"/>
      <c r="AY2514" s="270"/>
      <c r="AZ2514" s="270"/>
      <c r="BA2514" s="270" t="str">
        <f>IF(Table1[[#This Row],[Data de Início]]="","",YEAR(Table1[[#This Row],[Data de Início]]))</f>
        <v/>
      </c>
      <c r="BB2514" s="270" t="str">
        <f>IF(Table1[[#This Row],[Data de Início]]="","",MONTH(Table1[[#This Row],[Data de Início]]))</f>
        <v/>
      </c>
      <c r="BC2514" s="270"/>
    </row>
    <row r="2515" spans="2:55" x14ac:dyDescent="0.25">
      <c r="B2515" s="470"/>
      <c r="C2515" s="263"/>
      <c r="D2515" s="477" cm="1">
        <f t="array" ref="D2515">IFERROR(HorasUteisFabrica2Turnos(B2515,C2515), "")</f>
        <v>0</v>
      </c>
      <c r="E2515" s="697" t="str">
        <f t="shared" si="39"/>
        <v/>
      </c>
      <c r="F2515" s="266"/>
      <c r="G2515" s="698"/>
      <c r="H2515" s="266"/>
      <c r="I2515" s="268"/>
      <c r="J2515" s="268"/>
      <c r="K2515" s="268"/>
      <c r="L2515" s="269"/>
      <c r="M2515" s="510" t="str">
        <f>IFERROR(INDEX([1]Produtos!$C:$C,MATCH(L2515,[1]Produtos!$B:$B,0)), "-")</f>
        <v>-</v>
      </c>
      <c r="N2515" s="510" t="str">
        <f>IFERROR(INDEX([1]Produtos!$E:$E,MATCH(L2515,[1]Produtos!$B:$B,0)), "-")</f>
        <v>-</v>
      </c>
      <c r="O2515" s="270" t="str">
        <f>IFERROR(INDEX([1]Produtos!$F:$F,MATCH(L2515,[1]Produtos!$B:$B,0)), "-")</f>
        <v>-</v>
      </c>
      <c r="P2515" s="264" t="str">
        <f>IFERROR(INDEX([1]Produtos!$G:$G,MATCH(L2515,[1]Produtos!$B:$B,0)), "-")</f>
        <v>-</v>
      </c>
      <c r="Q2515" s="270" t="str">
        <f>IFERROR(INDEX([1]Produtos!$H:$H,MATCH(L2515,[1]Produtos!$B:$B,0)), "-")</f>
        <v>-</v>
      </c>
      <c r="R2515" s="270" t="str">
        <f>IFERROR(INDEX([1]Produtos!$I:$I,MATCH(L2515,[1]Produtos!$B:$B,0)), "-")</f>
        <v>-</v>
      </c>
      <c r="S2515" s="270" t="str">
        <f>IFERROR(INDEX([1]Produtos!$J:$J,MATCH(L2515,[1]Produtos!$B:$B,0)), "-")</f>
        <v>-</v>
      </c>
      <c r="T2515" s="475"/>
      <c r="U2515" s="270"/>
      <c r="V2515" s="270"/>
      <c r="W2515" s="270"/>
      <c r="X2515" s="270"/>
      <c r="Y2515" s="270"/>
      <c r="Z2515" s="270"/>
      <c r="AA2515" s="270"/>
      <c r="AB2515" s="270"/>
      <c r="AC2515" s="270"/>
      <c r="AD2515" s="270"/>
      <c r="AE2515" s="270"/>
      <c r="AF2515" s="270"/>
      <c r="AG2515" s="270"/>
      <c r="AH2515" s="270"/>
      <c r="AI2515" s="270"/>
      <c r="AJ2515" s="270"/>
      <c r="AK2515" s="270"/>
      <c r="AL2515" s="270"/>
      <c r="AM2515" s="663"/>
      <c r="AN2515" s="663"/>
      <c r="AO2515" s="708" t="str">
        <f>IF(OR(Table1[[#This Row],[Início Setup Envase]]="",Table1[[#This Row],[Final Setup Envase]]=""),"",Table1[[#This Row],[Final Setup Envase]]-Table1[[#This Row],[Início Setup Envase]])</f>
        <v/>
      </c>
      <c r="AP2515" s="663"/>
      <c r="AQ2515" s="663"/>
      <c r="AR2515" s="270"/>
      <c r="AS2515" s="674"/>
      <c r="AT2515" s="674"/>
      <c r="AU2515" s="270"/>
      <c r="AV2515" s="270"/>
      <c r="AW2515" s="270"/>
      <c r="AX2515" s="270"/>
      <c r="AY2515" s="270"/>
      <c r="AZ2515" s="270"/>
      <c r="BA2515" s="270" t="str">
        <f>IF(Table1[[#This Row],[Data de Início]]="","",YEAR(Table1[[#This Row],[Data de Início]]))</f>
        <v/>
      </c>
      <c r="BB2515" s="270" t="str">
        <f>IF(Table1[[#This Row],[Data de Início]]="","",MONTH(Table1[[#This Row],[Data de Início]]))</f>
        <v/>
      </c>
      <c r="BC2515" s="483"/>
    </row>
    <row r="2516" spans="2:55" x14ac:dyDescent="0.25">
      <c r="B2516" s="470"/>
      <c r="C2516" s="263"/>
      <c r="D2516" s="477" cm="1">
        <f t="array" ref="D2516">IFERROR(HorasUteisFabrica2Turnos(B2516,C2516), "")</f>
        <v>0</v>
      </c>
      <c r="E2516" s="478" t="str">
        <f t="shared" si="39"/>
        <v/>
      </c>
      <c r="F2516" s="266"/>
      <c r="G2516" s="656"/>
      <c r="H2516" s="479"/>
      <c r="I2516" s="268"/>
      <c r="J2516" s="268"/>
      <c r="K2516" s="268"/>
      <c r="L2516" s="269"/>
      <c r="M2516" s="511" t="str">
        <f>IFERROR(INDEX([1]Produtos!$C:$C,MATCH(L2516,[1]Produtos!$B:$B,0)), "-")</f>
        <v>-</v>
      </c>
      <c r="N2516" s="511" t="str">
        <f>IFERROR(INDEX([1]Produtos!$E:$E,MATCH(L2516,[1]Produtos!$B:$B,0)), "-")</f>
        <v>-</v>
      </c>
      <c r="O2516" s="483" t="str">
        <f>IFERROR(INDEX([1]Produtos!$F:$F,MATCH(L2516,[1]Produtos!$B:$B,0)), "-")</f>
        <v>-</v>
      </c>
      <c r="P2516" s="477" t="str">
        <f>IFERROR(INDEX([1]Produtos!$G:$G,MATCH(L2516,[1]Produtos!$B:$B,0)), "-")</f>
        <v>-</v>
      </c>
      <c r="Q2516" s="483" t="str">
        <f>IFERROR(INDEX([1]Produtos!$H:$H,MATCH(L2516,[1]Produtos!$B:$B,0)), "-")</f>
        <v>-</v>
      </c>
      <c r="R2516" s="483" t="str">
        <f>IFERROR(INDEX([1]Produtos!$I:$I,MATCH(L2516,[1]Produtos!$B:$B,0)), "-")</f>
        <v>-</v>
      </c>
      <c r="S2516" s="483" t="str">
        <f>IFERROR(INDEX([1]Produtos!$J:$J,MATCH(L2516,[1]Produtos!$B:$B,0)), "-")</f>
        <v>-</v>
      </c>
      <c r="T2516" s="484"/>
      <c r="U2516" s="483"/>
      <c r="V2516" s="483"/>
      <c r="W2516" s="483"/>
      <c r="X2516" s="483"/>
      <c r="Y2516" s="483"/>
      <c r="Z2516" s="483"/>
      <c r="AA2516" s="483"/>
      <c r="AB2516" s="483"/>
      <c r="AC2516" s="483"/>
      <c r="AD2516" s="483"/>
      <c r="AE2516" s="483"/>
      <c r="AF2516" s="483"/>
      <c r="AG2516" s="483"/>
      <c r="AH2516" s="483"/>
      <c r="AI2516" s="483"/>
      <c r="AJ2516" s="483"/>
      <c r="AK2516" s="483"/>
      <c r="AL2516" s="483"/>
      <c r="AM2516" s="670"/>
      <c r="AN2516" s="670"/>
      <c r="AO2516" s="711" t="str">
        <f>IF(OR(Table1[[#This Row],[Início Setup Envase]]="",Table1[[#This Row],[Final Setup Envase]]=""),"",Table1[[#This Row],[Final Setup Envase]]-Table1[[#This Row],[Início Setup Envase]])</f>
        <v/>
      </c>
      <c r="AP2516" s="670"/>
      <c r="AQ2516" s="670"/>
      <c r="AR2516" s="483"/>
      <c r="AS2516" s="483"/>
      <c r="AT2516" s="483"/>
      <c r="AU2516" s="483"/>
      <c r="AV2516" s="483"/>
      <c r="AW2516" s="483"/>
      <c r="AX2516" s="483"/>
      <c r="AY2516" s="270"/>
      <c r="AZ2516" s="270"/>
      <c r="BA2516" s="270" t="str">
        <f>IF(Table1[[#This Row],[Data de Início]]="","",YEAR(Table1[[#This Row],[Data de Início]]))</f>
        <v/>
      </c>
      <c r="BB2516" s="270" t="str">
        <f>IF(Table1[[#This Row],[Data de Início]]="","",MONTH(Table1[[#This Row],[Data de Início]]))</f>
        <v/>
      </c>
      <c r="BC2516" s="270"/>
    </row>
    <row r="2517" spans="2:55" x14ac:dyDescent="0.25">
      <c r="B2517" s="470"/>
      <c r="C2517" s="263"/>
      <c r="D2517" s="477" cm="1">
        <f t="array" ref="D2517">IFERROR(HorasUteisFabrica2Turnos(B2517,C2517), "")</f>
        <v>0</v>
      </c>
      <c r="E2517" s="697" t="str">
        <f t="shared" si="39"/>
        <v/>
      </c>
      <c r="F2517" s="266"/>
      <c r="G2517" s="698"/>
      <c r="H2517" s="266"/>
      <c r="I2517" s="268"/>
      <c r="J2517" s="268"/>
      <c r="K2517" s="268"/>
      <c r="L2517" s="269"/>
      <c r="M2517" s="510" t="str">
        <f>IFERROR(INDEX([1]Produtos!$C:$C,MATCH(L2517,[1]Produtos!$B:$B,0)), "-")</f>
        <v>-</v>
      </c>
      <c r="N2517" s="510" t="str">
        <f>IFERROR(INDEX([1]Produtos!$E:$E,MATCH(L2517,[1]Produtos!$B:$B,0)), "-")</f>
        <v>-</v>
      </c>
      <c r="O2517" s="270" t="str">
        <f>IFERROR(INDEX([1]Produtos!$F:$F,MATCH(L2517,[1]Produtos!$B:$B,0)), "-")</f>
        <v>-</v>
      </c>
      <c r="P2517" s="264" t="str">
        <f>IFERROR(INDEX([1]Produtos!$G:$G,MATCH(L2517,[1]Produtos!$B:$B,0)), "-")</f>
        <v>-</v>
      </c>
      <c r="Q2517" s="270" t="str">
        <f>IFERROR(INDEX([1]Produtos!$H:$H,MATCH(L2517,[1]Produtos!$B:$B,0)), "-")</f>
        <v>-</v>
      </c>
      <c r="R2517" s="270" t="str">
        <f>IFERROR(INDEX([1]Produtos!$I:$I,MATCH(L2517,[1]Produtos!$B:$B,0)), "-")</f>
        <v>-</v>
      </c>
      <c r="S2517" s="270" t="str">
        <f>IFERROR(INDEX([1]Produtos!$J:$J,MATCH(L2517,[1]Produtos!$B:$B,0)), "-")</f>
        <v>-</v>
      </c>
      <c r="T2517" s="475"/>
      <c r="U2517" s="270"/>
      <c r="V2517" s="270"/>
      <c r="W2517" s="270"/>
      <c r="X2517" s="270"/>
      <c r="Y2517" s="270"/>
      <c r="Z2517" s="270"/>
      <c r="AA2517" s="270"/>
      <c r="AB2517" s="270"/>
      <c r="AC2517" s="270"/>
      <c r="AD2517" s="270"/>
      <c r="AE2517" s="270"/>
      <c r="AF2517" s="270"/>
      <c r="AG2517" s="270"/>
      <c r="AH2517" s="270"/>
      <c r="AI2517" s="270"/>
      <c r="AJ2517" s="270"/>
      <c r="AK2517" s="270"/>
      <c r="AL2517" s="270"/>
      <c r="AM2517" s="663"/>
      <c r="AN2517" s="663"/>
      <c r="AO2517" s="708" t="str">
        <f>IF(OR(Table1[[#This Row],[Início Setup Envase]]="",Table1[[#This Row],[Final Setup Envase]]=""),"",Table1[[#This Row],[Final Setup Envase]]-Table1[[#This Row],[Início Setup Envase]])</f>
        <v/>
      </c>
      <c r="AP2517" s="663"/>
      <c r="AQ2517" s="663"/>
      <c r="AR2517" s="270"/>
      <c r="AS2517" s="674"/>
      <c r="AT2517" s="674"/>
      <c r="AU2517" s="270"/>
      <c r="AV2517" s="270"/>
      <c r="AW2517" s="270"/>
      <c r="AX2517" s="270"/>
      <c r="AY2517" s="270"/>
      <c r="AZ2517" s="270"/>
      <c r="BA2517" s="270" t="str">
        <f>IF(Table1[[#This Row],[Data de Início]]="","",YEAR(Table1[[#This Row],[Data de Início]]))</f>
        <v/>
      </c>
      <c r="BB2517" s="270" t="str">
        <f>IF(Table1[[#This Row],[Data de Início]]="","",MONTH(Table1[[#This Row],[Data de Início]]))</f>
        <v/>
      </c>
      <c r="BC2517" s="483"/>
    </row>
    <row r="2518" spans="2:55" x14ac:dyDescent="0.25">
      <c r="B2518" s="470"/>
      <c r="C2518" s="263"/>
      <c r="D2518" s="477" cm="1">
        <f t="array" ref="D2518">IFERROR(HorasUteisFabrica2Turnos(B2518,C2518), "")</f>
        <v>0</v>
      </c>
      <c r="E2518" s="478" t="str">
        <f t="shared" si="39"/>
        <v/>
      </c>
      <c r="F2518" s="266"/>
      <c r="G2518" s="656"/>
      <c r="H2518" s="479"/>
      <c r="I2518" s="268"/>
      <c r="J2518" s="268"/>
      <c r="K2518" s="268"/>
      <c r="L2518" s="269"/>
      <c r="M2518" s="511" t="str">
        <f>IFERROR(INDEX([1]Produtos!$C:$C,MATCH(L2518,[1]Produtos!$B:$B,0)), "-")</f>
        <v>-</v>
      </c>
      <c r="N2518" s="511" t="str">
        <f>IFERROR(INDEX([1]Produtos!$E:$E,MATCH(L2518,[1]Produtos!$B:$B,0)), "-")</f>
        <v>-</v>
      </c>
      <c r="O2518" s="483" t="str">
        <f>IFERROR(INDEX([1]Produtos!$F:$F,MATCH(L2518,[1]Produtos!$B:$B,0)), "-")</f>
        <v>-</v>
      </c>
      <c r="P2518" s="477" t="str">
        <f>IFERROR(INDEX([1]Produtos!$G:$G,MATCH(L2518,[1]Produtos!$B:$B,0)), "-")</f>
        <v>-</v>
      </c>
      <c r="Q2518" s="483" t="str">
        <f>IFERROR(INDEX([1]Produtos!$H:$H,MATCH(L2518,[1]Produtos!$B:$B,0)), "-")</f>
        <v>-</v>
      </c>
      <c r="R2518" s="483" t="str">
        <f>IFERROR(INDEX([1]Produtos!$I:$I,MATCH(L2518,[1]Produtos!$B:$B,0)), "-")</f>
        <v>-</v>
      </c>
      <c r="S2518" s="483" t="str">
        <f>IFERROR(INDEX([1]Produtos!$J:$J,MATCH(L2518,[1]Produtos!$B:$B,0)), "-")</f>
        <v>-</v>
      </c>
      <c r="T2518" s="484"/>
      <c r="U2518" s="483"/>
      <c r="V2518" s="483"/>
      <c r="W2518" s="483"/>
      <c r="X2518" s="483"/>
      <c r="Y2518" s="483"/>
      <c r="Z2518" s="483"/>
      <c r="AA2518" s="483"/>
      <c r="AB2518" s="483"/>
      <c r="AC2518" s="483"/>
      <c r="AD2518" s="483"/>
      <c r="AE2518" s="483"/>
      <c r="AF2518" s="483"/>
      <c r="AG2518" s="483"/>
      <c r="AH2518" s="483"/>
      <c r="AI2518" s="483"/>
      <c r="AJ2518" s="483"/>
      <c r="AK2518" s="483"/>
      <c r="AL2518" s="483"/>
      <c r="AM2518" s="670"/>
      <c r="AN2518" s="670"/>
      <c r="AO2518" s="711" t="str">
        <f>IF(OR(Table1[[#This Row],[Início Setup Envase]]="",Table1[[#This Row],[Final Setup Envase]]=""),"",Table1[[#This Row],[Final Setup Envase]]-Table1[[#This Row],[Início Setup Envase]])</f>
        <v/>
      </c>
      <c r="AP2518" s="670"/>
      <c r="AQ2518" s="670"/>
      <c r="AR2518" s="483"/>
      <c r="AS2518" s="483"/>
      <c r="AT2518" s="483"/>
      <c r="AU2518" s="483"/>
      <c r="AV2518" s="483"/>
      <c r="AW2518" s="483"/>
      <c r="AX2518" s="483"/>
      <c r="AY2518" s="270"/>
      <c r="AZ2518" s="270"/>
      <c r="BA2518" s="270" t="str">
        <f>IF(Table1[[#This Row],[Data de Início]]="","",YEAR(Table1[[#This Row],[Data de Início]]))</f>
        <v/>
      </c>
      <c r="BB2518" s="270" t="str">
        <f>IF(Table1[[#This Row],[Data de Início]]="","",MONTH(Table1[[#This Row],[Data de Início]]))</f>
        <v/>
      </c>
      <c r="BC2518" s="270"/>
    </row>
    <row r="2519" spans="2:55" x14ac:dyDescent="0.25">
      <c r="B2519" s="470"/>
      <c r="C2519" s="263"/>
      <c r="D2519" s="477" cm="1">
        <f t="array" ref="D2519">IFERROR(HorasUteisFabrica2Turnos(B2519,C2519), "")</f>
        <v>0</v>
      </c>
      <c r="E2519" s="697" t="str">
        <f t="shared" si="39"/>
        <v/>
      </c>
      <c r="F2519" s="266"/>
      <c r="G2519" s="698"/>
      <c r="H2519" s="266"/>
      <c r="I2519" s="268"/>
      <c r="J2519" s="268"/>
      <c r="K2519" s="268"/>
      <c r="L2519" s="269"/>
      <c r="M2519" s="510" t="str">
        <f>IFERROR(INDEX([1]Produtos!$C:$C,MATCH(L2519,[1]Produtos!$B:$B,0)), "-")</f>
        <v>-</v>
      </c>
      <c r="N2519" s="510" t="str">
        <f>IFERROR(INDEX([1]Produtos!$E:$E,MATCH(L2519,[1]Produtos!$B:$B,0)), "-")</f>
        <v>-</v>
      </c>
      <c r="O2519" s="270" t="str">
        <f>IFERROR(INDEX([1]Produtos!$F:$F,MATCH(L2519,[1]Produtos!$B:$B,0)), "-")</f>
        <v>-</v>
      </c>
      <c r="P2519" s="264" t="str">
        <f>IFERROR(INDEX([1]Produtos!$G:$G,MATCH(L2519,[1]Produtos!$B:$B,0)), "-")</f>
        <v>-</v>
      </c>
      <c r="Q2519" s="270" t="str">
        <f>IFERROR(INDEX([1]Produtos!$H:$H,MATCH(L2519,[1]Produtos!$B:$B,0)), "-")</f>
        <v>-</v>
      </c>
      <c r="R2519" s="270" t="str">
        <f>IFERROR(INDEX([1]Produtos!$I:$I,MATCH(L2519,[1]Produtos!$B:$B,0)), "-")</f>
        <v>-</v>
      </c>
      <c r="S2519" s="270" t="str">
        <f>IFERROR(INDEX([1]Produtos!$J:$J,MATCH(L2519,[1]Produtos!$B:$B,0)), "-")</f>
        <v>-</v>
      </c>
      <c r="T2519" s="475"/>
      <c r="U2519" s="270"/>
      <c r="V2519" s="270"/>
      <c r="W2519" s="270"/>
      <c r="X2519" s="270"/>
      <c r="Y2519" s="270"/>
      <c r="Z2519" s="270"/>
      <c r="AA2519" s="270"/>
      <c r="AB2519" s="270"/>
      <c r="AC2519" s="270"/>
      <c r="AD2519" s="270"/>
      <c r="AE2519" s="270"/>
      <c r="AF2519" s="270"/>
      <c r="AG2519" s="270"/>
      <c r="AH2519" s="270"/>
      <c r="AI2519" s="270"/>
      <c r="AJ2519" s="270"/>
      <c r="AK2519" s="270"/>
      <c r="AL2519" s="270"/>
      <c r="AM2519" s="663"/>
      <c r="AN2519" s="663"/>
      <c r="AO2519" s="708" t="str">
        <f>IF(OR(Table1[[#This Row],[Início Setup Envase]]="",Table1[[#This Row],[Final Setup Envase]]=""),"",Table1[[#This Row],[Final Setup Envase]]-Table1[[#This Row],[Início Setup Envase]])</f>
        <v/>
      </c>
      <c r="AP2519" s="663"/>
      <c r="AQ2519" s="663"/>
      <c r="AR2519" s="270"/>
      <c r="AS2519" s="674"/>
      <c r="AT2519" s="674"/>
      <c r="AU2519" s="270"/>
      <c r="AV2519" s="270"/>
      <c r="AW2519" s="270"/>
      <c r="AX2519" s="270"/>
      <c r="AY2519" s="270"/>
      <c r="AZ2519" s="270"/>
      <c r="BA2519" s="270" t="str">
        <f>IF(Table1[[#This Row],[Data de Início]]="","",YEAR(Table1[[#This Row],[Data de Início]]))</f>
        <v/>
      </c>
      <c r="BB2519" s="270" t="str">
        <f>IF(Table1[[#This Row],[Data de Início]]="","",MONTH(Table1[[#This Row],[Data de Início]]))</f>
        <v/>
      </c>
      <c r="BC2519" s="483"/>
    </row>
    <row r="2520" spans="2:55" x14ac:dyDescent="0.25">
      <c r="B2520" s="470"/>
      <c r="C2520" s="263"/>
      <c r="D2520" s="477" cm="1">
        <f t="array" ref="D2520">IFERROR(HorasUteisFabrica2Turnos(B2520,C2520), "")</f>
        <v>0</v>
      </c>
      <c r="E2520" s="478" t="str">
        <f t="shared" si="39"/>
        <v/>
      </c>
      <c r="F2520" s="266"/>
      <c r="G2520" s="656"/>
      <c r="H2520" s="479"/>
      <c r="I2520" s="268"/>
      <c r="J2520" s="268"/>
      <c r="K2520" s="268"/>
      <c r="L2520" s="269"/>
      <c r="M2520" s="511" t="str">
        <f>IFERROR(INDEX([1]Produtos!$C:$C,MATCH(L2520,[1]Produtos!$B:$B,0)), "-")</f>
        <v>-</v>
      </c>
      <c r="N2520" s="511" t="str">
        <f>IFERROR(INDEX([1]Produtos!$E:$E,MATCH(L2520,[1]Produtos!$B:$B,0)), "-")</f>
        <v>-</v>
      </c>
      <c r="O2520" s="483" t="str">
        <f>IFERROR(INDEX([1]Produtos!$F:$F,MATCH(L2520,[1]Produtos!$B:$B,0)), "-")</f>
        <v>-</v>
      </c>
      <c r="P2520" s="477" t="str">
        <f>IFERROR(INDEX([1]Produtos!$G:$G,MATCH(L2520,[1]Produtos!$B:$B,0)), "-")</f>
        <v>-</v>
      </c>
      <c r="Q2520" s="483" t="str">
        <f>IFERROR(INDEX([1]Produtos!$H:$H,MATCH(L2520,[1]Produtos!$B:$B,0)), "-")</f>
        <v>-</v>
      </c>
      <c r="R2520" s="483" t="str">
        <f>IFERROR(INDEX([1]Produtos!$I:$I,MATCH(L2520,[1]Produtos!$B:$B,0)), "-")</f>
        <v>-</v>
      </c>
      <c r="S2520" s="483" t="str">
        <f>IFERROR(INDEX([1]Produtos!$J:$J,MATCH(L2520,[1]Produtos!$B:$B,0)), "-")</f>
        <v>-</v>
      </c>
      <c r="T2520" s="484"/>
      <c r="U2520" s="483"/>
      <c r="V2520" s="483"/>
      <c r="W2520" s="483"/>
      <c r="X2520" s="483"/>
      <c r="Y2520" s="483"/>
      <c r="Z2520" s="483"/>
      <c r="AA2520" s="483"/>
      <c r="AB2520" s="483"/>
      <c r="AC2520" s="483"/>
      <c r="AD2520" s="483"/>
      <c r="AE2520" s="483"/>
      <c r="AF2520" s="483"/>
      <c r="AG2520" s="483"/>
      <c r="AH2520" s="483"/>
      <c r="AI2520" s="483"/>
      <c r="AJ2520" s="483"/>
      <c r="AK2520" s="483"/>
      <c r="AL2520" s="483"/>
      <c r="AM2520" s="670"/>
      <c r="AN2520" s="670"/>
      <c r="AO2520" s="711" t="str">
        <f>IF(OR(Table1[[#This Row],[Início Setup Envase]]="",Table1[[#This Row],[Final Setup Envase]]=""),"",Table1[[#This Row],[Final Setup Envase]]-Table1[[#This Row],[Início Setup Envase]])</f>
        <v/>
      </c>
      <c r="AP2520" s="670"/>
      <c r="AQ2520" s="670"/>
      <c r="AR2520" s="483"/>
      <c r="AS2520" s="483"/>
      <c r="AT2520" s="483"/>
      <c r="AU2520" s="483"/>
      <c r="AV2520" s="483"/>
      <c r="AW2520" s="483"/>
      <c r="AX2520" s="483"/>
      <c r="AY2520" s="270"/>
      <c r="AZ2520" s="270"/>
      <c r="BA2520" s="270" t="str">
        <f>IF(Table1[[#This Row],[Data de Início]]="","",YEAR(Table1[[#This Row],[Data de Início]]))</f>
        <v/>
      </c>
      <c r="BB2520" s="270" t="str">
        <f>IF(Table1[[#This Row],[Data de Início]]="","",MONTH(Table1[[#This Row],[Data de Início]]))</f>
        <v/>
      </c>
      <c r="BC2520" s="270"/>
    </row>
    <row r="2521" spans="2:55" x14ac:dyDescent="0.25">
      <c r="B2521" s="470"/>
      <c r="C2521" s="263"/>
      <c r="D2521" s="477" cm="1">
        <f t="array" ref="D2521">IFERROR(HorasUteisFabrica2Turnos(B2521,C2521), "")</f>
        <v>0</v>
      </c>
      <c r="E2521" s="697" t="str">
        <f t="shared" si="39"/>
        <v/>
      </c>
      <c r="F2521" s="266"/>
      <c r="G2521" s="698"/>
      <c r="H2521" s="266"/>
      <c r="I2521" s="268"/>
      <c r="J2521" s="268"/>
      <c r="K2521" s="268"/>
      <c r="L2521" s="269"/>
      <c r="M2521" s="510" t="str">
        <f>IFERROR(INDEX([1]Produtos!$C:$C,MATCH(L2521,[1]Produtos!$B:$B,0)), "-")</f>
        <v>-</v>
      </c>
      <c r="N2521" s="510" t="str">
        <f>IFERROR(INDEX([1]Produtos!$E:$E,MATCH(L2521,[1]Produtos!$B:$B,0)), "-")</f>
        <v>-</v>
      </c>
      <c r="O2521" s="270" t="str">
        <f>IFERROR(INDEX([1]Produtos!$F:$F,MATCH(L2521,[1]Produtos!$B:$B,0)), "-")</f>
        <v>-</v>
      </c>
      <c r="P2521" s="264" t="str">
        <f>IFERROR(INDEX([1]Produtos!$G:$G,MATCH(L2521,[1]Produtos!$B:$B,0)), "-")</f>
        <v>-</v>
      </c>
      <c r="Q2521" s="270" t="str">
        <f>IFERROR(INDEX([1]Produtos!$H:$H,MATCH(L2521,[1]Produtos!$B:$B,0)), "-")</f>
        <v>-</v>
      </c>
      <c r="R2521" s="270" t="str">
        <f>IFERROR(INDEX([1]Produtos!$I:$I,MATCH(L2521,[1]Produtos!$B:$B,0)), "-")</f>
        <v>-</v>
      </c>
      <c r="S2521" s="270" t="str">
        <f>IFERROR(INDEX([1]Produtos!$J:$J,MATCH(L2521,[1]Produtos!$B:$B,0)), "-")</f>
        <v>-</v>
      </c>
      <c r="T2521" s="475"/>
      <c r="U2521" s="270"/>
      <c r="V2521" s="270"/>
      <c r="W2521" s="270"/>
      <c r="X2521" s="270"/>
      <c r="Y2521" s="270"/>
      <c r="Z2521" s="270"/>
      <c r="AA2521" s="270"/>
      <c r="AB2521" s="270"/>
      <c r="AC2521" s="270"/>
      <c r="AD2521" s="270"/>
      <c r="AE2521" s="270"/>
      <c r="AF2521" s="270"/>
      <c r="AG2521" s="270"/>
      <c r="AH2521" s="270"/>
      <c r="AI2521" s="270"/>
      <c r="AJ2521" s="270"/>
      <c r="AK2521" s="270"/>
      <c r="AL2521" s="270"/>
      <c r="AM2521" s="663"/>
      <c r="AN2521" s="663"/>
      <c r="AO2521" s="708" t="str">
        <f>IF(OR(Table1[[#This Row],[Início Setup Envase]]="",Table1[[#This Row],[Final Setup Envase]]=""),"",Table1[[#This Row],[Final Setup Envase]]-Table1[[#This Row],[Início Setup Envase]])</f>
        <v/>
      </c>
      <c r="AP2521" s="663"/>
      <c r="AQ2521" s="663"/>
      <c r="AR2521" s="270"/>
      <c r="AS2521" s="674"/>
      <c r="AT2521" s="674"/>
      <c r="AU2521" s="270"/>
      <c r="AV2521" s="270"/>
      <c r="AW2521" s="270"/>
      <c r="AX2521" s="270"/>
      <c r="AY2521" s="270"/>
      <c r="AZ2521" s="270"/>
      <c r="BA2521" s="270" t="str">
        <f>IF(Table1[[#This Row],[Data de Início]]="","",YEAR(Table1[[#This Row],[Data de Início]]))</f>
        <v/>
      </c>
      <c r="BB2521" s="270" t="str">
        <f>IF(Table1[[#This Row],[Data de Início]]="","",MONTH(Table1[[#This Row],[Data de Início]]))</f>
        <v/>
      </c>
      <c r="BC2521" s="483"/>
    </row>
    <row r="2522" spans="2:55" x14ac:dyDescent="0.25">
      <c r="B2522" s="470"/>
      <c r="C2522" s="263"/>
      <c r="D2522" s="477" cm="1">
        <f t="array" ref="D2522">IFERROR(HorasUteisFabrica2Turnos(B2522,C2522), "")</f>
        <v>0</v>
      </c>
      <c r="E2522" s="478" t="str">
        <f t="shared" si="39"/>
        <v/>
      </c>
      <c r="F2522" s="266"/>
      <c r="G2522" s="656"/>
      <c r="H2522" s="479"/>
      <c r="I2522" s="268"/>
      <c r="J2522" s="268"/>
      <c r="K2522" s="268"/>
      <c r="L2522" s="269"/>
      <c r="M2522" s="511" t="str">
        <f>IFERROR(INDEX([1]Produtos!$C:$C,MATCH(L2522,[1]Produtos!$B:$B,0)), "-")</f>
        <v>-</v>
      </c>
      <c r="N2522" s="511" t="str">
        <f>IFERROR(INDEX([1]Produtos!$E:$E,MATCH(L2522,[1]Produtos!$B:$B,0)), "-")</f>
        <v>-</v>
      </c>
      <c r="O2522" s="483" t="str">
        <f>IFERROR(INDEX([1]Produtos!$F:$F,MATCH(L2522,[1]Produtos!$B:$B,0)), "-")</f>
        <v>-</v>
      </c>
      <c r="P2522" s="477" t="str">
        <f>IFERROR(INDEX([1]Produtos!$G:$G,MATCH(L2522,[1]Produtos!$B:$B,0)), "-")</f>
        <v>-</v>
      </c>
      <c r="Q2522" s="483" t="str">
        <f>IFERROR(INDEX([1]Produtos!$H:$H,MATCH(L2522,[1]Produtos!$B:$B,0)), "-")</f>
        <v>-</v>
      </c>
      <c r="R2522" s="483" t="str">
        <f>IFERROR(INDEX([1]Produtos!$I:$I,MATCH(L2522,[1]Produtos!$B:$B,0)), "-")</f>
        <v>-</v>
      </c>
      <c r="S2522" s="483" t="str">
        <f>IFERROR(INDEX([1]Produtos!$J:$J,MATCH(L2522,[1]Produtos!$B:$B,0)), "-")</f>
        <v>-</v>
      </c>
      <c r="T2522" s="484"/>
      <c r="U2522" s="483"/>
      <c r="V2522" s="483"/>
      <c r="W2522" s="483"/>
      <c r="X2522" s="483"/>
      <c r="Y2522" s="483"/>
      <c r="Z2522" s="483"/>
      <c r="AA2522" s="483"/>
      <c r="AB2522" s="483"/>
      <c r="AC2522" s="483"/>
      <c r="AD2522" s="483"/>
      <c r="AE2522" s="483"/>
      <c r="AF2522" s="483"/>
      <c r="AG2522" s="483"/>
      <c r="AH2522" s="483"/>
      <c r="AI2522" s="483"/>
      <c r="AJ2522" s="483"/>
      <c r="AK2522" s="483"/>
      <c r="AL2522" s="483"/>
      <c r="AM2522" s="670"/>
      <c r="AN2522" s="670"/>
      <c r="AO2522" s="711" t="str">
        <f>IF(OR(Table1[[#This Row],[Início Setup Envase]]="",Table1[[#This Row],[Final Setup Envase]]=""),"",Table1[[#This Row],[Final Setup Envase]]-Table1[[#This Row],[Início Setup Envase]])</f>
        <v/>
      </c>
      <c r="AP2522" s="670"/>
      <c r="AQ2522" s="670"/>
      <c r="AR2522" s="483"/>
      <c r="AS2522" s="483"/>
      <c r="AT2522" s="483"/>
      <c r="AU2522" s="483"/>
      <c r="AV2522" s="483"/>
      <c r="AW2522" s="483"/>
      <c r="AX2522" s="483"/>
      <c r="AY2522" s="270"/>
      <c r="AZ2522" s="270"/>
      <c r="BA2522" s="270" t="str">
        <f>IF(Table1[[#This Row],[Data de Início]]="","",YEAR(Table1[[#This Row],[Data de Início]]))</f>
        <v/>
      </c>
      <c r="BB2522" s="270" t="str">
        <f>IF(Table1[[#This Row],[Data de Início]]="","",MONTH(Table1[[#This Row],[Data de Início]]))</f>
        <v/>
      </c>
      <c r="BC2522" s="270"/>
    </row>
    <row r="2523" spans="2:55" x14ac:dyDescent="0.25">
      <c r="B2523" s="470"/>
      <c r="C2523" s="263"/>
      <c r="D2523" s="477" cm="1">
        <f t="array" ref="D2523">IFERROR(HorasUteisFabrica2Turnos(B2523,C2523), "")</f>
        <v>0</v>
      </c>
      <c r="E2523" s="697" t="str">
        <f t="shared" si="39"/>
        <v/>
      </c>
      <c r="F2523" s="266"/>
      <c r="G2523" s="698"/>
      <c r="H2523" s="266"/>
      <c r="I2523" s="268"/>
      <c r="J2523" s="268"/>
      <c r="K2523" s="268"/>
      <c r="L2523" s="269"/>
      <c r="M2523" s="510" t="str">
        <f>IFERROR(INDEX([1]Produtos!$C:$C,MATCH(L2523,[1]Produtos!$B:$B,0)), "-")</f>
        <v>-</v>
      </c>
      <c r="N2523" s="510" t="str">
        <f>IFERROR(INDEX([1]Produtos!$E:$E,MATCH(L2523,[1]Produtos!$B:$B,0)), "-")</f>
        <v>-</v>
      </c>
      <c r="O2523" s="270" t="str">
        <f>IFERROR(INDEX([1]Produtos!$F:$F,MATCH(L2523,[1]Produtos!$B:$B,0)), "-")</f>
        <v>-</v>
      </c>
      <c r="P2523" s="264" t="str">
        <f>IFERROR(INDEX([1]Produtos!$G:$G,MATCH(L2523,[1]Produtos!$B:$B,0)), "-")</f>
        <v>-</v>
      </c>
      <c r="Q2523" s="270" t="str">
        <f>IFERROR(INDEX([1]Produtos!$H:$H,MATCH(L2523,[1]Produtos!$B:$B,0)), "-")</f>
        <v>-</v>
      </c>
      <c r="R2523" s="270" t="str">
        <f>IFERROR(INDEX([1]Produtos!$I:$I,MATCH(L2523,[1]Produtos!$B:$B,0)), "-")</f>
        <v>-</v>
      </c>
      <c r="S2523" s="270" t="str">
        <f>IFERROR(INDEX([1]Produtos!$J:$J,MATCH(L2523,[1]Produtos!$B:$B,0)), "-")</f>
        <v>-</v>
      </c>
      <c r="T2523" s="475"/>
      <c r="U2523" s="270"/>
      <c r="V2523" s="270"/>
      <c r="W2523" s="270"/>
      <c r="X2523" s="270"/>
      <c r="Y2523" s="270"/>
      <c r="Z2523" s="270"/>
      <c r="AA2523" s="270"/>
      <c r="AB2523" s="270"/>
      <c r="AC2523" s="270"/>
      <c r="AD2523" s="270"/>
      <c r="AE2523" s="270"/>
      <c r="AF2523" s="270"/>
      <c r="AG2523" s="270"/>
      <c r="AH2523" s="270"/>
      <c r="AI2523" s="270"/>
      <c r="AJ2523" s="270"/>
      <c r="AK2523" s="270"/>
      <c r="AL2523" s="270"/>
      <c r="AM2523" s="663"/>
      <c r="AN2523" s="663"/>
      <c r="AO2523" s="708" t="str">
        <f>IF(OR(Table1[[#This Row],[Início Setup Envase]]="",Table1[[#This Row],[Final Setup Envase]]=""),"",Table1[[#This Row],[Final Setup Envase]]-Table1[[#This Row],[Início Setup Envase]])</f>
        <v/>
      </c>
      <c r="AP2523" s="663"/>
      <c r="AQ2523" s="663"/>
      <c r="AR2523" s="270"/>
      <c r="AS2523" s="674"/>
      <c r="AT2523" s="674"/>
      <c r="AU2523" s="270"/>
      <c r="AV2523" s="270"/>
      <c r="AW2523" s="270"/>
      <c r="AX2523" s="270"/>
      <c r="AY2523" s="270"/>
      <c r="AZ2523" s="270"/>
      <c r="BA2523" s="270" t="str">
        <f>IF(Table1[[#This Row],[Data de Início]]="","",YEAR(Table1[[#This Row],[Data de Início]]))</f>
        <v/>
      </c>
      <c r="BB2523" s="270" t="str">
        <f>IF(Table1[[#This Row],[Data de Início]]="","",MONTH(Table1[[#This Row],[Data de Início]]))</f>
        <v/>
      </c>
      <c r="BC2523" s="483"/>
    </row>
    <row r="2524" spans="2:55" x14ac:dyDescent="0.25">
      <c r="B2524" s="470"/>
      <c r="C2524" s="263"/>
      <c r="D2524" s="477" cm="1">
        <f t="array" ref="D2524">IFERROR(HorasUteisFabrica2Turnos(B2524,C2524), "")</f>
        <v>0</v>
      </c>
      <c r="E2524" s="478" t="str">
        <f t="shared" si="39"/>
        <v/>
      </c>
      <c r="F2524" s="266"/>
      <c r="G2524" s="656"/>
      <c r="H2524" s="479"/>
      <c r="I2524" s="268"/>
      <c r="J2524" s="268"/>
      <c r="K2524" s="268"/>
      <c r="L2524" s="269"/>
      <c r="M2524" s="511" t="str">
        <f>IFERROR(INDEX([1]Produtos!$C:$C,MATCH(L2524,[1]Produtos!$B:$B,0)), "-")</f>
        <v>-</v>
      </c>
      <c r="N2524" s="511" t="str">
        <f>IFERROR(INDEX([1]Produtos!$E:$E,MATCH(L2524,[1]Produtos!$B:$B,0)), "-")</f>
        <v>-</v>
      </c>
      <c r="O2524" s="483" t="str">
        <f>IFERROR(INDEX([1]Produtos!$F:$F,MATCH(L2524,[1]Produtos!$B:$B,0)), "-")</f>
        <v>-</v>
      </c>
      <c r="P2524" s="477" t="str">
        <f>IFERROR(INDEX([1]Produtos!$G:$G,MATCH(L2524,[1]Produtos!$B:$B,0)), "-")</f>
        <v>-</v>
      </c>
      <c r="Q2524" s="483" t="str">
        <f>IFERROR(INDEX([1]Produtos!$H:$H,MATCH(L2524,[1]Produtos!$B:$B,0)), "-")</f>
        <v>-</v>
      </c>
      <c r="R2524" s="483" t="str">
        <f>IFERROR(INDEX([1]Produtos!$I:$I,MATCH(L2524,[1]Produtos!$B:$B,0)), "-")</f>
        <v>-</v>
      </c>
      <c r="S2524" s="483" t="str">
        <f>IFERROR(INDEX([1]Produtos!$J:$J,MATCH(L2524,[1]Produtos!$B:$B,0)), "-")</f>
        <v>-</v>
      </c>
      <c r="T2524" s="484"/>
      <c r="U2524" s="483"/>
      <c r="V2524" s="483"/>
      <c r="W2524" s="483"/>
      <c r="X2524" s="483"/>
      <c r="Y2524" s="483"/>
      <c r="Z2524" s="483"/>
      <c r="AA2524" s="483"/>
      <c r="AB2524" s="483"/>
      <c r="AC2524" s="483"/>
      <c r="AD2524" s="483"/>
      <c r="AE2524" s="483"/>
      <c r="AF2524" s="483"/>
      <c r="AG2524" s="483"/>
      <c r="AH2524" s="483"/>
      <c r="AI2524" s="483"/>
      <c r="AJ2524" s="483"/>
      <c r="AK2524" s="483"/>
      <c r="AL2524" s="483"/>
      <c r="AM2524" s="670"/>
      <c r="AN2524" s="670"/>
      <c r="AO2524" s="711" t="str">
        <f>IF(OR(Table1[[#This Row],[Início Setup Envase]]="",Table1[[#This Row],[Final Setup Envase]]=""),"",Table1[[#This Row],[Final Setup Envase]]-Table1[[#This Row],[Início Setup Envase]])</f>
        <v/>
      </c>
      <c r="AP2524" s="670"/>
      <c r="AQ2524" s="670"/>
      <c r="AR2524" s="483"/>
      <c r="AS2524" s="483"/>
      <c r="AT2524" s="483"/>
      <c r="AU2524" s="483"/>
      <c r="AV2524" s="483"/>
      <c r="AW2524" s="483"/>
      <c r="AX2524" s="483"/>
      <c r="AY2524" s="270"/>
      <c r="AZ2524" s="270"/>
      <c r="BA2524" s="270" t="str">
        <f>IF(Table1[[#This Row],[Data de Início]]="","",YEAR(Table1[[#This Row],[Data de Início]]))</f>
        <v/>
      </c>
      <c r="BB2524" s="270" t="str">
        <f>IF(Table1[[#This Row],[Data de Início]]="","",MONTH(Table1[[#This Row],[Data de Início]]))</f>
        <v/>
      </c>
      <c r="BC2524" s="270"/>
    </row>
    <row r="2525" spans="2:55" x14ac:dyDescent="0.25">
      <c r="B2525" s="470"/>
      <c r="C2525" s="263"/>
      <c r="D2525" s="477" cm="1">
        <f t="array" ref="D2525">IFERROR(HorasUteisFabrica2Turnos(B2525,C2525), "")</f>
        <v>0</v>
      </c>
      <c r="E2525" s="697" t="str">
        <f t="shared" si="39"/>
        <v/>
      </c>
      <c r="F2525" s="266"/>
      <c r="G2525" s="698"/>
      <c r="H2525" s="266"/>
      <c r="I2525" s="268"/>
      <c r="J2525" s="268"/>
      <c r="K2525" s="268"/>
      <c r="L2525" s="269"/>
      <c r="M2525" s="510" t="str">
        <f>IFERROR(INDEX([1]Produtos!$C:$C,MATCH(L2525,[1]Produtos!$B:$B,0)), "-")</f>
        <v>-</v>
      </c>
      <c r="N2525" s="510" t="str">
        <f>IFERROR(INDEX([1]Produtos!$E:$E,MATCH(L2525,[1]Produtos!$B:$B,0)), "-")</f>
        <v>-</v>
      </c>
      <c r="O2525" s="270" t="str">
        <f>IFERROR(INDEX([1]Produtos!$F:$F,MATCH(L2525,[1]Produtos!$B:$B,0)), "-")</f>
        <v>-</v>
      </c>
      <c r="P2525" s="264" t="str">
        <f>IFERROR(INDEX([1]Produtos!$G:$G,MATCH(L2525,[1]Produtos!$B:$B,0)), "-")</f>
        <v>-</v>
      </c>
      <c r="Q2525" s="270" t="str">
        <f>IFERROR(INDEX([1]Produtos!$H:$H,MATCH(L2525,[1]Produtos!$B:$B,0)), "-")</f>
        <v>-</v>
      </c>
      <c r="R2525" s="270" t="str">
        <f>IFERROR(INDEX([1]Produtos!$I:$I,MATCH(L2525,[1]Produtos!$B:$B,0)), "-")</f>
        <v>-</v>
      </c>
      <c r="S2525" s="270" t="str">
        <f>IFERROR(INDEX([1]Produtos!$J:$J,MATCH(L2525,[1]Produtos!$B:$B,0)), "-")</f>
        <v>-</v>
      </c>
      <c r="T2525" s="475"/>
      <c r="U2525" s="270"/>
      <c r="V2525" s="270"/>
      <c r="W2525" s="270"/>
      <c r="X2525" s="270"/>
      <c r="Y2525" s="270"/>
      <c r="Z2525" s="270"/>
      <c r="AA2525" s="270"/>
      <c r="AB2525" s="270"/>
      <c r="AC2525" s="270"/>
      <c r="AD2525" s="270"/>
      <c r="AE2525" s="270"/>
      <c r="AF2525" s="270"/>
      <c r="AG2525" s="270"/>
      <c r="AH2525" s="270"/>
      <c r="AI2525" s="270"/>
      <c r="AJ2525" s="270"/>
      <c r="AK2525" s="270"/>
      <c r="AL2525" s="270"/>
      <c r="AM2525" s="663"/>
      <c r="AN2525" s="663"/>
      <c r="AO2525" s="708" t="str">
        <f>IF(OR(Table1[[#This Row],[Início Setup Envase]]="",Table1[[#This Row],[Final Setup Envase]]=""),"",Table1[[#This Row],[Final Setup Envase]]-Table1[[#This Row],[Início Setup Envase]])</f>
        <v/>
      </c>
      <c r="AP2525" s="663"/>
      <c r="AQ2525" s="663"/>
      <c r="AR2525" s="270"/>
      <c r="AS2525" s="674"/>
      <c r="AT2525" s="674"/>
      <c r="AU2525" s="270"/>
      <c r="AV2525" s="270"/>
      <c r="AW2525" s="270"/>
      <c r="AX2525" s="270"/>
      <c r="AY2525" s="270"/>
      <c r="AZ2525" s="270"/>
      <c r="BA2525" s="270" t="str">
        <f>IF(Table1[[#This Row],[Data de Início]]="","",YEAR(Table1[[#This Row],[Data de Início]]))</f>
        <v/>
      </c>
      <c r="BB2525" s="270" t="str">
        <f>IF(Table1[[#This Row],[Data de Início]]="","",MONTH(Table1[[#This Row],[Data de Início]]))</f>
        <v/>
      </c>
      <c r="BC2525" s="483"/>
    </row>
    <row r="2526" spans="2:55" x14ac:dyDescent="0.25">
      <c r="B2526" s="470"/>
      <c r="C2526" s="263"/>
      <c r="D2526" s="477" cm="1">
        <f t="array" ref="D2526">IFERROR(HorasUteisFabrica2Turnos(B2526,C2526), "")</f>
        <v>0</v>
      </c>
      <c r="E2526" s="478" t="str">
        <f t="shared" si="39"/>
        <v/>
      </c>
      <c r="F2526" s="266"/>
      <c r="G2526" s="656"/>
      <c r="H2526" s="479"/>
      <c r="I2526" s="268"/>
      <c r="J2526" s="268"/>
      <c r="K2526" s="268"/>
      <c r="L2526" s="269"/>
      <c r="M2526" s="511" t="str">
        <f>IFERROR(INDEX([1]Produtos!$C:$C,MATCH(L2526,[1]Produtos!$B:$B,0)), "-")</f>
        <v>-</v>
      </c>
      <c r="N2526" s="511" t="str">
        <f>IFERROR(INDEX([1]Produtos!$E:$E,MATCH(L2526,[1]Produtos!$B:$B,0)), "-")</f>
        <v>-</v>
      </c>
      <c r="O2526" s="483" t="str">
        <f>IFERROR(INDEX([1]Produtos!$F:$F,MATCH(L2526,[1]Produtos!$B:$B,0)), "-")</f>
        <v>-</v>
      </c>
      <c r="P2526" s="477" t="str">
        <f>IFERROR(INDEX([1]Produtos!$G:$G,MATCH(L2526,[1]Produtos!$B:$B,0)), "-")</f>
        <v>-</v>
      </c>
      <c r="Q2526" s="483" t="str">
        <f>IFERROR(INDEX([1]Produtos!$H:$H,MATCH(L2526,[1]Produtos!$B:$B,0)), "-")</f>
        <v>-</v>
      </c>
      <c r="R2526" s="483" t="str">
        <f>IFERROR(INDEX([1]Produtos!$I:$I,MATCH(L2526,[1]Produtos!$B:$B,0)), "-")</f>
        <v>-</v>
      </c>
      <c r="S2526" s="483" t="str">
        <f>IFERROR(INDEX([1]Produtos!$J:$J,MATCH(L2526,[1]Produtos!$B:$B,0)), "-")</f>
        <v>-</v>
      </c>
      <c r="T2526" s="484"/>
      <c r="U2526" s="483"/>
      <c r="V2526" s="483"/>
      <c r="W2526" s="483"/>
      <c r="X2526" s="483"/>
      <c r="Y2526" s="483"/>
      <c r="Z2526" s="483"/>
      <c r="AA2526" s="483"/>
      <c r="AB2526" s="483"/>
      <c r="AC2526" s="483"/>
      <c r="AD2526" s="483"/>
      <c r="AE2526" s="483"/>
      <c r="AF2526" s="483"/>
      <c r="AG2526" s="483"/>
      <c r="AH2526" s="483"/>
      <c r="AI2526" s="483"/>
      <c r="AJ2526" s="483"/>
      <c r="AK2526" s="483"/>
      <c r="AL2526" s="483"/>
      <c r="AM2526" s="670"/>
      <c r="AN2526" s="670"/>
      <c r="AO2526" s="711" t="str">
        <f>IF(OR(Table1[[#This Row],[Início Setup Envase]]="",Table1[[#This Row],[Final Setup Envase]]=""),"",Table1[[#This Row],[Final Setup Envase]]-Table1[[#This Row],[Início Setup Envase]])</f>
        <v/>
      </c>
      <c r="AP2526" s="670"/>
      <c r="AQ2526" s="670"/>
      <c r="AR2526" s="483"/>
      <c r="AS2526" s="483"/>
      <c r="AT2526" s="483"/>
      <c r="AU2526" s="483"/>
      <c r="AV2526" s="483"/>
      <c r="AW2526" s="483"/>
      <c r="AX2526" s="483"/>
      <c r="AY2526" s="270"/>
      <c r="AZ2526" s="270"/>
      <c r="BA2526" s="270" t="str">
        <f>IF(Table1[[#This Row],[Data de Início]]="","",YEAR(Table1[[#This Row],[Data de Início]]))</f>
        <v/>
      </c>
      <c r="BB2526" s="270" t="str">
        <f>IF(Table1[[#This Row],[Data de Início]]="","",MONTH(Table1[[#This Row],[Data de Início]]))</f>
        <v/>
      </c>
      <c r="BC2526" s="270"/>
    </row>
    <row r="2527" spans="2:55" x14ac:dyDescent="0.25">
      <c r="B2527" s="470"/>
      <c r="C2527" s="263"/>
      <c r="D2527" s="477" cm="1">
        <f t="array" ref="D2527">IFERROR(HorasUteisFabrica2Turnos(B2527,C2527), "")</f>
        <v>0</v>
      </c>
      <c r="E2527" s="697" t="str">
        <f t="shared" si="39"/>
        <v/>
      </c>
      <c r="F2527" s="266"/>
      <c r="G2527" s="698"/>
      <c r="H2527" s="266"/>
      <c r="I2527" s="268"/>
      <c r="J2527" s="268"/>
      <c r="K2527" s="268"/>
      <c r="L2527" s="269"/>
      <c r="M2527" s="510" t="str">
        <f>IFERROR(INDEX([1]Produtos!$C:$C,MATCH(L2527,[1]Produtos!$B:$B,0)), "-")</f>
        <v>-</v>
      </c>
      <c r="N2527" s="510" t="str">
        <f>IFERROR(INDEX([1]Produtos!$E:$E,MATCH(L2527,[1]Produtos!$B:$B,0)), "-")</f>
        <v>-</v>
      </c>
      <c r="O2527" s="270" t="str">
        <f>IFERROR(INDEX([1]Produtos!$F:$F,MATCH(L2527,[1]Produtos!$B:$B,0)), "-")</f>
        <v>-</v>
      </c>
      <c r="P2527" s="264" t="str">
        <f>IFERROR(INDEX([1]Produtos!$G:$G,MATCH(L2527,[1]Produtos!$B:$B,0)), "-")</f>
        <v>-</v>
      </c>
      <c r="Q2527" s="270" t="str">
        <f>IFERROR(INDEX([1]Produtos!$H:$H,MATCH(L2527,[1]Produtos!$B:$B,0)), "-")</f>
        <v>-</v>
      </c>
      <c r="R2527" s="270" t="str">
        <f>IFERROR(INDEX([1]Produtos!$I:$I,MATCH(L2527,[1]Produtos!$B:$B,0)), "-")</f>
        <v>-</v>
      </c>
      <c r="S2527" s="270" t="str">
        <f>IFERROR(INDEX([1]Produtos!$J:$J,MATCH(L2527,[1]Produtos!$B:$B,0)), "-")</f>
        <v>-</v>
      </c>
      <c r="T2527" s="475"/>
      <c r="U2527" s="270"/>
      <c r="V2527" s="270"/>
      <c r="W2527" s="270"/>
      <c r="X2527" s="270"/>
      <c r="Y2527" s="270"/>
      <c r="Z2527" s="270"/>
      <c r="AA2527" s="270"/>
      <c r="AB2527" s="270"/>
      <c r="AC2527" s="270"/>
      <c r="AD2527" s="270"/>
      <c r="AE2527" s="270"/>
      <c r="AF2527" s="270"/>
      <c r="AG2527" s="270"/>
      <c r="AH2527" s="270"/>
      <c r="AI2527" s="270"/>
      <c r="AJ2527" s="270"/>
      <c r="AK2527" s="270"/>
      <c r="AL2527" s="270"/>
      <c r="AM2527" s="663"/>
      <c r="AN2527" s="663"/>
      <c r="AO2527" s="708" t="str">
        <f>IF(OR(Table1[[#This Row],[Início Setup Envase]]="",Table1[[#This Row],[Final Setup Envase]]=""),"",Table1[[#This Row],[Final Setup Envase]]-Table1[[#This Row],[Início Setup Envase]])</f>
        <v/>
      </c>
      <c r="AP2527" s="663"/>
      <c r="AQ2527" s="663"/>
      <c r="AR2527" s="270"/>
      <c r="AS2527" s="674"/>
      <c r="AT2527" s="674"/>
      <c r="AU2527" s="270"/>
      <c r="AV2527" s="270"/>
      <c r="AW2527" s="270"/>
      <c r="AX2527" s="270"/>
      <c r="AY2527" s="270"/>
      <c r="AZ2527" s="270"/>
      <c r="BA2527" s="270" t="str">
        <f>IF(Table1[[#This Row],[Data de Início]]="","",YEAR(Table1[[#This Row],[Data de Início]]))</f>
        <v/>
      </c>
      <c r="BB2527" s="270" t="str">
        <f>IF(Table1[[#This Row],[Data de Início]]="","",MONTH(Table1[[#This Row],[Data de Início]]))</f>
        <v/>
      </c>
      <c r="BC2527" s="483"/>
    </row>
    <row r="2528" spans="2:55" x14ac:dyDescent="0.25">
      <c r="B2528" s="470"/>
      <c r="C2528" s="263"/>
      <c r="D2528" s="477" cm="1">
        <f t="array" ref="D2528">IFERROR(HorasUteisFabrica2Turnos(B2528,C2528), "")</f>
        <v>0</v>
      </c>
      <c r="E2528" s="478" t="str">
        <f t="shared" si="39"/>
        <v/>
      </c>
      <c r="F2528" s="266"/>
      <c r="G2528" s="656"/>
      <c r="H2528" s="479"/>
      <c r="I2528" s="268"/>
      <c r="J2528" s="268"/>
      <c r="K2528" s="268"/>
      <c r="L2528" s="269"/>
      <c r="M2528" s="511" t="str">
        <f>IFERROR(INDEX([1]Produtos!$C:$C,MATCH(L2528,[1]Produtos!$B:$B,0)), "-")</f>
        <v>-</v>
      </c>
      <c r="N2528" s="511" t="str">
        <f>IFERROR(INDEX([1]Produtos!$E:$E,MATCH(L2528,[1]Produtos!$B:$B,0)), "-")</f>
        <v>-</v>
      </c>
      <c r="O2528" s="483" t="str">
        <f>IFERROR(INDEX([1]Produtos!$F:$F,MATCH(L2528,[1]Produtos!$B:$B,0)), "-")</f>
        <v>-</v>
      </c>
      <c r="P2528" s="477" t="str">
        <f>IFERROR(INDEX([1]Produtos!$G:$G,MATCH(L2528,[1]Produtos!$B:$B,0)), "-")</f>
        <v>-</v>
      </c>
      <c r="Q2528" s="483" t="str">
        <f>IFERROR(INDEX([1]Produtos!$H:$H,MATCH(L2528,[1]Produtos!$B:$B,0)), "-")</f>
        <v>-</v>
      </c>
      <c r="R2528" s="483" t="str">
        <f>IFERROR(INDEX([1]Produtos!$I:$I,MATCH(L2528,[1]Produtos!$B:$B,0)), "-")</f>
        <v>-</v>
      </c>
      <c r="S2528" s="483" t="str">
        <f>IFERROR(INDEX([1]Produtos!$J:$J,MATCH(L2528,[1]Produtos!$B:$B,0)), "-")</f>
        <v>-</v>
      </c>
      <c r="T2528" s="484"/>
      <c r="U2528" s="483"/>
      <c r="V2528" s="483"/>
      <c r="W2528" s="483"/>
      <c r="X2528" s="483"/>
      <c r="Y2528" s="483"/>
      <c r="Z2528" s="483"/>
      <c r="AA2528" s="483"/>
      <c r="AB2528" s="483"/>
      <c r="AC2528" s="483"/>
      <c r="AD2528" s="483"/>
      <c r="AE2528" s="483"/>
      <c r="AF2528" s="483"/>
      <c r="AG2528" s="483"/>
      <c r="AH2528" s="483"/>
      <c r="AI2528" s="483"/>
      <c r="AJ2528" s="483"/>
      <c r="AK2528" s="483"/>
      <c r="AL2528" s="483"/>
      <c r="AM2528" s="670"/>
      <c r="AN2528" s="670"/>
      <c r="AO2528" s="711" t="str">
        <f>IF(OR(Table1[[#This Row],[Início Setup Envase]]="",Table1[[#This Row],[Final Setup Envase]]=""),"",Table1[[#This Row],[Final Setup Envase]]-Table1[[#This Row],[Início Setup Envase]])</f>
        <v/>
      </c>
      <c r="AP2528" s="670"/>
      <c r="AQ2528" s="670"/>
      <c r="AR2528" s="483"/>
      <c r="AS2528" s="483"/>
      <c r="AT2528" s="483"/>
      <c r="AU2528" s="483"/>
      <c r="AV2528" s="483"/>
      <c r="AW2528" s="483"/>
      <c r="AX2528" s="483"/>
      <c r="AY2528" s="270"/>
      <c r="AZ2528" s="270"/>
      <c r="BA2528" s="270" t="str">
        <f>IF(Table1[[#This Row],[Data de Início]]="","",YEAR(Table1[[#This Row],[Data de Início]]))</f>
        <v/>
      </c>
      <c r="BB2528" s="270" t="str">
        <f>IF(Table1[[#This Row],[Data de Início]]="","",MONTH(Table1[[#This Row],[Data de Início]]))</f>
        <v/>
      </c>
      <c r="BC2528" s="270"/>
    </row>
    <row r="2529" spans="2:55" x14ac:dyDescent="0.25">
      <c r="B2529" s="470"/>
      <c r="C2529" s="263"/>
      <c r="D2529" s="477" cm="1">
        <f t="array" ref="D2529">IFERROR(HorasUteisFabrica2Turnos(B2529,C2529), "")</f>
        <v>0</v>
      </c>
      <c r="E2529" s="697" t="str">
        <f t="shared" si="39"/>
        <v/>
      </c>
      <c r="F2529" s="266"/>
      <c r="G2529" s="698"/>
      <c r="H2529" s="266"/>
      <c r="I2529" s="268"/>
      <c r="J2529" s="268"/>
      <c r="K2529" s="268"/>
      <c r="L2529" s="269"/>
      <c r="M2529" s="510" t="str">
        <f>IFERROR(INDEX([1]Produtos!$C:$C,MATCH(L2529,[1]Produtos!$B:$B,0)), "-")</f>
        <v>-</v>
      </c>
      <c r="N2529" s="510" t="str">
        <f>IFERROR(INDEX([1]Produtos!$E:$E,MATCH(L2529,[1]Produtos!$B:$B,0)), "-")</f>
        <v>-</v>
      </c>
      <c r="O2529" s="270" t="str">
        <f>IFERROR(INDEX([1]Produtos!$F:$F,MATCH(L2529,[1]Produtos!$B:$B,0)), "-")</f>
        <v>-</v>
      </c>
      <c r="P2529" s="264" t="str">
        <f>IFERROR(INDEX([1]Produtos!$G:$G,MATCH(L2529,[1]Produtos!$B:$B,0)), "-")</f>
        <v>-</v>
      </c>
      <c r="Q2529" s="270" t="str">
        <f>IFERROR(INDEX([1]Produtos!$H:$H,MATCH(L2529,[1]Produtos!$B:$B,0)), "-")</f>
        <v>-</v>
      </c>
      <c r="R2529" s="270" t="str">
        <f>IFERROR(INDEX([1]Produtos!$I:$I,MATCH(L2529,[1]Produtos!$B:$B,0)), "-")</f>
        <v>-</v>
      </c>
      <c r="S2529" s="270" t="str">
        <f>IFERROR(INDEX([1]Produtos!$J:$J,MATCH(L2529,[1]Produtos!$B:$B,0)), "-")</f>
        <v>-</v>
      </c>
      <c r="T2529" s="475"/>
      <c r="U2529" s="270"/>
      <c r="V2529" s="270"/>
      <c r="W2529" s="270"/>
      <c r="X2529" s="270"/>
      <c r="Y2529" s="270"/>
      <c r="Z2529" s="270"/>
      <c r="AA2529" s="270"/>
      <c r="AB2529" s="270"/>
      <c r="AC2529" s="270"/>
      <c r="AD2529" s="270"/>
      <c r="AE2529" s="270"/>
      <c r="AF2529" s="270"/>
      <c r="AG2529" s="270"/>
      <c r="AH2529" s="270"/>
      <c r="AI2529" s="270"/>
      <c r="AJ2529" s="270"/>
      <c r="AK2529" s="270"/>
      <c r="AL2529" s="270"/>
      <c r="AM2529" s="663"/>
      <c r="AN2529" s="663"/>
      <c r="AO2529" s="708" t="str">
        <f>IF(OR(Table1[[#This Row],[Início Setup Envase]]="",Table1[[#This Row],[Final Setup Envase]]=""),"",Table1[[#This Row],[Final Setup Envase]]-Table1[[#This Row],[Início Setup Envase]])</f>
        <v/>
      </c>
      <c r="AP2529" s="663"/>
      <c r="AQ2529" s="663"/>
      <c r="AR2529" s="270"/>
      <c r="AS2529" s="674"/>
      <c r="AT2529" s="674"/>
      <c r="AU2529" s="270"/>
      <c r="AV2529" s="270"/>
      <c r="AW2529" s="270"/>
      <c r="AX2529" s="270"/>
      <c r="AY2529" s="270"/>
      <c r="AZ2529" s="270"/>
      <c r="BA2529" s="270" t="str">
        <f>IF(Table1[[#This Row],[Data de Início]]="","",YEAR(Table1[[#This Row],[Data de Início]]))</f>
        <v/>
      </c>
      <c r="BB2529" s="270" t="str">
        <f>IF(Table1[[#This Row],[Data de Início]]="","",MONTH(Table1[[#This Row],[Data de Início]]))</f>
        <v/>
      </c>
      <c r="BC2529" s="483"/>
    </row>
    <row r="2530" spans="2:55" x14ac:dyDescent="0.25">
      <c r="B2530" s="470"/>
      <c r="C2530" s="263"/>
      <c r="D2530" s="477" cm="1">
        <f t="array" ref="D2530">IFERROR(HorasUteisFabrica2Turnos(B2530,C2530), "")</f>
        <v>0</v>
      </c>
      <c r="E2530" s="478" t="str">
        <f t="shared" si="39"/>
        <v/>
      </c>
      <c r="F2530" s="266"/>
      <c r="G2530" s="656"/>
      <c r="H2530" s="479"/>
      <c r="I2530" s="268"/>
      <c r="J2530" s="268"/>
      <c r="K2530" s="268"/>
      <c r="L2530" s="269"/>
      <c r="M2530" s="511" t="str">
        <f>IFERROR(INDEX([1]Produtos!$C:$C,MATCH(L2530,[1]Produtos!$B:$B,0)), "-")</f>
        <v>-</v>
      </c>
      <c r="N2530" s="511" t="str">
        <f>IFERROR(INDEX([1]Produtos!$E:$E,MATCH(L2530,[1]Produtos!$B:$B,0)), "-")</f>
        <v>-</v>
      </c>
      <c r="O2530" s="483" t="str">
        <f>IFERROR(INDEX([1]Produtos!$F:$F,MATCH(L2530,[1]Produtos!$B:$B,0)), "-")</f>
        <v>-</v>
      </c>
      <c r="P2530" s="477" t="str">
        <f>IFERROR(INDEX([1]Produtos!$G:$G,MATCH(L2530,[1]Produtos!$B:$B,0)), "-")</f>
        <v>-</v>
      </c>
      <c r="Q2530" s="483" t="str">
        <f>IFERROR(INDEX([1]Produtos!$H:$H,MATCH(L2530,[1]Produtos!$B:$B,0)), "-")</f>
        <v>-</v>
      </c>
      <c r="R2530" s="483" t="str">
        <f>IFERROR(INDEX([1]Produtos!$I:$I,MATCH(L2530,[1]Produtos!$B:$B,0)), "-")</f>
        <v>-</v>
      </c>
      <c r="S2530" s="483" t="str">
        <f>IFERROR(INDEX([1]Produtos!$J:$J,MATCH(L2530,[1]Produtos!$B:$B,0)), "-")</f>
        <v>-</v>
      </c>
      <c r="T2530" s="484"/>
      <c r="U2530" s="483"/>
      <c r="V2530" s="483"/>
      <c r="W2530" s="483"/>
      <c r="X2530" s="483"/>
      <c r="Y2530" s="483"/>
      <c r="Z2530" s="483"/>
      <c r="AA2530" s="483"/>
      <c r="AB2530" s="483"/>
      <c r="AC2530" s="483"/>
      <c r="AD2530" s="483"/>
      <c r="AE2530" s="483"/>
      <c r="AF2530" s="483"/>
      <c r="AG2530" s="483"/>
      <c r="AH2530" s="483"/>
      <c r="AI2530" s="483"/>
      <c r="AJ2530" s="483"/>
      <c r="AK2530" s="483"/>
      <c r="AL2530" s="483"/>
      <c r="AM2530" s="670"/>
      <c r="AN2530" s="670"/>
      <c r="AO2530" s="711" t="str">
        <f>IF(OR(Table1[[#This Row],[Início Setup Envase]]="",Table1[[#This Row],[Final Setup Envase]]=""),"",Table1[[#This Row],[Final Setup Envase]]-Table1[[#This Row],[Início Setup Envase]])</f>
        <v/>
      </c>
      <c r="AP2530" s="670"/>
      <c r="AQ2530" s="670"/>
      <c r="AR2530" s="483"/>
      <c r="AS2530" s="483"/>
      <c r="AT2530" s="483"/>
      <c r="AU2530" s="483"/>
      <c r="AV2530" s="483"/>
      <c r="AW2530" s="483"/>
      <c r="AX2530" s="483"/>
      <c r="AY2530" s="270"/>
      <c r="AZ2530" s="270"/>
      <c r="BA2530" s="270" t="str">
        <f>IF(Table1[[#This Row],[Data de Início]]="","",YEAR(Table1[[#This Row],[Data de Início]]))</f>
        <v/>
      </c>
      <c r="BB2530" s="270" t="str">
        <f>IF(Table1[[#This Row],[Data de Início]]="","",MONTH(Table1[[#This Row],[Data de Início]]))</f>
        <v/>
      </c>
      <c r="BC2530" s="270"/>
    </row>
    <row r="2531" spans="2:55" x14ac:dyDescent="0.25">
      <c r="B2531" s="470"/>
      <c r="C2531" s="263"/>
      <c r="D2531" s="477" cm="1">
        <f t="array" ref="D2531">IFERROR(HorasUteisFabrica2Turnos(B2531,C2531), "")</f>
        <v>0</v>
      </c>
      <c r="E2531" s="697" t="str">
        <f t="shared" si="39"/>
        <v/>
      </c>
      <c r="F2531" s="266"/>
      <c r="G2531" s="698"/>
      <c r="H2531" s="266"/>
      <c r="I2531" s="268"/>
      <c r="J2531" s="268"/>
      <c r="K2531" s="268"/>
      <c r="L2531" s="269"/>
      <c r="M2531" s="510" t="str">
        <f>IFERROR(INDEX([1]Produtos!$C:$C,MATCH(L2531,[1]Produtos!$B:$B,0)), "-")</f>
        <v>-</v>
      </c>
      <c r="N2531" s="510" t="str">
        <f>IFERROR(INDEX([1]Produtos!$E:$E,MATCH(L2531,[1]Produtos!$B:$B,0)), "-")</f>
        <v>-</v>
      </c>
      <c r="O2531" s="270" t="str">
        <f>IFERROR(INDEX([1]Produtos!$F:$F,MATCH(L2531,[1]Produtos!$B:$B,0)), "-")</f>
        <v>-</v>
      </c>
      <c r="P2531" s="264" t="str">
        <f>IFERROR(INDEX([1]Produtos!$G:$G,MATCH(L2531,[1]Produtos!$B:$B,0)), "-")</f>
        <v>-</v>
      </c>
      <c r="Q2531" s="270" t="str">
        <f>IFERROR(INDEX([1]Produtos!$H:$H,MATCH(L2531,[1]Produtos!$B:$B,0)), "-")</f>
        <v>-</v>
      </c>
      <c r="R2531" s="270" t="str">
        <f>IFERROR(INDEX([1]Produtos!$I:$I,MATCH(L2531,[1]Produtos!$B:$B,0)), "-")</f>
        <v>-</v>
      </c>
      <c r="S2531" s="270" t="str">
        <f>IFERROR(INDEX([1]Produtos!$J:$J,MATCH(L2531,[1]Produtos!$B:$B,0)), "-")</f>
        <v>-</v>
      </c>
      <c r="T2531" s="475"/>
      <c r="U2531" s="270"/>
      <c r="V2531" s="270"/>
      <c r="W2531" s="270"/>
      <c r="X2531" s="270"/>
      <c r="Y2531" s="270"/>
      <c r="Z2531" s="270"/>
      <c r="AA2531" s="270"/>
      <c r="AB2531" s="270"/>
      <c r="AC2531" s="270"/>
      <c r="AD2531" s="270"/>
      <c r="AE2531" s="270"/>
      <c r="AF2531" s="270"/>
      <c r="AG2531" s="270"/>
      <c r="AH2531" s="270"/>
      <c r="AI2531" s="270"/>
      <c r="AJ2531" s="270"/>
      <c r="AK2531" s="270"/>
      <c r="AL2531" s="270"/>
      <c r="AM2531" s="663"/>
      <c r="AN2531" s="663"/>
      <c r="AO2531" s="708" t="str">
        <f>IF(OR(Table1[[#This Row],[Início Setup Envase]]="",Table1[[#This Row],[Final Setup Envase]]=""),"",Table1[[#This Row],[Final Setup Envase]]-Table1[[#This Row],[Início Setup Envase]])</f>
        <v/>
      </c>
      <c r="AP2531" s="663"/>
      <c r="AQ2531" s="663"/>
      <c r="AR2531" s="270"/>
      <c r="AS2531" s="674"/>
      <c r="AT2531" s="674"/>
      <c r="AU2531" s="270"/>
      <c r="AV2531" s="270"/>
      <c r="AW2531" s="270"/>
      <c r="AX2531" s="270"/>
      <c r="AY2531" s="270"/>
      <c r="AZ2531" s="270"/>
      <c r="BA2531" s="270" t="str">
        <f>IF(Table1[[#This Row],[Data de Início]]="","",YEAR(Table1[[#This Row],[Data de Início]]))</f>
        <v/>
      </c>
      <c r="BB2531" s="270" t="str">
        <f>IF(Table1[[#This Row],[Data de Início]]="","",MONTH(Table1[[#This Row],[Data de Início]]))</f>
        <v/>
      </c>
      <c r="BC2531" s="483"/>
    </row>
    <row r="2532" spans="2:55" x14ac:dyDescent="0.25">
      <c r="B2532" s="470"/>
      <c r="C2532" s="263"/>
      <c r="D2532" s="477" cm="1">
        <f t="array" ref="D2532">IFERROR(HorasUteisFabrica2Turnos(B2532,C2532), "")</f>
        <v>0</v>
      </c>
      <c r="E2532" s="478" t="str">
        <f t="shared" si="39"/>
        <v/>
      </c>
      <c r="F2532" s="266"/>
      <c r="G2532" s="656"/>
      <c r="H2532" s="479"/>
      <c r="I2532" s="268"/>
      <c r="J2532" s="268"/>
      <c r="K2532" s="268"/>
      <c r="L2532" s="269"/>
      <c r="M2532" s="511" t="str">
        <f>IFERROR(INDEX([1]Produtos!$C:$C,MATCH(L2532,[1]Produtos!$B:$B,0)), "-")</f>
        <v>-</v>
      </c>
      <c r="N2532" s="511" t="str">
        <f>IFERROR(INDEX([1]Produtos!$E:$E,MATCH(L2532,[1]Produtos!$B:$B,0)), "-")</f>
        <v>-</v>
      </c>
      <c r="O2532" s="483" t="str">
        <f>IFERROR(INDEX([1]Produtos!$F:$F,MATCH(L2532,[1]Produtos!$B:$B,0)), "-")</f>
        <v>-</v>
      </c>
      <c r="P2532" s="477" t="str">
        <f>IFERROR(INDEX([1]Produtos!$G:$G,MATCH(L2532,[1]Produtos!$B:$B,0)), "-")</f>
        <v>-</v>
      </c>
      <c r="Q2532" s="483" t="str">
        <f>IFERROR(INDEX([1]Produtos!$H:$H,MATCH(L2532,[1]Produtos!$B:$B,0)), "-")</f>
        <v>-</v>
      </c>
      <c r="R2532" s="483" t="str">
        <f>IFERROR(INDEX([1]Produtos!$I:$I,MATCH(L2532,[1]Produtos!$B:$B,0)), "-")</f>
        <v>-</v>
      </c>
      <c r="S2532" s="483" t="str">
        <f>IFERROR(INDEX([1]Produtos!$J:$J,MATCH(L2532,[1]Produtos!$B:$B,0)), "-")</f>
        <v>-</v>
      </c>
      <c r="T2532" s="484"/>
      <c r="U2532" s="483"/>
      <c r="V2532" s="483"/>
      <c r="W2532" s="483"/>
      <c r="X2532" s="483"/>
      <c r="Y2532" s="483"/>
      <c r="Z2532" s="483"/>
      <c r="AA2532" s="483"/>
      <c r="AB2532" s="483"/>
      <c r="AC2532" s="483"/>
      <c r="AD2532" s="483"/>
      <c r="AE2532" s="483"/>
      <c r="AF2532" s="483"/>
      <c r="AG2532" s="483"/>
      <c r="AH2532" s="483"/>
      <c r="AI2532" s="483"/>
      <c r="AJ2532" s="483"/>
      <c r="AK2532" s="483"/>
      <c r="AL2532" s="483"/>
      <c r="AM2532" s="670"/>
      <c r="AN2532" s="670"/>
      <c r="AO2532" s="711" t="str">
        <f>IF(OR(Table1[[#This Row],[Início Setup Envase]]="",Table1[[#This Row],[Final Setup Envase]]=""),"",Table1[[#This Row],[Final Setup Envase]]-Table1[[#This Row],[Início Setup Envase]])</f>
        <v/>
      </c>
      <c r="AP2532" s="670"/>
      <c r="AQ2532" s="670"/>
      <c r="AR2532" s="483"/>
      <c r="AS2532" s="483"/>
      <c r="AT2532" s="483"/>
      <c r="AU2532" s="483"/>
      <c r="AV2532" s="483"/>
      <c r="AW2532" s="483"/>
      <c r="AX2532" s="483"/>
      <c r="AY2532" s="270"/>
      <c r="AZ2532" s="270"/>
      <c r="BA2532" s="270" t="str">
        <f>IF(Table1[[#This Row],[Data de Início]]="","",YEAR(Table1[[#This Row],[Data de Início]]))</f>
        <v/>
      </c>
      <c r="BB2532" s="270" t="str">
        <f>IF(Table1[[#This Row],[Data de Início]]="","",MONTH(Table1[[#This Row],[Data de Início]]))</f>
        <v/>
      </c>
      <c r="BC2532" s="270"/>
    </row>
    <row r="2533" spans="2:55" x14ac:dyDescent="0.25">
      <c r="B2533" s="470"/>
      <c r="C2533" s="263"/>
      <c r="D2533" s="477" cm="1">
        <f t="array" ref="D2533">IFERROR(HorasUteisFabrica2Turnos(B2533,C2533), "")</f>
        <v>0</v>
      </c>
      <c r="E2533" s="697" t="str">
        <f t="shared" ref="E2533:E2596" si="40">IFERROR(K2533/D2533, "")</f>
        <v/>
      </c>
      <c r="F2533" s="266"/>
      <c r="G2533" s="698"/>
      <c r="H2533" s="266"/>
      <c r="I2533" s="268"/>
      <c r="J2533" s="268"/>
      <c r="K2533" s="268"/>
      <c r="L2533" s="269"/>
      <c r="M2533" s="510" t="str">
        <f>IFERROR(INDEX([1]Produtos!$C:$C,MATCH(L2533,[1]Produtos!$B:$B,0)), "-")</f>
        <v>-</v>
      </c>
      <c r="N2533" s="510" t="str">
        <f>IFERROR(INDEX([1]Produtos!$E:$E,MATCH(L2533,[1]Produtos!$B:$B,0)), "-")</f>
        <v>-</v>
      </c>
      <c r="O2533" s="270" t="str">
        <f>IFERROR(INDEX([1]Produtos!$F:$F,MATCH(L2533,[1]Produtos!$B:$B,0)), "-")</f>
        <v>-</v>
      </c>
      <c r="P2533" s="264" t="str">
        <f>IFERROR(INDEX([1]Produtos!$G:$G,MATCH(L2533,[1]Produtos!$B:$B,0)), "-")</f>
        <v>-</v>
      </c>
      <c r="Q2533" s="270" t="str">
        <f>IFERROR(INDEX([1]Produtos!$H:$H,MATCH(L2533,[1]Produtos!$B:$B,0)), "-")</f>
        <v>-</v>
      </c>
      <c r="R2533" s="270" t="str">
        <f>IFERROR(INDEX([1]Produtos!$I:$I,MATCH(L2533,[1]Produtos!$B:$B,0)), "-")</f>
        <v>-</v>
      </c>
      <c r="S2533" s="270" t="str">
        <f>IFERROR(INDEX([1]Produtos!$J:$J,MATCH(L2533,[1]Produtos!$B:$B,0)), "-")</f>
        <v>-</v>
      </c>
      <c r="T2533" s="475"/>
      <c r="U2533" s="270"/>
      <c r="V2533" s="270"/>
      <c r="W2533" s="270"/>
      <c r="X2533" s="270"/>
      <c r="Y2533" s="270"/>
      <c r="Z2533" s="270"/>
      <c r="AA2533" s="270"/>
      <c r="AB2533" s="270"/>
      <c r="AC2533" s="270"/>
      <c r="AD2533" s="270"/>
      <c r="AE2533" s="270"/>
      <c r="AF2533" s="270"/>
      <c r="AG2533" s="270"/>
      <c r="AH2533" s="270"/>
      <c r="AI2533" s="270"/>
      <c r="AJ2533" s="270"/>
      <c r="AK2533" s="270"/>
      <c r="AL2533" s="270"/>
      <c r="AM2533" s="663"/>
      <c r="AN2533" s="663"/>
      <c r="AO2533" s="708" t="str">
        <f>IF(OR(Table1[[#This Row],[Início Setup Envase]]="",Table1[[#This Row],[Final Setup Envase]]=""),"",Table1[[#This Row],[Final Setup Envase]]-Table1[[#This Row],[Início Setup Envase]])</f>
        <v/>
      </c>
      <c r="AP2533" s="663"/>
      <c r="AQ2533" s="663"/>
      <c r="AR2533" s="270"/>
      <c r="AS2533" s="674"/>
      <c r="AT2533" s="674"/>
      <c r="AU2533" s="270"/>
      <c r="AV2533" s="270"/>
      <c r="AW2533" s="270"/>
      <c r="AX2533" s="270"/>
      <c r="AY2533" s="270"/>
      <c r="AZ2533" s="270"/>
      <c r="BA2533" s="270" t="str">
        <f>IF(Table1[[#This Row],[Data de Início]]="","",YEAR(Table1[[#This Row],[Data de Início]]))</f>
        <v/>
      </c>
      <c r="BB2533" s="270" t="str">
        <f>IF(Table1[[#This Row],[Data de Início]]="","",MONTH(Table1[[#This Row],[Data de Início]]))</f>
        <v/>
      </c>
      <c r="BC2533" s="483"/>
    </row>
    <row r="2534" spans="2:55" x14ac:dyDescent="0.25">
      <c r="B2534" s="470"/>
      <c r="C2534" s="263"/>
      <c r="D2534" s="477" cm="1">
        <f t="array" ref="D2534">IFERROR(HorasUteisFabrica2Turnos(B2534,C2534), "")</f>
        <v>0</v>
      </c>
      <c r="E2534" s="478" t="str">
        <f t="shared" si="40"/>
        <v/>
      </c>
      <c r="F2534" s="266"/>
      <c r="G2534" s="656"/>
      <c r="H2534" s="479"/>
      <c r="I2534" s="268"/>
      <c r="J2534" s="268"/>
      <c r="K2534" s="268"/>
      <c r="L2534" s="269"/>
      <c r="M2534" s="511" t="str">
        <f>IFERROR(INDEX([1]Produtos!$C:$C,MATCH(L2534,[1]Produtos!$B:$B,0)), "-")</f>
        <v>-</v>
      </c>
      <c r="N2534" s="511" t="str">
        <f>IFERROR(INDEX([1]Produtos!$E:$E,MATCH(L2534,[1]Produtos!$B:$B,0)), "-")</f>
        <v>-</v>
      </c>
      <c r="O2534" s="483" t="str">
        <f>IFERROR(INDEX([1]Produtos!$F:$F,MATCH(L2534,[1]Produtos!$B:$B,0)), "-")</f>
        <v>-</v>
      </c>
      <c r="P2534" s="477" t="str">
        <f>IFERROR(INDEX([1]Produtos!$G:$G,MATCH(L2534,[1]Produtos!$B:$B,0)), "-")</f>
        <v>-</v>
      </c>
      <c r="Q2534" s="483" t="str">
        <f>IFERROR(INDEX([1]Produtos!$H:$H,MATCH(L2534,[1]Produtos!$B:$B,0)), "-")</f>
        <v>-</v>
      </c>
      <c r="R2534" s="483" t="str">
        <f>IFERROR(INDEX([1]Produtos!$I:$I,MATCH(L2534,[1]Produtos!$B:$B,0)), "-")</f>
        <v>-</v>
      </c>
      <c r="S2534" s="483" t="str">
        <f>IFERROR(INDEX([1]Produtos!$J:$J,MATCH(L2534,[1]Produtos!$B:$B,0)), "-")</f>
        <v>-</v>
      </c>
      <c r="T2534" s="484"/>
      <c r="U2534" s="483"/>
      <c r="V2534" s="483"/>
      <c r="W2534" s="483"/>
      <c r="X2534" s="483"/>
      <c r="Y2534" s="483"/>
      <c r="Z2534" s="483"/>
      <c r="AA2534" s="483"/>
      <c r="AB2534" s="483"/>
      <c r="AC2534" s="483"/>
      <c r="AD2534" s="483"/>
      <c r="AE2534" s="483"/>
      <c r="AF2534" s="483"/>
      <c r="AG2534" s="483"/>
      <c r="AH2534" s="483"/>
      <c r="AI2534" s="483"/>
      <c r="AJ2534" s="483"/>
      <c r="AK2534" s="483"/>
      <c r="AL2534" s="483"/>
      <c r="AM2534" s="670"/>
      <c r="AN2534" s="670"/>
      <c r="AO2534" s="711" t="str">
        <f>IF(OR(Table1[[#This Row],[Início Setup Envase]]="",Table1[[#This Row],[Final Setup Envase]]=""),"",Table1[[#This Row],[Final Setup Envase]]-Table1[[#This Row],[Início Setup Envase]])</f>
        <v/>
      </c>
      <c r="AP2534" s="670"/>
      <c r="AQ2534" s="670"/>
      <c r="AR2534" s="483"/>
      <c r="AS2534" s="483"/>
      <c r="AT2534" s="483"/>
      <c r="AU2534" s="483"/>
      <c r="AV2534" s="483"/>
      <c r="AW2534" s="483"/>
      <c r="AX2534" s="483"/>
      <c r="AY2534" s="270"/>
      <c r="AZ2534" s="270"/>
      <c r="BA2534" s="270" t="str">
        <f>IF(Table1[[#This Row],[Data de Início]]="","",YEAR(Table1[[#This Row],[Data de Início]]))</f>
        <v/>
      </c>
      <c r="BB2534" s="270" t="str">
        <f>IF(Table1[[#This Row],[Data de Início]]="","",MONTH(Table1[[#This Row],[Data de Início]]))</f>
        <v/>
      </c>
      <c r="BC2534" s="270"/>
    </row>
    <row r="2535" spans="2:55" x14ac:dyDescent="0.25">
      <c r="B2535" s="470"/>
      <c r="C2535" s="263"/>
      <c r="D2535" s="477" cm="1">
        <f t="array" ref="D2535">IFERROR(HorasUteisFabrica2Turnos(B2535,C2535), "")</f>
        <v>0</v>
      </c>
      <c r="E2535" s="697" t="str">
        <f t="shared" si="40"/>
        <v/>
      </c>
      <c r="F2535" s="266"/>
      <c r="G2535" s="698"/>
      <c r="H2535" s="266"/>
      <c r="I2535" s="268"/>
      <c r="J2535" s="268"/>
      <c r="K2535" s="268"/>
      <c r="L2535" s="269"/>
      <c r="M2535" s="510" t="str">
        <f>IFERROR(INDEX([1]Produtos!$C:$C,MATCH(L2535,[1]Produtos!$B:$B,0)), "-")</f>
        <v>-</v>
      </c>
      <c r="N2535" s="510" t="str">
        <f>IFERROR(INDEX([1]Produtos!$E:$E,MATCH(L2535,[1]Produtos!$B:$B,0)), "-")</f>
        <v>-</v>
      </c>
      <c r="O2535" s="270" t="str">
        <f>IFERROR(INDEX([1]Produtos!$F:$F,MATCH(L2535,[1]Produtos!$B:$B,0)), "-")</f>
        <v>-</v>
      </c>
      <c r="P2535" s="264" t="str">
        <f>IFERROR(INDEX([1]Produtos!$G:$G,MATCH(L2535,[1]Produtos!$B:$B,0)), "-")</f>
        <v>-</v>
      </c>
      <c r="Q2535" s="270" t="str">
        <f>IFERROR(INDEX([1]Produtos!$H:$H,MATCH(L2535,[1]Produtos!$B:$B,0)), "-")</f>
        <v>-</v>
      </c>
      <c r="R2535" s="270" t="str">
        <f>IFERROR(INDEX([1]Produtos!$I:$I,MATCH(L2535,[1]Produtos!$B:$B,0)), "-")</f>
        <v>-</v>
      </c>
      <c r="S2535" s="270" t="str">
        <f>IFERROR(INDEX([1]Produtos!$J:$J,MATCH(L2535,[1]Produtos!$B:$B,0)), "-")</f>
        <v>-</v>
      </c>
      <c r="T2535" s="475"/>
      <c r="U2535" s="270"/>
      <c r="V2535" s="270"/>
      <c r="W2535" s="270"/>
      <c r="X2535" s="270"/>
      <c r="Y2535" s="270"/>
      <c r="Z2535" s="270"/>
      <c r="AA2535" s="270"/>
      <c r="AB2535" s="270"/>
      <c r="AC2535" s="270"/>
      <c r="AD2535" s="270"/>
      <c r="AE2535" s="270"/>
      <c r="AF2535" s="270"/>
      <c r="AG2535" s="270"/>
      <c r="AH2535" s="270"/>
      <c r="AI2535" s="270"/>
      <c r="AJ2535" s="270"/>
      <c r="AK2535" s="270"/>
      <c r="AL2535" s="270"/>
      <c r="AM2535" s="663"/>
      <c r="AN2535" s="663"/>
      <c r="AO2535" s="708" t="str">
        <f>IF(OR(Table1[[#This Row],[Início Setup Envase]]="",Table1[[#This Row],[Final Setup Envase]]=""),"",Table1[[#This Row],[Final Setup Envase]]-Table1[[#This Row],[Início Setup Envase]])</f>
        <v/>
      </c>
      <c r="AP2535" s="663"/>
      <c r="AQ2535" s="663"/>
      <c r="AR2535" s="270"/>
      <c r="AS2535" s="674"/>
      <c r="AT2535" s="674"/>
      <c r="AU2535" s="270"/>
      <c r="AV2535" s="270"/>
      <c r="AW2535" s="270"/>
      <c r="AX2535" s="270"/>
      <c r="AY2535" s="270"/>
      <c r="AZ2535" s="270"/>
      <c r="BA2535" s="270" t="str">
        <f>IF(Table1[[#This Row],[Data de Início]]="","",YEAR(Table1[[#This Row],[Data de Início]]))</f>
        <v/>
      </c>
      <c r="BB2535" s="270" t="str">
        <f>IF(Table1[[#This Row],[Data de Início]]="","",MONTH(Table1[[#This Row],[Data de Início]]))</f>
        <v/>
      </c>
      <c r="BC2535" s="483"/>
    </row>
    <row r="2536" spans="2:55" x14ac:dyDescent="0.25">
      <c r="B2536" s="470"/>
      <c r="C2536" s="263"/>
      <c r="D2536" s="477" cm="1">
        <f t="array" ref="D2536">IFERROR(HorasUteisFabrica2Turnos(B2536,C2536), "")</f>
        <v>0</v>
      </c>
      <c r="E2536" s="478" t="str">
        <f t="shared" si="40"/>
        <v/>
      </c>
      <c r="F2536" s="266"/>
      <c r="G2536" s="656"/>
      <c r="H2536" s="479"/>
      <c r="I2536" s="268"/>
      <c r="J2536" s="268"/>
      <c r="K2536" s="268"/>
      <c r="L2536" s="269"/>
      <c r="M2536" s="511" t="str">
        <f>IFERROR(INDEX([1]Produtos!$C:$C,MATCH(L2536,[1]Produtos!$B:$B,0)), "-")</f>
        <v>-</v>
      </c>
      <c r="N2536" s="511" t="str">
        <f>IFERROR(INDEX([1]Produtos!$E:$E,MATCH(L2536,[1]Produtos!$B:$B,0)), "-")</f>
        <v>-</v>
      </c>
      <c r="O2536" s="483" t="str">
        <f>IFERROR(INDEX([1]Produtos!$F:$F,MATCH(L2536,[1]Produtos!$B:$B,0)), "-")</f>
        <v>-</v>
      </c>
      <c r="P2536" s="477" t="str">
        <f>IFERROR(INDEX([1]Produtos!$G:$G,MATCH(L2536,[1]Produtos!$B:$B,0)), "-")</f>
        <v>-</v>
      </c>
      <c r="Q2536" s="483" t="str">
        <f>IFERROR(INDEX([1]Produtos!$H:$H,MATCH(L2536,[1]Produtos!$B:$B,0)), "-")</f>
        <v>-</v>
      </c>
      <c r="R2536" s="483" t="str">
        <f>IFERROR(INDEX([1]Produtos!$I:$I,MATCH(L2536,[1]Produtos!$B:$B,0)), "-")</f>
        <v>-</v>
      </c>
      <c r="S2536" s="483" t="str">
        <f>IFERROR(INDEX([1]Produtos!$J:$J,MATCH(L2536,[1]Produtos!$B:$B,0)), "-")</f>
        <v>-</v>
      </c>
      <c r="T2536" s="484"/>
      <c r="U2536" s="483"/>
      <c r="V2536" s="483"/>
      <c r="W2536" s="483"/>
      <c r="X2536" s="483"/>
      <c r="Y2536" s="483"/>
      <c r="Z2536" s="483"/>
      <c r="AA2536" s="483"/>
      <c r="AB2536" s="483"/>
      <c r="AC2536" s="483"/>
      <c r="AD2536" s="483"/>
      <c r="AE2536" s="483"/>
      <c r="AF2536" s="483"/>
      <c r="AG2536" s="483"/>
      <c r="AH2536" s="483"/>
      <c r="AI2536" s="483"/>
      <c r="AJ2536" s="483"/>
      <c r="AK2536" s="483"/>
      <c r="AL2536" s="483"/>
      <c r="AM2536" s="670"/>
      <c r="AN2536" s="670"/>
      <c r="AO2536" s="711" t="str">
        <f>IF(OR(Table1[[#This Row],[Início Setup Envase]]="",Table1[[#This Row],[Final Setup Envase]]=""),"",Table1[[#This Row],[Final Setup Envase]]-Table1[[#This Row],[Início Setup Envase]])</f>
        <v/>
      </c>
      <c r="AP2536" s="670"/>
      <c r="AQ2536" s="670"/>
      <c r="AR2536" s="483"/>
      <c r="AS2536" s="483"/>
      <c r="AT2536" s="483"/>
      <c r="AU2536" s="483"/>
      <c r="AV2536" s="483"/>
      <c r="AW2536" s="483"/>
      <c r="AX2536" s="483"/>
      <c r="AY2536" s="270"/>
      <c r="AZ2536" s="270"/>
      <c r="BA2536" s="270" t="str">
        <f>IF(Table1[[#This Row],[Data de Início]]="","",YEAR(Table1[[#This Row],[Data de Início]]))</f>
        <v/>
      </c>
      <c r="BB2536" s="270" t="str">
        <f>IF(Table1[[#This Row],[Data de Início]]="","",MONTH(Table1[[#This Row],[Data de Início]]))</f>
        <v/>
      </c>
      <c r="BC2536" s="270"/>
    </row>
    <row r="2537" spans="2:55" x14ac:dyDescent="0.25">
      <c r="B2537" s="470"/>
      <c r="C2537" s="263"/>
      <c r="D2537" s="477" cm="1">
        <f t="array" ref="D2537">IFERROR(HorasUteisFabrica2Turnos(B2537,C2537), "")</f>
        <v>0</v>
      </c>
      <c r="E2537" s="697" t="str">
        <f t="shared" si="40"/>
        <v/>
      </c>
      <c r="F2537" s="266"/>
      <c r="G2537" s="698"/>
      <c r="H2537" s="266"/>
      <c r="I2537" s="268"/>
      <c r="J2537" s="268"/>
      <c r="K2537" s="268"/>
      <c r="L2537" s="269"/>
      <c r="M2537" s="510" t="str">
        <f>IFERROR(INDEX([1]Produtos!$C:$C,MATCH(L2537,[1]Produtos!$B:$B,0)), "-")</f>
        <v>-</v>
      </c>
      <c r="N2537" s="510" t="str">
        <f>IFERROR(INDEX([1]Produtos!$E:$E,MATCH(L2537,[1]Produtos!$B:$B,0)), "-")</f>
        <v>-</v>
      </c>
      <c r="O2537" s="270" t="str">
        <f>IFERROR(INDEX([1]Produtos!$F:$F,MATCH(L2537,[1]Produtos!$B:$B,0)), "-")</f>
        <v>-</v>
      </c>
      <c r="P2537" s="264" t="str">
        <f>IFERROR(INDEX([1]Produtos!$G:$G,MATCH(L2537,[1]Produtos!$B:$B,0)), "-")</f>
        <v>-</v>
      </c>
      <c r="Q2537" s="270" t="str">
        <f>IFERROR(INDEX([1]Produtos!$H:$H,MATCH(L2537,[1]Produtos!$B:$B,0)), "-")</f>
        <v>-</v>
      </c>
      <c r="R2537" s="270" t="str">
        <f>IFERROR(INDEX([1]Produtos!$I:$I,MATCH(L2537,[1]Produtos!$B:$B,0)), "-")</f>
        <v>-</v>
      </c>
      <c r="S2537" s="270" t="str">
        <f>IFERROR(INDEX([1]Produtos!$J:$J,MATCH(L2537,[1]Produtos!$B:$B,0)), "-")</f>
        <v>-</v>
      </c>
      <c r="T2537" s="475"/>
      <c r="U2537" s="270"/>
      <c r="V2537" s="270"/>
      <c r="W2537" s="270"/>
      <c r="X2537" s="270"/>
      <c r="Y2537" s="270"/>
      <c r="Z2537" s="270"/>
      <c r="AA2537" s="270"/>
      <c r="AB2537" s="270"/>
      <c r="AC2537" s="270"/>
      <c r="AD2537" s="270"/>
      <c r="AE2537" s="270"/>
      <c r="AF2537" s="270"/>
      <c r="AG2537" s="270"/>
      <c r="AH2537" s="270"/>
      <c r="AI2537" s="270"/>
      <c r="AJ2537" s="270"/>
      <c r="AK2537" s="270"/>
      <c r="AL2537" s="270"/>
      <c r="AM2537" s="663"/>
      <c r="AN2537" s="663"/>
      <c r="AO2537" s="708" t="str">
        <f>IF(OR(Table1[[#This Row],[Início Setup Envase]]="",Table1[[#This Row],[Final Setup Envase]]=""),"",Table1[[#This Row],[Final Setup Envase]]-Table1[[#This Row],[Início Setup Envase]])</f>
        <v/>
      </c>
      <c r="AP2537" s="663"/>
      <c r="AQ2537" s="663"/>
      <c r="AR2537" s="270"/>
      <c r="AS2537" s="674"/>
      <c r="AT2537" s="674"/>
      <c r="AU2537" s="270"/>
      <c r="AV2537" s="270"/>
      <c r="AW2537" s="270"/>
      <c r="AX2537" s="270"/>
      <c r="AY2537" s="270"/>
      <c r="AZ2537" s="270"/>
      <c r="BA2537" s="270" t="str">
        <f>IF(Table1[[#This Row],[Data de Início]]="","",YEAR(Table1[[#This Row],[Data de Início]]))</f>
        <v/>
      </c>
      <c r="BB2537" s="270" t="str">
        <f>IF(Table1[[#This Row],[Data de Início]]="","",MONTH(Table1[[#This Row],[Data de Início]]))</f>
        <v/>
      </c>
      <c r="BC2537" s="483"/>
    </row>
    <row r="2538" spans="2:55" x14ac:dyDescent="0.25">
      <c r="B2538" s="470"/>
      <c r="C2538" s="263"/>
      <c r="D2538" s="477" cm="1">
        <f t="array" ref="D2538">IFERROR(HorasUteisFabrica2Turnos(B2538,C2538), "")</f>
        <v>0</v>
      </c>
      <c r="E2538" s="478" t="str">
        <f t="shared" si="40"/>
        <v/>
      </c>
      <c r="F2538" s="266"/>
      <c r="G2538" s="656"/>
      <c r="H2538" s="479"/>
      <c r="I2538" s="268"/>
      <c r="J2538" s="268"/>
      <c r="K2538" s="268"/>
      <c r="L2538" s="269"/>
      <c r="M2538" s="511" t="str">
        <f>IFERROR(INDEX([1]Produtos!$C:$C,MATCH(L2538,[1]Produtos!$B:$B,0)), "-")</f>
        <v>-</v>
      </c>
      <c r="N2538" s="511" t="str">
        <f>IFERROR(INDEX([1]Produtos!$E:$E,MATCH(L2538,[1]Produtos!$B:$B,0)), "-")</f>
        <v>-</v>
      </c>
      <c r="O2538" s="483" t="str">
        <f>IFERROR(INDEX([1]Produtos!$F:$F,MATCH(L2538,[1]Produtos!$B:$B,0)), "-")</f>
        <v>-</v>
      </c>
      <c r="P2538" s="477" t="str">
        <f>IFERROR(INDEX([1]Produtos!$G:$G,MATCH(L2538,[1]Produtos!$B:$B,0)), "-")</f>
        <v>-</v>
      </c>
      <c r="Q2538" s="483" t="str">
        <f>IFERROR(INDEX([1]Produtos!$H:$H,MATCH(L2538,[1]Produtos!$B:$B,0)), "-")</f>
        <v>-</v>
      </c>
      <c r="R2538" s="483" t="str">
        <f>IFERROR(INDEX([1]Produtos!$I:$I,MATCH(L2538,[1]Produtos!$B:$B,0)), "-")</f>
        <v>-</v>
      </c>
      <c r="S2538" s="483" t="str">
        <f>IFERROR(INDEX([1]Produtos!$J:$J,MATCH(L2538,[1]Produtos!$B:$B,0)), "-")</f>
        <v>-</v>
      </c>
      <c r="T2538" s="484"/>
      <c r="U2538" s="483"/>
      <c r="V2538" s="483"/>
      <c r="W2538" s="483"/>
      <c r="X2538" s="483"/>
      <c r="Y2538" s="483"/>
      <c r="Z2538" s="483"/>
      <c r="AA2538" s="483"/>
      <c r="AB2538" s="483"/>
      <c r="AC2538" s="483"/>
      <c r="AD2538" s="483"/>
      <c r="AE2538" s="483"/>
      <c r="AF2538" s="483"/>
      <c r="AG2538" s="483"/>
      <c r="AH2538" s="483"/>
      <c r="AI2538" s="483"/>
      <c r="AJ2538" s="483"/>
      <c r="AK2538" s="483"/>
      <c r="AL2538" s="483"/>
      <c r="AM2538" s="670"/>
      <c r="AN2538" s="670"/>
      <c r="AO2538" s="711" t="str">
        <f>IF(OR(Table1[[#This Row],[Início Setup Envase]]="",Table1[[#This Row],[Final Setup Envase]]=""),"",Table1[[#This Row],[Final Setup Envase]]-Table1[[#This Row],[Início Setup Envase]])</f>
        <v/>
      </c>
      <c r="AP2538" s="670"/>
      <c r="AQ2538" s="670"/>
      <c r="AR2538" s="483"/>
      <c r="AS2538" s="483"/>
      <c r="AT2538" s="483"/>
      <c r="AU2538" s="483"/>
      <c r="AV2538" s="483"/>
      <c r="AW2538" s="483"/>
      <c r="AX2538" s="483"/>
      <c r="AY2538" s="270"/>
      <c r="AZ2538" s="270"/>
      <c r="BA2538" s="270" t="str">
        <f>IF(Table1[[#This Row],[Data de Início]]="","",YEAR(Table1[[#This Row],[Data de Início]]))</f>
        <v/>
      </c>
      <c r="BB2538" s="270" t="str">
        <f>IF(Table1[[#This Row],[Data de Início]]="","",MONTH(Table1[[#This Row],[Data de Início]]))</f>
        <v/>
      </c>
      <c r="BC2538" s="270"/>
    </row>
    <row r="2539" spans="2:55" x14ac:dyDescent="0.25">
      <c r="B2539" s="470"/>
      <c r="C2539" s="263"/>
      <c r="D2539" s="477" cm="1">
        <f t="array" ref="D2539">IFERROR(HorasUteisFabrica2Turnos(B2539,C2539), "")</f>
        <v>0</v>
      </c>
      <c r="E2539" s="697" t="str">
        <f t="shared" si="40"/>
        <v/>
      </c>
      <c r="F2539" s="266"/>
      <c r="G2539" s="698"/>
      <c r="H2539" s="266"/>
      <c r="I2539" s="268"/>
      <c r="J2539" s="268"/>
      <c r="K2539" s="268"/>
      <c r="L2539" s="269"/>
      <c r="M2539" s="510" t="str">
        <f>IFERROR(INDEX([1]Produtos!$C:$C,MATCH(L2539,[1]Produtos!$B:$B,0)), "-")</f>
        <v>-</v>
      </c>
      <c r="N2539" s="510" t="str">
        <f>IFERROR(INDEX([1]Produtos!$E:$E,MATCH(L2539,[1]Produtos!$B:$B,0)), "-")</f>
        <v>-</v>
      </c>
      <c r="O2539" s="270" t="str">
        <f>IFERROR(INDEX([1]Produtos!$F:$F,MATCH(L2539,[1]Produtos!$B:$B,0)), "-")</f>
        <v>-</v>
      </c>
      <c r="P2539" s="264" t="str">
        <f>IFERROR(INDEX([1]Produtos!$G:$G,MATCH(L2539,[1]Produtos!$B:$B,0)), "-")</f>
        <v>-</v>
      </c>
      <c r="Q2539" s="270" t="str">
        <f>IFERROR(INDEX([1]Produtos!$H:$H,MATCH(L2539,[1]Produtos!$B:$B,0)), "-")</f>
        <v>-</v>
      </c>
      <c r="R2539" s="270" t="str">
        <f>IFERROR(INDEX([1]Produtos!$I:$I,MATCH(L2539,[1]Produtos!$B:$B,0)), "-")</f>
        <v>-</v>
      </c>
      <c r="S2539" s="270" t="str">
        <f>IFERROR(INDEX([1]Produtos!$J:$J,MATCH(L2539,[1]Produtos!$B:$B,0)), "-")</f>
        <v>-</v>
      </c>
      <c r="T2539" s="475"/>
      <c r="U2539" s="270"/>
      <c r="V2539" s="270"/>
      <c r="W2539" s="270"/>
      <c r="X2539" s="270"/>
      <c r="Y2539" s="270"/>
      <c r="Z2539" s="270"/>
      <c r="AA2539" s="270"/>
      <c r="AB2539" s="270"/>
      <c r="AC2539" s="270"/>
      <c r="AD2539" s="270"/>
      <c r="AE2539" s="270"/>
      <c r="AF2539" s="270"/>
      <c r="AG2539" s="270"/>
      <c r="AH2539" s="270"/>
      <c r="AI2539" s="270"/>
      <c r="AJ2539" s="270"/>
      <c r="AK2539" s="270"/>
      <c r="AL2539" s="270"/>
      <c r="AM2539" s="663"/>
      <c r="AN2539" s="663"/>
      <c r="AO2539" s="708" t="str">
        <f>IF(OR(Table1[[#This Row],[Início Setup Envase]]="",Table1[[#This Row],[Final Setup Envase]]=""),"",Table1[[#This Row],[Final Setup Envase]]-Table1[[#This Row],[Início Setup Envase]])</f>
        <v/>
      </c>
      <c r="AP2539" s="663"/>
      <c r="AQ2539" s="663"/>
      <c r="AR2539" s="270"/>
      <c r="AS2539" s="674"/>
      <c r="AT2539" s="674"/>
      <c r="AU2539" s="270"/>
      <c r="AV2539" s="270"/>
      <c r="AW2539" s="270"/>
      <c r="AX2539" s="270"/>
      <c r="AY2539" s="270"/>
      <c r="AZ2539" s="270"/>
      <c r="BA2539" s="270" t="str">
        <f>IF(Table1[[#This Row],[Data de Início]]="","",YEAR(Table1[[#This Row],[Data de Início]]))</f>
        <v/>
      </c>
      <c r="BB2539" s="270" t="str">
        <f>IF(Table1[[#This Row],[Data de Início]]="","",MONTH(Table1[[#This Row],[Data de Início]]))</f>
        <v/>
      </c>
      <c r="BC2539" s="483"/>
    </row>
    <row r="2540" spans="2:55" x14ac:dyDescent="0.25">
      <c r="B2540" s="470"/>
      <c r="C2540" s="263"/>
      <c r="D2540" s="477" cm="1">
        <f t="array" ref="D2540">IFERROR(HorasUteisFabrica2Turnos(B2540,C2540), "")</f>
        <v>0</v>
      </c>
      <c r="E2540" s="478" t="str">
        <f t="shared" si="40"/>
        <v/>
      </c>
      <c r="F2540" s="266"/>
      <c r="G2540" s="656"/>
      <c r="H2540" s="479"/>
      <c r="I2540" s="268"/>
      <c r="J2540" s="268"/>
      <c r="K2540" s="268"/>
      <c r="L2540" s="269"/>
      <c r="M2540" s="511" t="str">
        <f>IFERROR(INDEX([1]Produtos!$C:$C,MATCH(L2540,[1]Produtos!$B:$B,0)), "-")</f>
        <v>-</v>
      </c>
      <c r="N2540" s="511" t="str">
        <f>IFERROR(INDEX([1]Produtos!$E:$E,MATCH(L2540,[1]Produtos!$B:$B,0)), "-")</f>
        <v>-</v>
      </c>
      <c r="O2540" s="483" t="str">
        <f>IFERROR(INDEX([1]Produtos!$F:$F,MATCH(L2540,[1]Produtos!$B:$B,0)), "-")</f>
        <v>-</v>
      </c>
      <c r="P2540" s="477" t="str">
        <f>IFERROR(INDEX([1]Produtos!$G:$G,MATCH(L2540,[1]Produtos!$B:$B,0)), "-")</f>
        <v>-</v>
      </c>
      <c r="Q2540" s="483" t="str">
        <f>IFERROR(INDEX([1]Produtos!$H:$H,MATCH(L2540,[1]Produtos!$B:$B,0)), "-")</f>
        <v>-</v>
      </c>
      <c r="R2540" s="483" t="str">
        <f>IFERROR(INDEX([1]Produtos!$I:$I,MATCH(L2540,[1]Produtos!$B:$B,0)), "-")</f>
        <v>-</v>
      </c>
      <c r="S2540" s="483" t="str">
        <f>IFERROR(INDEX([1]Produtos!$J:$J,MATCH(L2540,[1]Produtos!$B:$B,0)), "-")</f>
        <v>-</v>
      </c>
      <c r="T2540" s="484"/>
      <c r="U2540" s="483"/>
      <c r="V2540" s="483"/>
      <c r="W2540" s="483"/>
      <c r="X2540" s="483"/>
      <c r="Y2540" s="483"/>
      <c r="Z2540" s="483"/>
      <c r="AA2540" s="483"/>
      <c r="AB2540" s="483"/>
      <c r="AC2540" s="483"/>
      <c r="AD2540" s="483"/>
      <c r="AE2540" s="483"/>
      <c r="AF2540" s="483"/>
      <c r="AG2540" s="483"/>
      <c r="AH2540" s="483"/>
      <c r="AI2540" s="483"/>
      <c r="AJ2540" s="483"/>
      <c r="AK2540" s="483"/>
      <c r="AL2540" s="483"/>
      <c r="AM2540" s="670"/>
      <c r="AN2540" s="670"/>
      <c r="AO2540" s="711" t="str">
        <f>IF(OR(Table1[[#This Row],[Início Setup Envase]]="",Table1[[#This Row],[Final Setup Envase]]=""),"",Table1[[#This Row],[Final Setup Envase]]-Table1[[#This Row],[Início Setup Envase]])</f>
        <v/>
      </c>
      <c r="AP2540" s="670"/>
      <c r="AQ2540" s="670"/>
      <c r="AR2540" s="483"/>
      <c r="AS2540" s="483"/>
      <c r="AT2540" s="483"/>
      <c r="AU2540" s="483"/>
      <c r="AV2540" s="483"/>
      <c r="AW2540" s="483"/>
      <c r="AX2540" s="483"/>
      <c r="AY2540" s="270"/>
      <c r="AZ2540" s="270"/>
      <c r="BA2540" s="270" t="str">
        <f>IF(Table1[[#This Row],[Data de Início]]="","",YEAR(Table1[[#This Row],[Data de Início]]))</f>
        <v/>
      </c>
      <c r="BB2540" s="270" t="str">
        <f>IF(Table1[[#This Row],[Data de Início]]="","",MONTH(Table1[[#This Row],[Data de Início]]))</f>
        <v/>
      </c>
      <c r="BC2540" s="270"/>
    </row>
    <row r="2541" spans="2:55" x14ac:dyDescent="0.25">
      <c r="B2541" s="470"/>
      <c r="C2541" s="263"/>
      <c r="D2541" s="477" cm="1">
        <f t="array" ref="D2541">IFERROR(HorasUteisFabrica2Turnos(B2541,C2541), "")</f>
        <v>0</v>
      </c>
      <c r="E2541" s="697" t="str">
        <f t="shared" si="40"/>
        <v/>
      </c>
      <c r="F2541" s="266"/>
      <c r="G2541" s="698"/>
      <c r="H2541" s="266"/>
      <c r="I2541" s="268"/>
      <c r="J2541" s="268"/>
      <c r="K2541" s="268"/>
      <c r="L2541" s="269"/>
      <c r="M2541" s="510" t="str">
        <f>IFERROR(INDEX([1]Produtos!$C:$C,MATCH(L2541,[1]Produtos!$B:$B,0)), "-")</f>
        <v>-</v>
      </c>
      <c r="N2541" s="510" t="str">
        <f>IFERROR(INDEX([1]Produtos!$E:$E,MATCH(L2541,[1]Produtos!$B:$B,0)), "-")</f>
        <v>-</v>
      </c>
      <c r="O2541" s="270" t="str">
        <f>IFERROR(INDEX([1]Produtos!$F:$F,MATCH(L2541,[1]Produtos!$B:$B,0)), "-")</f>
        <v>-</v>
      </c>
      <c r="P2541" s="264" t="str">
        <f>IFERROR(INDEX([1]Produtos!$G:$G,MATCH(L2541,[1]Produtos!$B:$B,0)), "-")</f>
        <v>-</v>
      </c>
      <c r="Q2541" s="270" t="str">
        <f>IFERROR(INDEX([1]Produtos!$H:$H,MATCH(L2541,[1]Produtos!$B:$B,0)), "-")</f>
        <v>-</v>
      </c>
      <c r="R2541" s="270" t="str">
        <f>IFERROR(INDEX([1]Produtos!$I:$I,MATCH(L2541,[1]Produtos!$B:$B,0)), "-")</f>
        <v>-</v>
      </c>
      <c r="S2541" s="270" t="str">
        <f>IFERROR(INDEX([1]Produtos!$J:$J,MATCH(L2541,[1]Produtos!$B:$B,0)), "-")</f>
        <v>-</v>
      </c>
      <c r="T2541" s="475"/>
      <c r="U2541" s="270"/>
      <c r="V2541" s="270"/>
      <c r="W2541" s="270"/>
      <c r="X2541" s="270"/>
      <c r="Y2541" s="270"/>
      <c r="Z2541" s="270"/>
      <c r="AA2541" s="270"/>
      <c r="AB2541" s="270"/>
      <c r="AC2541" s="270"/>
      <c r="AD2541" s="270"/>
      <c r="AE2541" s="270"/>
      <c r="AF2541" s="270"/>
      <c r="AG2541" s="270"/>
      <c r="AH2541" s="270"/>
      <c r="AI2541" s="270"/>
      <c r="AJ2541" s="270"/>
      <c r="AK2541" s="270"/>
      <c r="AL2541" s="270"/>
      <c r="AM2541" s="663"/>
      <c r="AN2541" s="663"/>
      <c r="AO2541" s="708" t="str">
        <f>IF(OR(Table1[[#This Row],[Início Setup Envase]]="",Table1[[#This Row],[Final Setup Envase]]=""),"",Table1[[#This Row],[Final Setup Envase]]-Table1[[#This Row],[Início Setup Envase]])</f>
        <v/>
      </c>
      <c r="AP2541" s="663"/>
      <c r="AQ2541" s="663"/>
      <c r="AR2541" s="270"/>
      <c r="AS2541" s="674"/>
      <c r="AT2541" s="674"/>
      <c r="AU2541" s="270"/>
      <c r="AV2541" s="270"/>
      <c r="AW2541" s="270"/>
      <c r="AX2541" s="270"/>
      <c r="AY2541" s="270"/>
      <c r="AZ2541" s="270"/>
      <c r="BA2541" s="270" t="str">
        <f>IF(Table1[[#This Row],[Data de Início]]="","",YEAR(Table1[[#This Row],[Data de Início]]))</f>
        <v/>
      </c>
      <c r="BB2541" s="270" t="str">
        <f>IF(Table1[[#This Row],[Data de Início]]="","",MONTH(Table1[[#This Row],[Data de Início]]))</f>
        <v/>
      </c>
      <c r="BC2541" s="483"/>
    </row>
    <row r="2542" spans="2:55" x14ac:dyDescent="0.25">
      <c r="B2542" s="470"/>
      <c r="C2542" s="263"/>
      <c r="D2542" s="477" cm="1">
        <f t="array" ref="D2542">IFERROR(HorasUteisFabrica2Turnos(B2542,C2542), "")</f>
        <v>0</v>
      </c>
      <c r="E2542" s="478" t="str">
        <f t="shared" si="40"/>
        <v/>
      </c>
      <c r="F2542" s="266"/>
      <c r="G2542" s="656"/>
      <c r="H2542" s="479"/>
      <c r="I2542" s="268"/>
      <c r="J2542" s="268"/>
      <c r="K2542" s="268"/>
      <c r="L2542" s="269"/>
      <c r="M2542" s="511" t="str">
        <f>IFERROR(INDEX([1]Produtos!$C:$C,MATCH(L2542,[1]Produtos!$B:$B,0)), "-")</f>
        <v>-</v>
      </c>
      <c r="N2542" s="511" t="str">
        <f>IFERROR(INDEX([1]Produtos!$E:$E,MATCH(L2542,[1]Produtos!$B:$B,0)), "-")</f>
        <v>-</v>
      </c>
      <c r="O2542" s="483" t="str">
        <f>IFERROR(INDEX([1]Produtos!$F:$F,MATCH(L2542,[1]Produtos!$B:$B,0)), "-")</f>
        <v>-</v>
      </c>
      <c r="P2542" s="477" t="str">
        <f>IFERROR(INDEX([1]Produtos!$G:$G,MATCH(L2542,[1]Produtos!$B:$B,0)), "-")</f>
        <v>-</v>
      </c>
      <c r="Q2542" s="483" t="str">
        <f>IFERROR(INDEX([1]Produtos!$H:$H,MATCH(L2542,[1]Produtos!$B:$B,0)), "-")</f>
        <v>-</v>
      </c>
      <c r="R2542" s="483" t="str">
        <f>IFERROR(INDEX([1]Produtos!$I:$I,MATCH(L2542,[1]Produtos!$B:$B,0)), "-")</f>
        <v>-</v>
      </c>
      <c r="S2542" s="483" t="str">
        <f>IFERROR(INDEX([1]Produtos!$J:$J,MATCH(L2542,[1]Produtos!$B:$B,0)), "-")</f>
        <v>-</v>
      </c>
      <c r="T2542" s="484"/>
      <c r="U2542" s="483"/>
      <c r="V2542" s="483"/>
      <c r="W2542" s="483"/>
      <c r="X2542" s="483"/>
      <c r="Y2542" s="483"/>
      <c r="Z2542" s="483"/>
      <c r="AA2542" s="483"/>
      <c r="AB2542" s="483"/>
      <c r="AC2542" s="483"/>
      <c r="AD2542" s="483"/>
      <c r="AE2542" s="483"/>
      <c r="AF2542" s="483"/>
      <c r="AG2542" s="483"/>
      <c r="AH2542" s="483"/>
      <c r="AI2542" s="483"/>
      <c r="AJ2542" s="483"/>
      <c r="AK2542" s="483"/>
      <c r="AL2542" s="483"/>
      <c r="AM2542" s="670"/>
      <c r="AN2542" s="670"/>
      <c r="AO2542" s="711" t="str">
        <f>IF(OR(Table1[[#This Row],[Início Setup Envase]]="",Table1[[#This Row],[Final Setup Envase]]=""),"",Table1[[#This Row],[Final Setup Envase]]-Table1[[#This Row],[Início Setup Envase]])</f>
        <v/>
      </c>
      <c r="AP2542" s="670"/>
      <c r="AQ2542" s="670"/>
      <c r="AR2542" s="483"/>
      <c r="AS2542" s="483"/>
      <c r="AT2542" s="483"/>
      <c r="AU2542" s="483"/>
      <c r="AV2542" s="483"/>
      <c r="AW2542" s="483"/>
      <c r="AX2542" s="483"/>
      <c r="AY2542" s="270"/>
      <c r="AZ2542" s="270"/>
      <c r="BA2542" s="270" t="str">
        <f>IF(Table1[[#This Row],[Data de Início]]="","",YEAR(Table1[[#This Row],[Data de Início]]))</f>
        <v/>
      </c>
      <c r="BB2542" s="270" t="str">
        <f>IF(Table1[[#This Row],[Data de Início]]="","",MONTH(Table1[[#This Row],[Data de Início]]))</f>
        <v/>
      </c>
      <c r="BC2542" s="270"/>
    </row>
    <row r="2543" spans="2:55" x14ac:dyDescent="0.25">
      <c r="B2543" s="470"/>
      <c r="C2543" s="263"/>
      <c r="D2543" s="477" cm="1">
        <f t="array" ref="D2543">IFERROR(HorasUteisFabrica2Turnos(B2543,C2543), "")</f>
        <v>0</v>
      </c>
      <c r="E2543" s="697" t="str">
        <f t="shared" si="40"/>
        <v/>
      </c>
      <c r="F2543" s="266"/>
      <c r="G2543" s="698"/>
      <c r="H2543" s="266"/>
      <c r="I2543" s="268"/>
      <c r="J2543" s="268"/>
      <c r="K2543" s="268"/>
      <c r="L2543" s="269"/>
      <c r="M2543" s="510" t="str">
        <f>IFERROR(INDEX([1]Produtos!$C:$C,MATCH(L2543,[1]Produtos!$B:$B,0)), "-")</f>
        <v>-</v>
      </c>
      <c r="N2543" s="510" t="str">
        <f>IFERROR(INDEX([1]Produtos!$E:$E,MATCH(L2543,[1]Produtos!$B:$B,0)), "-")</f>
        <v>-</v>
      </c>
      <c r="O2543" s="270" t="str">
        <f>IFERROR(INDEX([1]Produtos!$F:$F,MATCH(L2543,[1]Produtos!$B:$B,0)), "-")</f>
        <v>-</v>
      </c>
      <c r="P2543" s="264" t="str">
        <f>IFERROR(INDEX([1]Produtos!$G:$G,MATCH(L2543,[1]Produtos!$B:$B,0)), "-")</f>
        <v>-</v>
      </c>
      <c r="Q2543" s="270" t="str">
        <f>IFERROR(INDEX([1]Produtos!$H:$H,MATCH(L2543,[1]Produtos!$B:$B,0)), "-")</f>
        <v>-</v>
      </c>
      <c r="R2543" s="270" t="str">
        <f>IFERROR(INDEX([1]Produtos!$I:$I,MATCH(L2543,[1]Produtos!$B:$B,0)), "-")</f>
        <v>-</v>
      </c>
      <c r="S2543" s="270" t="str">
        <f>IFERROR(INDEX([1]Produtos!$J:$J,MATCH(L2543,[1]Produtos!$B:$B,0)), "-")</f>
        <v>-</v>
      </c>
      <c r="T2543" s="475"/>
      <c r="U2543" s="270"/>
      <c r="V2543" s="270"/>
      <c r="W2543" s="270"/>
      <c r="X2543" s="270"/>
      <c r="Y2543" s="270"/>
      <c r="Z2543" s="270"/>
      <c r="AA2543" s="270"/>
      <c r="AB2543" s="270"/>
      <c r="AC2543" s="270"/>
      <c r="AD2543" s="270"/>
      <c r="AE2543" s="270"/>
      <c r="AF2543" s="270"/>
      <c r="AG2543" s="270"/>
      <c r="AH2543" s="270"/>
      <c r="AI2543" s="270"/>
      <c r="AJ2543" s="270"/>
      <c r="AK2543" s="270"/>
      <c r="AL2543" s="270"/>
      <c r="AM2543" s="663"/>
      <c r="AN2543" s="663"/>
      <c r="AO2543" s="708" t="str">
        <f>IF(OR(Table1[[#This Row],[Início Setup Envase]]="",Table1[[#This Row],[Final Setup Envase]]=""),"",Table1[[#This Row],[Final Setup Envase]]-Table1[[#This Row],[Início Setup Envase]])</f>
        <v/>
      </c>
      <c r="AP2543" s="663"/>
      <c r="AQ2543" s="663"/>
      <c r="AR2543" s="270"/>
      <c r="AS2543" s="674"/>
      <c r="AT2543" s="674"/>
      <c r="AU2543" s="270"/>
      <c r="AV2543" s="270"/>
      <c r="AW2543" s="270"/>
      <c r="AX2543" s="270"/>
      <c r="AY2543" s="270"/>
      <c r="AZ2543" s="270"/>
      <c r="BA2543" s="270" t="str">
        <f>IF(Table1[[#This Row],[Data de Início]]="","",YEAR(Table1[[#This Row],[Data de Início]]))</f>
        <v/>
      </c>
      <c r="BB2543" s="270" t="str">
        <f>IF(Table1[[#This Row],[Data de Início]]="","",MONTH(Table1[[#This Row],[Data de Início]]))</f>
        <v/>
      </c>
      <c r="BC2543" s="483"/>
    </row>
    <row r="2544" spans="2:55" x14ac:dyDescent="0.25">
      <c r="B2544" s="470"/>
      <c r="C2544" s="263"/>
      <c r="D2544" s="477" cm="1">
        <f t="array" ref="D2544">IFERROR(HorasUteisFabrica2Turnos(B2544,C2544), "")</f>
        <v>0</v>
      </c>
      <c r="E2544" s="478" t="str">
        <f t="shared" si="40"/>
        <v/>
      </c>
      <c r="F2544" s="266"/>
      <c r="G2544" s="656"/>
      <c r="H2544" s="479"/>
      <c r="I2544" s="268"/>
      <c r="J2544" s="268"/>
      <c r="K2544" s="268"/>
      <c r="L2544" s="269"/>
      <c r="M2544" s="511" t="str">
        <f>IFERROR(INDEX([1]Produtos!$C:$C,MATCH(L2544,[1]Produtos!$B:$B,0)), "-")</f>
        <v>-</v>
      </c>
      <c r="N2544" s="511" t="str">
        <f>IFERROR(INDEX([1]Produtos!$E:$E,MATCH(L2544,[1]Produtos!$B:$B,0)), "-")</f>
        <v>-</v>
      </c>
      <c r="O2544" s="483" t="str">
        <f>IFERROR(INDEX([1]Produtos!$F:$F,MATCH(L2544,[1]Produtos!$B:$B,0)), "-")</f>
        <v>-</v>
      </c>
      <c r="P2544" s="477" t="str">
        <f>IFERROR(INDEX([1]Produtos!$G:$G,MATCH(L2544,[1]Produtos!$B:$B,0)), "-")</f>
        <v>-</v>
      </c>
      <c r="Q2544" s="483" t="str">
        <f>IFERROR(INDEX([1]Produtos!$H:$H,MATCH(L2544,[1]Produtos!$B:$B,0)), "-")</f>
        <v>-</v>
      </c>
      <c r="R2544" s="483" t="str">
        <f>IFERROR(INDEX([1]Produtos!$I:$I,MATCH(L2544,[1]Produtos!$B:$B,0)), "-")</f>
        <v>-</v>
      </c>
      <c r="S2544" s="483" t="str">
        <f>IFERROR(INDEX([1]Produtos!$J:$J,MATCH(L2544,[1]Produtos!$B:$B,0)), "-")</f>
        <v>-</v>
      </c>
      <c r="T2544" s="484"/>
      <c r="U2544" s="483"/>
      <c r="V2544" s="483"/>
      <c r="W2544" s="483"/>
      <c r="X2544" s="483"/>
      <c r="Y2544" s="483"/>
      <c r="Z2544" s="483"/>
      <c r="AA2544" s="483"/>
      <c r="AB2544" s="483"/>
      <c r="AC2544" s="483"/>
      <c r="AD2544" s="483"/>
      <c r="AE2544" s="483"/>
      <c r="AF2544" s="483"/>
      <c r="AG2544" s="483"/>
      <c r="AH2544" s="483"/>
      <c r="AI2544" s="483"/>
      <c r="AJ2544" s="483"/>
      <c r="AK2544" s="483"/>
      <c r="AL2544" s="483"/>
      <c r="AM2544" s="670"/>
      <c r="AN2544" s="670"/>
      <c r="AO2544" s="711" t="str">
        <f>IF(OR(Table1[[#This Row],[Início Setup Envase]]="",Table1[[#This Row],[Final Setup Envase]]=""),"",Table1[[#This Row],[Final Setup Envase]]-Table1[[#This Row],[Início Setup Envase]])</f>
        <v/>
      </c>
      <c r="AP2544" s="670"/>
      <c r="AQ2544" s="670"/>
      <c r="AR2544" s="483"/>
      <c r="AS2544" s="483"/>
      <c r="AT2544" s="483"/>
      <c r="AU2544" s="483"/>
      <c r="AV2544" s="483"/>
      <c r="AW2544" s="483"/>
      <c r="AX2544" s="483"/>
      <c r="AY2544" s="270"/>
      <c r="AZ2544" s="270"/>
      <c r="BA2544" s="270" t="str">
        <f>IF(Table1[[#This Row],[Data de Início]]="","",YEAR(Table1[[#This Row],[Data de Início]]))</f>
        <v/>
      </c>
      <c r="BB2544" s="270" t="str">
        <f>IF(Table1[[#This Row],[Data de Início]]="","",MONTH(Table1[[#This Row],[Data de Início]]))</f>
        <v/>
      </c>
      <c r="BC2544" s="270"/>
    </row>
    <row r="2545" spans="2:55" x14ac:dyDescent="0.25">
      <c r="B2545" s="470"/>
      <c r="C2545" s="263"/>
      <c r="D2545" s="477" cm="1">
        <f t="array" ref="D2545">IFERROR(HorasUteisFabrica2Turnos(B2545,C2545), "")</f>
        <v>0</v>
      </c>
      <c r="E2545" s="697" t="str">
        <f t="shared" si="40"/>
        <v/>
      </c>
      <c r="F2545" s="266"/>
      <c r="G2545" s="698"/>
      <c r="H2545" s="266"/>
      <c r="I2545" s="268"/>
      <c r="J2545" s="268"/>
      <c r="K2545" s="268"/>
      <c r="L2545" s="269"/>
      <c r="M2545" s="510" t="str">
        <f>IFERROR(INDEX([1]Produtos!$C:$C,MATCH(L2545,[1]Produtos!$B:$B,0)), "-")</f>
        <v>-</v>
      </c>
      <c r="N2545" s="510" t="str">
        <f>IFERROR(INDEX([1]Produtos!$E:$E,MATCH(L2545,[1]Produtos!$B:$B,0)), "-")</f>
        <v>-</v>
      </c>
      <c r="O2545" s="270" t="str">
        <f>IFERROR(INDEX([1]Produtos!$F:$F,MATCH(L2545,[1]Produtos!$B:$B,0)), "-")</f>
        <v>-</v>
      </c>
      <c r="P2545" s="264" t="str">
        <f>IFERROR(INDEX([1]Produtos!$G:$G,MATCH(L2545,[1]Produtos!$B:$B,0)), "-")</f>
        <v>-</v>
      </c>
      <c r="Q2545" s="270" t="str">
        <f>IFERROR(INDEX([1]Produtos!$H:$H,MATCH(L2545,[1]Produtos!$B:$B,0)), "-")</f>
        <v>-</v>
      </c>
      <c r="R2545" s="270" t="str">
        <f>IFERROR(INDEX([1]Produtos!$I:$I,MATCH(L2545,[1]Produtos!$B:$B,0)), "-")</f>
        <v>-</v>
      </c>
      <c r="S2545" s="270" t="str">
        <f>IFERROR(INDEX([1]Produtos!$J:$J,MATCH(L2545,[1]Produtos!$B:$B,0)), "-")</f>
        <v>-</v>
      </c>
      <c r="T2545" s="475"/>
      <c r="U2545" s="270"/>
      <c r="V2545" s="270"/>
      <c r="W2545" s="270"/>
      <c r="X2545" s="270"/>
      <c r="Y2545" s="270"/>
      <c r="Z2545" s="270"/>
      <c r="AA2545" s="270"/>
      <c r="AB2545" s="270"/>
      <c r="AC2545" s="270"/>
      <c r="AD2545" s="270"/>
      <c r="AE2545" s="270"/>
      <c r="AF2545" s="270"/>
      <c r="AG2545" s="270"/>
      <c r="AH2545" s="270"/>
      <c r="AI2545" s="270"/>
      <c r="AJ2545" s="270"/>
      <c r="AK2545" s="270"/>
      <c r="AL2545" s="270"/>
      <c r="AM2545" s="663"/>
      <c r="AN2545" s="663"/>
      <c r="AO2545" s="708" t="str">
        <f>IF(OR(Table1[[#This Row],[Início Setup Envase]]="",Table1[[#This Row],[Final Setup Envase]]=""),"",Table1[[#This Row],[Final Setup Envase]]-Table1[[#This Row],[Início Setup Envase]])</f>
        <v/>
      </c>
      <c r="AP2545" s="663"/>
      <c r="AQ2545" s="663"/>
      <c r="AR2545" s="270"/>
      <c r="AS2545" s="674"/>
      <c r="AT2545" s="674"/>
      <c r="AU2545" s="270"/>
      <c r="AV2545" s="270"/>
      <c r="AW2545" s="270"/>
      <c r="AX2545" s="270"/>
      <c r="AY2545" s="270"/>
      <c r="AZ2545" s="270"/>
      <c r="BA2545" s="270" t="str">
        <f>IF(Table1[[#This Row],[Data de Início]]="","",YEAR(Table1[[#This Row],[Data de Início]]))</f>
        <v/>
      </c>
      <c r="BB2545" s="270" t="str">
        <f>IF(Table1[[#This Row],[Data de Início]]="","",MONTH(Table1[[#This Row],[Data de Início]]))</f>
        <v/>
      </c>
      <c r="BC2545" s="483"/>
    </row>
    <row r="2546" spans="2:55" x14ac:dyDescent="0.25">
      <c r="B2546" s="470"/>
      <c r="C2546" s="263"/>
      <c r="D2546" s="477" cm="1">
        <f t="array" ref="D2546">IFERROR(HorasUteisFabrica2Turnos(B2546,C2546), "")</f>
        <v>0</v>
      </c>
      <c r="E2546" s="478" t="str">
        <f t="shared" si="40"/>
        <v/>
      </c>
      <c r="F2546" s="266"/>
      <c r="G2546" s="656"/>
      <c r="H2546" s="479"/>
      <c r="I2546" s="268"/>
      <c r="J2546" s="268"/>
      <c r="K2546" s="268"/>
      <c r="L2546" s="269"/>
      <c r="M2546" s="511" t="str">
        <f>IFERROR(INDEX([1]Produtos!$C:$C,MATCH(L2546,[1]Produtos!$B:$B,0)), "-")</f>
        <v>-</v>
      </c>
      <c r="N2546" s="511" t="str">
        <f>IFERROR(INDEX([1]Produtos!$E:$E,MATCH(L2546,[1]Produtos!$B:$B,0)), "-")</f>
        <v>-</v>
      </c>
      <c r="O2546" s="483" t="str">
        <f>IFERROR(INDEX([1]Produtos!$F:$F,MATCH(L2546,[1]Produtos!$B:$B,0)), "-")</f>
        <v>-</v>
      </c>
      <c r="P2546" s="477" t="str">
        <f>IFERROR(INDEX([1]Produtos!$G:$G,MATCH(L2546,[1]Produtos!$B:$B,0)), "-")</f>
        <v>-</v>
      </c>
      <c r="Q2546" s="483" t="str">
        <f>IFERROR(INDEX([1]Produtos!$H:$H,MATCH(L2546,[1]Produtos!$B:$B,0)), "-")</f>
        <v>-</v>
      </c>
      <c r="R2546" s="483" t="str">
        <f>IFERROR(INDEX([1]Produtos!$I:$I,MATCH(L2546,[1]Produtos!$B:$B,0)), "-")</f>
        <v>-</v>
      </c>
      <c r="S2546" s="483" t="str">
        <f>IFERROR(INDEX([1]Produtos!$J:$J,MATCH(L2546,[1]Produtos!$B:$B,0)), "-")</f>
        <v>-</v>
      </c>
      <c r="T2546" s="484"/>
      <c r="U2546" s="483"/>
      <c r="V2546" s="483"/>
      <c r="W2546" s="483"/>
      <c r="X2546" s="483"/>
      <c r="Y2546" s="483"/>
      <c r="Z2546" s="483"/>
      <c r="AA2546" s="483"/>
      <c r="AB2546" s="483"/>
      <c r="AC2546" s="483"/>
      <c r="AD2546" s="483"/>
      <c r="AE2546" s="483"/>
      <c r="AF2546" s="483"/>
      <c r="AG2546" s="483"/>
      <c r="AH2546" s="483"/>
      <c r="AI2546" s="483"/>
      <c r="AJ2546" s="483"/>
      <c r="AK2546" s="483"/>
      <c r="AL2546" s="483"/>
      <c r="AM2546" s="670"/>
      <c r="AN2546" s="670"/>
      <c r="AO2546" s="711" t="str">
        <f>IF(OR(Table1[[#This Row],[Início Setup Envase]]="",Table1[[#This Row],[Final Setup Envase]]=""),"",Table1[[#This Row],[Final Setup Envase]]-Table1[[#This Row],[Início Setup Envase]])</f>
        <v/>
      </c>
      <c r="AP2546" s="670"/>
      <c r="AQ2546" s="670"/>
      <c r="AR2546" s="483"/>
      <c r="AS2546" s="483"/>
      <c r="AT2546" s="483"/>
      <c r="AU2546" s="483"/>
      <c r="AV2546" s="483"/>
      <c r="AW2546" s="483"/>
      <c r="AX2546" s="483"/>
      <c r="AY2546" s="270"/>
      <c r="AZ2546" s="270"/>
      <c r="BA2546" s="270" t="str">
        <f>IF(Table1[[#This Row],[Data de Início]]="","",YEAR(Table1[[#This Row],[Data de Início]]))</f>
        <v/>
      </c>
      <c r="BB2546" s="270" t="str">
        <f>IF(Table1[[#This Row],[Data de Início]]="","",MONTH(Table1[[#This Row],[Data de Início]]))</f>
        <v/>
      </c>
      <c r="BC2546" s="270"/>
    </row>
    <row r="2547" spans="2:55" x14ac:dyDescent="0.25">
      <c r="B2547" s="470"/>
      <c r="C2547" s="263"/>
      <c r="D2547" s="477" cm="1">
        <f t="array" ref="D2547">IFERROR(HorasUteisFabrica2Turnos(B2547,C2547), "")</f>
        <v>0</v>
      </c>
      <c r="E2547" s="697" t="str">
        <f t="shared" si="40"/>
        <v/>
      </c>
      <c r="F2547" s="266"/>
      <c r="G2547" s="698"/>
      <c r="H2547" s="266"/>
      <c r="I2547" s="268"/>
      <c r="J2547" s="268"/>
      <c r="K2547" s="268"/>
      <c r="L2547" s="269"/>
      <c r="M2547" s="510" t="str">
        <f>IFERROR(INDEX([1]Produtos!$C:$C,MATCH(L2547,[1]Produtos!$B:$B,0)), "-")</f>
        <v>-</v>
      </c>
      <c r="N2547" s="510" t="str">
        <f>IFERROR(INDEX([1]Produtos!$E:$E,MATCH(L2547,[1]Produtos!$B:$B,0)), "-")</f>
        <v>-</v>
      </c>
      <c r="O2547" s="270" t="str">
        <f>IFERROR(INDEX([1]Produtos!$F:$F,MATCH(L2547,[1]Produtos!$B:$B,0)), "-")</f>
        <v>-</v>
      </c>
      <c r="P2547" s="264" t="str">
        <f>IFERROR(INDEX([1]Produtos!$G:$G,MATCH(L2547,[1]Produtos!$B:$B,0)), "-")</f>
        <v>-</v>
      </c>
      <c r="Q2547" s="270" t="str">
        <f>IFERROR(INDEX([1]Produtos!$H:$H,MATCH(L2547,[1]Produtos!$B:$B,0)), "-")</f>
        <v>-</v>
      </c>
      <c r="R2547" s="270" t="str">
        <f>IFERROR(INDEX([1]Produtos!$I:$I,MATCH(L2547,[1]Produtos!$B:$B,0)), "-")</f>
        <v>-</v>
      </c>
      <c r="S2547" s="270" t="str">
        <f>IFERROR(INDEX([1]Produtos!$J:$J,MATCH(L2547,[1]Produtos!$B:$B,0)), "-")</f>
        <v>-</v>
      </c>
      <c r="T2547" s="475"/>
      <c r="U2547" s="270"/>
      <c r="V2547" s="270"/>
      <c r="W2547" s="270"/>
      <c r="X2547" s="270"/>
      <c r="Y2547" s="270"/>
      <c r="Z2547" s="270"/>
      <c r="AA2547" s="270"/>
      <c r="AB2547" s="270"/>
      <c r="AC2547" s="270"/>
      <c r="AD2547" s="270"/>
      <c r="AE2547" s="270"/>
      <c r="AF2547" s="270"/>
      <c r="AG2547" s="270"/>
      <c r="AH2547" s="270"/>
      <c r="AI2547" s="270"/>
      <c r="AJ2547" s="270"/>
      <c r="AK2547" s="270"/>
      <c r="AL2547" s="270"/>
      <c r="AM2547" s="663"/>
      <c r="AN2547" s="663"/>
      <c r="AO2547" s="708" t="str">
        <f>IF(OR(Table1[[#This Row],[Início Setup Envase]]="",Table1[[#This Row],[Final Setup Envase]]=""),"",Table1[[#This Row],[Final Setup Envase]]-Table1[[#This Row],[Início Setup Envase]])</f>
        <v/>
      </c>
      <c r="AP2547" s="663"/>
      <c r="AQ2547" s="663"/>
      <c r="AR2547" s="270"/>
      <c r="AS2547" s="674"/>
      <c r="AT2547" s="674"/>
      <c r="AU2547" s="270"/>
      <c r="AV2547" s="270"/>
      <c r="AW2547" s="270"/>
      <c r="AX2547" s="270"/>
      <c r="AY2547" s="270"/>
      <c r="AZ2547" s="270"/>
      <c r="BA2547" s="270" t="str">
        <f>IF(Table1[[#This Row],[Data de Início]]="","",YEAR(Table1[[#This Row],[Data de Início]]))</f>
        <v/>
      </c>
      <c r="BB2547" s="270" t="str">
        <f>IF(Table1[[#This Row],[Data de Início]]="","",MONTH(Table1[[#This Row],[Data de Início]]))</f>
        <v/>
      </c>
      <c r="BC2547" s="483"/>
    </row>
    <row r="2548" spans="2:55" x14ac:dyDescent="0.25">
      <c r="B2548" s="470"/>
      <c r="C2548" s="263"/>
      <c r="D2548" s="477" cm="1">
        <f t="array" ref="D2548">IFERROR(HorasUteisFabrica2Turnos(B2548,C2548), "")</f>
        <v>0</v>
      </c>
      <c r="E2548" s="478" t="str">
        <f t="shared" si="40"/>
        <v/>
      </c>
      <c r="F2548" s="266"/>
      <c r="G2548" s="656"/>
      <c r="H2548" s="479"/>
      <c r="I2548" s="268"/>
      <c r="J2548" s="268"/>
      <c r="K2548" s="268"/>
      <c r="L2548" s="269"/>
      <c r="M2548" s="511" t="str">
        <f>IFERROR(INDEX([1]Produtos!$C:$C,MATCH(L2548,[1]Produtos!$B:$B,0)), "-")</f>
        <v>-</v>
      </c>
      <c r="N2548" s="511" t="str">
        <f>IFERROR(INDEX([1]Produtos!$E:$E,MATCH(L2548,[1]Produtos!$B:$B,0)), "-")</f>
        <v>-</v>
      </c>
      <c r="O2548" s="483" t="str">
        <f>IFERROR(INDEX([1]Produtos!$F:$F,MATCH(L2548,[1]Produtos!$B:$B,0)), "-")</f>
        <v>-</v>
      </c>
      <c r="P2548" s="477" t="str">
        <f>IFERROR(INDEX([1]Produtos!$G:$G,MATCH(L2548,[1]Produtos!$B:$B,0)), "-")</f>
        <v>-</v>
      </c>
      <c r="Q2548" s="483" t="str">
        <f>IFERROR(INDEX([1]Produtos!$H:$H,MATCH(L2548,[1]Produtos!$B:$B,0)), "-")</f>
        <v>-</v>
      </c>
      <c r="R2548" s="483" t="str">
        <f>IFERROR(INDEX([1]Produtos!$I:$I,MATCH(L2548,[1]Produtos!$B:$B,0)), "-")</f>
        <v>-</v>
      </c>
      <c r="S2548" s="483" t="str">
        <f>IFERROR(INDEX([1]Produtos!$J:$J,MATCH(L2548,[1]Produtos!$B:$B,0)), "-")</f>
        <v>-</v>
      </c>
      <c r="T2548" s="484"/>
      <c r="U2548" s="483"/>
      <c r="V2548" s="483"/>
      <c r="W2548" s="483"/>
      <c r="X2548" s="483"/>
      <c r="Y2548" s="483"/>
      <c r="Z2548" s="483"/>
      <c r="AA2548" s="483"/>
      <c r="AB2548" s="483"/>
      <c r="AC2548" s="483"/>
      <c r="AD2548" s="483"/>
      <c r="AE2548" s="483"/>
      <c r="AF2548" s="483"/>
      <c r="AG2548" s="483"/>
      <c r="AH2548" s="483"/>
      <c r="AI2548" s="483"/>
      <c r="AJ2548" s="483"/>
      <c r="AK2548" s="483"/>
      <c r="AL2548" s="483"/>
      <c r="AM2548" s="670"/>
      <c r="AN2548" s="670"/>
      <c r="AO2548" s="711" t="str">
        <f>IF(OR(Table1[[#This Row],[Início Setup Envase]]="",Table1[[#This Row],[Final Setup Envase]]=""),"",Table1[[#This Row],[Final Setup Envase]]-Table1[[#This Row],[Início Setup Envase]])</f>
        <v/>
      </c>
      <c r="AP2548" s="670"/>
      <c r="AQ2548" s="670"/>
      <c r="AR2548" s="483"/>
      <c r="AS2548" s="483"/>
      <c r="AT2548" s="483"/>
      <c r="AU2548" s="483"/>
      <c r="AV2548" s="483"/>
      <c r="AW2548" s="483"/>
      <c r="AX2548" s="483"/>
      <c r="AY2548" s="270"/>
      <c r="AZ2548" s="270"/>
      <c r="BA2548" s="270" t="str">
        <f>IF(Table1[[#This Row],[Data de Início]]="","",YEAR(Table1[[#This Row],[Data de Início]]))</f>
        <v/>
      </c>
      <c r="BB2548" s="270" t="str">
        <f>IF(Table1[[#This Row],[Data de Início]]="","",MONTH(Table1[[#This Row],[Data de Início]]))</f>
        <v/>
      </c>
      <c r="BC2548" s="270"/>
    </row>
    <row r="2549" spans="2:55" x14ac:dyDescent="0.25">
      <c r="B2549" s="470"/>
      <c r="C2549" s="263"/>
      <c r="D2549" s="477" cm="1">
        <f t="array" ref="D2549">IFERROR(HorasUteisFabrica2Turnos(B2549,C2549), "")</f>
        <v>0</v>
      </c>
      <c r="E2549" s="697" t="str">
        <f t="shared" si="40"/>
        <v/>
      </c>
      <c r="F2549" s="266"/>
      <c r="G2549" s="698"/>
      <c r="H2549" s="266"/>
      <c r="I2549" s="268"/>
      <c r="J2549" s="268"/>
      <c r="K2549" s="268"/>
      <c r="L2549" s="269"/>
      <c r="M2549" s="510" t="str">
        <f>IFERROR(INDEX([1]Produtos!$C:$C,MATCH(L2549,[1]Produtos!$B:$B,0)), "-")</f>
        <v>-</v>
      </c>
      <c r="N2549" s="510" t="str">
        <f>IFERROR(INDEX([1]Produtos!$E:$E,MATCH(L2549,[1]Produtos!$B:$B,0)), "-")</f>
        <v>-</v>
      </c>
      <c r="O2549" s="270" t="str">
        <f>IFERROR(INDEX([1]Produtos!$F:$F,MATCH(L2549,[1]Produtos!$B:$B,0)), "-")</f>
        <v>-</v>
      </c>
      <c r="P2549" s="264" t="str">
        <f>IFERROR(INDEX([1]Produtos!$G:$G,MATCH(L2549,[1]Produtos!$B:$B,0)), "-")</f>
        <v>-</v>
      </c>
      <c r="Q2549" s="270" t="str">
        <f>IFERROR(INDEX([1]Produtos!$H:$H,MATCH(L2549,[1]Produtos!$B:$B,0)), "-")</f>
        <v>-</v>
      </c>
      <c r="R2549" s="270" t="str">
        <f>IFERROR(INDEX([1]Produtos!$I:$I,MATCH(L2549,[1]Produtos!$B:$B,0)), "-")</f>
        <v>-</v>
      </c>
      <c r="S2549" s="270" t="str">
        <f>IFERROR(INDEX([1]Produtos!$J:$J,MATCH(L2549,[1]Produtos!$B:$B,0)), "-")</f>
        <v>-</v>
      </c>
      <c r="T2549" s="475"/>
      <c r="U2549" s="270"/>
      <c r="V2549" s="270"/>
      <c r="W2549" s="270"/>
      <c r="X2549" s="270"/>
      <c r="Y2549" s="270"/>
      <c r="Z2549" s="270"/>
      <c r="AA2549" s="270"/>
      <c r="AB2549" s="270"/>
      <c r="AC2549" s="270"/>
      <c r="AD2549" s="270"/>
      <c r="AE2549" s="270"/>
      <c r="AF2549" s="270"/>
      <c r="AG2549" s="270"/>
      <c r="AH2549" s="270"/>
      <c r="AI2549" s="270"/>
      <c r="AJ2549" s="270"/>
      <c r="AK2549" s="270"/>
      <c r="AL2549" s="270"/>
      <c r="AM2549" s="663"/>
      <c r="AN2549" s="663"/>
      <c r="AO2549" s="708" t="str">
        <f>IF(OR(Table1[[#This Row],[Início Setup Envase]]="",Table1[[#This Row],[Final Setup Envase]]=""),"",Table1[[#This Row],[Final Setup Envase]]-Table1[[#This Row],[Início Setup Envase]])</f>
        <v/>
      </c>
      <c r="AP2549" s="663"/>
      <c r="AQ2549" s="663"/>
      <c r="AR2549" s="270"/>
      <c r="AS2549" s="674"/>
      <c r="AT2549" s="674"/>
      <c r="AU2549" s="270"/>
      <c r="AV2549" s="270"/>
      <c r="AW2549" s="270"/>
      <c r="AX2549" s="270"/>
      <c r="AY2549" s="270"/>
      <c r="AZ2549" s="270"/>
      <c r="BA2549" s="270" t="str">
        <f>IF(Table1[[#This Row],[Data de Início]]="","",YEAR(Table1[[#This Row],[Data de Início]]))</f>
        <v/>
      </c>
      <c r="BB2549" s="270" t="str">
        <f>IF(Table1[[#This Row],[Data de Início]]="","",MONTH(Table1[[#This Row],[Data de Início]]))</f>
        <v/>
      </c>
      <c r="BC2549" s="483"/>
    </row>
    <row r="2550" spans="2:55" x14ac:dyDescent="0.25">
      <c r="B2550" s="470"/>
      <c r="C2550" s="263"/>
      <c r="D2550" s="477" cm="1">
        <f t="array" ref="D2550">IFERROR(HorasUteisFabrica2Turnos(B2550,C2550), "")</f>
        <v>0</v>
      </c>
      <c r="E2550" s="478" t="str">
        <f t="shared" si="40"/>
        <v/>
      </c>
      <c r="F2550" s="266"/>
      <c r="G2550" s="656"/>
      <c r="H2550" s="479"/>
      <c r="I2550" s="268"/>
      <c r="J2550" s="268"/>
      <c r="K2550" s="268"/>
      <c r="L2550" s="269"/>
      <c r="M2550" s="511" t="str">
        <f>IFERROR(INDEX([1]Produtos!$C:$C,MATCH(L2550,[1]Produtos!$B:$B,0)), "-")</f>
        <v>-</v>
      </c>
      <c r="N2550" s="511" t="str">
        <f>IFERROR(INDEX([1]Produtos!$E:$E,MATCH(L2550,[1]Produtos!$B:$B,0)), "-")</f>
        <v>-</v>
      </c>
      <c r="O2550" s="483" t="str">
        <f>IFERROR(INDEX([1]Produtos!$F:$F,MATCH(L2550,[1]Produtos!$B:$B,0)), "-")</f>
        <v>-</v>
      </c>
      <c r="P2550" s="477" t="str">
        <f>IFERROR(INDEX([1]Produtos!$G:$G,MATCH(L2550,[1]Produtos!$B:$B,0)), "-")</f>
        <v>-</v>
      </c>
      <c r="Q2550" s="483" t="str">
        <f>IFERROR(INDEX([1]Produtos!$H:$H,MATCH(L2550,[1]Produtos!$B:$B,0)), "-")</f>
        <v>-</v>
      </c>
      <c r="R2550" s="483" t="str">
        <f>IFERROR(INDEX([1]Produtos!$I:$I,MATCH(L2550,[1]Produtos!$B:$B,0)), "-")</f>
        <v>-</v>
      </c>
      <c r="S2550" s="483" t="str">
        <f>IFERROR(INDEX([1]Produtos!$J:$J,MATCH(L2550,[1]Produtos!$B:$B,0)), "-")</f>
        <v>-</v>
      </c>
      <c r="T2550" s="484"/>
      <c r="U2550" s="483"/>
      <c r="V2550" s="483"/>
      <c r="W2550" s="483"/>
      <c r="X2550" s="483"/>
      <c r="Y2550" s="483"/>
      <c r="Z2550" s="483"/>
      <c r="AA2550" s="483"/>
      <c r="AB2550" s="483"/>
      <c r="AC2550" s="483"/>
      <c r="AD2550" s="483"/>
      <c r="AE2550" s="483"/>
      <c r="AF2550" s="483"/>
      <c r="AG2550" s="483"/>
      <c r="AH2550" s="483"/>
      <c r="AI2550" s="483"/>
      <c r="AJ2550" s="483"/>
      <c r="AK2550" s="483"/>
      <c r="AL2550" s="483"/>
      <c r="AM2550" s="670"/>
      <c r="AN2550" s="670"/>
      <c r="AO2550" s="711" t="str">
        <f>IF(OR(Table1[[#This Row],[Início Setup Envase]]="",Table1[[#This Row],[Final Setup Envase]]=""),"",Table1[[#This Row],[Final Setup Envase]]-Table1[[#This Row],[Início Setup Envase]])</f>
        <v/>
      </c>
      <c r="AP2550" s="670"/>
      <c r="AQ2550" s="670"/>
      <c r="AR2550" s="483"/>
      <c r="AS2550" s="483"/>
      <c r="AT2550" s="483"/>
      <c r="AU2550" s="483"/>
      <c r="AV2550" s="483"/>
      <c r="AW2550" s="483"/>
      <c r="AX2550" s="483"/>
      <c r="AY2550" s="270"/>
      <c r="AZ2550" s="270"/>
      <c r="BA2550" s="270" t="str">
        <f>IF(Table1[[#This Row],[Data de Início]]="","",YEAR(Table1[[#This Row],[Data de Início]]))</f>
        <v/>
      </c>
      <c r="BB2550" s="270" t="str">
        <f>IF(Table1[[#This Row],[Data de Início]]="","",MONTH(Table1[[#This Row],[Data de Início]]))</f>
        <v/>
      </c>
      <c r="BC2550" s="270"/>
    </row>
    <row r="2551" spans="2:55" x14ac:dyDescent="0.25">
      <c r="B2551" s="470"/>
      <c r="C2551" s="263"/>
      <c r="D2551" s="477" cm="1">
        <f t="array" ref="D2551">IFERROR(HorasUteisFabrica2Turnos(B2551,C2551), "")</f>
        <v>0</v>
      </c>
      <c r="E2551" s="697" t="str">
        <f t="shared" si="40"/>
        <v/>
      </c>
      <c r="F2551" s="266"/>
      <c r="G2551" s="698"/>
      <c r="H2551" s="266"/>
      <c r="I2551" s="268"/>
      <c r="J2551" s="268"/>
      <c r="K2551" s="268"/>
      <c r="L2551" s="269"/>
      <c r="M2551" s="510" t="str">
        <f>IFERROR(INDEX([1]Produtos!$C:$C,MATCH(L2551,[1]Produtos!$B:$B,0)), "-")</f>
        <v>-</v>
      </c>
      <c r="N2551" s="510" t="str">
        <f>IFERROR(INDEX([1]Produtos!$E:$E,MATCH(L2551,[1]Produtos!$B:$B,0)), "-")</f>
        <v>-</v>
      </c>
      <c r="O2551" s="270" t="str">
        <f>IFERROR(INDEX([1]Produtos!$F:$F,MATCH(L2551,[1]Produtos!$B:$B,0)), "-")</f>
        <v>-</v>
      </c>
      <c r="P2551" s="264" t="str">
        <f>IFERROR(INDEX([1]Produtos!$G:$G,MATCH(L2551,[1]Produtos!$B:$B,0)), "-")</f>
        <v>-</v>
      </c>
      <c r="Q2551" s="270" t="str">
        <f>IFERROR(INDEX([1]Produtos!$H:$H,MATCH(L2551,[1]Produtos!$B:$B,0)), "-")</f>
        <v>-</v>
      </c>
      <c r="R2551" s="270" t="str">
        <f>IFERROR(INDEX([1]Produtos!$I:$I,MATCH(L2551,[1]Produtos!$B:$B,0)), "-")</f>
        <v>-</v>
      </c>
      <c r="S2551" s="270" t="str">
        <f>IFERROR(INDEX([1]Produtos!$J:$J,MATCH(L2551,[1]Produtos!$B:$B,0)), "-")</f>
        <v>-</v>
      </c>
      <c r="T2551" s="475"/>
      <c r="U2551" s="270"/>
      <c r="V2551" s="270"/>
      <c r="W2551" s="270"/>
      <c r="X2551" s="270"/>
      <c r="Y2551" s="270"/>
      <c r="Z2551" s="270"/>
      <c r="AA2551" s="270"/>
      <c r="AB2551" s="270"/>
      <c r="AC2551" s="270"/>
      <c r="AD2551" s="270"/>
      <c r="AE2551" s="270"/>
      <c r="AF2551" s="270"/>
      <c r="AG2551" s="270"/>
      <c r="AH2551" s="270"/>
      <c r="AI2551" s="270"/>
      <c r="AJ2551" s="270"/>
      <c r="AK2551" s="270"/>
      <c r="AL2551" s="270"/>
      <c r="AM2551" s="663"/>
      <c r="AN2551" s="663"/>
      <c r="AO2551" s="708" t="str">
        <f>IF(OR(Table1[[#This Row],[Início Setup Envase]]="",Table1[[#This Row],[Final Setup Envase]]=""),"",Table1[[#This Row],[Final Setup Envase]]-Table1[[#This Row],[Início Setup Envase]])</f>
        <v/>
      </c>
      <c r="AP2551" s="663"/>
      <c r="AQ2551" s="663"/>
      <c r="AR2551" s="270"/>
      <c r="AS2551" s="674"/>
      <c r="AT2551" s="674"/>
      <c r="AU2551" s="270"/>
      <c r="AV2551" s="270"/>
      <c r="AW2551" s="270"/>
      <c r="AX2551" s="270"/>
      <c r="AY2551" s="270"/>
      <c r="AZ2551" s="270"/>
      <c r="BA2551" s="270" t="str">
        <f>IF(Table1[[#This Row],[Data de Início]]="","",YEAR(Table1[[#This Row],[Data de Início]]))</f>
        <v/>
      </c>
      <c r="BB2551" s="270" t="str">
        <f>IF(Table1[[#This Row],[Data de Início]]="","",MONTH(Table1[[#This Row],[Data de Início]]))</f>
        <v/>
      </c>
      <c r="BC2551" s="483"/>
    </row>
    <row r="2552" spans="2:55" x14ac:dyDescent="0.25">
      <c r="B2552" s="470"/>
      <c r="C2552" s="263"/>
      <c r="D2552" s="477" cm="1">
        <f t="array" ref="D2552">IFERROR(HorasUteisFabrica2Turnos(B2552,C2552), "")</f>
        <v>0</v>
      </c>
      <c r="E2552" s="478" t="str">
        <f t="shared" si="40"/>
        <v/>
      </c>
      <c r="F2552" s="266"/>
      <c r="G2552" s="656"/>
      <c r="H2552" s="479"/>
      <c r="I2552" s="268"/>
      <c r="J2552" s="268"/>
      <c r="K2552" s="268"/>
      <c r="L2552" s="269"/>
      <c r="M2552" s="511" t="str">
        <f>IFERROR(INDEX([1]Produtos!$C:$C,MATCH(L2552,[1]Produtos!$B:$B,0)), "-")</f>
        <v>-</v>
      </c>
      <c r="N2552" s="511" t="str">
        <f>IFERROR(INDEX([1]Produtos!$E:$E,MATCH(L2552,[1]Produtos!$B:$B,0)), "-")</f>
        <v>-</v>
      </c>
      <c r="O2552" s="483" t="str">
        <f>IFERROR(INDEX([1]Produtos!$F:$F,MATCH(L2552,[1]Produtos!$B:$B,0)), "-")</f>
        <v>-</v>
      </c>
      <c r="P2552" s="477" t="str">
        <f>IFERROR(INDEX([1]Produtos!$G:$G,MATCH(L2552,[1]Produtos!$B:$B,0)), "-")</f>
        <v>-</v>
      </c>
      <c r="Q2552" s="483" t="str">
        <f>IFERROR(INDEX([1]Produtos!$H:$H,MATCH(L2552,[1]Produtos!$B:$B,0)), "-")</f>
        <v>-</v>
      </c>
      <c r="R2552" s="483" t="str">
        <f>IFERROR(INDEX([1]Produtos!$I:$I,MATCH(L2552,[1]Produtos!$B:$B,0)), "-")</f>
        <v>-</v>
      </c>
      <c r="S2552" s="483" t="str">
        <f>IFERROR(INDEX([1]Produtos!$J:$J,MATCH(L2552,[1]Produtos!$B:$B,0)), "-")</f>
        <v>-</v>
      </c>
      <c r="T2552" s="484"/>
      <c r="U2552" s="483"/>
      <c r="V2552" s="483"/>
      <c r="W2552" s="483"/>
      <c r="X2552" s="483"/>
      <c r="Y2552" s="483"/>
      <c r="Z2552" s="483"/>
      <c r="AA2552" s="483"/>
      <c r="AB2552" s="483"/>
      <c r="AC2552" s="483"/>
      <c r="AD2552" s="483"/>
      <c r="AE2552" s="483"/>
      <c r="AF2552" s="483"/>
      <c r="AG2552" s="483"/>
      <c r="AH2552" s="483"/>
      <c r="AI2552" s="483"/>
      <c r="AJ2552" s="483"/>
      <c r="AK2552" s="483"/>
      <c r="AL2552" s="483"/>
      <c r="AM2552" s="670"/>
      <c r="AN2552" s="670"/>
      <c r="AO2552" s="711" t="str">
        <f>IF(OR(Table1[[#This Row],[Início Setup Envase]]="",Table1[[#This Row],[Final Setup Envase]]=""),"",Table1[[#This Row],[Final Setup Envase]]-Table1[[#This Row],[Início Setup Envase]])</f>
        <v/>
      </c>
      <c r="AP2552" s="670"/>
      <c r="AQ2552" s="670"/>
      <c r="AR2552" s="483"/>
      <c r="AS2552" s="483"/>
      <c r="AT2552" s="483"/>
      <c r="AU2552" s="483"/>
      <c r="AV2552" s="483"/>
      <c r="AW2552" s="483"/>
      <c r="AX2552" s="483"/>
      <c r="AY2552" s="270"/>
      <c r="AZ2552" s="270"/>
      <c r="BA2552" s="270" t="str">
        <f>IF(Table1[[#This Row],[Data de Início]]="","",YEAR(Table1[[#This Row],[Data de Início]]))</f>
        <v/>
      </c>
      <c r="BB2552" s="270" t="str">
        <f>IF(Table1[[#This Row],[Data de Início]]="","",MONTH(Table1[[#This Row],[Data de Início]]))</f>
        <v/>
      </c>
      <c r="BC2552" s="270"/>
    </row>
    <row r="2553" spans="2:55" x14ac:dyDescent="0.25">
      <c r="B2553" s="470"/>
      <c r="C2553" s="263"/>
      <c r="D2553" s="477" cm="1">
        <f t="array" ref="D2553">IFERROR(HorasUteisFabrica2Turnos(B2553,C2553), "")</f>
        <v>0</v>
      </c>
      <c r="E2553" s="697" t="str">
        <f t="shared" si="40"/>
        <v/>
      </c>
      <c r="F2553" s="266"/>
      <c r="G2553" s="698"/>
      <c r="H2553" s="266"/>
      <c r="I2553" s="268"/>
      <c r="J2553" s="268"/>
      <c r="K2553" s="268"/>
      <c r="L2553" s="269"/>
      <c r="M2553" s="510" t="str">
        <f>IFERROR(INDEX([1]Produtos!$C:$C,MATCH(L2553,[1]Produtos!$B:$B,0)), "-")</f>
        <v>-</v>
      </c>
      <c r="N2553" s="510" t="str">
        <f>IFERROR(INDEX([1]Produtos!$E:$E,MATCH(L2553,[1]Produtos!$B:$B,0)), "-")</f>
        <v>-</v>
      </c>
      <c r="O2553" s="270" t="str">
        <f>IFERROR(INDEX([1]Produtos!$F:$F,MATCH(L2553,[1]Produtos!$B:$B,0)), "-")</f>
        <v>-</v>
      </c>
      <c r="P2553" s="264" t="str">
        <f>IFERROR(INDEX([1]Produtos!$G:$G,MATCH(L2553,[1]Produtos!$B:$B,0)), "-")</f>
        <v>-</v>
      </c>
      <c r="Q2553" s="270" t="str">
        <f>IFERROR(INDEX([1]Produtos!$H:$H,MATCH(L2553,[1]Produtos!$B:$B,0)), "-")</f>
        <v>-</v>
      </c>
      <c r="R2553" s="270" t="str">
        <f>IFERROR(INDEX([1]Produtos!$I:$I,MATCH(L2553,[1]Produtos!$B:$B,0)), "-")</f>
        <v>-</v>
      </c>
      <c r="S2553" s="270" t="str">
        <f>IFERROR(INDEX([1]Produtos!$J:$J,MATCH(L2553,[1]Produtos!$B:$B,0)), "-")</f>
        <v>-</v>
      </c>
      <c r="T2553" s="475"/>
      <c r="U2553" s="270"/>
      <c r="V2553" s="270"/>
      <c r="W2553" s="270"/>
      <c r="X2553" s="270"/>
      <c r="Y2553" s="270"/>
      <c r="Z2553" s="270"/>
      <c r="AA2553" s="270"/>
      <c r="AB2553" s="270"/>
      <c r="AC2553" s="270"/>
      <c r="AD2553" s="270"/>
      <c r="AE2553" s="270"/>
      <c r="AF2553" s="270"/>
      <c r="AG2553" s="270"/>
      <c r="AH2553" s="270"/>
      <c r="AI2553" s="270"/>
      <c r="AJ2553" s="270"/>
      <c r="AK2553" s="270"/>
      <c r="AL2553" s="270"/>
      <c r="AM2553" s="663"/>
      <c r="AN2553" s="663"/>
      <c r="AO2553" s="708" t="str">
        <f>IF(OR(Table1[[#This Row],[Início Setup Envase]]="",Table1[[#This Row],[Final Setup Envase]]=""),"",Table1[[#This Row],[Final Setup Envase]]-Table1[[#This Row],[Início Setup Envase]])</f>
        <v/>
      </c>
      <c r="AP2553" s="663"/>
      <c r="AQ2553" s="663"/>
      <c r="AR2553" s="270"/>
      <c r="AS2553" s="674"/>
      <c r="AT2553" s="674"/>
      <c r="AU2553" s="270"/>
      <c r="AV2553" s="270"/>
      <c r="AW2553" s="270"/>
      <c r="AX2553" s="270"/>
      <c r="AY2553" s="270"/>
      <c r="AZ2553" s="270"/>
      <c r="BA2553" s="270" t="str">
        <f>IF(Table1[[#This Row],[Data de Início]]="","",YEAR(Table1[[#This Row],[Data de Início]]))</f>
        <v/>
      </c>
      <c r="BB2553" s="270" t="str">
        <f>IF(Table1[[#This Row],[Data de Início]]="","",MONTH(Table1[[#This Row],[Data de Início]]))</f>
        <v/>
      </c>
      <c r="BC2553" s="483"/>
    </row>
    <row r="2554" spans="2:55" x14ac:dyDescent="0.25">
      <c r="B2554" s="470"/>
      <c r="C2554" s="263"/>
      <c r="D2554" s="477" cm="1">
        <f t="array" ref="D2554">IFERROR(HorasUteisFabrica2Turnos(B2554,C2554), "")</f>
        <v>0</v>
      </c>
      <c r="E2554" s="478" t="str">
        <f t="shared" si="40"/>
        <v/>
      </c>
      <c r="F2554" s="266"/>
      <c r="G2554" s="656"/>
      <c r="H2554" s="479"/>
      <c r="I2554" s="268"/>
      <c r="J2554" s="268"/>
      <c r="K2554" s="268"/>
      <c r="L2554" s="269"/>
      <c r="M2554" s="511" t="str">
        <f>IFERROR(INDEX([1]Produtos!$C:$C,MATCH(L2554,[1]Produtos!$B:$B,0)), "-")</f>
        <v>-</v>
      </c>
      <c r="N2554" s="511" t="str">
        <f>IFERROR(INDEX([1]Produtos!$E:$E,MATCH(L2554,[1]Produtos!$B:$B,0)), "-")</f>
        <v>-</v>
      </c>
      <c r="O2554" s="483" t="str">
        <f>IFERROR(INDEX([1]Produtos!$F:$F,MATCH(L2554,[1]Produtos!$B:$B,0)), "-")</f>
        <v>-</v>
      </c>
      <c r="P2554" s="477" t="str">
        <f>IFERROR(INDEX([1]Produtos!$G:$G,MATCH(L2554,[1]Produtos!$B:$B,0)), "-")</f>
        <v>-</v>
      </c>
      <c r="Q2554" s="483" t="str">
        <f>IFERROR(INDEX([1]Produtos!$H:$H,MATCH(L2554,[1]Produtos!$B:$B,0)), "-")</f>
        <v>-</v>
      </c>
      <c r="R2554" s="483" t="str">
        <f>IFERROR(INDEX([1]Produtos!$I:$I,MATCH(L2554,[1]Produtos!$B:$B,0)), "-")</f>
        <v>-</v>
      </c>
      <c r="S2554" s="483" t="str">
        <f>IFERROR(INDEX([1]Produtos!$J:$J,MATCH(L2554,[1]Produtos!$B:$B,0)), "-")</f>
        <v>-</v>
      </c>
      <c r="T2554" s="484"/>
      <c r="U2554" s="483"/>
      <c r="V2554" s="483"/>
      <c r="W2554" s="483"/>
      <c r="X2554" s="483"/>
      <c r="Y2554" s="483"/>
      <c r="Z2554" s="483"/>
      <c r="AA2554" s="483"/>
      <c r="AB2554" s="483"/>
      <c r="AC2554" s="483"/>
      <c r="AD2554" s="483"/>
      <c r="AE2554" s="483"/>
      <c r="AF2554" s="483"/>
      <c r="AG2554" s="483"/>
      <c r="AH2554" s="483"/>
      <c r="AI2554" s="483"/>
      <c r="AJ2554" s="483"/>
      <c r="AK2554" s="483"/>
      <c r="AL2554" s="483"/>
      <c r="AM2554" s="670"/>
      <c r="AN2554" s="670"/>
      <c r="AO2554" s="711" t="str">
        <f>IF(OR(Table1[[#This Row],[Início Setup Envase]]="",Table1[[#This Row],[Final Setup Envase]]=""),"",Table1[[#This Row],[Final Setup Envase]]-Table1[[#This Row],[Início Setup Envase]])</f>
        <v/>
      </c>
      <c r="AP2554" s="670"/>
      <c r="AQ2554" s="670"/>
      <c r="AR2554" s="483"/>
      <c r="AS2554" s="483"/>
      <c r="AT2554" s="483"/>
      <c r="AU2554" s="483"/>
      <c r="AV2554" s="483"/>
      <c r="AW2554" s="483"/>
      <c r="AX2554" s="483"/>
      <c r="AY2554" s="270"/>
      <c r="AZ2554" s="270"/>
      <c r="BA2554" s="270" t="str">
        <f>IF(Table1[[#This Row],[Data de Início]]="","",YEAR(Table1[[#This Row],[Data de Início]]))</f>
        <v/>
      </c>
      <c r="BB2554" s="270" t="str">
        <f>IF(Table1[[#This Row],[Data de Início]]="","",MONTH(Table1[[#This Row],[Data de Início]]))</f>
        <v/>
      </c>
      <c r="BC2554" s="270"/>
    </row>
    <row r="2555" spans="2:55" x14ac:dyDescent="0.25">
      <c r="B2555" s="470"/>
      <c r="C2555" s="263"/>
      <c r="D2555" s="477" cm="1">
        <f t="array" ref="D2555">IFERROR(HorasUteisFabrica2Turnos(B2555,C2555), "")</f>
        <v>0</v>
      </c>
      <c r="E2555" s="697" t="str">
        <f t="shared" si="40"/>
        <v/>
      </c>
      <c r="F2555" s="266"/>
      <c r="G2555" s="698"/>
      <c r="H2555" s="266"/>
      <c r="I2555" s="268"/>
      <c r="J2555" s="268"/>
      <c r="K2555" s="268"/>
      <c r="L2555" s="269"/>
      <c r="M2555" s="510" t="str">
        <f>IFERROR(INDEX([1]Produtos!$C:$C,MATCH(L2555,[1]Produtos!$B:$B,0)), "-")</f>
        <v>-</v>
      </c>
      <c r="N2555" s="510" t="str">
        <f>IFERROR(INDEX([1]Produtos!$E:$E,MATCH(L2555,[1]Produtos!$B:$B,0)), "-")</f>
        <v>-</v>
      </c>
      <c r="O2555" s="270" t="str">
        <f>IFERROR(INDEX([1]Produtos!$F:$F,MATCH(L2555,[1]Produtos!$B:$B,0)), "-")</f>
        <v>-</v>
      </c>
      <c r="P2555" s="264" t="str">
        <f>IFERROR(INDEX([1]Produtos!$G:$G,MATCH(L2555,[1]Produtos!$B:$B,0)), "-")</f>
        <v>-</v>
      </c>
      <c r="Q2555" s="270" t="str">
        <f>IFERROR(INDEX([1]Produtos!$H:$H,MATCH(L2555,[1]Produtos!$B:$B,0)), "-")</f>
        <v>-</v>
      </c>
      <c r="R2555" s="270" t="str">
        <f>IFERROR(INDEX([1]Produtos!$I:$I,MATCH(L2555,[1]Produtos!$B:$B,0)), "-")</f>
        <v>-</v>
      </c>
      <c r="S2555" s="270" t="str">
        <f>IFERROR(INDEX([1]Produtos!$J:$J,MATCH(L2555,[1]Produtos!$B:$B,0)), "-")</f>
        <v>-</v>
      </c>
      <c r="T2555" s="475"/>
      <c r="U2555" s="270"/>
      <c r="V2555" s="270"/>
      <c r="W2555" s="270"/>
      <c r="X2555" s="270"/>
      <c r="Y2555" s="270"/>
      <c r="Z2555" s="270"/>
      <c r="AA2555" s="270"/>
      <c r="AB2555" s="270"/>
      <c r="AC2555" s="270"/>
      <c r="AD2555" s="270"/>
      <c r="AE2555" s="270"/>
      <c r="AF2555" s="270"/>
      <c r="AG2555" s="270"/>
      <c r="AH2555" s="270"/>
      <c r="AI2555" s="270"/>
      <c r="AJ2555" s="270"/>
      <c r="AK2555" s="270"/>
      <c r="AL2555" s="270"/>
      <c r="AM2555" s="663"/>
      <c r="AN2555" s="663"/>
      <c r="AO2555" s="708" t="str">
        <f>IF(OR(Table1[[#This Row],[Início Setup Envase]]="",Table1[[#This Row],[Final Setup Envase]]=""),"",Table1[[#This Row],[Final Setup Envase]]-Table1[[#This Row],[Início Setup Envase]])</f>
        <v/>
      </c>
      <c r="AP2555" s="663"/>
      <c r="AQ2555" s="663"/>
      <c r="AR2555" s="270"/>
      <c r="AS2555" s="674"/>
      <c r="AT2555" s="674"/>
      <c r="AU2555" s="270"/>
      <c r="AV2555" s="270"/>
      <c r="AW2555" s="270"/>
      <c r="AX2555" s="270"/>
      <c r="AY2555" s="270"/>
      <c r="AZ2555" s="270"/>
      <c r="BA2555" s="270" t="str">
        <f>IF(Table1[[#This Row],[Data de Início]]="","",YEAR(Table1[[#This Row],[Data de Início]]))</f>
        <v/>
      </c>
      <c r="BB2555" s="270" t="str">
        <f>IF(Table1[[#This Row],[Data de Início]]="","",MONTH(Table1[[#This Row],[Data de Início]]))</f>
        <v/>
      </c>
      <c r="BC2555" s="483"/>
    </row>
    <row r="2556" spans="2:55" x14ac:dyDescent="0.25">
      <c r="B2556" s="470"/>
      <c r="C2556" s="263"/>
      <c r="D2556" s="477" cm="1">
        <f t="array" ref="D2556">IFERROR(HorasUteisFabrica2Turnos(B2556,C2556), "")</f>
        <v>0</v>
      </c>
      <c r="E2556" s="478" t="str">
        <f t="shared" si="40"/>
        <v/>
      </c>
      <c r="F2556" s="266"/>
      <c r="G2556" s="656"/>
      <c r="H2556" s="479"/>
      <c r="I2556" s="268"/>
      <c r="J2556" s="268"/>
      <c r="K2556" s="268"/>
      <c r="L2556" s="269"/>
      <c r="M2556" s="511" t="str">
        <f>IFERROR(INDEX([1]Produtos!$C:$C,MATCH(L2556,[1]Produtos!$B:$B,0)), "-")</f>
        <v>-</v>
      </c>
      <c r="N2556" s="511" t="str">
        <f>IFERROR(INDEX([1]Produtos!$E:$E,MATCH(L2556,[1]Produtos!$B:$B,0)), "-")</f>
        <v>-</v>
      </c>
      <c r="O2556" s="483" t="str">
        <f>IFERROR(INDEX([1]Produtos!$F:$F,MATCH(L2556,[1]Produtos!$B:$B,0)), "-")</f>
        <v>-</v>
      </c>
      <c r="P2556" s="477" t="str">
        <f>IFERROR(INDEX([1]Produtos!$G:$G,MATCH(L2556,[1]Produtos!$B:$B,0)), "-")</f>
        <v>-</v>
      </c>
      <c r="Q2556" s="483" t="str">
        <f>IFERROR(INDEX([1]Produtos!$H:$H,MATCH(L2556,[1]Produtos!$B:$B,0)), "-")</f>
        <v>-</v>
      </c>
      <c r="R2556" s="483" t="str">
        <f>IFERROR(INDEX([1]Produtos!$I:$I,MATCH(L2556,[1]Produtos!$B:$B,0)), "-")</f>
        <v>-</v>
      </c>
      <c r="S2556" s="483" t="str">
        <f>IFERROR(INDEX([1]Produtos!$J:$J,MATCH(L2556,[1]Produtos!$B:$B,0)), "-")</f>
        <v>-</v>
      </c>
      <c r="T2556" s="484"/>
      <c r="U2556" s="483"/>
      <c r="V2556" s="483"/>
      <c r="W2556" s="483"/>
      <c r="X2556" s="483"/>
      <c r="Y2556" s="483"/>
      <c r="Z2556" s="483"/>
      <c r="AA2556" s="483"/>
      <c r="AB2556" s="483"/>
      <c r="AC2556" s="483"/>
      <c r="AD2556" s="483"/>
      <c r="AE2556" s="483"/>
      <c r="AF2556" s="483"/>
      <c r="AG2556" s="483"/>
      <c r="AH2556" s="483"/>
      <c r="AI2556" s="483"/>
      <c r="AJ2556" s="483"/>
      <c r="AK2556" s="483"/>
      <c r="AL2556" s="483"/>
      <c r="AM2556" s="670"/>
      <c r="AN2556" s="670"/>
      <c r="AO2556" s="711" t="str">
        <f>IF(OR(Table1[[#This Row],[Início Setup Envase]]="",Table1[[#This Row],[Final Setup Envase]]=""),"",Table1[[#This Row],[Final Setup Envase]]-Table1[[#This Row],[Início Setup Envase]])</f>
        <v/>
      </c>
      <c r="AP2556" s="670"/>
      <c r="AQ2556" s="670"/>
      <c r="AR2556" s="483"/>
      <c r="AS2556" s="483"/>
      <c r="AT2556" s="483"/>
      <c r="AU2556" s="483"/>
      <c r="AV2556" s="483"/>
      <c r="AW2556" s="483"/>
      <c r="AX2556" s="483"/>
      <c r="AY2556" s="270"/>
      <c r="AZ2556" s="270"/>
      <c r="BA2556" s="270" t="str">
        <f>IF(Table1[[#This Row],[Data de Início]]="","",YEAR(Table1[[#This Row],[Data de Início]]))</f>
        <v/>
      </c>
      <c r="BB2556" s="270" t="str">
        <f>IF(Table1[[#This Row],[Data de Início]]="","",MONTH(Table1[[#This Row],[Data de Início]]))</f>
        <v/>
      </c>
      <c r="BC2556" s="270"/>
    </row>
    <row r="2557" spans="2:55" x14ac:dyDescent="0.25">
      <c r="B2557" s="470"/>
      <c r="C2557" s="263"/>
      <c r="D2557" s="477" cm="1">
        <f t="array" ref="D2557">IFERROR(HorasUteisFabrica2Turnos(B2557,C2557), "")</f>
        <v>0</v>
      </c>
      <c r="E2557" s="697" t="str">
        <f t="shared" si="40"/>
        <v/>
      </c>
      <c r="F2557" s="266"/>
      <c r="G2557" s="698"/>
      <c r="H2557" s="266"/>
      <c r="I2557" s="268"/>
      <c r="J2557" s="268"/>
      <c r="K2557" s="268"/>
      <c r="L2557" s="269"/>
      <c r="M2557" s="510" t="str">
        <f>IFERROR(INDEX([1]Produtos!$C:$C,MATCH(L2557,[1]Produtos!$B:$B,0)), "-")</f>
        <v>-</v>
      </c>
      <c r="N2557" s="510" t="str">
        <f>IFERROR(INDEX([1]Produtos!$E:$E,MATCH(L2557,[1]Produtos!$B:$B,0)), "-")</f>
        <v>-</v>
      </c>
      <c r="O2557" s="270" t="str">
        <f>IFERROR(INDEX([1]Produtos!$F:$F,MATCH(L2557,[1]Produtos!$B:$B,0)), "-")</f>
        <v>-</v>
      </c>
      <c r="P2557" s="264" t="str">
        <f>IFERROR(INDEX([1]Produtos!$G:$G,MATCH(L2557,[1]Produtos!$B:$B,0)), "-")</f>
        <v>-</v>
      </c>
      <c r="Q2557" s="270" t="str">
        <f>IFERROR(INDEX([1]Produtos!$H:$H,MATCH(L2557,[1]Produtos!$B:$B,0)), "-")</f>
        <v>-</v>
      </c>
      <c r="R2557" s="270" t="str">
        <f>IFERROR(INDEX([1]Produtos!$I:$I,MATCH(L2557,[1]Produtos!$B:$B,0)), "-")</f>
        <v>-</v>
      </c>
      <c r="S2557" s="270" t="str">
        <f>IFERROR(INDEX([1]Produtos!$J:$J,MATCH(L2557,[1]Produtos!$B:$B,0)), "-")</f>
        <v>-</v>
      </c>
      <c r="T2557" s="475"/>
      <c r="U2557" s="270"/>
      <c r="V2557" s="270"/>
      <c r="W2557" s="270"/>
      <c r="X2557" s="270"/>
      <c r="Y2557" s="270"/>
      <c r="Z2557" s="270"/>
      <c r="AA2557" s="270"/>
      <c r="AB2557" s="270"/>
      <c r="AC2557" s="270"/>
      <c r="AD2557" s="270"/>
      <c r="AE2557" s="270"/>
      <c r="AF2557" s="270"/>
      <c r="AG2557" s="270"/>
      <c r="AH2557" s="270"/>
      <c r="AI2557" s="270"/>
      <c r="AJ2557" s="270"/>
      <c r="AK2557" s="270"/>
      <c r="AL2557" s="270"/>
      <c r="AM2557" s="663"/>
      <c r="AN2557" s="663"/>
      <c r="AO2557" s="708" t="str">
        <f>IF(OR(Table1[[#This Row],[Início Setup Envase]]="",Table1[[#This Row],[Final Setup Envase]]=""),"",Table1[[#This Row],[Final Setup Envase]]-Table1[[#This Row],[Início Setup Envase]])</f>
        <v/>
      </c>
      <c r="AP2557" s="663"/>
      <c r="AQ2557" s="663"/>
      <c r="AR2557" s="270"/>
      <c r="AS2557" s="674"/>
      <c r="AT2557" s="674"/>
      <c r="AU2557" s="270"/>
      <c r="AV2557" s="270"/>
      <c r="AW2557" s="270"/>
      <c r="AX2557" s="270"/>
      <c r="AY2557" s="270"/>
      <c r="AZ2557" s="270"/>
      <c r="BA2557" s="270" t="str">
        <f>IF(Table1[[#This Row],[Data de Início]]="","",YEAR(Table1[[#This Row],[Data de Início]]))</f>
        <v/>
      </c>
      <c r="BB2557" s="270" t="str">
        <f>IF(Table1[[#This Row],[Data de Início]]="","",MONTH(Table1[[#This Row],[Data de Início]]))</f>
        <v/>
      </c>
      <c r="BC2557" s="483"/>
    </row>
    <row r="2558" spans="2:55" x14ac:dyDescent="0.25">
      <c r="B2558" s="470"/>
      <c r="C2558" s="263"/>
      <c r="D2558" s="477" cm="1">
        <f t="array" ref="D2558">IFERROR(HorasUteisFabrica2Turnos(B2558,C2558), "")</f>
        <v>0</v>
      </c>
      <c r="E2558" s="478" t="str">
        <f t="shared" si="40"/>
        <v/>
      </c>
      <c r="F2558" s="266"/>
      <c r="G2558" s="656"/>
      <c r="H2558" s="479"/>
      <c r="I2558" s="268"/>
      <c r="J2558" s="268"/>
      <c r="K2558" s="268"/>
      <c r="L2558" s="269"/>
      <c r="M2558" s="511" t="str">
        <f>IFERROR(INDEX([1]Produtos!$C:$C,MATCH(L2558,[1]Produtos!$B:$B,0)), "-")</f>
        <v>-</v>
      </c>
      <c r="N2558" s="511" t="str">
        <f>IFERROR(INDEX([1]Produtos!$E:$E,MATCH(L2558,[1]Produtos!$B:$B,0)), "-")</f>
        <v>-</v>
      </c>
      <c r="O2558" s="483" t="str">
        <f>IFERROR(INDEX([1]Produtos!$F:$F,MATCH(L2558,[1]Produtos!$B:$B,0)), "-")</f>
        <v>-</v>
      </c>
      <c r="P2558" s="477" t="str">
        <f>IFERROR(INDEX([1]Produtos!$G:$G,MATCH(L2558,[1]Produtos!$B:$B,0)), "-")</f>
        <v>-</v>
      </c>
      <c r="Q2558" s="483" t="str">
        <f>IFERROR(INDEX([1]Produtos!$H:$H,MATCH(L2558,[1]Produtos!$B:$B,0)), "-")</f>
        <v>-</v>
      </c>
      <c r="R2558" s="483" t="str">
        <f>IFERROR(INDEX([1]Produtos!$I:$I,MATCH(L2558,[1]Produtos!$B:$B,0)), "-")</f>
        <v>-</v>
      </c>
      <c r="S2558" s="483" t="str">
        <f>IFERROR(INDEX([1]Produtos!$J:$J,MATCH(L2558,[1]Produtos!$B:$B,0)), "-")</f>
        <v>-</v>
      </c>
      <c r="T2558" s="484"/>
      <c r="U2558" s="483"/>
      <c r="V2558" s="483"/>
      <c r="W2558" s="483"/>
      <c r="X2558" s="483"/>
      <c r="Y2558" s="483"/>
      <c r="Z2558" s="483"/>
      <c r="AA2558" s="483"/>
      <c r="AB2558" s="483"/>
      <c r="AC2558" s="483"/>
      <c r="AD2558" s="483"/>
      <c r="AE2558" s="483"/>
      <c r="AF2558" s="483"/>
      <c r="AG2558" s="483"/>
      <c r="AH2558" s="483"/>
      <c r="AI2558" s="483"/>
      <c r="AJ2558" s="483"/>
      <c r="AK2558" s="483"/>
      <c r="AL2558" s="483"/>
      <c r="AM2558" s="670"/>
      <c r="AN2558" s="670"/>
      <c r="AO2558" s="711" t="str">
        <f>IF(OR(Table1[[#This Row],[Início Setup Envase]]="",Table1[[#This Row],[Final Setup Envase]]=""),"",Table1[[#This Row],[Final Setup Envase]]-Table1[[#This Row],[Início Setup Envase]])</f>
        <v/>
      </c>
      <c r="AP2558" s="670"/>
      <c r="AQ2558" s="670"/>
      <c r="AR2558" s="483"/>
      <c r="AS2558" s="483"/>
      <c r="AT2558" s="483"/>
      <c r="AU2558" s="483"/>
      <c r="AV2558" s="483"/>
      <c r="AW2558" s="483"/>
      <c r="AX2558" s="483"/>
      <c r="AY2558" s="270"/>
      <c r="AZ2558" s="270"/>
      <c r="BA2558" s="270" t="str">
        <f>IF(Table1[[#This Row],[Data de Início]]="","",YEAR(Table1[[#This Row],[Data de Início]]))</f>
        <v/>
      </c>
      <c r="BB2558" s="270" t="str">
        <f>IF(Table1[[#This Row],[Data de Início]]="","",MONTH(Table1[[#This Row],[Data de Início]]))</f>
        <v/>
      </c>
      <c r="BC2558" s="270"/>
    </row>
    <row r="2559" spans="2:55" x14ac:dyDescent="0.25">
      <c r="B2559" s="470"/>
      <c r="C2559" s="263"/>
      <c r="D2559" s="477" cm="1">
        <f t="array" ref="D2559">IFERROR(HorasUteisFabrica2Turnos(B2559,C2559), "")</f>
        <v>0</v>
      </c>
      <c r="E2559" s="697" t="str">
        <f t="shared" si="40"/>
        <v/>
      </c>
      <c r="F2559" s="266"/>
      <c r="G2559" s="698"/>
      <c r="H2559" s="266"/>
      <c r="I2559" s="268"/>
      <c r="J2559" s="268"/>
      <c r="K2559" s="268"/>
      <c r="L2559" s="269"/>
      <c r="M2559" s="510" t="str">
        <f>IFERROR(INDEX([1]Produtos!$C:$C,MATCH(L2559,[1]Produtos!$B:$B,0)), "-")</f>
        <v>-</v>
      </c>
      <c r="N2559" s="510" t="str">
        <f>IFERROR(INDEX([1]Produtos!$E:$E,MATCH(L2559,[1]Produtos!$B:$B,0)), "-")</f>
        <v>-</v>
      </c>
      <c r="O2559" s="270" t="str">
        <f>IFERROR(INDEX([1]Produtos!$F:$F,MATCH(L2559,[1]Produtos!$B:$B,0)), "-")</f>
        <v>-</v>
      </c>
      <c r="P2559" s="264" t="str">
        <f>IFERROR(INDEX([1]Produtos!$G:$G,MATCH(L2559,[1]Produtos!$B:$B,0)), "-")</f>
        <v>-</v>
      </c>
      <c r="Q2559" s="270" t="str">
        <f>IFERROR(INDEX([1]Produtos!$H:$H,MATCH(L2559,[1]Produtos!$B:$B,0)), "-")</f>
        <v>-</v>
      </c>
      <c r="R2559" s="270" t="str">
        <f>IFERROR(INDEX([1]Produtos!$I:$I,MATCH(L2559,[1]Produtos!$B:$B,0)), "-")</f>
        <v>-</v>
      </c>
      <c r="S2559" s="270" t="str">
        <f>IFERROR(INDEX([1]Produtos!$J:$J,MATCH(L2559,[1]Produtos!$B:$B,0)), "-")</f>
        <v>-</v>
      </c>
      <c r="T2559" s="475"/>
      <c r="U2559" s="270"/>
      <c r="V2559" s="270"/>
      <c r="W2559" s="270"/>
      <c r="X2559" s="270"/>
      <c r="Y2559" s="270"/>
      <c r="Z2559" s="270"/>
      <c r="AA2559" s="270"/>
      <c r="AB2559" s="270"/>
      <c r="AC2559" s="270"/>
      <c r="AD2559" s="270"/>
      <c r="AE2559" s="270"/>
      <c r="AF2559" s="270"/>
      <c r="AG2559" s="270"/>
      <c r="AH2559" s="270"/>
      <c r="AI2559" s="270"/>
      <c r="AJ2559" s="270"/>
      <c r="AK2559" s="270"/>
      <c r="AL2559" s="270"/>
      <c r="AM2559" s="663"/>
      <c r="AN2559" s="663"/>
      <c r="AO2559" s="708" t="str">
        <f>IF(OR(Table1[[#This Row],[Início Setup Envase]]="",Table1[[#This Row],[Final Setup Envase]]=""),"",Table1[[#This Row],[Final Setup Envase]]-Table1[[#This Row],[Início Setup Envase]])</f>
        <v/>
      </c>
      <c r="AP2559" s="663"/>
      <c r="AQ2559" s="663"/>
      <c r="AR2559" s="270"/>
      <c r="AS2559" s="674"/>
      <c r="AT2559" s="674"/>
      <c r="AU2559" s="270"/>
      <c r="AV2559" s="270"/>
      <c r="AW2559" s="270"/>
      <c r="AX2559" s="270"/>
      <c r="AY2559" s="270"/>
      <c r="AZ2559" s="270"/>
      <c r="BA2559" s="270" t="str">
        <f>IF(Table1[[#This Row],[Data de Início]]="","",YEAR(Table1[[#This Row],[Data de Início]]))</f>
        <v/>
      </c>
      <c r="BB2559" s="270" t="str">
        <f>IF(Table1[[#This Row],[Data de Início]]="","",MONTH(Table1[[#This Row],[Data de Início]]))</f>
        <v/>
      </c>
      <c r="BC2559" s="483"/>
    </row>
    <row r="2560" spans="2:55" x14ac:dyDescent="0.25">
      <c r="B2560" s="470"/>
      <c r="C2560" s="263"/>
      <c r="D2560" s="477" cm="1">
        <f t="array" ref="D2560">IFERROR(HorasUteisFabrica2Turnos(B2560,C2560), "")</f>
        <v>0</v>
      </c>
      <c r="E2560" s="478" t="str">
        <f t="shared" si="40"/>
        <v/>
      </c>
      <c r="F2560" s="266"/>
      <c r="G2560" s="656"/>
      <c r="H2560" s="479"/>
      <c r="I2560" s="268"/>
      <c r="J2560" s="268"/>
      <c r="K2560" s="268"/>
      <c r="L2560" s="269"/>
      <c r="M2560" s="511" t="str">
        <f>IFERROR(INDEX([1]Produtos!$C:$C,MATCH(L2560,[1]Produtos!$B:$B,0)), "-")</f>
        <v>-</v>
      </c>
      <c r="N2560" s="511" t="str">
        <f>IFERROR(INDEX([1]Produtos!$E:$E,MATCH(L2560,[1]Produtos!$B:$B,0)), "-")</f>
        <v>-</v>
      </c>
      <c r="O2560" s="483" t="str">
        <f>IFERROR(INDEX([1]Produtos!$F:$F,MATCH(L2560,[1]Produtos!$B:$B,0)), "-")</f>
        <v>-</v>
      </c>
      <c r="P2560" s="477" t="str">
        <f>IFERROR(INDEX([1]Produtos!$G:$G,MATCH(L2560,[1]Produtos!$B:$B,0)), "-")</f>
        <v>-</v>
      </c>
      <c r="Q2560" s="483" t="str">
        <f>IFERROR(INDEX([1]Produtos!$H:$H,MATCH(L2560,[1]Produtos!$B:$B,0)), "-")</f>
        <v>-</v>
      </c>
      <c r="R2560" s="483" t="str">
        <f>IFERROR(INDEX([1]Produtos!$I:$I,MATCH(L2560,[1]Produtos!$B:$B,0)), "-")</f>
        <v>-</v>
      </c>
      <c r="S2560" s="483" t="str">
        <f>IFERROR(INDEX([1]Produtos!$J:$J,MATCH(L2560,[1]Produtos!$B:$B,0)), "-")</f>
        <v>-</v>
      </c>
      <c r="T2560" s="484"/>
      <c r="U2560" s="483"/>
      <c r="V2560" s="483"/>
      <c r="W2560" s="483"/>
      <c r="X2560" s="483"/>
      <c r="Y2560" s="483"/>
      <c r="Z2560" s="483"/>
      <c r="AA2560" s="483"/>
      <c r="AB2560" s="483"/>
      <c r="AC2560" s="483"/>
      <c r="AD2560" s="483"/>
      <c r="AE2560" s="483"/>
      <c r="AF2560" s="483"/>
      <c r="AG2560" s="483"/>
      <c r="AH2560" s="483"/>
      <c r="AI2560" s="483"/>
      <c r="AJ2560" s="483"/>
      <c r="AK2560" s="483"/>
      <c r="AL2560" s="483"/>
      <c r="AM2560" s="670"/>
      <c r="AN2560" s="670"/>
      <c r="AO2560" s="711" t="str">
        <f>IF(OR(Table1[[#This Row],[Início Setup Envase]]="",Table1[[#This Row],[Final Setup Envase]]=""),"",Table1[[#This Row],[Final Setup Envase]]-Table1[[#This Row],[Início Setup Envase]])</f>
        <v/>
      </c>
      <c r="AP2560" s="670"/>
      <c r="AQ2560" s="670"/>
      <c r="AR2560" s="483"/>
      <c r="AS2560" s="483"/>
      <c r="AT2560" s="483"/>
      <c r="AU2560" s="483"/>
      <c r="AV2560" s="483"/>
      <c r="AW2560" s="483"/>
      <c r="AX2560" s="483"/>
      <c r="AY2560" s="270"/>
      <c r="AZ2560" s="270"/>
      <c r="BA2560" s="270" t="str">
        <f>IF(Table1[[#This Row],[Data de Início]]="","",YEAR(Table1[[#This Row],[Data de Início]]))</f>
        <v/>
      </c>
      <c r="BB2560" s="270" t="str">
        <f>IF(Table1[[#This Row],[Data de Início]]="","",MONTH(Table1[[#This Row],[Data de Início]]))</f>
        <v/>
      </c>
      <c r="BC2560" s="270"/>
    </row>
    <row r="2561" spans="2:55" x14ac:dyDescent="0.25">
      <c r="B2561" s="470"/>
      <c r="C2561" s="263"/>
      <c r="D2561" s="477" cm="1">
        <f t="array" ref="D2561">IFERROR(HorasUteisFabrica2Turnos(B2561,C2561), "")</f>
        <v>0</v>
      </c>
      <c r="E2561" s="697" t="str">
        <f t="shared" si="40"/>
        <v/>
      </c>
      <c r="F2561" s="266"/>
      <c r="G2561" s="698"/>
      <c r="H2561" s="266"/>
      <c r="I2561" s="268"/>
      <c r="J2561" s="268"/>
      <c r="K2561" s="268"/>
      <c r="L2561" s="269"/>
      <c r="M2561" s="510" t="str">
        <f>IFERROR(INDEX([1]Produtos!$C:$C,MATCH(L2561,[1]Produtos!$B:$B,0)), "-")</f>
        <v>-</v>
      </c>
      <c r="N2561" s="510" t="str">
        <f>IFERROR(INDEX([1]Produtos!$E:$E,MATCH(L2561,[1]Produtos!$B:$B,0)), "-")</f>
        <v>-</v>
      </c>
      <c r="O2561" s="270" t="str">
        <f>IFERROR(INDEX([1]Produtos!$F:$F,MATCH(L2561,[1]Produtos!$B:$B,0)), "-")</f>
        <v>-</v>
      </c>
      <c r="P2561" s="264" t="str">
        <f>IFERROR(INDEX([1]Produtos!$G:$G,MATCH(L2561,[1]Produtos!$B:$B,0)), "-")</f>
        <v>-</v>
      </c>
      <c r="Q2561" s="270" t="str">
        <f>IFERROR(INDEX([1]Produtos!$H:$H,MATCH(L2561,[1]Produtos!$B:$B,0)), "-")</f>
        <v>-</v>
      </c>
      <c r="R2561" s="270" t="str">
        <f>IFERROR(INDEX([1]Produtos!$I:$I,MATCH(L2561,[1]Produtos!$B:$B,0)), "-")</f>
        <v>-</v>
      </c>
      <c r="S2561" s="270" t="str">
        <f>IFERROR(INDEX([1]Produtos!$J:$J,MATCH(L2561,[1]Produtos!$B:$B,0)), "-")</f>
        <v>-</v>
      </c>
      <c r="T2561" s="475"/>
      <c r="U2561" s="270"/>
      <c r="V2561" s="270"/>
      <c r="W2561" s="270"/>
      <c r="X2561" s="270"/>
      <c r="Y2561" s="270"/>
      <c r="Z2561" s="270"/>
      <c r="AA2561" s="270"/>
      <c r="AB2561" s="270"/>
      <c r="AC2561" s="270"/>
      <c r="AD2561" s="270"/>
      <c r="AE2561" s="270"/>
      <c r="AF2561" s="270"/>
      <c r="AG2561" s="270"/>
      <c r="AH2561" s="270"/>
      <c r="AI2561" s="270"/>
      <c r="AJ2561" s="270"/>
      <c r="AK2561" s="270"/>
      <c r="AL2561" s="270"/>
      <c r="AM2561" s="663"/>
      <c r="AN2561" s="663"/>
      <c r="AO2561" s="708" t="str">
        <f>IF(OR(Table1[[#This Row],[Início Setup Envase]]="",Table1[[#This Row],[Final Setup Envase]]=""),"",Table1[[#This Row],[Final Setup Envase]]-Table1[[#This Row],[Início Setup Envase]])</f>
        <v/>
      </c>
      <c r="AP2561" s="663"/>
      <c r="AQ2561" s="663"/>
      <c r="AR2561" s="270"/>
      <c r="AS2561" s="674"/>
      <c r="AT2561" s="674"/>
      <c r="AU2561" s="270"/>
      <c r="AV2561" s="270"/>
      <c r="AW2561" s="270"/>
      <c r="AX2561" s="270"/>
      <c r="AY2561" s="270"/>
      <c r="AZ2561" s="270"/>
      <c r="BA2561" s="270" t="str">
        <f>IF(Table1[[#This Row],[Data de Início]]="","",YEAR(Table1[[#This Row],[Data de Início]]))</f>
        <v/>
      </c>
      <c r="BB2561" s="270" t="str">
        <f>IF(Table1[[#This Row],[Data de Início]]="","",MONTH(Table1[[#This Row],[Data de Início]]))</f>
        <v/>
      </c>
      <c r="BC2561" s="483"/>
    </row>
    <row r="2562" spans="2:55" x14ac:dyDescent="0.25">
      <c r="B2562" s="470"/>
      <c r="C2562" s="263"/>
      <c r="D2562" s="477" cm="1">
        <f t="array" ref="D2562">IFERROR(HorasUteisFabrica2Turnos(B2562,C2562), "")</f>
        <v>0</v>
      </c>
      <c r="E2562" s="478" t="str">
        <f t="shared" si="40"/>
        <v/>
      </c>
      <c r="F2562" s="266"/>
      <c r="G2562" s="656"/>
      <c r="H2562" s="479"/>
      <c r="I2562" s="268"/>
      <c r="J2562" s="268"/>
      <c r="K2562" s="268"/>
      <c r="L2562" s="269"/>
      <c r="M2562" s="511" t="str">
        <f>IFERROR(INDEX([1]Produtos!$C:$C,MATCH(L2562,[1]Produtos!$B:$B,0)), "-")</f>
        <v>-</v>
      </c>
      <c r="N2562" s="511" t="str">
        <f>IFERROR(INDEX([1]Produtos!$E:$E,MATCH(L2562,[1]Produtos!$B:$B,0)), "-")</f>
        <v>-</v>
      </c>
      <c r="O2562" s="483" t="str">
        <f>IFERROR(INDEX([1]Produtos!$F:$F,MATCH(L2562,[1]Produtos!$B:$B,0)), "-")</f>
        <v>-</v>
      </c>
      <c r="P2562" s="477" t="str">
        <f>IFERROR(INDEX([1]Produtos!$G:$G,MATCH(L2562,[1]Produtos!$B:$B,0)), "-")</f>
        <v>-</v>
      </c>
      <c r="Q2562" s="483" t="str">
        <f>IFERROR(INDEX([1]Produtos!$H:$H,MATCH(L2562,[1]Produtos!$B:$B,0)), "-")</f>
        <v>-</v>
      </c>
      <c r="R2562" s="483" t="str">
        <f>IFERROR(INDEX([1]Produtos!$I:$I,MATCH(L2562,[1]Produtos!$B:$B,0)), "-")</f>
        <v>-</v>
      </c>
      <c r="S2562" s="483" t="str">
        <f>IFERROR(INDEX([1]Produtos!$J:$J,MATCH(L2562,[1]Produtos!$B:$B,0)), "-")</f>
        <v>-</v>
      </c>
      <c r="T2562" s="484"/>
      <c r="U2562" s="483"/>
      <c r="V2562" s="483"/>
      <c r="W2562" s="483"/>
      <c r="X2562" s="483"/>
      <c r="Y2562" s="483"/>
      <c r="Z2562" s="483"/>
      <c r="AA2562" s="483"/>
      <c r="AB2562" s="483"/>
      <c r="AC2562" s="483"/>
      <c r="AD2562" s="483"/>
      <c r="AE2562" s="483"/>
      <c r="AF2562" s="483"/>
      <c r="AG2562" s="483"/>
      <c r="AH2562" s="483"/>
      <c r="AI2562" s="483"/>
      <c r="AJ2562" s="483"/>
      <c r="AK2562" s="483"/>
      <c r="AL2562" s="483"/>
      <c r="AM2562" s="670"/>
      <c r="AN2562" s="670"/>
      <c r="AO2562" s="711" t="str">
        <f>IF(OR(Table1[[#This Row],[Início Setup Envase]]="",Table1[[#This Row],[Final Setup Envase]]=""),"",Table1[[#This Row],[Final Setup Envase]]-Table1[[#This Row],[Início Setup Envase]])</f>
        <v/>
      </c>
      <c r="AP2562" s="670"/>
      <c r="AQ2562" s="670"/>
      <c r="AR2562" s="483"/>
      <c r="AS2562" s="483"/>
      <c r="AT2562" s="483"/>
      <c r="AU2562" s="483"/>
      <c r="AV2562" s="483"/>
      <c r="AW2562" s="483"/>
      <c r="AX2562" s="483"/>
      <c r="AY2562" s="270"/>
      <c r="AZ2562" s="270"/>
      <c r="BA2562" s="270" t="str">
        <f>IF(Table1[[#This Row],[Data de Início]]="","",YEAR(Table1[[#This Row],[Data de Início]]))</f>
        <v/>
      </c>
      <c r="BB2562" s="270" t="str">
        <f>IF(Table1[[#This Row],[Data de Início]]="","",MONTH(Table1[[#This Row],[Data de Início]]))</f>
        <v/>
      </c>
      <c r="BC2562" s="270"/>
    </row>
    <row r="2563" spans="2:55" x14ac:dyDescent="0.25">
      <c r="B2563" s="470"/>
      <c r="C2563" s="263"/>
      <c r="D2563" s="477" cm="1">
        <f t="array" ref="D2563">IFERROR(HorasUteisFabrica2Turnos(B2563,C2563), "")</f>
        <v>0</v>
      </c>
      <c r="E2563" s="697" t="str">
        <f t="shared" si="40"/>
        <v/>
      </c>
      <c r="F2563" s="266"/>
      <c r="G2563" s="698"/>
      <c r="H2563" s="266"/>
      <c r="I2563" s="268"/>
      <c r="J2563" s="268"/>
      <c r="K2563" s="268"/>
      <c r="L2563" s="269"/>
      <c r="M2563" s="510" t="str">
        <f>IFERROR(INDEX([1]Produtos!$C:$C,MATCH(L2563,[1]Produtos!$B:$B,0)), "-")</f>
        <v>-</v>
      </c>
      <c r="N2563" s="510" t="str">
        <f>IFERROR(INDEX([1]Produtos!$E:$E,MATCH(L2563,[1]Produtos!$B:$B,0)), "-")</f>
        <v>-</v>
      </c>
      <c r="O2563" s="270" t="str">
        <f>IFERROR(INDEX([1]Produtos!$F:$F,MATCH(L2563,[1]Produtos!$B:$B,0)), "-")</f>
        <v>-</v>
      </c>
      <c r="P2563" s="264" t="str">
        <f>IFERROR(INDEX([1]Produtos!$G:$G,MATCH(L2563,[1]Produtos!$B:$B,0)), "-")</f>
        <v>-</v>
      </c>
      <c r="Q2563" s="270" t="str">
        <f>IFERROR(INDEX([1]Produtos!$H:$H,MATCH(L2563,[1]Produtos!$B:$B,0)), "-")</f>
        <v>-</v>
      </c>
      <c r="R2563" s="270" t="str">
        <f>IFERROR(INDEX([1]Produtos!$I:$I,MATCH(L2563,[1]Produtos!$B:$B,0)), "-")</f>
        <v>-</v>
      </c>
      <c r="S2563" s="270" t="str">
        <f>IFERROR(INDEX([1]Produtos!$J:$J,MATCH(L2563,[1]Produtos!$B:$B,0)), "-")</f>
        <v>-</v>
      </c>
      <c r="T2563" s="475"/>
      <c r="U2563" s="270"/>
      <c r="V2563" s="270"/>
      <c r="W2563" s="270"/>
      <c r="X2563" s="270"/>
      <c r="Y2563" s="270"/>
      <c r="Z2563" s="270"/>
      <c r="AA2563" s="270"/>
      <c r="AB2563" s="270"/>
      <c r="AC2563" s="270"/>
      <c r="AD2563" s="270"/>
      <c r="AE2563" s="270"/>
      <c r="AF2563" s="270"/>
      <c r="AG2563" s="270"/>
      <c r="AH2563" s="270"/>
      <c r="AI2563" s="270"/>
      <c r="AJ2563" s="270"/>
      <c r="AK2563" s="270"/>
      <c r="AL2563" s="270"/>
      <c r="AM2563" s="663"/>
      <c r="AN2563" s="663"/>
      <c r="AO2563" s="708" t="str">
        <f>IF(OR(Table1[[#This Row],[Início Setup Envase]]="",Table1[[#This Row],[Final Setup Envase]]=""),"",Table1[[#This Row],[Final Setup Envase]]-Table1[[#This Row],[Início Setup Envase]])</f>
        <v/>
      </c>
      <c r="AP2563" s="663"/>
      <c r="AQ2563" s="663"/>
      <c r="AR2563" s="270"/>
      <c r="AS2563" s="674"/>
      <c r="AT2563" s="674"/>
      <c r="AU2563" s="270"/>
      <c r="AV2563" s="270"/>
      <c r="AW2563" s="270"/>
      <c r="AX2563" s="270"/>
      <c r="AY2563" s="270"/>
      <c r="AZ2563" s="270"/>
      <c r="BA2563" s="270" t="str">
        <f>IF(Table1[[#This Row],[Data de Início]]="","",YEAR(Table1[[#This Row],[Data de Início]]))</f>
        <v/>
      </c>
      <c r="BB2563" s="270" t="str">
        <f>IF(Table1[[#This Row],[Data de Início]]="","",MONTH(Table1[[#This Row],[Data de Início]]))</f>
        <v/>
      </c>
      <c r="BC2563" s="483"/>
    </row>
    <row r="2564" spans="2:55" x14ac:dyDescent="0.25">
      <c r="B2564" s="470"/>
      <c r="C2564" s="263"/>
      <c r="D2564" s="477" cm="1">
        <f t="array" ref="D2564">IFERROR(HorasUteisFabrica2Turnos(B2564,C2564), "")</f>
        <v>0</v>
      </c>
      <c r="E2564" s="478" t="str">
        <f t="shared" si="40"/>
        <v/>
      </c>
      <c r="F2564" s="266"/>
      <c r="G2564" s="656"/>
      <c r="H2564" s="479"/>
      <c r="I2564" s="268"/>
      <c r="J2564" s="268"/>
      <c r="K2564" s="268"/>
      <c r="L2564" s="269"/>
      <c r="M2564" s="511" t="str">
        <f>IFERROR(INDEX([1]Produtos!$C:$C,MATCH(L2564,[1]Produtos!$B:$B,0)), "-")</f>
        <v>-</v>
      </c>
      <c r="N2564" s="511" t="str">
        <f>IFERROR(INDEX([1]Produtos!$E:$E,MATCH(L2564,[1]Produtos!$B:$B,0)), "-")</f>
        <v>-</v>
      </c>
      <c r="O2564" s="483" t="str">
        <f>IFERROR(INDEX([1]Produtos!$F:$F,MATCH(L2564,[1]Produtos!$B:$B,0)), "-")</f>
        <v>-</v>
      </c>
      <c r="P2564" s="477" t="str">
        <f>IFERROR(INDEX([1]Produtos!$G:$G,MATCH(L2564,[1]Produtos!$B:$B,0)), "-")</f>
        <v>-</v>
      </c>
      <c r="Q2564" s="483" t="str">
        <f>IFERROR(INDEX([1]Produtos!$H:$H,MATCH(L2564,[1]Produtos!$B:$B,0)), "-")</f>
        <v>-</v>
      </c>
      <c r="R2564" s="483" t="str">
        <f>IFERROR(INDEX([1]Produtos!$I:$I,MATCH(L2564,[1]Produtos!$B:$B,0)), "-")</f>
        <v>-</v>
      </c>
      <c r="S2564" s="483" t="str">
        <f>IFERROR(INDEX([1]Produtos!$J:$J,MATCH(L2564,[1]Produtos!$B:$B,0)), "-")</f>
        <v>-</v>
      </c>
      <c r="T2564" s="484"/>
      <c r="U2564" s="483"/>
      <c r="V2564" s="483"/>
      <c r="W2564" s="483"/>
      <c r="X2564" s="483"/>
      <c r="Y2564" s="483"/>
      <c r="Z2564" s="483"/>
      <c r="AA2564" s="483"/>
      <c r="AB2564" s="483"/>
      <c r="AC2564" s="483"/>
      <c r="AD2564" s="483"/>
      <c r="AE2564" s="483"/>
      <c r="AF2564" s="483"/>
      <c r="AG2564" s="483"/>
      <c r="AH2564" s="483"/>
      <c r="AI2564" s="483"/>
      <c r="AJ2564" s="483"/>
      <c r="AK2564" s="483"/>
      <c r="AL2564" s="483"/>
      <c r="AM2564" s="670"/>
      <c r="AN2564" s="670"/>
      <c r="AO2564" s="711" t="str">
        <f>IF(OR(Table1[[#This Row],[Início Setup Envase]]="",Table1[[#This Row],[Final Setup Envase]]=""),"",Table1[[#This Row],[Final Setup Envase]]-Table1[[#This Row],[Início Setup Envase]])</f>
        <v/>
      </c>
      <c r="AP2564" s="670"/>
      <c r="AQ2564" s="670"/>
      <c r="AR2564" s="483"/>
      <c r="AS2564" s="483"/>
      <c r="AT2564" s="483"/>
      <c r="AU2564" s="483"/>
      <c r="AV2564" s="483"/>
      <c r="AW2564" s="483"/>
      <c r="AX2564" s="483"/>
      <c r="AY2564" s="270"/>
      <c r="AZ2564" s="270"/>
      <c r="BA2564" s="270" t="str">
        <f>IF(Table1[[#This Row],[Data de Início]]="","",YEAR(Table1[[#This Row],[Data de Início]]))</f>
        <v/>
      </c>
      <c r="BB2564" s="270" t="str">
        <f>IF(Table1[[#This Row],[Data de Início]]="","",MONTH(Table1[[#This Row],[Data de Início]]))</f>
        <v/>
      </c>
      <c r="BC2564" s="270"/>
    </row>
    <row r="2565" spans="2:55" x14ac:dyDescent="0.25">
      <c r="B2565" s="470"/>
      <c r="C2565" s="263"/>
      <c r="D2565" s="477" cm="1">
        <f t="array" ref="D2565">IFERROR(HorasUteisFabrica2Turnos(B2565,C2565), "")</f>
        <v>0</v>
      </c>
      <c r="E2565" s="697" t="str">
        <f t="shared" si="40"/>
        <v/>
      </c>
      <c r="F2565" s="266"/>
      <c r="G2565" s="698"/>
      <c r="H2565" s="266"/>
      <c r="I2565" s="268"/>
      <c r="J2565" s="268"/>
      <c r="K2565" s="268"/>
      <c r="L2565" s="269"/>
      <c r="M2565" s="510" t="str">
        <f>IFERROR(INDEX([1]Produtos!$C:$C,MATCH(L2565,[1]Produtos!$B:$B,0)), "-")</f>
        <v>-</v>
      </c>
      <c r="N2565" s="510" t="str">
        <f>IFERROR(INDEX([1]Produtos!$E:$E,MATCH(L2565,[1]Produtos!$B:$B,0)), "-")</f>
        <v>-</v>
      </c>
      <c r="O2565" s="270" t="str">
        <f>IFERROR(INDEX([1]Produtos!$F:$F,MATCH(L2565,[1]Produtos!$B:$B,0)), "-")</f>
        <v>-</v>
      </c>
      <c r="P2565" s="264" t="str">
        <f>IFERROR(INDEX([1]Produtos!$G:$G,MATCH(L2565,[1]Produtos!$B:$B,0)), "-")</f>
        <v>-</v>
      </c>
      <c r="Q2565" s="270" t="str">
        <f>IFERROR(INDEX([1]Produtos!$H:$H,MATCH(L2565,[1]Produtos!$B:$B,0)), "-")</f>
        <v>-</v>
      </c>
      <c r="R2565" s="270" t="str">
        <f>IFERROR(INDEX([1]Produtos!$I:$I,MATCH(L2565,[1]Produtos!$B:$B,0)), "-")</f>
        <v>-</v>
      </c>
      <c r="S2565" s="270" t="str">
        <f>IFERROR(INDEX([1]Produtos!$J:$J,MATCH(L2565,[1]Produtos!$B:$B,0)), "-")</f>
        <v>-</v>
      </c>
      <c r="T2565" s="475"/>
      <c r="U2565" s="270"/>
      <c r="V2565" s="270"/>
      <c r="W2565" s="270"/>
      <c r="X2565" s="270"/>
      <c r="Y2565" s="270"/>
      <c r="Z2565" s="270"/>
      <c r="AA2565" s="270"/>
      <c r="AB2565" s="270"/>
      <c r="AC2565" s="270"/>
      <c r="AD2565" s="270"/>
      <c r="AE2565" s="270"/>
      <c r="AF2565" s="270"/>
      <c r="AG2565" s="270"/>
      <c r="AH2565" s="270"/>
      <c r="AI2565" s="270"/>
      <c r="AJ2565" s="270"/>
      <c r="AK2565" s="270"/>
      <c r="AL2565" s="270"/>
      <c r="AM2565" s="663"/>
      <c r="AN2565" s="663"/>
      <c r="AO2565" s="708" t="str">
        <f>IF(OR(Table1[[#This Row],[Início Setup Envase]]="",Table1[[#This Row],[Final Setup Envase]]=""),"",Table1[[#This Row],[Final Setup Envase]]-Table1[[#This Row],[Início Setup Envase]])</f>
        <v/>
      </c>
      <c r="AP2565" s="663"/>
      <c r="AQ2565" s="663"/>
      <c r="AR2565" s="270"/>
      <c r="AS2565" s="674"/>
      <c r="AT2565" s="674"/>
      <c r="AU2565" s="270"/>
      <c r="AV2565" s="270"/>
      <c r="AW2565" s="270"/>
      <c r="AX2565" s="270"/>
      <c r="AY2565" s="270"/>
      <c r="AZ2565" s="270"/>
      <c r="BA2565" s="270" t="str">
        <f>IF(Table1[[#This Row],[Data de Início]]="","",YEAR(Table1[[#This Row],[Data de Início]]))</f>
        <v/>
      </c>
      <c r="BB2565" s="270" t="str">
        <f>IF(Table1[[#This Row],[Data de Início]]="","",MONTH(Table1[[#This Row],[Data de Início]]))</f>
        <v/>
      </c>
      <c r="BC2565" s="483"/>
    </row>
    <row r="2566" spans="2:55" x14ac:dyDescent="0.25">
      <c r="B2566" s="470"/>
      <c r="C2566" s="263"/>
      <c r="D2566" s="477" cm="1">
        <f t="array" ref="D2566">IFERROR(HorasUteisFabrica2Turnos(B2566,C2566), "")</f>
        <v>0</v>
      </c>
      <c r="E2566" s="478" t="str">
        <f t="shared" si="40"/>
        <v/>
      </c>
      <c r="F2566" s="266"/>
      <c r="G2566" s="656"/>
      <c r="H2566" s="479"/>
      <c r="I2566" s="268"/>
      <c r="J2566" s="268"/>
      <c r="K2566" s="268"/>
      <c r="L2566" s="269"/>
      <c r="M2566" s="511" t="str">
        <f>IFERROR(INDEX([1]Produtos!$C:$C,MATCH(L2566,[1]Produtos!$B:$B,0)), "-")</f>
        <v>-</v>
      </c>
      <c r="N2566" s="511" t="str">
        <f>IFERROR(INDEX([1]Produtos!$E:$E,MATCH(L2566,[1]Produtos!$B:$B,0)), "-")</f>
        <v>-</v>
      </c>
      <c r="O2566" s="483" t="str">
        <f>IFERROR(INDEX([1]Produtos!$F:$F,MATCH(L2566,[1]Produtos!$B:$B,0)), "-")</f>
        <v>-</v>
      </c>
      <c r="P2566" s="477" t="str">
        <f>IFERROR(INDEX([1]Produtos!$G:$G,MATCH(L2566,[1]Produtos!$B:$B,0)), "-")</f>
        <v>-</v>
      </c>
      <c r="Q2566" s="483" t="str">
        <f>IFERROR(INDEX([1]Produtos!$H:$H,MATCH(L2566,[1]Produtos!$B:$B,0)), "-")</f>
        <v>-</v>
      </c>
      <c r="R2566" s="483" t="str">
        <f>IFERROR(INDEX([1]Produtos!$I:$I,MATCH(L2566,[1]Produtos!$B:$B,0)), "-")</f>
        <v>-</v>
      </c>
      <c r="S2566" s="483" t="str">
        <f>IFERROR(INDEX([1]Produtos!$J:$J,MATCH(L2566,[1]Produtos!$B:$B,0)), "-")</f>
        <v>-</v>
      </c>
      <c r="T2566" s="484"/>
      <c r="U2566" s="483"/>
      <c r="V2566" s="483"/>
      <c r="W2566" s="483"/>
      <c r="X2566" s="483"/>
      <c r="Y2566" s="483"/>
      <c r="Z2566" s="483"/>
      <c r="AA2566" s="483"/>
      <c r="AB2566" s="483"/>
      <c r="AC2566" s="483"/>
      <c r="AD2566" s="483"/>
      <c r="AE2566" s="483"/>
      <c r="AF2566" s="483"/>
      <c r="AG2566" s="483"/>
      <c r="AH2566" s="483"/>
      <c r="AI2566" s="483"/>
      <c r="AJ2566" s="483"/>
      <c r="AK2566" s="483"/>
      <c r="AL2566" s="483"/>
      <c r="AM2566" s="670"/>
      <c r="AN2566" s="670"/>
      <c r="AO2566" s="711" t="str">
        <f>IF(OR(Table1[[#This Row],[Início Setup Envase]]="",Table1[[#This Row],[Final Setup Envase]]=""),"",Table1[[#This Row],[Final Setup Envase]]-Table1[[#This Row],[Início Setup Envase]])</f>
        <v/>
      </c>
      <c r="AP2566" s="670"/>
      <c r="AQ2566" s="670"/>
      <c r="AR2566" s="483"/>
      <c r="AS2566" s="483"/>
      <c r="AT2566" s="483"/>
      <c r="AU2566" s="483"/>
      <c r="AV2566" s="483"/>
      <c r="AW2566" s="483"/>
      <c r="AX2566" s="483"/>
      <c r="AY2566" s="270"/>
      <c r="AZ2566" s="270"/>
      <c r="BA2566" s="270" t="str">
        <f>IF(Table1[[#This Row],[Data de Início]]="","",YEAR(Table1[[#This Row],[Data de Início]]))</f>
        <v/>
      </c>
      <c r="BB2566" s="270" t="str">
        <f>IF(Table1[[#This Row],[Data de Início]]="","",MONTH(Table1[[#This Row],[Data de Início]]))</f>
        <v/>
      </c>
      <c r="BC2566" s="270"/>
    </row>
    <row r="2567" spans="2:55" x14ac:dyDescent="0.25">
      <c r="B2567" s="470"/>
      <c r="C2567" s="263"/>
      <c r="D2567" s="477" cm="1">
        <f t="array" ref="D2567">IFERROR(HorasUteisFabrica2Turnos(B2567,C2567), "")</f>
        <v>0</v>
      </c>
      <c r="E2567" s="697" t="str">
        <f t="shared" si="40"/>
        <v/>
      </c>
      <c r="F2567" s="266"/>
      <c r="G2567" s="698"/>
      <c r="H2567" s="266"/>
      <c r="I2567" s="268"/>
      <c r="J2567" s="268"/>
      <c r="K2567" s="268"/>
      <c r="L2567" s="269"/>
      <c r="M2567" s="510" t="str">
        <f>IFERROR(INDEX([1]Produtos!$C:$C,MATCH(L2567,[1]Produtos!$B:$B,0)), "-")</f>
        <v>-</v>
      </c>
      <c r="N2567" s="510" t="str">
        <f>IFERROR(INDEX([1]Produtos!$E:$E,MATCH(L2567,[1]Produtos!$B:$B,0)), "-")</f>
        <v>-</v>
      </c>
      <c r="O2567" s="270" t="str">
        <f>IFERROR(INDEX([1]Produtos!$F:$F,MATCH(L2567,[1]Produtos!$B:$B,0)), "-")</f>
        <v>-</v>
      </c>
      <c r="P2567" s="264" t="str">
        <f>IFERROR(INDEX([1]Produtos!$G:$G,MATCH(L2567,[1]Produtos!$B:$B,0)), "-")</f>
        <v>-</v>
      </c>
      <c r="Q2567" s="270" t="str">
        <f>IFERROR(INDEX([1]Produtos!$H:$H,MATCH(L2567,[1]Produtos!$B:$B,0)), "-")</f>
        <v>-</v>
      </c>
      <c r="R2567" s="270" t="str">
        <f>IFERROR(INDEX([1]Produtos!$I:$I,MATCH(L2567,[1]Produtos!$B:$B,0)), "-")</f>
        <v>-</v>
      </c>
      <c r="S2567" s="270" t="str">
        <f>IFERROR(INDEX([1]Produtos!$J:$J,MATCH(L2567,[1]Produtos!$B:$B,0)), "-")</f>
        <v>-</v>
      </c>
      <c r="T2567" s="475"/>
      <c r="U2567" s="270"/>
      <c r="V2567" s="270"/>
      <c r="W2567" s="270"/>
      <c r="X2567" s="270"/>
      <c r="Y2567" s="270"/>
      <c r="Z2567" s="270"/>
      <c r="AA2567" s="270"/>
      <c r="AB2567" s="270"/>
      <c r="AC2567" s="270"/>
      <c r="AD2567" s="270"/>
      <c r="AE2567" s="270"/>
      <c r="AF2567" s="270"/>
      <c r="AG2567" s="270"/>
      <c r="AH2567" s="270"/>
      <c r="AI2567" s="270"/>
      <c r="AJ2567" s="270"/>
      <c r="AK2567" s="270"/>
      <c r="AL2567" s="270"/>
      <c r="AM2567" s="663"/>
      <c r="AN2567" s="663"/>
      <c r="AO2567" s="708" t="str">
        <f>IF(OR(Table1[[#This Row],[Início Setup Envase]]="",Table1[[#This Row],[Final Setup Envase]]=""),"",Table1[[#This Row],[Final Setup Envase]]-Table1[[#This Row],[Início Setup Envase]])</f>
        <v/>
      </c>
      <c r="AP2567" s="663"/>
      <c r="AQ2567" s="663"/>
      <c r="AR2567" s="270"/>
      <c r="AS2567" s="674"/>
      <c r="AT2567" s="674"/>
      <c r="AU2567" s="270"/>
      <c r="AV2567" s="270"/>
      <c r="AW2567" s="270"/>
      <c r="AX2567" s="270"/>
      <c r="AY2567" s="270"/>
      <c r="AZ2567" s="270"/>
      <c r="BA2567" s="270" t="str">
        <f>IF(Table1[[#This Row],[Data de Início]]="","",YEAR(Table1[[#This Row],[Data de Início]]))</f>
        <v/>
      </c>
      <c r="BB2567" s="270" t="str">
        <f>IF(Table1[[#This Row],[Data de Início]]="","",MONTH(Table1[[#This Row],[Data de Início]]))</f>
        <v/>
      </c>
      <c r="BC2567" s="483"/>
    </row>
    <row r="2568" spans="2:55" x14ac:dyDescent="0.25">
      <c r="B2568" s="470"/>
      <c r="C2568" s="263"/>
      <c r="D2568" s="477" cm="1">
        <f t="array" ref="D2568">IFERROR(HorasUteisFabrica2Turnos(B2568,C2568), "")</f>
        <v>0</v>
      </c>
      <c r="E2568" s="478" t="str">
        <f t="shared" si="40"/>
        <v/>
      </c>
      <c r="F2568" s="266"/>
      <c r="G2568" s="656"/>
      <c r="H2568" s="479"/>
      <c r="I2568" s="268"/>
      <c r="J2568" s="268"/>
      <c r="K2568" s="268"/>
      <c r="L2568" s="269"/>
      <c r="M2568" s="511" t="str">
        <f>IFERROR(INDEX([1]Produtos!$C:$C,MATCH(L2568,[1]Produtos!$B:$B,0)), "-")</f>
        <v>-</v>
      </c>
      <c r="N2568" s="511" t="str">
        <f>IFERROR(INDEX([1]Produtos!$E:$E,MATCH(L2568,[1]Produtos!$B:$B,0)), "-")</f>
        <v>-</v>
      </c>
      <c r="O2568" s="483" t="str">
        <f>IFERROR(INDEX([1]Produtos!$F:$F,MATCH(L2568,[1]Produtos!$B:$B,0)), "-")</f>
        <v>-</v>
      </c>
      <c r="P2568" s="477" t="str">
        <f>IFERROR(INDEX([1]Produtos!$G:$G,MATCH(L2568,[1]Produtos!$B:$B,0)), "-")</f>
        <v>-</v>
      </c>
      <c r="Q2568" s="483" t="str">
        <f>IFERROR(INDEX([1]Produtos!$H:$H,MATCH(L2568,[1]Produtos!$B:$B,0)), "-")</f>
        <v>-</v>
      </c>
      <c r="R2568" s="483" t="str">
        <f>IFERROR(INDEX([1]Produtos!$I:$I,MATCH(L2568,[1]Produtos!$B:$B,0)), "-")</f>
        <v>-</v>
      </c>
      <c r="S2568" s="483" t="str">
        <f>IFERROR(INDEX([1]Produtos!$J:$J,MATCH(L2568,[1]Produtos!$B:$B,0)), "-")</f>
        <v>-</v>
      </c>
      <c r="T2568" s="484"/>
      <c r="U2568" s="483"/>
      <c r="V2568" s="483"/>
      <c r="W2568" s="483"/>
      <c r="X2568" s="483"/>
      <c r="Y2568" s="483"/>
      <c r="Z2568" s="483"/>
      <c r="AA2568" s="483"/>
      <c r="AB2568" s="483"/>
      <c r="AC2568" s="483"/>
      <c r="AD2568" s="483"/>
      <c r="AE2568" s="483"/>
      <c r="AF2568" s="483"/>
      <c r="AG2568" s="483"/>
      <c r="AH2568" s="483"/>
      <c r="AI2568" s="483"/>
      <c r="AJ2568" s="483"/>
      <c r="AK2568" s="483"/>
      <c r="AL2568" s="483"/>
      <c r="AM2568" s="670"/>
      <c r="AN2568" s="670"/>
      <c r="AO2568" s="711" t="str">
        <f>IF(OR(Table1[[#This Row],[Início Setup Envase]]="",Table1[[#This Row],[Final Setup Envase]]=""),"",Table1[[#This Row],[Final Setup Envase]]-Table1[[#This Row],[Início Setup Envase]])</f>
        <v/>
      </c>
      <c r="AP2568" s="670"/>
      <c r="AQ2568" s="670"/>
      <c r="AR2568" s="483"/>
      <c r="AS2568" s="483"/>
      <c r="AT2568" s="483"/>
      <c r="AU2568" s="483"/>
      <c r="AV2568" s="483"/>
      <c r="AW2568" s="483"/>
      <c r="AX2568" s="483"/>
      <c r="AY2568" s="270"/>
      <c r="AZ2568" s="270"/>
      <c r="BA2568" s="270" t="str">
        <f>IF(Table1[[#This Row],[Data de Início]]="","",YEAR(Table1[[#This Row],[Data de Início]]))</f>
        <v/>
      </c>
      <c r="BB2568" s="270" t="str">
        <f>IF(Table1[[#This Row],[Data de Início]]="","",MONTH(Table1[[#This Row],[Data de Início]]))</f>
        <v/>
      </c>
      <c r="BC2568" s="270"/>
    </row>
    <row r="2569" spans="2:55" x14ac:dyDescent="0.25">
      <c r="B2569" s="470"/>
      <c r="C2569" s="263"/>
      <c r="D2569" s="477" cm="1">
        <f t="array" ref="D2569">IFERROR(HorasUteisFabrica2Turnos(B2569,C2569), "")</f>
        <v>0</v>
      </c>
      <c r="E2569" s="697" t="str">
        <f t="shared" si="40"/>
        <v/>
      </c>
      <c r="F2569" s="266"/>
      <c r="G2569" s="698"/>
      <c r="H2569" s="266"/>
      <c r="I2569" s="268"/>
      <c r="J2569" s="268"/>
      <c r="K2569" s="268"/>
      <c r="L2569" s="269"/>
      <c r="M2569" s="510" t="str">
        <f>IFERROR(INDEX([1]Produtos!$C:$C,MATCH(L2569,[1]Produtos!$B:$B,0)), "-")</f>
        <v>-</v>
      </c>
      <c r="N2569" s="510" t="str">
        <f>IFERROR(INDEX([1]Produtos!$E:$E,MATCH(L2569,[1]Produtos!$B:$B,0)), "-")</f>
        <v>-</v>
      </c>
      <c r="O2569" s="270" t="str">
        <f>IFERROR(INDEX([1]Produtos!$F:$F,MATCH(L2569,[1]Produtos!$B:$B,0)), "-")</f>
        <v>-</v>
      </c>
      <c r="P2569" s="264" t="str">
        <f>IFERROR(INDEX([1]Produtos!$G:$G,MATCH(L2569,[1]Produtos!$B:$B,0)), "-")</f>
        <v>-</v>
      </c>
      <c r="Q2569" s="270" t="str">
        <f>IFERROR(INDEX([1]Produtos!$H:$H,MATCH(L2569,[1]Produtos!$B:$B,0)), "-")</f>
        <v>-</v>
      </c>
      <c r="R2569" s="270" t="str">
        <f>IFERROR(INDEX([1]Produtos!$I:$I,MATCH(L2569,[1]Produtos!$B:$B,0)), "-")</f>
        <v>-</v>
      </c>
      <c r="S2569" s="270" t="str">
        <f>IFERROR(INDEX([1]Produtos!$J:$J,MATCH(L2569,[1]Produtos!$B:$B,0)), "-")</f>
        <v>-</v>
      </c>
      <c r="T2569" s="475"/>
      <c r="U2569" s="270"/>
      <c r="V2569" s="270"/>
      <c r="W2569" s="270"/>
      <c r="X2569" s="270"/>
      <c r="Y2569" s="270"/>
      <c r="Z2569" s="270"/>
      <c r="AA2569" s="270"/>
      <c r="AB2569" s="270"/>
      <c r="AC2569" s="270"/>
      <c r="AD2569" s="270"/>
      <c r="AE2569" s="270"/>
      <c r="AF2569" s="270"/>
      <c r="AG2569" s="270"/>
      <c r="AH2569" s="270"/>
      <c r="AI2569" s="270"/>
      <c r="AJ2569" s="270"/>
      <c r="AK2569" s="270"/>
      <c r="AL2569" s="270"/>
      <c r="AM2569" s="663"/>
      <c r="AN2569" s="663"/>
      <c r="AO2569" s="708" t="str">
        <f>IF(OR(Table1[[#This Row],[Início Setup Envase]]="",Table1[[#This Row],[Final Setup Envase]]=""),"",Table1[[#This Row],[Final Setup Envase]]-Table1[[#This Row],[Início Setup Envase]])</f>
        <v/>
      </c>
      <c r="AP2569" s="663"/>
      <c r="AQ2569" s="663"/>
      <c r="AR2569" s="270"/>
      <c r="AS2569" s="674"/>
      <c r="AT2569" s="674"/>
      <c r="AU2569" s="270"/>
      <c r="AV2569" s="270"/>
      <c r="AW2569" s="270"/>
      <c r="AX2569" s="270"/>
      <c r="AY2569" s="270"/>
      <c r="AZ2569" s="270"/>
      <c r="BA2569" s="270" t="str">
        <f>IF(Table1[[#This Row],[Data de Início]]="","",YEAR(Table1[[#This Row],[Data de Início]]))</f>
        <v/>
      </c>
      <c r="BB2569" s="270" t="str">
        <f>IF(Table1[[#This Row],[Data de Início]]="","",MONTH(Table1[[#This Row],[Data de Início]]))</f>
        <v/>
      </c>
      <c r="BC2569" s="483"/>
    </row>
    <row r="2570" spans="2:55" x14ac:dyDescent="0.25">
      <c r="B2570" s="470"/>
      <c r="C2570" s="263"/>
      <c r="D2570" s="477" cm="1">
        <f t="array" ref="D2570">IFERROR(HorasUteisFabrica2Turnos(B2570,C2570), "")</f>
        <v>0</v>
      </c>
      <c r="E2570" s="478" t="str">
        <f t="shared" si="40"/>
        <v/>
      </c>
      <c r="F2570" s="266"/>
      <c r="G2570" s="656"/>
      <c r="H2570" s="479"/>
      <c r="I2570" s="268"/>
      <c r="J2570" s="268"/>
      <c r="K2570" s="268"/>
      <c r="L2570" s="269"/>
      <c r="M2570" s="511" t="str">
        <f>IFERROR(INDEX([1]Produtos!$C:$C,MATCH(L2570,[1]Produtos!$B:$B,0)), "-")</f>
        <v>-</v>
      </c>
      <c r="N2570" s="511" t="str">
        <f>IFERROR(INDEX([1]Produtos!$E:$E,MATCH(L2570,[1]Produtos!$B:$B,0)), "-")</f>
        <v>-</v>
      </c>
      <c r="O2570" s="483" t="str">
        <f>IFERROR(INDEX([1]Produtos!$F:$F,MATCH(L2570,[1]Produtos!$B:$B,0)), "-")</f>
        <v>-</v>
      </c>
      <c r="P2570" s="477" t="str">
        <f>IFERROR(INDEX([1]Produtos!$G:$G,MATCH(L2570,[1]Produtos!$B:$B,0)), "-")</f>
        <v>-</v>
      </c>
      <c r="Q2570" s="483" t="str">
        <f>IFERROR(INDEX([1]Produtos!$H:$H,MATCH(L2570,[1]Produtos!$B:$B,0)), "-")</f>
        <v>-</v>
      </c>
      <c r="R2570" s="483" t="str">
        <f>IFERROR(INDEX([1]Produtos!$I:$I,MATCH(L2570,[1]Produtos!$B:$B,0)), "-")</f>
        <v>-</v>
      </c>
      <c r="S2570" s="483" t="str">
        <f>IFERROR(INDEX([1]Produtos!$J:$J,MATCH(L2570,[1]Produtos!$B:$B,0)), "-")</f>
        <v>-</v>
      </c>
      <c r="T2570" s="484"/>
      <c r="U2570" s="483"/>
      <c r="V2570" s="483"/>
      <c r="W2570" s="483"/>
      <c r="X2570" s="483"/>
      <c r="Y2570" s="483"/>
      <c r="Z2570" s="483"/>
      <c r="AA2570" s="483"/>
      <c r="AB2570" s="483"/>
      <c r="AC2570" s="483"/>
      <c r="AD2570" s="483"/>
      <c r="AE2570" s="483"/>
      <c r="AF2570" s="483"/>
      <c r="AG2570" s="483"/>
      <c r="AH2570" s="483"/>
      <c r="AI2570" s="483"/>
      <c r="AJ2570" s="483"/>
      <c r="AK2570" s="483"/>
      <c r="AL2570" s="483"/>
      <c r="AM2570" s="670"/>
      <c r="AN2570" s="670"/>
      <c r="AO2570" s="711" t="str">
        <f>IF(OR(Table1[[#This Row],[Início Setup Envase]]="",Table1[[#This Row],[Final Setup Envase]]=""),"",Table1[[#This Row],[Final Setup Envase]]-Table1[[#This Row],[Início Setup Envase]])</f>
        <v/>
      </c>
      <c r="AP2570" s="670"/>
      <c r="AQ2570" s="670"/>
      <c r="AR2570" s="483"/>
      <c r="AS2570" s="483"/>
      <c r="AT2570" s="483"/>
      <c r="AU2570" s="483"/>
      <c r="AV2570" s="483"/>
      <c r="AW2570" s="483"/>
      <c r="AX2570" s="483"/>
      <c r="AY2570" s="270"/>
      <c r="AZ2570" s="270"/>
      <c r="BA2570" s="270" t="str">
        <f>IF(Table1[[#This Row],[Data de Início]]="","",YEAR(Table1[[#This Row],[Data de Início]]))</f>
        <v/>
      </c>
      <c r="BB2570" s="270" t="str">
        <f>IF(Table1[[#This Row],[Data de Início]]="","",MONTH(Table1[[#This Row],[Data de Início]]))</f>
        <v/>
      </c>
      <c r="BC2570" s="270"/>
    </row>
    <row r="2571" spans="2:55" x14ac:dyDescent="0.25">
      <c r="B2571" s="470"/>
      <c r="C2571" s="263"/>
      <c r="D2571" s="477" cm="1">
        <f t="array" ref="D2571">IFERROR(HorasUteisFabrica2Turnos(B2571,C2571), "")</f>
        <v>0</v>
      </c>
      <c r="E2571" s="697" t="str">
        <f t="shared" si="40"/>
        <v/>
      </c>
      <c r="F2571" s="266"/>
      <c r="G2571" s="698"/>
      <c r="H2571" s="266"/>
      <c r="I2571" s="268"/>
      <c r="J2571" s="268"/>
      <c r="K2571" s="268"/>
      <c r="L2571" s="269"/>
      <c r="M2571" s="510" t="str">
        <f>IFERROR(INDEX([1]Produtos!$C:$C,MATCH(L2571,[1]Produtos!$B:$B,0)), "-")</f>
        <v>-</v>
      </c>
      <c r="N2571" s="510" t="str">
        <f>IFERROR(INDEX([1]Produtos!$E:$E,MATCH(L2571,[1]Produtos!$B:$B,0)), "-")</f>
        <v>-</v>
      </c>
      <c r="O2571" s="270" t="str">
        <f>IFERROR(INDEX([1]Produtos!$F:$F,MATCH(L2571,[1]Produtos!$B:$B,0)), "-")</f>
        <v>-</v>
      </c>
      <c r="P2571" s="264" t="str">
        <f>IFERROR(INDEX([1]Produtos!$G:$G,MATCH(L2571,[1]Produtos!$B:$B,0)), "-")</f>
        <v>-</v>
      </c>
      <c r="Q2571" s="270" t="str">
        <f>IFERROR(INDEX([1]Produtos!$H:$H,MATCH(L2571,[1]Produtos!$B:$B,0)), "-")</f>
        <v>-</v>
      </c>
      <c r="R2571" s="270" t="str">
        <f>IFERROR(INDEX([1]Produtos!$I:$I,MATCH(L2571,[1]Produtos!$B:$B,0)), "-")</f>
        <v>-</v>
      </c>
      <c r="S2571" s="270" t="str">
        <f>IFERROR(INDEX([1]Produtos!$J:$J,MATCH(L2571,[1]Produtos!$B:$B,0)), "-")</f>
        <v>-</v>
      </c>
      <c r="T2571" s="475"/>
      <c r="U2571" s="270"/>
      <c r="V2571" s="270"/>
      <c r="W2571" s="270"/>
      <c r="X2571" s="270"/>
      <c r="Y2571" s="270"/>
      <c r="Z2571" s="270"/>
      <c r="AA2571" s="270"/>
      <c r="AB2571" s="270"/>
      <c r="AC2571" s="270"/>
      <c r="AD2571" s="270"/>
      <c r="AE2571" s="270"/>
      <c r="AF2571" s="270"/>
      <c r="AG2571" s="270"/>
      <c r="AH2571" s="270"/>
      <c r="AI2571" s="270"/>
      <c r="AJ2571" s="270"/>
      <c r="AK2571" s="270"/>
      <c r="AL2571" s="270"/>
      <c r="AM2571" s="663"/>
      <c r="AN2571" s="663"/>
      <c r="AO2571" s="708" t="str">
        <f>IF(OR(Table1[[#This Row],[Início Setup Envase]]="",Table1[[#This Row],[Final Setup Envase]]=""),"",Table1[[#This Row],[Final Setup Envase]]-Table1[[#This Row],[Início Setup Envase]])</f>
        <v/>
      </c>
      <c r="AP2571" s="663"/>
      <c r="AQ2571" s="663"/>
      <c r="AR2571" s="270"/>
      <c r="AS2571" s="674"/>
      <c r="AT2571" s="674"/>
      <c r="AU2571" s="270"/>
      <c r="AV2571" s="270"/>
      <c r="AW2571" s="270"/>
      <c r="AX2571" s="270"/>
      <c r="AY2571" s="270"/>
      <c r="AZ2571" s="270"/>
      <c r="BA2571" s="270" t="str">
        <f>IF(Table1[[#This Row],[Data de Início]]="","",YEAR(Table1[[#This Row],[Data de Início]]))</f>
        <v/>
      </c>
      <c r="BB2571" s="270" t="str">
        <f>IF(Table1[[#This Row],[Data de Início]]="","",MONTH(Table1[[#This Row],[Data de Início]]))</f>
        <v/>
      </c>
      <c r="BC2571" s="483"/>
    </row>
    <row r="2572" spans="2:55" x14ac:dyDescent="0.25">
      <c r="B2572" s="470"/>
      <c r="C2572" s="263"/>
      <c r="D2572" s="477" cm="1">
        <f t="array" ref="D2572">IFERROR(HorasUteisFabrica2Turnos(B2572,C2572), "")</f>
        <v>0</v>
      </c>
      <c r="E2572" s="478" t="str">
        <f t="shared" si="40"/>
        <v/>
      </c>
      <c r="F2572" s="266"/>
      <c r="G2572" s="656"/>
      <c r="H2572" s="479"/>
      <c r="I2572" s="268"/>
      <c r="J2572" s="268"/>
      <c r="K2572" s="268"/>
      <c r="L2572" s="269"/>
      <c r="M2572" s="511" t="str">
        <f>IFERROR(INDEX([1]Produtos!$C:$C,MATCH(L2572,[1]Produtos!$B:$B,0)), "-")</f>
        <v>-</v>
      </c>
      <c r="N2572" s="511" t="str">
        <f>IFERROR(INDEX([1]Produtos!$E:$E,MATCH(L2572,[1]Produtos!$B:$B,0)), "-")</f>
        <v>-</v>
      </c>
      <c r="O2572" s="483" t="str">
        <f>IFERROR(INDEX([1]Produtos!$F:$F,MATCH(L2572,[1]Produtos!$B:$B,0)), "-")</f>
        <v>-</v>
      </c>
      <c r="P2572" s="477" t="str">
        <f>IFERROR(INDEX([1]Produtos!$G:$G,MATCH(L2572,[1]Produtos!$B:$B,0)), "-")</f>
        <v>-</v>
      </c>
      <c r="Q2572" s="483" t="str">
        <f>IFERROR(INDEX([1]Produtos!$H:$H,MATCH(L2572,[1]Produtos!$B:$B,0)), "-")</f>
        <v>-</v>
      </c>
      <c r="R2572" s="483" t="str">
        <f>IFERROR(INDEX([1]Produtos!$I:$I,MATCH(L2572,[1]Produtos!$B:$B,0)), "-")</f>
        <v>-</v>
      </c>
      <c r="S2572" s="483" t="str">
        <f>IFERROR(INDEX([1]Produtos!$J:$J,MATCH(L2572,[1]Produtos!$B:$B,0)), "-")</f>
        <v>-</v>
      </c>
      <c r="T2572" s="484"/>
      <c r="U2572" s="483"/>
      <c r="V2572" s="483"/>
      <c r="W2572" s="483"/>
      <c r="X2572" s="483"/>
      <c r="Y2572" s="483"/>
      <c r="Z2572" s="483"/>
      <c r="AA2572" s="483"/>
      <c r="AB2572" s="483"/>
      <c r="AC2572" s="483"/>
      <c r="AD2572" s="483"/>
      <c r="AE2572" s="483"/>
      <c r="AF2572" s="483"/>
      <c r="AG2572" s="483"/>
      <c r="AH2572" s="483"/>
      <c r="AI2572" s="483"/>
      <c r="AJ2572" s="483"/>
      <c r="AK2572" s="483"/>
      <c r="AL2572" s="483"/>
      <c r="AM2572" s="670"/>
      <c r="AN2572" s="670"/>
      <c r="AO2572" s="711" t="str">
        <f>IF(OR(Table1[[#This Row],[Início Setup Envase]]="",Table1[[#This Row],[Final Setup Envase]]=""),"",Table1[[#This Row],[Final Setup Envase]]-Table1[[#This Row],[Início Setup Envase]])</f>
        <v/>
      </c>
      <c r="AP2572" s="670"/>
      <c r="AQ2572" s="670"/>
      <c r="AR2572" s="483"/>
      <c r="AS2572" s="483"/>
      <c r="AT2572" s="483"/>
      <c r="AU2572" s="483"/>
      <c r="AV2572" s="483"/>
      <c r="AW2572" s="483"/>
      <c r="AX2572" s="483"/>
      <c r="AY2572" s="270"/>
      <c r="AZ2572" s="270"/>
      <c r="BA2572" s="270" t="str">
        <f>IF(Table1[[#This Row],[Data de Início]]="","",YEAR(Table1[[#This Row],[Data de Início]]))</f>
        <v/>
      </c>
      <c r="BB2572" s="270" t="str">
        <f>IF(Table1[[#This Row],[Data de Início]]="","",MONTH(Table1[[#This Row],[Data de Início]]))</f>
        <v/>
      </c>
      <c r="BC2572" s="270"/>
    </row>
    <row r="2573" spans="2:55" x14ac:dyDescent="0.25">
      <c r="B2573" s="470"/>
      <c r="C2573" s="263"/>
      <c r="D2573" s="477" cm="1">
        <f t="array" ref="D2573">IFERROR(HorasUteisFabrica2Turnos(B2573,C2573), "")</f>
        <v>0</v>
      </c>
      <c r="E2573" s="697" t="str">
        <f t="shared" si="40"/>
        <v/>
      </c>
      <c r="F2573" s="266"/>
      <c r="G2573" s="698"/>
      <c r="H2573" s="266"/>
      <c r="I2573" s="268"/>
      <c r="J2573" s="268"/>
      <c r="K2573" s="268"/>
      <c r="L2573" s="269"/>
      <c r="M2573" s="510" t="str">
        <f>IFERROR(INDEX([1]Produtos!$C:$C,MATCH(L2573,[1]Produtos!$B:$B,0)), "-")</f>
        <v>-</v>
      </c>
      <c r="N2573" s="510" t="str">
        <f>IFERROR(INDEX([1]Produtos!$E:$E,MATCH(L2573,[1]Produtos!$B:$B,0)), "-")</f>
        <v>-</v>
      </c>
      <c r="O2573" s="270" t="str">
        <f>IFERROR(INDEX([1]Produtos!$F:$F,MATCH(L2573,[1]Produtos!$B:$B,0)), "-")</f>
        <v>-</v>
      </c>
      <c r="P2573" s="264" t="str">
        <f>IFERROR(INDEX([1]Produtos!$G:$G,MATCH(L2573,[1]Produtos!$B:$B,0)), "-")</f>
        <v>-</v>
      </c>
      <c r="Q2573" s="270" t="str">
        <f>IFERROR(INDEX([1]Produtos!$H:$H,MATCH(L2573,[1]Produtos!$B:$B,0)), "-")</f>
        <v>-</v>
      </c>
      <c r="R2573" s="270" t="str">
        <f>IFERROR(INDEX([1]Produtos!$I:$I,MATCH(L2573,[1]Produtos!$B:$B,0)), "-")</f>
        <v>-</v>
      </c>
      <c r="S2573" s="270" t="str">
        <f>IFERROR(INDEX([1]Produtos!$J:$J,MATCH(L2573,[1]Produtos!$B:$B,0)), "-")</f>
        <v>-</v>
      </c>
      <c r="T2573" s="475"/>
      <c r="U2573" s="270"/>
      <c r="V2573" s="270"/>
      <c r="W2573" s="270"/>
      <c r="X2573" s="270"/>
      <c r="Y2573" s="270"/>
      <c r="Z2573" s="270"/>
      <c r="AA2573" s="270"/>
      <c r="AB2573" s="270"/>
      <c r="AC2573" s="270"/>
      <c r="AD2573" s="270"/>
      <c r="AE2573" s="270"/>
      <c r="AF2573" s="270"/>
      <c r="AG2573" s="270"/>
      <c r="AH2573" s="270"/>
      <c r="AI2573" s="270"/>
      <c r="AJ2573" s="270"/>
      <c r="AK2573" s="270"/>
      <c r="AL2573" s="270"/>
      <c r="AM2573" s="663"/>
      <c r="AN2573" s="663"/>
      <c r="AO2573" s="708" t="str">
        <f>IF(OR(Table1[[#This Row],[Início Setup Envase]]="",Table1[[#This Row],[Final Setup Envase]]=""),"",Table1[[#This Row],[Final Setup Envase]]-Table1[[#This Row],[Início Setup Envase]])</f>
        <v/>
      </c>
      <c r="AP2573" s="663"/>
      <c r="AQ2573" s="663"/>
      <c r="AR2573" s="270"/>
      <c r="AS2573" s="674"/>
      <c r="AT2573" s="674"/>
      <c r="AU2573" s="270"/>
      <c r="AV2573" s="270"/>
      <c r="AW2573" s="270"/>
      <c r="AX2573" s="270"/>
      <c r="AY2573" s="270"/>
      <c r="AZ2573" s="270"/>
      <c r="BA2573" s="270" t="str">
        <f>IF(Table1[[#This Row],[Data de Início]]="","",YEAR(Table1[[#This Row],[Data de Início]]))</f>
        <v/>
      </c>
      <c r="BB2573" s="270" t="str">
        <f>IF(Table1[[#This Row],[Data de Início]]="","",MONTH(Table1[[#This Row],[Data de Início]]))</f>
        <v/>
      </c>
      <c r="BC2573" s="483"/>
    </row>
    <row r="2574" spans="2:55" x14ac:dyDescent="0.25">
      <c r="B2574" s="470"/>
      <c r="C2574" s="263"/>
      <c r="D2574" s="477" cm="1">
        <f t="array" ref="D2574">IFERROR(HorasUteisFabrica2Turnos(B2574,C2574), "")</f>
        <v>0</v>
      </c>
      <c r="E2574" s="478" t="str">
        <f t="shared" si="40"/>
        <v/>
      </c>
      <c r="F2574" s="266"/>
      <c r="G2574" s="656"/>
      <c r="H2574" s="479"/>
      <c r="I2574" s="268"/>
      <c r="J2574" s="268"/>
      <c r="K2574" s="268"/>
      <c r="L2574" s="269"/>
      <c r="M2574" s="511" t="str">
        <f>IFERROR(INDEX([1]Produtos!$C:$C,MATCH(L2574,[1]Produtos!$B:$B,0)), "-")</f>
        <v>-</v>
      </c>
      <c r="N2574" s="511" t="str">
        <f>IFERROR(INDEX([1]Produtos!$E:$E,MATCH(L2574,[1]Produtos!$B:$B,0)), "-")</f>
        <v>-</v>
      </c>
      <c r="O2574" s="483" t="str">
        <f>IFERROR(INDEX([1]Produtos!$F:$F,MATCH(L2574,[1]Produtos!$B:$B,0)), "-")</f>
        <v>-</v>
      </c>
      <c r="P2574" s="477" t="str">
        <f>IFERROR(INDEX([1]Produtos!$G:$G,MATCH(L2574,[1]Produtos!$B:$B,0)), "-")</f>
        <v>-</v>
      </c>
      <c r="Q2574" s="483" t="str">
        <f>IFERROR(INDEX([1]Produtos!$H:$H,MATCH(L2574,[1]Produtos!$B:$B,0)), "-")</f>
        <v>-</v>
      </c>
      <c r="R2574" s="483" t="str">
        <f>IFERROR(INDEX([1]Produtos!$I:$I,MATCH(L2574,[1]Produtos!$B:$B,0)), "-")</f>
        <v>-</v>
      </c>
      <c r="S2574" s="483" t="str">
        <f>IFERROR(INDEX([1]Produtos!$J:$J,MATCH(L2574,[1]Produtos!$B:$B,0)), "-")</f>
        <v>-</v>
      </c>
      <c r="T2574" s="484"/>
      <c r="U2574" s="483"/>
      <c r="V2574" s="483"/>
      <c r="W2574" s="483"/>
      <c r="X2574" s="483"/>
      <c r="Y2574" s="483"/>
      <c r="Z2574" s="483"/>
      <c r="AA2574" s="483"/>
      <c r="AB2574" s="483"/>
      <c r="AC2574" s="483"/>
      <c r="AD2574" s="483"/>
      <c r="AE2574" s="483"/>
      <c r="AF2574" s="483"/>
      <c r="AG2574" s="483"/>
      <c r="AH2574" s="483"/>
      <c r="AI2574" s="483"/>
      <c r="AJ2574" s="483"/>
      <c r="AK2574" s="483"/>
      <c r="AL2574" s="483"/>
      <c r="AM2574" s="670"/>
      <c r="AN2574" s="670"/>
      <c r="AO2574" s="711" t="str">
        <f>IF(OR(Table1[[#This Row],[Início Setup Envase]]="",Table1[[#This Row],[Final Setup Envase]]=""),"",Table1[[#This Row],[Final Setup Envase]]-Table1[[#This Row],[Início Setup Envase]])</f>
        <v/>
      </c>
      <c r="AP2574" s="670"/>
      <c r="AQ2574" s="670"/>
      <c r="AR2574" s="483"/>
      <c r="AS2574" s="483"/>
      <c r="AT2574" s="483"/>
      <c r="AU2574" s="483"/>
      <c r="AV2574" s="483"/>
      <c r="AW2574" s="483"/>
      <c r="AX2574" s="483"/>
      <c r="AY2574" s="270"/>
      <c r="AZ2574" s="270"/>
      <c r="BA2574" s="270" t="str">
        <f>IF(Table1[[#This Row],[Data de Início]]="","",YEAR(Table1[[#This Row],[Data de Início]]))</f>
        <v/>
      </c>
      <c r="BB2574" s="270" t="str">
        <f>IF(Table1[[#This Row],[Data de Início]]="","",MONTH(Table1[[#This Row],[Data de Início]]))</f>
        <v/>
      </c>
      <c r="BC2574" s="270"/>
    </row>
    <row r="2575" spans="2:55" x14ac:dyDescent="0.25">
      <c r="B2575" s="470"/>
      <c r="C2575" s="263"/>
      <c r="D2575" s="477" cm="1">
        <f t="array" ref="D2575">IFERROR(HorasUteisFabrica2Turnos(B2575,C2575), "")</f>
        <v>0</v>
      </c>
      <c r="E2575" s="697" t="str">
        <f t="shared" si="40"/>
        <v/>
      </c>
      <c r="F2575" s="266"/>
      <c r="G2575" s="698"/>
      <c r="H2575" s="266"/>
      <c r="I2575" s="268"/>
      <c r="J2575" s="268"/>
      <c r="K2575" s="268"/>
      <c r="L2575" s="269"/>
      <c r="M2575" s="510" t="str">
        <f>IFERROR(INDEX([1]Produtos!$C:$C,MATCH(L2575,[1]Produtos!$B:$B,0)), "-")</f>
        <v>-</v>
      </c>
      <c r="N2575" s="510" t="str">
        <f>IFERROR(INDEX([1]Produtos!$E:$E,MATCH(L2575,[1]Produtos!$B:$B,0)), "-")</f>
        <v>-</v>
      </c>
      <c r="O2575" s="270" t="str">
        <f>IFERROR(INDEX([1]Produtos!$F:$F,MATCH(L2575,[1]Produtos!$B:$B,0)), "-")</f>
        <v>-</v>
      </c>
      <c r="P2575" s="264" t="str">
        <f>IFERROR(INDEX([1]Produtos!$G:$G,MATCH(L2575,[1]Produtos!$B:$B,0)), "-")</f>
        <v>-</v>
      </c>
      <c r="Q2575" s="270" t="str">
        <f>IFERROR(INDEX([1]Produtos!$H:$H,MATCH(L2575,[1]Produtos!$B:$B,0)), "-")</f>
        <v>-</v>
      </c>
      <c r="R2575" s="270" t="str">
        <f>IFERROR(INDEX([1]Produtos!$I:$I,MATCH(L2575,[1]Produtos!$B:$B,0)), "-")</f>
        <v>-</v>
      </c>
      <c r="S2575" s="270" t="str">
        <f>IFERROR(INDEX([1]Produtos!$J:$J,MATCH(L2575,[1]Produtos!$B:$B,0)), "-")</f>
        <v>-</v>
      </c>
      <c r="T2575" s="475"/>
      <c r="U2575" s="270"/>
      <c r="V2575" s="270"/>
      <c r="W2575" s="270"/>
      <c r="X2575" s="270"/>
      <c r="Y2575" s="270"/>
      <c r="Z2575" s="270"/>
      <c r="AA2575" s="270"/>
      <c r="AB2575" s="270"/>
      <c r="AC2575" s="270"/>
      <c r="AD2575" s="270"/>
      <c r="AE2575" s="270"/>
      <c r="AF2575" s="270"/>
      <c r="AG2575" s="270"/>
      <c r="AH2575" s="270"/>
      <c r="AI2575" s="270"/>
      <c r="AJ2575" s="270"/>
      <c r="AK2575" s="270"/>
      <c r="AL2575" s="270"/>
      <c r="AM2575" s="663"/>
      <c r="AN2575" s="663"/>
      <c r="AO2575" s="708" t="str">
        <f>IF(OR(Table1[[#This Row],[Início Setup Envase]]="",Table1[[#This Row],[Final Setup Envase]]=""),"",Table1[[#This Row],[Final Setup Envase]]-Table1[[#This Row],[Início Setup Envase]])</f>
        <v/>
      </c>
      <c r="AP2575" s="663"/>
      <c r="AQ2575" s="663"/>
      <c r="AR2575" s="270"/>
      <c r="AS2575" s="674"/>
      <c r="AT2575" s="674"/>
      <c r="AU2575" s="270"/>
      <c r="AV2575" s="270"/>
      <c r="AW2575" s="270"/>
      <c r="AX2575" s="270"/>
      <c r="AY2575" s="270"/>
      <c r="AZ2575" s="270"/>
      <c r="BA2575" s="270" t="str">
        <f>IF(Table1[[#This Row],[Data de Início]]="","",YEAR(Table1[[#This Row],[Data de Início]]))</f>
        <v/>
      </c>
      <c r="BB2575" s="270" t="str">
        <f>IF(Table1[[#This Row],[Data de Início]]="","",MONTH(Table1[[#This Row],[Data de Início]]))</f>
        <v/>
      </c>
      <c r="BC2575" s="483"/>
    </row>
    <row r="2576" spans="2:55" x14ac:dyDescent="0.25">
      <c r="B2576" s="470"/>
      <c r="C2576" s="263"/>
      <c r="D2576" s="477" cm="1">
        <f t="array" ref="D2576">IFERROR(HorasUteisFabrica2Turnos(B2576,C2576), "")</f>
        <v>0</v>
      </c>
      <c r="E2576" s="478" t="str">
        <f t="shared" si="40"/>
        <v/>
      </c>
      <c r="F2576" s="266"/>
      <c r="G2576" s="656"/>
      <c r="H2576" s="479"/>
      <c r="I2576" s="268"/>
      <c r="J2576" s="268"/>
      <c r="K2576" s="268"/>
      <c r="L2576" s="269"/>
      <c r="M2576" s="511" t="str">
        <f>IFERROR(INDEX([1]Produtos!$C:$C,MATCH(L2576,[1]Produtos!$B:$B,0)), "-")</f>
        <v>-</v>
      </c>
      <c r="N2576" s="511" t="str">
        <f>IFERROR(INDEX([1]Produtos!$E:$E,MATCH(L2576,[1]Produtos!$B:$B,0)), "-")</f>
        <v>-</v>
      </c>
      <c r="O2576" s="483" t="str">
        <f>IFERROR(INDEX([1]Produtos!$F:$F,MATCH(L2576,[1]Produtos!$B:$B,0)), "-")</f>
        <v>-</v>
      </c>
      <c r="P2576" s="477" t="str">
        <f>IFERROR(INDEX([1]Produtos!$G:$G,MATCH(L2576,[1]Produtos!$B:$B,0)), "-")</f>
        <v>-</v>
      </c>
      <c r="Q2576" s="483" t="str">
        <f>IFERROR(INDEX([1]Produtos!$H:$H,MATCH(L2576,[1]Produtos!$B:$B,0)), "-")</f>
        <v>-</v>
      </c>
      <c r="R2576" s="483" t="str">
        <f>IFERROR(INDEX([1]Produtos!$I:$I,MATCH(L2576,[1]Produtos!$B:$B,0)), "-")</f>
        <v>-</v>
      </c>
      <c r="S2576" s="483" t="str">
        <f>IFERROR(INDEX([1]Produtos!$J:$J,MATCH(L2576,[1]Produtos!$B:$B,0)), "-")</f>
        <v>-</v>
      </c>
      <c r="T2576" s="484"/>
      <c r="U2576" s="483"/>
      <c r="V2576" s="483"/>
      <c r="W2576" s="483"/>
      <c r="X2576" s="483"/>
      <c r="Y2576" s="483"/>
      <c r="Z2576" s="483"/>
      <c r="AA2576" s="483"/>
      <c r="AB2576" s="483"/>
      <c r="AC2576" s="483"/>
      <c r="AD2576" s="483"/>
      <c r="AE2576" s="483"/>
      <c r="AF2576" s="483"/>
      <c r="AG2576" s="483"/>
      <c r="AH2576" s="483"/>
      <c r="AI2576" s="483"/>
      <c r="AJ2576" s="483"/>
      <c r="AK2576" s="483"/>
      <c r="AL2576" s="483"/>
      <c r="AM2576" s="670"/>
      <c r="AN2576" s="670"/>
      <c r="AO2576" s="711" t="str">
        <f>IF(OR(Table1[[#This Row],[Início Setup Envase]]="",Table1[[#This Row],[Final Setup Envase]]=""),"",Table1[[#This Row],[Final Setup Envase]]-Table1[[#This Row],[Início Setup Envase]])</f>
        <v/>
      </c>
      <c r="AP2576" s="670"/>
      <c r="AQ2576" s="670"/>
      <c r="AR2576" s="483"/>
      <c r="AS2576" s="483"/>
      <c r="AT2576" s="483"/>
      <c r="AU2576" s="483"/>
      <c r="AV2576" s="483"/>
      <c r="AW2576" s="483"/>
      <c r="AX2576" s="483"/>
      <c r="AY2576" s="270"/>
      <c r="AZ2576" s="270"/>
      <c r="BA2576" s="270" t="str">
        <f>IF(Table1[[#This Row],[Data de Início]]="","",YEAR(Table1[[#This Row],[Data de Início]]))</f>
        <v/>
      </c>
      <c r="BB2576" s="270" t="str">
        <f>IF(Table1[[#This Row],[Data de Início]]="","",MONTH(Table1[[#This Row],[Data de Início]]))</f>
        <v/>
      </c>
      <c r="BC2576" s="270"/>
    </row>
    <row r="2577" spans="2:55" x14ac:dyDescent="0.25">
      <c r="B2577" s="470"/>
      <c r="C2577" s="263"/>
      <c r="D2577" s="477" cm="1">
        <f t="array" ref="D2577">IFERROR(HorasUteisFabrica2Turnos(B2577,C2577), "")</f>
        <v>0</v>
      </c>
      <c r="E2577" s="697" t="str">
        <f t="shared" si="40"/>
        <v/>
      </c>
      <c r="F2577" s="266"/>
      <c r="G2577" s="698"/>
      <c r="H2577" s="266"/>
      <c r="I2577" s="268"/>
      <c r="J2577" s="268"/>
      <c r="K2577" s="268"/>
      <c r="L2577" s="269"/>
      <c r="M2577" s="510" t="str">
        <f>IFERROR(INDEX([1]Produtos!$C:$C,MATCH(L2577,[1]Produtos!$B:$B,0)), "-")</f>
        <v>-</v>
      </c>
      <c r="N2577" s="510" t="str">
        <f>IFERROR(INDEX([1]Produtos!$E:$E,MATCH(L2577,[1]Produtos!$B:$B,0)), "-")</f>
        <v>-</v>
      </c>
      <c r="O2577" s="270" t="str">
        <f>IFERROR(INDEX([1]Produtos!$F:$F,MATCH(L2577,[1]Produtos!$B:$B,0)), "-")</f>
        <v>-</v>
      </c>
      <c r="P2577" s="264" t="str">
        <f>IFERROR(INDEX([1]Produtos!$G:$G,MATCH(L2577,[1]Produtos!$B:$B,0)), "-")</f>
        <v>-</v>
      </c>
      <c r="Q2577" s="270" t="str">
        <f>IFERROR(INDEX([1]Produtos!$H:$H,MATCH(L2577,[1]Produtos!$B:$B,0)), "-")</f>
        <v>-</v>
      </c>
      <c r="R2577" s="270" t="str">
        <f>IFERROR(INDEX([1]Produtos!$I:$I,MATCH(L2577,[1]Produtos!$B:$B,0)), "-")</f>
        <v>-</v>
      </c>
      <c r="S2577" s="270" t="str">
        <f>IFERROR(INDEX([1]Produtos!$J:$J,MATCH(L2577,[1]Produtos!$B:$B,0)), "-")</f>
        <v>-</v>
      </c>
      <c r="T2577" s="475"/>
      <c r="U2577" s="270"/>
      <c r="V2577" s="270"/>
      <c r="W2577" s="270"/>
      <c r="X2577" s="270"/>
      <c r="Y2577" s="270"/>
      <c r="Z2577" s="270"/>
      <c r="AA2577" s="270"/>
      <c r="AB2577" s="270"/>
      <c r="AC2577" s="270"/>
      <c r="AD2577" s="270"/>
      <c r="AE2577" s="270"/>
      <c r="AF2577" s="270"/>
      <c r="AG2577" s="270"/>
      <c r="AH2577" s="270"/>
      <c r="AI2577" s="270"/>
      <c r="AJ2577" s="270"/>
      <c r="AK2577" s="270"/>
      <c r="AL2577" s="270"/>
      <c r="AM2577" s="663"/>
      <c r="AN2577" s="663"/>
      <c r="AO2577" s="708" t="str">
        <f>IF(OR(Table1[[#This Row],[Início Setup Envase]]="",Table1[[#This Row],[Final Setup Envase]]=""),"",Table1[[#This Row],[Final Setup Envase]]-Table1[[#This Row],[Início Setup Envase]])</f>
        <v/>
      </c>
      <c r="AP2577" s="663"/>
      <c r="AQ2577" s="663"/>
      <c r="AR2577" s="270"/>
      <c r="AS2577" s="674"/>
      <c r="AT2577" s="674"/>
      <c r="AU2577" s="270"/>
      <c r="AV2577" s="270"/>
      <c r="AW2577" s="270"/>
      <c r="AX2577" s="270"/>
      <c r="AY2577" s="270"/>
      <c r="AZ2577" s="270"/>
      <c r="BA2577" s="270" t="str">
        <f>IF(Table1[[#This Row],[Data de Início]]="","",YEAR(Table1[[#This Row],[Data de Início]]))</f>
        <v/>
      </c>
      <c r="BB2577" s="270" t="str">
        <f>IF(Table1[[#This Row],[Data de Início]]="","",MONTH(Table1[[#This Row],[Data de Início]]))</f>
        <v/>
      </c>
      <c r="BC2577" s="483"/>
    </row>
    <row r="2578" spans="2:55" x14ac:dyDescent="0.25">
      <c r="B2578" s="470"/>
      <c r="C2578" s="263"/>
      <c r="D2578" s="477" cm="1">
        <f t="array" ref="D2578">IFERROR(HorasUteisFabrica2Turnos(B2578,C2578), "")</f>
        <v>0</v>
      </c>
      <c r="E2578" s="478" t="str">
        <f t="shared" si="40"/>
        <v/>
      </c>
      <c r="F2578" s="266"/>
      <c r="G2578" s="656"/>
      <c r="H2578" s="479"/>
      <c r="I2578" s="268"/>
      <c r="J2578" s="268"/>
      <c r="K2578" s="268"/>
      <c r="L2578" s="269"/>
      <c r="M2578" s="511" t="str">
        <f>IFERROR(INDEX([1]Produtos!$C:$C,MATCH(L2578,[1]Produtos!$B:$B,0)), "-")</f>
        <v>-</v>
      </c>
      <c r="N2578" s="511" t="str">
        <f>IFERROR(INDEX([1]Produtos!$E:$E,MATCH(L2578,[1]Produtos!$B:$B,0)), "-")</f>
        <v>-</v>
      </c>
      <c r="O2578" s="483" t="str">
        <f>IFERROR(INDEX([1]Produtos!$F:$F,MATCH(L2578,[1]Produtos!$B:$B,0)), "-")</f>
        <v>-</v>
      </c>
      <c r="P2578" s="477" t="str">
        <f>IFERROR(INDEX([1]Produtos!$G:$G,MATCH(L2578,[1]Produtos!$B:$B,0)), "-")</f>
        <v>-</v>
      </c>
      <c r="Q2578" s="483" t="str">
        <f>IFERROR(INDEX([1]Produtos!$H:$H,MATCH(L2578,[1]Produtos!$B:$B,0)), "-")</f>
        <v>-</v>
      </c>
      <c r="R2578" s="483" t="str">
        <f>IFERROR(INDEX([1]Produtos!$I:$I,MATCH(L2578,[1]Produtos!$B:$B,0)), "-")</f>
        <v>-</v>
      </c>
      <c r="S2578" s="483" t="str">
        <f>IFERROR(INDEX([1]Produtos!$J:$J,MATCH(L2578,[1]Produtos!$B:$B,0)), "-")</f>
        <v>-</v>
      </c>
      <c r="T2578" s="484"/>
      <c r="U2578" s="483"/>
      <c r="V2578" s="483"/>
      <c r="W2578" s="483"/>
      <c r="X2578" s="483"/>
      <c r="Y2578" s="483"/>
      <c r="Z2578" s="483"/>
      <c r="AA2578" s="483"/>
      <c r="AB2578" s="483"/>
      <c r="AC2578" s="483"/>
      <c r="AD2578" s="483"/>
      <c r="AE2578" s="483"/>
      <c r="AF2578" s="483"/>
      <c r="AG2578" s="483"/>
      <c r="AH2578" s="483"/>
      <c r="AI2578" s="483"/>
      <c r="AJ2578" s="483"/>
      <c r="AK2578" s="483"/>
      <c r="AL2578" s="483"/>
      <c r="AM2578" s="670"/>
      <c r="AN2578" s="670"/>
      <c r="AO2578" s="711" t="str">
        <f>IF(OR(Table1[[#This Row],[Início Setup Envase]]="",Table1[[#This Row],[Final Setup Envase]]=""),"",Table1[[#This Row],[Final Setup Envase]]-Table1[[#This Row],[Início Setup Envase]])</f>
        <v/>
      </c>
      <c r="AP2578" s="670"/>
      <c r="AQ2578" s="670"/>
      <c r="AR2578" s="483"/>
      <c r="AS2578" s="483"/>
      <c r="AT2578" s="483"/>
      <c r="AU2578" s="483"/>
      <c r="AV2578" s="483"/>
      <c r="AW2578" s="483"/>
      <c r="AX2578" s="483"/>
      <c r="AY2578" s="270"/>
      <c r="AZ2578" s="270"/>
      <c r="BA2578" s="270" t="str">
        <f>IF(Table1[[#This Row],[Data de Início]]="","",YEAR(Table1[[#This Row],[Data de Início]]))</f>
        <v/>
      </c>
      <c r="BB2578" s="270" t="str">
        <f>IF(Table1[[#This Row],[Data de Início]]="","",MONTH(Table1[[#This Row],[Data de Início]]))</f>
        <v/>
      </c>
      <c r="BC2578" s="270"/>
    </row>
    <row r="2579" spans="2:55" x14ac:dyDescent="0.25">
      <c r="B2579" s="470"/>
      <c r="C2579" s="263"/>
      <c r="D2579" s="477" cm="1">
        <f t="array" ref="D2579">IFERROR(HorasUteisFabrica2Turnos(B2579,C2579), "")</f>
        <v>0</v>
      </c>
      <c r="E2579" s="697" t="str">
        <f t="shared" si="40"/>
        <v/>
      </c>
      <c r="F2579" s="266"/>
      <c r="G2579" s="698"/>
      <c r="H2579" s="266"/>
      <c r="I2579" s="268"/>
      <c r="J2579" s="268"/>
      <c r="K2579" s="268"/>
      <c r="L2579" s="269"/>
      <c r="M2579" s="510" t="str">
        <f>IFERROR(INDEX([1]Produtos!$C:$C,MATCH(L2579,[1]Produtos!$B:$B,0)), "-")</f>
        <v>-</v>
      </c>
      <c r="N2579" s="510" t="str">
        <f>IFERROR(INDEX([1]Produtos!$E:$E,MATCH(L2579,[1]Produtos!$B:$B,0)), "-")</f>
        <v>-</v>
      </c>
      <c r="O2579" s="270" t="str">
        <f>IFERROR(INDEX([1]Produtos!$F:$F,MATCH(L2579,[1]Produtos!$B:$B,0)), "-")</f>
        <v>-</v>
      </c>
      <c r="P2579" s="264" t="str">
        <f>IFERROR(INDEX([1]Produtos!$G:$G,MATCH(L2579,[1]Produtos!$B:$B,0)), "-")</f>
        <v>-</v>
      </c>
      <c r="Q2579" s="270" t="str">
        <f>IFERROR(INDEX([1]Produtos!$H:$H,MATCH(L2579,[1]Produtos!$B:$B,0)), "-")</f>
        <v>-</v>
      </c>
      <c r="R2579" s="270" t="str">
        <f>IFERROR(INDEX([1]Produtos!$I:$I,MATCH(L2579,[1]Produtos!$B:$B,0)), "-")</f>
        <v>-</v>
      </c>
      <c r="S2579" s="270" t="str">
        <f>IFERROR(INDEX([1]Produtos!$J:$J,MATCH(L2579,[1]Produtos!$B:$B,0)), "-")</f>
        <v>-</v>
      </c>
      <c r="T2579" s="475"/>
      <c r="U2579" s="270"/>
      <c r="V2579" s="270"/>
      <c r="W2579" s="270"/>
      <c r="X2579" s="270"/>
      <c r="Y2579" s="270"/>
      <c r="Z2579" s="270"/>
      <c r="AA2579" s="270"/>
      <c r="AB2579" s="270"/>
      <c r="AC2579" s="270"/>
      <c r="AD2579" s="270"/>
      <c r="AE2579" s="270"/>
      <c r="AF2579" s="270"/>
      <c r="AG2579" s="270"/>
      <c r="AH2579" s="270"/>
      <c r="AI2579" s="270"/>
      <c r="AJ2579" s="270"/>
      <c r="AK2579" s="270"/>
      <c r="AL2579" s="270"/>
      <c r="AM2579" s="663"/>
      <c r="AN2579" s="663"/>
      <c r="AO2579" s="708" t="str">
        <f>IF(OR(Table1[[#This Row],[Início Setup Envase]]="",Table1[[#This Row],[Final Setup Envase]]=""),"",Table1[[#This Row],[Final Setup Envase]]-Table1[[#This Row],[Início Setup Envase]])</f>
        <v/>
      </c>
      <c r="AP2579" s="663"/>
      <c r="AQ2579" s="663"/>
      <c r="AR2579" s="270"/>
      <c r="AS2579" s="674"/>
      <c r="AT2579" s="674"/>
      <c r="AU2579" s="270"/>
      <c r="AV2579" s="270"/>
      <c r="AW2579" s="270"/>
      <c r="AX2579" s="270"/>
      <c r="AY2579" s="270"/>
      <c r="AZ2579" s="270"/>
      <c r="BA2579" s="270" t="str">
        <f>IF(Table1[[#This Row],[Data de Início]]="","",YEAR(Table1[[#This Row],[Data de Início]]))</f>
        <v/>
      </c>
      <c r="BB2579" s="270" t="str">
        <f>IF(Table1[[#This Row],[Data de Início]]="","",MONTH(Table1[[#This Row],[Data de Início]]))</f>
        <v/>
      </c>
      <c r="BC2579" s="483"/>
    </row>
    <row r="2580" spans="2:55" x14ac:dyDescent="0.25">
      <c r="B2580" s="470"/>
      <c r="C2580" s="263"/>
      <c r="D2580" s="477" cm="1">
        <f t="array" ref="D2580">IFERROR(HorasUteisFabrica2Turnos(B2580,C2580), "")</f>
        <v>0</v>
      </c>
      <c r="E2580" s="478" t="str">
        <f t="shared" si="40"/>
        <v/>
      </c>
      <c r="F2580" s="266"/>
      <c r="G2580" s="656"/>
      <c r="H2580" s="479"/>
      <c r="I2580" s="268"/>
      <c r="J2580" s="268"/>
      <c r="K2580" s="268"/>
      <c r="L2580" s="269"/>
      <c r="M2580" s="511" t="str">
        <f>IFERROR(INDEX([1]Produtos!$C:$C,MATCH(L2580,[1]Produtos!$B:$B,0)), "-")</f>
        <v>-</v>
      </c>
      <c r="N2580" s="511" t="str">
        <f>IFERROR(INDEX([1]Produtos!$E:$E,MATCH(L2580,[1]Produtos!$B:$B,0)), "-")</f>
        <v>-</v>
      </c>
      <c r="O2580" s="483" t="str">
        <f>IFERROR(INDEX([1]Produtos!$F:$F,MATCH(L2580,[1]Produtos!$B:$B,0)), "-")</f>
        <v>-</v>
      </c>
      <c r="P2580" s="477" t="str">
        <f>IFERROR(INDEX([1]Produtos!$G:$G,MATCH(L2580,[1]Produtos!$B:$B,0)), "-")</f>
        <v>-</v>
      </c>
      <c r="Q2580" s="483" t="str">
        <f>IFERROR(INDEX([1]Produtos!$H:$H,MATCH(L2580,[1]Produtos!$B:$B,0)), "-")</f>
        <v>-</v>
      </c>
      <c r="R2580" s="483" t="str">
        <f>IFERROR(INDEX([1]Produtos!$I:$I,MATCH(L2580,[1]Produtos!$B:$B,0)), "-")</f>
        <v>-</v>
      </c>
      <c r="S2580" s="483" t="str">
        <f>IFERROR(INDEX([1]Produtos!$J:$J,MATCH(L2580,[1]Produtos!$B:$B,0)), "-")</f>
        <v>-</v>
      </c>
      <c r="T2580" s="484"/>
      <c r="U2580" s="483"/>
      <c r="V2580" s="483"/>
      <c r="W2580" s="483"/>
      <c r="X2580" s="483"/>
      <c r="Y2580" s="483"/>
      <c r="Z2580" s="483"/>
      <c r="AA2580" s="483"/>
      <c r="AB2580" s="483"/>
      <c r="AC2580" s="483"/>
      <c r="AD2580" s="483"/>
      <c r="AE2580" s="483"/>
      <c r="AF2580" s="483"/>
      <c r="AG2580" s="483"/>
      <c r="AH2580" s="483"/>
      <c r="AI2580" s="483"/>
      <c r="AJ2580" s="483"/>
      <c r="AK2580" s="483"/>
      <c r="AL2580" s="483"/>
      <c r="AM2580" s="670"/>
      <c r="AN2580" s="670"/>
      <c r="AO2580" s="711" t="str">
        <f>IF(OR(Table1[[#This Row],[Início Setup Envase]]="",Table1[[#This Row],[Final Setup Envase]]=""),"",Table1[[#This Row],[Final Setup Envase]]-Table1[[#This Row],[Início Setup Envase]])</f>
        <v/>
      </c>
      <c r="AP2580" s="670"/>
      <c r="AQ2580" s="670"/>
      <c r="AR2580" s="483"/>
      <c r="AS2580" s="483"/>
      <c r="AT2580" s="483"/>
      <c r="AU2580" s="483"/>
      <c r="AV2580" s="483"/>
      <c r="AW2580" s="483"/>
      <c r="AX2580" s="483"/>
      <c r="AY2580" s="270"/>
      <c r="AZ2580" s="270"/>
      <c r="BA2580" s="270" t="str">
        <f>IF(Table1[[#This Row],[Data de Início]]="","",YEAR(Table1[[#This Row],[Data de Início]]))</f>
        <v/>
      </c>
      <c r="BB2580" s="270" t="str">
        <f>IF(Table1[[#This Row],[Data de Início]]="","",MONTH(Table1[[#This Row],[Data de Início]]))</f>
        <v/>
      </c>
      <c r="BC2580" s="270"/>
    </row>
    <row r="2581" spans="2:55" x14ac:dyDescent="0.25">
      <c r="B2581" s="470"/>
      <c r="C2581" s="263"/>
      <c r="D2581" s="477" cm="1">
        <f t="array" ref="D2581">IFERROR(HorasUteisFabrica2Turnos(B2581,C2581), "")</f>
        <v>0</v>
      </c>
      <c r="E2581" s="697" t="str">
        <f t="shared" si="40"/>
        <v/>
      </c>
      <c r="F2581" s="266"/>
      <c r="G2581" s="698"/>
      <c r="H2581" s="266"/>
      <c r="I2581" s="268"/>
      <c r="J2581" s="268"/>
      <c r="K2581" s="268"/>
      <c r="L2581" s="269"/>
      <c r="M2581" s="510" t="str">
        <f>IFERROR(INDEX([1]Produtos!$C:$C,MATCH(L2581,[1]Produtos!$B:$B,0)), "-")</f>
        <v>-</v>
      </c>
      <c r="N2581" s="510" t="str">
        <f>IFERROR(INDEX([1]Produtos!$E:$E,MATCH(L2581,[1]Produtos!$B:$B,0)), "-")</f>
        <v>-</v>
      </c>
      <c r="O2581" s="270" t="str">
        <f>IFERROR(INDEX([1]Produtos!$F:$F,MATCH(L2581,[1]Produtos!$B:$B,0)), "-")</f>
        <v>-</v>
      </c>
      <c r="P2581" s="264" t="str">
        <f>IFERROR(INDEX([1]Produtos!$G:$G,MATCH(L2581,[1]Produtos!$B:$B,0)), "-")</f>
        <v>-</v>
      </c>
      <c r="Q2581" s="270" t="str">
        <f>IFERROR(INDEX([1]Produtos!$H:$H,MATCH(L2581,[1]Produtos!$B:$B,0)), "-")</f>
        <v>-</v>
      </c>
      <c r="R2581" s="270" t="str">
        <f>IFERROR(INDEX([1]Produtos!$I:$I,MATCH(L2581,[1]Produtos!$B:$B,0)), "-")</f>
        <v>-</v>
      </c>
      <c r="S2581" s="270" t="str">
        <f>IFERROR(INDEX([1]Produtos!$J:$J,MATCH(L2581,[1]Produtos!$B:$B,0)), "-")</f>
        <v>-</v>
      </c>
      <c r="T2581" s="475"/>
      <c r="U2581" s="270"/>
      <c r="V2581" s="270"/>
      <c r="W2581" s="270"/>
      <c r="X2581" s="270"/>
      <c r="Y2581" s="270"/>
      <c r="Z2581" s="270"/>
      <c r="AA2581" s="270"/>
      <c r="AB2581" s="270"/>
      <c r="AC2581" s="270"/>
      <c r="AD2581" s="270"/>
      <c r="AE2581" s="270"/>
      <c r="AF2581" s="270"/>
      <c r="AG2581" s="270"/>
      <c r="AH2581" s="270"/>
      <c r="AI2581" s="270"/>
      <c r="AJ2581" s="270"/>
      <c r="AK2581" s="270"/>
      <c r="AL2581" s="270"/>
      <c r="AM2581" s="663"/>
      <c r="AN2581" s="663"/>
      <c r="AO2581" s="708" t="str">
        <f>IF(OR(Table1[[#This Row],[Início Setup Envase]]="",Table1[[#This Row],[Final Setup Envase]]=""),"",Table1[[#This Row],[Final Setup Envase]]-Table1[[#This Row],[Início Setup Envase]])</f>
        <v/>
      </c>
      <c r="AP2581" s="663"/>
      <c r="AQ2581" s="663"/>
      <c r="AR2581" s="270"/>
      <c r="AS2581" s="674"/>
      <c r="AT2581" s="674"/>
      <c r="AU2581" s="270"/>
      <c r="AV2581" s="270"/>
      <c r="AW2581" s="270"/>
      <c r="AX2581" s="270"/>
      <c r="AY2581" s="270"/>
      <c r="AZ2581" s="270"/>
      <c r="BA2581" s="270" t="str">
        <f>IF(Table1[[#This Row],[Data de Início]]="","",YEAR(Table1[[#This Row],[Data de Início]]))</f>
        <v/>
      </c>
      <c r="BB2581" s="270" t="str">
        <f>IF(Table1[[#This Row],[Data de Início]]="","",MONTH(Table1[[#This Row],[Data de Início]]))</f>
        <v/>
      </c>
      <c r="BC2581" s="483"/>
    </row>
    <row r="2582" spans="2:55" x14ac:dyDescent="0.25">
      <c r="B2582" s="470"/>
      <c r="C2582" s="263"/>
      <c r="D2582" s="477" cm="1">
        <f t="array" ref="D2582">IFERROR(HorasUteisFabrica2Turnos(B2582,C2582), "")</f>
        <v>0</v>
      </c>
      <c r="E2582" s="478" t="str">
        <f t="shared" si="40"/>
        <v/>
      </c>
      <c r="F2582" s="266"/>
      <c r="G2582" s="656"/>
      <c r="H2582" s="479"/>
      <c r="I2582" s="268"/>
      <c r="J2582" s="268"/>
      <c r="K2582" s="268"/>
      <c r="L2582" s="269"/>
      <c r="M2582" s="511" t="str">
        <f>IFERROR(INDEX([1]Produtos!$C:$C,MATCH(L2582,[1]Produtos!$B:$B,0)), "-")</f>
        <v>-</v>
      </c>
      <c r="N2582" s="511" t="str">
        <f>IFERROR(INDEX([1]Produtos!$E:$E,MATCH(L2582,[1]Produtos!$B:$B,0)), "-")</f>
        <v>-</v>
      </c>
      <c r="O2582" s="483" t="str">
        <f>IFERROR(INDEX([1]Produtos!$F:$F,MATCH(L2582,[1]Produtos!$B:$B,0)), "-")</f>
        <v>-</v>
      </c>
      <c r="P2582" s="477" t="str">
        <f>IFERROR(INDEX([1]Produtos!$G:$G,MATCH(L2582,[1]Produtos!$B:$B,0)), "-")</f>
        <v>-</v>
      </c>
      <c r="Q2582" s="483" t="str">
        <f>IFERROR(INDEX([1]Produtos!$H:$H,MATCH(L2582,[1]Produtos!$B:$B,0)), "-")</f>
        <v>-</v>
      </c>
      <c r="R2582" s="483" t="str">
        <f>IFERROR(INDEX([1]Produtos!$I:$I,MATCH(L2582,[1]Produtos!$B:$B,0)), "-")</f>
        <v>-</v>
      </c>
      <c r="S2582" s="483" t="str">
        <f>IFERROR(INDEX([1]Produtos!$J:$J,MATCH(L2582,[1]Produtos!$B:$B,0)), "-")</f>
        <v>-</v>
      </c>
      <c r="T2582" s="484"/>
      <c r="U2582" s="483"/>
      <c r="V2582" s="483"/>
      <c r="W2582" s="483"/>
      <c r="X2582" s="483"/>
      <c r="Y2582" s="483"/>
      <c r="Z2582" s="483"/>
      <c r="AA2582" s="483"/>
      <c r="AB2582" s="483"/>
      <c r="AC2582" s="483"/>
      <c r="AD2582" s="483"/>
      <c r="AE2582" s="483"/>
      <c r="AF2582" s="483"/>
      <c r="AG2582" s="483"/>
      <c r="AH2582" s="483"/>
      <c r="AI2582" s="483"/>
      <c r="AJ2582" s="483"/>
      <c r="AK2582" s="483"/>
      <c r="AL2582" s="483"/>
      <c r="AM2582" s="670"/>
      <c r="AN2582" s="670"/>
      <c r="AO2582" s="711" t="str">
        <f>IF(OR(Table1[[#This Row],[Início Setup Envase]]="",Table1[[#This Row],[Final Setup Envase]]=""),"",Table1[[#This Row],[Final Setup Envase]]-Table1[[#This Row],[Início Setup Envase]])</f>
        <v/>
      </c>
      <c r="AP2582" s="670"/>
      <c r="AQ2582" s="670"/>
      <c r="AR2582" s="483"/>
      <c r="AS2582" s="483"/>
      <c r="AT2582" s="483"/>
      <c r="AU2582" s="483"/>
      <c r="AV2582" s="483"/>
      <c r="AW2582" s="483"/>
      <c r="AX2582" s="483"/>
      <c r="AY2582" s="270"/>
      <c r="AZ2582" s="270"/>
      <c r="BA2582" s="270" t="str">
        <f>IF(Table1[[#This Row],[Data de Início]]="","",YEAR(Table1[[#This Row],[Data de Início]]))</f>
        <v/>
      </c>
      <c r="BB2582" s="270" t="str">
        <f>IF(Table1[[#This Row],[Data de Início]]="","",MONTH(Table1[[#This Row],[Data de Início]]))</f>
        <v/>
      </c>
      <c r="BC2582" s="270"/>
    </row>
    <row r="2583" spans="2:55" x14ac:dyDescent="0.25">
      <c r="B2583" s="470"/>
      <c r="C2583" s="263"/>
      <c r="D2583" s="477" cm="1">
        <f t="array" ref="D2583">IFERROR(HorasUteisFabrica2Turnos(B2583,C2583), "")</f>
        <v>0</v>
      </c>
      <c r="E2583" s="697" t="str">
        <f t="shared" si="40"/>
        <v/>
      </c>
      <c r="F2583" s="266"/>
      <c r="G2583" s="698"/>
      <c r="H2583" s="266"/>
      <c r="I2583" s="268"/>
      <c r="J2583" s="268"/>
      <c r="K2583" s="268"/>
      <c r="L2583" s="269"/>
      <c r="M2583" s="510" t="str">
        <f>IFERROR(INDEX([1]Produtos!$C:$C,MATCH(L2583,[1]Produtos!$B:$B,0)), "-")</f>
        <v>-</v>
      </c>
      <c r="N2583" s="510" t="str">
        <f>IFERROR(INDEX([1]Produtos!$E:$E,MATCH(L2583,[1]Produtos!$B:$B,0)), "-")</f>
        <v>-</v>
      </c>
      <c r="O2583" s="270" t="str">
        <f>IFERROR(INDEX([1]Produtos!$F:$F,MATCH(L2583,[1]Produtos!$B:$B,0)), "-")</f>
        <v>-</v>
      </c>
      <c r="P2583" s="264" t="str">
        <f>IFERROR(INDEX([1]Produtos!$G:$G,MATCH(L2583,[1]Produtos!$B:$B,0)), "-")</f>
        <v>-</v>
      </c>
      <c r="Q2583" s="270" t="str">
        <f>IFERROR(INDEX([1]Produtos!$H:$H,MATCH(L2583,[1]Produtos!$B:$B,0)), "-")</f>
        <v>-</v>
      </c>
      <c r="R2583" s="270" t="str">
        <f>IFERROR(INDEX([1]Produtos!$I:$I,MATCH(L2583,[1]Produtos!$B:$B,0)), "-")</f>
        <v>-</v>
      </c>
      <c r="S2583" s="270" t="str">
        <f>IFERROR(INDEX([1]Produtos!$J:$J,MATCH(L2583,[1]Produtos!$B:$B,0)), "-")</f>
        <v>-</v>
      </c>
      <c r="T2583" s="475"/>
      <c r="U2583" s="270"/>
      <c r="V2583" s="270"/>
      <c r="W2583" s="270"/>
      <c r="X2583" s="270"/>
      <c r="Y2583" s="270"/>
      <c r="Z2583" s="270"/>
      <c r="AA2583" s="270"/>
      <c r="AB2583" s="270"/>
      <c r="AC2583" s="270"/>
      <c r="AD2583" s="270"/>
      <c r="AE2583" s="270"/>
      <c r="AF2583" s="270"/>
      <c r="AG2583" s="270"/>
      <c r="AH2583" s="270"/>
      <c r="AI2583" s="270"/>
      <c r="AJ2583" s="270"/>
      <c r="AK2583" s="270"/>
      <c r="AL2583" s="270"/>
      <c r="AM2583" s="663"/>
      <c r="AN2583" s="663"/>
      <c r="AO2583" s="708" t="str">
        <f>IF(OR(Table1[[#This Row],[Início Setup Envase]]="",Table1[[#This Row],[Final Setup Envase]]=""),"",Table1[[#This Row],[Final Setup Envase]]-Table1[[#This Row],[Início Setup Envase]])</f>
        <v/>
      </c>
      <c r="AP2583" s="663"/>
      <c r="AQ2583" s="663"/>
      <c r="AR2583" s="270"/>
      <c r="AS2583" s="674"/>
      <c r="AT2583" s="674"/>
      <c r="AU2583" s="270"/>
      <c r="AV2583" s="270"/>
      <c r="AW2583" s="270"/>
      <c r="AX2583" s="270"/>
      <c r="AY2583" s="270"/>
      <c r="AZ2583" s="270"/>
      <c r="BA2583" s="270" t="str">
        <f>IF(Table1[[#This Row],[Data de Início]]="","",YEAR(Table1[[#This Row],[Data de Início]]))</f>
        <v/>
      </c>
      <c r="BB2583" s="270" t="str">
        <f>IF(Table1[[#This Row],[Data de Início]]="","",MONTH(Table1[[#This Row],[Data de Início]]))</f>
        <v/>
      </c>
      <c r="BC2583" s="483"/>
    </row>
    <row r="2584" spans="2:55" x14ac:dyDescent="0.25">
      <c r="B2584" s="470"/>
      <c r="C2584" s="263"/>
      <c r="D2584" s="477" cm="1">
        <f t="array" ref="D2584">IFERROR(HorasUteisFabrica2Turnos(B2584,C2584), "")</f>
        <v>0</v>
      </c>
      <c r="E2584" s="478" t="str">
        <f t="shared" si="40"/>
        <v/>
      </c>
      <c r="F2584" s="266"/>
      <c r="G2584" s="656"/>
      <c r="H2584" s="479"/>
      <c r="I2584" s="268"/>
      <c r="J2584" s="268"/>
      <c r="K2584" s="268"/>
      <c r="L2584" s="269"/>
      <c r="M2584" s="511" t="str">
        <f>IFERROR(INDEX([1]Produtos!$C:$C,MATCH(L2584,[1]Produtos!$B:$B,0)), "-")</f>
        <v>-</v>
      </c>
      <c r="N2584" s="511" t="str">
        <f>IFERROR(INDEX([1]Produtos!$E:$E,MATCH(L2584,[1]Produtos!$B:$B,0)), "-")</f>
        <v>-</v>
      </c>
      <c r="O2584" s="483" t="str">
        <f>IFERROR(INDEX([1]Produtos!$F:$F,MATCH(L2584,[1]Produtos!$B:$B,0)), "-")</f>
        <v>-</v>
      </c>
      <c r="P2584" s="477" t="str">
        <f>IFERROR(INDEX([1]Produtos!$G:$G,MATCH(L2584,[1]Produtos!$B:$B,0)), "-")</f>
        <v>-</v>
      </c>
      <c r="Q2584" s="483" t="str">
        <f>IFERROR(INDEX([1]Produtos!$H:$H,MATCH(L2584,[1]Produtos!$B:$B,0)), "-")</f>
        <v>-</v>
      </c>
      <c r="R2584" s="483" t="str">
        <f>IFERROR(INDEX([1]Produtos!$I:$I,MATCH(L2584,[1]Produtos!$B:$B,0)), "-")</f>
        <v>-</v>
      </c>
      <c r="S2584" s="483" t="str">
        <f>IFERROR(INDEX([1]Produtos!$J:$J,MATCH(L2584,[1]Produtos!$B:$B,0)), "-")</f>
        <v>-</v>
      </c>
      <c r="T2584" s="484"/>
      <c r="U2584" s="483"/>
      <c r="V2584" s="483"/>
      <c r="W2584" s="483"/>
      <c r="X2584" s="483"/>
      <c r="Y2584" s="483"/>
      <c r="Z2584" s="483"/>
      <c r="AA2584" s="483"/>
      <c r="AB2584" s="483"/>
      <c r="AC2584" s="483"/>
      <c r="AD2584" s="483"/>
      <c r="AE2584" s="483"/>
      <c r="AF2584" s="483"/>
      <c r="AG2584" s="483"/>
      <c r="AH2584" s="483"/>
      <c r="AI2584" s="483"/>
      <c r="AJ2584" s="483"/>
      <c r="AK2584" s="483"/>
      <c r="AL2584" s="483"/>
      <c r="AM2584" s="670"/>
      <c r="AN2584" s="670"/>
      <c r="AO2584" s="711" t="str">
        <f>IF(OR(Table1[[#This Row],[Início Setup Envase]]="",Table1[[#This Row],[Final Setup Envase]]=""),"",Table1[[#This Row],[Final Setup Envase]]-Table1[[#This Row],[Início Setup Envase]])</f>
        <v/>
      </c>
      <c r="AP2584" s="670"/>
      <c r="AQ2584" s="670"/>
      <c r="AR2584" s="483"/>
      <c r="AS2584" s="483"/>
      <c r="AT2584" s="483"/>
      <c r="AU2584" s="483"/>
      <c r="AV2584" s="483"/>
      <c r="AW2584" s="483"/>
      <c r="AX2584" s="483"/>
      <c r="AY2584" s="270"/>
      <c r="AZ2584" s="270"/>
      <c r="BA2584" s="270" t="str">
        <f>IF(Table1[[#This Row],[Data de Início]]="","",YEAR(Table1[[#This Row],[Data de Início]]))</f>
        <v/>
      </c>
      <c r="BB2584" s="270" t="str">
        <f>IF(Table1[[#This Row],[Data de Início]]="","",MONTH(Table1[[#This Row],[Data de Início]]))</f>
        <v/>
      </c>
      <c r="BC2584" s="270"/>
    </row>
    <row r="2585" spans="2:55" x14ac:dyDescent="0.25">
      <c r="B2585" s="470"/>
      <c r="C2585" s="263"/>
      <c r="D2585" s="477" cm="1">
        <f t="array" ref="D2585">IFERROR(HorasUteisFabrica2Turnos(B2585,C2585), "")</f>
        <v>0</v>
      </c>
      <c r="E2585" s="697" t="str">
        <f t="shared" si="40"/>
        <v/>
      </c>
      <c r="F2585" s="266"/>
      <c r="G2585" s="698"/>
      <c r="H2585" s="266"/>
      <c r="I2585" s="268"/>
      <c r="J2585" s="268"/>
      <c r="K2585" s="268"/>
      <c r="L2585" s="269"/>
      <c r="M2585" s="510" t="str">
        <f>IFERROR(INDEX([1]Produtos!$C:$C,MATCH(L2585,[1]Produtos!$B:$B,0)), "-")</f>
        <v>-</v>
      </c>
      <c r="N2585" s="510" t="str">
        <f>IFERROR(INDEX([1]Produtos!$E:$E,MATCH(L2585,[1]Produtos!$B:$B,0)), "-")</f>
        <v>-</v>
      </c>
      <c r="O2585" s="270" t="str">
        <f>IFERROR(INDEX([1]Produtos!$F:$F,MATCH(L2585,[1]Produtos!$B:$B,0)), "-")</f>
        <v>-</v>
      </c>
      <c r="P2585" s="264" t="str">
        <f>IFERROR(INDEX([1]Produtos!$G:$G,MATCH(L2585,[1]Produtos!$B:$B,0)), "-")</f>
        <v>-</v>
      </c>
      <c r="Q2585" s="270" t="str">
        <f>IFERROR(INDEX([1]Produtos!$H:$H,MATCH(L2585,[1]Produtos!$B:$B,0)), "-")</f>
        <v>-</v>
      </c>
      <c r="R2585" s="270" t="str">
        <f>IFERROR(INDEX([1]Produtos!$I:$I,MATCH(L2585,[1]Produtos!$B:$B,0)), "-")</f>
        <v>-</v>
      </c>
      <c r="S2585" s="270" t="str">
        <f>IFERROR(INDEX([1]Produtos!$J:$J,MATCH(L2585,[1]Produtos!$B:$B,0)), "-")</f>
        <v>-</v>
      </c>
      <c r="T2585" s="475"/>
      <c r="U2585" s="270"/>
      <c r="V2585" s="270"/>
      <c r="W2585" s="270"/>
      <c r="X2585" s="270"/>
      <c r="Y2585" s="270"/>
      <c r="Z2585" s="270"/>
      <c r="AA2585" s="270"/>
      <c r="AB2585" s="270"/>
      <c r="AC2585" s="270"/>
      <c r="AD2585" s="270"/>
      <c r="AE2585" s="270"/>
      <c r="AF2585" s="270"/>
      <c r="AG2585" s="270"/>
      <c r="AH2585" s="270"/>
      <c r="AI2585" s="270"/>
      <c r="AJ2585" s="270"/>
      <c r="AK2585" s="270"/>
      <c r="AL2585" s="270"/>
      <c r="AM2585" s="663"/>
      <c r="AN2585" s="663"/>
      <c r="AO2585" s="708" t="str">
        <f>IF(OR(Table1[[#This Row],[Início Setup Envase]]="",Table1[[#This Row],[Final Setup Envase]]=""),"",Table1[[#This Row],[Final Setup Envase]]-Table1[[#This Row],[Início Setup Envase]])</f>
        <v/>
      </c>
      <c r="AP2585" s="663"/>
      <c r="AQ2585" s="663"/>
      <c r="AR2585" s="270"/>
      <c r="AS2585" s="674"/>
      <c r="AT2585" s="674"/>
      <c r="AU2585" s="270"/>
      <c r="AV2585" s="270"/>
      <c r="AW2585" s="270"/>
      <c r="AX2585" s="270"/>
      <c r="AY2585" s="270"/>
      <c r="AZ2585" s="270"/>
      <c r="BA2585" s="270" t="str">
        <f>IF(Table1[[#This Row],[Data de Início]]="","",YEAR(Table1[[#This Row],[Data de Início]]))</f>
        <v/>
      </c>
      <c r="BB2585" s="270" t="str">
        <f>IF(Table1[[#This Row],[Data de Início]]="","",MONTH(Table1[[#This Row],[Data de Início]]))</f>
        <v/>
      </c>
      <c r="BC2585" s="483"/>
    </row>
    <row r="2586" spans="2:55" x14ac:dyDescent="0.25">
      <c r="B2586" s="470"/>
      <c r="C2586" s="263"/>
      <c r="D2586" s="477" cm="1">
        <f t="array" ref="D2586">IFERROR(HorasUteisFabrica2Turnos(B2586,C2586), "")</f>
        <v>0</v>
      </c>
      <c r="E2586" s="478" t="str">
        <f t="shared" si="40"/>
        <v/>
      </c>
      <c r="F2586" s="266"/>
      <c r="G2586" s="656"/>
      <c r="H2586" s="479"/>
      <c r="I2586" s="268"/>
      <c r="J2586" s="268"/>
      <c r="K2586" s="268"/>
      <c r="L2586" s="269"/>
      <c r="M2586" s="511" t="str">
        <f>IFERROR(INDEX([1]Produtos!$C:$C,MATCH(L2586,[1]Produtos!$B:$B,0)), "-")</f>
        <v>-</v>
      </c>
      <c r="N2586" s="511" t="str">
        <f>IFERROR(INDEX([1]Produtos!$E:$E,MATCH(L2586,[1]Produtos!$B:$B,0)), "-")</f>
        <v>-</v>
      </c>
      <c r="O2586" s="483" t="str">
        <f>IFERROR(INDEX([1]Produtos!$F:$F,MATCH(L2586,[1]Produtos!$B:$B,0)), "-")</f>
        <v>-</v>
      </c>
      <c r="P2586" s="477" t="str">
        <f>IFERROR(INDEX([1]Produtos!$G:$G,MATCH(L2586,[1]Produtos!$B:$B,0)), "-")</f>
        <v>-</v>
      </c>
      <c r="Q2586" s="483" t="str">
        <f>IFERROR(INDEX([1]Produtos!$H:$H,MATCH(L2586,[1]Produtos!$B:$B,0)), "-")</f>
        <v>-</v>
      </c>
      <c r="R2586" s="483" t="str">
        <f>IFERROR(INDEX([1]Produtos!$I:$I,MATCH(L2586,[1]Produtos!$B:$B,0)), "-")</f>
        <v>-</v>
      </c>
      <c r="S2586" s="483" t="str">
        <f>IFERROR(INDEX([1]Produtos!$J:$J,MATCH(L2586,[1]Produtos!$B:$B,0)), "-")</f>
        <v>-</v>
      </c>
      <c r="T2586" s="484"/>
      <c r="U2586" s="483"/>
      <c r="V2586" s="483"/>
      <c r="W2586" s="483"/>
      <c r="X2586" s="483"/>
      <c r="Y2586" s="483"/>
      <c r="Z2586" s="483"/>
      <c r="AA2586" s="483"/>
      <c r="AB2586" s="483"/>
      <c r="AC2586" s="483"/>
      <c r="AD2586" s="483"/>
      <c r="AE2586" s="483"/>
      <c r="AF2586" s="483"/>
      <c r="AG2586" s="483"/>
      <c r="AH2586" s="483"/>
      <c r="AI2586" s="483"/>
      <c r="AJ2586" s="483"/>
      <c r="AK2586" s="483"/>
      <c r="AL2586" s="483"/>
      <c r="AM2586" s="670"/>
      <c r="AN2586" s="670"/>
      <c r="AO2586" s="711" t="str">
        <f>IF(OR(Table1[[#This Row],[Início Setup Envase]]="",Table1[[#This Row],[Final Setup Envase]]=""),"",Table1[[#This Row],[Final Setup Envase]]-Table1[[#This Row],[Início Setup Envase]])</f>
        <v/>
      </c>
      <c r="AP2586" s="670"/>
      <c r="AQ2586" s="670"/>
      <c r="AR2586" s="483"/>
      <c r="AS2586" s="483"/>
      <c r="AT2586" s="483"/>
      <c r="AU2586" s="483"/>
      <c r="AV2586" s="483"/>
      <c r="AW2586" s="483"/>
      <c r="AX2586" s="483"/>
      <c r="AY2586" s="270"/>
      <c r="AZ2586" s="270"/>
      <c r="BA2586" s="270" t="str">
        <f>IF(Table1[[#This Row],[Data de Início]]="","",YEAR(Table1[[#This Row],[Data de Início]]))</f>
        <v/>
      </c>
      <c r="BB2586" s="270" t="str">
        <f>IF(Table1[[#This Row],[Data de Início]]="","",MONTH(Table1[[#This Row],[Data de Início]]))</f>
        <v/>
      </c>
      <c r="BC2586" s="270"/>
    </row>
    <row r="2587" spans="2:55" x14ac:dyDescent="0.25">
      <c r="B2587" s="470"/>
      <c r="C2587" s="263"/>
      <c r="D2587" s="477" cm="1">
        <f t="array" ref="D2587">IFERROR(HorasUteisFabrica2Turnos(B2587,C2587), "")</f>
        <v>0</v>
      </c>
      <c r="E2587" s="697" t="str">
        <f t="shared" si="40"/>
        <v/>
      </c>
      <c r="F2587" s="266"/>
      <c r="G2587" s="698"/>
      <c r="H2587" s="266"/>
      <c r="I2587" s="268"/>
      <c r="J2587" s="268"/>
      <c r="K2587" s="268"/>
      <c r="L2587" s="269"/>
      <c r="M2587" s="510" t="str">
        <f>IFERROR(INDEX([1]Produtos!$C:$C,MATCH(L2587,[1]Produtos!$B:$B,0)), "-")</f>
        <v>-</v>
      </c>
      <c r="N2587" s="510" t="str">
        <f>IFERROR(INDEX([1]Produtos!$E:$E,MATCH(L2587,[1]Produtos!$B:$B,0)), "-")</f>
        <v>-</v>
      </c>
      <c r="O2587" s="270" t="str">
        <f>IFERROR(INDEX([1]Produtos!$F:$F,MATCH(L2587,[1]Produtos!$B:$B,0)), "-")</f>
        <v>-</v>
      </c>
      <c r="P2587" s="264" t="str">
        <f>IFERROR(INDEX([1]Produtos!$G:$G,MATCH(L2587,[1]Produtos!$B:$B,0)), "-")</f>
        <v>-</v>
      </c>
      <c r="Q2587" s="270" t="str">
        <f>IFERROR(INDEX([1]Produtos!$H:$H,MATCH(L2587,[1]Produtos!$B:$B,0)), "-")</f>
        <v>-</v>
      </c>
      <c r="R2587" s="270" t="str">
        <f>IFERROR(INDEX([1]Produtos!$I:$I,MATCH(L2587,[1]Produtos!$B:$B,0)), "-")</f>
        <v>-</v>
      </c>
      <c r="S2587" s="270" t="str">
        <f>IFERROR(INDEX([1]Produtos!$J:$J,MATCH(L2587,[1]Produtos!$B:$B,0)), "-")</f>
        <v>-</v>
      </c>
      <c r="T2587" s="475"/>
      <c r="U2587" s="270"/>
      <c r="V2587" s="270"/>
      <c r="W2587" s="270"/>
      <c r="X2587" s="270"/>
      <c r="Y2587" s="270"/>
      <c r="Z2587" s="270"/>
      <c r="AA2587" s="270"/>
      <c r="AB2587" s="270"/>
      <c r="AC2587" s="270"/>
      <c r="AD2587" s="270"/>
      <c r="AE2587" s="270"/>
      <c r="AF2587" s="270"/>
      <c r="AG2587" s="270"/>
      <c r="AH2587" s="270"/>
      <c r="AI2587" s="270"/>
      <c r="AJ2587" s="270"/>
      <c r="AK2587" s="270"/>
      <c r="AL2587" s="270"/>
      <c r="AM2587" s="663"/>
      <c r="AN2587" s="663"/>
      <c r="AO2587" s="708" t="str">
        <f>IF(OR(Table1[[#This Row],[Início Setup Envase]]="",Table1[[#This Row],[Final Setup Envase]]=""),"",Table1[[#This Row],[Final Setup Envase]]-Table1[[#This Row],[Início Setup Envase]])</f>
        <v/>
      </c>
      <c r="AP2587" s="663"/>
      <c r="AQ2587" s="663"/>
      <c r="AR2587" s="270"/>
      <c r="AS2587" s="674"/>
      <c r="AT2587" s="674"/>
      <c r="AU2587" s="270"/>
      <c r="AV2587" s="270"/>
      <c r="AW2587" s="270"/>
      <c r="AX2587" s="270"/>
      <c r="AY2587" s="270"/>
      <c r="AZ2587" s="270"/>
      <c r="BA2587" s="270" t="str">
        <f>IF(Table1[[#This Row],[Data de Início]]="","",YEAR(Table1[[#This Row],[Data de Início]]))</f>
        <v/>
      </c>
      <c r="BB2587" s="270" t="str">
        <f>IF(Table1[[#This Row],[Data de Início]]="","",MONTH(Table1[[#This Row],[Data de Início]]))</f>
        <v/>
      </c>
      <c r="BC2587" s="483"/>
    </row>
    <row r="2588" spans="2:55" x14ac:dyDescent="0.25">
      <c r="B2588" s="470"/>
      <c r="C2588" s="263"/>
      <c r="D2588" s="477" cm="1">
        <f t="array" ref="D2588">IFERROR(HorasUteisFabrica2Turnos(B2588,C2588), "")</f>
        <v>0</v>
      </c>
      <c r="E2588" s="478" t="str">
        <f t="shared" si="40"/>
        <v/>
      </c>
      <c r="F2588" s="266"/>
      <c r="G2588" s="656"/>
      <c r="H2588" s="479"/>
      <c r="I2588" s="268"/>
      <c r="J2588" s="268"/>
      <c r="K2588" s="268"/>
      <c r="L2588" s="269"/>
      <c r="M2588" s="511" t="str">
        <f>IFERROR(INDEX([1]Produtos!$C:$C,MATCH(L2588,[1]Produtos!$B:$B,0)), "-")</f>
        <v>-</v>
      </c>
      <c r="N2588" s="511" t="str">
        <f>IFERROR(INDEX([1]Produtos!$E:$E,MATCH(L2588,[1]Produtos!$B:$B,0)), "-")</f>
        <v>-</v>
      </c>
      <c r="O2588" s="483" t="str">
        <f>IFERROR(INDEX([1]Produtos!$F:$F,MATCH(L2588,[1]Produtos!$B:$B,0)), "-")</f>
        <v>-</v>
      </c>
      <c r="P2588" s="477" t="str">
        <f>IFERROR(INDEX([1]Produtos!$G:$G,MATCH(L2588,[1]Produtos!$B:$B,0)), "-")</f>
        <v>-</v>
      </c>
      <c r="Q2588" s="483" t="str">
        <f>IFERROR(INDEX([1]Produtos!$H:$H,MATCH(L2588,[1]Produtos!$B:$B,0)), "-")</f>
        <v>-</v>
      </c>
      <c r="R2588" s="483" t="str">
        <f>IFERROR(INDEX([1]Produtos!$I:$I,MATCH(L2588,[1]Produtos!$B:$B,0)), "-")</f>
        <v>-</v>
      </c>
      <c r="S2588" s="483" t="str">
        <f>IFERROR(INDEX([1]Produtos!$J:$J,MATCH(L2588,[1]Produtos!$B:$B,0)), "-")</f>
        <v>-</v>
      </c>
      <c r="T2588" s="484"/>
      <c r="U2588" s="483"/>
      <c r="V2588" s="483"/>
      <c r="W2588" s="483"/>
      <c r="X2588" s="483"/>
      <c r="Y2588" s="483"/>
      <c r="Z2588" s="483"/>
      <c r="AA2588" s="483"/>
      <c r="AB2588" s="483"/>
      <c r="AC2588" s="483"/>
      <c r="AD2588" s="483"/>
      <c r="AE2588" s="483"/>
      <c r="AF2588" s="483"/>
      <c r="AG2588" s="483"/>
      <c r="AH2588" s="483"/>
      <c r="AI2588" s="483"/>
      <c r="AJ2588" s="483"/>
      <c r="AK2588" s="483"/>
      <c r="AL2588" s="483"/>
      <c r="AM2588" s="670"/>
      <c r="AN2588" s="670"/>
      <c r="AO2588" s="711" t="str">
        <f>IF(OR(Table1[[#This Row],[Início Setup Envase]]="",Table1[[#This Row],[Final Setup Envase]]=""),"",Table1[[#This Row],[Final Setup Envase]]-Table1[[#This Row],[Início Setup Envase]])</f>
        <v/>
      </c>
      <c r="AP2588" s="670"/>
      <c r="AQ2588" s="670"/>
      <c r="AR2588" s="483"/>
      <c r="AS2588" s="483"/>
      <c r="AT2588" s="483"/>
      <c r="AU2588" s="483"/>
      <c r="AV2588" s="483"/>
      <c r="AW2588" s="483"/>
      <c r="AX2588" s="483"/>
      <c r="AY2588" s="270"/>
      <c r="AZ2588" s="270"/>
      <c r="BA2588" s="270" t="str">
        <f>IF(Table1[[#This Row],[Data de Início]]="","",YEAR(Table1[[#This Row],[Data de Início]]))</f>
        <v/>
      </c>
      <c r="BB2588" s="270" t="str">
        <f>IF(Table1[[#This Row],[Data de Início]]="","",MONTH(Table1[[#This Row],[Data de Início]]))</f>
        <v/>
      </c>
      <c r="BC2588" s="270"/>
    </row>
    <row r="2589" spans="2:55" x14ac:dyDescent="0.25">
      <c r="B2589" s="470"/>
      <c r="C2589" s="263"/>
      <c r="D2589" s="477" cm="1">
        <f t="array" ref="D2589">IFERROR(HorasUteisFabrica2Turnos(B2589,C2589), "")</f>
        <v>0</v>
      </c>
      <c r="E2589" s="697" t="str">
        <f t="shared" si="40"/>
        <v/>
      </c>
      <c r="F2589" s="266"/>
      <c r="G2589" s="698"/>
      <c r="H2589" s="266"/>
      <c r="I2589" s="268"/>
      <c r="J2589" s="268"/>
      <c r="K2589" s="268"/>
      <c r="L2589" s="269"/>
      <c r="M2589" s="510" t="str">
        <f>IFERROR(INDEX([1]Produtos!$C:$C,MATCH(L2589,[1]Produtos!$B:$B,0)), "-")</f>
        <v>-</v>
      </c>
      <c r="N2589" s="510" t="str">
        <f>IFERROR(INDEX([1]Produtos!$E:$E,MATCH(L2589,[1]Produtos!$B:$B,0)), "-")</f>
        <v>-</v>
      </c>
      <c r="O2589" s="270" t="str">
        <f>IFERROR(INDEX([1]Produtos!$F:$F,MATCH(L2589,[1]Produtos!$B:$B,0)), "-")</f>
        <v>-</v>
      </c>
      <c r="P2589" s="264" t="str">
        <f>IFERROR(INDEX([1]Produtos!$G:$G,MATCH(L2589,[1]Produtos!$B:$B,0)), "-")</f>
        <v>-</v>
      </c>
      <c r="Q2589" s="270" t="str">
        <f>IFERROR(INDEX([1]Produtos!$H:$H,MATCH(L2589,[1]Produtos!$B:$B,0)), "-")</f>
        <v>-</v>
      </c>
      <c r="R2589" s="270" t="str">
        <f>IFERROR(INDEX([1]Produtos!$I:$I,MATCH(L2589,[1]Produtos!$B:$B,0)), "-")</f>
        <v>-</v>
      </c>
      <c r="S2589" s="270" t="str">
        <f>IFERROR(INDEX([1]Produtos!$J:$J,MATCH(L2589,[1]Produtos!$B:$B,0)), "-")</f>
        <v>-</v>
      </c>
      <c r="T2589" s="475"/>
      <c r="U2589" s="270"/>
      <c r="V2589" s="270"/>
      <c r="W2589" s="270"/>
      <c r="X2589" s="270"/>
      <c r="Y2589" s="270"/>
      <c r="Z2589" s="270"/>
      <c r="AA2589" s="270"/>
      <c r="AB2589" s="270"/>
      <c r="AC2589" s="270"/>
      <c r="AD2589" s="270"/>
      <c r="AE2589" s="270"/>
      <c r="AF2589" s="270"/>
      <c r="AG2589" s="270"/>
      <c r="AH2589" s="270"/>
      <c r="AI2589" s="270"/>
      <c r="AJ2589" s="270"/>
      <c r="AK2589" s="270"/>
      <c r="AL2589" s="270"/>
      <c r="AM2589" s="663"/>
      <c r="AN2589" s="663"/>
      <c r="AO2589" s="708" t="str">
        <f>IF(OR(Table1[[#This Row],[Início Setup Envase]]="",Table1[[#This Row],[Final Setup Envase]]=""),"",Table1[[#This Row],[Final Setup Envase]]-Table1[[#This Row],[Início Setup Envase]])</f>
        <v/>
      </c>
      <c r="AP2589" s="663"/>
      <c r="AQ2589" s="663"/>
      <c r="AR2589" s="270"/>
      <c r="AS2589" s="674"/>
      <c r="AT2589" s="674"/>
      <c r="AU2589" s="270"/>
      <c r="AV2589" s="270"/>
      <c r="AW2589" s="270"/>
      <c r="AX2589" s="270"/>
      <c r="AY2589" s="270"/>
      <c r="AZ2589" s="270"/>
      <c r="BA2589" s="270" t="str">
        <f>IF(Table1[[#This Row],[Data de Início]]="","",YEAR(Table1[[#This Row],[Data de Início]]))</f>
        <v/>
      </c>
      <c r="BB2589" s="270" t="str">
        <f>IF(Table1[[#This Row],[Data de Início]]="","",MONTH(Table1[[#This Row],[Data de Início]]))</f>
        <v/>
      </c>
      <c r="BC2589" s="483"/>
    </row>
    <row r="2590" spans="2:55" x14ac:dyDescent="0.25">
      <c r="B2590" s="470"/>
      <c r="C2590" s="263"/>
      <c r="D2590" s="477" cm="1">
        <f t="array" ref="D2590">IFERROR(HorasUteisFabrica2Turnos(B2590,C2590), "")</f>
        <v>0</v>
      </c>
      <c r="E2590" s="478" t="str">
        <f t="shared" si="40"/>
        <v/>
      </c>
      <c r="F2590" s="266"/>
      <c r="G2590" s="656"/>
      <c r="H2590" s="479"/>
      <c r="I2590" s="268"/>
      <c r="J2590" s="268"/>
      <c r="K2590" s="268"/>
      <c r="L2590" s="269"/>
      <c r="M2590" s="511" t="str">
        <f>IFERROR(INDEX([1]Produtos!$C:$C,MATCH(L2590,[1]Produtos!$B:$B,0)), "-")</f>
        <v>-</v>
      </c>
      <c r="N2590" s="511" t="str">
        <f>IFERROR(INDEX([1]Produtos!$E:$E,MATCH(L2590,[1]Produtos!$B:$B,0)), "-")</f>
        <v>-</v>
      </c>
      <c r="O2590" s="483" t="str">
        <f>IFERROR(INDEX([1]Produtos!$F:$F,MATCH(L2590,[1]Produtos!$B:$B,0)), "-")</f>
        <v>-</v>
      </c>
      <c r="P2590" s="477" t="str">
        <f>IFERROR(INDEX([1]Produtos!$G:$G,MATCH(L2590,[1]Produtos!$B:$B,0)), "-")</f>
        <v>-</v>
      </c>
      <c r="Q2590" s="483" t="str">
        <f>IFERROR(INDEX([1]Produtos!$H:$H,MATCH(L2590,[1]Produtos!$B:$B,0)), "-")</f>
        <v>-</v>
      </c>
      <c r="R2590" s="483" t="str">
        <f>IFERROR(INDEX([1]Produtos!$I:$I,MATCH(L2590,[1]Produtos!$B:$B,0)), "-")</f>
        <v>-</v>
      </c>
      <c r="S2590" s="483" t="str">
        <f>IFERROR(INDEX([1]Produtos!$J:$J,MATCH(L2590,[1]Produtos!$B:$B,0)), "-")</f>
        <v>-</v>
      </c>
      <c r="T2590" s="484"/>
      <c r="U2590" s="483"/>
      <c r="V2590" s="483"/>
      <c r="W2590" s="483"/>
      <c r="X2590" s="483"/>
      <c r="Y2590" s="483"/>
      <c r="Z2590" s="483"/>
      <c r="AA2590" s="483"/>
      <c r="AB2590" s="483"/>
      <c r="AC2590" s="483"/>
      <c r="AD2590" s="483"/>
      <c r="AE2590" s="483"/>
      <c r="AF2590" s="483"/>
      <c r="AG2590" s="483"/>
      <c r="AH2590" s="483"/>
      <c r="AI2590" s="483"/>
      <c r="AJ2590" s="483"/>
      <c r="AK2590" s="483"/>
      <c r="AL2590" s="483"/>
      <c r="AM2590" s="670"/>
      <c r="AN2590" s="670"/>
      <c r="AO2590" s="711" t="str">
        <f>IF(OR(Table1[[#This Row],[Início Setup Envase]]="",Table1[[#This Row],[Final Setup Envase]]=""),"",Table1[[#This Row],[Final Setup Envase]]-Table1[[#This Row],[Início Setup Envase]])</f>
        <v/>
      </c>
      <c r="AP2590" s="670"/>
      <c r="AQ2590" s="670"/>
      <c r="AR2590" s="483"/>
      <c r="AS2590" s="483"/>
      <c r="AT2590" s="483"/>
      <c r="AU2590" s="483"/>
      <c r="AV2590" s="483"/>
      <c r="AW2590" s="483"/>
      <c r="AX2590" s="483"/>
      <c r="AY2590" s="270"/>
      <c r="AZ2590" s="270"/>
      <c r="BA2590" s="270" t="str">
        <f>IF(Table1[[#This Row],[Data de Início]]="","",YEAR(Table1[[#This Row],[Data de Início]]))</f>
        <v/>
      </c>
      <c r="BB2590" s="270" t="str">
        <f>IF(Table1[[#This Row],[Data de Início]]="","",MONTH(Table1[[#This Row],[Data de Início]]))</f>
        <v/>
      </c>
      <c r="BC2590" s="270"/>
    </row>
    <row r="2591" spans="2:55" x14ac:dyDescent="0.25">
      <c r="B2591" s="470"/>
      <c r="C2591" s="263"/>
      <c r="D2591" s="477" cm="1">
        <f t="array" ref="D2591">IFERROR(HorasUteisFabrica2Turnos(B2591,C2591), "")</f>
        <v>0</v>
      </c>
      <c r="E2591" s="697" t="str">
        <f t="shared" si="40"/>
        <v/>
      </c>
      <c r="F2591" s="266"/>
      <c r="G2591" s="698"/>
      <c r="H2591" s="266"/>
      <c r="I2591" s="268"/>
      <c r="J2591" s="268"/>
      <c r="K2591" s="268"/>
      <c r="L2591" s="269"/>
      <c r="M2591" s="510" t="str">
        <f>IFERROR(INDEX([1]Produtos!$C:$C,MATCH(L2591,[1]Produtos!$B:$B,0)), "-")</f>
        <v>-</v>
      </c>
      <c r="N2591" s="510" t="str">
        <f>IFERROR(INDEX([1]Produtos!$E:$E,MATCH(L2591,[1]Produtos!$B:$B,0)), "-")</f>
        <v>-</v>
      </c>
      <c r="O2591" s="270" t="str">
        <f>IFERROR(INDEX([1]Produtos!$F:$F,MATCH(L2591,[1]Produtos!$B:$B,0)), "-")</f>
        <v>-</v>
      </c>
      <c r="P2591" s="264" t="str">
        <f>IFERROR(INDEX([1]Produtos!$G:$G,MATCH(L2591,[1]Produtos!$B:$B,0)), "-")</f>
        <v>-</v>
      </c>
      <c r="Q2591" s="270" t="str">
        <f>IFERROR(INDEX([1]Produtos!$H:$H,MATCH(L2591,[1]Produtos!$B:$B,0)), "-")</f>
        <v>-</v>
      </c>
      <c r="R2591" s="270" t="str">
        <f>IFERROR(INDEX([1]Produtos!$I:$I,MATCH(L2591,[1]Produtos!$B:$B,0)), "-")</f>
        <v>-</v>
      </c>
      <c r="S2591" s="270" t="str">
        <f>IFERROR(INDEX([1]Produtos!$J:$J,MATCH(L2591,[1]Produtos!$B:$B,0)), "-")</f>
        <v>-</v>
      </c>
      <c r="T2591" s="475"/>
      <c r="U2591" s="270"/>
      <c r="V2591" s="270"/>
      <c r="W2591" s="270"/>
      <c r="X2591" s="270"/>
      <c r="Y2591" s="270"/>
      <c r="Z2591" s="270"/>
      <c r="AA2591" s="270"/>
      <c r="AB2591" s="270"/>
      <c r="AC2591" s="270"/>
      <c r="AD2591" s="270"/>
      <c r="AE2591" s="270"/>
      <c r="AF2591" s="270"/>
      <c r="AG2591" s="270"/>
      <c r="AH2591" s="270"/>
      <c r="AI2591" s="270"/>
      <c r="AJ2591" s="270"/>
      <c r="AK2591" s="270"/>
      <c r="AL2591" s="270"/>
      <c r="AM2591" s="663"/>
      <c r="AN2591" s="663"/>
      <c r="AO2591" s="708" t="str">
        <f>IF(OR(Table1[[#This Row],[Início Setup Envase]]="",Table1[[#This Row],[Final Setup Envase]]=""),"",Table1[[#This Row],[Final Setup Envase]]-Table1[[#This Row],[Início Setup Envase]])</f>
        <v/>
      </c>
      <c r="AP2591" s="663"/>
      <c r="AQ2591" s="663"/>
      <c r="AR2591" s="270"/>
      <c r="AS2591" s="674"/>
      <c r="AT2591" s="674"/>
      <c r="AU2591" s="270"/>
      <c r="AV2591" s="270"/>
      <c r="AW2591" s="270"/>
      <c r="AX2591" s="270"/>
      <c r="AY2591" s="270"/>
      <c r="AZ2591" s="270"/>
      <c r="BA2591" s="270" t="str">
        <f>IF(Table1[[#This Row],[Data de Início]]="","",YEAR(Table1[[#This Row],[Data de Início]]))</f>
        <v/>
      </c>
      <c r="BB2591" s="270" t="str">
        <f>IF(Table1[[#This Row],[Data de Início]]="","",MONTH(Table1[[#This Row],[Data de Início]]))</f>
        <v/>
      </c>
      <c r="BC2591" s="483"/>
    </row>
    <row r="2592" spans="2:55" x14ac:dyDescent="0.25">
      <c r="B2592" s="470"/>
      <c r="C2592" s="263"/>
      <c r="D2592" s="477" cm="1">
        <f t="array" ref="D2592">IFERROR(HorasUteisFabrica2Turnos(B2592,C2592), "")</f>
        <v>0</v>
      </c>
      <c r="E2592" s="478" t="str">
        <f t="shared" si="40"/>
        <v/>
      </c>
      <c r="F2592" s="266"/>
      <c r="G2592" s="656"/>
      <c r="H2592" s="479"/>
      <c r="I2592" s="268"/>
      <c r="J2592" s="268"/>
      <c r="K2592" s="268"/>
      <c r="L2592" s="269"/>
      <c r="M2592" s="511" t="str">
        <f>IFERROR(INDEX([1]Produtos!$C:$C,MATCH(L2592,[1]Produtos!$B:$B,0)), "-")</f>
        <v>-</v>
      </c>
      <c r="N2592" s="511" t="str">
        <f>IFERROR(INDEX([1]Produtos!$E:$E,MATCH(L2592,[1]Produtos!$B:$B,0)), "-")</f>
        <v>-</v>
      </c>
      <c r="O2592" s="483" t="str">
        <f>IFERROR(INDEX([1]Produtos!$F:$F,MATCH(L2592,[1]Produtos!$B:$B,0)), "-")</f>
        <v>-</v>
      </c>
      <c r="P2592" s="477" t="str">
        <f>IFERROR(INDEX([1]Produtos!$G:$G,MATCH(L2592,[1]Produtos!$B:$B,0)), "-")</f>
        <v>-</v>
      </c>
      <c r="Q2592" s="483" t="str">
        <f>IFERROR(INDEX([1]Produtos!$H:$H,MATCH(L2592,[1]Produtos!$B:$B,0)), "-")</f>
        <v>-</v>
      </c>
      <c r="R2592" s="483" t="str">
        <f>IFERROR(INDEX([1]Produtos!$I:$I,MATCH(L2592,[1]Produtos!$B:$B,0)), "-")</f>
        <v>-</v>
      </c>
      <c r="S2592" s="483" t="str">
        <f>IFERROR(INDEX([1]Produtos!$J:$J,MATCH(L2592,[1]Produtos!$B:$B,0)), "-")</f>
        <v>-</v>
      </c>
      <c r="T2592" s="484"/>
      <c r="U2592" s="483"/>
      <c r="V2592" s="483"/>
      <c r="W2592" s="483"/>
      <c r="X2592" s="483"/>
      <c r="Y2592" s="483"/>
      <c r="Z2592" s="483"/>
      <c r="AA2592" s="483"/>
      <c r="AB2592" s="483"/>
      <c r="AC2592" s="483"/>
      <c r="AD2592" s="483"/>
      <c r="AE2592" s="483"/>
      <c r="AF2592" s="483"/>
      <c r="AG2592" s="483"/>
      <c r="AH2592" s="483"/>
      <c r="AI2592" s="483"/>
      <c r="AJ2592" s="483"/>
      <c r="AK2592" s="483"/>
      <c r="AL2592" s="483"/>
      <c r="AM2592" s="670"/>
      <c r="AN2592" s="670"/>
      <c r="AO2592" s="711" t="str">
        <f>IF(OR(Table1[[#This Row],[Início Setup Envase]]="",Table1[[#This Row],[Final Setup Envase]]=""),"",Table1[[#This Row],[Final Setup Envase]]-Table1[[#This Row],[Início Setup Envase]])</f>
        <v/>
      </c>
      <c r="AP2592" s="670"/>
      <c r="AQ2592" s="670"/>
      <c r="AR2592" s="483"/>
      <c r="AS2592" s="483"/>
      <c r="AT2592" s="483"/>
      <c r="AU2592" s="483"/>
      <c r="AV2592" s="483"/>
      <c r="AW2592" s="483"/>
      <c r="AX2592" s="483"/>
      <c r="AY2592" s="270"/>
      <c r="AZ2592" s="270"/>
      <c r="BA2592" s="270" t="str">
        <f>IF(Table1[[#This Row],[Data de Início]]="","",YEAR(Table1[[#This Row],[Data de Início]]))</f>
        <v/>
      </c>
      <c r="BB2592" s="270" t="str">
        <f>IF(Table1[[#This Row],[Data de Início]]="","",MONTH(Table1[[#This Row],[Data de Início]]))</f>
        <v/>
      </c>
      <c r="BC2592" s="270"/>
    </row>
    <row r="2593" spans="2:55" x14ac:dyDescent="0.25">
      <c r="B2593" s="470"/>
      <c r="C2593" s="263"/>
      <c r="D2593" s="477" cm="1">
        <f t="array" ref="D2593">IFERROR(HorasUteisFabrica2Turnos(B2593,C2593), "")</f>
        <v>0</v>
      </c>
      <c r="E2593" s="697" t="str">
        <f t="shared" si="40"/>
        <v/>
      </c>
      <c r="F2593" s="266"/>
      <c r="G2593" s="698"/>
      <c r="H2593" s="266"/>
      <c r="I2593" s="268"/>
      <c r="J2593" s="268"/>
      <c r="K2593" s="268"/>
      <c r="L2593" s="269"/>
      <c r="M2593" s="510" t="str">
        <f>IFERROR(INDEX([1]Produtos!$C:$C,MATCH(L2593,[1]Produtos!$B:$B,0)), "-")</f>
        <v>-</v>
      </c>
      <c r="N2593" s="510" t="str">
        <f>IFERROR(INDEX([1]Produtos!$E:$E,MATCH(L2593,[1]Produtos!$B:$B,0)), "-")</f>
        <v>-</v>
      </c>
      <c r="O2593" s="270" t="str">
        <f>IFERROR(INDEX([1]Produtos!$F:$F,MATCH(L2593,[1]Produtos!$B:$B,0)), "-")</f>
        <v>-</v>
      </c>
      <c r="P2593" s="264" t="str">
        <f>IFERROR(INDEX([1]Produtos!$G:$G,MATCH(L2593,[1]Produtos!$B:$B,0)), "-")</f>
        <v>-</v>
      </c>
      <c r="Q2593" s="270" t="str">
        <f>IFERROR(INDEX([1]Produtos!$H:$H,MATCH(L2593,[1]Produtos!$B:$B,0)), "-")</f>
        <v>-</v>
      </c>
      <c r="R2593" s="270" t="str">
        <f>IFERROR(INDEX([1]Produtos!$I:$I,MATCH(L2593,[1]Produtos!$B:$B,0)), "-")</f>
        <v>-</v>
      </c>
      <c r="S2593" s="270" t="str">
        <f>IFERROR(INDEX([1]Produtos!$J:$J,MATCH(L2593,[1]Produtos!$B:$B,0)), "-")</f>
        <v>-</v>
      </c>
      <c r="T2593" s="475"/>
      <c r="U2593" s="270"/>
      <c r="V2593" s="270"/>
      <c r="W2593" s="270"/>
      <c r="X2593" s="270"/>
      <c r="Y2593" s="270"/>
      <c r="Z2593" s="270"/>
      <c r="AA2593" s="270"/>
      <c r="AB2593" s="270"/>
      <c r="AC2593" s="270"/>
      <c r="AD2593" s="270"/>
      <c r="AE2593" s="270"/>
      <c r="AF2593" s="270"/>
      <c r="AG2593" s="270"/>
      <c r="AH2593" s="270"/>
      <c r="AI2593" s="270"/>
      <c r="AJ2593" s="270"/>
      <c r="AK2593" s="270"/>
      <c r="AL2593" s="270"/>
      <c r="AM2593" s="663"/>
      <c r="AN2593" s="663"/>
      <c r="AO2593" s="708" t="str">
        <f>IF(OR(Table1[[#This Row],[Início Setup Envase]]="",Table1[[#This Row],[Final Setup Envase]]=""),"",Table1[[#This Row],[Final Setup Envase]]-Table1[[#This Row],[Início Setup Envase]])</f>
        <v/>
      </c>
      <c r="AP2593" s="663"/>
      <c r="AQ2593" s="663"/>
      <c r="AR2593" s="270"/>
      <c r="AS2593" s="674"/>
      <c r="AT2593" s="674"/>
      <c r="AU2593" s="270"/>
      <c r="AV2593" s="270"/>
      <c r="AW2593" s="270"/>
      <c r="AX2593" s="270"/>
      <c r="AY2593" s="270"/>
      <c r="AZ2593" s="270"/>
      <c r="BA2593" s="270" t="str">
        <f>IF(Table1[[#This Row],[Data de Início]]="","",YEAR(Table1[[#This Row],[Data de Início]]))</f>
        <v/>
      </c>
      <c r="BB2593" s="270" t="str">
        <f>IF(Table1[[#This Row],[Data de Início]]="","",MONTH(Table1[[#This Row],[Data de Início]]))</f>
        <v/>
      </c>
      <c r="BC2593" s="483"/>
    </row>
    <row r="2594" spans="2:55" x14ac:dyDescent="0.25">
      <c r="B2594" s="470"/>
      <c r="C2594" s="263"/>
      <c r="D2594" s="477" cm="1">
        <f t="array" ref="D2594">IFERROR(HorasUteisFabrica2Turnos(B2594,C2594), "")</f>
        <v>0</v>
      </c>
      <c r="E2594" s="478" t="str">
        <f t="shared" si="40"/>
        <v/>
      </c>
      <c r="F2594" s="266"/>
      <c r="G2594" s="656"/>
      <c r="H2594" s="479"/>
      <c r="I2594" s="268"/>
      <c r="J2594" s="268"/>
      <c r="K2594" s="268"/>
      <c r="L2594" s="269"/>
      <c r="M2594" s="511" t="str">
        <f>IFERROR(INDEX([1]Produtos!$C:$C,MATCH(L2594,[1]Produtos!$B:$B,0)), "-")</f>
        <v>-</v>
      </c>
      <c r="N2594" s="511" t="str">
        <f>IFERROR(INDEX([1]Produtos!$E:$E,MATCH(L2594,[1]Produtos!$B:$B,0)), "-")</f>
        <v>-</v>
      </c>
      <c r="O2594" s="483" t="str">
        <f>IFERROR(INDEX([1]Produtos!$F:$F,MATCH(L2594,[1]Produtos!$B:$B,0)), "-")</f>
        <v>-</v>
      </c>
      <c r="P2594" s="477" t="str">
        <f>IFERROR(INDEX([1]Produtos!$G:$G,MATCH(L2594,[1]Produtos!$B:$B,0)), "-")</f>
        <v>-</v>
      </c>
      <c r="Q2594" s="483" t="str">
        <f>IFERROR(INDEX([1]Produtos!$H:$H,MATCH(L2594,[1]Produtos!$B:$B,0)), "-")</f>
        <v>-</v>
      </c>
      <c r="R2594" s="483" t="str">
        <f>IFERROR(INDEX([1]Produtos!$I:$I,MATCH(L2594,[1]Produtos!$B:$B,0)), "-")</f>
        <v>-</v>
      </c>
      <c r="S2594" s="483" t="str">
        <f>IFERROR(INDEX([1]Produtos!$J:$J,MATCH(L2594,[1]Produtos!$B:$B,0)), "-")</f>
        <v>-</v>
      </c>
      <c r="T2594" s="484"/>
      <c r="U2594" s="483"/>
      <c r="V2594" s="483"/>
      <c r="W2594" s="483"/>
      <c r="X2594" s="483"/>
      <c r="Y2594" s="483"/>
      <c r="Z2594" s="483"/>
      <c r="AA2594" s="483"/>
      <c r="AB2594" s="483"/>
      <c r="AC2594" s="483"/>
      <c r="AD2594" s="483"/>
      <c r="AE2594" s="483"/>
      <c r="AF2594" s="483"/>
      <c r="AG2594" s="483"/>
      <c r="AH2594" s="483"/>
      <c r="AI2594" s="483"/>
      <c r="AJ2594" s="483"/>
      <c r="AK2594" s="483"/>
      <c r="AL2594" s="483"/>
      <c r="AM2594" s="670"/>
      <c r="AN2594" s="670"/>
      <c r="AO2594" s="711" t="str">
        <f>IF(OR(Table1[[#This Row],[Início Setup Envase]]="",Table1[[#This Row],[Final Setup Envase]]=""),"",Table1[[#This Row],[Final Setup Envase]]-Table1[[#This Row],[Início Setup Envase]])</f>
        <v/>
      </c>
      <c r="AP2594" s="670"/>
      <c r="AQ2594" s="670"/>
      <c r="AR2594" s="483"/>
      <c r="AS2594" s="483"/>
      <c r="AT2594" s="483"/>
      <c r="AU2594" s="483"/>
      <c r="AV2594" s="483"/>
      <c r="AW2594" s="483"/>
      <c r="AX2594" s="483"/>
      <c r="AY2594" s="270"/>
      <c r="AZ2594" s="270"/>
      <c r="BA2594" s="270" t="str">
        <f>IF(Table1[[#This Row],[Data de Início]]="","",YEAR(Table1[[#This Row],[Data de Início]]))</f>
        <v/>
      </c>
      <c r="BB2594" s="270" t="str">
        <f>IF(Table1[[#This Row],[Data de Início]]="","",MONTH(Table1[[#This Row],[Data de Início]]))</f>
        <v/>
      </c>
      <c r="BC2594" s="270"/>
    </row>
    <row r="2595" spans="2:55" x14ac:dyDescent="0.25">
      <c r="B2595" s="470"/>
      <c r="C2595" s="263"/>
      <c r="D2595" s="477" cm="1">
        <f t="array" ref="D2595">IFERROR(HorasUteisFabrica2Turnos(B2595,C2595), "")</f>
        <v>0</v>
      </c>
      <c r="E2595" s="697" t="str">
        <f t="shared" si="40"/>
        <v/>
      </c>
      <c r="F2595" s="266"/>
      <c r="G2595" s="698"/>
      <c r="H2595" s="266"/>
      <c r="I2595" s="268"/>
      <c r="J2595" s="268"/>
      <c r="K2595" s="268"/>
      <c r="L2595" s="269"/>
      <c r="M2595" s="510" t="str">
        <f>IFERROR(INDEX([1]Produtos!$C:$C,MATCH(L2595,[1]Produtos!$B:$B,0)), "-")</f>
        <v>-</v>
      </c>
      <c r="N2595" s="510" t="str">
        <f>IFERROR(INDEX([1]Produtos!$E:$E,MATCH(L2595,[1]Produtos!$B:$B,0)), "-")</f>
        <v>-</v>
      </c>
      <c r="O2595" s="270" t="str">
        <f>IFERROR(INDEX([1]Produtos!$F:$F,MATCH(L2595,[1]Produtos!$B:$B,0)), "-")</f>
        <v>-</v>
      </c>
      <c r="P2595" s="264" t="str">
        <f>IFERROR(INDEX([1]Produtos!$G:$G,MATCH(L2595,[1]Produtos!$B:$B,0)), "-")</f>
        <v>-</v>
      </c>
      <c r="Q2595" s="270" t="str">
        <f>IFERROR(INDEX([1]Produtos!$H:$H,MATCH(L2595,[1]Produtos!$B:$B,0)), "-")</f>
        <v>-</v>
      </c>
      <c r="R2595" s="270" t="str">
        <f>IFERROR(INDEX([1]Produtos!$I:$I,MATCH(L2595,[1]Produtos!$B:$B,0)), "-")</f>
        <v>-</v>
      </c>
      <c r="S2595" s="270" t="str">
        <f>IFERROR(INDEX([1]Produtos!$J:$J,MATCH(L2595,[1]Produtos!$B:$B,0)), "-")</f>
        <v>-</v>
      </c>
      <c r="T2595" s="475"/>
      <c r="U2595" s="270"/>
      <c r="V2595" s="270"/>
      <c r="W2595" s="270"/>
      <c r="X2595" s="270"/>
      <c r="Y2595" s="270"/>
      <c r="Z2595" s="270"/>
      <c r="AA2595" s="270"/>
      <c r="AB2595" s="270"/>
      <c r="AC2595" s="270"/>
      <c r="AD2595" s="270"/>
      <c r="AE2595" s="270"/>
      <c r="AF2595" s="270"/>
      <c r="AG2595" s="270"/>
      <c r="AH2595" s="270"/>
      <c r="AI2595" s="270"/>
      <c r="AJ2595" s="270"/>
      <c r="AK2595" s="270"/>
      <c r="AL2595" s="270"/>
      <c r="AM2595" s="663"/>
      <c r="AN2595" s="663"/>
      <c r="AO2595" s="708" t="str">
        <f>IF(OR(Table1[[#This Row],[Início Setup Envase]]="",Table1[[#This Row],[Final Setup Envase]]=""),"",Table1[[#This Row],[Final Setup Envase]]-Table1[[#This Row],[Início Setup Envase]])</f>
        <v/>
      </c>
      <c r="AP2595" s="663"/>
      <c r="AQ2595" s="663"/>
      <c r="AR2595" s="270"/>
      <c r="AS2595" s="674"/>
      <c r="AT2595" s="674"/>
      <c r="AU2595" s="270"/>
      <c r="AV2595" s="270"/>
      <c r="AW2595" s="270"/>
      <c r="AX2595" s="270"/>
      <c r="AY2595" s="270"/>
      <c r="AZ2595" s="270"/>
      <c r="BA2595" s="270" t="str">
        <f>IF(Table1[[#This Row],[Data de Início]]="","",YEAR(Table1[[#This Row],[Data de Início]]))</f>
        <v/>
      </c>
      <c r="BB2595" s="270" t="str">
        <f>IF(Table1[[#This Row],[Data de Início]]="","",MONTH(Table1[[#This Row],[Data de Início]]))</f>
        <v/>
      </c>
      <c r="BC2595" s="483"/>
    </row>
    <row r="2596" spans="2:55" x14ac:dyDescent="0.25">
      <c r="B2596" s="470"/>
      <c r="C2596" s="263"/>
      <c r="D2596" s="477" cm="1">
        <f t="array" ref="D2596">IFERROR(HorasUteisFabrica2Turnos(B2596,C2596), "")</f>
        <v>0</v>
      </c>
      <c r="E2596" s="478" t="str">
        <f t="shared" si="40"/>
        <v/>
      </c>
      <c r="F2596" s="266"/>
      <c r="G2596" s="656"/>
      <c r="H2596" s="479"/>
      <c r="I2596" s="268"/>
      <c r="J2596" s="268"/>
      <c r="K2596" s="268"/>
      <c r="L2596" s="269"/>
      <c r="M2596" s="511" t="str">
        <f>IFERROR(INDEX([1]Produtos!$C:$C,MATCH(L2596,[1]Produtos!$B:$B,0)), "-")</f>
        <v>-</v>
      </c>
      <c r="N2596" s="511" t="str">
        <f>IFERROR(INDEX([1]Produtos!$E:$E,MATCH(L2596,[1]Produtos!$B:$B,0)), "-")</f>
        <v>-</v>
      </c>
      <c r="O2596" s="483" t="str">
        <f>IFERROR(INDEX([1]Produtos!$F:$F,MATCH(L2596,[1]Produtos!$B:$B,0)), "-")</f>
        <v>-</v>
      </c>
      <c r="P2596" s="477" t="str">
        <f>IFERROR(INDEX([1]Produtos!$G:$G,MATCH(L2596,[1]Produtos!$B:$B,0)), "-")</f>
        <v>-</v>
      </c>
      <c r="Q2596" s="483" t="str">
        <f>IFERROR(INDEX([1]Produtos!$H:$H,MATCH(L2596,[1]Produtos!$B:$B,0)), "-")</f>
        <v>-</v>
      </c>
      <c r="R2596" s="483" t="str">
        <f>IFERROR(INDEX([1]Produtos!$I:$I,MATCH(L2596,[1]Produtos!$B:$B,0)), "-")</f>
        <v>-</v>
      </c>
      <c r="S2596" s="483" t="str">
        <f>IFERROR(INDEX([1]Produtos!$J:$J,MATCH(L2596,[1]Produtos!$B:$B,0)), "-")</f>
        <v>-</v>
      </c>
      <c r="T2596" s="484"/>
      <c r="U2596" s="483"/>
      <c r="V2596" s="483"/>
      <c r="W2596" s="483"/>
      <c r="X2596" s="483"/>
      <c r="Y2596" s="483"/>
      <c r="Z2596" s="483"/>
      <c r="AA2596" s="483"/>
      <c r="AB2596" s="483"/>
      <c r="AC2596" s="483"/>
      <c r="AD2596" s="483"/>
      <c r="AE2596" s="483"/>
      <c r="AF2596" s="483"/>
      <c r="AG2596" s="483"/>
      <c r="AH2596" s="483"/>
      <c r="AI2596" s="483"/>
      <c r="AJ2596" s="483"/>
      <c r="AK2596" s="483"/>
      <c r="AL2596" s="483"/>
      <c r="AM2596" s="670"/>
      <c r="AN2596" s="670"/>
      <c r="AO2596" s="711" t="str">
        <f>IF(OR(Table1[[#This Row],[Início Setup Envase]]="",Table1[[#This Row],[Final Setup Envase]]=""),"",Table1[[#This Row],[Final Setup Envase]]-Table1[[#This Row],[Início Setup Envase]])</f>
        <v/>
      </c>
      <c r="AP2596" s="670"/>
      <c r="AQ2596" s="670"/>
      <c r="AR2596" s="483"/>
      <c r="AS2596" s="483"/>
      <c r="AT2596" s="483"/>
      <c r="AU2596" s="483"/>
      <c r="AV2596" s="483"/>
      <c r="AW2596" s="483"/>
      <c r="AX2596" s="483"/>
      <c r="AY2596" s="270"/>
      <c r="AZ2596" s="270"/>
      <c r="BA2596" s="270" t="str">
        <f>IF(Table1[[#This Row],[Data de Início]]="","",YEAR(Table1[[#This Row],[Data de Início]]))</f>
        <v/>
      </c>
      <c r="BB2596" s="270" t="str">
        <f>IF(Table1[[#This Row],[Data de Início]]="","",MONTH(Table1[[#This Row],[Data de Início]]))</f>
        <v/>
      </c>
      <c r="BC2596" s="270"/>
    </row>
    <row r="2597" spans="2:55" x14ac:dyDescent="0.25">
      <c r="B2597" s="470"/>
      <c r="C2597" s="263"/>
      <c r="D2597" s="477" cm="1">
        <f t="array" ref="D2597">IFERROR(HorasUteisFabrica2Turnos(B2597,C2597), "")</f>
        <v>0</v>
      </c>
      <c r="E2597" s="697" t="str">
        <f t="shared" ref="E2597:E2660" si="41">IFERROR(K2597/D2597, "")</f>
        <v/>
      </c>
      <c r="F2597" s="266"/>
      <c r="G2597" s="698"/>
      <c r="H2597" s="266"/>
      <c r="I2597" s="268"/>
      <c r="J2597" s="268"/>
      <c r="K2597" s="268"/>
      <c r="L2597" s="269"/>
      <c r="M2597" s="510" t="str">
        <f>IFERROR(INDEX([1]Produtos!$C:$C,MATCH(L2597,[1]Produtos!$B:$B,0)), "-")</f>
        <v>-</v>
      </c>
      <c r="N2597" s="510" t="str">
        <f>IFERROR(INDEX([1]Produtos!$E:$E,MATCH(L2597,[1]Produtos!$B:$B,0)), "-")</f>
        <v>-</v>
      </c>
      <c r="O2597" s="270" t="str">
        <f>IFERROR(INDEX([1]Produtos!$F:$F,MATCH(L2597,[1]Produtos!$B:$B,0)), "-")</f>
        <v>-</v>
      </c>
      <c r="P2597" s="264" t="str">
        <f>IFERROR(INDEX([1]Produtos!$G:$G,MATCH(L2597,[1]Produtos!$B:$B,0)), "-")</f>
        <v>-</v>
      </c>
      <c r="Q2597" s="270" t="str">
        <f>IFERROR(INDEX([1]Produtos!$H:$H,MATCH(L2597,[1]Produtos!$B:$B,0)), "-")</f>
        <v>-</v>
      </c>
      <c r="R2597" s="270" t="str">
        <f>IFERROR(INDEX([1]Produtos!$I:$I,MATCH(L2597,[1]Produtos!$B:$B,0)), "-")</f>
        <v>-</v>
      </c>
      <c r="S2597" s="270" t="str">
        <f>IFERROR(INDEX([1]Produtos!$J:$J,MATCH(L2597,[1]Produtos!$B:$B,0)), "-")</f>
        <v>-</v>
      </c>
      <c r="T2597" s="475"/>
      <c r="U2597" s="270"/>
      <c r="V2597" s="270"/>
      <c r="W2597" s="270"/>
      <c r="X2597" s="270"/>
      <c r="Y2597" s="270"/>
      <c r="Z2597" s="270"/>
      <c r="AA2597" s="270"/>
      <c r="AB2597" s="270"/>
      <c r="AC2597" s="270"/>
      <c r="AD2597" s="270"/>
      <c r="AE2597" s="270"/>
      <c r="AF2597" s="270"/>
      <c r="AG2597" s="270"/>
      <c r="AH2597" s="270"/>
      <c r="AI2597" s="270"/>
      <c r="AJ2597" s="270"/>
      <c r="AK2597" s="270"/>
      <c r="AL2597" s="270"/>
      <c r="AM2597" s="663"/>
      <c r="AN2597" s="663"/>
      <c r="AO2597" s="708" t="str">
        <f>IF(OR(Table1[[#This Row],[Início Setup Envase]]="",Table1[[#This Row],[Final Setup Envase]]=""),"",Table1[[#This Row],[Final Setup Envase]]-Table1[[#This Row],[Início Setup Envase]])</f>
        <v/>
      </c>
      <c r="AP2597" s="663"/>
      <c r="AQ2597" s="663"/>
      <c r="AR2597" s="270"/>
      <c r="AS2597" s="674"/>
      <c r="AT2597" s="674"/>
      <c r="AU2597" s="270"/>
      <c r="AV2597" s="270"/>
      <c r="AW2597" s="270"/>
      <c r="AX2597" s="270"/>
      <c r="AY2597" s="270"/>
      <c r="AZ2597" s="270"/>
      <c r="BA2597" s="270" t="str">
        <f>IF(Table1[[#This Row],[Data de Início]]="","",YEAR(Table1[[#This Row],[Data de Início]]))</f>
        <v/>
      </c>
      <c r="BB2597" s="270" t="str">
        <f>IF(Table1[[#This Row],[Data de Início]]="","",MONTH(Table1[[#This Row],[Data de Início]]))</f>
        <v/>
      </c>
      <c r="BC2597" s="483"/>
    </row>
    <row r="2598" spans="2:55" x14ac:dyDescent="0.25">
      <c r="B2598" s="470"/>
      <c r="C2598" s="263"/>
      <c r="D2598" s="477" cm="1">
        <f t="array" ref="D2598">IFERROR(HorasUteisFabrica2Turnos(B2598,C2598), "")</f>
        <v>0</v>
      </c>
      <c r="E2598" s="478" t="str">
        <f t="shared" si="41"/>
        <v/>
      </c>
      <c r="F2598" s="266"/>
      <c r="G2598" s="656"/>
      <c r="H2598" s="479"/>
      <c r="I2598" s="268"/>
      <c r="J2598" s="268"/>
      <c r="K2598" s="268"/>
      <c r="L2598" s="269"/>
      <c r="M2598" s="511" t="str">
        <f>IFERROR(INDEX([1]Produtos!$C:$C,MATCH(L2598,[1]Produtos!$B:$B,0)), "-")</f>
        <v>-</v>
      </c>
      <c r="N2598" s="511" t="str">
        <f>IFERROR(INDEX([1]Produtos!$E:$E,MATCH(L2598,[1]Produtos!$B:$B,0)), "-")</f>
        <v>-</v>
      </c>
      <c r="O2598" s="483" t="str">
        <f>IFERROR(INDEX([1]Produtos!$F:$F,MATCH(L2598,[1]Produtos!$B:$B,0)), "-")</f>
        <v>-</v>
      </c>
      <c r="P2598" s="477" t="str">
        <f>IFERROR(INDEX([1]Produtos!$G:$G,MATCH(L2598,[1]Produtos!$B:$B,0)), "-")</f>
        <v>-</v>
      </c>
      <c r="Q2598" s="483" t="str">
        <f>IFERROR(INDEX([1]Produtos!$H:$H,MATCH(L2598,[1]Produtos!$B:$B,0)), "-")</f>
        <v>-</v>
      </c>
      <c r="R2598" s="483" t="str">
        <f>IFERROR(INDEX([1]Produtos!$I:$I,MATCH(L2598,[1]Produtos!$B:$B,0)), "-")</f>
        <v>-</v>
      </c>
      <c r="S2598" s="483" t="str">
        <f>IFERROR(INDEX([1]Produtos!$J:$J,MATCH(L2598,[1]Produtos!$B:$B,0)), "-")</f>
        <v>-</v>
      </c>
      <c r="T2598" s="484"/>
      <c r="U2598" s="483"/>
      <c r="V2598" s="483"/>
      <c r="W2598" s="483"/>
      <c r="X2598" s="483"/>
      <c r="Y2598" s="483"/>
      <c r="Z2598" s="483"/>
      <c r="AA2598" s="483"/>
      <c r="AB2598" s="483"/>
      <c r="AC2598" s="483"/>
      <c r="AD2598" s="483"/>
      <c r="AE2598" s="483"/>
      <c r="AF2598" s="483"/>
      <c r="AG2598" s="483"/>
      <c r="AH2598" s="483"/>
      <c r="AI2598" s="483"/>
      <c r="AJ2598" s="483"/>
      <c r="AK2598" s="483"/>
      <c r="AL2598" s="483"/>
      <c r="AM2598" s="670"/>
      <c r="AN2598" s="670"/>
      <c r="AO2598" s="711" t="str">
        <f>IF(OR(Table1[[#This Row],[Início Setup Envase]]="",Table1[[#This Row],[Final Setup Envase]]=""),"",Table1[[#This Row],[Final Setup Envase]]-Table1[[#This Row],[Início Setup Envase]])</f>
        <v/>
      </c>
      <c r="AP2598" s="670"/>
      <c r="AQ2598" s="670"/>
      <c r="AR2598" s="483"/>
      <c r="AS2598" s="483"/>
      <c r="AT2598" s="483"/>
      <c r="AU2598" s="483"/>
      <c r="AV2598" s="483"/>
      <c r="AW2598" s="483"/>
      <c r="AX2598" s="483"/>
      <c r="AY2598" s="270"/>
      <c r="AZ2598" s="270"/>
      <c r="BA2598" s="270" t="str">
        <f>IF(Table1[[#This Row],[Data de Início]]="","",YEAR(Table1[[#This Row],[Data de Início]]))</f>
        <v/>
      </c>
      <c r="BB2598" s="270" t="str">
        <f>IF(Table1[[#This Row],[Data de Início]]="","",MONTH(Table1[[#This Row],[Data de Início]]))</f>
        <v/>
      </c>
      <c r="BC2598" s="270"/>
    </row>
    <row r="2599" spans="2:55" x14ac:dyDescent="0.25">
      <c r="B2599" s="470"/>
      <c r="C2599" s="263"/>
      <c r="D2599" s="477" cm="1">
        <f t="array" ref="D2599">IFERROR(HorasUteisFabrica2Turnos(B2599,C2599), "")</f>
        <v>0</v>
      </c>
      <c r="E2599" s="697" t="str">
        <f t="shared" si="41"/>
        <v/>
      </c>
      <c r="F2599" s="266"/>
      <c r="G2599" s="698"/>
      <c r="H2599" s="266"/>
      <c r="I2599" s="268"/>
      <c r="J2599" s="268"/>
      <c r="K2599" s="268"/>
      <c r="L2599" s="269"/>
      <c r="M2599" s="510" t="str">
        <f>IFERROR(INDEX([1]Produtos!$C:$C,MATCH(L2599,[1]Produtos!$B:$B,0)), "-")</f>
        <v>-</v>
      </c>
      <c r="N2599" s="510" t="str">
        <f>IFERROR(INDEX([1]Produtos!$E:$E,MATCH(L2599,[1]Produtos!$B:$B,0)), "-")</f>
        <v>-</v>
      </c>
      <c r="O2599" s="270" t="str">
        <f>IFERROR(INDEX([1]Produtos!$F:$F,MATCH(L2599,[1]Produtos!$B:$B,0)), "-")</f>
        <v>-</v>
      </c>
      <c r="P2599" s="264" t="str">
        <f>IFERROR(INDEX([1]Produtos!$G:$G,MATCH(L2599,[1]Produtos!$B:$B,0)), "-")</f>
        <v>-</v>
      </c>
      <c r="Q2599" s="270" t="str">
        <f>IFERROR(INDEX([1]Produtos!$H:$H,MATCH(L2599,[1]Produtos!$B:$B,0)), "-")</f>
        <v>-</v>
      </c>
      <c r="R2599" s="270" t="str">
        <f>IFERROR(INDEX([1]Produtos!$I:$I,MATCH(L2599,[1]Produtos!$B:$B,0)), "-")</f>
        <v>-</v>
      </c>
      <c r="S2599" s="270" t="str">
        <f>IFERROR(INDEX([1]Produtos!$J:$J,MATCH(L2599,[1]Produtos!$B:$B,0)), "-")</f>
        <v>-</v>
      </c>
      <c r="T2599" s="475"/>
      <c r="U2599" s="270"/>
      <c r="V2599" s="270"/>
      <c r="W2599" s="270"/>
      <c r="X2599" s="270"/>
      <c r="Y2599" s="270"/>
      <c r="Z2599" s="270"/>
      <c r="AA2599" s="270"/>
      <c r="AB2599" s="270"/>
      <c r="AC2599" s="270"/>
      <c r="AD2599" s="270"/>
      <c r="AE2599" s="270"/>
      <c r="AF2599" s="270"/>
      <c r="AG2599" s="270"/>
      <c r="AH2599" s="270"/>
      <c r="AI2599" s="270"/>
      <c r="AJ2599" s="270"/>
      <c r="AK2599" s="270"/>
      <c r="AL2599" s="270"/>
      <c r="AM2599" s="663"/>
      <c r="AN2599" s="663"/>
      <c r="AO2599" s="708" t="str">
        <f>IF(OR(Table1[[#This Row],[Início Setup Envase]]="",Table1[[#This Row],[Final Setup Envase]]=""),"",Table1[[#This Row],[Final Setup Envase]]-Table1[[#This Row],[Início Setup Envase]])</f>
        <v/>
      </c>
      <c r="AP2599" s="663"/>
      <c r="AQ2599" s="663"/>
      <c r="AR2599" s="270"/>
      <c r="AS2599" s="674"/>
      <c r="AT2599" s="674"/>
      <c r="AU2599" s="270"/>
      <c r="AV2599" s="270"/>
      <c r="AW2599" s="270"/>
      <c r="AX2599" s="270"/>
      <c r="AY2599" s="270"/>
      <c r="AZ2599" s="270"/>
      <c r="BA2599" s="270" t="str">
        <f>IF(Table1[[#This Row],[Data de Início]]="","",YEAR(Table1[[#This Row],[Data de Início]]))</f>
        <v/>
      </c>
      <c r="BB2599" s="270" t="str">
        <f>IF(Table1[[#This Row],[Data de Início]]="","",MONTH(Table1[[#This Row],[Data de Início]]))</f>
        <v/>
      </c>
      <c r="BC2599" s="483"/>
    </row>
    <row r="2600" spans="2:55" x14ac:dyDescent="0.25">
      <c r="B2600" s="470"/>
      <c r="C2600" s="263"/>
      <c r="D2600" s="477" cm="1">
        <f t="array" ref="D2600">IFERROR(HorasUteisFabrica2Turnos(B2600,C2600), "")</f>
        <v>0</v>
      </c>
      <c r="E2600" s="478" t="str">
        <f t="shared" si="41"/>
        <v/>
      </c>
      <c r="F2600" s="266"/>
      <c r="G2600" s="656"/>
      <c r="H2600" s="479"/>
      <c r="I2600" s="268"/>
      <c r="J2600" s="268"/>
      <c r="K2600" s="268"/>
      <c r="L2600" s="269"/>
      <c r="M2600" s="511" t="str">
        <f>IFERROR(INDEX([1]Produtos!$C:$C,MATCH(L2600,[1]Produtos!$B:$B,0)), "-")</f>
        <v>-</v>
      </c>
      <c r="N2600" s="511" t="str">
        <f>IFERROR(INDEX([1]Produtos!$E:$E,MATCH(L2600,[1]Produtos!$B:$B,0)), "-")</f>
        <v>-</v>
      </c>
      <c r="O2600" s="483" t="str">
        <f>IFERROR(INDEX([1]Produtos!$F:$F,MATCH(L2600,[1]Produtos!$B:$B,0)), "-")</f>
        <v>-</v>
      </c>
      <c r="P2600" s="477" t="str">
        <f>IFERROR(INDEX([1]Produtos!$G:$G,MATCH(L2600,[1]Produtos!$B:$B,0)), "-")</f>
        <v>-</v>
      </c>
      <c r="Q2600" s="483" t="str">
        <f>IFERROR(INDEX([1]Produtos!$H:$H,MATCH(L2600,[1]Produtos!$B:$B,0)), "-")</f>
        <v>-</v>
      </c>
      <c r="R2600" s="483" t="str">
        <f>IFERROR(INDEX([1]Produtos!$I:$I,MATCH(L2600,[1]Produtos!$B:$B,0)), "-")</f>
        <v>-</v>
      </c>
      <c r="S2600" s="483" t="str">
        <f>IFERROR(INDEX([1]Produtos!$J:$J,MATCH(L2600,[1]Produtos!$B:$B,0)), "-")</f>
        <v>-</v>
      </c>
      <c r="T2600" s="484"/>
      <c r="U2600" s="483"/>
      <c r="V2600" s="483"/>
      <c r="W2600" s="483"/>
      <c r="X2600" s="483"/>
      <c r="Y2600" s="483"/>
      <c r="Z2600" s="483"/>
      <c r="AA2600" s="483"/>
      <c r="AB2600" s="483"/>
      <c r="AC2600" s="483"/>
      <c r="AD2600" s="483"/>
      <c r="AE2600" s="483"/>
      <c r="AF2600" s="483"/>
      <c r="AG2600" s="483"/>
      <c r="AH2600" s="483"/>
      <c r="AI2600" s="483"/>
      <c r="AJ2600" s="483"/>
      <c r="AK2600" s="483"/>
      <c r="AL2600" s="483"/>
      <c r="AM2600" s="670"/>
      <c r="AN2600" s="670"/>
      <c r="AO2600" s="711" t="str">
        <f>IF(OR(Table1[[#This Row],[Início Setup Envase]]="",Table1[[#This Row],[Final Setup Envase]]=""),"",Table1[[#This Row],[Final Setup Envase]]-Table1[[#This Row],[Início Setup Envase]])</f>
        <v/>
      </c>
      <c r="AP2600" s="670"/>
      <c r="AQ2600" s="670"/>
      <c r="AR2600" s="483"/>
      <c r="AS2600" s="483"/>
      <c r="AT2600" s="483"/>
      <c r="AU2600" s="483"/>
      <c r="AV2600" s="483"/>
      <c r="AW2600" s="483"/>
      <c r="AX2600" s="483"/>
      <c r="AY2600" s="270"/>
      <c r="AZ2600" s="270"/>
      <c r="BA2600" s="270" t="str">
        <f>IF(Table1[[#This Row],[Data de Início]]="","",YEAR(Table1[[#This Row],[Data de Início]]))</f>
        <v/>
      </c>
      <c r="BB2600" s="270" t="str">
        <f>IF(Table1[[#This Row],[Data de Início]]="","",MONTH(Table1[[#This Row],[Data de Início]]))</f>
        <v/>
      </c>
      <c r="BC2600" s="270"/>
    </row>
    <row r="2601" spans="2:55" x14ac:dyDescent="0.25">
      <c r="B2601" s="470"/>
      <c r="C2601" s="263"/>
      <c r="D2601" s="477" cm="1">
        <f t="array" ref="D2601">IFERROR(HorasUteisFabrica2Turnos(B2601,C2601), "")</f>
        <v>0</v>
      </c>
      <c r="E2601" s="697" t="str">
        <f t="shared" si="41"/>
        <v/>
      </c>
      <c r="F2601" s="266"/>
      <c r="G2601" s="698"/>
      <c r="H2601" s="266"/>
      <c r="I2601" s="268"/>
      <c r="J2601" s="268"/>
      <c r="K2601" s="268"/>
      <c r="L2601" s="269"/>
      <c r="M2601" s="510" t="str">
        <f>IFERROR(INDEX([1]Produtos!$C:$C,MATCH(L2601,[1]Produtos!$B:$B,0)), "-")</f>
        <v>-</v>
      </c>
      <c r="N2601" s="510" t="str">
        <f>IFERROR(INDEX([1]Produtos!$E:$E,MATCH(L2601,[1]Produtos!$B:$B,0)), "-")</f>
        <v>-</v>
      </c>
      <c r="O2601" s="270" t="str">
        <f>IFERROR(INDEX([1]Produtos!$F:$F,MATCH(L2601,[1]Produtos!$B:$B,0)), "-")</f>
        <v>-</v>
      </c>
      <c r="P2601" s="264" t="str">
        <f>IFERROR(INDEX([1]Produtos!$G:$G,MATCH(L2601,[1]Produtos!$B:$B,0)), "-")</f>
        <v>-</v>
      </c>
      <c r="Q2601" s="270" t="str">
        <f>IFERROR(INDEX([1]Produtos!$H:$H,MATCH(L2601,[1]Produtos!$B:$B,0)), "-")</f>
        <v>-</v>
      </c>
      <c r="R2601" s="270" t="str">
        <f>IFERROR(INDEX([1]Produtos!$I:$I,MATCH(L2601,[1]Produtos!$B:$B,0)), "-")</f>
        <v>-</v>
      </c>
      <c r="S2601" s="270" t="str">
        <f>IFERROR(INDEX([1]Produtos!$J:$J,MATCH(L2601,[1]Produtos!$B:$B,0)), "-")</f>
        <v>-</v>
      </c>
      <c r="T2601" s="475"/>
      <c r="U2601" s="270"/>
      <c r="V2601" s="270"/>
      <c r="W2601" s="270"/>
      <c r="X2601" s="270"/>
      <c r="Y2601" s="270"/>
      <c r="Z2601" s="270"/>
      <c r="AA2601" s="270"/>
      <c r="AB2601" s="270"/>
      <c r="AC2601" s="270"/>
      <c r="AD2601" s="270"/>
      <c r="AE2601" s="270"/>
      <c r="AF2601" s="270"/>
      <c r="AG2601" s="270"/>
      <c r="AH2601" s="270"/>
      <c r="AI2601" s="270"/>
      <c r="AJ2601" s="270"/>
      <c r="AK2601" s="270"/>
      <c r="AL2601" s="270"/>
      <c r="AM2601" s="663"/>
      <c r="AN2601" s="663"/>
      <c r="AO2601" s="708" t="str">
        <f>IF(OR(Table1[[#This Row],[Início Setup Envase]]="",Table1[[#This Row],[Final Setup Envase]]=""),"",Table1[[#This Row],[Final Setup Envase]]-Table1[[#This Row],[Início Setup Envase]])</f>
        <v/>
      </c>
      <c r="AP2601" s="663"/>
      <c r="AQ2601" s="663"/>
      <c r="AR2601" s="270"/>
      <c r="AS2601" s="674"/>
      <c r="AT2601" s="674"/>
      <c r="AU2601" s="270"/>
      <c r="AV2601" s="270"/>
      <c r="AW2601" s="270"/>
      <c r="AX2601" s="270"/>
      <c r="AY2601" s="270"/>
      <c r="AZ2601" s="270"/>
      <c r="BA2601" s="270" t="str">
        <f>IF(Table1[[#This Row],[Data de Início]]="","",YEAR(Table1[[#This Row],[Data de Início]]))</f>
        <v/>
      </c>
      <c r="BB2601" s="270" t="str">
        <f>IF(Table1[[#This Row],[Data de Início]]="","",MONTH(Table1[[#This Row],[Data de Início]]))</f>
        <v/>
      </c>
      <c r="BC2601" s="483"/>
    </row>
    <row r="2602" spans="2:55" x14ac:dyDescent="0.25">
      <c r="B2602" s="470"/>
      <c r="C2602" s="263"/>
      <c r="D2602" s="477" cm="1">
        <f t="array" ref="D2602">IFERROR(HorasUteisFabrica2Turnos(B2602,C2602), "")</f>
        <v>0</v>
      </c>
      <c r="E2602" s="478" t="str">
        <f t="shared" si="41"/>
        <v/>
      </c>
      <c r="F2602" s="266"/>
      <c r="G2602" s="656"/>
      <c r="H2602" s="479"/>
      <c r="I2602" s="268"/>
      <c r="J2602" s="268"/>
      <c r="K2602" s="268"/>
      <c r="L2602" s="269"/>
      <c r="M2602" s="511" t="str">
        <f>IFERROR(INDEX([1]Produtos!$C:$C,MATCH(L2602,[1]Produtos!$B:$B,0)), "-")</f>
        <v>-</v>
      </c>
      <c r="N2602" s="511" t="str">
        <f>IFERROR(INDEX([1]Produtos!$E:$E,MATCH(L2602,[1]Produtos!$B:$B,0)), "-")</f>
        <v>-</v>
      </c>
      <c r="O2602" s="483" t="str">
        <f>IFERROR(INDEX([1]Produtos!$F:$F,MATCH(L2602,[1]Produtos!$B:$B,0)), "-")</f>
        <v>-</v>
      </c>
      <c r="P2602" s="477" t="str">
        <f>IFERROR(INDEX([1]Produtos!$G:$G,MATCH(L2602,[1]Produtos!$B:$B,0)), "-")</f>
        <v>-</v>
      </c>
      <c r="Q2602" s="483" t="str">
        <f>IFERROR(INDEX([1]Produtos!$H:$H,MATCH(L2602,[1]Produtos!$B:$B,0)), "-")</f>
        <v>-</v>
      </c>
      <c r="R2602" s="483" t="str">
        <f>IFERROR(INDEX([1]Produtos!$I:$I,MATCH(L2602,[1]Produtos!$B:$B,0)), "-")</f>
        <v>-</v>
      </c>
      <c r="S2602" s="483" t="str">
        <f>IFERROR(INDEX([1]Produtos!$J:$J,MATCH(L2602,[1]Produtos!$B:$B,0)), "-")</f>
        <v>-</v>
      </c>
      <c r="T2602" s="484"/>
      <c r="U2602" s="483"/>
      <c r="V2602" s="483"/>
      <c r="W2602" s="483"/>
      <c r="X2602" s="483"/>
      <c r="Y2602" s="483"/>
      <c r="Z2602" s="483"/>
      <c r="AA2602" s="483"/>
      <c r="AB2602" s="483"/>
      <c r="AC2602" s="483"/>
      <c r="AD2602" s="483"/>
      <c r="AE2602" s="483"/>
      <c r="AF2602" s="483"/>
      <c r="AG2602" s="483"/>
      <c r="AH2602" s="483"/>
      <c r="AI2602" s="483"/>
      <c r="AJ2602" s="483"/>
      <c r="AK2602" s="483"/>
      <c r="AL2602" s="483"/>
      <c r="AM2602" s="670"/>
      <c r="AN2602" s="670"/>
      <c r="AO2602" s="711" t="str">
        <f>IF(OR(Table1[[#This Row],[Início Setup Envase]]="",Table1[[#This Row],[Final Setup Envase]]=""),"",Table1[[#This Row],[Final Setup Envase]]-Table1[[#This Row],[Início Setup Envase]])</f>
        <v/>
      </c>
      <c r="AP2602" s="670"/>
      <c r="AQ2602" s="670"/>
      <c r="AR2602" s="483"/>
      <c r="AS2602" s="483"/>
      <c r="AT2602" s="483"/>
      <c r="AU2602" s="483"/>
      <c r="AV2602" s="483"/>
      <c r="AW2602" s="483"/>
      <c r="AX2602" s="483"/>
      <c r="AY2602" s="270"/>
      <c r="AZ2602" s="270"/>
      <c r="BA2602" s="270" t="str">
        <f>IF(Table1[[#This Row],[Data de Início]]="","",YEAR(Table1[[#This Row],[Data de Início]]))</f>
        <v/>
      </c>
      <c r="BB2602" s="270" t="str">
        <f>IF(Table1[[#This Row],[Data de Início]]="","",MONTH(Table1[[#This Row],[Data de Início]]))</f>
        <v/>
      </c>
      <c r="BC2602" s="270"/>
    </row>
    <row r="2603" spans="2:55" x14ac:dyDescent="0.25">
      <c r="B2603" s="470"/>
      <c r="C2603" s="263"/>
      <c r="D2603" s="477" cm="1">
        <f t="array" ref="D2603">IFERROR(HorasUteisFabrica2Turnos(B2603,C2603), "")</f>
        <v>0</v>
      </c>
      <c r="E2603" s="697" t="str">
        <f t="shared" si="41"/>
        <v/>
      </c>
      <c r="F2603" s="266"/>
      <c r="G2603" s="698"/>
      <c r="H2603" s="266"/>
      <c r="I2603" s="268"/>
      <c r="J2603" s="268"/>
      <c r="K2603" s="268"/>
      <c r="L2603" s="269"/>
      <c r="M2603" s="510" t="str">
        <f>IFERROR(INDEX([1]Produtos!$C:$C,MATCH(L2603,[1]Produtos!$B:$B,0)), "-")</f>
        <v>-</v>
      </c>
      <c r="N2603" s="510" t="str">
        <f>IFERROR(INDEX([1]Produtos!$E:$E,MATCH(L2603,[1]Produtos!$B:$B,0)), "-")</f>
        <v>-</v>
      </c>
      <c r="O2603" s="270" t="str">
        <f>IFERROR(INDEX([1]Produtos!$F:$F,MATCH(L2603,[1]Produtos!$B:$B,0)), "-")</f>
        <v>-</v>
      </c>
      <c r="P2603" s="264" t="str">
        <f>IFERROR(INDEX([1]Produtos!$G:$G,MATCH(L2603,[1]Produtos!$B:$B,0)), "-")</f>
        <v>-</v>
      </c>
      <c r="Q2603" s="270" t="str">
        <f>IFERROR(INDEX([1]Produtos!$H:$H,MATCH(L2603,[1]Produtos!$B:$B,0)), "-")</f>
        <v>-</v>
      </c>
      <c r="R2603" s="270" t="str">
        <f>IFERROR(INDEX([1]Produtos!$I:$I,MATCH(L2603,[1]Produtos!$B:$B,0)), "-")</f>
        <v>-</v>
      </c>
      <c r="S2603" s="270" t="str">
        <f>IFERROR(INDEX([1]Produtos!$J:$J,MATCH(L2603,[1]Produtos!$B:$B,0)), "-")</f>
        <v>-</v>
      </c>
      <c r="T2603" s="475"/>
      <c r="U2603" s="270"/>
      <c r="V2603" s="270"/>
      <c r="W2603" s="270"/>
      <c r="X2603" s="270"/>
      <c r="Y2603" s="270"/>
      <c r="Z2603" s="270"/>
      <c r="AA2603" s="270"/>
      <c r="AB2603" s="270"/>
      <c r="AC2603" s="270"/>
      <c r="AD2603" s="270"/>
      <c r="AE2603" s="270"/>
      <c r="AF2603" s="270"/>
      <c r="AG2603" s="270"/>
      <c r="AH2603" s="270"/>
      <c r="AI2603" s="270"/>
      <c r="AJ2603" s="270"/>
      <c r="AK2603" s="270"/>
      <c r="AL2603" s="270"/>
      <c r="AM2603" s="663"/>
      <c r="AN2603" s="663"/>
      <c r="AO2603" s="708" t="str">
        <f>IF(OR(Table1[[#This Row],[Início Setup Envase]]="",Table1[[#This Row],[Final Setup Envase]]=""),"",Table1[[#This Row],[Final Setup Envase]]-Table1[[#This Row],[Início Setup Envase]])</f>
        <v/>
      </c>
      <c r="AP2603" s="663"/>
      <c r="AQ2603" s="663"/>
      <c r="AR2603" s="270"/>
      <c r="AS2603" s="674"/>
      <c r="AT2603" s="674"/>
      <c r="AU2603" s="270"/>
      <c r="AV2603" s="270"/>
      <c r="AW2603" s="270"/>
      <c r="AX2603" s="270"/>
      <c r="AY2603" s="270"/>
      <c r="AZ2603" s="270"/>
      <c r="BA2603" s="270" t="str">
        <f>IF(Table1[[#This Row],[Data de Início]]="","",YEAR(Table1[[#This Row],[Data de Início]]))</f>
        <v/>
      </c>
      <c r="BB2603" s="270" t="str">
        <f>IF(Table1[[#This Row],[Data de Início]]="","",MONTH(Table1[[#This Row],[Data de Início]]))</f>
        <v/>
      </c>
      <c r="BC2603" s="483"/>
    </row>
    <row r="2604" spans="2:55" x14ac:dyDescent="0.25">
      <c r="B2604" s="470"/>
      <c r="C2604" s="263"/>
      <c r="D2604" s="477" cm="1">
        <f t="array" ref="D2604">IFERROR(HorasUteisFabrica2Turnos(B2604,C2604), "")</f>
        <v>0</v>
      </c>
      <c r="E2604" s="478" t="str">
        <f t="shared" si="41"/>
        <v/>
      </c>
      <c r="F2604" s="266"/>
      <c r="G2604" s="656"/>
      <c r="H2604" s="479"/>
      <c r="I2604" s="268"/>
      <c r="J2604" s="268"/>
      <c r="K2604" s="268"/>
      <c r="L2604" s="269"/>
      <c r="M2604" s="511" t="str">
        <f>IFERROR(INDEX([1]Produtos!$C:$C,MATCH(L2604,[1]Produtos!$B:$B,0)), "-")</f>
        <v>-</v>
      </c>
      <c r="N2604" s="511" t="str">
        <f>IFERROR(INDEX([1]Produtos!$E:$E,MATCH(L2604,[1]Produtos!$B:$B,0)), "-")</f>
        <v>-</v>
      </c>
      <c r="O2604" s="483" t="str">
        <f>IFERROR(INDEX([1]Produtos!$F:$F,MATCH(L2604,[1]Produtos!$B:$B,0)), "-")</f>
        <v>-</v>
      </c>
      <c r="P2604" s="477" t="str">
        <f>IFERROR(INDEX([1]Produtos!$G:$G,MATCH(L2604,[1]Produtos!$B:$B,0)), "-")</f>
        <v>-</v>
      </c>
      <c r="Q2604" s="483" t="str">
        <f>IFERROR(INDEX([1]Produtos!$H:$H,MATCH(L2604,[1]Produtos!$B:$B,0)), "-")</f>
        <v>-</v>
      </c>
      <c r="R2604" s="483" t="str">
        <f>IFERROR(INDEX([1]Produtos!$I:$I,MATCH(L2604,[1]Produtos!$B:$B,0)), "-")</f>
        <v>-</v>
      </c>
      <c r="S2604" s="483" t="str">
        <f>IFERROR(INDEX([1]Produtos!$J:$J,MATCH(L2604,[1]Produtos!$B:$B,0)), "-")</f>
        <v>-</v>
      </c>
      <c r="T2604" s="484"/>
      <c r="U2604" s="483"/>
      <c r="V2604" s="483"/>
      <c r="W2604" s="483"/>
      <c r="X2604" s="483"/>
      <c r="Y2604" s="483"/>
      <c r="Z2604" s="483"/>
      <c r="AA2604" s="483"/>
      <c r="AB2604" s="483"/>
      <c r="AC2604" s="483"/>
      <c r="AD2604" s="483"/>
      <c r="AE2604" s="483"/>
      <c r="AF2604" s="483"/>
      <c r="AG2604" s="483"/>
      <c r="AH2604" s="483"/>
      <c r="AI2604" s="483"/>
      <c r="AJ2604" s="483"/>
      <c r="AK2604" s="483"/>
      <c r="AL2604" s="483"/>
      <c r="AM2604" s="670"/>
      <c r="AN2604" s="670"/>
      <c r="AO2604" s="711" t="str">
        <f>IF(OR(Table1[[#This Row],[Início Setup Envase]]="",Table1[[#This Row],[Final Setup Envase]]=""),"",Table1[[#This Row],[Final Setup Envase]]-Table1[[#This Row],[Início Setup Envase]])</f>
        <v/>
      </c>
      <c r="AP2604" s="670"/>
      <c r="AQ2604" s="670"/>
      <c r="AR2604" s="483"/>
      <c r="AS2604" s="483"/>
      <c r="AT2604" s="483"/>
      <c r="AU2604" s="483"/>
      <c r="AV2604" s="483"/>
      <c r="AW2604" s="483"/>
      <c r="AX2604" s="483"/>
      <c r="AY2604" s="270"/>
      <c r="AZ2604" s="270"/>
      <c r="BA2604" s="270" t="str">
        <f>IF(Table1[[#This Row],[Data de Início]]="","",YEAR(Table1[[#This Row],[Data de Início]]))</f>
        <v/>
      </c>
      <c r="BB2604" s="270" t="str">
        <f>IF(Table1[[#This Row],[Data de Início]]="","",MONTH(Table1[[#This Row],[Data de Início]]))</f>
        <v/>
      </c>
      <c r="BC2604" s="270"/>
    </row>
    <row r="2605" spans="2:55" x14ac:dyDescent="0.25">
      <c r="B2605" s="470"/>
      <c r="C2605" s="263"/>
      <c r="D2605" s="477" cm="1">
        <f t="array" ref="D2605">IFERROR(HorasUteisFabrica2Turnos(B2605,C2605), "")</f>
        <v>0</v>
      </c>
      <c r="E2605" s="697" t="str">
        <f t="shared" si="41"/>
        <v/>
      </c>
      <c r="F2605" s="266"/>
      <c r="G2605" s="698"/>
      <c r="H2605" s="266"/>
      <c r="I2605" s="268"/>
      <c r="J2605" s="268"/>
      <c r="K2605" s="268"/>
      <c r="L2605" s="269"/>
      <c r="M2605" s="510" t="str">
        <f>IFERROR(INDEX([1]Produtos!$C:$C,MATCH(L2605,[1]Produtos!$B:$B,0)), "-")</f>
        <v>-</v>
      </c>
      <c r="N2605" s="510" t="str">
        <f>IFERROR(INDEX([1]Produtos!$E:$E,MATCH(L2605,[1]Produtos!$B:$B,0)), "-")</f>
        <v>-</v>
      </c>
      <c r="O2605" s="270" t="str">
        <f>IFERROR(INDEX([1]Produtos!$F:$F,MATCH(L2605,[1]Produtos!$B:$B,0)), "-")</f>
        <v>-</v>
      </c>
      <c r="P2605" s="264" t="str">
        <f>IFERROR(INDEX([1]Produtos!$G:$G,MATCH(L2605,[1]Produtos!$B:$B,0)), "-")</f>
        <v>-</v>
      </c>
      <c r="Q2605" s="270" t="str">
        <f>IFERROR(INDEX([1]Produtos!$H:$H,MATCH(L2605,[1]Produtos!$B:$B,0)), "-")</f>
        <v>-</v>
      </c>
      <c r="R2605" s="270" t="str">
        <f>IFERROR(INDEX([1]Produtos!$I:$I,MATCH(L2605,[1]Produtos!$B:$B,0)), "-")</f>
        <v>-</v>
      </c>
      <c r="S2605" s="270" t="str">
        <f>IFERROR(INDEX([1]Produtos!$J:$J,MATCH(L2605,[1]Produtos!$B:$B,0)), "-")</f>
        <v>-</v>
      </c>
      <c r="T2605" s="475"/>
      <c r="U2605" s="270"/>
      <c r="V2605" s="270"/>
      <c r="W2605" s="270"/>
      <c r="X2605" s="270"/>
      <c r="Y2605" s="270"/>
      <c r="Z2605" s="270"/>
      <c r="AA2605" s="270"/>
      <c r="AB2605" s="270"/>
      <c r="AC2605" s="270"/>
      <c r="AD2605" s="270"/>
      <c r="AE2605" s="270"/>
      <c r="AF2605" s="270"/>
      <c r="AG2605" s="270"/>
      <c r="AH2605" s="270"/>
      <c r="AI2605" s="270"/>
      <c r="AJ2605" s="270"/>
      <c r="AK2605" s="270"/>
      <c r="AL2605" s="270"/>
      <c r="AM2605" s="663"/>
      <c r="AN2605" s="663"/>
      <c r="AO2605" s="708" t="str">
        <f>IF(OR(Table1[[#This Row],[Início Setup Envase]]="",Table1[[#This Row],[Final Setup Envase]]=""),"",Table1[[#This Row],[Final Setup Envase]]-Table1[[#This Row],[Início Setup Envase]])</f>
        <v/>
      </c>
      <c r="AP2605" s="663"/>
      <c r="AQ2605" s="663"/>
      <c r="AR2605" s="270"/>
      <c r="AS2605" s="674"/>
      <c r="AT2605" s="674"/>
      <c r="AU2605" s="270"/>
      <c r="AV2605" s="270"/>
      <c r="AW2605" s="270"/>
      <c r="AX2605" s="270"/>
      <c r="AY2605" s="270"/>
      <c r="AZ2605" s="270"/>
      <c r="BA2605" s="270" t="str">
        <f>IF(Table1[[#This Row],[Data de Início]]="","",YEAR(Table1[[#This Row],[Data de Início]]))</f>
        <v/>
      </c>
      <c r="BB2605" s="270" t="str">
        <f>IF(Table1[[#This Row],[Data de Início]]="","",MONTH(Table1[[#This Row],[Data de Início]]))</f>
        <v/>
      </c>
      <c r="BC2605" s="483"/>
    </row>
    <row r="2606" spans="2:55" x14ac:dyDescent="0.25">
      <c r="B2606" s="470"/>
      <c r="C2606" s="263"/>
      <c r="D2606" s="477" cm="1">
        <f t="array" ref="D2606">IFERROR(HorasUteisFabrica2Turnos(B2606,C2606), "")</f>
        <v>0</v>
      </c>
      <c r="E2606" s="478" t="str">
        <f t="shared" si="41"/>
        <v/>
      </c>
      <c r="F2606" s="266"/>
      <c r="G2606" s="656"/>
      <c r="H2606" s="479"/>
      <c r="I2606" s="268"/>
      <c r="J2606" s="268"/>
      <c r="K2606" s="268"/>
      <c r="L2606" s="269"/>
      <c r="M2606" s="511" t="str">
        <f>IFERROR(INDEX([1]Produtos!$C:$C,MATCH(L2606,[1]Produtos!$B:$B,0)), "-")</f>
        <v>-</v>
      </c>
      <c r="N2606" s="511" t="str">
        <f>IFERROR(INDEX([1]Produtos!$E:$E,MATCH(L2606,[1]Produtos!$B:$B,0)), "-")</f>
        <v>-</v>
      </c>
      <c r="O2606" s="483" t="str">
        <f>IFERROR(INDEX([1]Produtos!$F:$F,MATCH(L2606,[1]Produtos!$B:$B,0)), "-")</f>
        <v>-</v>
      </c>
      <c r="P2606" s="477" t="str">
        <f>IFERROR(INDEX([1]Produtos!$G:$G,MATCH(L2606,[1]Produtos!$B:$B,0)), "-")</f>
        <v>-</v>
      </c>
      <c r="Q2606" s="483" t="str">
        <f>IFERROR(INDEX([1]Produtos!$H:$H,MATCH(L2606,[1]Produtos!$B:$B,0)), "-")</f>
        <v>-</v>
      </c>
      <c r="R2606" s="483" t="str">
        <f>IFERROR(INDEX([1]Produtos!$I:$I,MATCH(L2606,[1]Produtos!$B:$B,0)), "-")</f>
        <v>-</v>
      </c>
      <c r="S2606" s="483" t="str">
        <f>IFERROR(INDEX([1]Produtos!$J:$J,MATCH(L2606,[1]Produtos!$B:$B,0)), "-")</f>
        <v>-</v>
      </c>
      <c r="T2606" s="484"/>
      <c r="U2606" s="483"/>
      <c r="V2606" s="483"/>
      <c r="W2606" s="483"/>
      <c r="X2606" s="483"/>
      <c r="Y2606" s="483"/>
      <c r="Z2606" s="483"/>
      <c r="AA2606" s="483"/>
      <c r="AB2606" s="483"/>
      <c r="AC2606" s="483"/>
      <c r="AD2606" s="483"/>
      <c r="AE2606" s="483"/>
      <c r="AF2606" s="483"/>
      <c r="AG2606" s="483"/>
      <c r="AH2606" s="483"/>
      <c r="AI2606" s="483"/>
      <c r="AJ2606" s="483"/>
      <c r="AK2606" s="483"/>
      <c r="AL2606" s="483"/>
      <c r="AM2606" s="670"/>
      <c r="AN2606" s="670"/>
      <c r="AO2606" s="711" t="str">
        <f>IF(OR(Table1[[#This Row],[Início Setup Envase]]="",Table1[[#This Row],[Final Setup Envase]]=""),"",Table1[[#This Row],[Final Setup Envase]]-Table1[[#This Row],[Início Setup Envase]])</f>
        <v/>
      </c>
      <c r="AP2606" s="670"/>
      <c r="AQ2606" s="670"/>
      <c r="AR2606" s="483"/>
      <c r="AS2606" s="483"/>
      <c r="AT2606" s="483"/>
      <c r="AU2606" s="483"/>
      <c r="AV2606" s="483"/>
      <c r="AW2606" s="483"/>
      <c r="AX2606" s="483"/>
      <c r="AY2606" s="270"/>
      <c r="AZ2606" s="270"/>
      <c r="BA2606" s="270" t="str">
        <f>IF(Table1[[#This Row],[Data de Início]]="","",YEAR(Table1[[#This Row],[Data de Início]]))</f>
        <v/>
      </c>
      <c r="BB2606" s="270" t="str">
        <f>IF(Table1[[#This Row],[Data de Início]]="","",MONTH(Table1[[#This Row],[Data de Início]]))</f>
        <v/>
      </c>
      <c r="BC2606" s="270"/>
    </row>
    <row r="2607" spans="2:55" x14ac:dyDescent="0.25">
      <c r="B2607" s="470"/>
      <c r="C2607" s="263"/>
      <c r="D2607" s="477" cm="1">
        <f t="array" ref="D2607">IFERROR(HorasUteisFabrica2Turnos(B2607,C2607), "")</f>
        <v>0</v>
      </c>
      <c r="E2607" s="697" t="str">
        <f t="shared" si="41"/>
        <v/>
      </c>
      <c r="F2607" s="266"/>
      <c r="G2607" s="698"/>
      <c r="H2607" s="266"/>
      <c r="I2607" s="268"/>
      <c r="J2607" s="268"/>
      <c r="K2607" s="268"/>
      <c r="L2607" s="269"/>
      <c r="M2607" s="510" t="str">
        <f>IFERROR(INDEX([1]Produtos!$C:$C,MATCH(L2607,[1]Produtos!$B:$B,0)), "-")</f>
        <v>-</v>
      </c>
      <c r="N2607" s="510" t="str">
        <f>IFERROR(INDEX([1]Produtos!$E:$E,MATCH(L2607,[1]Produtos!$B:$B,0)), "-")</f>
        <v>-</v>
      </c>
      <c r="O2607" s="270" t="str">
        <f>IFERROR(INDEX([1]Produtos!$F:$F,MATCH(L2607,[1]Produtos!$B:$B,0)), "-")</f>
        <v>-</v>
      </c>
      <c r="P2607" s="264" t="str">
        <f>IFERROR(INDEX([1]Produtos!$G:$G,MATCH(L2607,[1]Produtos!$B:$B,0)), "-")</f>
        <v>-</v>
      </c>
      <c r="Q2607" s="270" t="str">
        <f>IFERROR(INDEX([1]Produtos!$H:$H,MATCH(L2607,[1]Produtos!$B:$B,0)), "-")</f>
        <v>-</v>
      </c>
      <c r="R2607" s="270" t="str">
        <f>IFERROR(INDEX([1]Produtos!$I:$I,MATCH(L2607,[1]Produtos!$B:$B,0)), "-")</f>
        <v>-</v>
      </c>
      <c r="S2607" s="270" t="str">
        <f>IFERROR(INDEX([1]Produtos!$J:$J,MATCH(L2607,[1]Produtos!$B:$B,0)), "-")</f>
        <v>-</v>
      </c>
      <c r="T2607" s="475"/>
      <c r="U2607" s="270"/>
      <c r="V2607" s="270"/>
      <c r="W2607" s="270"/>
      <c r="X2607" s="270"/>
      <c r="Y2607" s="270"/>
      <c r="Z2607" s="270"/>
      <c r="AA2607" s="270"/>
      <c r="AB2607" s="270"/>
      <c r="AC2607" s="270"/>
      <c r="AD2607" s="270"/>
      <c r="AE2607" s="270"/>
      <c r="AF2607" s="270"/>
      <c r="AG2607" s="270"/>
      <c r="AH2607" s="270"/>
      <c r="AI2607" s="270"/>
      <c r="AJ2607" s="270"/>
      <c r="AK2607" s="270"/>
      <c r="AL2607" s="270"/>
      <c r="AM2607" s="663"/>
      <c r="AN2607" s="663"/>
      <c r="AO2607" s="708" t="str">
        <f>IF(OR(Table1[[#This Row],[Início Setup Envase]]="",Table1[[#This Row],[Final Setup Envase]]=""),"",Table1[[#This Row],[Final Setup Envase]]-Table1[[#This Row],[Início Setup Envase]])</f>
        <v/>
      </c>
      <c r="AP2607" s="663"/>
      <c r="AQ2607" s="663"/>
      <c r="AR2607" s="270"/>
      <c r="AS2607" s="674"/>
      <c r="AT2607" s="674"/>
      <c r="AU2607" s="270"/>
      <c r="AV2607" s="270"/>
      <c r="AW2607" s="270"/>
      <c r="AX2607" s="270"/>
      <c r="AY2607" s="270"/>
      <c r="AZ2607" s="270"/>
      <c r="BA2607" s="270" t="str">
        <f>IF(Table1[[#This Row],[Data de Início]]="","",YEAR(Table1[[#This Row],[Data de Início]]))</f>
        <v/>
      </c>
      <c r="BB2607" s="270" t="str">
        <f>IF(Table1[[#This Row],[Data de Início]]="","",MONTH(Table1[[#This Row],[Data de Início]]))</f>
        <v/>
      </c>
      <c r="BC2607" s="483"/>
    </row>
    <row r="2608" spans="2:55" x14ac:dyDescent="0.25">
      <c r="B2608" s="470"/>
      <c r="C2608" s="263"/>
      <c r="D2608" s="477" cm="1">
        <f t="array" ref="D2608">IFERROR(HorasUteisFabrica2Turnos(B2608,C2608), "")</f>
        <v>0</v>
      </c>
      <c r="E2608" s="478" t="str">
        <f t="shared" si="41"/>
        <v/>
      </c>
      <c r="F2608" s="266"/>
      <c r="G2608" s="656"/>
      <c r="H2608" s="479"/>
      <c r="I2608" s="268"/>
      <c r="J2608" s="268"/>
      <c r="K2608" s="268"/>
      <c r="L2608" s="269"/>
      <c r="M2608" s="511" t="str">
        <f>IFERROR(INDEX([1]Produtos!$C:$C,MATCH(L2608,[1]Produtos!$B:$B,0)), "-")</f>
        <v>-</v>
      </c>
      <c r="N2608" s="511" t="str">
        <f>IFERROR(INDEX([1]Produtos!$E:$E,MATCH(L2608,[1]Produtos!$B:$B,0)), "-")</f>
        <v>-</v>
      </c>
      <c r="O2608" s="483" t="str">
        <f>IFERROR(INDEX([1]Produtos!$F:$F,MATCH(L2608,[1]Produtos!$B:$B,0)), "-")</f>
        <v>-</v>
      </c>
      <c r="P2608" s="477" t="str">
        <f>IFERROR(INDEX([1]Produtos!$G:$G,MATCH(L2608,[1]Produtos!$B:$B,0)), "-")</f>
        <v>-</v>
      </c>
      <c r="Q2608" s="483" t="str">
        <f>IFERROR(INDEX([1]Produtos!$H:$H,MATCH(L2608,[1]Produtos!$B:$B,0)), "-")</f>
        <v>-</v>
      </c>
      <c r="R2608" s="483" t="str">
        <f>IFERROR(INDEX([1]Produtos!$I:$I,MATCH(L2608,[1]Produtos!$B:$B,0)), "-")</f>
        <v>-</v>
      </c>
      <c r="S2608" s="483" t="str">
        <f>IFERROR(INDEX([1]Produtos!$J:$J,MATCH(L2608,[1]Produtos!$B:$B,0)), "-")</f>
        <v>-</v>
      </c>
      <c r="T2608" s="484"/>
      <c r="U2608" s="483"/>
      <c r="V2608" s="483"/>
      <c r="W2608" s="483"/>
      <c r="X2608" s="483"/>
      <c r="Y2608" s="483"/>
      <c r="Z2608" s="483"/>
      <c r="AA2608" s="483"/>
      <c r="AB2608" s="483"/>
      <c r="AC2608" s="483"/>
      <c r="AD2608" s="483"/>
      <c r="AE2608" s="483"/>
      <c r="AF2608" s="483"/>
      <c r="AG2608" s="483"/>
      <c r="AH2608" s="483"/>
      <c r="AI2608" s="483"/>
      <c r="AJ2608" s="483"/>
      <c r="AK2608" s="483"/>
      <c r="AL2608" s="483"/>
      <c r="AM2608" s="670"/>
      <c r="AN2608" s="670"/>
      <c r="AO2608" s="711" t="str">
        <f>IF(OR(Table1[[#This Row],[Início Setup Envase]]="",Table1[[#This Row],[Final Setup Envase]]=""),"",Table1[[#This Row],[Final Setup Envase]]-Table1[[#This Row],[Início Setup Envase]])</f>
        <v/>
      </c>
      <c r="AP2608" s="670"/>
      <c r="AQ2608" s="670"/>
      <c r="AR2608" s="483"/>
      <c r="AS2608" s="483"/>
      <c r="AT2608" s="483"/>
      <c r="AU2608" s="483"/>
      <c r="AV2608" s="483"/>
      <c r="AW2608" s="483"/>
      <c r="AX2608" s="483"/>
      <c r="AY2608" s="270"/>
      <c r="AZ2608" s="270"/>
      <c r="BA2608" s="270" t="str">
        <f>IF(Table1[[#This Row],[Data de Início]]="","",YEAR(Table1[[#This Row],[Data de Início]]))</f>
        <v/>
      </c>
      <c r="BB2608" s="270" t="str">
        <f>IF(Table1[[#This Row],[Data de Início]]="","",MONTH(Table1[[#This Row],[Data de Início]]))</f>
        <v/>
      </c>
      <c r="BC2608" s="270"/>
    </row>
    <row r="2609" spans="2:55" x14ac:dyDescent="0.25">
      <c r="B2609" s="470"/>
      <c r="C2609" s="263"/>
      <c r="D2609" s="477" cm="1">
        <f t="array" ref="D2609">IFERROR(HorasUteisFabrica2Turnos(B2609,C2609), "")</f>
        <v>0</v>
      </c>
      <c r="E2609" s="697" t="str">
        <f t="shared" si="41"/>
        <v/>
      </c>
      <c r="F2609" s="266"/>
      <c r="G2609" s="698"/>
      <c r="H2609" s="266"/>
      <c r="I2609" s="268"/>
      <c r="J2609" s="268"/>
      <c r="K2609" s="268"/>
      <c r="L2609" s="269"/>
      <c r="M2609" s="510" t="str">
        <f>IFERROR(INDEX([1]Produtos!$C:$C,MATCH(L2609,[1]Produtos!$B:$B,0)), "-")</f>
        <v>-</v>
      </c>
      <c r="N2609" s="510" t="str">
        <f>IFERROR(INDEX([1]Produtos!$E:$E,MATCH(L2609,[1]Produtos!$B:$B,0)), "-")</f>
        <v>-</v>
      </c>
      <c r="O2609" s="270" t="str">
        <f>IFERROR(INDEX([1]Produtos!$F:$F,MATCH(L2609,[1]Produtos!$B:$B,0)), "-")</f>
        <v>-</v>
      </c>
      <c r="P2609" s="264" t="str">
        <f>IFERROR(INDEX([1]Produtos!$G:$G,MATCH(L2609,[1]Produtos!$B:$B,0)), "-")</f>
        <v>-</v>
      </c>
      <c r="Q2609" s="270" t="str">
        <f>IFERROR(INDEX([1]Produtos!$H:$H,MATCH(L2609,[1]Produtos!$B:$B,0)), "-")</f>
        <v>-</v>
      </c>
      <c r="R2609" s="270" t="str">
        <f>IFERROR(INDEX([1]Produtos!$I:$I,MATCH(L2609,[1]Produtos!$B:$B,0)), "-")</f>
        <v>-</v>
      </c>
      <c r="S2609" s="270" t="str">
        <f>IFERROR(INDEX([1]Produtos!$J:$J,MATCH(L2609,[1]Produtos!$B:$B,0)), "-")</f>
        <v>-</v>
      </c>
      <c r="T2609" s="475"/>
      <c r="U2609" s="270"/>
      <c r="V2609" s="270"/>
      <c r="W2609" s="270"/>
      <c r="X2609" s="270"/>
      <c r="Y2609" s="270"/>
      <c r="Z2609" s="270"/>
      <c r="AA2609" s="270"/>
      <c r="AB2609" s="270"/>
      <c r="AC2609" s="270"/>
      <c r="AD2609" s="270"/>
      <c r="AE2609" s="270"/>
      <c r="AF2609" s="270"/>
      <c r="AG2609" s="270"/>
      <c r="AH2609" s="270"/>
      <c r="AI2609" s="270"/>
      <c r="AJ2609" s="270"/>
      <c r="AK2609" s="270"/>
      <c r="AL2609" s="270"/>
      <c r="AM2609" s="663"/>
      <c r="AN2609" s="663"/>
      <c r="AO2609" s="708" t="str">
        <f>IF(OR(Table1[[#This Row],[Início Setup Envase]]="",Table1[[#This Row],[Final Setup Envase]]=""),"",Table1[[#This Row],[Final Setup Envase]]-Table1[[#This Row],[Início Setup Envase]])</f>
        <v/>
      </c>
      <c r="AP2609" s="663"/>
      <c r="AQ2609" s="663"/>
      <c r="AR2609" s="270"/>
      <c r="AS2609" s="674"/>
      <c r="AT2609" s="674"/>
      <c r="AU2609" s="270"/>
      <c r="AV2609" s="270"/>
      <c r="AW2609" s="270"/>
      <c r="AX2609" s="270"/>
      <c r="AY2609" s="270"/>
      <c r="AZ2609" s="270"/>
      <c r="BA2609" s="270" t="str">
        <f>IF(Table1[[#This Row],[Data de Início]]="","",YEAR(Table1[[#This Row],[Data de Início]]))</f>
        <v/>
      </c>
      <c r="BB2609" s="270" t="str">
        <f>IF(Table1[[#This Row],[Data de Início]]="","",MONTH(Table1[[#This Row],[Data de Início]]))</f>
        <v/>
      </c>
      <c r="BC2609" s="483"/>
    </row>
    <row r="2610" spans="2:55" x14ac:dyDescent="0.25">
      <c r="B2610" s="470"/>
      <c r="C2610" s="263"/>
      <c r="D2610" s="477" cm="1">
        <f t="array" ref="D2610">IFERROR(HorasUteisFabrica2Turnos(B2610,C2610), "")</f>
        <v>0</v>
      </c>
      <c r="E2610" s="478" t="str">
        <f t="shared" si="41"/>
        <v/>
      </c>
      <c r="F2610" s="266"/>
      <c r="G2610" s="656"/>
      <c r="H2610" s="479"/>
      <c r="I2610" s="268"/>
      <c r="J2610" s="268"/>
      <c r="K2610" s="268"/>
      <c r="L2610" s="269"/>
      <c r="M2610" s="511" t="str">
        <f>IFERROR(INDEX([1]Produtos!$C:$C,MATCH(L2610,[1]Produtos!$B:$B,0)), "-")</f>
        <v>-</v>
      </c>
      <c r="N2610" s="511" t="str">
        <f>IFERROR(INDEX([1]Produtos!$E:$E,MATCH(L2610,[1]Produtos!$B:$B,0)), "-")</f>
        <v>-</v>
      </c>
      <c r="O2610" s="483" t="str">
        <f>IFERROR(INDEX([1]Produtos!$F:$F,MATCH(L2610,[1]Produtos!$B:$B,0)), "-")</f>
        <v>-</v>
      </c>
      <c r="P2610" s="477" t="str">
        <f>IFERROR(INDEX([1]Produtos!$G:$G,MATCH(L2610,[1]Produtos!$B:$B,0)), "-")</f>
        <v>-</v>
      </c>
      <c r="Q2610" s="483" t="str">
        <f>IFERROR(INDEX([1]Produtos!$H:$H,MATCH(L2610,[1]Produtos!$B:$B,0)), "-")</f>
        <v>-</v>
      </c>
      <c r="R2610" s="483" t="str">
        <f>IFERROR(INDEX([1]Produtos!$I:$I,MATCH(L2610,[1]Produtos!$B:$B,0)), "-")</f>
        <v>-</v>
      </c>
      <c r="S2610" s="483" t="str">
        <f>IFERROR(INDEX([1]Produtos!$J:$J,MATCH(L2610,[1]Produtos!$B:$B,0)), "-")</f>
        <v>-</v>
      </c>
      <c r="T2610" s="484"/>
      <c r="U2610" s="483"/>
      <c r="V2610" s="483"/>
      <c r="W2610" s="483"/>
      <c r="X2610" s="483"/>
      <c r="Y2610" s="483"/>
      <c r="Z2610" s="483"/>
      <c r="AA2610" s="483"/>
      <c r="AB2610" s="483"/>
      <c r="AC2610" s="483"/>
      <c r="AD2610" s="483"/>
      <c r="AE2610" s="483"/>
      <c r="AF2610" s="483"/>
      <c r="AG2610" s="483"/>
      <c r="AH2610" s="483"/>
      <c r="AI2610" s="483"/>
      <c r="AJ2610" s="483"/>
      <c r="AK2610" s="483"/>
      <c r="AL2610" s="483"/>
      <c r="AM2610" s="670"/>
      <c r="AN2610" s="670"/>
      <c r="AO2610" s="711" t="str">
        <f>IF(OR(Table1[[#This Row],[Início Setup Envase]]="",Table1[[#This Row],[Final Setup Envase]]=""),"",Table1[[#This Row],[Final Setup Envase]]-Table1[[#This Row],[Início Setup Envase]])</f>
        <v/>
      </c>
      <c r="AP2610" s="670"/>
      <c r="AQ2610" s="670"/>
      <c r="AR2610" s="483"/>
      <c r="AS2610" s="483"/>
      <c r="AT2610" s="483"/>
      <c r="AU2610" s="483"/>
      <c r="AV2610" s="483"/>
      <c r="AW2610" s="483"/>
      <c r="AX2610" s="483"/>
      <c r="AY2610" s="270"/>
      <c r="AZ2610" s="270"/>
      <c r="BA2610" s="270" t="str">
        <f>IF(Table1[[#This Row],[Data de Início]]="","",YEAR(Table1[[#This Row],[Data de Início]]))</f>
        <v/>
      </c>
      <c r="BB2610" s="270" t="str">
        <f>IF(Table1[[#This Row],[Data de Início]]="","",MONTH(Table1[[#This Row],[Data de Início]]))</f>
        <v/>
      </c>
      <c r="BC2610" s="270"/>
    </row>
    <row r="2611" spans="2:55" x14ac:dyDescent="0.25">
      <c r="B2611" s="470"/>
      <c r="C2611" s="263"/>
      <c r="D2611" s="477" cm="1">
        <f t="array" ref="D2611">IFERROR(HorasUteisFabrica2Turnos(B2611,C2611), "")</f>
        <v>0</v>
      </c>
      <c r="E2611" s="697" t="str">
        <f t="shared" si="41"/>
        <v/>
      </c>
      <c r="F2611" s="266"/>
      <c r="G2611" s="698"/>
      <c r="H2611" s="266"/>
      <c r="I2611" s="268"/>
      <c r="J2611" s="268"/>
      <c r="K2611" s="268"/>
      <c r="L2611" s="269"/>
      <c r="M2611" s="510" t="str">
        <f>IFERROR(INDEX([1]Produtos!$C:$C,MATCH(L2611,[1]Produtos!$B:$B,0)), "-")</f>
        <v>-</v>
      </c>
      <c r="N2611" s="510" t="str">
        <f>IFERROR(INDEX([1]Produtos!$E:$E,MATCH(L2611,[1]Produtos!$B:$B,0)), "-")</f>
        <v>-</v>
      </c>
      <c r="O2611" s="270" t="str">
        <f>IFERROR(INDEX([1]Produtos!$F:$F,MATCH(L2611,[1]Produtos!$B:$B,0)), "-")</f>
        <v>-</v>
      </c>
      <c r="P2611" s="264" t="str">
        <f>IFERROR(INDEX([1]Produtos!$G:$G,MATCH(L2611,[1]Produtos!$B:$B,0)), "-")</f>
        <v>-</v>
      </c>
      <c r="Q2611" s="270" t="str">
        <f>IFERROR(INDEX([1]Produtos!$H:$H,MATCH(L2611,[1]Produtos!$B:$B,0)), "-")</f>
        <v>-</v>
      </c>
      <c r="R2611" s="270" t="str">
        <f>IFERROR(INDEX([1]Produtos!$I:$I,MATCH(L2611,[1]Produtos!$B:$B,0)), "-")</f>
        <v>-</v>
      </c>
      <c r="S2611" s="270" t="str">
        <f>IFERROR(INDEX([1]Produtos!$J:$J,MATCH(L2611,[1]Produtos!$B:$B,0)), "-")</f>
        <v>-</v>
      </c>
      <c r="T2611" s="475"/>
      <c r="U2611" s="270"/>
      <c r="V2611" s="270"/>
      <c r="W2611" s="270"/>
      <c r="X2611" s="270"/>
      <c r="Y2611" s="270"/>
      <c r="Z2611" s="270"/>
      <c r="AA2611" s="270"/>
      <c r="AB2611" s="270"/>
      <c r="AC2611" s="270"/>
      <c r="AD2611" s="270"/>
      <c r="AE2611" s="270"/>
      <c r="AF2611" s="270"/>
      <c r="AG2611" s="270"/>
      <c r="AH2611" s="270"/>
      <c r="AI2611" s="270"/>
      <c r="AJ2611" s="270"/>
      <c r="AK2611" s="270"/>
      <c r="AL2611" s="270"/>
      <c r="AM2611" s="663"/>
      <c r="AN2611" s="663"/>
      <c r="AO2611" s="708" t="str">
        <f>IF(OR(Table1[[#This Row],[Início Setup Envase]]="",Table1[[#This Row],[Final Setup Envase]]=""),"",Table1[[#This Row],[Final Setup Envase]]-Table1[[#This Row],[Início Setup Envase]])</f>
        <v/>
      </c>
      <c r="AP2611" s="663"/>
      <c r="AQ2611" s="663"/>
      <c r="AR2611" s="270"/>
      <c r="AS2611" s="674"/>
      <c r="AT2611" s="674"/>
      <c r="AU2611" s="270"/>
      <c r="AV2611" s="270"/>
      <c r="AW2611" s="270"/>
      <c r="AX2611" s="270"/>
      <c r="AY2611" s="270"/>
      <c r="AZ2611" s="270"/>
      <c r="BA2611" s="270" t="str">
        <f>IF(Table1[[#This Row],[Data de Início]]="","",YEAR(Table1[[#This Row],[Data de Início]]))</f>
        <v/>
      </c>
      <c r="BB2611" s="270" t="str">
        <f>IF(Table1[[#This Row],[Data de Início]]="","",MONTH(Table1[[#This Row],[Data de Início]]))</f>
        <v/>
      </c>
      <c r="BC2611" s="483"/>
    </row>
    <row r="2612" spans="2:55" x14ac:dyDescent="0.25">
      <c r="B2612" s="470"/>
      <c r="C2612" s="263"/>
      <c r="D2612" s="477" cm="1">
        <f t="array" ref="D2612">IFERROR(HorasUteisFabrica2Turnos(B2612,C2612), "")</f>
        <v>0</v>
      </c>
      <c r="E2612" s="478" t="str">
        <f t="shared" si="41"/>
        <v/>
      </c>
      <c r="F2612" s="266"/>
      <c r="G2612" s="656"/>
      <c r="H2612" s="479"/>
      <c r="I2612" s="268"/>
      <c r="J2612" s="268"/>
      <c r="K2612" s="268"/>
      <c r="L2612" s="269"/>
      <c r="M2612" s="511" t="str">
        <f>IFERROR(INDEX([1]Produtos!$C:$C,MATCH(L2612,[1]Produtos!$B:$B,0)), "-")</f>
        <v>-</v>
      </c>
      <c r="N2612" s="511" t="str">
        <f>IFERROR(INDEX([1]Produtos!$E:$E,MATCH(L2612,[1]Produtos!$B:$B,0)), "-")</f>
        <v>-</v>
      </c>
      <c r="O2612" s="483" t="str">
        <f>IFERROR(INDEX([1]Produtos!$F:$F,MATCH(L2612,[1]Produtos!$B:$B,0)), "-")</f>
        <v>-</v>
      </c>
      <c r="P2612" s="477" t="str">
        <f>IFERROR(INDEX([1]Produtos!$G:$G,MATCH(L2612,[1]Produtos!$B:$B,0)), "-")</f>
        <v>-</v>
      </c>
      <c r="Q2612" s="483" t="str">
        <f>IFERROR(INDEX([1]Produtos!$H:$H,MATCH(L2612,[1]Produtos!$B:$B,0)), "-")</f>
        <v>-</v>
      </c>
      <c r="R2612" s="483" t="str">
        <f>IFERROR(INDEX([1]Produtos!$I:$I,MATCH(L2612,[1]Produtos!$B:$B,0)), "-")</f>
        <v>-</v>
      </c>
      <c r="S2612" s="483" t="str">
        <f>IFERROR(INDEX([1]Produtos!$J:$J,MATCH(L2612,[1]Produtos!$B:$B,0)), "-")</f>
        <v>-</v>
      </c>
      <c r="T2612" s="484"/>
      <c r="U2612" s="483"/>
      <c r="V2612" s="483"/>
      <c r="W2612" s="483"/>
      <c r="X2612" s="483"/>
      <c r="Y2612" s="483"/>
      <c r="Z2612" s="483"/>
      <c r="AA2612" s="483"/>
      <c r="AB2612" s="483"/>
      <c r="AC2612" s="483"/>
      <c r="AD2612" s="483"/>
      <c r="AE2612" s="483"/>
      <c r="AF2612" s="483"/>
      <c r="AG2612" s="483"/>
      <c r="AH2612" s="483"/>
      <c r="AI2612" s="483"/>
      <c r="AJ2612" s="483"/>
      <c r="AK2612" s="483"/>
      <c r="AL2612" s="483"/>
      <c r="AM2612" s="670"/>
      <c r="AN2612" s="670"/>
      <c r="AO2612" s="711" t="str">
        <f>IF(OR(Table1[[#This Row],[Início Setup Envase]]="",Table1[[#This Row],[Final Setup Envase]]=""),"",Table1[[#This Row],[Final Setup Envase]]-Table1[[#This Row],[Início Setup Envase]])</f>
        <v/>
      </c>
      <c r="AP2612" s="670"/>
      <c r="AQ2612" s="670"/>
      <c r="AR2612" s="483"/>
      <c r="AS2612" s="483"/>
      <c r="AT2612" s="483"/>
      <c r="AU2612" s="483"/>
      <c r="AV2612" s="483"/>
      <c r="AW2612" s="483"/>
      <c r="AX2612" s="483"/>
      <c r="AY2612" s="270"/>
      <c r="AZ2612" s="270"/>
      <c r="BA2612" s="270" t="str">
        <f>IF(Table1[[#This Row],[Data de Início]]="","",YEAR(Table1[[#This Row],[Data de Início]]))</f>
        <v/>
      </c>
      <c r="BB2612" s="270" t="str">
        <f>IF(Table1[[#This Row],[Data de Início]]="","",MONTH(Table1[[#This Row],[Data de Início]]))</f>
        <v/>
      </c>
      <c r="BC2612" s="270"/>
    </row>
    <row r="2613" spans="2:55" x14ac:dyDescent="0.25">
      <c r="B2613" s="470"/>
      <c r="C2613" s="263"/>
      <c r="D2613" s="477" cm="1">
        <f t="array" ref="D2613">IFERROR(HorasUteisFabrica2Turnos(B2613,C2613), "")</f>
        <v>0</v>
      </c>
      <c r="E2613" s="697" t="str">
        <f t="shared" si="41"/>
        <v/>
      </c>
      <c r="F2613" s="266"/>
      <c r="G2613" s="698"/>
      <c r="H2613" s="266"/>
      <c r="I2613" s="268"/>
      <c r="J2613" s="268"/>
      <c r="K2613" s="268"/>
      <c r="L2613" s="269"/>
      <c r="M2613" s="510" t="str">
        <f>IFERROR(INDEX([1]Produtos!$C:$C,MATCH(L2613,[1]Produtos!$B:$B,0)), "-")</f>
        <v>-</v>
      </c>
      <c r="N2613" s="510" t="str">
        <f>IFERROR(INDEX([1]Produtos!$E:$E,MATCH(L2613,[1]Produtos!$B:$B,0)), "-")</f>
        <v>-</v>
      </c>
      <c r="O2613" s="270" t="str">
        <f>IFERROR(INDEX([1]Produtos!$F:$F,MATCH(L2613,[1]Produtos!$B:$B,0)), "-")</f>
        <v>-</v>
      </c>
      <c r="P2613" s="264" t="str">
        <f>IFERROR(INDEX([1]Produtos!$G:$G,MATCH(L2613,[1]Produtos!$B:$B,0)), "-")</f>
        <v>-</v>
      </c>
      <c r="Q2613" s="270" t="str">
        <f>IFERROR(INDEX([1]Produtos!$H:$H,MATCH(L2613,[1]Produtos!$B:$B,0)), "-")</f>
        <v>-</v>
      </c>
      <c r="R2613" s="270" t="str">
        <f>IFERROR(INDEX([1]Produtos!$I:$I,MATCH(L2613,[1]Produtos!$B:$B,0)), "-")</f>
        <v>-</v>
      </c>
      <c r="S2613" s="270" t="str">
        <f>IFERROR(INDEX([1]Produtos!$J:$J,MATCH(L2613,[1]Produtos!$B:$B,0)), "-")</f>
        <v>-</v>
      </c>
      <c r="T2613" s="475"/>
      <c r="U2613" s="270"/>
      <c r="V2613" s="270"/>
      <c r="W2613" s="270"/>
      <c r="X2613" s="270"/>
      <c r="Y2613" s="270"/>
      <c r="Z2613" s="270"/>
      <c r="AA2613" s="270"/>
      <c r="AB2613" s="270"/>
      <c r="AC2613" s="270"/>
      <c r="AD2613" s="270"/>
      <c r="AE2613" s="270"/>
      <c r="AF2613" s="270"/>
      <c r="AG2613" s="270"/>
      <c r="AH2613" s="270"/>
      <c r="AI2613" s="270"/>
      <c r="AJ2613" s="270"/>
      <c r="AK2613" s="270"/>
      <c r="AL2613" s="270"/>
      <c r="AM2613" s="663"/>
      <c r="AN2613" s="663"/>
      <c r="AO2613" s="708" t="str">
        <f>IF(OR(Table1[[#This Row],[Início Setup Envase]]="",Table1[[#This Row],[Final Setup Envase]]=""),"",Table1[[#This Row],[Final Setup Envase]]-Table1[[#This Row],[Início Setup Envase]])</f>
        <v/>
      </c>
      <c r="AP2613" s="663"/>
      <c r="AQ2613" s="663"/>
      <c r="AR2613" s="270"/>
      <c r="AS2613" s="674"/>
      <c r="AT2613" s="674"/>
      <c r="AU2613" s="270"/>
      <c r="AV2613" s="270"/>
      <c r="AW2613" s="270"/>
      <c r="AX2613" s="270"/>
      <c r="AY2613" s="270"/>
      <c r="AZ2613" s="270"/>
      <c r="BA2613" s="270" t="str">
        <f>IF(Table1[[#This Row],[Data de Início]]="","",YEAR(Table1[[#This Row],[Data de Início]]))</f>
        <v/>
      </c>
      <c r="BB2613" s="270" t="str">
        <f>IF(Table1[[#This Row],[Data de Início]]="","",MONTH(Table1[[#This Row],[Data de Início]]))</f>
        <v/>
      </c>
      <c r="BC2613" s="483"/>
    </row>
    <row r="2614" spans="2:55" x14ac:dyDescent="0.25">
      <c r="B2614" s="470"/>
      <c r="C2614" s="263"/>
      <c r="D2614" s="477" cm="1">
        <f t="array" ref="D2614">IFERROR(HorasUteisFabrica2Turnos(B2614,C2614), "")</f>
        <v>0</v>
      </c>
      <c r="E2614" s="478" t="str">
        <f t="shared" si="41"/>
        <v/>
      </c>
      <c r="F2614" s="266"/>
      <c r="G2614" s="656"/>
      <c r="H2614" s="479"/>
      <c r="I2614" s="268"/>
      <c r="J2614" s="268"/>
      <c r="K2614" s="268"/>
      <c r="L2614" s="269"/>
      <c r="M2614" s="511" t="str">
        <f>IFERROR(INDEX([1]Produtos!$C:$C,MATCH(L2614,[1]Produtos!$B:$B,0)), "-")</f>
        <v>-</v>
      </c>
      <c r="N2614" s="511" t="str">
        <f>IFERROR(INDEX([1]Produtos!$E:$E,MATCH(L2614,[1]Produtos!$B:$B,0)), "-")</f>
        <v>-</v>
      </c>
      <c r="O2614" s="483" t="str">
        <f>IFERROR(INDEX([1]Produtos!$F:$F,MATCH(L2614,[1]Produtos!$B:$B,0)), "-")</f>
        <v>-</v>
      </c>
      <c r="P2614" s="477" t="str">
        <f>IFERROR(INDEX([1]Produtos!$G:$G,MATCH(L2614,[1]Produtos!$B:$B,0)), "-")</f>
        <v>-</v>
      </c>
      <c r="Q2614" s="483" t="str">
        <f>IFERROR(INDEX([1]Produtos!$H:$H,MATCH(L2614,[1]Produtos!$B:$B,0)), "-")</f>
        <v>-</v>
      </c>
      <c r="R2614" s="483" t="str">
        <f>IFERROR(INDEX([1]Produtos!$I:$I,MATCH(L2614,[1]Produtos!$B:$B,0)), "-")</f>
        <v>-</v>
      </c>
      <c r="S2614" s="483" t="str">
        <f>IFERROR(INDEX([1]Produtos!$J:$J,MATCH(L2614,[1]Produtos!$B:$B,0)), "-")</f>
        <v>-</v>
      </c>
      <c r="T2614" s="484"/>
      <c r="U2614" s="483"/>
      <c r="V2614" s="483"/>
      <c r="W2614" s="483"/>
      <c r="X2614" s="483"/>
      <c r="Y2614" s="483"/>
      <c r="Z2614" s="483"/>
      <c r="AA2614" s="483"/>
      <c r="AB2614" s="483"/>
      <c r="AC2614" s="483"/>
      <c r="AD2614" s="483"/>
      <c r="AE2614" s="483"/>
      <c r="AF2614" s="483"/>
      <c r="AG2614" s="483"/>
      <c r="AH2614" s="483"/>
      <c r="AI2614" s="483"/>
      <c r="AJ2614" s="483"/>
      <c r="AK2614" s="483"/>
      <c r="AL2614" s="483"/>
      <c r="AM2614" s="670"/>
      <c r="AN2614" s="670"/>
      <c r="AO2614" s="711" t="str">
        <f>IF(OR(Table1[[#This Row],[Início Setup Envase]]="",Table1[[#This Row],[Final Setup Envase]]=""),"",Table1[[#This Row],[Final Setup Envase]]-Table1[[#This Row],[Início Setup Envase]])</f>
        <v/>
      </c>
      <c r="AP2614" s="670"/>
      <c r="AQ2614" s="670"/>
      <c r="AR2614" s="483"/>
      <c r="AS2614" s="483"/>
      <c r="AT2614" s="483"/>
      <c r="AU2614" s="483"/>
      <c r="AV2614" s="483"/>
      <c r="AW2614" s="483"/>
      <c r="AX2614" s="483"/>
      <c r="AY2614" s="270"/>
      <c r="AZ2614" s="270"/>
      <c r="BA2614" s="270" t="str">
        <f>IF(Table1[[#This Row],[Data de Início]]="","",YEAR(Table1[[#This Row],[Data de Início]]))</f>
        <v/>
      </c>
      <c r="BB2614" s="270" t="str">
        <f>IF(Table1[[#This Row],[Data de Início]]="","",MONTH(Table1[[#This Row],[Data de Início]]))</f>
        <v/>
      </c>
      <c r="BC2614" s="270"/>
    </row>
    <row r="2615" spans="2:55" x14ac:dyDescent="0.25">
      <c r="B2615" s="470"/>
      <c r="C2615" s="263"/>
      <c r="D2615" s="477" cm="1">
        <f t="array" ref="D2615">IFERROR(HorasUteisFabrica2Turnos(B2615,C2615), "")</f>
        <v>0</v>
      </c>
      <c r="E2615" s="697" t="str">
        <f t="shared" si="41"/>
        <v/>
      </c>
      <c r="F2615" s="266"/>
      <c r="G2615" s="698"/>
      <c r="H2615" s="266"/>
      <c r="I2615" s="268"/>
      <c r="J2615" s="268"/>
      <c r="K2615" s="268"/>
      <c r="L2615" s="269"/>
      <c r="M2615" s="510" t="str">
        <f>IFERROR(INDEX([1]Produtos!$C:$C,MATCH(L2615,[1]Produtos!$B:$B,0)), "-")</f>
        <v>-</v>
      </c>
      <c r="N2615" s="510" t="str">
        <f>IFERROR(INDEX([1]Produtos!$E:$E,MATCH(L2615,[1]Produtos!$B:$B,0)), "-")</f>
        <v>-</v>
      </c>
      <c r="O2615" s="270" t="str">
        <f>IFERROR(INDEX([1]Produtos!$F:$F,MATCH(L2615,[1]Produtos!$B:$B,0)), "-")</f>
        <v>-</v>
      </c>
      <c r="P2615" s="264" t="str">
        <f>IFERROR(INDEX([1]Produtos!$G:$G,MATCH(L2615,[1]Produtos!$B:$B,0)), "-")</f>
        <v>-</v>
      </c>
      <c r="Q2615" s="270" t="str">
        <f>IFERROR(INDEX([1]Produtos!$H:$H,MATCH(L2615,[1]Produtos!$B:$B,0)), "-")</f>
        <v>-</v>
      </c>
      <c r="R2615" s="270" t="str">
        <f>IFERROR(INDEX([1]Produtos!$I:$I,MATCH(L2615,[1]Produtos!$B:$B,0)), "-")</f>
        <v>-</v>
      </c>
      <c r="S2615" s="270" t="str">
        <f>IFERROR(INDEX([1]Produtos!$J:$J,MATCH(L2615,[1]Produtos!$B:$B,0)), "-")</f>
        <v>-</v>
      </c>
      <c r="T2615" s="475"/>
      <c r="U2615" s="270"/>
      <c r="V2615" s="270"/>
      <c r="W2615" s="270"/>
      <c r="X2615" s="270"/>
      <c r="Y2615" s="270"/>
      <c r="Z2615" s="270"/>
      <c r="AA2615" s="270"/>
      <c r="AB2615" s="270"/>
      <c r="AC2615" s="270"/>
      <c r="AD2615" s="270"/>
      <c r="AE2615" s="270"/>
      <c r="AF2615" s="270"/>
      <c r="AG2615" s="270"/>
      <c r="AH2615" s="270"/>
      <c r="AI2615" s="270"/>
      <c r="AJ2615" s="270"/>
      <c r="AK2615" s="270"/>
      <c r="AL2615" s="270"/>
      <c r="AM2615" s="663"/>
      <c r="AN2615" s="663"/>
      <c r="AO2615" s="708" t="str">
        <f>IF(OR(Table1[[#This Row],[Início Setup Envase]]="",Table1[[#This Row],[Final Setup Envase]]=""),"",Table1[[#This Row],[Final Setup Envase]]-Table1[[#This Row],[Início Setup Envase]])</f>
        <v/>
      </c>
      <c r="AP2615" s="663"/>
      <c r="AQ2615" s="663"/>
      <c r="AR2615" s="270"/>
      <c r="AS2615" s="674"/>
      <c r="AT2615" s="674"/>
      <c r="AU2615" s="270"/>
      <c r="AV2615" s="270"/>
      <c r="AW2615" s="270"/>
      <c r="AX2615" s="270"/>
      <c r="AY2615" s="270"/>
      <c r="AZ2615" s="270"/>
      <c r="BA2615" s="270" t="str">
        <f>IF(Table1[[#This Row],[Data de Início]]="","",YEAR(Table1[[#This Row],[Data de Início]]))</f>
        <v/>
      </c>
      <c r="BB2615" s="270" t="str">
        <f>IF(Table1[[#This Row],[Data de Início]]="","",MONTH(Table1[[#This Row],[Data de Início]]))</f>
        <v/>
      </c>
      <c r="BC2615" s="483"/>
    </row>
    <row r="2616" spans="2:55" x14ac:dyDescent="0.25">
      <c r="B2616" s="470"/>
      <c r="C2616" s="263"/>
      <c r="D2616" s="477" cm="1">
        <f t="array" ref="D2616">IFERROR(HorasUteisFabrica2Turnos(B2616,C2616), "")</f>
        <v>0</v>
      </c>
      <c r="E2616" s="478" t="str">
        <f t="shared" si="41"/>
        <v/>
      </c>
      <c r="F2616" s="266"/>
      <c r="G2616" s="656"/>
      <c r="H2616" s="479"/>
      <c r="I2616" s="268"/>
      <c r="J2616" s="268"/>
      <c r="K2616" s="268"/>
      <c r="L2616" s="269"/>
      <c r="M2616" s="511" t="str">
        <f>IFERROR(INDEX([1]Produtos!$C:$C,MATCH(L2616,[1]Produtos!$B:$B,0)), "-")</f>
        <v>-</v>
      </c>
      <c r="N2616" s="511" t="str">
        <f>IFERROR(INDEX([1]Produtos!$E:$E,MATCH(L2616,[1]Produtos!$B:$B,0)), "-")</f>
        <v>-</v>
      </c>
      <c r="O2616" s="483" t="str">
        <f>IFERROR(INDEX([1]Produtos!$F:$F,MATCH(L2616,[1]Produtos!$B:$B,0)), "-")</f>
        <v>-</v>
      </c>
      <c r="P2616" s="477" t="str">
        <f>IFERROR(INDEX([1]Produtos!$G:$G,MATCH(L2616,[1]Produtos!$B:$B,0)), "-")</f>
        <v>-</v>
      </c>
      <c r="Q2616" s="483" t="str">
        <f>IFERROR(INDEX([1]Produtos!$H:$H,MATCH(L2616,[1]Produtos!$B:$B,0)), "-")</f>
        <v>-</v>
      </c>
      <c r="R2616" s="483" t="str">
        <f>IFERROR(INDEX([1]Produtos!$I:$I,MATCH(L2616,[1]Produtos!$B:$B,0)), "-")</f>
        <v>-</v>
      </c>
      <c r="S2616" s="483" t="str">
        <f>IFERROR(INDEX([1]Produtos!$J:$J,MATCH(L2616,[1]Produtos!$B:$B,0)), "-")</f>
        <v>-</v>
      </c>
      <c r="T2616" s="484"/>
      <c r="U2616" s="483"/>
      <c r="V2616" s="483"/>
      <c r="W2616" s="483"/>
      <c r="X2616" s="483"/>
      <c r="Y2616" s="483"/>
      <c r="Z2616" s="483"/>
      <c r="AA2616" s="483"/>
      <c r="AB2616" s="483"/>
      <c r="AC2616" s="483"/>
      <c r="AD2616" s="483"/>
      <c r="AE2616" s="483"/>
      <c r="AF2616" s="483"/>
      <c r="AG2616" s="483"/>
      <c r="AH2616" s="483"/>
      <c r="AI2616" s="483"/>
      <c r="AJ2616" s="483"/>
      <c r="AK2616" s="483"/>
      <c r="AL2616" s="483"/>
      <c r="AM2616" s="670"/>
      <c r="AN2616" s="670"/>
      <c r="AO2616" s="711" t="str">
        <f>IF(OR(Table1[[#This Row],[Início Setup Envase]]="",Table1[[#This Row],[Final Setup Envase]]=""),"",Table1[[#This Row],[Final Setup Envase]]-Table1[[#This Row],[Início Setup Envase]])</f>
        <v/>
      </c>
      <c r="AP2616" s="670"/>
      <c r="AQ2616" s="670"/>
      <c r="AR2616" s="483"/>
      <c r="AS2616" s="483"/>
      <c r="AT2616" s="483"/>
      <c r="AU2616" s="483"/>
      <c r="AV2616" s="483"/>
      <c r="AW2616" s="483"/>
      <c r="AX2616" s="483"/>
      <c r="AY2616" s="270"/>
      <c r="AZ2616" s="270"/>
      <c r="BA2616" s="270" t="str">
        <f>IF(Table1[[#This Row],[Data de Início]]="","",YEAR(Table1[[#This Row],[Data de Início]]))</f>
        <v/>
      </c>
      <c r="BB2616" s="270" t="str">
        <f>IF(Table1[[#This Row],[Data de Início]]="","",MONTH(Table1[[#This Row],[Data de Início]]))</f>
        <v/>
      </c>
      <c r="BC2616" s="270"/>
    </row>
    <row r="2617" spans="2:55" x14ac:dyDescent="0.25">
      <c r="B2617" s="470"/>
      <c r="C2617" s="263"/>
      <c r="D2617" s="477" cm="1">
        <f t="array" ref="D2617">IFERROR(HorasUteisFabrica2Turnos(B2617,C2617), "")</f>
        <v>0</v>
      </c>
      <c r="E2617" s="697" t="str">
        <f t="shared" si="41"/>
        <v/>
      </c>
      <c r="F2617" s="266"/>
      <c r="G2617" s="698"/>
      <c r="H2617" s="266"/>
      <c r="I2617" s="268"/>
      <c r="J2617" s="268"/>
      <c r="K2617" s="268"/>
      <c r="L2617" s="269"/>
      <c r="M2617" s="510" t="str">
        <f>IFERROR(INDEX([1]Produtos!$C:$C,MATCH(L2617,[1]Produtos!$B:$B,0)), "-")</f>
        <v>-</v>
      </c>
      <c r="N2617" s="510" t="str">
        <f>IFERROR(INDEX([1]Produtos!$E:$E,MATCH(L2617,[1]Produtos!$B:$B,0)), "-")</f>
        <v>-</v>
      </c>
      <c r="O2617" s="270" t="str">
        <f>IFERROR(INDEX([1]Produtos!$F:$F,MATCH(L2617,[1]Produtos!$B:$B,0)), "-")</f>
        <v>-</v>
      </c>
      <c r="P2617" s="264" t="str">
        <f>IFERROR(INDEX([1]Produtos!$G:$G,MATCH(L2617,[1]Produtos!$B:$B,0)), "-")</f>
        <v>-</v>
      </c>
      <c r="Q2617" s="270" t="str">
        <f>IFERROR(INDEX([1]Produtos!$H:$H,MATCH(L2617,[1]Produtos!$B:$B,0)), "-")</f>
        <v>-</v>
      </c>
      <c r="R2617" s="270" t="str">
        <f>IFERROR(INDEX([1]Produtos!$I:$I,MATCH(L2617,[1]Produtos!$B:$B,0)), "-")</f>
        <v>-</v>
      </c>
      <c r="S2617" s="270" t="str">
        <f>IFERROR(INDEX([1]Produtos!$J:$J,MATCH(L2617,[1]Produtos!$B:$B,0)), "-")</f>
        <v>-</v>
      </c>
      <c r="T2617" s="475"/>
      <c r="U2617" s="270"/>
      <c r="V2617" s="270"/>
      <c r="W2617" s="270"/>
      <c r="X2617" s="270"/>
      <c r="Y2617" s="270"/>
      <c r="Z2617" s="270"/>
      <c r="AA2617" s="270"/>
      <c r="AB2617" s="270"/>
      <c r="AC2617" s="270"/>
      <c r="AD2617" s="270"/>
      <c r="AE2617" s="270"/>
      <c r="AF2617" s="270"/>
      <c r="AG2617" s="270"/>
      <c r="AH2617" s="270"/>
      <c r="AI2617" s="270"/>
      <c r="AJ2617" s="270"/>
      <c r="AK2617" s="270"/>
      <c r="AL2617" s="270"/>
      <c r="AM2617" s="663"/>
      <c r="AN2617" s="663"/>
      <c r="AO2617" s="708" t="str">
        <f>IF(OR(Table1[[#This Row],[Início Setup Envase]]="",Table1[[#This Row],[Final Setup Envase]]=""),"",Table1[[#This Row],[Final Setup Envase]]-Table1[[#This Row],[Início Setup Envase]])</f>
        <v/>
      </c>
      <c r="AP2617" s="663"/>
      <c r="AQ2617" s="663"/>
      <c r="AR2617" s="270"/>
      <c r="AS2617" s="674"/>
      <c r="AT2617" s="674"/>
      <c r="AU2617" s="270"/>
      <c r="AV2617" s="270"/>
      <c r="AW2617" s="270"/>
      <c r="AX2617" s="270"/>
      <c r="AY2617" s="270"/>
      <c r="AZ2617" s="270"/>
      <c r="BA2617" s="270" t="str">
        <f>IF(Table1[[#This Row],[Data de Início]]="","",YEAR(Table1[[#This Row],[Data de Início]]))</f>
        <v/>
      </c>
      <c r="BB2617" s="270" t="str">
        <f>IF(Table1[[#This Row],[Data de Início]]="","",MONTH(Table1[[#This Row],[Data de Início]]))</f>
        <v/>
      </c>
      <c r="BC2617" s="483"/>
    </row>
    <row r="2618" spans="2:55" x14ac:dyDescent="0.25">
      <c r="B2618" s="470"/>
      <c r="C2618" s="263"/>
      <c r="D2618" s="477" cm="1">
        <f t="array" ref="D2618">IFERROR(HorasUteisFabrica2Turnos(B2618,C2618), "")</f>
        <v>0</v>
      </c>
      <c r="E2618" s="478" t="str">
        <f t="shared" si="41"/>
        <v/>
      </c>
      <c r="F2618" s="266"/>
      <c r="G2618" s="656"/>
      <c r="H2618" s="479"/>
      <c r="I2618" s="268"/>
      <c r="J2618" s="268"/>
      <c r="K2618" s="268"/>
      <c r="L2618" s="269"/>
      <c r="M2618" s="511" t="str">
        <f>IFERROR(INDEX([1]Produtos!$C:$C,MATCH(L2618,[1]Produtos!$B:$B,0)), "-")</f>
        <v>-</v>
      </c>
      <c r="N2618" s="511" t="str">
        <f>IFERROR(INDEX([1]Produtos!$E:$E,MATCH(L2618,[1]Produtos!$B:$B,0)), "-")</f>
        <v>-</v>
      </c>
      <c r="O2618" s="483" t="str">
        <f>IFERROR(INDEX([1]Produtos!$F:$F,MATCH(L2618,[1]Produtos!$B:$B,0)), "-")</f>
        <v>-</v>
      </c>
      <c r="P2618" s="477" t="str">
        <f>IFERROR(INDEX([1]Produtos!$G:$G,MATCH(L2618,[1]Produtos!$B:$B,0)), "-")</f>
        <v>-</v>
      </c>
      <c r="Q2618" s="483" t="str">
        <f>IFERROR(INDEX([1]Produtos!$H:$H,MATCH(L2618,[1]Produtos!$B:$B,0)), "-")</f>
        <v>-</v>
      </c>
      <c r="R2618" s="483" t="str">
        <f>IFERROR(INDEX([1]Produtos!$I:$I,MATCH(L2618,[1]Produtos!$B:$B,0)), "-")</f>
        <v>-</v>
      </c>
      <c r="S2618" s="483" t="str">
        <f>IFERROR(INDEX([1]Produtos!$J:$J,MATCH(L2618,[1]Produtos!$B:$B,0)), "-")</f>
        <v>-</v>
      </c>
      <c r="T2618" s="484"/>
      <c r="U2618" s="483"/>
      <c r="V2618" s="483"/>
      <c r="W2618" s="483"/>
      <c r="X2618" s="483"/>
      <c r="Y2618" s="483"/>
      <c r="Z2618" s="483"/>
      <c r="AA2618" s="483"/>
      <c r="AB2618" s="483"/>
      <c r="AC2618" s="483"/>
      <c r="AD2618" s="483"/>
      <c r="AE2618" s="483"/>
      <c r="AF2618" s="483"/>
      <c r="AG2618" s="483"/>
      <c r="AH2618" s="483"/>
      <c r="AI2618" s="483"/>
      <c r="AJ2618" s="483"/>
      <c r="AK2618" s="483"/>
      <c r="AL2618" s="483"/>
      <c r="AM2618" s="670"/>
      <c r="AN2618" s="670"/>
      <c r="AO2618" s="711" t="str">
        <f>IF(OR(Table1[[#This Row],[Início Setup Envase]]="",Table1[[#This Row],[Final Setup Envase]]=""),"",Table1[[#This Row],[Final Setup Envase]]-Table1[[#This Row],[Início Setup Envase]])</f>
        <v/>
      </c>
      <c r="AP2618" s="670"/>
      <c r="AQ2618" s="670"/>
      <c r="AR2618" s="483"/>
      <c r="AS2618" s="483"/>
      <c r="AT2618" s="483"/>
      <c r="AU2618" s="483"/>
      <c r="AV2618" s="483"/>
      <c r="AW2618" s="483"/>
      <c r="AX2618" s="483"/>
      <c r="AY2618" s="270"/>
      <c r="AZ2618" s="270"/>
      <c r="BA2618" s="270" t="str">
        <f>IF(Table1[[#This Row],[Data de Início]]="","",YEAR(Table1[[#This Row],[Data de Início]]))</f>
        <v/>
      </c>
      <c r="BB2618" s="270" t="str">
        <f>IF(Table1[[#This Row],[Data de Início]]="","",MONTH(Table1[[#This Row],[Data de Início]]))</f>
        <v/>
      </c>
      <c r="BC2618" s="270"/>
    </row>
    <row r="2619" spans="2:55" x14ac:dyDescent="0.25">
      <c r="B2619" s="470"/>
      <c r="C2619" s="263"/>
      <c r="D2619" s="477" cm="1">
        <f t="array" ref="D2619">IFERROR(HorasUteisFabrica2Turnos(B2619,C2619), "")</f>
        <v>0</v>
      </c>
      <c r="E2619" s="697" t="str">
        <f t="shared" si="41"/>
        <v/>
      </c>
      <c r="F2619" s="266"/>
      <c r="G2619" s="698"/>
      <c r="H2619" s="266"/>
      <c r="I2619" s="268"/>
      <c r="J2619" s="268"/>
      <c r="K2619" s="268"/>
      <c r="L2619" s="269"/>
      <c r="M2619" s="510" t="str">
        <f>IFERROR(INDEX([1]Produtos!$C:$C,MATCH(L2619,[1]Produtos!$B:$B,0)), "-")</f>
        <v>-</v>
      </c>
      <c r="N2619" s="510" t="str">
        <f>IFERROR(INDEX([1]Produtos!$E:$E,MATCH(L2619,[1]Produtos!$B:$B,0)), "-")</f>
        <v>-</v>
      </c>
      <c r="O2619" s="270" t="str">
        <f>IFERROR(INDEX([1]Produtos!$F:$F,MATCH(L2619,[1]Produtos!$B:$B,0)), "-")</f>
        <v>-</v>
      </c>
      <c r="P2619" s="264" t="str">
        <f>IFERROR(INDEX([1]Produtos!$G:$G,MATCH(L2619,[1]Produtos!$B:$B,0)), "-")</f>
        <v>-</v>
      </c>
      <c r="Q2619" s="270" t="str">
        <f>IFERROR(INDEX([1]Produtos!$H:$H,MATCH(L2619,[1]Produtos!$B:$B,0)), "-")</f>
        <v>-</v>
      </c>
      <c r="R2619" s="270" t="str">
        <f>IFERROR(INDEX([1]Produtos!$I:$I,MATCH(L2619,[1]Produtos!$B:$B,0)), "-")</f>
        <v>-</v>
      </c>
      <c r="S2619" s="270" t="str">
        <f>IFERROR(INDEX([1]Produtos!$J:$J,MATCH(L2619,[1]Produtos!$B:$B,0)), "-")</f>
        <v>-</v>
      </c>
      <c r="T2619" s="475"/>
      <c r="U2619" s="270"/>
      <c r="V2619" s="270"/>
      <c r="W2619" s="270"/>
      <c r="X2619" s="270"/>
      <c r="Y2619" s="270"/>
      <c r="Z2619" s="270"/>
      <c r="AA2619" s="270"/>
      <c r="AB2619" s="270"/>
      <c r="AC2619" s="270"/>
      <c r="AD2619" s="270"/>
      <c r="AE2619" s="270"/>
      <c r="AF2619" s="270"/>
      <c r="AG2619" s="270"/>
      <c r="AH2619" s="270"/>
      <c r="AI2619" s="270"/>
      <c r="AJ2619" s="270"/>
      <c r="AK2619" s="270"/>
      <c r="AL2619" s="270"/>
      <c r="AM2619" s="663"/>
      <c r="AN2619" s="663"/>
      <c r="AO2619" s="708" t="str">
        <f>IF(OR(Table1[[#This Row],[Início Setup Envase]]="",Table1[[#This Row],[Final Setup Envase]]=""),"",Table1[[#This Row],[Final Setup Envase]]-Table1[[#This Row],[Início Setup Envase]])</f>
        <v/>
      </c>
      <c r="AP2619" s="663"/>
      <c r="AQ2619" s="663"/>
      <c r="AR2619" s="270"/>
      <c r="AS2619" s="674"/>
      <c r="AT2619" s="674"/>
      <c r="AU2619" s="270"/>
      <c r="AV2619" s="270"/>
      <c r="AW2619" s="270"/>
      <c r="AX2619" s="270"/>
      <c r="AY2619" s="270"/>
      <c r="AZ2619" s="270"/>
      <c r="BA2619" s="270" t="str">
        <f>IF(Table1[[#This Row],[Data de Início]]="","",YEAR(Table1[[#This Row],[Data de Início]]))</f>
        <v/>
      </c>
      <c r="BB2619" s="270" t="str">
        <f>IF(Table1[[#This Row],[Data de Início]]="","",MONTH(Table1[[#This Row],[Data de Início]]))</f>
        <v/>
      </c>
      <c r="BC2619" s="483"/>
    </row>
    <row r="2620" spans="2:55" x14ac:dyDescent="0.25">
      <c r="B2620" s="470"/>
      <c r="C2620" s="263"/>
      <c r="D2620" s="477" cm="1">
        <f t="array" ref="D2620">IFERROR(HorasUteisFabrica2Turnos(B2620,C2620), "")</f>
        <v>0</v>
      </c>
      <c r="E2620" s="478" t="str">
        <f t="shared" si="41"/>
        <v/>
      </c>
      <c r="F2620" s="266"/>
      <c r="G2620" s="656"/>
      <c r="H2620" s="479"/>
      <c r="I2620" s="268"/>
      <c r="J2620" s="268"/>
      <c r="K2620" s="268"/>
      <c r="L2620" s="269"/>
      <c r="M2620" s="511" t="str">
        <f>IFERROR(INDEX([1]Produtos!$C:$C,MATCH(L2620,[1]Produtos!$B:$B,0)), "-")</f>
        <v>-</v>
      </c>
      <c r="N2620" s="511" t="str">
        <f>IFERROR(INDEX([1]Produtos!$E:$E,MATCH(L2620,[1]Produtos!$B:$B,0)), "-")</f>
        <v>-</v>
      </c>
      <c r="O2620" s="483" t="str">
        <f>IFERROR(INDEX([1]Produtos!$F:$F,MATCH(L2620,[1]Produtos!$B:$B,0)), "-")</f>
        <v>-</v>
      </c>
      <c r="P2620" s="477" t="str">
        <f>IFERROR(INDEX([1]Produtos!$G:$G,MATCH(L2620,[1]Produtos!$B:$B,0)), "-")</f>
        <v>-</v>
      </c>
      <c r="Q2620" s="483" t="str">
        <f>IFERROR(INDEX([1]Produtos!$H:$H,MATCH(L2620,[1]Produtos!$B:$B,0)), "-")</f>
        <v>-</v>
      </c>
      <c r="R2620" s="483" t="str">
        <f>IFERROR(INDEX([1]Produtos!$I:$I,MATCH(L2620,[1]Produtos!$B:$B,0)), "-")</f>
        <v>-</v>
      </c>
      <c r="S2620" s="483" t="str">
        <f>IFERROR(INDEX([1]Produtos!$J:$J,MATCH(L2620,[1]Produtos!$B:$B,0)), "-")</f>
        <v>-</v>
      </c>
      <c r="T2620" s="484"/>
      <c r="U2620" s="483"/>
      <c r="V2620" s="483"/>
      <c r="W2620" s="483"/>
      <c r="X2620" s="483"/>
      <c r="Y2620" s="483"/>
      <c r="Z2620" s="483"/>
      <c r="AA2620" s="483"/>
      <c r="AB2620" s="483"/>
      <c r="AC2620" s="483"/>
      <c r="AD2620" s="483"/>
      <c r="AE2620" s="483"/>
      <c r="AF2620" s="483"/>
      <c r="AG2620" s="483"/>
      <c r="AH2620" s="483"/>
      <c r="AI2620" s="483"/>
      <c r="AJ2620" s="483"/>
      <c r="AK2620" s="483"/>
      <c r="AL2620" s="483"/>
      <c r="AM2620" s="670"/>
      <c r="AN2620" s="670"/>
      <c r="AO2620" s="711" t="str">
        <f>IF(OR(Table1[[#This Row],[Início Setup Envase]]="",Table1[[#This Row],[Final Setup Envase]]=""),"",Table1[[#This Row],[Final Setup Envase]]-Table1[[#This Row],[Início Setup Envase]])</f>
        <v/>
      </c>
      <c r="AP2620" s="670"/>
      <c r="AQ2620" s="670"/>
      <c r="AR2620" s="483"/>
      <c r="AS2620" s="483"/>
      <c r="AT2620" s="483"/>
      <c r="AU2620" s="483"/>
      <c r="AV2620" s="483"/>
      <c r="AW2620" s="483"/>
      <c r="AX2620" s="483"/>
      <c r="AY2620" s="270"/>
      <c r="AZ2620" s="270"/>
      <c r="BA2620" s="270" t="str">
        <f>IF(Table1[[#This Row],[Data de Início]]="","",YEAR(Table1[[#This Row],[Data de Início]]))</f>
        <v/>
      </c>
      <c r="BB2620" s="270" t="str">
        <f>IF(Table1[[#This Row],[Data de Início]]="","",MONTH(Table1[[#This Row],[Data de Início]]))</f>
        <v/>
      </c>
      <c r="BC2620" s="270"/>
    </row>
    <row r="2621" spans="2:55" x14ac:dyDescent="0.25">
      <c r="B2621" s="470"/>
      <c r="C2621" s="263"/>
      <c r="D2621" s="477" cm="1">
        <f t="array" ref="D2621">IFERROR(HorasUteisFabrica2Turnos(B2621,C2621), "")</f>
        <v>0</v>
      </c>
      <c r="E2621" s="697" t="str">
        <f t="shared" si="41"/>
        <v/>
      </c>
      <c r="F2621" s="266"/>
      <c r="G2621" s="698"/>
      <c r="H2621" s="266"/>
      <c r="I2621" s="268"/>
      <c r="J2621" s="268"/>
      <c r="K2621" s="268"/>
      <c r="L2621" s="269"/>
      <c r="M2621" s="510" t="str">
        <f>IFERROR(INDEX([1]Produtos!$C:$C,MATCH(L2621,[1]Produtos!$B:$B,0)), "-")</f>
        <v>-</v>
      </c>
      <c r="N2621" s="510" t="str">
        <f>IFERROR(INDEX([1]Produtos!$E:$E,MATCH(L2621,[1]Produtos!$B:$B,0)), "-")</f>
        <v>-</v>
      </c>
      <c r="O2621" s="270" t="str">
        <f>IFERROR(INDEX([1]Produtos!$F:$F,MATCH(L2621,[1]Produtos!$B:$B,0)), "-")</f>
        <v>-</v>
      </c>
      <c r="P2621" s="264" t="str">
        <f>IFERROR(INDEX([1]Produtos!$G:$G,MATCH(L2621,[1]Produtos!$B:$B,0)), "-")</f>
        <v>-</v>
      </c>
      <c r="Q2621" s="270" t="str">
        <f>IFERROR(INDEX([1]Produtos!$H:$H,MATCH(L2621,[1]Produtos!$B:$B,0)), "-")</f>
        <v>-</v>
      </c>
      <c r="R2621" s="270" t="str">
        <f>IFERROR(INDEX([1]Produtos!$I:$I,MATCH(L2621,[1]Produtos!$B:$B,0)), "-")</f>
        <v>-</v>
      </c>
      <c r="S2621" s="270" t="str">
        <f>IFERROR(INDEX([1]Produtos!$J:$J,MATCH(L2621,[1]Produtos!$B:$B,0)), "-")</f>
        <v>-</v>
      </c>
      <c r="T2621" s="475"/>
      <c r="U2621" s="270"/>
      <c r="V2621" s="270"/>
      <c r="W2621" s="270"/>
      <c r="X2621" s="270"/>
      <c r="Y2621" s="270"/>
      <c r="Z2621" s="270"/>
      <c r="AA2621" s="270"/>
      <c r="AB2621" s="270"/>
      <c r="AC2621" s="270"/>
      <c r="AD2621" s="270"/>
      <c r="AE2621" s="270"/>
      <c r="AF2621" s="270"/>
      <c r="AG2621" s="270"/>
      <c r="AH2621" s="270"/>
      <c r="AI2621" s="270"/>
      <c r="AJ2621" s="270"/>
      <c r="AK2621" s="270"/>
      <c r="AL2621" s="270"/>
      <c r="AM2621" s="663"/>
      <c r="AN2621" s="663"/>
      <c r="AO2621" s="708" t="str">
        <f>IF(OR(Table1[[#This Row],[Início Setup Envase]]="",Table1[[#This Row],[Final Setup Envase]]=""),"",Table1[[#This Row],[Final Setup Envase]]-Table1[[#This Row],[Início Setup Envase]])</f>
        <v/>
      </c>
      <c r="AP2621" s="663"/>
      <c r="AQ2621" s="663"/>
      <c r="AR2621" s="270"/>
      <c r="AS2621" s="674"/>
      <c r="AT2621" s="674"/>
      <c r="AU2621" s="270"/>
      <c r="AV2621" s="270"/>
      <c r="AW2621" s="270"/>
      <c r="AX2621" s="270"/>
      <c r="AY2621" s="270"/>
      <c r="AZ2621" s="270"/>
      <c r="BA2621" s="270" t="str">
        <f>IF(Table1[[#This Row],[Data de Início]]="","",YEAR(Table1[[#This Row],[Data de Início]]))</f>
        <v/>
      </c>
      <c r="BB2621" s="270" t="str">
        <f>IF(Table1[[#This Row],[Data de Início]]="","",MONTH(Table1[[#This Row],[Data de Início]]))</f>
        <v/>
      </c>
      <c r="BC2621" s="483"/>
    </row>
    <row r="2622" spans="2:55" x14ac:dyDescent="0.25">
      <c r="B2622" s="470"/>
      <c r="C2622" s="263"/>
      <c r="D2622" s="477" cm="1">
        <f t="array" ref="D2622">IFERROR(HorasUteisFabrica2Turnos(B2622,C2622), "")</f>
        <v>0</v>
      </c>
      <c r="E2622" s="478" t="str">
        <f t="shared" si="41"/>
        <v/>
      </c>
      <c r="F2622" s="266"/>
      <c r="G2622" s="656"/>
      <c r="H2622" s="479"/>
      <c r="I2622" s="268"/>
      <c r="J2622" s="268"/>
      <c r="K2622" s="268"/>
      <c r="L2622" s="269"/>
      <c r="M2622" s="511" t="str">
        <f>IFERROR(INDEX([1]Produtos!$C:$C,MATCH(L2622,[1]Produtos!$B:$B,0)), "-")</f>
        <v>-</v>
      </c>
      <c r="N2622" s="511" t="str">
        <f>IFERROR(INDEX([1]Produtos!$E:$E,MATCH(L2622,[1]Produtos!$B:$B,0)), "-")</f>
        <v>-</v>
      </c>
      <c r="O2622" s="483" t="str">
        <f>IFERROR(INDEX([1]Produtos!$F:$F,MATCH(L2622,[1]Produtos!$B:$B,0)), "-")</f>
        <v>-</v>
      </c>
      <c r="P2622" s="477" t="str">
        <f>IFERROR(INDEX([1]Produtos!$G:$G,MATCH(L2622,[1]Produtos!$B:$B,0)), "-")</f>
        <v>-</v>
      </c>
      <c r="Q2622" s="483" t="str">
        <f>IFERROR(INDEX([1]Produtos!$H:$H,MATCH(L2622,[1]Produtos!$B:$B,0)), "-")</f>
        <v>-</v>
      </c>
      <c r="R2622" s="483" t="str">
        <f>IFERROR(INDEX([1]Produtos!$I:$I,MATCH(L2622,[1]Produtos!$B:$B,0)), "-")</f>
        <v>-</v>
      </c>
      <c r="S2622" s="483" t="str">
        <f>IFERROR(INDEX([1]Produtos!$J:$J,MATCH(L2622,[1]Produtos!$B:$B,0)), "-")</f>
        <v>-</v>
      </c>
      <c r="T2622" s="484"/>
      <c r="U2622" s="483"/>
      <c r="V2622" s="483"/>
      <c r="W2622" s="483"/>
      <c r="X2622" s="483"/>
      <c r="Y2622" s="483"/>
      <c r="Z2622" s="483"/>
      <c r="AA2622" s="483"/>
      <c r="AB2622" s="483"/>
      <c r="AC2622" s="483"/>
      <c r="AD2622" s="483"/>
      <c r="AE2622" s="483"/>
      <c r="AF2622" s="483"/>
      <c r="AG2622" s="483"/>
      <c r="AH2622" s="483"/>
      <c r="AI2622" s="483"/>
      <c r="AJ2622" s="483"/>
      <c r="AK2622" s="483"/>
      <c r="AL2622" s="483"/>
      <c r="AM2622" s="670"/>
      <c r="AN2622" s="670"/>
      <c r="AO2622" s="711" t="str">
        <f>IF(OR(Table1[[#This Row],[Início Setup Envase]]="",Table1[[#This Row],[Final Setup Envase]]=""),"",Table1[[#This Row],[Final Setup Envase]]-Table1[[#This Row],[Início Setup Envase]])</f>
        <v/>
      </c>
      <c r="AP2622" s="670"/>
      <c r="AQ2622" s="670"/>
      <c r="AR2622" s="483"/>
      <c r="AS2622" s="483"/>
      <c r="AT2622" s="483"/>
      <c r="AU2622" s="483"/>
      <c r="AV2622" s="483"/>
      <c r="AW2622" s="483"/>
      <c r="AX2622" s="483"/>
      <c r="AY2622" s="270"/>
      <c r="AZ2622" s="270"/>
      <c r="BA2622" s="270" t="str">
        <f>IF(Table1[[#This Row],[Data de Início]]="","",YEAR(Table1[[#This Row],[Data de Início]]))</f>
        <v/>
      </c>
      <c r="BB2622" s="270" t="str">
        <f>IF(Table1[[#This Row],[Data de Início]]="","",MONTH(Table1[[#This Row],[Data de Início]]))</f>
        <v/>
      </c>
      <c r="BC2622" s="270"/>
    </row>
    <row r="2623" spans="2:55" x14ac:dyDescent="0.25">
      <c r="B2623" s="470"/>
      <c r="C2623" s="263"/>
      <c r="D2623" s="477" cm="1">
        <f t="array" ref="D2623">IFERROR(HorasUteisFabrica2Turnos(B2623,C2623), "")</f>
        <v>0</v>
      </c>
      <c r="E2623" s="697" t="str">
        <f t="shared" si="41"/>
        <v/>
      </c>
      <c r="F2623" s="266"/>
      <c r="G2623" s="698"/>
      <c r="H2623" s="266"/>
      <c r="I2623" s="268"/>
      <c r="J2623" s="268"/>
      <c r="K2623" s="268"/>
      <c r="L2623" s="269"/>
      <c r="M2623" s="510" t="str">
        <f>IFERROR(INDEX([1]Produtos!$C:$C,MATCH(L2623,[1]Produtos!$B:$B,0)), "-")</f>
        <v>-</v>
      </c>
      <c r="N2623" s="510" t="str">
        <f>IFERROR(INDEX([1]Produtos!$E:$E,MATCH(L2623,[1]Produtos!$B:$B,0)), "-")</f>
        <v>-</v>
      </c>
      <c r="O2623" s="270" t="str">
        <f>IFERROR(INDEX([1]Produtos!$F:$F,MATCH(L2623,[1]Produtos!$B:$B,0)), "-")</f>
        <v>-</v>
      </c>
      <c r="P2623" s="264" t="str">
        <f>IFERROR(INDEX([1]Produtos!$G:$G,MATCH(L2623,[1]Produtos!$B:$B,0)), "-")</f>
        <v>-</v>
      </c>
      <c r="Q2623" s="270" t="str">
        <f>IFERROR(INDEX([1]Produtos!$H:$H,MATCH(L2623,[1]Produtos!$B:$B,0)), "-")</f>
        <v>-</v>
      </c>
      <c r="R2623" s="270" t="str">
        <f>IFERROR(INDEX([1]Produtos!$I:$I,MATCH(L2623,[1]Produtos!$B:$B,0)), "-")</f>
        <v>-</v>
      </c>
      <c r="S2623" s="270" t="str">
        <f>IFERROR(INDEX([1]Produtos!$J:$J,MATCH(L2623,[1]Produtos!$B:$B,0)), "-")</f>
        <v>-</v>
      </c>
      <c r="T2623" s="475"/>
      <c r="U2623" s="270"/>
      <c r="V2623" s="270"/>
      <c r="W2623" s="270"/>
      <c r="X2623" s="270"/>
      <c r="Y2623" s="270"/>
      <c r="Z2623" s="270"/>
      <c r="AA2623" s="270"/>
      <c r="AB2623" s="270"/>
      <c r="AC2623" s="270"/>
      <c r="AD2623" s="270"/>
      <c r="AE2623" s="270"/>
      <c r="AF2623" s="270"/>
      <c r="AG2623" s="270"/>
      <c r="AH2623" s="270"/>
      <c r="AI2623" s="270"/>
      <c r="AJ2623" s="270"/>
      <c r="AK2623" s="270"/>
      <c r="AL2623" s="270"/>
      <c r="AM2623" s="663"/>
      <c r="AN2623" s="663"/>
      <c r="AO2623" s="708" t="str">
        <f>IF(OR(Table1[[#This Row],[Início Setup Envase]]="",Table1[[#This Row],[Final Setup Envase]]=""),"",Table1[[#This Row],[Final Setup Envase]]-Table1[[#This Row],[Início Setup Envase]])</f>
        <v/>
      </c>
      <c r="AP2623" s="663"/>
      <c r="AQ2623" s="663"/>
      <c r="AR2623" s="270"/>
      <c r="AS2623" s="674"/>
      <c r="AT2623" s="674"/>
      <c r="AU2623" s="270"/>
      <c r="AV2623" s="270"/>
      <c r="AW2623" s="270"/>
      <c r="AX2623" s="270"/>
      <c r="AY2623" s="270"/>
      <c r="AZ2623" s="270"/>
      <c r="BA2623" s="270" t="str">
        <f>IF(Table1[[#This Row],[Data de Início]]="","",YEAR(Table1[[#This Row],[Data de Início]]))</f>
        <v/>
      </c>
      <c r="BB2623" s="270" t="str">
        <f>IF(Table1[[#This Row],[Data de Início]]="","",MONTH(Table1[[#This Row],[Data de Início]]))</f>
        <v/>
      </c>
      <c r="BC2623" s="483"/>
    </row>
    <row r="2624" spans="2:55" x14ac:dyDescent="0.25">
      <c r="B2624" s="470"/>
      <c r="C2624" s="263"/>
      <c r="D2624" s="477" cm="1">
        <f t="array" ref="D2624">IFERROR(HorasUteisFabrica2Turnos(B2624,C2624), "")</f>
        <v>0</v>
      </c>
      <c r="E2624" s="478" t="str">
        <f t="shared" si="41"/>
        <v/>
      </c>
      <c r="F2624" s="266"/>
      <c r="G2624" s="656"/>
      <c r="H2624" s="479"/>
      <c r="I2624" s="268"/>
      <c r="J2624" s="268"/>
      <c r="K2624" s="268"/>
      <c r="L2624" s="269"/>
      <c r="M2624" s="511" t="str">
        <f>IFERROR(INDEX([1]Produtos!$C:$C,MATCH(L2624,[1]Produtos!$B:$B,0)), "-")</f>
        <v>-</v>
      </c>
      <c r="N2624" s="511" t="str">
        <f>IFERROR(INDEX([1]Produtos!$E:$E,MATCH(L2624,[1]Produtos!$B:$B,0)), "-")</f>
        <v>-</v>
      </c>
      <c r="O2624" s="483" t="str">
        <f>IFERROR(INDEX([1]Produtos!$F:$F,MATCH(L2624,[1]Produtos!$B:$B,0)), "-")</f>
        <v>-</v>
      </c>
      <c r="P2624" s="477" t="str">
        <f>IFERROR(INDEX([1]Produtos!$G:$G,MATCH(L2624,[1]Produtos!$B:$B,0)), "-")</f>
        <v>-</v>
      </c>
      <c r="Q2624" s="483" t="str">
        <f>IFERROR(INDEX([1]Produtos!$H:$H,MATCH(L2624,[1]Produtos!$B:$B,0)), "-")</f>
        <v>-</v>
      </c>
      <c r="R2624" s="483" t="str">
        <f>IFERROR(INDEX([1]Produtos!$I:$I,MATCH(L2624,[1]Produtos!$B:$B,0)), "-")</f>
        <v>-</v>
      </c>
      <c r="S2624" s="483" t="str">
        <f>IFERROR(INDEX([1]Produtos!$J:$J,MATCH(L2624,[1]Produtos!$B:$B,0)), "-")</f>
        <v>-</v>
      </c>
      <c r="T2624" s="484"/>
      <c r="U2624" s="483"/>
      <c r="V2624" s="483"/>
      <c r="W2624" s="483"/>
      <c r="X2624" s="483"/>
      <c r="Y2624" s="483"/>
      <c r="Z2624" s="483"/>
      <c r="AA2624" s="483"/>
      <c r="AB2624" s="483"/>
      <c r="AC2624" s="483"/>
      <c r="AD2624" s="483"/>
      <c r="AE2624" s="483"/>
      <c r="AF2624" s="483"/>
      <c r="AG2624" s="483"/>
      <c r="AH2624" s="483"/>
      <c r="AI2624" s="483"/>
      <c r="AJ2624" s="483"/>
      <c r="AK2624" s="483"/>
      <c r="AL2624" s="483"/>
      <c r="AM2624" s="670"/>
      <c r="AN2624" s="670"/>
      <c r="AO2624" s="711" t="str">
        <f>IF(OR(Table1[[#This Row],[Início Setup Envase]]="",Table1[[#This Row],[Final Setup Envase]]=""),"",Table1[[#This Row],[Final Setup Envase]]-Table1[[#This Row],[Início Setup Envase]])</f>
        <v/>
      </c>
      <c r="AP2624" s="670"/>
      <c r="AQ2624" s="670"/>
      <c r="AR2624" s="483"/>
      <c r="AS2624" s="483"/>
      <c r="AT2624" s="483"/>
      <c r="AU2624" s="483"/>
      <c r="AV2624" s="483"/>
      <c r="AW2624" s="483"/>
      <c r="AX2624" s="483"/>
      <c r="AY2624" s="270"/>
      <c r="AZ2624" s="270"/>
      <c r="BA2624" s="270" t="str">
        <f>IF(Table1[[#This Row],[Data de Início]]="","",YEAR(Table1[[#This Row],[Data de Início]]))</f>
        <v/>
      </c>
      <c r="BB2624" s="270" t="str">
        <f>IF(Table1[[#This Row],[Data de Início]]="","",MONTH(Table1[[#This Row],[Data de Início]]))</f>
        <v/>
      </c>
      <c r="BC2624" s="270"/>
    </row>
    <row r="2625" spans="2:55" x14ac:dyDescent="0.25">
      <c r="B2625" s="470"/>
      <c r="C2625" s="263"/>
      <c r="D2625" s="477" cm="1">
        <f t="array" ref="D2625">IFERROR(HorasUteisFabrica2Turnos(B2625,C2625), "")</f>
        <v>0</v>
      </c>
      <c r="E2625" s="697" t="str">
        <f t="shared" si="41"/>
        <v/>
      </c>
      <c r="F2625" s="266"/>
      <c r="G2625" s="698"/>
      <c r="H2625" s="266"/>
      <c r="I2625" s="268"/>
      <c r="J2625" s="268"/>
      <c r="K2625" s="268"/>
      <c r="L2625" s="269"/>
      <c r="M2625" s="510" t="str">
        <f>IFERROR(INDEX([1]Produtos!$C:$C,MATCH(L2625,[1]Produtos!$B:$B,0)), "-")</f>
        <v>-</v>
      </c>
      <c r="N2625" s="510" t="str">
        <f>IFERROR(INDEX([1]Produtos!$E:$E,MATCH(L2625,[1]Produtos!$B:$B,0)), "-")</f>
        <v>-</v>
      </c>
      <c r="O2625" s="270" t="str">
        <f>IFERROR(INDEX([1]Produtos!$F:$F,MATCH(L2625,[1]Produtos!$B:$B,0)), "-")</f>
        <v>-</v>
      </c>
      <c r="P2625" s="264" t="str">
        <f>IFERROR(INDEX([1]Produtos!$G:$G,MATCH(L2625,[1]Produtos!$B:$B,0)), "-")</f>
        <v>-</v>
      </c>
      <c r="Q2625" s="270" t="str">
        <f>IFERROR(INDEX([1]Produtos!$H:$H,MATCH(L2625,[1]Produtos!$B:$B,0)), "-")</f>
        <v>-</v>
      </c>
      <c r="R2625" s="270" t="str">
        <f>IFERROR(INDEX([1]Produtos!$I:$I,MATCH(L2625,[1]Produtos!$B:$B,0)), "-")</f>
        <v>-</v>
      </c>
      <c r="S2625" s="270" t="str">
        <f>IFERROR(INDEX([1]Produtos!$J:$J,MATCH(L2625,[1]Produtos!$B:$B,0)), "-")</f>
        <v>-</v>
      </c>
      <c r="T2625" s="475"/>
      <c r="U2625" s="270"/>
      <c r="V2625" s="270"/>
      <c r="W2625" s="270"/>
      <c r="X2625" s="270"/>
      <c r="Y2625" s="270"/>
      <c r="Z2625" s="270"/>
      <c r="AA2625" s="270"/>
      <c r="AB2625" s="270"/>
      <c r="AC2625" s="270"/>
      <c r="AD2625" s="270"/>
      <c r="AE2625" s="270"/>
      <c r="AF2625" s="270"/>
      <c r="AG2625" s="270"/>
      <c r="AH2625" s="270"/>
      <c r="AI2625" s="270"/>
      <c r="AJ2625" s="270"/>
      <c r="AK2625" s="270"/>
      <c r="AL2625" s="270"/>
      <c r="AM2625" s="663"/>
      <c r="AN2625" s="663"/>
      <c r="AO2625" s="708" t="str">
        <f>IF(OR(Table1[[#This Row],[Início Setup Envase]]="",Table1[[#This Row],[Final Setup Envase]]=""),"",Table1[[#This Row],[Final Setup Envase]]-Table1[[#This Row],[Início Setup Envase]])</f>
        <v/>
      </c>
      <c r="AP2625" s="663"/>
      <c r="AQ2625" s="663"/>
      <c r="AR2625" s="270"/>
      <c r="AS2625" s="674"/>
      <c r="AT2625" s="674"/>
      <c r="AU2625" s="270"/>
      <c r="AV2625" s="270"/>
      <c r="AW2625" s="270"/>
      <c r="AX2625" s="270"/>
      <c r="AY2625" s="270"/>
      <c r="AZ2625" s="270"/>
      <c r="BA2625" s="270" t="str">
        <f>IF(Table1[[#This Row],[Data de Início]]="","",YEAR(Table1[[#This Row],[Data de Início]]))</f>
        <v/>
      </c>
      <c r="BB2625" s="270" t="str">
        <f>IF(Table1[[#This Row],[Data de Início]]="","",MONTH(Table1[[#This Row],[Data de Início]]))</f>
        <v/>
      </c>
      <c r="BC2625" s="483"/>
    </row>
    <row r="2626" spans="2:55" x14ac:dyDescent="0.25">
      <c r="B2626" s="470"/>
      <c r="C2626" s="263"/>
      <c r="D2626" s="477" cm="1">
        <f t="array" ref="D2626">IFERROR(HorasUteisFabrica2Turnos(B2626,C2626), "")</f>
        <v>0</v>
      </c>
      <c r="E2626" s="478" t="str">
        <f t="shared" si="41"/>
        <v/>
      </c>
      <c r="F2626" s="266"/>
      <c r="G2626" s="656"/>
      <c r="H2626" s="479"/>
      <c r="I2626" s="268"/>
      <c r="J2626" s="268"/>
      <c r="K2626" s="268"/>
      <c r="L2626" s="269"/>
      <c r="M2626" s="511" t="str">
        <f>IFERROR(INDEX([1]Produtos!$C:$C,MATCH(L2626,[1]Produtos!$B:$B,0)), "-")</f>
        <v>-</v>
      </c>
      <c r="N2626" s="511" t="str">
        <f>IFERROR(INDEX([1]Produtos!$E:$E,MATCH(L2626,[1]Produtos!$B:$B,0)), "-")</f>
        <v>-</v>
      </c>
      <c r="O2626" s="483" t="str">
        <f>IFERROR(INDEX([1]Produtos!$F:$F,MATCH(L2626,[1]Produtos!$B:$B,0)), "-")</f>
        <v>-</v>
      </c>
      <c r="P2626" s="477" t="str">
        <f>IFERROR(INDEX([1]Produtos!$G:$G,MATCH(L2626,[1]Produtos!$B:$B,0)), "-")</f>
        <v>-</v>
      </c>
      <c r="Q2626" s="483" t="str">
        <f>IFERROR(INDEX([1]Produtos!$H:$H,MATCH(L2626,[1]Produtos!$B:$B,0)), "-")</f>
        <v>-</v>
      </c>
      <c r="R2626" s="483" t="str">
        <f>IFERROR(INDEX([1]Produtos!$I:$I,MATCH(L2626,[1]Produtos!$B:$B,0)), "-")</f>
        <v>-</v>
      </c>
      <c r="S2626" s="483" t="str">
        <f>IFERROR(INDEX([1]Produtos!$J:$J,MATCH(L2626,[1]Produtos!$B:$B,0)), "-")</f>
        <v>-</v>
      </c>
      <c r="T2626" s="484"/>
      <c r="U2626" s="483"/>
      <c r="V2626" s="483"/>
      <c r="W2626" s="483"/>
      <c r="X2626" s="483"/>
      <c r="Y2626" s="483"/>
      <c r="Z2626" s="483"/>
      <c r="AA2626" s="483"/>
      <c r="AB2626" s="483"/>
      <c r="AC2626" s="483"/>
      <c r="AD2626" s="483"/>
      <c r="AE2626" s="483"/>
      <c r="AF2626" s="483"/>
      <c r="AG2626" s="483"/>
      <c r="AH2626" s="483"/>
      <c r="AI2626" s="483"/>
      <c r="AJ2626" s="483"/>
      <c r="AK2626" s="483"/>
      <c r="AL2626" s="483"/>
      <c r="AM2626" s="670"/>
      <c r="AN2626" s="670"/>
      <c r="AO2626" s="711" t="str">
        <f>IF(OR(Table1[[#This Row],[Início Setup Envase]]="",Table1[[#This Row],[Final Setup Envase]]=""),"",Table1[[#This Row],[Final Setup Envase]]-Table1[[#This Row],[Início Setup Envase]])</f>
        <v/>
      </c>
      <c r="AP2626" s="670"/>
      <c r="AQ2626" s="670"/>
      <c r="AR2626" s="483"/>
      <c r="AS2626" s="483"/>
      <c r="AT2626" s="483"/>
      <c r="AU2626" s="483"/>
      <c r="AV2626" s="483"/>
      <c r="AW2626" s="483"/>
      <c r="AX2626" s="483"/>
      <c r="AY2626" s="270"/>
      <c r="AZ2626" s="270"/>
      <c r="BA2626" s="270" t="str">
        <f>IF(Table1[[#This Row],[Data de Início]]="","",YEAR(Table1[[#This Row],[Data de Início]]))</f>
        <v/>
      </c>
      <c r="BB2626" s="270" t="str">
        <f>IF(Table1[[#This Row],[Data de Início]]="","",MONTH(Table1[[#This Row],[Data de Início]]))</f>
        <v/>
      </c>
      <c r="BC2626" s="270"/>
    </row>
    <row r="2627" spans="2:55" x14ac:dyDescent="0.25">
      <c r="B2627" s="470"/>
      <c r="C2627" s="263"/>
      <c r="D2627" s="477" cm="1">
        <f t="array" ref="D2627">IFERROR(HorasUteisFabrica2Turnos(B2627,C2627), "")</f>
        <v>0</v>
      </c>
      <c r="E2627" s="697" t="str">
        <f t="shared" si="41"/>
        <v/>
      </c>
      <c r="F2627" s="266"/>
      <c r="G2627" s="698"/>
      <c r="H2627" s="266"/>
      <c r="I2627" s="268"/>
      <c r="J2627" s="268"/>
      <c r="K2627" s="268"/>
      <c r="L2627" s="269"/>
      <c r="M2627" s="510" t="str">
        <f>IFERROR(INDEX([1]Produtos!$C:$C,MATCH(L2627,[1]Produtos!$B:$B,0)), "-")</f>
        <v>-</v>
      </c>
      <c r="N2627" s="510" t="str">
        <f>IFERROR(INDEX([1]Produtos!$E:$E,MATCH(L2627,[1]Produtos!$B:$B,0)), "-")</f>
        <v>-</v>
      </c>
      <c r="O2627" s="270" t="str">
        <f>IFERROR(INDEX([1]Produtos!$F:$F,MATCH(L2627,[1]Produtos!$B:$B,0)), "-")</f>
        <v>-</v>
      </c>
      <c r="P2627" s="264" t="str">
        <f>IFERROR(INDEX([1]Produtos!$G:$G,MATCH(L2627,[1]Produtos!$B:$B,0)), "-")</f>
        <v>-</v>
      </c>
      <c r="Q2627" s="270" t="str">
        <f>IFERROR(INDEX([1]Produtos!$H:$H,MATCH(L2627,[1]Produtos!$B:$B,0)), "-")</f>
        <v>-</v>
      </c>
      <c r="R2627" s="270" t="str">
        <f>IFERROR(INDEX([1]Produtos!$I:$I,MATCH(L2627,[1]Produtos!$B:$B,0)), "-")</f>
        <v>-</v>
      </c>
      <c r="S2627" s="270" t="str">
        <f>IFERROR(INDEX([1]Produtos!$J:$J,MATCH(L2627,[1]Produtos!$B:$B,0)), "-")</f>
        <v>-</v>
      </c>
      <c r="T2627" s="475"/>
      <c r="U2627" s="270"/>
      <c r="V2627" s="270"/>
      <c r="W2627" s="270"/>
      <c r="X2627" s="270"/>
      <c r="Y2627" s="270"/>
      <c r="Z2627" s="270"/>
      <c r="AA2627" s="270"/>
      <c r="AB2627" s="270"/>
      <c r="AC2627" s="270"/>
      <c r="AD2627" s="270"/>
      <c r="AE2627" s="270"/>
      <c r="AF2627" s="270"/>
      <c r="AG2627" s="270"/>
      <c r="AH2627" s="270"/>
      <c r="AI2627" s="270"/>
      <c r="AJ2627" s="270"/>
      <c r="AK2627" s="270"/>
      <c r="AL2627" s="270"/>
      <c r="AM2627" s="663"/>
      <c r="AN2627" s="663"/>
      <c r="AO2627" s="708" t="str">
        <f>IF(OR(Table1[[#This Row],[Início Setup Envase]]="",Table1[[#This Row],[Final Setup Envase]]=""),"",Table1[[#This Row],[Final Setup Envase]]-Table1[[#This Row],[Início Setup Envase]])</f>
        <v/>
      </c>
      <c r="AP2627" s="663"/>
      <c r="AQ2627" s="663"/>
      <c r="AR2627" s="270"/>
      <c r="AS2627" s="674"/>
      <c r="AT2627" s="674"/>
      <c r="AU2627" s="270"/>
      <c r="AV2627" s="270"/>
      <c r="AW2627" s="270"/>
      <c r="AX2627" s="270"/>
      <c r="AY2627" s="270"/>
      <c r="AZ2627" s="270"/>
      <c r="BA2627" s="270" t="str">
        <f>IF(Table1[[#This Row],[Data de Início]]="","",YEAR(Table1[[#This Row],[Data de Início]]))</f>
        <v/>
      </c>
      <c r="BB2627" s="270" t="str">
        <f>IF(Table1[[#This Row],[Data de Início]]="","",MONTH(Table1[[#This Row],[Data de Início]]))</f>
        <v/>
      </c>
      <c r="BC2627" s="483"/>
    </row>
    <row r="2628" spans="2:55" x14ac:dyDescent="0.25">
      <c r="B2628" s="470"/>
      <c r="C2628" s="263"/>
      <c r="D2628" s="477" cm="1">
        <f t="array" ref="D2628">IFERROR(HorasUteisFabrica2Turnos(B2628,C2628), "")</f>
        <v>0</v>
      </c>
      <c r="E2628" s="478" t="str">
        <f t="shared" si="41"/>
        <v/>
      </c>
      <c r="F2628" s="266"/>
      <c r="G2628" s="656"/>
      <c r="H2628" s="479"/>
      <c r="I2628" s="268"/>
      <c r="J2628" s="268"/>
      <c r="K2628" s="268"/>
      <c r="L2628" s="269"/>
      <c r="M2628" s="511" t="str">
        <f>IFERROR(INDEX([1]Produtos!$C:$C,MATCH(L2628,[1]Produtos!$B:$B,0)), "-")</f>
        <v>-</v>
      </c>
      <c r="N2628" s="511" t="str">
        <f>IFERROR(INDEX([1]Produtos!$E:$E,MATCH(L2628,[1]Produtos!$B:$B,0)), "-")</f>
        <v>-</v>
      </c>
      <c r="O2628" s="483" t="str">
        <f>IFERROR(INDEX([1]Produtos!$F:$F,MATCH(L2628,[1]Produtos!$B:$B,0)), "-")</f>
        <v>-</v>
      </c>
      <c r="P2628" s="477" t="str">
        <f>IFERROR(INDEX([1]Produtos!$G:$G,MATCH(L2628,[1]Produtos!$B:$B,0)), "-")</f>
        <v>-</v>
      </c>
      <c r="Q2628" s="483" t="str">
        <f>IFERROR(INDEX([1]Produtos!$H:$H,MATCH(L2628,[1]Produtos!$B:$B,0)), "-")</f>
        <v>-</v>
      </c>
      <c r="R2628" s="483" t="str">
        <f>IFERROR(INDEX([1]Produtos!$I:$I,MATCH(L2628,[1]Produtos!$B:$B,0)), "-")</f>
        <v>-</v>
      </c>
      <c r="S2628" s="483" t="str">
        <f>IFERROR(INDEX([1]Produtos!$J:$J,MATCH(L2628,[1]Produtos!$B:$B,0)), "-")</f>
        <v>-</v>
      </c>
      <c r="T2628" s="484"/>
      <c r="U2628" s="483"/>
      <c r="V2628" s="483"/>
      <c r="W2628" s="483"/>
      <c r="X2628" s="483"/>
      <c r="Y2628" s="483"/>
      <c r="Z2628" s="483"/>
      <c r="AA2628" s="483"/>
      <c r="AB2628" s="483"/>
      <c r="AC2628" s="483"/>
      <c r="AD2628" s="483"/>
      <c r="AE2628" s="483"/>
      <c r="AF2628" s="483"/>
      <c r="AG2628" s="483"/>
      <c r="AH2628" s="483"/>
      <c r="AI2628" s="483"/>
      <c r="AJ2628" s="483"/>
      <c r="AK2628" s="483"/>
      <c r="AL2628" s="483"/>
      <c r="AM2628" s="670"/>
      <c r="AN2628" s="670"/>
      <c r="AO2628" s="711" t="str">
        <f>IF(OR(Table1[[#This Row],[Início Setup Envase]]="",Table1[[#This Row],[Final Setup Envase]]=""),"",Table1[[#This Row],[Final Setup Envase]]-Table1[[#This Row],[Início Setup Envase]])</f>
        <v/>
      </c>
      <c r="AP2628" s="670"/>
      <c r="AQ2628" s="670"/>
      <c r="AR2628" s="483"/>
      <c r="AS2628" s="483"/>
      <c r="AT2628" s="483"/>
      <c r="AU2628" s="483"/>
      <c r="AV2628" s="483"/>
      <c r="AW2628" s="483"/>
      <c r="AX2628" s="483"/>
      <c r="AY2628" s="270"/>
      <c r="AZ2628" s="270"/>
      <c r="BA2628" s="270" t="str">
        <f>IF(Table1[[#This Row],[Data de Início]]="","",YEAR(Table1[[#This Row],[Data de Início]]))</f>
        <v/>
      </c>
      <c r="BB2628" s="270" t="str">
        <f>IF(Table1[[#This Row],[Data de Início]]="","",MONTH(Table1[[#This Row],[Data de Início]]))</f>
        <v/>
      </c>
      <c r="BC2628" s="270"/>
    </row>
    <row r="2629" spans="2:55" x14ac:dyDescent="0.25">
      <c r="B2629" s="470"/>
      <c r="C2629" s="263"/>
      <c r="D2629" s="477" cm="1">
        <f t="array" ref="D2629">IFERROR(HorasUteisFabrica2Turnos(B2629,C2629), "")</f>
        <v>0</v>
      </c>
      <c r="E2629" s="697" t="str">
        <f t="shared" si="41"/>
        <v/>
      </c>
      <c r="F2629" s="266"/>
      <c r="G2629" s="698"/>
      <c r="H2629" s="266"/>
      <c r="I2629" s="268"/>
      <c r="J2629" s="268"/>
      <c r="K2629" s="268"/>
      <c r="L2629" s="269"/>
      <c r="M2629" s="510" t="str">
        <f>IFERROR(INDEX([1]Produtos!$C:$C,MATCH(L2629,[1]Produtos!$B:$B,0)), "-")</f>
        <v>-</v>
      </c>
      <c r="N2629" s="510" t="str">
        <f>IFERROR(INDEX([1]Produtos!$E:$E,MATCH(L2629,[1]Produtos!$B:$B,0)), "-")</f>
        <v>-</v>
      </c>
      <c r="O2629" s="270" t="str">
        <f>IFERROR(INDEX([1]Produtos!$F:$F,MATCH(L2629,[1]Produtos!$B:$B,0)), "-")</f>
        <v>-</v>
      </c>
      <c r="P2629" s="264" t="str">
        <f>IFERROR(INDEX([1]Produtos!$G:$G,MATCH(L2629,[1]Produtos!$B:$B,0)), "-")</f>
        <v>-</v>
      </c>
      <c r="Q2629" s="270" t="str">
        <f>IFERROR(INDEX([1]Produtos!$H:$H,MATCH(L2629,[1]Produtos!$B:$B,0)), "-")</f>
        <v>-</v>
      </c>
      <c r="R2629" s="270" t="str">
        <f>IFERROR(INDEX([1]Produtos!$I:$I,MATCH(L2629,[1]Produtos!$B:$B,0)), "-")</f>
        <v>-</v>
      </c>
      <c r="S2629" s="270" t="str">
        <f>IFERROR(INDEX([1]Produtos!$J:$J,MATCH(L2629,[1]Produtos!$B:$B,0)), "-")</f>
        <v>-</v>
      </c>
      <c r="T2629" s="475"/>
      <c r="U2629" s="270"/>
      <c r="V2629" s="270"/>
      <c r="W2629" s="270"/>
      <c r="X2629" s="270"/>
      <c r="Y2629" s="270"/>
      <c r="Z2629" s="270"/>
      <c r="AA2629" s="270"/>
      <c r="AB2629" s="270"/>
      <c r="AC2629" s="270"/>
      <c r="AD2629" s="270"/>
      <c r="AE2629" s="270"/>
      <c r="AF2629" s="270"/>
      <c r="AG2629" s="270"/>
      <c r="AH2629" s="270"/>
      <c r="AI2629" s="270"/>
      <c r="AJ2629" s="270"/>
      <c r="AK2629" s="270"/>
      <c r="AL2629" s="270"/>
      <c r="AM2629" s="663"/>
      <c r="AN2629" s="663"/>
      <c r="AO2629" s="708" t="str">
        <f>IF(OR(Table1[[#This Row],[Início Setup Envase]]="",Table1[[#This Row],[Final Setup Envase]]=""),"",Table1[[#This Row],[Final Setup Envase]]-Table1[[#This Row],[Início Setup Envase]])</f>
        <v/>
      </c>
      <c r="AP2629" s="663"/>
      <c r="AQ2629" s="663"/>
      <c r="AR2629" s="270"/>
      <c r="AS2629" s="674"/>
      <c r="AT2629" s="674"/>
      <c r="AU2629" s="270"/>
      <c r="AV2629" s="270"/>
      <c r="AW2629" s="270"/>
      <c r="AX2629" s="270"/>
      <c r="AY2629" s="270"/>
      <c r="AZ2629" s="270"/>
      <c r="BA2629" s="270" t="str">
        <f>IF(Table1[[#This Row],[Data de Início]]="","",YEAR(Table1[[#This Row],[Data de Início]]))</f>
        <v/>
      </c>
      <c r="BB2629" s="270" t="str">
        <f>IF(Table1[[#This Row],[Data de Início]]="","",MONTH(Table1[[#This Row],[Data de Início]]))</f>
        <v/>
      </c>
      <c r="BC2629" s="483"/>
    </row>
    <row r="2630" spans="2:55" x14ac:dyDescent="0.25">
      <c r="B2630" s="470"/>
      <c r="C2630" s="263"/>
      <c r="D2630" s="477" cm="1">
        <f t="array" ref="D2630">IFERROR(HorasUteisFabrica2Turnos(B2630,C2630), "")</f>
        <v>0</v>
      </c>
      <c r="E2630" s="478" t="str">
        <f t="shared" si="41"/>
        <v/>
      </c>
      <c r="F2630" s="266"/>
      <c r="G2630" s="656"/>
      <c r="H2630" s="479"/>
      <c r="I2630" s="268"/>
      <c r="J2630" s="268"/>
      <c r="K2630" s="268"/>
      <c r="L2630" s="269"/>
      <c r="M2630" s="511" t="str">
        <f>IFERROR(INDEX([1]Produtos!$C:$C,MATCH(L2630,[1]Produtos!$B:$B,0)), "-")</f>
        <v>-</v>
      </c>
      <c r="N2630" s="511" t="str">
        <f>IFERROR(INDEX([1]Produtos!$E:$E,MATCH(L2630,[1]Produtos!$B:$B,0)), "-")</f>
        <v>-</v>
      </c>
      <c r="O2630" s="483" t="str">
        <f>IFERROR(INDEX([1]Produtos!$F:$F,MATCH(L2630,[1]Produtos!$B:$B,0)), "-")</f>
        <v>-</v>
      </c>
      <c r="P2630" s="477" t="str">
        <f>IFERROR(INDEX([1]Produtos!$G:$G,MATCH(L2630,[1]Produtos!$B:$B,0)), "-")</f>
        <v>-</v>
      </c>
      <c r="Q2630" s="483" t="str">
        <f>IFERROR(INDEX([1]Produtos!$H:$H,MATCH(L2630,[1]Produtos!$B:$B,0)), "-")</f>
        <v>-</v>
      </c>
      <c r="R2630" s="483" t="str">
        <f>IFERROR(INDEX([1]Produtos!$I:$I,MATCH(L2630,[1]Produtos!$B:$B,0)), "-")</f>
        <v>-</v>
      </c>
      <c r="S2630" s="483" t="str">
        <f>IFERROR(INDEX([1]Produtos!$J:$J,MATCH(L2630,[1]Produtos!$B:$B,0)), "-")</f>
        <v>-</v>
      </c>
      <c r="T2630" s="484"/>
      <c r="U2630" s="483"/>
      <c r="V2630" s="483"/>
      <c r="W2630" s="483"/>
      <c r="X2630" s="483"/>
      <c r="Y2630" s="483"/>
      <c r="Z2630" s="483"/>
      <c r="AA2630" s="483"/>
      <c r="AB2630" s="483"/>
      <c r="AC2630" s="483"/>
      <c r="AD2630" s="483"/>
      <c r="AE2630" s="483"/>
      <c r="AF2630" s="483"/>
      <c r="AG2630" s="483"/>
      <c r="AH2630" s="483"/>
      <c r="AI2630" s="483"/>
      <c r="AJ2630" s="483"/>
      <c r="AK2630" s="483"/>
      <c r="AL2630" s="483"/>
      <c r="AM2630" s="670"/>
      <c r="AN2630" s="670"/>
      <c r="AO2630" s="711" t="str">
        <f>IF(OR(Table1[[#This Row],[Início Setup Envase]]="",Table1[[#This Row],[Final Setup Envase]]=""),"",Table1[[#This Row],[Final Setup Envase]]-Table1[[#This Row],[Início Setup Envase]])</f>
        <v/>
      </c>
      <c r="AP2630" s="670"/>
      <c r="AQ2630" s="670"/>
      <c r="AR2630" s="483"/>
      <c r="AS2630" s="483"/>
      <c r="AT2630" s="483"/>
      <c r="AU2630" s="483"/>
      <c r="AV2630" s="483"/>
      <c r="AW2630" s="483"/>
      <c r="AX2630" s="483"/>
      <c r="AY2630" s="270"/>
      <c r="AZ2630" s="270"/>
      <c r="BA2630" s="270" t="str">
        <f>IF(Table1[[#This Row],[Data de Início]]="","",YEAR(Table1[[#This Row],[Data de Início]]))</f>
        <v/>
      </c>
      <c r="BB2630" s="270" t="str">
        <f>IF(Table1[[#This Row],[Data de Início]]="","",MONTH(Table1[[#This Row],[Data de Início]]))</f>
        <v/>
      </c>
      <c r="BC2630" s="270"/>
    </row>
    <row r="2631" spans="2:55" x14ac:dyDescent="0.25">
      <c r="B2631" s="470"/>
      <c r="C2631" s="263"/>
      <c r="D2631" s="477" cm="1">
        <f t="array" ref="D2631">IFERROR(HorasUteisFabrica2Turnos(B2631,C2631), "")</f>
        <v>0</v>
      </c>
      <c r="E2631" s="697" t="str">
        <f t="shared" si="41"/>
        <v/>
      </c>
      <c r="F2631" s="266"/>
      <c r="G2631" s="698"/>
      <c r="H2631" s="266"/>
      <c r="I2631" s="268"/>
      <c r="J2631" s="268"/>
      <c r="K2631" s="268"/>
      <c r="L2631" s="269"/>
      <c r="M2631" s="510" t="str">
        <f>IFERROR(INDEX([1]Produtos!$C:$C,MATCH(L2631,[1]Produtos!$B:$B,0)), "-")</f>
        <v>-</v>
      </c>
      <c r="N2631" s="510" t="str">
        <f>IFERROR(INDEX([1]Produtos!$E:$E,MATCH(L2631,[1]Produtos!$B:$B,0)), "-")</f>
        <v>-</v>
      </c>
      <c r="O2631" s="270" t="str">
        <f>IFERROR(INDEX([1]Produtos!$F:$F,MATCH(L2631,[1]Produtos!$B:$B,0)), "-")</f>
        <v>-</v>
      </c>
      <c r="P2631" s="264" t="str">
        <f>IFERROR(INDEX([1]Produtos!$G:$G,MATCH(L2631,[1]Produtos!$B:$B,0)), "-")</f>
        <v>-</v>
      </c>
      <c r="Q2631" s="270" t="str">
        <f>IFERROR(INDEX([1]Produtos!$H:$H,MATCH(L2631,[1]Produtos!$B:$B,0)), "-")</f>
        <v>-</v>
      </c>
      <c r="R2631" s="270" t="str">
        <f>IFERROR(INDEX([1]Produtos!$I:$I,MATCH(L2631,[1]Produtos!$B:$B,0)), "-")</f>
        <v>-</v>
      </c>
      <c r="S2631" s="270" t="str">
        <f>IFERROR(INDEX([1]Produtos!$J:$J,MATCH(L2631,[1]Produtos!$B:$B,0)), "-")</f>
        <v>-</v>
      </c>
      <c r="T2631" s="475"/>
      <c r="U2631" s="270"/>
      <c r="V2631" s="270"/>
      <c r="W2631" s="270"/>
      <c r="X2631" s="270"/>
      <c r="Y2631" s="270"/>
      <c r="Z2631" s="270"/>
      <c r="AA2631" s="270"/>
      <c r="AB2631" s="270"/>
      <c r="AC2631" s="270"/>
      <c r="AD2631" s="270"/>
      <c r="AE2631" s="270"/>
      <c r="AF2631" s="270"/>
      <c r="AG2631" s="270"/>
      <c r="AH2631" s="270"/>
      <c r="AI2631" s="270"/>
      <c r="AJ2631" s="270"/>
      <c r="AK2631" s="270"/>
      <c r="AL2631" s="270"/>
      <c r="AM2631" s="663"/>
      <c r="AN2631" s="663"/>
      <c r="AO2631" s="708" t="str">
        <f>IF(OR(Table1[[#This Row],[Início Setup Envase]]="",Table1[[#This Row],[Final Setup Envase]]=""),"",Table1[[#This Row],[Final Setup Envase]]-Table1[[#This Row],[Início Setup Envase]])</f>
        <v/>
      </c>
      <c r="AP2631" s="663"/>
      <c r="AQ2631" s="663"/>
      <c r="AR2631" s="270"/>
      <c r="AS2631" s="674"/>
      <c r="AT2631" s="674"/>
      <c r="AU2631" s="270"/>
      <c r="AV2631" s="270"/>
      <c r="AW2631" s="270"/>
      <c r="AX2631" s="270"/>
      <c r="AY2631" s="270"/>
      <c r="AZ2631" s="270"/>
      <c r="BA2631" s="270" t="str">
        <f>IF(Table1[[#This Row],[Data de Início]]="","",YEAR(Table1[[#This Row],[Data de Início]]))</f>
        <v/>
      </c>
      <c r="BB2631" s="270" t="str">
        <f>IF(Table1[[#This Row],[Data de Início]]="","",MONTH(Table1[[#This Row],[Data de Início]]))</f>
        <v/>
      </c>
      <c r="BC2631" s="483"/>
    </row>
    <row r="2632" spans="2:55" x14ac:dyDescent="0.25">
      <c r="B2632" s="470"/>
      <c r="C2632" s="263"/>
      <c r="D2632" s="477" cm="1">
        <f t="array" ref="D2632">IFERROR(HorasUteisFabrica2Turnos(B2632,C2632), "")</f>
        <v>0</v>
      </c>
      <c r="E2632" s="478" t="str">
        <f t="shared" si="41"/>
        <v/>
      </c>
      <c r="F2632" s="266"/>
      <c r="G2632" s="656"/>
      <c r="H2632" s="479"/>
      <c r="I2632" s="268"/>
      <c r="J2632" s="268"/>
      <c r="K2632" s="268"/>
      <c r="L2632" s="269"/>
      <c r="M2632" s="511" t="str">
        <f>IFERROR(INDEX([1]Produtos!$C:$C,MATCH(L2632,[1]Produtos!$B:$B,0)), "-")</f>
        <v>-</v>
      </c>
      <c r="N2632" s="511" t="str">
        <f>IFERROR(INDEX([1]Produtos!$E:$E,MATCH(L2632,[1]Produtos!$B:$B,0)), "-")</f>
        <v>-</v>
      </c>
      <c r="O2632" s="483" t="str">
        <f>IFERROR(INDEX([1]Produtos!$F:$F,MATCH(L2632,[1]Produtos!$B:$B,0)), "-")</f>
        <v>-</v>
      </c>
      <c r="P2632" s="477" t="str">
        <f>IFERROR(INDEX([1]Produtos!$G:$G,MATCH(L2632,[1]Produtos!$B:$B,0)), "-")</f>
        <v>-</v>
      </c>
      <c r="Q2632" s="483" t="str">
        <f>IFERROR(INDEX([1]Produtos!$H:$H,MATCH(L2632,[1]Produtos!$B:$B,0)), "-")</f>
        <v>-</v>
      </c>
      <c r="R2632" s="483" t="str">
        <f>IFERROR(INDEX([1]Produtos!$I:$I,MATCH(L2632,[1]Produtos!$B:$B,0)), "-")</f>
        <v>-</v>
      </c>
      <c r="S2632" s="483" t="str">
        <f>IFERROR(INDEX([1]Produtos!$J:$J,MATCH(L2632,[1]Produtos!$B:$B,0)), "-")</f>
        <v>-</v>
      </c>
      <c r="T2632" s="484"/>
      <c r="U2632" s="483"/>
      <c r="V2632" s="483"/>
      <c r="W2632" s="483"/>
      <c r="X2632" s="483"/>
      <c r="Y2632" s="483"/>
      <c r="Z2632" s="483"/>
      <c r="AA2632" s="483"/>
      <c r="AB2632" s="483"/>
      <c r="AC2632" s="483"/>
      <c r="AD2632" s="483"/>
      <c r="AE2632" s="483"/>
      <c r="AF2632" s="483"/>
      <c r="AG2632" s="483"/>
      <c r="AH2632" s="483"/>
      <c r="AI2632" s="483"/>
      <c r="AJ2632" s="483"/>
      <c r="AK2632" s="483"/>
      <c r="AL2632" s="483"/>
      <c r="AM2632" s="670"/>
      <c r="AN2632" s="670"/>
      <c r="AO2632" s="711" t="str">
        <f>IF(OR(Table1[[#This Row],[Início Setup Envase]]="",Table1[[#This Row],[Final Setup Envase]]=""),"",Table1[[#This Row],[Final Setup Envase]]-Table1[[#This Row],[Início Setup Envase]])</f>
        <v/>
      </c>
      <c r="AP2632" s="670"/>
      <c r="AQ2632" s="670"/>
      <c r="AR2632" s="483"/>
      <c r="AS2632" s="483"/>
      <c r="AT2632" s="483"/>
      <c r="AU2632" s="483"/>
      <c r="AV2632" s="483"/>
      <c r="AW2632" s="483"/>
      <c r="AX2632" s="483"/>
      <c r="AY2632" s="270"/>
      <c r="AZ2632" s="270"/>
      <c r="BA2632" s="270" t="str">
        <f>IF(Table1[[#This Row],[Data de Início]]="","",YEAR(Table1[[#This Row],[Data de Início]]))</f>
        <v/>
      </c>
      <c r="BB2632" s="270" t="str">
        <f>IF(Table1[[#This Row],[Data de Início]]="","",MONTH(Table1[[#This Row],[Data de Início]]))</f>
        <v/>
      </c>
      <c r="BC2632" s="270"/>
    </row>
    <row r="2633" spans="2:55" x14ac:dyDescent="0.25">
      <c r="B2633" s="470"/>
      <c r="C2633" s="263"/>
      <c r="D2633" s="477" cm="1">
        <f t="array" ref="D2633">IFERROR(HorasUteisFabrica2Turnos(B2633,C2633), "")</f>
        <v>0</v>
      </c>
      <c r="E2633" s="697" t="str">
        <f t="shared" si="41"/>
        <v/>
      </c>
      <c r="F2633" s="266"/>
      <c r="G2633" s="698"/>
      <c r="H2633" s="266"/>
      <c r="I2633" s="268"/>
      <c r="J2633" s="268"/>
      <c r="K2633" s="268"/>
      <c r="L2633" s="269"/>
      <c r="M2633" s="510" t="str">
        <f>IFERROR(INDEX([1]Produtos!$C:$C,MATCH(L2633,[1]Produtos!$B:$B,0)), "-")</f>
        <v>-</v>
      </c>
      <c r="N2633" s="510" t="str">
        <f>IFERROR(INDEX([1]Produtos!$E:$E,MATCH(L2633,[1]Produtos!$B:$B,0)), "-")</f>
        <v>-</v>
      </c>
      <c r="O2633" s="270" t="str">
        <f>IFERROR(INDEX([1]Produtos!$F:$F,MATCH(L2633,[1]Produtos!$B:$B,0)), "-")</f>
        <v>-</v>
      </c>
      <c r="P2633" s="264" t="str">
        <f>IFERROR(INDEX([1]Produtos!$G:$G,MATCH(L2633,[1]Produtos!$B:$B,0)), "-")</f>
        <v>-</v>
      </c>
      <c r="Q2633" s="270" t="str">
        <f>IFERROR(INDEX([1]Produtos!$H:$H,MATCH(L2633,[1]Produtos!$B:$B,0)), "-")</f>
        <v>-</v>
      </c>
      <c r="R2633" s="270" t="str">
        <f>IFERROR(INDEX([1]Produtos!$I:$I,MATCH(L2633,[1]Produtos!$B:$B,0)), "-")</f>
        <v>-</v>
      </c>
      <c r="S2633" s="270" t="str">
        <f>IFERROR(INDEX([1]Produtos!$J:$J,MATCH(L2633,[1]Produtos!$B:$B,0)), "-")</f>
        <v>-</v>
      </c>
      <c r="T2633" s="475"/>
      <c r="U2633" s="270"/>
      <c r="V2633" s="270"/>
      <c r="W2633" s="270"/>
      <c r="X2633" s="270"/>
      <c r="Y2633" s="270"/>
      <c r="Z2633" s="270"/>
      <c r="AA2633" s="270"/>
      <c r="AB2633" s="270"/>
      <c r="AC2633" s="270"/>
      <c r="AD2633" s="270"/>
      <c r="AE2633" s="270"/>
      <c r="AF2633" s="270"/>
      <c r="AG2633" s="270"/>
      <c r="AH2633" s="270"/>
      <c r="AI2633" s="270"/>
      <c r="AJ2633" s="270"/>
      <c r="AK2633" s="270"/>
      <c r="AL2633" s="270"/>
      <c r="AM2633" s="663"/>
      <c r="AN2633" s="663"/>
      <c r="AO2633" s="708" t="str">
        <f>IF(OR(Table1[[#This Row],[Início Setup Envase]]="",Table1[[#This Row],[Final Setup Envase]]=""),"",Table1[[#This Row],[Final Setup Envase]]-Table1[[#This Row],[Início Setup Envase]])</f>
        <v/>
      </c>
      <c r="AP2633" s="663"/>
      <c r="AQ2633" s="663"/>
      <c r="AR2633" s="270"/>
      <c r="AS2633" s="674"/>
      <c r="AT2633" s="674"/>
      <c r="AU2633" s="270"/>
      <c r="AV2633" s="270"/>
      <c r="AW2633" s="270"/>
      <c r="AX2633" s="270"/>
      <c r="AY2633" s="270"/>
      <c r="AZ2633" s="270"/>
      <c r="BA2633" s="270" t="str">
        <f>IF(Table1[[#This Row],[Data de Início]]="","",YEAR(Table1[[#This Row],[Data de Início]]))</f>
        <v/>
      </c>
      <c r="BB2633" s="270" t="str">
        <f>IF(Table1[[#This Row],[Data de Início]]="","",MONTH(Table1[[#This Row],[Data de Início]]))</f>
        <v/>
      </c>
      <c r="BC2633" s="483"/>
    </row>
    <row r="2634" spans="2:55" x14ac:dyDescent="0.25">
      <c r="B2634" s="470"/>
      <c r="C2634" s="263"/>
      <c r="D2634" s="477" cm="1">
        <f t="array" ref="D2634">IFERROR(HorasUteisFabrica2Turnos(B2634,C2634), "")</f>
        <v>0</v>
      </c>
      <c r="E2634" s="478" t="str">
        <f t="shared" si="41"/>
        <v/>
      </c>
      <c r="F2634" s="266"/>
      <c r="G2634" s="656"/>
      <c r="H2634" s="479"/>
      <c r="I2634" s="268"/>
      <c r="J2634" s="268"/>
      <c r="K2634" s="268"/>
      <c r="L2634" s="269"/>
      <c r="M2634" s="511" t="str">
        <f>IFERROR(INDEX([1]Produtos!$C:$C,MATCH(L2634,[1]Produtos!$B:$B,0)), "-")</f>
        <v>-</v>
      </c>
      <c r="N2634" s="511" t="str">
        <f>IFERROR(INDEX([1]Produtos!$E:$E,MATCH(L2634,[1]Produtos!$B:$B,0)), "-")</f>
        <v>-</v>
      </c>
      <c r="O2634" s="483" t="str">
        <f>IFERROR(INDEX([1]Produtos!$F:$F,MATCH(L2634,[1]Produtos!$B:$B,0)), "-")</f>
        <v>-</v>
      </c>
      <c r="P2634" s="477" t="str">
        <f>IFERROR(INDEX([1]Produtos!$G:$G,MATCH(L2634,[1]Produtos!$B:$B,0)), "-")</f>
        <v>-</v>
      </c>
      <c r="Q2634" s="483" t="str">
        <f>IFERROR(INDEX([1]Produtos!$H:$H,MATCH(L2634,[1]Produtos!$B:$B,0)), "-")</f>
        <v>-</v>
      </c>
      <c r="R2634" s="483" t="str">
        <f>IFERROR(INDEX([1]Produtos!$I:$I,MATCH(L2634,[1]Produtos!$B:$B,0)), "-")</f>
        <v>-</v>
      </c>
      <c r="S2634" s="483" t="str">
        <f>IFERROR(INDEX([1]Produtos!$J:$J,MATCH(L2634,[1]Produtos!$B:$B,0)), "-")</f>
        <v>-</v>
      </c>
      <c r="T2634" s="484"/>
      <c r="U2634" s="483"/>
      <c r="V2634" s="483"/>
      <c r="W2634" s="483"/>
      <c r="X2634" s="483"/>
      <c r="Y2634" s="483"/>
      <c r="Z2634" s="483"/>
      <c r="AA2634" s="483"/>
      <c r="AB2634" s="483"/>
      <c r="AC2634" s="483"/>
      <c r="AD2634" s="483"/>
      <c r="AE2634" s="483"/>
      <c r="AF2634" s="483"/>
      <c r="AG2634" s="483"/>
      <c r="AH2634" s="483"/>
      <c r="AI2634" s="483"/>
      <c r="AJ2634" s="483"/>
      <c r="AK2634" s="483"/>
      <c r="AL2634" s="483"/>
      <c r="AM2634" s="670"/>
      <c r="AN2634" s="670"/>
      <c r="AO2634" s="711" t="str">
        <f>IF(OR(Table1[[#This Row],[Início Setup Envase]]="",Table1[[#This Row],[Final Setup Envase]]=""),"",Table1[[#This Row],[Final Setup Envase]]-Table1[[#This Row],[Início Setup Envase]])</f>
        <v/>
      </c>
      <c r="AP2634" s="670"/>
      <c r="AQ2634" s="670"/>
      <c r="AR2634" s="483"/>
      <c r="AS2634" s="483"/>
      <c r="AT2634" s="483"/>
      <c r="AU2634" s="483"/>
      <c r="AV2634" s="483"/>
      <c r="AW2634" s="483"/>
      <c r="AX2634" s="483"/>
      <c r="AY2634" s="270"/>
      <c r="AZ2634" s="270"/>
      <c r="BA2634" s="270" t="str">
        <f>IF(Table1[[#This Row],[Data de Início]]="","",YEAR(Table1[[#This Row],[Data de Início]]))</f>
        <v/>
      </c>
      <c r="BB2634" s="270" t="str">
        <f>IF(Table1[[#This Row],[Data de Início]]="","",MONTH(Table1[[#This Row],[Data de Início]]))</f>
        <v/>
      </c>
      <c r="BC2634" s="270"/>
    </row>
    <row r="2635" spans="2:55" x14ac:dyDescent="0.25">
      <c r="B2635" s="470"/>
      <c r="C2635" s="263"/>
      <c r="D2635" s="477" cm="1">
        <f t="array" ref="D2635">IFERROR(HorasUteisFabrica2Turnos(B2635,C2635), "")</f>
        <v>0</v>
      </c>
      <c r="E2635" s="697" t="str">
        <f t="shared" si="41"/>
        <v/>
      </c>
      <c r="F2635" s="266"/>
      <c r="G2635" s="698"/>
      <c r="H2635" s="266"/>
      <c r="I2635" s="268"/>
      <c r="J2635" s="268"/>
      <c r="K2635" s="268"/>
      <c r="L2635" s="269"/>
      <c r="M2635" s="510" t="str">
        <f>IFERROR(INDEX([1]Produtos!$C:$C,MATCH(L2635,[1]Produtos!$B:$B,0)), "-")</f>
        <v>-</v>
      </c>
      <c r="N2635" s="510" t="str">
        <f>IFERROR(INDEX([1]Produtos!$E:$E,MATCH(L2635,[1]Produtos!$B:$B,0)), "-")</f>
        <v>-</v>
      </c>
      <c r="O2635" s="270" t="str">
        <f>IFERROR(INDEX([1]Produtos!$F:$F,MATCH(L2635,[1]Produtos!$B:$B,0)), "-")</f>
        <v>-</v>
      </c>
      <c r="P2635" s="264" t="str">
        <f>IFERROR(INDEX([1]Produtos!$G:$G,MATCH(L2635,[1]Produtos!$B:$B,0)), "-")</f>
        <v>-</v>
      </c>
      <c r="Q2635" s="270" t="str">
        <f>IFERROR(INDEX([1]Produtos!$H:$H,MATCH(L2635,[1]Produtos!$B:$B,0)), "-")</f>
        <v>-</v>
      </c>
      <c r="R2635" s="270" t="str">
        <f>IFERROR(INDEX([1]Produtos!$I:$I,MATCH(L2635,[1]Produtos!$B:$B,0)), "-")</f>
        <v>-</v>
      </c>
      <c r="S2635" s="270" t="str">
        <f>IFERROR(INDEX([1]Produtos!$J:$J,MATCH(L2635,[1]Produtos!$B:$B,0)), "-")</f>
        <v>-</v>
      </c>
      <c r="T2635" s="475"/>
      <c r="U2635" s="270"/>
      <c r="V2635" s="270"/>
      <c r="W2635" s="270"/>
      <c r="X2635" s="270"/>
      <c r="Y2635" s="270"/>
      <c r="Z2635" s="270"/>
      <c r="AA2635" s="270"/>
      <c r="AB2635" s="270"/>
      <c r="AC2635" s="270"/>
      <c r="AD2635" s="270"/>
      <c r="AE2635" s="270"/>
      <c r="AF2635" s="270"/>
      <c r="AG2635" s="270"/>
      <c r="AH2635" s="270"/>
      <c r="AI2635" s="270"/>
      <c r="AJ2635" s="270"/>
      <c r="AK2635" s="270"/>
      <c r="AL2635" s="270"/>
      <c r="AM2635" s="663"/>
      <c r="AN2635" s="663"/>
      <c r="AO2635" s="708" t="str">
        <f>IF(OR(Table1[[#This Row],[Início Setup Envase]]="",Table1[[#This Row],[Final Setup Envase]]=""),"",Table1[[#This Row],[Final Setup Envase]]-Table1[[#This Row],[Início Setup Envase]])</f>
        <v/>
      </c>
      <c r="AP2635" s="663"/>
      <c r="AQ2635" s="663"/>
      <c r="AR2635" s="270"/>
      <c r="AS2635" s="674"/>
      <c r="AT2635" s="674"/>
      <c r="AU2635" s="270"/>
      <c r="AV2635" s="270"/>
      <c r="AW2635" s="270"/>
      <c r="AX2635" s="270"/>
      <c r="AY2635" s="270"/>
      <c r="AZ2635" s="270"/>
      <c r="BA2635" s="270" t="str">
        <f>IF(Table1[[#This Row],[Data de Início]]="","",YEAR(Table1[[#This Row],[Data de Início]]))</f>
        <v/>
      </c>
      <c r="BB2635" s="270" t="str">
        <f>IF(Table1[[#This Row],[Data de Início]]="","",MONTH(Table1[[#This Row],[Data de Início]]))</f>
        <v/>
      </c>
      <c r="BC2635" s="483"/>
    </row>
    <row r="2636" spans="2:55" x14ac:dyDescent="0.25">
      <c r="B2636" s="470"/>
      <c r="C2636" s="263"/>
      <c r="D2636" s="477" cm="1">
        <f t="array" ref="D2636">IFERROR(HorasUteisFabrica2Turnos(B2636,C2636), "")</f>
        <v>0</v>
      </c>
      <c r="E2636" s="478" t="str">
        <f t="shared" si="41"/>
        <v/>
      </c>
      <c r="F2636" s="266"/>
      <c r="G2636" s="656"/>
      <c r="H2636" s="479"/>
      <c r="I2636" s="268"/>
      <c r="J2636" s="268"/>
      <c r="K2636" s="268"/>
      <c r="L2636" s="269"/>
      <c r="M2636" s="511" t="str">
        <f>IFERROR(INDEX([1]Produtos!$C:$C,MATCH(L2636,[1]Produtos!$B:$B,0)), "-")</f>
        <v>-</v>
      </c>
      <c r="N2636" s="511" t="str">
        <f>IFERROR(INDEX([1]Produtos!$E:$E,MATCH(L2636,[1]Produtos!$B:$B,0)), "-")</f>
        <v>-</v>
      </c>
      <c r="O2636" s="483" t="str">
        <f>IFERROR(INDEX([1]Produtos!$F:$F,MATCH(L2636,[1]Produtos!$B:$B,0)), "-")</f>
        <v>-</v>
      </c>
      <c r="P2636" s="477" t="str">
        <f>IFERROR(INDEX([1]Produtos!$G:$G,MATCH(L2636,[1]Produtos!$B:$B,0)), "-")</f>
        <v>-</v>
      </c>
      <c r="Q2636" s="483" t="str">
        <f>IFERROR(INDEX([1]Produtos!$H:$H,MATCH(L2636,[1]Produtos!$B:$B,0)), "-")</f>
        <v>-</v>
      </c>
      <c r="R2636" s="483" t="str">
        <f>IFERROR(INDEX([1]Produtos!$I:$I,MATCH(L2636,[1]Produtos!$B:$B,0)), "-")</f>
        <v>-</v>
      </c>
      <c r="S2636" s="483" t="str">
        <f>IFERROR(INDEX([1]Produtos!$J:$J,MATCH(L2636,[1]Produtos!$B:$B,0)), "-")</f>
        <v>-</v>
      </c>
      <c r="T2636" s="484"/>
      <c r="U2636" s="483"/>
      <c r="V2636" s="483"/>
      <c r="W2636" s="483"/>
      <c r="X2636" s="483"/>
      <c r="Y2636" s="483"/>
      <c r="Z2636" s="483"/>
      <c r="AA2636" s="483"/>
      <c r="AB2636" s="483"/>
      <c r="AC2636" s="483"/>
      <c r="AD2636" s="483"/>
      <c r="AE2636" s="483"/>
      <c r="AF2636" s="483"/>
      <c r="AG2636" s="483"/>
      <c r="AH2636" s="483"/>
      <c r="AI2636" s="483"/>
      <c r="AJ2636" s="483"/>
      <c r="AK2636" s="483"/>
      <c r="AL2636" s="483"/>
      <c r="AM2636" s="670"/>
      <c r="AN2636" s="670"/>
      <c r="AO2636" s="711" t="str">
        <f>IF(OR(Table1[[#This Row],[Início Setup Envase]]="",Table1[[#This Row],[Final Setup Envase]]=""),"",Table1[[#This Row],[Final Setup Envase]]-Table1[[#This Row],[Início Setup Envase]])</f>
        <v/>
      </c>
      <c r="AP2636" s="670"/>
      <c r="AQ2636" s="670"/>
      <c r="AR2636" s="483"/>
      <c r="AS2636" s="483"/>
      <c r="AT2636" s="483"/>
      <c r="AU2636" s="483"/>
      <c r="AV2636" s="483"/>
      <c r="AW2636" s="483"/>
      <c r="AX2636" s="483"/>
      <c r="AY2636" s="270"/>
      <c r="AZ2636" s="270"/>
      <c r="BA2636" s="270" t="str">
        <f>IF(Table1[[#This Row],[Data de Início]]="","",YEAR(Table1[[#This Row],[Data de Início]]))</f>
        <v/>
      </c>
      <c r="BB2636" s="270" t="str">
        <f>IF(Table1[[#This Row],[Data de Início]]="","",MONTH(Table1[[#This Row],[Data de Início]]))</f>
        <v/>
      </c>
      <c r="BC2636" s="270"/>
    </row>
    <row r="2637" spans="2:55" x14ac:dyDescent="0.25">
      <c r="B2637" s="470"/>
      <c r="C2637" s="263"/>
      <c r="D2637" s="477" cm="1">
        <f t="array" ref="D2637">IFERROR(HorasUteisFabrica2Turnos(B2637,C2637), "")</f>
        <v>0</v>
      </c>
      <c r="E2637" s="697" t="str">
        <f t="shared" si="41"/>
        <v/>
      </c>
      <c r="F2637" s="266"/>
      <c r="G2637" s="698"/>
      <c r="H2637" s="266"/>
      <c r="I2637" s="268"/>
      <c r="J2637" s="268"/>
      <c r="K2637" s="268"/>
      <c r="L2637" s="269"/>
      <c r="M2637" s="510" t="str">
        <f>IFERROR(INDEX([1]Produtos!$C:$C,MATCH(L2637,[1]Produtos!$B:$B,0)), "-")</f>
        <v>-</v>
      </c>
      <c r="N2637" s="510" t="str">
        <f>IFERROR(INDEX([1]Produtos!$E:$E,MATCH(L2637,[1]Produtos!$B:$B,0)), "-")</f>
        <v>-</v>
      </c>
      <c r="O2637" s="270" t="str">
        <f>IFERROR(INDEX([1]Produtos!$F:$F,MATCH(L2637,[1]Produtos!$B:$B,0)), "-")</f>
        <v>-</v>
      </c>
      <c r="P2637" s="264" t="str">
        <f>IFERROR(INDEX([1]Produtos!$G:$G,MATCH(L2637,[1]Produtos!$B:$B,0)), "-")</f>
        <v>-</v>
      </c>
      <c r="Q2637" s="270" t="str">
        <f>IFERROR(INDEX([1]Produtos!$H:$H,MATCH(L2637,[1]Produtos!$B:$B,0)), "-")</f>
        <v>-</v>
      </c>
      <c r="R2637" s="270" t="str">
        <f>IFERROR(INDEX([1]Produtos!$I:$I,MATCH(L2637,[1]Produtos!$B:$B,0)), "-")</f>
        <v>-</v>
      </c>
      <c r="S2637" s="270" t="str">
        <f>IFERROR(INDEX([1]Produtos!$J:$J,MATCH(L2637,[1]Produtos!$B:$B,0)), "-")</f>
        <v>-</v>
      </c>
      <c r="T2637" s="475"/>
      <c r="U2637" s="270"/>
      <c r="V2637" s="270"/>
      <c r="W2637" s="270"/>
      <c r="X2637" s="270"/>
      <c r="Y2637" s="270"/>
      <c r="Z2637" s="270"/>
      <c r="AA2637" s="270"/>
      <c r="AB2637" s="270"/>
      <c r="AC2637" s="270"/>
      <c r="AD2637" s="270"/>
      <c r="AE2637" s="270"/>
      <c r="AF2637" s="270"/>
      <c r="AG2637" s="270"/>
      <c r="AH2637" s="270"/>
      <c r="AI2637" s="270"/>
      <c r="AJ2637" s="270"/>
      <c r="AK2637" s="270"/>
      <c r="AL2637" s="270"/>
      <c r="AM2637" s="663"/>
      <c r="AN2637" s="663"/>
      <c r="AO2637" s="708" t="str">
        <f>IF(OR(Table1[[#This Row],[Início Setup Envase]]="",Table1[[#This Row],[Final Setup Envase]]=""),"",Table1[[#This Row],[Final Setup Envase]]-Table1[[#This Row],[Início Setup Envase]])</f>
        <v/>
      </c>
      <c r="AP2637" s="663"/>
      <c r="AQ2637" s="663"/>
      <c r="AR2637" s="270"/>
      <c r="AS2637" s="674"/>
      <c r="AT2637" s="674"/>
      <c r="AU2637" s="270"/>
      <c r="AV2637" s="270"/>
      <c r="AW2637" s="270"/>
      <c r="AX2637" s="270"/>
      <c r="AY2637" s="270"/>
      <c r="AZ2637" s="270"/>
      <c r="BA2637" s="270" t="str">
        <f>IF(Table1[[#This Row],[Data de Início]]="","",YEAR(Table1[[#This Row],[Data de Início]]))</f>
        <v/>
      </c>
      <c r="BB2637" s="270" t="str">
        <f>IF(Table1[[#This Row],[Data de Início]]="","",MONTH(Table1[[#This Row],[Data de Início]]))</f>
        <v/>
      </c>
      <c r="BC2637" s="483"/>
    </row>
    <row r="2638" spans="2:55" x14ac:dyDescent="0.25">
      <c r="B2638" s="470"/>
      <c r="C2638" s="263"/>
      <c r="D2638" s="477" cm="1">
        <f t="array" ref="D2638">IFERROR(HorasUteisFabrica2Turnos(B2638,C2638), "")</f>
        <v>0</v>
      </c>
      <c r="E2638" s="478" t="str">
        <f t="shared" si="41"/>
        <v/>
      </c>
      <c r="F2638" s="266"/>
      <c r="G2638" s="656"/>
      <c r="H2638" s="479"/>
      <c r="I2638" s="268"/>
      <c r="J2638" s="268"/>
      <c r="K2638" s="268"/>
      <c r="L2638" s="269"/>
      <c r="M2638" s="511" t="str">
        <f>IFERROR(INDEX([1]Produtos!$C:$C,MATCH(L2638,[1]Produtos!$B:$B,0)), "-")</f>
        <v>-</v>
      </c>
      <c r="N2638" s="511" t="str">
        <f>IFERROR(INDEX([1]Produtos!$E:$E,MATCH(L2638,[1]Produtos!$B:$B,0)), "-")</f>
        <v>-</v>
      </c>
      <c r="O2638" s="483" t="str">
        <f>IFERROR(INDEX([1]Produtos!$F:$F,MATCH(L2638,[1]Produtos!$B:$B,0)), "-")</f>
        <v>-</v>
      </c>
      <c r="P2638" s="477" t="str">
        <f>IFERROR(INDEX([1]Produtos!$G:$G,MATCH(L2638,[1]Produtos!$B:$B,0)), "-")</f>
        <v>-</v>
      </c>
      <c r="Q2638" s="483" t="str">
        <f>IFERROR(INDEX([1]Produtos!$H:$H,MATCH(L2638,[1]Produtos!$B:$B,0)), "-")</f>
        <v>-</v>
      </c>
      <c r="R2638" s="483" t="str">
        <f>IFERROR(INDEX([1]Produtos!$I:$I,MATCH(L2638,[1]Produtos!$B:$B,0)), "-")</f>
        <v>-</v>
      </c>
      <c r="S2638" s="483" t="str">
        <f>IFERROR(INDEX([1]Produtos!$J:$J,MATCH(L2638,[1]Produtos!$B:$B,0)), "-")</f>
        <v>-</v>
      </c>
      <c r="T2638" s="484"/>
      <c r="U2638" s="483"/>
      <c r="V2638" s="483"/>
      <c r="W2638" s="483"/>
      <c r="X2638" s="483"/>
      <c r="Y2638" s="483"/>
      <c r="Z2638" s="483"/>
      <c r="AA2638" s="483"/>
      <c r="AB2638" s="483"/>
      <c r="AC2638" s="483"/>
      <c r="AD2638" s="483"/>
      <c r="AE2638" s="483"/>
      <c r="AF2638" s="483"/>
      <c r="AG2638" s="483"/>
      <c r="AH2638" s="483"/>
      <c r="AI2638" s="483"/>
      <c r="AJ2638" s="483"/>
      <c r="AK2638" s="483"/>
      <c r="AL2638" s="483"/>
      <c r="AM2638" s="670"/>
      <c r="AN2638" s="670"/>
      <c r="AO2638" s="711" t="str">
        <f>IF(OR(Table1[[#This Row],[Início Setup Envase]]="",Table1[[#This Row],[Final Setup Envase]]=""),"",Table1[[#This Row],[Final Setup Envase]]-Table1[[#This Row],[Início Setup Envase]])</f>
        <v/>
      </c>
      <c r="AP2638" s="670"/>
      <c r="AQ2638" s="670"/>
      <c r="AR2638" s="483"/>
      <c r="AS2638" s="483"/>
      <c r="AT2638" s="483"/>
      <c r="AU2638" s="483"/>
      <c r="AV2638" s="483"/>
      <c r="AW2638" s="483"/>
      <c r="AX2638" s="483"/>
      <c r="AY2638" s="270"/>
      <c r="AZ2638" s="270"/>
      <c r="BA2638" s="270" t="str">
        <f>IF(Table1[[#This Row],[Data de Início]]="","",YEAR(Table1[[#This Row],[Data de Início]]))</f>
        <v/>
      </c>
      <c r="BB2638" s="270" t="str">
        <f>IF(Table1[[#This Row],[Data de Início]]="","",MONTH(Table1[[#This Row],[Data de Início]]))</f>
        <v/>
      </c>
      <c r="BC2638" s="270"/>
    </row>
    <row r="2639" spans="2:55" x14ac:dyDescent="0.25">
      <c r="B2639" s="470"/>
      <c r="C2639" s="263"/>
      <c r="D2639" s="477" cm="1">
        <f t="array" ref="D2639">IFERROR(HorasUteisFabrica2Turnos(B2639,C2639), "")</f>
        <v>0</v>
      </c>
      <c r="E2639" s="697" t="str">
        <f t="shared" si="41"/>
        <v/>
      </c>
      <c r="F2639" s="266"/>
      <c r="G2639" s="698"/>
      <c r="H2639" s="266"/>
      <c r="I2639" s="268"/>
      <c r="J2639" s="268"/>
      <c r="K2639" s="268"/>
      <c r="L2639" s="269"/>
      <c r="M2639" s="510" t="str">
        <f>IFERROR(INDEX([1]Produtos!$C:$C,MATCH(L2639,[1]Produtos!$B:$B,0)), "-")</f>
        <v>-</v>
      </c>
      <c r="N2639" s="510" t="str">
        <f>IFERROR(INDEX([1]Produtos!$E:$E,MATCH(L2639,[1]Produtos!$B:$B,0)), "-")</f>
        <v>-</v>
      </c>
      <c r="O2639" s="270" t="str">
        <f>IFERROR(INDEX([1]Produtos!$F:$F,MATCH(L2639,[1]Produtos!$B:$B,0)), "-")</f>
        <v>-</v>
      </c>
      <c r="P2639" s="264" t="str">
        <f>IFERROR(INDEX([1]Produtos!$G:$G,MATCH(L2639,[1]Produtos!$B:$B,0)), "-")</f>
        <v>-</v>
      </c>
      <c r="Q2639" s="270" t="str">
        <f>IFERROR(INDEX([1]Produtos!$H:$H,MATCH(L2639,[1]Produtos!$B:$B,0)), "-")</f>
        <v>-</v>
      </c>
      <c r="R2639" s="270" t="str">
        <f>IFERROR(INDEX([1]Produtos!$I:$I,MATCH(L2639,[1]Produtos!$B:$B,0)), "-")</f>
        <v>-</v>
      </c>
      <c r="S2639" s="270" t="str">
        <f>IFERROR(INDEX([1]Produtos!$J:$J,MATCH(L2639,[1]Produtos!$B:$B,0)), "-")</f>
        <v>-</v>
      </c>
      <c r="T2639" s="475"/>
      <c r="U2639" s="270"/>
      <c r="V2639" s="270"/>
      <c r="W2639" s="270"/>
      <c r="X2639" s="270"/>
      <c r="Y2639" s="270"/>
      <c r="Z2639" s="270"/>
      <c r="AA2639" s="270"/>
      <c r="AB2639" s="270"/>
      <c r="AC2639" s="270"/>
      <c r="AD2639" s="270"/>
      <c r="AE2639" s="270"/>
      <c r="AF2639" s="270"/>
      <c r="AG2639" s="270"/>
      <c r="AH2639" s="270"/>
      <c r="AI2639" s="270"/>
      <c r="AJ2639" s="270"/>
      <c r="AK2639" s="270"/>
      <c r="AL2639" s="270"/>
      <c r="AM2639" s="663"/>
      <c r="AN2639" s="663"/>
      <c r="AO2639" s="708" t="str">
        <f>IF(OR(Table1[[#This Row],[Início Setup Envase]]="",Table1[[#This Row],[Final Setup Envase]]=""),"",Table1[[#This Row],[Final Setup Envase]]-Table1[[#This Row],[Início Setup Envase]])</f>
        <v/>
      </c>
      <c r="AP2639" s="663"/>
      <c r="AQ2639" s="663"/>
      <c r="AR2639" s="270"/>
      <c r="AS2639" s="674"/>
      <c r="AT2639" s="674"/>
      <c r="AU2639" s="270"/>
      <c r="AV2639" s="270"/>
      <c r="AW2639" s="270"/>
      <c r="AX2639" s="270"/>
      <c r="AY2639" s="270"/>
      <c r="AZ2639" s="270"/>
      <c r="BA2639" s="270" t="str">
        <f>IF(Table1[[#This Row],[Data de Início]]="","",YEAR(Table1[[#This Row],[Data de Início]]))</f>
        <v/>
      </c>
      <c r="BB2639" s="270" t="str">
        <f>IF(Table1[[#This Row],[Data de Início]]="","",MONTH(Table1[[#This Row],[Data de Início]]))</f>
        <v/>
      </c>
      <c r="BC2639" s="483"/>
    </row>
    <row r="2640" spans="2:55" x14ac:dyDescent="0.25">
      <c r="B2640" s="470"/>
      <c r="C2640" s="263"/>
      <c r="D2640" s="477" cm="1">
        <f t="array" ref="D2640">IFERROR(HorasUteisFabrica2Turnos(B2640,C2640), "")</f>
        <v>0</v>
      </c>
      <c r="E2640" s="478" t="str">
        <f t="shared" si="41"/>
        <v/>
      </c>
      <c r="F2640" s="266"/>
      <c r="G2640" s="656"/>
      <c r="H2640" s="479"/>
      <c r="I2640" s="268"/>
      <c r="J2640" s="268"/>
      <c r="K2640" s="268"/>
      <c r="L2640" s="269"/>
      <c r="M2640" s="511" t="str">
        <f>IFERROR(INDEX([1]Produtos!$C:$C,MATCH(L2640,[1]Produtos!$B:$B,0)), "-")</f>
        <v>-</v>
      </c>
      <c r="N2640" s="511" t="str">
        <f>IFERROR(INDEX([1]Produtos!$E:$E,MATCH(L2640,[1]Produtos!$B:$B,0)), "-")</f>
        <v>-</v>
      </c>
      <c r="O2640" s="483" t="str">
        <f>IFERROR(INDEX([1]Produtos!$F:$F,MATCH(L2640,[1]Produtos!$B:$B,0)), "-")</f>
        <v>-</v>
      </c>
      <c r="P2640" s="477" t="str">
        <f>IFERROR(INDEX([1]Produtos!$G:$G,MATCH(L2640,[1]Produtos!$B:$B,0)), "-")</f>
        <v>-</v>
      </c>
      <c r="Q2640" s="483" t="str">
        <f>IFERROR(INDEX([1]Produtos!$H:$H,MATCH(L2640,[1]Produtos!$B:$B,0)), "-")</f>
        <v>-</v>
      </c>
      <c r="R2640" s="483" t="str">
        <f>IFERROR(INDEX([1]Produtos!$I:$I,MATCH(L2640,[1]Produtos!$B:$B,0)), "-")</f>
        <v>-</v>
      </c>
      <c r="S2640" s="483" t="str">
        <f>IFERROR(INDEX([1]Produtos!$J:$J,MATCH(L2640,[1]Produtos!$B:$B,0)), "-")</f>
        <v>-</v>
      </c>
      <c r="T2640" s="484"/>
      <c r="U2640" s="483"/>
      <c r="V2640" s="483"/>
      <c r="W2640" s="483"/>
      <c r="X2640" s="483"/>
      <c r="Y2640" s="483"/>
      <c r="Z2640" s="483"/>
      <c r="AA2640" s="483"/>
      <c r="AB2640" s="483"/>
      <c r="AC2640" s="483"/>
      <c r="AD2640" s="483"/>
      <c r="AE2640" s="483"/>
      <c r="AF2640" s="483"/>
      <c r="AG2640" s="483"/>
      <c r="AH2640" s="483"/>
      <c r="AI2640" s="483"/>
      <c r="AJ2640" s="483"/>
      <c r="AK2640" s="483"/>
      <c r="AL2640" s="483"/>
      <c r="AM2640" s="670"/>
      <c r="AN2640" s="670"/>
      <c r="AO2640" s="711" t="str">
        <f>IF(OR(Table1[[#This Row],[Início Setup Envase]]="",Table1[[#This Row],[Final Setup Envase]]=""),"",Table1[[#This Row],[Final Setup Envase]]-Table1[[#This Row],[Início Setup Envase]])</f>
        <v/>
      </c>
      <c r="AP2640" s="670"/>
      <c r="AQ2640" s="670"/>
      <c r="AR2640" s="483"/>
      <c r="AS2640" s="483"/>
      <c r="AT2640" s="483"/>
      <c r="AU2640" s="483"/>
      <c r="AV2640" s="483"/>
      <c r="AW2640" s="483"/>
      <c r="AX2640" s="483"/>
      <c r="AY2640" s="270"/>
      <c r="AZ2640" s="270"/>
      <c r="BA2640" s="270" t="str">
        <f>IF(Table1[[#This Row],[Data de Início]]="","",YEAR(Table1[[#This Row],[Data de Início]]))</f>
        <v/>
      </c>
      <c r="BB2640" s="270" t="str">
        <f>IF(Table1[[#This Row],[Data de Início]]="","",MONTH(Table1[[#This Row],[Data de Início]]))</f>
        <v/>
      </c>
      <c r="BC2640" s="270"/>
    </row>
    <row r="2641" spans="2:55" x14ac:dyDescent="0.25">
      <c r="B2641" s="470"/>
      <c r="C2641" s="263"/>
      <c r="D2641" s="477" cm="1">
        <f t="array" ref="D2641">IFERROR(HorasUteisFabrica2Turnos(B2641,C2641), "")</f>
        <v>0</v>
      </c>
      <c r="E2641" s="697" t="str">
        <f t="shared" si="41"/>
        <v/>
      </c>
      <c r="F2641" s="266"/>
      <c r="G2641" s="698"/>
      <c r="H2641" s="266"/>
      <c r="I2641" s="268"/>
      <c r="J2641" s="268"/>
      <c r="K2641" s="268"/>
      <c r="L2641" s="269"/>
      <c r="M2641" s="510" t="str">
        <f>IFERROR(INDEX([1]Produtos!$C:$C,MATCH(L2641,[1]Produtos!$B:$B,0)), "-")</f>
        <v>-</v>
      </c>
      <c r="N2641" s="510" t="str">
        <f>IFERROR(INDEX([1]Produtos!$E:$E,MATCH(L2641,[1]Produtos!$B:$B,0)), "-")</f>
        <v>-</v>
      </c>
      <c r="O2641" s="270" t="str">
        <f>IFERROR(INDEX([1]Produtos!$F:$F,MATCH(L2641,[1]Produtos!$B:$B,0)), "-")</f>
        <v>-</v>
      </c>
      <c r="P2641" s="264" t="str">
        <f>IFERROR(INDEX([1]Produtos!$G:$G,MATCH(L2641,[1]Produtos!$B:$B,0)), "-")</f>
        <v>-</v>
      </c>
      <c r="Q2641" s="270" t="str">
        <f>IFERROR(INDEX([1]Produtos!$H:$H,MATCH(L2641,[1]Produtos!$B:$B,0)), "-")</f>
        <v>-</v>
      </c>
      <c r="R2641" s="270" t="str">
        <f>IFERROR(INDEX([1]Produtos!$I:$I,MATCH(L2641,[1]Produtos!$B:$B,0)), "-")</f>
        <v>-</v>
      </c>
      <c r="S2641" s="270" t="str">
        <f>IFERROR(INDEX([1]Produtos!$J:$J,MATCH(L2641,[1]Produtos!$B:$B,0)), "-")</f>
        <v>-</v>
      </c>
      <c r="T2641" s="475"/>
      <c r="U2641" s="270"/>
      <c r="V2641" s="270"/>
      <c r="W2641" s="270"/>
      <c r="X2641" s="270"/>
      <c r="Y2641" s="270"/>
      <c r="Z2641" s="270"/>
      <c r="AA2641" s="270"/>
      <c r="AB2641" s="270"/>
      <c r="AC2641" s="270"/>
      <c r="AD2641" s="270"/>
      <c r="AE2641" s="270"/>
      <c r="AF2641" s="270"/>
      <c r="AG2641" s="270"/>
      <c r="AH2641" s="270"/>
      <c r="AI2641" s="270"/>
      <c r="AJ2641" s="270"/>
      <c r="AK2641" s="270"/>
      <c r="AL2641" s="270"/>
      <c r="AM2641" s="663"/>
      <c r="AN2641" s="663"/>
      <c r="AO2641" s="708" t="str">
        <f>IF(OR(Table1[[#This Row],[Início Setup Envase]]="",Table1[[#This Row],[Final Setup Envase]]=""),"",Table1[[#This Row],[Final Setup Envase]]-Table1[[#This Row],[Início Setup Envase]])</f>
        <v/>
      </c>
      <c r="AP2641" s="663"/>
      <c r="AQ2641" s="663"/>
      <c r="AR2641" s="270"/>
      <c r="AS2641" s="674"/>
      <c r="AT2641" s="674"/>
      <c r="AU2641" s="270"/>
      <c r="AV2641" s="270"/>
      <c r="AW2641" s="270"/>
      <c r="AX2641" s="270"/>
      <c r="AY2641" s="270"/>
      <c r="AZ2641" s="270"/>
      <c r="BA2641" s="270" t="str">
        <f>IF(Table1[[#This Row],[Data de Início]]="","",YEAR(Table1[[#This Row],[Data de Início]]))</f>
        <v/>
      </c>
      <c r="BB2641" s="270" t="str">
        <f>IF(Table1[[#This Row],[Data de Início]]="","",MONTH(Table1[[#This Row],[Data de Início]]))</f>
        <v/>
      </c>
      <c r="BC2641" s="483"/>
    </row>
    <row r="2642" spans="2:55" x14ac:dyDescent="0.25">
      <c r="B2642" s="470"/>
      <c r="C2642" s="263"/>
      <c r="D2642" s="477" cm="1">
        <f t="array" ref="D2642">IFERROR(HorasUteisFabrica2Turnos(B2642,C2642), "")</f>
        <v>0</v>
      </c>
      <c r="E2642" s="478" t="str">
        <f t="shared" si="41"/>
        <v/>
      </c>
      <c r="F2642" s="266"/>
      <c r="G2642" s="656"/>
      <c r="H2642" s="479"/>
      <c r="I2642" s="268"/>
      <c r="J2642" s="268"/>
      <c r="K2642" s="268"/>
      <c r="L2642" s="269"/>
      <c r="M2642" s="511" t="str">
        <f>IFERROR(INDEX([1]Produtos!$C:$C,MATCH(L2642,[1]Produtos!$B:$B,0)), "-")</f>
        <v>-</v>
      </c>
      <c r="N2642" s="511" t="str">
        <f>IFERROR(INDEX([1]Produtos!$E:$E,MATCH(L2642,[1]Produtos!$B:$B,0)), "-")</f>
        <v>-</v>
      </c>
      <c r="O2642" s="483" t="str">
        <f>IFERROR(INDEX([1]Produtos!$F:$F,MATCH(L2642,[1]Produtos!$B:$B,0)), "-")</f>
        <v>-</v>
      </c>
      <c r="P2642" s="477" t="str">
        <f>IFERROR(INDEX([1]Produtos!$G:$G,MATCH(L2642,[1]Produtos!$B:$B,0)), "-")</f>
        <v>-</v>
      </c>
      <c r="Q2642" s="483" t="str">
        <f>IFERROR(INDEX([1]Produtos!$H:$H,MATCH(L2642,[1]Produtos!$B:$B,0)), "-")</f>
        <v>-</v>
      </c>
      <c r="R2642" s="483" t="str">
        <f>IFERROR(INDEX([1]Produtos!$I:$I,MATCH(L2642,[1]Produtos!$B:$B,0)), "-")</f>
        <v>-</v>
      </c>
      <c r="S2642" s="483" t="str">
        <f>IFERROR(INDEX([1]Produtos!$J:$J,MATCH(L2642,[1]Produtos!$B:$B,0)), "-")</f>
        <v>-</v>
      </c>
      <c r="T2642" s="484"/>
      <c r="U2642" s="483"/>
      <c r="V2642" s="483"/>
      <c r="W2642" s="483"/>
      <c r="X2642" s="483"/>
      <c r="Y2642" s="483"/>
      <c r="Z2642" s="483"/>
      <c r="AA2642" s="483"/>
      <c r="AB2642" s="483"/>
      <c r="AC2642" s="483"/>
      <c r="AD2642" s="483"/>
      <c r="AE2642" s="483"/>
      <c r="AF2642" s="483"/>
      <c r="AG2642" s="483"/>
      <c r="AH2642" s="483"/>
      <c r="AI2642" s="483"/>
      <c r="AJ2642" s="483"/>
      <c r="AK2642" s="483"/>
      <c r="AL2642" s="483"/>
      <c r="AM2642" s="670"/>
      <c r="AN2642" s="670"/>
      <c r="AO2642" s="711" t="str">
        <f>IF(OR(Table1[[#This Row],[Início Setup Envase]]="",Table1[[#This Row],[Final Setup Envase]]=""),"",Table1[[#This Row],[Final Setup Envase]]-Table1[[#This Row],[Início Setup Envase]])</f>
        <v/>
      </c>
      <c r="AP2642" s="670"/>
      <c r="AQ2642" s="670"/>
      <c r="AR2642" s="483"/>
      <c r="AS2642" s="483"/>
      <c r="AT2642" s="483"/>
      <c r="AU2642" s="483"/>
      <c r="AV2642" s="483"/>
      <c r="AW2642" s="483"/>
      <c r="AX2642" s="483"/>
      <c r="AY2642" s="270"/>
      <c r="AZ2642" s="270"/>
      <c r="BA2642" s="270" t="str">
        <f>IF(Table1[[#This Row],[Data de Início]]="","",YEAR(Table1[[#This Row],[Data de Início]]))</f>
        <v/>
      </c>
      <c r="BB2642" s="270" t="str">
        <f>IF(Table1[[#This Row],[Data de Início]]="","",MONTH(Table1[[#This Row],[Data de Início]]))</f>
        <v/>
      </c>
      <c r="BC2642" s="270"/>
    </row>
    <row r="2643" spans="2:55" x14ac:dyDescent="0.25">
      <c r="B2643" s="470"/>
      <c r="C2643" s="263"/>
      <c r="D2643" s="477" cm="1">
        <f t="array" ref="D2643">IFERROR(HorasUteisFabrica2Turnos(B2643,C2643), "")</f>
        <v>0</v>
      </c>
      <c r="E2643" s="697" t="str">
        <f t="shared" si="41"/>
        <v/>
      </c>
      <c r="F2643" s="266"/>
      <c r="G2643" s="698"/>
      <c r="H2643" s="266"/>
      <c r="I2643" s="268"/>
      <c r="J2643" s="268"/>
      <c r="K2643" s="268"/>
      <c r="L2643" s="269"/>
      <c r="M2643" s="510" t="str">
        <f>IFERROR(INDEX([1]Produtos!$C:$C,MATCH(L2643,[1]Produtos!$B:$B,0)), "-")</f>
        <v>-</v>
      </c>
      <c r="N2643" s="510" t="str">
        <f>IFERROR(INDEX([1]Produtos!$E:$E,MATCH(L2643,[1]Produtos!$B:$B,0)), "-")</f>
        <v>-</v>
      </c>
      <c r="O2643" s="270" t="str">
        <f>IFERROR(INDEX([1]Produtos!$F:$F,MATCH(L2643,[1]Produtos!$B:$B,0)), "-")</f>
        <v>-</v>
      </c>
      <c r="P2643" s="264" t="str">
        <f>IFERROR(INDEX([1]Produtos!$G:$G,MATCH(L2643,[1]Produtos!$B:$B,0)), "-")</f>
        <v>-</v>
      </c>
      <c r="Q2643" s="270" t="str">
        <f>IFERROR(INDEX([1]Produtos!$H:$H,MATCH(L2643,[1]Produtos!$B:$B,0)), "-")</f>
        <v>-</v>
      </c>
      <c r="R2643" s="270" t="str">
        <f>IFERROR(INDEX([1]Produtos!$I:$I,MATCH(L2643,[1]Produtos!$B:$B,0)), "-")</f>
        <v>-</v>
      </c>
      <c r="S2643" s="270" t="str">
        <f>IFERROR(INDEX([1]Produtos!$J:$J,MATCH(L2643,[1]Produtos!$B:$B,0)), "-")</f>
        <v>-</v>
      </c>
      <c r="T2643" s="475"/>
      <c r="U2643" s="270"/>
      <c r="V2643" s="270"/>
      <c r="W2643" s="270"/>
      <c r="X2643" s="270"/>
      <c r="Y2643" s="270"/>
      <c r="Z2643" s="270"/>
      <c r="AA2643" s="270"/>
      <c r="AB2643" s="270"/>
      <c r="AC2643" s="270"/>
      <c r="AD2643" s="270"/>
      <c r="AE2643" s="270"/>
      <c r="AF2643" s="270"/>
      <c r="AG2643" s="270"/>
      <c r="AH2643" s="270"/>
      <c r="AI2643" s="270"/>
      <c r="AJ2643" s="270"/>
      <c r="AK2643" s="270"/>
      <c r="AL2643" s="270"/>
      <c r="AM2643" s="663"/>
      <c r="AN2643" s="663"/>
      <c r="AO2643" s="708" t="str">
        <f>IF(OR(Table1[[#This Row],[Início Setup Envase]]="",Table1[[#This Row],[Final Setup Envase]]=""),"",Table1[[#This Row],[Final Setup Envase]]-Table1[[#This Row],[Início Setup Envase]])</f>
        <v/>
      </c>
      <c r="AP2643" s="663"/>
      <c r="AQ2643" s="663"/>
      <c r="AR2643" s="270"/>
      <c r="AS2643" s="674"/>
      <c r="AT2643" s="674"/>
      <c r="AU2643" s="270"/>
      <c r="AV2643" s="270"/>
      <c r="AW2643" s="270"/>
      <c r="AX2643" s="270"/>
      <c r="AY2643" s="270"/>
      <c r="AZ2643" s="270"/>
      <c r="BA2643" s="270" t="str">
        <f>IF(Table1[[#This Row],[Data de Início]]="","",YEAR(Table1[[#This Row],[Data de Início]]))</f>
        <v/>
      </c>
      <c r="BB2643" s="270" t="str">
        <f>IF(Table1[[#This Row],[Data de Início]]="","",MONTH(Table1[[#This Row],[Data de Início]]))</f>
        <v/>
      </c>
      <c r="BC2643" s="483"/>
    </row>
    <row r="2644" spans="2:55" x14ac:dyDescent="0.25">
      <c r="B2644" s="470"/>
      <c r="C2644" s="263"/>
      <c r="D2644" s="477" cm="1">
        <f t="array" ref="D2644">IFERROR(HorasUteisFabrica2Turnos(B2644,C2644), "")</f>
        <v>0</v>
      </c>
      <c r="E2644" s="478" t="str">
        <f t="shared" si="41"/>
        <v/>
      </c>
      <c r="F2644" s="266"/>
      <c r="G2644" s="656"/>
      <c r="H2644" s="479"/>
      <c r="I2644" s="268"/>
      <c r="J2644" s="268"/>
      <c r="K2644" s="268"/>
      <c r="L2644" s="269"/>
      <c r="M2644" s="511" t="str">
        <f>IFERROR(INDEX([1]Produtos!$C:$C,MATCH(L2644,[1]Produtos!$B:$B,0)), "-")</f>
        <v>-</v>
      </c>
      <c r="N2644" s="511" t="str">
        <f>IFERROR(INDEX([1]Produtos!$E:$E,MATCH(L2644,[1]Produtos!$B:$B,0)), "-")</f>
        <v>-</v>
      </c>
      <c r="O2644" s="483" t="str">
        <f>IFERROR(INDEX([1]Produtos!$F:$F,MATCH(L2644,[1]Produtos!$B:$B,0)), "-")</f>
        <v>-</v>
      </c>
      <c r="P2644" s="477" t="str">
        <f>IFERROR(INDEX([1]Produtos!$G:$G,MATCH(L2644,[1]Produtos!$B:$B,0)), "-")</f>
        <v>-</v>
      </c>
      <c r="Q2644" s="483" t="str">
        <f>IFERROR(INDEX([1]Produtos!$H:$H,MATCH(L2644,[1]Produtos!$B:$B,0)), "-")</f>
        <v>-</v>
      </c>
      <c r="R2644" s="483" t="str">
        <f>IFERROR(INDEX([1]Produtos!$I:$I,MATCH(L2644,[1]Produtos!$B:$B,0)), "-")</f>
        <v>-</v>
      </c>
      <c r="S2644" s="483" t="str">
        <f>IFERROR(INDEX([1]Produtos!$J:$J,MATCH(L2644,[1]Produtos!$B:$B,0)), "-")</f>
        <v>-</v>
      </c>
      <c r="T2644" s="484"/>
      <c r="U2644" s="483"/>
      <c r="V2644" s="483"/>
      <c r="W2644" s="483"/>
      <c r="X2644" s="483"/>
      <c r="Y2644" s="483"/>
      <c r="Z2644" s="483"/>
      <c r="AA2644" s="483"/>
      <c r="AB2644" s="483"/>
      <c r="AC2644" s="483"/>
      <c r="AD2644" s="483"/>
      <c r="AE2644" s="483"/>
      <c r="AF2644" s="483"/>
      <c r="AG2644" s="483"/>
      <c r="AH2644" s="483"/>
      <c r="AI2644" s="483"/>
      <c r="AJ2644" s="483"/>
      <c r="AK2644" s="483"/>
      <c r="AL2644" s="483"/>
      <c r="AM2644" s="670"/>
      <c r="AN2644" s="670"/>
      <c r="AO2644" s="711" t="str">
        <f>IF(OR(Table1[[#This Row],[Início Setup Envase]]="",Table1[[#This Row],[Final Setup Envase]]=""),"",Table1[[#This Row],[Final Setup Envase]]-Table1[[#This Row],[Início Setup Envase]])</f>
        <v/>
      </c>
      <c r="AP2644" s="670"/>
      <c r="AQ2644" s="670"/>
      <c r="AR2644" s="483"/>
      <c r="AS2644" s="483"/>
      <c r="AT2644" s="483"/>
      <c r="AU2644" s="483"/>
      <c r="AV2644" s="483"/>
      <c r="AW2644" s="483"/>
      <c r="AX2644" s="483"/>
      <c r="AY2644" s="270"/>
      <c r="AZ2644" s="270"/>
      <c r="BA2644" s="270" t="str">
        <f>IF(Table1[[#This Row],[Data de Início]]="","",YEAR(Table1[[#This Row],[Data de Início]]))</f>
        <v/>
      </c>
      <c r="BB2644" s="270" t="str">
        <f>IF(Table1[[#This Row],[Data de Início]]="","",MONTH(Table1[[#This Row],[Data de Início]]))</f>
        <v/>
      </c>
      <c r="BC2644" s="270"/>
    </row>
    <row r="2645" spans="2:55" x14ac:dyDescent="0.25">
      <c r="B2645" s="470"/>
      <c r="C2645" s="263"/>
      <c r="D2645" s="477" cm="1">
        <f t="array" ref="D2645">IFERROR(HorasUteisFabrica2Turnos(B2645,C2645), "")</f>
        <v>0</v>
      </c>
      <c r="E2645" s="697" t="str">
        <f t="shared" si="41"/>
        <v/>
      </c>
      <c r="F2645" s="266"/>
      <c r="G2645" s="698"/>
      <c r="H2645" s="266"/>
      <c r="I2645" s="268"/>
      <c r="J2645" s="268"/>
      <c r="K2645" s="268"/>
      <c r="L2645" s="269"/>
      <c r="M2645" s="510" t="str">
        <f>IFERROR(INDEX([1]Produtos!$C:$C,MATCH(L2645,[1]Produtos!$B:$B,0)), "-")</f>
        <v>-</v>
      </c>
      <c r="N2645" s="510" t="str">
        <f>IFERROR(INDEX([1]Produtos!$E:$E,MATCH(L2645,[1]Produtos!$B:$B,0)), "-")</f>
        <v>-</v>
      </c>
      <c r="O2645" s="270" t="str">
        <f>IFERROR(INDEX([1]Produtos!$F:$F,MATCH(L2645,[1]Produtos!$B:$B,0)), "-")</f>
        <v>-</v>
      </c>
      <c r="P2645" s="264" t="str">
        <f>IFERROR(INDEX([1]Produtos!$G:$G,MATCH(L2645,[1]Produtos!$B:$B,0)), "-")</f>
        <v>-</v>
      </c>
      <c r="Q2645" s="270" t="str">
        <f>IFERROR(INDEX([1]Produtos!$H:$H,MATCH(L2645,[1]Produtos!$B:$B,0)), "-")</f>
        <v>-</v>
      </c>
      <c r="R2645" s="270" t="str">
        <f>IFERROR(INDEX([1]Produtos!$I:$I,MATCH(L2645,[1]Produtos!$B:$B,0)), "-")</f>
        <v>-</v>
      </c>
      <c r="S2645" s="270" t="str">
        <f>IFERROR(INDEX([1]Produtos!$J:$J,MATCH(L2645,[1]Produtos!$B:$B,0)), "-")</f>
        <v>-</v>
      </c>
      <c r="T2645" s="475"/>
      <c r="U2645" s="270"/>
      <c r="V2645" s="270"/>
      <c r="W2645" s="270"/>
      <c r="X2645" s="270"/>
      <c r="Y2645" s="270"/>
      <c r="Z2645" s="270"/>
      <c r="AA2645" s="270"/>
      <c r="AB2645" s="270"/>
      <c r="AC2645" s="270"/>
      <c r="AD2645" s="270"/>
      <c r="AE2645" s="270"/>
      <c r="AF2645" s="270"/>
      <c r="AG2645" s="270"/>
      <c r="AH2645" s="270"/>
      <c r="AI2645" s="270"/>
      <c r="AJ2645" s="270"/>
      <c r="AK2645" s="270"/>
      <c r="AL2645" s="270"/>
      <c r="AM2645" s="663"/>
      <c r="AN2645" s="663"/>
      <c r="AO2645" s="708" t="str">
        <f>IF(OR(Table1[[#This Row],[Início Setup Envase]]="",Table1[[#This Row],[Final Setup Envase]]=""),"",Table1[[#This Row],[Final Setup Envase]]-Table1[[#This Row],[Início Setup Envase]])</f>
        <v/>
      </c>
      <c r="AP2645" s="663"/>
      <c r="AQ2645" s="663"/>
      <c r="AR2645" s="270"/>
      <c r="AS2645" s="674"/>
      <c r="AT2645" s="674"/>
      <c r="AU2645" s="270"/>
      <c r="AV2645" s="270"/>
      <c r="AW2645" s="270"/>
      <c r="AX2645" s="270"/>
      <c r="AY2645" s="270"/>
      <c r="AZ2645" s="270"/>
      <c r="BA2645" s="270" t="str">
        <f>IF(Table1[[#This Row],[Data de Início]]="","",YEAR(Table1[[#This Row],[Data de Início]]))</f>
        <v/>
      </c>
      <c r="BB2645" s="270" t="str">
        <f>IF(Table1[[#This Row],[Data de Início]]="","",MONTH(Table1[[#This Row],[Data de Início]]))</f>
        <v/>
      </c>
      <c r="BC2645" s="483"/>
    </row>
    <row r="2646" spans="2:55" x14ac:dyDescent="0.25">
      <c r="B2646" s="470"/>
      <c r="C2646" s="263"/>
      <c r="D2646" s="477" cm="1">
        <f t="array" ref="D2646">IFERROR(HorasUteisFabrica2Turnos(B2646,C2646), "")</f>
        <v>0</v>
      </c>
      <c r="E2646" s="478" t="str">
        <f t="shared" si="41"/>
        <v/>
      </c>
      <c r="F2646" s="266"/>
      <c r="G2646" s="656"/>
      <c r="H2646" s="479"/>
      <c r="I2646" s="268"/>
      <c r="J2646" s="268"/>
      <c r="K2646" s="268"/>
      <c r="L2646" s="269"/>
      <c r="M2646" s="511" t="str">
        <f>IFERROR(INDEX([1]Produtos!$C:$C,MATCH(L2646,[1]Produtos!$B:$B,0)), "-")</f>
        <v>-</v>
      </c>
      <c r="N2646" s="511" t="str">
        <f>IFERROR(INDEX([1]Produtos!$E:$E,MATCH(L2646,[1]Produtos!$B:$B,0)), "-")</f>
        <v>-</v>
      </c>
      <c r="O2646" s="483" t="str">
        <f>IFERROR(INDEX([1]Produtos!$F:$F,MATCH(L2646,[1]Produtos!$B:$B,0)), "-")</f>
        <v>-</v>
      </c>
      <c r="P2646" s="477" t="str">
        <f>IFERROR(INDEX([1]Produtos!$G:$G,MATCH(L2646,[1]Produtos!$B:$B,0)), "-")</f>
        <v>-</v>
      </c>
      <c r="Q2646" s="483" t="str">
        <f>IFERROR(INDEX([1]Produtos!$H:$H,MATCH(L2646,[1]Produtos!$B:$B,0)), "-")</f>
        <v>-</v>
      </c>
      <c r="R2646" s="483" t="str">
        <f>IFERROR(INDEX([1]Produtos!$I:$I,MATCH(L2646,[1]Produtos!$B:$B,0)), "-")</f>
        <v>-</v>
      </c>
      <c r="S2646" s="483" t="str">
        <f>IFERROR(INDEX([1]Produtos!$J:$J,MATCH(L2646,[1]Produtos!$B:$B,0)), "-")</f>
        <v>-</v>
      </c>
      <c r="T2646" s="484"/>
      <c r="U2646" s="483"/>
      <c r="V2646" s="483"/>
      <c r="W2646" s="483"/>
      <c r="X2646" s="483"/>
      <c r="Y2646" s="483"/>
      <c r="Z2646" s="483"/>
      <c r="AA2646" s="483"/>
      <c r="AB2646" s="483"/>
      <c r="AC2646" s="483"/>
      <c r="AD2646" s="483"/>
      <c r="AE2646" s="483"/>
      <c r="AF2646" s="483"/>
      <c r="AG2646" s="483"/>
      <c r="AH2646" s="483"/>
      <c r="AI2646" s="483"/>
      <c r="AJ2646" s="483"/>
      <c r="AK2646" s="483"/>
      <c r="AL2646" s="483"/>
      <c r="AM2646" s="670"/>
      <c r="AN2646" s="670"/>
      <c r="AO2646" s="711" t="str">
        <f>IF(OR(Table1[[#This Row],[Início Setup Envase]]="",Table1[[#This Row],[Final Setup Envase]]=""),"",Table1[[#This Row],[Final Setup Envase]]-Table1[[#This Row],[Início Setup Envase]])</f>
        <v/>
      </c>
      <c r="AP2646" s="670"/>
      <c r="AQ2646" s="670"/>
      <c r="AR2646" s="483"/>
      <c r="AS2646" s="483"/>
      <c r="AT2646" s="483"/>
      <c r="AU2646" s="483"/>
      <c r="AV2646" s="483"/>
      <c r="AW2646" s="483"/>
      <c r="AX2646" s="483"/>
      <c r="AY2646" s="270"/>
      <c r="AZ2646" s="270"/>
      <c r="BA2646" s="270" t="str">
        <f>IF(Table1[[#This Row],[Data de Início]]="","",YEAR(Table1[[#This Row],[Data de Início]]))</f>
        <v/>
      </c>
      <c r="BB2646" s="270" t="str">
        <f>IF(Table1[[#This Row],[Data de Início]]="","",MONTH(Table1[[#This Row],[Data de Início]]))</f>
        <v/>
      </c>
      <c r="BC2646" s="270"/>
    </row>
    <row r="2647" spans="2:55" x14ac:dyDescent="0.25">
      <c r="B2647" s="470"/>
      <c r="C2647" s="263"/>
      <c r="D2647" s="477" cm="1">
        <f t="array" ref="D2647">IFERROR(HorasUteisFabrica2Turnos(B2647,C2647), "")</f>
        <v>0</v>
      </c>
      <c r="E2647" s="697" t="str">
        <f t="shared" si="41"/>
        <v/>
      </c>
      <c r="F2647" s="266"/>
      <c r="G2647" s="698"/>
      <c r="H2647" s="266"/>
      <c r="I2647" s="268"/>
      <c r="J2647" s="268"/>
      <c r="K2647" s="268"/>
      <c r="L2647" s="269"/>
      <c r="M2647" s="510" t="str">
        <f>IFERROR(INDEX([1]Produtos!$C:$C,MATCH(L2647,[1]Produtos!$B:$B,0)), "-")</f>
        <v>-</v>
      </c>
      <c r="N2647" s="510" t="str">
        <f>IFERROR(INDEX([1]Produtos!$E:$E,MATCH(L2647,[1]Produtos!$B:$B,0)), "-")</f>
        <v>-</v>
      </c>
      <c r="O2647" s="270" t="str">
        <f>IFERROR(INDEX([1]Produtos!$F:$F,MATCH(L2647,[1]Produtos!$B:$B,0)), "-")</f>
        <v>-</v>
      </c>
      <c r="P2647" s="264" t="str">
        <f>IFERROR(INDEX([1]Produtos!$G:$G,MATCH(L2647,[1]Produtos!$B:$B,0)), "-")</f>
        <v>-</v>
      </c>
      <c r="Q2647" s="270" t="str">
        <f>IFERROR(INDEX([1]Produtos!$H:$H,MATCH(L2647,[1]Produtos!$B:$B,0)), "-")</f>
        <v>-</v>
      </c>
      <c r="R2647" s="270" t="str">
        <f>IFERROR(INDEX([1]Produtos!$I:$I,MATCH(L2647,[1]Produtos!$B:$B,0)), "-")</f>
        <v>-</v>
      </c>
      <c r="S2647" s="270" t="str">
        <f>IFERROR(INDEX([1]Produtos!$J:$J,MATCH(L2647,[1]Produtos!$B:$B,0)), "-")</f>
        <v>-</v>
      </c>
      <c r="T2647" s="475"/>
      <c r="U2647" s="270"/>
      <c r="V2647" s="270"/>
      <c r="W2647" s="270"/>
      <c r="X2647" s="270"/>
      <c r="Y2647" s="270"/>
      <c r="Z2647" s="270"/>
      <c r="AA2647" s="270"/>
      <c r="AB2647" s="270"/>
      <c r="AC2647" s="270"/>
      <c r="AD2647" s="270"/>
      <c r="AE2647" s="270"/>
      <c r="AF2647" s="270"/>
      <c r="AG2647" s="270"/>
      <c r="AH2647" s="270"/>
      <c r="AI2647" s="270"/>
      <c r="AJ2647" s="270"/>
      <c r="AK2647" s="270"/>
      <c r="AL2647" s="270"/>
      <c r="AM2647" s="663"/>
      <c r="AN2647" s="663"/>
      <c r="AO2647" s="708" t="str">
        <f>IF(OR(Table1[[#This Row],[Início Setup Envase]]="",Table1[[#This Row],[Final Setup Envase]]=""),"",Table1[[#This Row],[Final Setup Envase]]-Table1[[#This Row],[Início Setup Envase]])</f>
        <v/>
      </c>
      <c r="AP2647" s="663"/>
      <c r="AQ2647" s="663"/>
      <c r="AR2647" s="270"/>
      <c r="AS2647" s="674"/>
      <c r="AT2647" s="674"/>
      <c r="AU2647" s="270"/>
      <c r="AV2647" s="270"/>
      <c r="AW2647" s="270"/>
      <c r="AX2647" s="270"/>
      <c r="AY2647" s="270"/>
      <c r="AZ2647" s="270"/>
      <c r="BA2647" s="270" t="str">
        <f>IF(Table1[[#This Row],[Data de Início]]="","",YEAR(Table1[[#This Row],[Data de Início]]))</f>
        <v/>
      </c>
      <c r="BB2647" s="270" t="str">
        <f>IF(Table1[[#This Row],[Data de Início]]="","",MONTH(Table1[[#This Row],[Data de Início]]))</f>
        <v/>
      </c>
      <c r="BC2647" s="483"/>
    </row>
    <row r="2648" spans="2:55" x14ac:dyDescent="0.25">
      <c r="B2648" s="470"/>
      <c r="C2648" s="263"/>
      <c r="D2648" s="477" cm="1">
        <f t="array" ref="D2648">IFERROR(HorasUteisFabrica2Turnos(B2648,C2648), "")</f>
        <v>0</v>
      </c>
      <c r="E2648" s="478" t="str">
        <f t="shared" si="41"/>
        <v/>
      </c>
      <c r="F2648" s="266"/>
      <c r="G2648" s="656"/>
      <c r="H2648" s="479"/>
      <c r="I2648" s="268"/>
      <c r="J2648" s="268"/>
      <c r="K2648" s="268"/>
      <c r="L2648" s="269"/>
      <c r="M2648" s="511" t="str">
        <f>IFERROR(INDEX([1]Produtos!$C:$C,MATCH(L2648,[1]Produtos!$B:$B,0)), "-")</f>
        <v>-</v>
      </c>
      <c r="N2648" s="511" t="str">
        <f>IFERROR(INDEX([1]Produtos!$E:$E,MATCH(L2648,[1]Produtos!$B:$B,0)), "-")</f>
        <v>-</v>
      </c>
      <c r="O2648" s="483" t="str">
        <f>IFERROR(INDEX([1]Produtos!$F:$F,MATCH(L2648,[1]Produtos!$B:$B,0)), "-")</f>
        <v>-</v>
      </c>
      <c r="P2648" s="477" t="str">
        <f>IFERROR(INDEX([1]Produtos!$G:$G,MATCH(L2648,[1]Produtos!$B:$B,0)), "-")</f>
        <v>-</v>
      </c>
      <c r="Q2648" s="483" t="str">
        <f>IFERROR(INDEX([1]Produtos!$H:$H,MATCH(L2648,[1]Produtos!$B:$B,0)), "-")</f>
        <v>-</v>
      </c>
      <c r="R2648" s="483" t="str">
        <f>IFERROR(INDEX([1]Produtos!$I:$I,MATCH(L2648,[1]Produtos!$B:$B,0)), "-")</f>
        <v>-</v>
      </c>
      <c r="S2648" s="483" t="str">
        <f>IFERROR(INDEX([1]Produtos!$J:$J,MATCH(L2648,[1]Produtos!$B:$B,0)), "-")</f>
        <v>-</v>
      </c>
      <c r="T2648" s="484"/>
      <c r="U2648" s="483"/>
      <c r="V2648" s="483"/>
      <c r="W2648" s="483"/>
      <c r="X2648" s="483"/>
      <c r="Y2648" s="483"/>
      <c r="Z2648" s="483"/>
      <c r="AA2648" s="483"/>
      <c r="AB2648" s="483"/>
      <c r="AC2648" s="483"/>
      <c r="AD2648" s="483"/>
      <c r="AE2648" s="483"/>
      <c r="AF2648" s="483"/>
      <c r="AG2648" s="483"/>
      <c r="AH2648" s="483"/>
      <c r="AI2648" s="483"/>
      <c r="AJ2648" s="483"/>
      <c r="AK2648" s="483"/>
      <c r="AL2648" s="483"/>
      <c r="AM2648" s="670"/>
      <c r="AN2648" s="670"/>
      <c r="AO2648" s="711" t="str">
        <f>IF(OR(Table1[[#This Row],[Início Setup Envase]]="",Table1[[#This Row],[Final Setup Envase]]=""),"",Table1[[#This Row],[Final Setup Envase]]-Table1[[#This Row],[Início Setup Envase]])</f>
        <v/>
      </c>
      <c r="AP2648" s="670"/>
      <c r="AQ2648" s="670"/>
      <c r="AR2648" s="483"/>
      <c r="AS2648" s="483"/>
      <c r="AT2648" s="483"/>
      <c r="AU2648" s="483"/>
      <c r="AV2648" s="483"/>
      <c r="AW2648" s="483"/>
      <c r="AX2648" s="483"/>
      <c r="AY2648" s="270"/>
      <c r="AZ2648" s="270"/>
      <c r="BA2648" s="270" t="str">
        <f>IF(Table1[[#This Row],[Data de Início]]="","",YEAR(Table1[[#This Row],[Data de Início]]))</f>
        <v/>
      </c>
      <c r="BB2648" s="270" t="str">
        <f>IF(Table1[[#This Row],[Data de Início]]="","",MONTH(Table1[[#This Row],[Data de Início]]))</f>
        <v/>
      </c>
      <c r="BC2648" s="270"/>
    </row>
    <row r="2649" spans="2:55" x14ac:dyDescent="0.25">
      <c r="B2649" s="470"/>
      <c r="C2649" s="263"/>
      <c r="D2649" s="477" cm="1">
        <f t="array" ref="D2649">IFERROR(HorasUteisFabrica2Turnos(B2649,C2649), "")</f>
        <v>0</v>
      </c>
      <c r="E2649" s="697" t="str">
        <f t="shared" si="41"/>
        <v/>
      </c>
      <c r="F2649" s="266"/>
      <c r="G2649" s="698"/>
      <c r="H2649" s="266"/>
      <c r="I2649" s="268"/>
      <c r="J2649" s="268"/>
      <c r="K2649" s="268"/>
      <c r="L2649" s="269"/>
      <c r="M2649" s="510" t="str">
        <f>IFERROR(INDEX([1]Produtos!$C:$C,MATCH(L2649,[1]Produtos!$B:$B,0)), "-")</f>
        <v>-</v>
      </c>
      <c r="N2649" s="510" t="str">
        <f>IFERROR(INDEX([1]Produtos!$E:$E,MATCH(L2649,[1]Produtos!$B:$B,0)), "-")</f>
        <v>-</v>
      </c>
      <c r="O2649" s="270" t="str">
        <f>IFERROR(INDEX([1]Produtos!$F:$F,MATCH(L2649,[1]Produtos!$B:$B,0)), "-")</f>
        <v>-</v>
      </c>
      <c r="P2649" s="264" t="str">
        <f>IFERROR(INDEX([1]Produtos!$G:$G,MATCH(L2649,[1]Produtos!$B:$B,0)), "-")</f>
        <v>-</v>
      </c>
      <c r="Q2649" s="270" t="str">
        <f>IFERROR(INDEX([1]Produtos!$H:$H,MATCH(L2649,[1]Produtos!$B:$B,0)), "-")</f>
        <v>-</v>
      </c>
      <c r="R2649" s="270" t="str">
        <f>IFERROR(INDEX([1]Produtos!$I:$I,MATCH(L2649,[1]Produtos!$B:$B,0)), "-")</f>
        <v>-</v>
      </c>
      <c r="S2649" s="270" t="str">
        <f>IFERROR(INDEX([1]Produtos!$J:$J,MATCH(L2649,[1]Produtos!$B:$B,0)), "-")</f>
        <v>-</v>
      </c>
      <c r="T2649" s="475"/>
      <c r="U2649" s="270"/>
      <c r="V2649" s="270"/>
      <c r="W2649" s="270"/>
      <c r="X2649" s="270"/>
      <c r="Y2649" s="270"/>
      <c r="Z2649" s="270"/>
      <c r="AA2649" s="270"/>
      <c r="AB2649" s="270"/>
      <c r="AC2649" s="270"/>
      <c r="AD2649" s="270"/>
      <c r="AE2649" s="270"/>
      <c r="AF2649" s="270"/>
      <c r="AG2649" s="270"/>
      <c r="AH2649" s="270"/>
      <c r="AI2649" s="270"/>
      <c r="AJ2649" s="270"/>
      <c r="AK2649" s="270"/>
      <c r="AL2649" s="270"/>
      <c r="AM2649" s="663"/>
      <c r="AN2649" s="663"/>
      <c r="AO2649" s="708" t="str">
        <f>IF(OR(Table1[[#This Row],[Início Setup Envase]]="",Table1[[#This Row],[Final Setup Envase]]=""),"",Table1[[#This Row],[Final Setup Envase]]-Table1[[#This Row],[Início Setup Envase]])</f>
        <v/>
      </c>
      <c r="AP2649" s="663"/>
      <c r="AQ2649" s="663"/>
      <c r="AR2649" s="270"/>
      <c r="AS2649" s="674"/>
      <c r="AT2649" s="674"/>
      <c r="AU2649" s="270"/>
      <c r="AV2649" s="270"/>
      <c r="AW2649" s="270"/>
      <c r="AX2649" s="270"/>
      <c r="AY2649" s="270"/>
      <c r="AZ2649" s="270"/>
      <c r="BA2649" s="270" t="str">
        <f>IF(Table1[[#This Row],[Data de Início]]="","",YEAR(Table1[[#This Row],[Data de Início]]))</f>
        <v/>
      </c>
      <c r="BB2649" s="270" t="str">
        <f>IF(Table1[[#This Row],[Data de Início]]="","",MONTH(Table1[[#This Row],[Data de Início]]))</f>
        <v/>
      </c>
      <c r="BC2649" s="483"/>
    </row>
    <row r="2650" spans="2:55" x14ac:dyDescent="0.25">
      <c r="B2650" s="470"/>
      <c r="C2650" s="263"/>
      <c r="D2650" s="477" cm="1">
        <f t="array" ref="D2650">IFERROR(HorasUteisFabrica2Turnos(B2650,C2650), "")</f>
        <v>0</v>
      </c>
      <c r="E2650" s="478" t="str">
        <f t="shared" si="41"/>
        <v/>
      </c>
      <c r="F2650" s="266"/>
      <c r="G2650" s="656"/>
      <c r="H2650" s="479"/>
      <c r="I2650" s="268"/>
      <c r="J2650" s="268"/>
      <c r="K2650" s="268"/>
      <c r="L2650" s="269"/>
      <c r="M2650" s="511" t="str">
        <f>IFERROR(INDEX([1]Produtos!$C:$C,MATCH(L2650,[1]Produtos!$B:$B,0)), "-")</f>
        <v>-</v>
      </c>
      <c r="N2650" s="511" t="str">
        <f>IFERROR(INDEX([1]Produtos!$E:$E,MATCH(L2650,[1]Produtos!$B:$B,0)), "-")</f>
        <v>-</v>
      </c>
      <c r="O2650" s="483" t="str">
        <f>IFERROR(INDEX([1]Produtos!$F:$F,MATCH(L2650,[1]Produtos!$B:$B,0)), "-")</f>
        <v>-</v>
      </c>
      <c r="P2650" s="477" t="str">
        <f>IFERROR(INDEX([1]Produtos!$G:$G,MATCH(L2650,[1]Produtos!$B:$B,0)), "-")</f>
        <v>-</v>
      </c>
      <c r="Q2650" s="483" t="str">
        <f>IFERROR(INDEX([1]Produtos!$H:$H,MATCH(L2650,[1]Produtos!$B:$B,0)), "-")</f>
        <v>-</v>
      </c>
      <c r="R2650" s="483" t="str">
        <f>IFERROR(INDEX([1]Produtos!$I:$I,MATCH(L2650,[1]Produtos!$B:$B,0)), "-")</f>
        <v>-</v>
      </c>
      <c r="S2650" s="483" t="str">
        <f>IFERROR(INDEX([1]Produtos!$J:$J,MATCH(L2650,[1]Produtos!$B:$B,0)), "-")</f>
        <v>-</v>
      </c>
      <c r="T2650" s="484"/>
      <c r="U2650" s="483"/>
      <c r="V2650" s="483"/>
      <c r="W2650" s="483"/>
      <c r="X2650" s="483"/>
      <c r="Y2650" s="483"/>
      <c r="Z2650" s="483"/>
      <c r="AA2650" s="483"/>
      <c r="AB2650" s="483"/>
      <c r="AC2650" s="483"/>
      <c r="AD2650" s="483"/>
      <c r="AE2650" s="483"/>
      <c r="AF2650" s="483"/>
      <c r="AG2650" s="483"/>
      <c r="AH2650" s="483"/>
      <c r="AI2650" s="483"/>
      <c r="AJ2650" s="483"/>
      <c r="AK2650" s="483"/>
      <c r="AL2650" s="483"/>
      <c r="AM2650" s="670"/>
      <c r="AN2650" s="670"/>
      <c r="AO2650" s="711" t="str">
        <f>IF(OR(Table1[[#This Row],[Início Setup Envase]]="",Table1[[#This Row],[Final Setup Envase]]=""),"",Table1[[#This Row],[Final Setup Envase]]-Table1[[#This Row],[Início Setup Envase]])</f>
        <v/>
      </c>
      <c r="AP2650" s="670"/>
      <c r="AQ2650" s="670"/>
      <c r="AR2650" s="483"/>
      <c r="AS2650" s="483"/>
      <c r="AT2650" s="483"/>
      <c r="AU2650" s="483"/>
      <c r="AV2650" s="483"/>
      <c r="AW2650" s="483"/>
      <c r="AX2650" s="483"/>
      <c r="AY2650" s="270"/>
      <c r="AZ2650" s="270"/>
      <c r="BA2650" s="270" t="str">
        <f>IF(Table1[[#This Row],[Data de Início]]="","",YEAR(Table1[[#This Row],[Data de Início]]))</f>
        <v/>
      </c>
      <c r="BB2650" s="270" t="str">
        <f>IF(Table1[[#This Row],[Data de Início]]="","",MONTH(Table1[[#This Row],[Data de Início]]))</f>
        <v/>
      </c>
      <c r="BC2650" s="270"/>
    </row>
    <row r="2651" spans="2:55" x14ac:dyDescent="0.25">
      <c r="B2651" s="470"/>
      <c r="C2651" s="263"/>
      <c r="D2651" s="477" cm="1">
        <f t="array" ref="D2651">IFERROR(HorasUteisFabrica2Turnos(B2651,C2651), "")</f>
        <v>0</v>
      </c>
      <c r="E2651" s="697" t="str">
        <f t="shared" si="41"/>
        <v/>
      </c>
      <c r="F2651" s="266"/>
      <c r="G2651" s="698"/>
      <c r="H2651" s="266"/>
      <c r="I2651" s="268"/>
      <c r="J2651" s="268"/>
      <c r="K2651" s="268"/>
      <c r="L2651" s="269"/>
      <c r="M2651" s="510" t="str">
        <f>IFERROR(INDEX([1]Produtos!$C:$C,MATCH(L2651,[1]Produtos!$B:$B,0)), "-")</f>
        <v>-</v>
      </c>
      <c r="N2651" s="510" t="str">
        <f>IFERROR(INDEX([1]Produtos!$E:$E,MATCH(L2651,[1]Produtos!$B:$B,0)), "-")</f>
        <v>-</v>
      </c>
      <c r="O2651" s="270" t="str">
        <f>IFERROR(INDEX([1]Produtos!$F:$F,MATCH(L2651,[1]Produtos!$B:$B,0)), "-")</f>
        <v>-</v>
      </c>
      <c r="P2651" s="264" t="str">
        <f>IFERROR(INDEX([1]Produtos!$G:$G,MATCH(L2651,[1]Produtos!$B:$B,0)), "-")</f>
        <v>-</v>
      </c>
      <c r="Q2651" s="270" t="str">
        <f>IFERROR(INDEX([1]Produtos!$H:$H,MATCH(L2651,[1]Produtos!$B:$B,0)), "-")</f>
        <v>-</v>
      </c>
      <c r="R2651" s="270" t="str">
        <f>IFERROR(INDEX([1]Produtos!$I:$I,MATCH(L2651,[1]Produtos!$B:$B,0)), "-")</f>
        <v>-</v>
      </c>
      <c r="S2651" s="270" t="str">
        <f>IFERROR(INDEX([1]Produtos!$J:$J,MATCH(L2651,[1]Produtos!$B:$B,0)), "-")</f>
        <v>-</v>
      </c>
      <c r="T2651" s="475"/>
      <c r="U2651" s="270"/>
      <c r="V2651" s="270"/>
      <c r="W2651" s="270"/>
      <c r="X2651" s="270"/>
      <c r="Y2651" s="270"/>
      <c r="Z2651" s="270"/>
      <c r="AA2651" s="270"/>
      <c r="AB2651" s="270"/>
      <c r="AC2651" s="270"/>
      <c r="AD2651" s="270"/>
      <c r="AE2651" s="270"/>
      <c r="AF2651" s="270"/>
      <c r="AG2651" s="270"/>
      <c r="AH2651" s="270"/>
      <c r="AI2651" s="270"/>
      <c r="AJ2651" s="270"/>
      <c r="AK2651" s="270"/>
      <c r="AL2651" s="270"/>
      <c r="AM2651" s="663"/>
      <c r="AN2651" s="663"/>
      <c r="AO2651" s="708" t="str">
        <f>IF(OR(Table1[[#This Row],[Início Setup Envase]]="",Table1[[#This Row],[Final Setup Envase]]=""),"",Table1[[#This Row],[Final Setup Envase]]-Table1[[#This Row],[Início Setup Envase]])</f>
        <v/>
      </c>
      <c r="AP2651" s="663"/>
      <c r="AQ2651" s="663"/>
      <c r="AR2651" s="270"/>
      <c r="AS2651" s="674"/>
      <c r="AT2651" s="674"/>
      <c r="AU2651" s="270"/>
      <c r="AV2651" s="270"/>
      <c r="AW2651" s="270"/>
      <c r="AX2651" s="270"/>
      <c r="AY2651" s="270"/>
      <c r="AZ2651" s="270"/>
      <c r="BA2651" s="270" t="str">
        <f>IF(Table1[[#This Row],[Data de Início]]="","",YEAR(Table1[[#This Row],[Data de Início]]))</f>
        <v/>
      </c>
      <c r="BB2651" s="270" t="str">
        <f>IF(Table1[[#This Row],[Data de Início]]="","",MONTH(Table1[[#This Row],[Data de Início]]))</f>
        <v/>
      </c>
      <c r="BC2651" s="483"/>
    </row>
    <row r="2652" spans="2:55" x14ac:dyDescent="0.25">
      <c r="B2652" s="470"/>
      <c r="C2652" s="263"/>
      <c r="D2652" s="477" cm="1">
        <f t="array" ref="D2652">IFERROR(HorasUteisFabrica2Turnos(B2652,C2652), "")</f>
        <v>0</v>
      </c>
      <c r="E2652" s="478" t="str">
        <f t="shared" si="41"/>
        <v/>
      </c>
      <c r="F2652" s="266"/>
      <c r="G2652" s="656"/>
      <c r="H2652" s="479"/>
      <c r="I2652" s="268"/>
      <c r="J2652" s="268"/>
      <c r="K2652" s="268"/>
      <c r="L2652" s="269"/>
      <c r="M2652" s="511" t="str">
        <f>IFERROR(INDEX([1]Produtos!$C:$C,MATCH(L2652,[1]Produtos!$B:$B,0)), "-")</f>
        <v>-</v>
      </c>
      <c r="N2652" s="511" t="str">
        <f>IFERROR(INDEX([1]Produtos!$E:$E,MATCH(L2652,[1]Produtos!$B:$B,0)), "-")</f>
        <v>-</v>
      </c>
      <c r="O2652" s="483" t="str">
        <f>IFERROR(INDEX([1]Produtos!$F:$F,MATCH(L2652,[1]Produtos!$B:$B,0)), "-")</f>
        <v>-</v>
      </c>
      <c r="P2652" s="477" t="str">
        <f>IFERROR(INDEX([1]Produtos!$G:$G,MATCH(L2652,[1]Produtos!$B:$B,0)), "-")</f>
        <v>-</v>
      </c>
      <c r="Q2652" s="483" t="str">
        <f>IFERROR(INDEX([1]Produtos!$H:$H,MATCH(L2652,[1]Produtos!$B:$B,0)), "-")</f>
        <v>-</v>
      </c>
      <c r="R2652" s="483" t="str">
        <f>IFERROR(INDEX([1]Produtos!$I:$I,MATCH(L2652,[1]Produtos!$B:$B,0)), "-")</f>
        <v>-</v>
      </c>
      <c r="S2652" s="483" t="str">
        <f>IFERROR(INDEX([1]Produtos!$J:$J,MATCH(L2652,[1]Produtos!$B:$B,0)), "-")</f>
        <v>-</v>
      </c>
      <c r="T2652" s="484"/>
      <c r="U2652" s="483"/>
      <c r="V2652" s="483"/>
      <c r="W2652" s="483"/>
      <c r="X2652" s="483"/>
      <c r="Y2652" s="483"/>
      <c r="Z2652" s="483"/>
      <c r="AA2652" s="483"/>
      <c r="AB2652" s="483"/>
      <c r="AC2652" s="483"/>
      <c r="AD2652" s="483"/>
      <c r="AE2652" s="483"/>
      <c r="AF2652" s="483"/>
      <c r="AG2652" s="483"/>
      <c r="AH2652" s="483"/>
      <c r="AI2652" s="483"/>
      <c r="AJ2652" s="483"/>
      <c r="AK2652" s="483"/>
      <c r="AL2652" s="483"/>
      <c r="AM2652" s="670"/>
      <c r="AN2652" s="670"/>
      <c r="AO2652" s="711" t="str">
        <f>IF(OR(Table1[[#This Row],[Início Setup Envase]]="",Table1[[#This Row],[Final Setup Envase]]=""),"",Table1[[#This Row],[Final Setup Envase]]-Table1[[#This Row],[Início Setup Envase]])</f>
        <v/>
      </c>
      <c r="AP2652" s="670"/>
      <c r="AQ2652" s="670"/>
      <c r="AR2652" s="483"/>
      <c r="AS2652" s="483"/>
      <c r="AT2652" s="483"/>
      <c r="AU2652" s="483"/>
      <c r="AV2652" s="483"/>
      <c r="AW2652" s="483"/>
      <c r="AX2652" s="483"/>
      <c r="AY2652" s="270"/>
      <c r="AZ2652" s="270"/>
      <c r="BA2652" s="270" t="str">
        <f>IF(Table1[[#This Row],[Data de Início]]="","",YEAR(Table1[[#This Row],[Data de Início]]))</f>
        <v/>
      </c>
      <c r="BB2652" s="270" t="str">
        <f>IF(Table1[[#This Row],[Data de Início]]="","",MONTH(Table1[[#This Row],[Data de Início]]))</f>
        <v/>
      </c>
      <c r="BC2652" s="270"/>
    </row>
    <row r="2653" spans="2:55" x14ac:dyDescent="0.25">
      <c r="B2653" s="470"/>
      <c r="C2653" s="263"/>
      <c r="D2653" s="477" cm="1">
        <f t="array" ref="D2653">IFERROR(HorasUteisFabrica2Turnos(B2653,C2653), "")</f>
        <v>0</v>
      </c>
      <c r="E2653" s="697" t="str">
        <f t="shared" si="41"/>
        <v/>
      </c>
      <c r="F2653" s="266"/>
      <c r="G2653" s="698"/>
      <c r="H2653" s="266"/>
      <c r="I2653" s="268"/>
      <c r="J2653" s="268"/>
      <c r="K2653" s="268"/>
      <c r="L2653" s="269"/>
      <c r="M2653" s="510" t="str">
        <f>IFERROR(INDEX([1]Produtos!$C:$C,MATCH(L2653,[1]Produtos!$B:$B,0)), "-")</f>
        <v>-</v>
      </c>
      <c r="N2653" s="510" t="str">
        <f>IFERROR(INDEX([1]Produtos!$E:$E,MATCH(L2653,[1]Produtos!$B:$B,0)), "-")</f>
        <v>-</v>
      </c>
      <c r="O2653" s="270" t="str">
        <f>IFERROR(INDEX([1]Produtos!$F:$F,MATCH(L2653,[1]Produtos!$B:$B,0)), "-")</f>
        <v>-</v>
      </c>
      <c r="P2653" s="264" t="str">
        <f>IFERROR(INDEX([1]Produtos!$G:$G,MATCH(L2653,[1]Produtos!$B:$B,0)), "-")</f>
        <v>-</v>
      </c>
      <c r="Q2653" s="270" t="str">
        <f>IFERROR(INDEX([1]Produtos!$H:$H,MATCH(L2653,[1]Produtos!$B:$B,0)), "-")</f>
        <v>-</v>
      </c>
      <c r="R2653" s="270" t="str">
        <f>IFERROR(INDEX([1]Produtos!$I:$I,MATCH(L2653,[1]Produtos!$B:$B,0)), "-")</f>
        <v>-</v>
      </c>
      <c r="S2653" s="270" t="str">
        <f>IFERROR(INDEX([1]Produtos!$J:$J,MATCH(L2653,[1]Produtos!$B:$B,0)), "-")</f>
        <v>-</v>
      </c>
      <c r="T2653" s="475"/>
      <c r="U2653" s="270"/>
      <c r="V2653" s="270"/>
      <c r="W2653" s="270"/>
      <c r="X2653" s="270"/>
      <c r="Y2653" s="270"/>
      <c r="Z2653" s="270"/>
      <c r="AA2653" s="270"/>
      <c r="AB2653" s="270"/>
      <c r="AC2653" s="270"/>
      <c r="AD2653" s="270"/>
      <c r="AE2653" s="270"/>
      <c r="AF2653" s="270"/>
      <c r="AG2653" s="270"/>
      <c r="AH2653" s="270"/>
      <c r="AI2653" s="270"/>
      <c r="AJ2653" s="270"/>
      <c r="AK2653" s="270"/>
      <c r="AL2653" s="270"/>
      <c r="AM2653" s="663"/>
      <c r="AN2653" s="663"/>
      <c r="AO2653" s="708" t="str">
        <f>IF(OR(Table1[[#This Row],[Início Setup Envase]]="",Table1[[#This Row],[Final Setup Envase]]=""),"",Table1[[#This Row],[Final Setup Envase]]-Table1[[#This Row],[Início Setup Envase]])</f>
        <v/>
      </c>
      <c r="AP2653" s="663"/>
      <c r="AQ2653" s="663"/>
      <c r="AR2653" s="270"/>
      <c r="AS2653" s="674"/>
      <c r="AT2653" s="674"/>
      <c r="AU2653" s="270"/>
      <c r="AV2653" s="270"/>
      <c r="AW2653" s="270"/>
      <c r="AX2653" s="270"/>
      <c r="AY2653" s="270"/>
      <c r="AZ2653" s="270"/>
      <c r="BA2653" s="270" t="str">
        <f>IF(Table1[[#This Row],[Data de Início]]="","",YEAR(Table1[[#This Row],[Data de Início]]))</f>
        <v/>
      </c>
      <c r="BB2653" s="270" t="str">
        <f>IF(Table1[[#This Row],[Data de Início]]="","",MONTH(Table1[[#This Row],[Data de Início]]))</f>
        <v/>
      </c>
      <c r="BC2653" s="483"/>
    </row>
    <row r="2654" spans="2:55" x14ac:dyDescent="0.25">
      <c r="B2654" s="470"/>
      <c r="C2654" s="263"/>
      <c r="D2654" s="477" cm="1">
        <f t="array" ref="D2654">IFERROR(HorasUteisFabrica2Turnos(B2654,C2654), "")</f>
        <v>0</v>
      </c>
      <c r="E2654" s="478" t="str">
        <f t="shared" si="41"/>
        <v/>
      </c>
      <c r="F2654" s="266"/>
      <c r="G2654" s="656"/>
      <c r="H2654" s="479"/>
      <c r="I2654" s="268"/>
      <c r="J2654" s="268"/>
      <c r="K2654" s="268"/>
      <c r="L2654" s="269"/>
      <c r="M2654" s="511" t="str">
        <f>IFERROR(INDEX([1]Produtos!$C:$C,MATCH(L2654,[1]Produtos!$B:$B,0)), "-")</f>
        <v>-</v>
      </c>
      <c r="N2654" s="511" t="str">
        <f>IFERROR(INDEX([1]Produtos!$E:$E,MATCH(L2654,[1]Produtos!$B:$B,0)), "-")</f>
        <v>-</v>
      </c>
      <c r="O2654" s="483" t="str">
        <f>IFERROR(INDEX([1]Produtos!$F:$F,MATCH(L2654,[1]Produtos!$B:$B,0)), "-")</f>
        <v>-</v>
      </c>
      <c r="P2654" s="477" t="str">
        <f>IFERROR(INDEX([1]Produtos!$G:$G,MATCH(L2654,[1]Produtos!$B:$B,0)), "-")</f>
        <v>-</v>
      </c>
      <c r="Q2654" s="483" t="str">
        <f>IFERROR(INDEX([1]Produtos!$H:$H,MATCH(L2654,[1]Produtos!$B:$B,0)), "-")</f>
        <v>-</v>
      </c>
      <c r="R2654" s="483" t="str">
        <f>IFERROR(INDEX([1]Produtos!$I:$I,MATCH(L2654,[1]Produtos!$B:$B,0)), "-")</f>
        <v>-</v>
      </c>
      <c r="S2654" s="483" t="str">
        <f>IFERROR(INDEX([1]Produtos!$J:$J,MATCH(L2654,[1]Produtos!$B:$B,0)), "-")</f>
        <v>-</v>
      </c>
      <c r="T2654" s="484"/>
      <c r="U2654" s="483"/>
      <c r="V2654" s="483"/>
      <c r="W2654" s="483"/>
      <c r="X2654" s="483"/>
      <c r="Y2654" s="483"/>
      <c r="Z2654" s="483"/>
      <c r="AA2654" s="483"/>
      <c r="AB2654" s="483"/>
      <c r="AC2654" s="483"/>
      <c r="AD2654" s="483"/>
      <c r="AE2654" s="483"/>
      <c r="AF2654" s="483"/>
      <c r="AG2654" s="483"/>
      <c r="AH2654" s="483"/>
      <c r="AI2654" s="483"/>
      <c r="AJ2654" s="483"/>
      <c r="AK2654" s="483"/>
      <c r="AL2654" s="483"/>
      <c r="AM2654" s="670"/>
      <c r="AN2654" s="670"/>
      <c r="AO2654" s="711" t="str">
        <f>IF(OR(Table1[[#This Row],[Início Setup Envase]]="",Table1[[#This Row],[Final Setup Envase]]=""),"",Table1[[#This Row],[Final Setup Envase]]-Table1[[#This Row],[Início Setup Envase]])</f>
        <v/>
      </c>
      <c r="AP2654" s="670"/>
      <c r="AQ2654" s="670"/>
      <c r="AR2654" s="483"/>
      <c r="AS2654" s="483"/>
      <c r="AT2654" s="483"/>
      <c r="AU2654" s="483"/>
      <c r="AV2654" s="483"/>
      <c r="AW2654" s="483"/>
      <c r="AX2654" s="483"/>
      <c r="AY2654" s="270"/>
      <c r="AZ2654" s="270"/>
      <c r="BA2654" s="270" t="str">
        <f>IF(Table1[[#This Row],[Data de Início]]="","",YEAR(Table1[[#This Row],[Data de Início]]))</f>
        <v/>
      </c>
      <c r="BB2654" s="270" t="str">
        <f>IF(Table1[[#This Row],[Data de Início]]="","",MONTH(Table1[[#This Row],[Data de Início]]))</f>
        <v/>
      </c>
      <c r="BC2654" s="270"/>
    </row>
    <row r="2655" spans="2:55" x14ac:dyDescent="0.25">
      <c r="B2655" s="470"/>
      <c r="C2655" s="263"/>
      <c r="D2655" s="477" cm="1">
        <f t="array" ref="D2655">IFERROR(HorasUteisFabrica2Turnos(B2655,C2655), "")</f>
        <v>0</v>
      </c>
      <c r="E2655" s="697" t="str">
        <f t="shared" si="41"/>
        <v/>
      </c>
      <c r="F2655" s="266"/>
      <c r="G2655" s="698"/>
      <c r="H2655" s="266"/>
      <c r="I2655" s="268"/>
      <c r="J2655" s="268"/>
      <c r="K2655" s="268"/>
      <c r="L2655" s="269"/>
      <c r="M2655" s="510" t="str">
        <f>IFERROR(INDEX([1]Produtos!$C:$C,MATCH(L2655,[1]Produtos!$B:$B,0)), "-")</f>
        <v>-</v>
      </c>
      <c r="N2655" s="510" t="str">
        <f>IFERROR(INDEX([1]Produtos!$E:$E,MATCH(L2655,[1]Produtos!$B:$B,0)), "-")</f>
        <v>-</v>
      </c>
      <c r="O2655" s="270" t="str">
        <f>IFERROR(INDEX([1]Produtos!$F:$F,MATCH(L2655,[1]Produtos!$B:$B,0)), "-")</f>
        <v>-</v>
      </c>
      <c r="P2655" s="264" t="str">
        <f>IFERROR(INDEX([1]Produtos!$G:$G,MATCH(L2655,[1]Produtos!$B:$B,0)), "-")</f>
        <v>-</v>
      </c>
      <c r="Q2655" s="270" t="str">
        <f>IFERROR(INDEX([1]Produtos!$H:$H,MATCH(L2655,[1]Produtos!$B:$B,0)), "-")</f>
        <v>-</v>
      </c>
      <c r="R2655" s="270" t="str">
        <f>IFERROR(INDEX([1]Produtos!$I:$I,MATCH(L2655,[1]Produtos!$B:$B,0)), "-")</f>
        <v>-</v>
      </c>
      <c r="S2655" s="270" t="str">
        <f>IFERROR(INDEX([1]Produtos!$J:$J,MATCH(L2655,[1]Produtos!$B:$B,0)), "-")</f>
        <v>-</v>
      </c>
      <c r="T2655" s="475"/>
      <c r="U2655" s="270"/>
      <c r="V2655" s="270"/>
      <c r="W2655" s="270"/>
      <c r="X2655" s="270"/>
      <c r="Y2655" s="270"/>
      <c r="Z2655" s="270"/>
      <c r="AA2655" s="270"/>
      <c r="AB2655" s="270"/>
      <c r="AC2655" s="270"/>
      <c r="AD2655" s="270"/>
      <c r="AE2655" s="270"/>
      <c r="AF2655" s="270"/>
      <c r="AG2655" s="270"/>
      <c r="AH2655" s="270"/>
      <c r="AI2655" s="270"/>
      <c r="AJ2655" s="270"/>
      <c r="AK2655" s="270"/>
      <c r="AL2655" s="270"/>
      <c r="AM2655" s="663"/>
      <c r="AN2655" s="663"/>
      <c r="AO2655" s="708" t="str">
        <f>IF(OR(Table1[[#This Row],[Início Setup Envase]]="",Table1[[#This Row],[Final Setup Envase]]=""),"",Table1[[#This Row],[Final Setup Envase]]-Table1[[#This Row],[Início Setup Envase]])</f>
        <v/>
      </c>
      <c r="AP2655" s="663"/>
      <c r="AQ2655" s="663"/>
      <c r="AR2655" s="270"/>
      <c r="AS2655" s="674"/>
      <c r="AT2655" s="674"/>
      <c r="AU2655" s="270"/>
      <c r="AV2655" s="270"/>
      <c r="AW2655" s="270"/>
      <c r="AX2655" s="270"/>
      <c r="AY2655" s="270"/>
      <c r="AZ2655" s="270"/>
      <c r="BA2655" s="270" t="str">
        <f>IF(Table1[[#This Row],[Data de Início]]="","",YEAR(Table1[[#This Row],[Data de Início]]))</f>
        <v/>
      </c>
      <c r="BB2655" s="270" t="str">
        <f>IF(Table1[[#This Row],[Data de Início]]="","",MONTH(Table1[[#This Row],[Data de Início]]))</f>
        <v/>
      </c>
      <c r="BC2655" s="483"/>
    </row>
    <row r="2656" spans="2:55" x14ac:dyDescent="0.25">
      <c r="B2656" s="470"/>
      <c r="C2656" s="263"/>
      <c r="D2656" s="477" cm="1">
        <f t="array" ref="D2656">IFERROR(HorasUteisFabrica2Turnos(B2656,C2656), "")</f>
        <v>0</v>
      </c>
      <c r="E2656" s="478" t="str">
        <f t="shared" si="41"/>
        <v/>
      </c>
      <c r="F2656" s="266"/>
      <c r="G2656" s="656"/>
      <c r="H2656" s="479"/>
      <c r="I2656" s="268"/>
      <c r="J2656" s="268"/>
      <c r="K2656" s="268"/>
      <c r="L2656" s="269"/>
      <c r="M2656" s="511" t="str">
        <f>IFERROR(INDEX([1]Produtos!$C:$C,MATCH(L2656,[1]Produtos!$B:$B,0)), "-")</f>
        <v>-</v>
      </c>
      <c r="N2656" s="511" t="str">
        <f>IFERROR(INDEX([1]Produtos!$E:$E,MATCH(L2656,[1]Produtos!$B:$B,0)), "-")</f>
        <v>-</v>
      </c>
      <c r="O2656" s="483" t="str">
        <f>IFERROR(INDEX([1]Produtos!$F:$F,MATCH(L2656,[1]Produtos!$B:$B,0)), "-")</f>
        <v>-</v>
      </c>
      <c r="P2656" s="477" t="str">
        <f>IFERROR(INDEX([1]Produtos!$G:$G,MATCH(L2656,[1]Produtos!$B:$B,0)), "-")</f>
        <v>-</v>
      </c>
      <c r="Q2656" s="483" t="str">
        <f>IFERROR(INDEX([1]Produtos!$H:$H,MATCH(L2656,[1]Produtos!$B:$B,0)), "-")</f>
        <v>-</v>
      </c>
      <c r="R2656" s="483" t="str">
        <f>IFERROR(INDEX([1]Produtos!$I:$I,MATCH(L2656,[1]Produtos!$B:$B,0)), "-")</f>
        <v>-</v>
      </c>
      <c r="S2656" s="483" t="str">
        <f>IFERROR(INDEX([1]Produtos!$J:$J,MATCH(L2656,[1]Produtos!$B:$B,0)), "-")</f>
        <v>-</v>
      </c>
      <c r="T2656" s="484"/>
      <c r="U2656" s="483"/>
      <c r="V2656" s="483"/>
      <c r="W2656" s="483"/>
      <c r="X2656" s="483"/>
      <c r="Y2656" s="483"/>
      <c r="Z2656" s="483"/>
      <c r="AA2656" s="483"/>
      <c r="AB2656" s="483"/>
      <c r="AC2656" s="483"/>
      <c r="AD2656" s="483"/>
      <c r="AE2656" s="483"/>
      <c r="AF2656" s="483"/>
      <c r="AG2656" s="483"/>
      <c r="AH2656" s="483"/>
      <c r="AI2656" s="483"/>
      <c r="AJ2656" s="483"/>
      <c r="AK2656" s="483"/>
      <c r="AL2656" s="483"/>
      <c r="AM2656" s="670"/>
      <c r="AN2656" s="670"/>
      <c r="AO2656" s="711" t="str">
        <f>IF(OR(Table1[[#This Row],[Início Setup Envase]]="",Table1[[#This Row],[Final Setup Envase]]=""),"",Table1[[#This Row],[Final Setup Envase]]-Table1[[#This Row],[Início Setup Envase]])</f>
        <v/>
      </c>
      <c r="AP2656" s="670"/>
      <c r="AQ2656" s="670"/>
      <c r="AR2656" s="483"/>
      <c r="AS2656" s="483"/>
      <c r="AT2656" s="483"/>
      <c r="AU2656" s="483"/>
      <c r="AV2656" s="483"/>
      <c r="AW2656" s="483"/>
      <c r="AX2656" s="483"/>
      <c r="AY2656" s="270"/>
      <c r="AZ2656" s="270"/>
      <c r="BA2656" s="270" t="str">
        <f>IF(Table1[[#This Row],[Data de Início]]="","",YEAR(Table1[[#This Row],[Data de Início]]))</f>
        <v/>
      </c>
      <c r="BB2656" s="270" t="str">
        <f>IF(Table1[[#This Row],[Data de Início]]="","",MONTH(Table1[[#This Row],[Data de Início]]))</f>
        <v/>
      </c>
      <c r="BC2656" s="270"/>
    </row>
    <row r="2657" spans="2:55" x14ac:dyDescent="0.25">
      <c r="B2657" s="470"/>
      <c r="C2657" s="263"/>
      <c r="D2657" s="477" cm="1">
        <f t="array" ref="D2657">IFERROR(HorasUteisFabrica2Turnos(B2657,C2657), "")</f>
        <v>0</v>
      </c>
      <c r="E2657" s="697" t="str">
        <f t="shared" si="41"/>
        <v/>
      </c>
      <c r="F2657" s="266"/>
      <c r="G2657" s="698"/>
      <c r="H2657" s="266"/>
      <c r="I2657" s="268"/>
      <c r="J2657" s="268"/>
      <c r="K2657" s="268"/>
      <c r="L2657" s="269"/>
      <c r="M2657" s="510" t="str">
        <f>IFERROR(INDEX([1]Produtos!$C:$C,MATCH(L2657,[1]Produtos!$B:$B,0)), "-")</f>
        <v>-</v>
      </c>
      <c r="N2657" s="510" t="str">
        <f>IFERROR(INDEX([1]Produtos!$E:$E,MATCH(L2657,[1]Produtos!$B:$B,0)), "-")</f>
        <v>-</v>
      </c>
      <c r="O2657" s="270" t="str">
        <f>IFERROR(INDEX([1]Produtos!$F:$F,MATCH(L2657,[1]Produtos!$B:$B,0)), "-")</f>
        <v>-</v>
      </c>
      <c r="P2657" s="264" t="str">
        <f>IFERROR(INDEX([1]Produtos!$G:$G,MATCH(L2657,[1]Produtos!$B:$B,0)), "-")</f>
        <v>-</v>
      </c>
      <c r="Q2657" s="270" t="str">
        <f>IFERROR(INDEX([1]Produtos!$H:$H,MATCH(L2657,[1]Produtos!$B:$B,0)), "-")</f>
        <v>-</v>
      </c>
      <c r="R2657" s="270" t="str">
        <f>IFERROR(INDEX([1]Produtos!$I:$I,MATCH(L2657,[1]Produtos!$B:$B,0)), "-")</f>
        <v>-</v>
      </c>
      <c r="S2657" s="270" t="str">
        <f>IFERROR(INDEX([1]Produtos!$J:$J,MATCH(L2657,[1]Produtos!$B:$B,0)), "-")</f>
        <v>-</v>
      </c>
      <c r="T2657" s="475"/>
      <c r="U2657" s="270"/>
      <c r="V2657" s="270"/>
      <c r="W2657" s="270"/>
      <c r="X2657" s="270"/>
      <c r="Y2657" s="270"/>
      <c r="Z2657" s="270"/>
      <c r="AA2657" s="270"/>
      <c r="AB2657" s="270"/>
      <c r="AC2657" s="270"/>
      <c r="AD2657" s="270"/>
      <c r="AE2657" s="270"/>
      <c r="AF2657" s="270"/>
      <c r="AG2657" s="270"/>
      <c r="AH2657" s="270"/>
      <c r="AI2657" s="270"/>
      <c r="AJ2657" s="270"/>
      <c r="AK2657" s="270"/>
      <c r="AL2657" s="270"/>
      <c r="AM2657" s="663"/>
      <c r="AN2657" s="663"/>
      <c r="AO2657" s="708" t="str">
        <f>IF(OR(Table1[[#This Row],[Início Setup Envase]]="",Table1[[#This Row],[Final Setup Envase]]=""),"",Table1[[#This Row],[Final Setup Envase]]-Table1[[#This Row],[Início Setup Envase]])</f>
        <v/>
      </c>
      <c r="AP2657" s="663"/>
      <c r="AQ2657" s="663"/>
      <c r="AR2657" s="270"/>
      <c r="AS2657" s="674"/>
      <c r="AT2657" s="674"/>
      <c r="AU2657" s="270"/>
      <c r="AV2657" s="270"/>
      <c r="AW2657" s="270"/>
      <c r="AX2657" s="270"/>
      <c r="AY2657" s="270"/>
      <c r="AZ2657" s="270"/>
      <c r="BA2657" s="270" t="str">
        <f>IF(Table1[[#This Row],[Data de Início]]="","",YEAR(Table1[[#This Row],[Data de Início]]))</f>
        <v/>
      </c>
      <c r="BB2657" s="270" t="str">
        <f>IF(Table1[[#This Row],[Data de Início]]="","",MONTH(Table1[[#This Row],[Data de Início]]))</f>
        <v/>
      </c>
      <c r="BC2657" s="483"/>
    </row>
    <row r="2658" spans="2:55" x14ac:dyDescent="0.25">
      <c r="B2658" s="470"/>
      <c r="C2658" s="263"/>
      <c r="D2658" s="477" cm="1">
        <f t="array" ref="D2658">IFERROR(HorasUteisFabrica2Turnos(B2658,C2658), "")</f>
        <v>0</v>
      </c>
      <c r="E2658" s="478" t="str">
        <f t="shared" si="41"/>
        <v/>
      </c>
      <c r="F2658" s="266"/>
      <c r="G2658" s="656"/>
      <c r="H2658" s="479"/>
      <c r="I2658" s="268"/>
      <c r="J2658" s="268"/>
      <c r="K2658" s="268"/>
      <c r="L2658" s="269"/>
      <c r="M2658" s="511" t="str">
        <f>IFERROR(INDEX([1]Produtos!$C:$C,MATCH(L2658,[1]Produtos!$B:$B,0)), "-")</f>
        <v>-</v>
      </c>
      <c r="N2658" s="511" t="str">
        <f>IFERROR(INDEX([1]Produtos!$E:$E,MATCH(L2658,[1]Produtos!$B:$B,0)), "-")</f>
        <v>-</v>
      </c>
      <c r="O2658" s="483" t="str">
        <f>IFERROR(INDEX([1]Produtos!$F:$F,MATCH(L2658,[1]Produtos!$B:$B,0)), "-")</f>
        <v>-</v>
      </c>
      <c r="P2658" s="477" t="str">
        <f>IFERROR(INDEX([1]Produtos!$G:$G,MATCH(L2658,[1]Produtos!$B:$B,0)), "-")</f>
        <v>-</v>
      </c>
      <c r="Q2658" s="483" t="str">
        <f>IFERROR(INDEX([1]Produtos!$H:$H,MATCH(L2658,[1]Produtos!$B:$B,0)), "-")</f>
        <v>-</v>
      </c>
      <c r="R2658" s="483" t="str">
        <f>IFERROR(INDEX([1]Produtos!$I:$I,MATCH(L2658,[1]Produtos!$B:$B,0)), "-")</f>
        <v>-</v>
      </c>
      <c r="S2658" s="483" t="str">
        <f>IFERROR(INDEX([1]Produtos!$J:$J,MATCH(L2658,[1]Produtos!$B:$B,0)), "-")</f>
        <v>-</v>
      </c>
      <c r="T2658" s="484"/>
      <c r="U2658" s="483"/>
      <c r="V2658" s="483"/>
      <c r="W2658" s="483"/>
      <c r="X2658" s="483"/>
      <c r="Y2658" s="483"/>
      <c r="Z2658" s="483"/>
      <c r="AA2658" s="483"/>
      <c r="AB2658" s="483"/>
      <c r="AC2658" s="483"/>
      <c r="AD2658" s="483"/>
      <c r="AE2658" s="483"/>
      <c r="AF2658" s="483"/>
      <c r="AG2658" s="483"/>
      <c r="AH2658" s="483"/>
      <c r="AI2658" s="483"/>
      <c r="AJ2658" s="483"/>
      <c r="AK2658" s="483"/>
      <c r="AL2658" s="483"/>
      <c r="AM2658" s="670"/>
      <c r="AN2658" s="670"/>
      <c r="AO2658" s="711" t="str">
        <f>IF(OR(Table1[[#This Row],[Início Setup Envase]]="",Table1[[#This Row],[Final Setup Envase]]=""),"",Table1[[#This Row],[Final Setup Envase]]-Table1[[#This Row],[Início Setup Envase]])</f>
        <v/>
      </c>
      <c r="AP2658" s="670"/>
      <c r="AQ2658" s="670"/>
      <c r="AR2658" s="483"/>
      <c r="AS2658" s="483"/>
      <c r="AT2658" s="483"/>
      <c r="AU2658" s="483"/>
      <c r="AV2658" s="483"/>
      <c r="AW2658" s="483"/>
      <c r="AX2658" s="483"/>
      <c r="AY2658" s="270"/>
      <c r="AZ2658" s="270"/>
      <c r="BA2658" s="270" t="str">
        <f>IF(Table1[[#This Row],[Data de Início]]="","",YEAR(Table1[[#This Row],[Data de Início]]))</f>
        <v/>
      </c>
      <c r="BB2658" s="270" t="str">
        <f>IF(Table1[[#This Row],[Data de Início]]="","",MONTH(Table1[[#This Row],[Data de Início]]))</f>
        <v/>
      </c>
      <c r="BC2658" s="270"/>
    </row>
    <row r="2659" spans="2:55" x14ac:dyDescent="0.25">
      <c r="B2659" s="470"/>
      <c r="C2659" s="263"/>
      <c r="D2659" s="477" cm="1">
        <f t="array" ref="D2659">IFERROR(HorasUteisFabrica2Turnos(B2659,C2659), "")</f>
        <v>0</v>
      </c>
      <c r="E2659" s="697" t="str">
        <f t="shared" si="41"/>
        <v/>
      </c>
      <c r="F2659" s="266"/>
      <c r="G2659" s="698"/>
      <c r="H2659" s="266"/>
      <c r="I2659" s="268"/>
      <c r="J2659" s="268"/>
      <c r="K2659" s="268"/>
      <c r="L2659" s="269"/>
      <c r="M2659" s="510" t="str">
        <f>IFERROR(INDEX([1]Produtos!$C:$C,MATCH(L2659,[1]Produtos!$B:$B,0)), "-")</f>
        <v>-</v>
      </c>
      <c r="N2659" s="510" t="str">
        <f>IFERROR(INDEX([1]Produtos!$E:$E,MATCH(L2659,[1]Produtos!$B:$B,0)), "-")</f>
        <v>-</v>
      </c>
      <c r="O2659" s="270" t="str">
        <f>IFERROR(INDEX([1]Produtos!$F:$F,MATCH(L2659,[1]Produtos!$B:$B,0)), "-")</f>
        <v>-</v>
      </c>
      <c r="P2659" s="264" t="str">
        <f>IFERROR(INDEX([1]Produtos!$G:$G,MATCH(L2659,[1]Produtos!$B:$B,0)), "-")</f>
        <v>-</v>
      </c>
      <c r="Q2659" s="270" t="str">
        <f>IFERROR(INDEX([1]Produtos!$H:$H,MATCH(L2659,[1]Produtos!$B:$B,0)), "-")</f>
        <v>-</v>
      </c>
      <c r="R2659" s="270" t="str">
        <f>IFERROR(INDEX([1]Produtos!$I:$I,MATCH(L2659,[1]Produtos!$B:$B,0)), "-")</f>
        <v>-</v>
      </c>
      <c r="S2659" s="270" t="str">
        <f>IFERROR(INDEX([1]Produtos!$J:$J,MATCH(L2659,[1]Produtos!$B:$B,0)), "-")</f>
        <v>-</v>
      </c>
      <c r="T2659" s="475"/>
      <c r="U2659" s="270"/>
      <c r="V2659" s="270"/>
      <c r="W2659" s="270"/>
      <c r="X2659" s="270"/>
      <c r="Y2659" s="270"/>
      <c r="Z2659" s="270"/>
      <c r="AA2659" s="270"/>
      <c r="AB2659" s="270"/>
      <c r="AC2659" s="270"/>
      <c r="AD2659" s="270"/>
      <c r="AE2659" s="270"/>
      <c r="AF2659" s="270"/>
      <c r="AG2659" s="270"/>
      <c r="AH2659" s="270"/>
      <c r="AI2659" s="270"/>
      <c r="AJ2659" s="270"/>
      <c r="AK2659" s="270"/>
      <c r="AL2659" s="270"/>
      <c r="AM2659" s="663"/>
      <c r="AN2659" s="663"/>
      <c r="AO2659" s="708" t="str">
        <f>IF(OR(Table1[[#This Row],[Início Setup Envase]]="",Table1[[#This Row],[Final Setup Envase]]=""),"",Table1[[#This Row],[Final Setup Envase]]-Table1[[#This Row],[Início Setup Envase]])</f>
        <v/>
      </c>
      <c r="AP2659" s="663"/>
      <c r="AQ2659" s="663"/>
      <c r="AR2659" s="270"/>
      <c r="AS2659" s="674"/>
      <c r="AT2659" s="674"/>
      <c r="AU2659" s="270"/>
      <c r="AV2659" s="270"/>
      <c r="AW2659" s="270"/>
      <c r="AX2659" s="270"/>
      <c r="AY2659" s="270"/>
      <c r="AZ2659" s="270"/>
      <c r="BA2659" s="270" t="str">
        <f>IF(Table1[[#This Row],[Data de Início]]="","",YEAR(Table1[[#This Row],[Data de Início]]))</f>
        <v/>
      </c>
      <c r="BB2659" s="270" t="str">
        <f>IF(Table1[[#This Row],[Data de Início]]="","",MONTH(Table1[[#This Row],[Data de Início]]))</f>
        <v/>
      </c>
      <c r="BC2659" s="483"/>
    </row>
    <row r="2660" spans="2:55" x14ac:dyDescent="0.25">
      <c r="B2660" s="470"/>
      <c r="C2660" s="263"/>
      <c r="D2660" s="477" cm="1">
        <f t="array" ref="D2660">IFERROR(HorasUteisFabrica2Turnos(B2660,C2660), "")</f>
        <v>0</v>
      </c>
      <c r="E2660" s="478" t="str">
        <f t="shared" si="41"/>
        <v/>
      </c>
      <c r="F2660" s="266"/>
      <c r="G2660" s="656"/>
      <c r="H2660" s="479"/>
      <c r="I2660" s="268"/>
      <c r="J2660" s="268"/>
      <c r="K2660" s="268"/>
      <c r="L2660" s="269"/>
      <c r="M2660" s="511" t="str">
        <f>IFERROR(INDEX([1]Produtos!$C:$C,MATCH(L2660,[1]Produtos!$B:$B,0)), "-")</f>
        <v>-</v>
      </c>
      <c r="N2660" s="511" t="str">
        <f>IFERROR(INDEX([1]Produtos!$E:$E,MATCH(L2660,[1]Produtos!$B:$B,0)), "-")</f>
        <v>-</v>
      </c>
      <c r="O2660" s="483" t="str">
        <f>IFERROR(INDEX([1]Produtos!$F:$F,MATCH(L2660,[1]Produtos!$B:$B,0)), "-")</f>
        <v>-</v>
      </c>
      <c r="P2660" s="477" t="str">
        <f>IFERROR(INDEX([1]Produtos!$G:$G,MATCH(L2660,[1]Produtos!$B:$B,0)), "-")</f>
        <v>-</v>
      </c>
      <c r="Q2660" s="483" t="str">
        <f>IFERROR(INDEX([1]Produtos!$H:$H,MATCH(L2660,[1]Produtos!$B:$B,0)), "-")</f>
        <v>-</v>
      </c>
      <c r="R2660" s="483" t="str">
        <f>IFERROR(INDEX([1]Produtos!$I:$I,MATCH(L2660,[1]Produtos!$B:$B,0)), "-")</f>
        <v>-</v>
      </c>
      <c r="S2660" s="483" t="str">
        <f>IFERROR(INDEX([1]Produtos!$J:$J,MATCH(L2660,[1]Produtos!$B:$B,0)), "-")</f>
        <v>-</v>
      </c>
      <c r="T2660" s="484"/>
      <c r="U2660" s="483"/>
      <c r="V2660" s="483"/>
      <c r="W2660" s="483"/>
      <c r="X2660" s="483"/>
      <c r="Y2660" s="483"/>
      <c r="Z2660" s="483"/>
      <c r="AA2660" s="483"/>
      <c r="AB2660" s="483"/>
      <c r="AC2660" s="483"/>
      <c r="AD2660" s="483"/>
      <c r="AE2660" s="483"/>
      <c r="AF2660" s="483"/>
      <c r="AG2660" s="483"/>
      <c r="AH2660" s="483"/>
      <c r="AI2660" s="483"/>
      <c r="AJ2660" s="483"/>
      <c r="AK2660" s="483"/>
      <c r="AL2660" s="483"/>
      <c r="AM2660" s="670"/>
      <c r="AN2660" s="670"/>
      <c r="AO2660" s="711" t="str">
        <f>IF(OR(Table1[[#This Row],[Início Setup Envase]]="",Table1[[#This Row],[Final Setup Envase]]=""),"",Table1[[#This Row],[Final Setup Envase]]-Table1[[#This Row],[Início Setup Envase]])</f>
        <v/>
      </c>
      <c r="AP2660" s="670"/>
      <c r="AQ2660" s="670"/>
      <c r="AR2660" s="483"/>
      <c r="AS2660" s="483"/>
      <c r="AT2660" s="483"/>
      <c r="AU2660" s="483"/>
      <c r="AV2660" s="483"/>
      <c r="AW2660" s="483"/>
      <c r="AX2660" s="483"/>
      <c r="AY2660" s="270"/>
      <c r="AZ2660" s="270"/>
      <c r="BA2660" s="270" t="str">
        <f>IF(Table1[[#This Row],[Data de Início]]="","",YEAR(Table1[[#This Row],[Data de Início]]))</f>
        <v/>
      </c>
      <c r="BB2660" s="270" t="str">
        <f>IF(Table1[[#This Row],[Data de Início]]="","",MONTH(Table1[[#This Row],[Data de Início]]))</f>
        <v/>
      </c>
      <c r="BC2660" s="270"/>
    </row>
    <row r="2661" spans="2:55" x14ac:dyDescent="0.25">
      <c r="B2661" s="470"/>
      <c r="C2661" s="263"/>
      <c r="D2661" s="477" cm="1">
        <f t="array" ref="D2661">IFERROR(HorasUteisFabrica2Turnos(B2661,C2661), "")</f>
        <v>0</v>
      </c>
      <c r="E2661" s="697" t="str">
        <f t="shared" ref="E2661:E2724" si="42">IFERROR(K2661/D2661, "")</f>
        <v/>
      </c>
      <c r="F2661" s="266"/>
      <c r="G2661" s="698"/>
      <c r="H2661" s="266"/>
      <c r="I2661" s="268"/>
      <c r="J2661" s="268"/>
      <c r="K2661" s="268"/>
      <c r="L2661" s="269"/>
      <c r="M2661" s="510" t="str">
        <f>IFERROR(INDEX([1]Produtos!$C:$C,MATCH(L2661,[1]Produtos!$B:$B,0)), "-")</f>
        <v>-</v>
      </c>
      <c r="N2661" s="510" t="str">
        <f>IFERROR(INDEX([1]Produtos!$E:$E,MATCH(L2661,[1]Produtos!$B:$B,0)), "-")</f>
        <v>-</v>
      </c>
      <c r="O2661" s="270" t="str">
        <f>IFERROR(INDEX([1]Produtos!$F:$F,MATCH(L2661,[1]Produtos!$B:$B,0)), "-")</f>
        <v>-</v>
      </c>
      <c r="P2661" s="264" t="str">
        <f>IFERROR(INDEX([1]Produtos!$G:$G,MATCH(L2661,[1]Produtos!$B:$B,0)), "-")</f>
        <v>-</v>
      </c>
      <c r="Q2661" s="270" t="str">
        <f>IFERROR(INDEX([1]Produtos!$H:$H,MATCH(L2661,[1]Produtos!$B:$B,0)), "-")</f>
        <v>-</v>
      </c>
      <c r="R2661" s="270" t="str">
        <f>IFERROR(INDEX([1]Produtos!$I:$I,MATCH(L2661,[1]Produtos!$B:$B,0)), "-")</f>
        <v>-</v>
      </c>
      <c r="S2661" s="270" t="str">
        <f>IFERROR(INDEX([1]Produtos!$J:$J,MATCH(L2661,[1]Produtos!$B:$B,0)), "-")</f>
        <v>-</v>
      </c>
      <c r="T2661" s="475"/>
      <c r="U2661" s="270"/>
      <c r="V2661" s="270"/>
      <c r="W2661" s="270"/>
      <c r="X2661" s="270"/>
      <c r="Y2661" s="270"/>
      <c r="Z2661" s="270"/>
      <c r="AA2661" s="270"/>
      <c r="AB2661" s="270"/>
      <c r="AC2661" s="270"/>
      <c r="AD2661" s="270"/>
      <c r="AE2661" s="270"/>
      <c r="AF2661" s="270"/>
      <c r="AG2661" s="270"/>
      <c r="AH2661" s="270"/>
      <c r="AI2661" s="270"/>
      <c r="AJ2661" s="270"/>
      <c r="AK2661" s="270"/>
      <c r="AL2661" s="270"/>
      <c r="AM2661" s="663"/>
      <c r="AN2661" s="663"/>
      <c r="AO2661" s="708" t="str">
        <f>IF(OR(Table1[[#This Row],[Início Setup Envase]]="",Table1[[#This Row],[Final Setup Envase]]=""),"",Table1[[#This Row],[Final Setup Envase]]-Table1[[#This Row],[Início Setup Envase]])</f>
        <v/>
      </c>
      <c r="AP2661" s="663"/>
      <c r="AQ2661" s="663"/>
      <c r="AR2661" s="270"/>
      <c r="AS2661" s="674"/>
      <c r="AT2661" s="674"/>
      <c r="AU2661" s="270"/>
      <c r="AV2661" s="270"/>
      <c r="AW2661" s="270"/>
      <c r="AX2661" s="270"/>
      <c r="AY2661" s="270"/>
      <c r="AZ2661" s="270"/>
      <c r="BA2661" s="270" t="str">
        <f>IF(Table1[[#This Row],[Data de Início]]="","",YEAR(Table1[[#This Row],[Data de Início]]))</f>
        <v/>
      </c>
      <c r="BB2661" s="270" t="str">
        <f>IF(Table1[[#This Row],[Data de Início]]="","",MONTH(Table1[[#This Row],[Data de Início]]))</f>
        <v/>
      </c>
      <c r="BC2661" s="483"/>
    </row>
    <row r="2662" spans="2:55" x14ac:dyDescent="0.25">
      <c r="B2662" s="470"/>
      <c r="C2662" s="263"/>
      <c r="D2662" s="477" cm="1">
        <f t="array" ref="D2662">IFERROR(HorasUteisFabrica2Turnos(B2662,C2662), "")</f>
        <v>0</v>
      </c>
      <c r="E2662" s="478" t="str">
        <f t="shared" si="42"/>
        <v/>
      </c>
      <c r="F2662" s="266"/>
      <c r="G2662" s="656"/>
      <c r="H2662" s="479"/>
      <c r="I2662" s="268"/>
      <c r="J2662" s="268"/>
      <c r="K2662" s="268"/>
      <c r="L2662" s="269"/>
      <c r="M2662" s="511" t="str">
        <f>IFERROR(INDEX([1]Produtos!$C:$C,MATCH(L2662,[1]Produtos!$B:$B,0)), "-")</f>
        <v>-</v>
      </c>
      <c r="N2662" s="511" t="str">
        <f>IFERROR(INDEX([1]Produtos!$E:$E,MATCH(L2662,[1]Produtos!$B:$B,0)), "-")</f>
        <v>-</v>
      </c>
      <c r="O2662" s="483" t="str">
        <f>IFERROR(INDEX([1]Produtos!$F:$F,MATCH(L2662,[1]Produtos!$B:$B,0)), "-")</f>
        <v>-</v>
      </c>
      <c r="P2662" s="477" t="str">
        <f>IFERROR(INDEX([1]Produtos!$G:$G,MATCH(L2662,[1]Produtos!$B:$B,0)), "-")</f>
        <v>-</v>
      </c>
      <c r="Q2662" s="483" t="str">
        <f>IFERROR(INDEX([1]Produtos!$H:$H,MATCH(L2662,[1]Produtos!$B:$B,0)), "-")</f>
        <v>-</v>
      </c>
      <c r="R2662" s="483" t="str">
        <f>IFERROR(INDEX([1]Produtos!$I:$I,MATCH(L2662,[1]Produtos!$B:$B,0)), "-")</f>
        <v>-</v>
      </c>
      <c r="S2662" s="483" t="str">
        <f>IFERROR(INDEX([1]Produtos!$J:$J,MATCH(L2662,[1]Produtos!$B:$B,0)), "-")</f>
        <v>-</v>
      </c>
      <c r="T2662" s="484"/>
      <c r="U2662" s="483"/>
      <c r="V2662" s="483"/>
      <c r="W2662" s="483"/>
      <c r="X2662" s="483"/>
      <c r="Y2662" s="483"/>
      <c r="Z2662" s="483"/>
      <c r="AA2662" s="483"/>
      <c r="AB2662" s="483"/>
      <c r="AC2662" s="483"/>
      <c r="AD2662" s="483"/>
      <c r="AE2662" s="483"/>
      <c r="AF2662" s="483"/>
      <c r="AG2662" s="483"/>
      <c r="AH2662" s="483"/>
      <c r="AI2662" s="483"/>
      <c r="AJ2662" s="483"/>
      <c r="AK2662" s="483"/>
      <c r="AL2662" s="483"/>
      <c r="AM2662" s="670"/>
      <c r="AN2662" s="670"/>
      <c r="AO2662" s="711" t="str">
        <f>IF(OR(Table1[[#This Row],[Início Setup Envase]]="",Table1[[#This Row],[Final Setup Envase]]=""),"",Table1[[#This Row],[Final Setup Envase]]-Table1[[#This Row],[Início Setup Envase]])</f>
        <v/>
      </c>
      <c r="AP2662" s="670"/>
      <c r="AQ2662" s="670"/>
      <c r="AR2662" s="483"/>
      <c r="AS2662" s="483"/>
      <c r="AT2662" s="483"/>
      <c r="AU2662" s="483"/>
      <c r="AV2662" s="483"/>
      <c r="AW2662" s="483"/>
      <c r="AX2662" s="483"/>
      <c r="AY2662" s="270"/>
      <c r="AZ2662" s="270"/>
      <c r="BA2662" s="270" t="str">
        <f>IF(Table1[[#This Row],[Data de Início]]="","",YEAR(Table1[[#This Row],[Data de Início]]))</f>
        <v/>
      </c>
      <c r="BB2662" s="270" t="str">
        <f>IF(Table1[[#This Row],[Data de Início]]="","",MONTH(Table1[[#This Row],[Data de Início]]))</f>
        <v/>
      </c>
      <c r="BC2662" s="270"/>
    </row>
    <row r="2663" spans="2:55" x14ac:dyDescent="0.25">
      <c r="B2663" s="470"/>
      <c r="C2663" s="263"/>
      <c r="D2663" s="477" cm="1">
        <f t="array" ref="D2663">IFERROR(HorasUteisFabrica2Turnos(B2663,C2663), "")</f>
        <v>0</v>
      </c>
      <c r="E2663" s="697" t="str">
        <f t="shared" si="42"/>
        <v/>
      </c>
      <c r="F2663" s="266"/>
      <c r="G2663" s="698"/>
      <c r="H2663" s="266"/>
      <c r="I2663" s="268"/>
      <c r="J2663" s="268"/>
      <c r="K2663" s="268"/>
      <c r="L2663" s="269"/>
      <c r="M2663" s="510" t="str">
        <f>IFERROR(INDEX([1]Produtos!$C:$C,MATCH(L2663,[1]Produtos!$B:$B,0)), "-")</f>
        <v>-</v>
      </c>
      <c r="N2663" s="510" t="str">
        <f>IFERROR(INDEX([1]Produtos!$E:$E,MATCH(L2663,[1]Produtos!$B:$B,0)), "-")</f>
        <v>-</v>
      </c>
      <c r="O2663" s="270" t="str">
        <f>IFERROR(INDEX([1]Produtos!$F:$F,MATCH(L2663,[1]Produtos!$B:$B,0)), "-")</f>
        <v>-</v>
      </c>
      <c r="P2663" s="264" t="str">
        <f>IFERROR(INDEX([1]Produtos!$G:$G,MATCH(L2663,[1]Produtos!$B:$B,0)), "-")</f>
        <v>-</v>
      </c>
      <c r="Q2663" s="270" t="str">
        <f>IFERROR(INDEX([1]Produtos!$H:$H,MATCH(L2663,[1]Produtos!$B:$B,0)), "-")</f>
        <v>-</v>
      </c>
      <c r="R2663" s="270" t="str">
        <f>IFERROR(INDEX([1]Produtos!$I:$I,MATCH(L2663,[1]Produtos!$B:$B,0)), "-")</f>
        <v>-</v>
      </c>
      <c r="S2663" s="270" t="str">
        <f>IFERROR(INDEX([1]Produtos!$J:$J,MATCH(L2663,[1]Produtos!$B:$B,0)), "-")</f>
        <v>-</v>
      </c>
      <c r="T2663" s="475"/>
      <c r="U2663" s="270"/>
      <c r="V2663" s="270"/>
      <c r="W2663" s="270"/>
      <c r="X2663" s="270"/>
      <c r="Y2663" s="270"/>
      <c r="Z2663" s="270"/>
      <c r="AA2663" s="270"/>
      <c r="AB2663" s="270"/>
      <c r="AC2663" s="270"/>
      <c r="AD2663" s="270"/>
      <c r="AE2663" s="270"/>
      <c r="AF2663" s="270"/>
      <c r="AG2663" s="270"/>
      <c r="AH2663" s="270"/>
      <c r="AI2663" s="270"/>
      <c r="AJ2663" s="270"/>
      <c r="AK2663" s="270"/>
      <c r="AL2663" s="270"/>
      <c r="AM2663" s="663"/>
      <c r="AN2663" s="663"/>
      <c r="AO2663" s="708" t="str">
        <f>IF(OR(Table1[[#This Row],[Início Setup Envase]]="",Table1[[#This Row],[Final Setup Envase]]=""),"",Table1[[#This Row],[Final Setup Envase]]-Table1[[#This Row],[Início Setup Envase]])</f>
        <v/>
      </c>
      <c r="AP2663" s="663"/>
      <c r="AQ2663" s="663"/>
      <c r="AR2663" s="270"/>
      <c r="AS2663" s="674"/>
      <c r="AT2663" s="674"/>
      <c r="AU2663" s="270"/>
      <c r="AV2663" s="270"/>
      <c r="AW2663" s="270"/>
      <c r="AX2663" s="270"/>
      <c r="AY2663" s="270"/>
      <c r="AZ2663" s="270"/>
      <c r="BA2663" s="270" t="str">
        <f>IF(Table1[[#This Row],[Data de Início]]="","",YEAR(Table1[[#This Row],[Data de Início]]))</f>
        <v/>
      </c>
      <c r="BB2663" s="270" t="str">
        <f>IF(Table1[[#This Row],[Data de Início]]="","",MONTH(Table1[[#This Row],[Data de Início]]))</f>
        <v/>
      </c>
      <c r="BC2663" s="483"/>
    </row>
    <row r="2664" spans="2:55" x14ac:dyDescent="0.25">
      <c r="B2664" s="470"/>
      <c r="C2664" s="263"/>
      <c r="D2664" s="477" cm="1">
        <f t="array" ref="D2664">IFERROR(HorasUteisFabrica2Turnos(B2664,C2664), "")</f>
        <v>0</v>
      </c>
      <c r="E2664" s="478" t="str">
        <f t="shared" si="42"/>
        <v/>
      </c>
      <c r="F2664" s="266"/>
      <c r="G2664" s="656"/>
      <c r="H2664" s="479"/>
      <c r="I2664" s="268"/>
      <c r="J2664" s="268"/>
      <c r="K2664" s="268"/>
      <c r="L2664" s="269"/>
      <c r="M2664" s="511" t="str">
        <f>IFERROR(INDEX([1]Produtos!$C:$C,MATCH(L2664,[1]Produtos!$B:$B,0)), "-")</f>
        <v>-</v>
      </c>
      <c r="N2664" s="511" t="str">
        <f>IFERROR(INDEX([1]Produtos!$E:$E,MATCH(L2664,[1]Produtos!$B:$B,0)), "-")</f>
        <v>-</v>
      </c>
      <c r="O2664" s="483" t="str">
        <f>IFERROR(INDEX([1]Produtos!$F:$F,MATCH(L2664,[1]Produtos!$B:$B,0)), "-")</f>
        <v>-</v>
      </c>
      <c r="P2664" s="477" t="str">
        <f>IFERROR(INDEX([1]Produtos!$G:$G,MATCH(L2664,[1]Produtos!$B:$B,0)), "-")</f>
        <v>-</v>
      </c>
      <c r="Q2664" s="483" t="str">
        <f>IFERROR(INDEX([1]Produtos!$H:$H,MATCH(L2664,[1]Produtos!$B:$B,0)), "-")</f>
        <v>-</v>
      </c>
      <c r="R2664" s="483" t="str">
        <f>IFERROR(INDEX([1]Produtos!$I:$I,MATCH(L2664,[1]Produtos!$B:$B,0)), "-")</f>
        <v>-</v>
      </c>
      <c r="S2664" s="483" t="str">
        <f>IFERROR(INDEX([1]Produtos!$J:$J,MATCH(L2664,[1]Produtos!$B:$B,0)), "-")</f>
        <v>-</v>
      </c>
      <c r="T2664" s="484"/>
      <c r="U2664" s="483"/>
      <c r="V2664" s="483"/>
      <c r="W2664" s="483"/>
      <c r="X2664" s="483"/>
      <c r="Y2664" s="483"/>
      <c r="Z2664" s="483"/>
      <c r="AA2664" s="483"/>
      <c r="AB2664" s="483"/>
      <c r="AC2664" s="483"/>
      <c r="AD2664" s="483"/>
      <c r="AE2664" s="483"/>
      <c r="AF2664" s="483"/>
      <c r="AG2664" s="483"/>
      <c r="AH2664" s="483"/>
      <c r="AI2664" s="483"/>
      <c r="AJ2664" s="483"/>
      <c r="AK2664" s="483"/>
      <c r="AL2664" s="483"/>
      <c r="AM2664" s="670"/>
      <c r="AN2664" s="670"/>
      <c r="AO2664" s="711" t="str">
        <f>IF(OR(Table1[[#This Row],[Início Setup Envase]]="",Table1[[#This Row],[Final Setup Envase]]=""),"",Table1[[#This Row],[Final Setup Envase]]-Table1[[#This Row],[Início Setup Envase]])</f>
        <v/>
      </c>
      <c r="AP2664" s="670"/>
      <c r="AQ2664" s="670"/>
      <c r="AR2664" s="483"/>
      <c r="AS2664" s="483"/>
      <c r="AT2664" s="483"/>
      <c r="AU2664" s="483"/>
      <c r="AV2664" s="483"/>
      <c r="AW2664" s="483"/>
      <c r="AX2664" s="483"/>
      <c r="AY2664" s="270"/>
      <c r="AZ2664" s="270"/>
      <c r="BA2664" s="270" t="str">
        <f>IF(Table1[[#This Row],[Data de Início]]="","",YEAR(Table1[[#This Row],[Data de Início]]))</f>
        <v/>
      </c>
      <c r="BB2664" s="270" t="str">
        <f>IF(Table1[[#This Row],[Data de Início]]="","",MONTH(Table1[[#This Row],[Data de Início]]))</f>
        <v/>
      </c>
      <c r="BC2664" s="270"/>
    </row>
    <row r="2665" spans="2:55" x14ac:dyDescent="0.25">
      <c r="B2665" s="470"/>
      <c r="C2665" s="263"/>
      <c r="D2665" s="477" cm="1">
        <f t="array" ref="D2665">IFERROR(HorasUteisFabrica2Turnos(B2665,C2665), "")</f>
        <v>0</v>
      </c>
      <c r="E2665" s="697" t="str">
        <f t="shared" si="42"/>
        <v/>
      </c>
      <c r="F2665" s="266"/>
      <c r="G2665" s="698"/>
      <c r="H2665" s="266"/>
      <c r="I2665" s="268"/>
      <c r="J2665" s="268"/>
      <c r="K2665" s="268"/>
      <c r="L2665" s="269"/>
      <c r="M2665" s="510" t="str">
        <f>IFERROR(INDEX([1]Produtos!$C:$C,MATCH(L2665,[1]Produtos!$B:$B,0)), "-")</f>
        <v>-</v>
      </c>
      <c r="N2665" s="510" t="str">
        <f>IFERROR(INDEX([1]Produtos!$E:$E,MATCH(L2665,[1]Produtos!$B:$B,0)), "-")</f>
        <v>-</v>
      </c>
      <c r="O2665" s="270" t="str">
        <f>IFERROR(INDEX([1]Produtos!$F:$F,MATCH(L2665,[1]Produtos!$B:$B,0)), "-")</f>
        <v>-</v>
      </c>
      <c r="P2665" s="264" t="str">
        <f>IFERROR(INDEX([1]Produtos!$G:$G,MATCH(L2665,[1]Produtos!$B:$B,0)), "-")</f>
        <v>-</v>
      </c>
      <c r="Q2665" s="270" t="str">
        <f>IFERROR(INDEX([1]Produtos!$H:$H,MATCH(L2665,[1]Produtos!$B:$B,0)), "-")</f>
        <v>-</v>
      </c>
      <c r="R2665" s="270" t="str">
        <f>IFERROR(INDEX([1]Produtos!$I:$I,MATCH(L2665,[1]Produtos!$B:$B,0)), "-")</f>
        <v>-</v>
      </c>
      <c r="S2665" s="270" t="str">
        <f>IFERROR(INDEX([1]Produtos!$J:$J,MATCH(L2665,[1]Produtos!$B:$B,0)), "-")</f>
        <v>-</v>
      </c>
      <c r="T2665" s="475"/>
      <c r="U2665" s="270"/>
      <c r="V2665" s="270"/>
      <c r="W2665" s="270"/>
      <c r="X2665" s="270"/>
      <c r="Y2665" s="270"/>
      <c r="Z2665" s="270"/>
      <c r="AA2665" s="270"/>
      <c r="AB2665" s="270"/>
      <c r="AC2665" s="270"/>
      <c r="AD2665" s="270"/>
      <c r="AE2665" s="270"/>
      <c r="AF2665" s="270"/>
      <c r="AG2665" s="270"/>
      <c r="AH2665" s="270"/>
      <c r="AI2665" s="270"/>
      <c r="AJ2665" s="270"/>
      <c r="AK2665" s="270"/>
      <c r="AL2665" s="270"/>
      <c r="AM2665" s="663"/>
      <c r="AN2665" s="663"/>
      <c r="AO2665" s="708" t="str">
        <f>IF(OR(Table1[[#This Row],[Início Setup Envase]]="",Table1[[#This Row],[Final Setup Envase]]=""),"",Table1[[#This Row],[Final Setup Envase]]-Table1[[#This Row],[Início Setup Envase]])</f>
        <v/>
      </c>
      <c r="AP2665" s="663"/>
      <c r="AQ2665" s="663"/>
      <c r="AR2665" s="270"/>
      <c r="AS2665" s="674"/>
      <c r="AT2665" s="674"/>
      <c r="AU2665" s="270"/>
      <c r="AV2665" s="270"/>
      <c r="AW2665" s="270"/>
      <c r="AX2665" s="270"/>
      <c r="AY2665" s="270"/>
      <c r="AZ2665" s="270"/>
      <c r="BA2665" s="270" t="str">
        <f>IF(Table1[[#This Row],[Data de Início]]="","",YEAR(Table1[[#This Row],[Data de Início]]))</f>
        <v/>
      </c>
      <c r="BB2665" s="270" t="str">
        <f>IF(Table1[[#This Row],[Data de Início]]="","",MONTH(Table1[[#This Row],[Data de Início]]))</f>
        <v/>
      </c>
      <c r="BC2665" s="483"/>
    </row>
    <row r="2666" spans="2:55" x14ac:dyDescent="0.25">
      <c r="B2666" s="470"/>
      <c r="C2666" s="263"/>
      <c r="D2666" s="477" cm="1">
        <f t="array" ref="D2666">IFERROR(HorasUteisFabrica2Turnos(B2666,C2666), "")</f>
        <v>0</v>
      </c>
      <c r="E2666" s="478" t="str">
        <f t="shared" si="42"/>
        <v/>
      </c>
      <c r="F2666" s="266"/>
      <c r="G2666" s="656"/>
      <c r="H2666" s="479"/>
      <c r="I2666" s="268"/>
      <c r="J2666" s="268"/>
      <c r="K2666" s="268"/>
      <c r="L2666" s="269"/>
      <c r="M2666" s="511" t="str">
        <f>IFERROR(INDEX([1]Produtos!$C:$C,MATCH(L2666,[1]Produtos!$B:$B,0)), "-")</f>
        <v>-</v>
      </c>
      <c r="N2666" s="511" t="str">
        <f>IFERROR(INDEX([1]Produtos!$E:$E,MATCH(L2666,[1]Produtos!$B:$B,0)), "-")</f>
        <v>-</v>
      </c>
      <c r="O2666" s="483" t="str">
        <f>IFERROR(INDEX([1]Produtos!$F:$F,MATCH(L2666,[1]Produtos!$B:$B,0)), "-")</f>
        <v>-</v>
      </c>
      <c r="P2666" s="477" t="str">
        <f>IFERROR(INDEX([1]Produtos!$G:$G,MATCH(L2666,[1]Produtos!$B:$B,0)), "-")</f>
        <v>-</v>
      </c>
      <c r="Q2666" s="483" t="str">
        <f>IFERROR(INDEX([1]Produtos!$H:$H,MATCH(L2666,[1]Produtos!$B:$B,0)), "-")</f>
        <v>-</v>
      </c>
      <c r="R2666" s="483" t="str">
        <f>IFERROR(INDEX([1]Produtos!$I:$I,MATCH(L2666,[1]Produtos!$B:$B,0)), "-")</f>
        <v>-</v>
      </c>
      <c r="S2666" s="483" t="str">
        <f>IFERROR(INDEX([1]Produtos!$J:$J,MATCH(L2666,[1]Produtos!$B:$B,0)), "-")</f>
        <v>-</v>
      </c>
      <c r="T2666" s="484"/>
      <c r="U2666" s="483"/>
      <c r="V2666" s="483"/>
      <c r="W2666" s="483"/>
      <c r="X2666" s="483"/>
      <c r="Y2666" s="483"/>
      <c r="Z2666" s="483"/>
      <c r="AA2666" s="483"/>
      <c r="AB2666" s="483"/>
      <c r="AC2666" s="483"/>
      <c r="AD2666" s="483"/>
      <c r="AE2666" s="483"/>
      <c r="AF2666" s="483"/>
      <c r="AG2666" s="483"/>
      <c r="AH2666" s="483"/>
      <c r="AI2666" s="483"/>
      <c r="AJ2666" s="483"/>
      <c r="AK2666" s="483"/>
      <c r="AL2666" s="483"/>
      <c r="AM2666" s="670"/>
      <c r="AN2666" s="670"/>
      <c r="AO2666" s="711" t="str">
        <f>IF(OR(Table1[[#This Row],[Início Setup Envase]]="",Table1[[#This Row],[Final Setup Envase]]=""),"",Table1[[#This Row],[Final Setup Envase]]-Table1[[#This Row],[Início Setup Envase]])</f>
        <v/>
      </c>
      <c r="AP2666" s="670"/>
      <c r="AQ2666" s="670"/>
      <c r="AR2666" s="483"/>
      <c r="AS2666" s="483"/>
      <c r="AT2666" s="483"/>
      <c r="AU2666" s="483"/>
      <c r="AV2666" s="483"/>
      <c r="AW2666" s="483"/>
      <c r="AX2666" s="483"/>
      <c r="AY2666" s="270"/>
      <c r="AZ2666" s="270"/>
      <c r="BA2666" s="270" t="str">
        <f>IF(Table1[[#This Row],[Data de Início]]="","",YEAR(Table1[[#This Row],[Data de Início]]))</f>
        <v/>
      </c>
      <c r="BB2666" s="270" t="str">
        <f>IF(Table1[[#This Row],[Data de Início]]="","",MONTH(Table1[[#This Row],[Data de Início]]))</f>
        <v/>
      </c>
      <c r="BC2666" s="270"/>
    </row>
    <row r="2667" spans="2:55" x14ac:dyDescent="0.25">
      <c r="B2667" s="470"/>
      <c r="C2667" s="263"/>
      <c r="D2667" s="477" cm="1">
        <f t="array" ref="D2667">IFERROR(HorasUteisFabrica2Turnos(B2667,C2667), "")</f>
        <v>0</v>
      </c>
      <c r="E2667" s="697" t="str">
        <f t="shared" si="42"/>
        <v/>
      </c>
      <c r="F2667" s="266"/>
      <c r="G2667" s="698"/>
      <c r="H2667" s="266"/>
      <c r="I2667" s="268"/>
      <c r="J2667" s="268"/>
      <c r="K2667" s="268"/>
      <c r="L2667" s="269"/>
      <c r="M2667" s="510" t="str">
        <f>IFERROR(INDEX([1]Produtos!$C:$C,MATCH(L2667,[1]Produtos!$B:$B,0)), "-")</f>
        <v>-</v>
      </c>
      <c r="N2667" s="510" t="str">
        <f>IFERROR(INDEX([1]Produtos!$E:$E,MATCH(L2667,[1]Produtos!$B:$B,0)), "-")</f>
        <v>-</v>
      </c>
      <c r="O2667" s="270" t="str">
        <f>IFERROR(INDEX([1]Produtos!$F:$F,MATCH(L2667,[1]Produtos!$B:$B,0)), "-")</f>
        <v>-</v>
      </c>
      <c r="P2667" s="264" t="str">
        <f>IFERROR(INDEX([1]Produtos!$G:$G,MATCH(L2667,[1]Produtos!$B:$B,0)), "-")</f>
        <v>-</v>
      </c>
      <c r="Q2667" s="270" t="str">
        <f>IFERROR(INDEX([1]Produtos!$H:$H,MATCH(L2667,[1]Produtos!$B:$B,0)), "-")</f>
        <v>-</v>
      </c>
      <c r="R2667" s="270" t="str">
        <f>IFERROR(INDEX([1]Produtos!$I:$I,MATCH(L2667,[1]Produtos!$B:$B,0)), "-")</f>
        <v>-</v>
      </c>
      <c r="S2667" s="270" t="str">
        <f>IFERROR(INDEX([1]Produtos!$J:$J,MATCH(L2667,[1]Produtos!$B:$B,0)), "-")</f>
        <v>-</v>
      </c>
      <c r="T2667" s="475"/>
      <c r="U2667" s="270"/>
      <c r="V2667" s="270"/>
      <c r="W2667" s="270"/>
      <c r="X2667" s="270"/>
      <c r="Y2667" s="270"/>
      <c r="Z2667" s="270"/>
      <c r="AA2667" s="270"/>
      <c r="AB2667" s="270"/>
      <c r="AC2667" s="270"/>
      <c r="AD2667" s="270"/>
      <c r="AE2667" s="270"/>
      <c r="AF2667" s="270"/>
      <c r="AG2667" s="270"/>
      <c r="AH2667" s="270"/>
      <c r="AI2667" s="270"/>
      <c r="AJ2667" s="270"/>
      <c r="AK2667" s="270"/>
      <c r="AL2667" s="270"/>
      <c r="AM2667" s="663"/>
      <c r="AN2667" s="663"/>
      <c r="AO2667" s="708" t="str">
        <f>IF(OR(Table1[[#This Row],[Início Setup Envase]]="",Table1[[#This Row],[Final Setup Envase]]=""),"",Table1[[#This Row],[Final Setup Envase]]-Table1[[#This Row],[Início Setup Envase]])</f>
        <v/>
      </c>
      <c r="AP2667" s="663"/>
      <c r="AQ2667" s="663"/>
      <c r="AR2667" s="270"/>
      <c r="AS2667" s="674"/>
      <c r="AT2667" s="674"/>
      <c r="AU2667" s="270"/>
      <c r="AV2667" s="270"/>
      <c r="AW2667" s="270"/>
      <c r="AX2667" s="270"/>
      <c r="AY2667" s="270"/>
      <c r="AZ2667" s="270"/>
      <c r="BA2667" s="270" t="str">
        <f>IF(Table1[[#This Row],[Data de Início]]="","",YEAR(Table1[[#This Row],[Data de Início]]))</f>
        <v/>
      </c>
      <c r="BB2667" s="270" t="str">
        <f>IF(Table1[[#This Row],[Data de Início]]="","",MONTH(Table1[[#This Row],[Data de Início]]))</f>
        <v/>
      </c>
      <c r="BC2667" s="483"/>
    </row>
    <row r="2668" spans="2:55" x14ac:dyDescent="0.25">
      <c r="B2668" s="470"/>
      <c r="C2668" s="263"/>
      <c r="D2668" s="477" cm="1">
        <f t="array" ref="D2668">IFERROR(HorasUteisFabrica2Turnos(B2668,C2668), "")</f>
        <v>0</v>
      </c>
      <c r="E2668" s="478" t="str">
        <f t="shared" si="42"/>
        <v/>
      </c>
      <c r="F2668" s="266"/>
      <c r="G2668" s="656"/>
      <c r="H2668" s="479"/>
      <c r="I2668" s="268"/>
      <c r="J2668" s="268"/>
      <c r="K2668" s="268"/>
      <c r="L2668" s="269"/>
      <c r="M2668" s="511" t="str">
        <f>IFERROR(INDEX([1]Produtos!$C:$C,MATCH(L2668,[1]Produtos!$B:$B,0)), "-")</f>
        <v>-</v>
      </c>
      <c r="N2668" s="511" t="str">
        <f>IFERROR(INDEX([1]Produtos!$E:$E,MATCH(L2668,[1]Produtos!$B:$B,0)), "-")</f>
        <v>-</v>
      </c>
      <c r="O2668" s="483" t="str">
        <f>IFERROR(INDEX([1]Produtos!$F:$F,MATCH(L2668,[1]Produtos!$B:$B,0)), "-")</f>
        <v>-</v>
      </c>
      <c r="P2668" s="477" t="str">
        <f>IFERROR(INDEX([1]Produtos!$G:$G,MATCH(L2668,[1]Produtos!$B:$B,0)), "-")</f>
        <v>-</v>
      </c>
      <c r="Q2668" s="483" t="str">
        <f>IFERROR(INDEX([1]Produtos!$H:$H,MATCH(L2668,[1]Produtos!$B:$B,0)), "-")</f>
        <v>-</v>
      </c>
      <c r="R2668" s="483" t="str">
        <f>IFERROR(INDEX([1]Produtos!$I:$I,MATCH(L2668,[1]Produtos!$B:$B,0)), "-")</f>
        <v>-</v>
      </c>
      <c r="S2668" s="483" t="str">
        <f>IFERROR(INDEX([1]Produtos!$J:$J,MATCH(L2668,[1]Produtos!$B:$B,0)), "-")</f>
        <v>-</v>
      </c>
      <c r="T2668" s="484"/>
      <c r="U2668" s="483"/>
      <c r="V2668" s="483"/>
      <c r="W2668" s="483"/>
      <c r="X2668" s="483"/>
      <c r="Y2668" s="483"/>
      <c r="Z2668" s="483"/>
      <c r="AA2668" s="483"/>
      <c r="AB2668" s="483"/>
      <c r="AC2668" s="483"/>
      <c r="AD2668" s="483"/>
      <c r="AE2668" s="483"/>
      <c r="AF2668" s="483"/>
      <c r="AG2668" s="483"/>
      <c r="AH2668" s="483"/>
      <c r="AI2668" s="483"/>
      <c r="AJ2668" s="483"/>
      <c r="AK2668" s="483"/>
      <c r="AL2668" s="483"/>
      <c r="AM2668" s="670"/>
      <c r="AN2668" s="670"/>
      <c r="AO2668" s="711" t="str">
        <f>IF(OR(Table1[[#This Row],[Início Setup Envase]]="",Table1[[#This Row],[Final Setup Envase]]=""),"",Table1[[#This Row],[Final Setup Envase]]-Table1[[#This Row],[Início Setup Envase]])</f>
        <v/>
      </c>
      <c r="AP2668" s="670"/>
      <c r="AQ2668" s="670"/>
      <c r="AR2668" s="483"/>
      <c r="AS2668" s="483"/>
      <c r="AT2668" s="483"/>
      <c r="AU2668" s="483"/>
      <c r="AV2668" s="483"/>
      <c r="AW2668" s="483"/>
      <c r="AX2668" s="483"/>
      <c r="AY2668" s="270"/>
      <c r="AZ2668" s="270"/>
      <c r="BA2668" s="270" t="str">
        <f>IF(Table1[[#This Row],[Data de Início]]="","",YEAR(Table1[[#This Row],[Data de Início]]))</f>
        <v/>
      </c>
      <c r="BB2668" s="270" t="str">
        <f>IF(Table1[[#This Row],[Data de Início]]="","",MONTH(Table1[[#This Row],[Data de Início]]))</f>
        <v/>
      </c>
      <c r="BC2668" s="270"/>
    </row>
    <row r="2669" spans="2:55" x14ac:dyDescent="0.25">
      <c r="B2669" s="470"/>
      <c r="C2669" s="263"/>
      <c r="D2669" s="477" cm="1">
        <f t="array" ref="D2669">IFERROR(HorasUteisFabrica2Turnos(B2669,C2669), "")</f>
        <v>0</v>
      </c>
      <c r="E2669" s="697" t="str">
        <f t="shared" si="42"/>
        <v/>
      </c>
      <c r="F2669" s="266"/>
      <c r="G2669" s="698"/>
      <c r="H2669" s="266"/>
      <c r="I2669" s="268"/>
      <c r="J2669" s="268"/>
      <c r="K2669" s="268"/>
      <c r="L2669" s="269"/>
      <c r="M2669" s="510" t="str">
        <f>IFERROR(INDEX([1]Produtos!$C:$C,MATCH(L2669,[1]Produtos!$B:$B,0)), "-")</f>
        <v>-</v>
      </c>
      <c r="N2669" s="510" t="str">
        <f>IFERROR(INDEX([1]Produtos!$E:$E,MATCH(L2669,[1]Produtos!$B:$B,0)), "-")</f>
        <v>-</v>
      </c>
      <c r="O2669" s="270" t="str">
        <f>IFERROR(INDEX([1]Produtos!$F:$F,MATCH(L2669,[1]Produtos!$B:$B,0)), "-")</f>
        <v>-</v>
      </c>
      <c r="P2669" s="264" t="str">
        <f>IFERROR(INDEX([1]Produtos!$G:$G,MATCH(L2669,[1]Produtos!$B:$B,0)), "-")</f>
        <v>-</v>
      </c>
      <c r="Q2669" s="270" t="str">
        <f>IFERROR(INDEX([1]Produtos!$H:$H,MATCH(L2669,[1]Produtos!$B:$B,0)), "-")</f>
        <v>-</v>
      </c>
      <c r="R2669" s="270" t="str">
        <f>IFERROR(INDEX([1]Produtos!$I:$I,MATCH(L2669,[1]Produtos!$B:$B,0)), "-")</f>
        <v>-</v>
      </c>
      <c r="S2669" s="270" t="str">
        <f>IFERROR(INDEX([1]Produtos!$J:$J,MATCH(L2669,[1]Produtos!$B:$B,0)), "-")</f>
        <v>-</v>
      </c>
      <c r="T2669" s="475"/>
      <c r="U2669" s="270"/>
      <c r="V2669" s="270"/>
      <c r="W2669" s="270"/>
      <c r="X2669" s="270"/>
      <c r="Y2669" s="270"/>
      <c r="Z2669" s="270"/>
      <c r="AA2669" s="270"/>
      <c r="AB2669" s="270"/>
      <c r="AC2669" s="270"/>
      <c r="AD2669" s="270"/>
      <c r="AE2669" s="270"/>
      <c r="AF2669" s="270"/>
      <c r="AG2669" s="270"/>
      <c r="AH2669" s="270"/>
      <c r="AI2669" s="270"/>
      <c r="AJ2669" s="270"/>
      <c r="AK2669" s="270"/>
      <c r="AL2669" s="270"/>
      <c r="AM2669" s="663"/>
      <c r="AN2669" s="663"/>
      <c r="AO2669" s="708" t="str">
        <f>IF(OR(Table1[[#This Row],[Início Setup Envase]]="",Table1[[#This Row],[Final Setup Envase]]=""),"",Table1[[#This Row],[Final Setup Envase]]-Table1[[#This Row],[Início Setup Envase]])</f>
        <v/>
      </c>
      <c r="AP2669" s="663"/>
      <c r="AQ2669" s="663"/>
      <c r="AR2669" s="270"/>
      <c r="AS2669" s="674"/>
      <c r="AT2669" s="674"/>
      <c r="AU2669" s="270"/>
      <c r="AV2669" s="270"/>
      <c r="AW2669" s="270"/>
      <c r="AX2669" s="270"/>
      <c r="AY2669" s="270"/>
      <c r="AZ2669" s="270"/>
      <c r="BA2669" s="270" t="str">
        <f>IF(Table1[[#This Row],[Data de Início]]="","",YEAR(Table1[[#This Row],[Data de Início]]))</f>
        <v/>
      </c>
      <c r="BB2669" s="270" t="str">
        <f>IF(Table1[[#This Row],[Data de Início]]="","",MONTH(Table1[[#This Row],[Data de Início]]))</f>
        <v/>
      </c>
      <c r="BC2669" s="483"/>
    </row>
    <row r="2670" spans="2:55" x14ac:dyDescent="0.25">
      <c r="B2670" s="470"/>
      <c r="C2670" s="263"/>
      <c r="D2670" s="477" cm="1">
        <f t="array" ref="D2670">IFERROR(HorasUteisFabrica2Turnos(B2670,C2670), "")</f>
        <v>0</v>
      </c>
      <c r="E2670" s="478" t="str">
        <f t="shared" si="42"/>
        <v/>
      </c>
      <c r="F2670" s="266"/>
      <c r="G2670" s="656"/>
      <c r="H2670" s="479"/>
      <c r="I2670" s="268"/>
      <c r="J2670" s="268"/>
      <c r="K2670" s="268"/>
      <c r="L2670" s="269"/>
      <c r="M2670" s="511" t="str">
        <f>IFERROR(INDEX([1]Produtos!$C:$C,MATCH(L2670,[1]Produtos!$B:$B,0)), "-")</f>
        <v>-</v>
      </c>
      <c r="N2670" s="511" t="str">
        <f>IFERROR(INDEX([1]Produtos!$E:$E,MATCH(L2670,[1]Produtos!$B:$B,0)), "-")</f>
        <v>-</v>
      </c>
      <c r="O2670" s="483" t="str">
        <f>IFERROR(INDEX([1]Produtos!$F:$F,MATCH(L2670,[1]Produtos!$B:$B,0)), "-")</f>
        <v>-</v>
      </c>
      <c r="P2670" s="477" t="str">
        <f>IFERROR(INDEX([1]Produtos!$G:$G,MATCH(L2670,[1]Produtos!$B:$B,0)), "-")</f>
        <v>-</v>
      </c>
      <c r="Q2670" s="483" t="str">
        <f>IFERROR(INDEX([1]Produtos!$H:$H,MATCH(L2670,[1]Produtos!$B:$B,0)), "-")</f>
        <v>-</v>
      </c>
      <c r="R2670" s="483" t="str">
        <f>IFERROR(INDEX([1]Produtos!$I:$I,MATCH(L2670,[1]Produtos!$B:$B,0)), "-")</f>
        <v>-</v>
      </c>
      <c r="S2670" s="483" t="str">
        <f>IFERROR(INDEX([1]Produtos!$J:$J,MATCH(L2670,[1]Produtos!$B:$B,0)), "-")</f>
        <v>-</v>
      </c>
      <c r="T2670" s="484"/>
      <c r="U2670" s="483"/>
      <c r="V2670" s="483"/>
      <c r="W2670" s="483"/>
      <c r="X2670" s="483"/>
      <c r="Y2670" s="483"/>
      <c r="Z2670" s="483"/>
      <c r="AA2670" s="483"/>
      <c r="AB2670" s="483"/>
      <c r="AC2670" s="483"/>
      <c r="AD2670" s="483"/>
      <c r="AE2670" s="483"/>
      <c r="AF2670" s="483"/>
      <c r="AG2670" s="483"/>
      <c r="AH2670" s="483"/>
      <c r="AI2670" s="483"/>
      <c r="AJ2670" s="483"/>
      <c r="AK2670" s="483"/>
      <c r="AL2670" s="483"/>
      <c r="AM2670" s="670"/>
      <c r="AN2670" s="670"/>
      <c r="AO2670" s="711" t="str">
        <f>IF(OR(Table1[[#This Row],[Início Setup Envase]]="",Table1[[#This Row],[Final Setup Envase]]=""),"",Table1[[#This Row],[Final Setup Envase]]-Table1[[#This Row],[Início Setup Envase]])</f>
        <v/>
      </c>
      <c r="AP2670" s="670"/>
      <c r="AQ2670" s="670"/>
      <c r="AR2670" s="483"/>
      <c r="AS2670" s="483"/>
      <c r="AT2670" s="483"/>
      <c r="AU2670" s="483"/>
      <c r="AV2670" s="483"/>
      <c r="AW2670" s="483"/>
      <c r="AX2670" s="483"/>
      <c r="AY2670" s="270"/>
      <c r="AZ2670" s="270"/>
      <c r="BA2670" s="270" t="str">
        <f>IF(Table1[[#This Row],[Data de Início]]="","",YEAR(Table1[[#This Row],[Data de Início]]))</f>
        <v/>
      </c>
      <c r="BB2670" s="270" t="str">
        <f>IF(Table1[[#This Row],[Data de Início]]="","",MONTH(Table1[[#This Row],[Data de Início]]))</f>
        <v/>
      </c>
      <c r="BC2670" s="270"/>
    </row>
    <row r="2671" spans="2:55" x14ac:dyDescent="0.25">
      <c r="B2671" s="470"/>
      <c r="C2671" s="263"/>
      <c r="D2671" s="477" cm="1">
        <f t="array" ref="D2671">IFERROR(HorasUteisFabrica2Turnos(B2671,C2671), "")</f>
        <v>0</v>
      </c>
      <c r="E2671" s="697" t="str">
        <f t="shared" si="42"/>
        <v/>
      </c>
      <c r="F2671" s="266"/>
      <c r="G2671" s="698"/>
      <c r="H2671" s="266"/>
      <c r="I2671" s="268"/>
      <c r="J2671" s="268"/>
      <c r="K2671" s="268"/>
      <c r="L2671" s="269"/>
      <c r="M2671" s="510" t="str">
        <f>IFERROR(INDEX([1]Produtos!$C:$C,MATCH(L2671,[1]Produtos!$B:$B,0)), "-")</f>
        <v>-</v>
      </c>
      <c r="N2671" s="510" t="str">
        <f>IFERROR(INDEX([1]Produtos!$E:$E,MATCH(L2671,[1]Produtos!$B:$B,0)), "-")</f>
        <v>-</v>
      </c>
      <c r="O2671" s="270" t="str">
        <f>IFERROR(INDEX([1]Produtos!$F:$F,MATCH(L2671,[1]Produtos!$B:$B,0)), "-")</f>
        <v>-</v>
      </c>
      <c r="P2671" s="264" t="str">
        <f>IFERROR(INDEX([1]Produtos!$G:$G,MATCH(L2671,[1]Produtos!$B:$B,0)), "-")</f>
        <v>-</v>
      </c>
      <c r="Q2671" s="270" t="str">
        <f>IFERROR(INDEX([1]Produtos!$H:$H,MATCH(L2671,[1]Produtos!$B:$B,0)), "-")</f>
        <v>-</v>
      </c>
      <c r="R2671" s="270" t="str">
        <f>IFERROR(INDEX([1]Produtos!$I:$I,MATCH(L2671,[1]Produtos!$B:$B,0)), "-")</f>
        <v>-</v>
      </c>
      <c r="S2671" s="270" t="str">
        <f>IFERROR(INDEX([1]Produtos!$J:$J,MATCH(L2671,[1]Produtos!$B:$B,0)), "-")</f>
        <v>-</v>
      </c>
      <c r="T2671" s="475"/>
      <c r="U2671" s="270"/>
      <c r="V2671" s="270"/>
      <c r="W2671" s="270"/>
      <c r="X2671" s="270"/>
      <c r="Y2671" s="270"/>
      <c r="Z2671" s="270"/>
      <c r="AA2671" s="270"/>
      <c r="AB2671" s="270"/>
      <c r="AC2671" s="270"/>
      <c r="AD2671" s="270"/>
      <c r="AE2671" s="270"/>
      <c r="AF2671" s="270"/>
      <c r="AG2671" s="270"/>
      <c r="AH2671" s="270"/>
      <c r="AI2671" s="270"/>
      <c r="AJ2671" s="270"/>
      <c r="AK2671" s="270"/>
      <c r="AL2671" s="270"/>
      <c r="AM2671" s="663"/>
      <c r="AN2671" s="663"/>
      <c r="AO2671" s="708" t="str">
        <f>IF(OR(Table1[[#This Row],[Início Setup Envase]]="",Table1[[#This Row],[Final Setup Envase]]=""),"",Table1[[#This Row],[Final Setup Envase]]-Table1[[#This Row],[Início Setup Envase]])</f>
        <v/>
      </c>
      <c r="AP2671" s="663"/>
      <c r="AQ2671" s="663"/>
      <c r="AR2671" s="270"/>
      <c r="AS2671" s="674"/>
      <c r="AT2671" s="674"/>
      <c r="AU2671" s="270"/>
      <c r="AV2671" s="270"/>
      <c r="AW2671" s="270"/>
      <c r="AX2671" s="270"/>
      <c r="AY2671" s="270"/>
      <c r="AZ2671" s="270"/>
      <c r="BA2671" s="270" t="str">
        <f>IF(Table1[[#This Row],[Data de Início]]="","",YEAR(Table1[[#This Row],[Data de Início]]))</f>
        <v/>
      </c>
      <c r="BB2671" s="270" t="str">
        <f>IF(Table1[[#This Row],[Data de Início]]="","",MONTH(Table1[[#This Row],[Data de Início]]))</f>
        <v/>
      </c>
      <c r="BC2671" s="483"/>
    </row>
    <row r="2672" spans="2:55" x14ac:dyDescent="0.25">
      <c r="B2672" s="470"/>
      <c r="C2672" s="263"/>
      <c r="D2672" s="477" cm="1">
        <f t="array" ref="D2672">IFERROR(HorasUteisFabrica2Turnos(B2672,C2672), "")</f>
        <v>0</v>
      </c>
      <c r="E2672" s="478" t="str">
        <f t="shared" si="42"/>
        <v/>
      </c>
      <c r="F2672" s="266"/>
      <c r="G2672" s="656"/>
      <c r="H2672" s="479"/>
      <c r="I2672" s="268"/>
      <c r="J2672" s="268"/>
      <c r="K2672" s="268"/>
      <c r="L2672" s="269"/>
      <c r="M2672" s="511" t="str">
        <f>IFERROR(INDEX([1]Produtos!$C:$C,MATCH(L2672,[1]Produtos!$B:$B,0)), "-")</f>
        <v>-</v>
      </c>
      <c r="N2672" s="511" t="str">
        <f>IFERROR(INDEX([1]Produtos!$E:$E,MATCH(L2672,[1]Produtos!$B:$B,0)), "-")</f>
        <v>-</v>
      </c>
      <c r="O2672" s="483" t="str">
        <f>IFERROR(INDEX([1]Produtos!$F:$F,MATCH(L2672,[1]Produtos!$B:$B,0)), "-")</f>
        <v>-</v>
      </c>
      <c r="P2672" s="477" t="str">
        <f>IFERROR(INDEX([1]Produtos!$G:$G,MATCH(L2672,[1]Produtos!$B:$B,0)), "-")</f>
        <v>-</v>
      </c>
      <c r="Q2672" s="483" t="str">
        <f>IFERROR(INDEX([1]Produtos!$H:$H,MATCH(L2672,[1]Produtos!$B:$B,0)), "-")</f>
        <v>-</v>
      </c>
      <c r="R2672" s="483" t="str">
        <f>IFERROR(INDEX([1]Produtos!$I:$I,MATCH(L2672,[1]Produtos!$B:$B,0)), "-")</f>
        <v>-</v>
      </c>
      <c r="S2672" s="483" t="str">
        <f>IFERROR(INDEX([1]Produtos!$J:$J,MATCH(L2672,[1]Produtos!$B:$B,0)), "-")</f>
        <v>-</v>
      </c>
      <c r="T2672" s="484"/>
      <c r="U2672" s="483"/>
      <c r="V2672" s="483"/>
      <c r="W2672" s="483"/>
      <c r="X2672" s="483"/>
      <c r="Y2672" s="483"/>
      <c r="Z2672" s="483"/>
      <c r="AA2672" s="483"/>
      <c r="AB2672" s="483"/>
      <c r="AC2672" s="483"/>
      <c r="AD2672" s="483"/>
      <c r="AE2672" s="483"/>
      <c r="AF2672" s="483"/>
      <c r="AG2672" s="483"/>
      <c r="AH2672" s="483"/>
      <c r="AI2672" s="483"/>
      <c r="AJ2672" s="483"/>
      <c r="AK2672" s="483"/>
      <c r="AL2672" s="483"/>
      <c r="AM2672" s="670"/>
      <c r="AN2672" s="670"/>
      <c r="AO2672" s="711" t="str">
        <f>IF(OR(Table1[[#This Row],[Início Setup Envase]]="",Table1[[#This Row],[Final Setup Envase]]=""),"",Table1[[#This Row],[Final Setup Envase]]-Table1[[#This Row],[Início Setup Envase]])</f>
        <v/>
      </c>
      <c r="AP2672" s="670"/>
      <c r="AQ2672" s="670"/>
      <c r="AR2672" s="483"/>
      <c r="AS2672" s="483"/>
      <c r="AT2672" s="483"/>
      <c r="AU2672" s="483"/>
      <c r="AV2672" s="483"/>
      <c r="AW2672" s="483"/>
      <c r="AX2672" s="483"/>
      <c r="AY2672" s="270"/>
      <c r="AZ2672" s="270"/>
      <c r="BA2672" s="270" t="str">
        <f>IF(Table1[[#This Row],[Data de Início]]="","",YEAR(Table1[[#This Row],[Data de Início]]))</f>
        <v/>
      </c>
      <c r="BB2672" s="270" t="str">
        <f>IF(Table1[[#This Row],[Data de Início]]="","",MONTH(Table1[[#This Row],[Data de Início]]))</f>
        <v/>
      </c>
      <c r="BC2672" s="270"/>
    </row>
    <row r="2673" spans="2:55" x14ac:dyDescent="0.25">
      <c r="B2673" s="470"/>
      <c r="C2673" s="263"/>
      <c r="D2673" s="477" cm="1">
        <f t="array" ref="D2673">IFERROR(HorasUteisFabrica2Turnos(B2673,C2673), "")</f>
        <v>0</v>
      </c>
      <c r="E2673" s="697" t="str">
        <f t="shared" si="42"/>
        <v/>
      </c>
      <c r="F2673" s="266"/>
      <c r="G2673" s="698"/>
      <c r="H2673" s="266"/>
      <c r="I2673" s="268"/>
      <c r="J2673" s="268"/>
      <c r="K2673" s="268"/>
      <c r="L2673" s="269"/>
      <c r="M2673" s="510" t="str">
        <f>IFERROR(INDEX([1]Produtos!$C:$C,MATCH(L2673,[1]Produtos!$B:$B,0)), "-")</f>
        <v>-</v>
      </c>
      <c r="N2673" s="510" t="str">
        <f>IFERROR(INDEX([1]Produtos!$E:$E,MATCH(L2673,[1]Produtos!$B:$B,0)), "-")</f>
        <v>-</v>
      </c>
      <c r="O2673" s="270" t="str">
        <f>IFERROR(INDEX([1]Produtos!$F:$F,MATCH(L2673,[1]Produtos!$B:$B,0)), "-")</f>
        <v>-</v>
      </c>
      <c r="P2673" s="264" t="str">
        <f>IFERROR(INDEX([1]Produtos!$G:$G,MATCH(L2673,[1]Produtos!$B:$B,0)), "-")</f>
        <v>-</v>
      </c>
      <c r="Q2673" s="270" t="str">
        <f>IFERROR(INDEX([1]Produtos!$H:$H,MATCH(L2673,[1]Produtos!$B:$B,0)), "-")</f>
        <v>-</v>
      </c>
      <c r="R2673" s="270" t="str">
        <f>IFERROR(INDEX([1]Produtos!$I:$I,MATCH(L2673,[1]Produtos!$B:$B,0)), "-")</f>
        <v>-</v>
      </c>
      <c r="S2673" s="270" t="str">
        <f>IFERROR(INDEX([1]Produtos!$J:$J,MATCH(L2673,[1]Produtos!$B:$B,0)), "-")</f>
        <v>-</v>
      </c>
      <c r="T2673" s="475"/>
      <c r="U2673" s="270"/>
      <c r="V2673" s="270"/>
      <c r="W2673" s="270"/>
      <c r="X2673" s="270"/>
      <c r="Y2673" s="270"/>
      <c r="Z2673" s="270"/>
      <c r="AA2673" s="270"/>
      <c r="AB2673" s="270"/>
      <c r="AC2673" s="270"/>
      <c r="AD2673" s="270"/>
      <c r="AE2673" s="270"/>
      <c r="AF2673" s="270"/>
      <c r="AG2673" s="270"/>
      <c r="AH2673" s="270"/>
      <c r="AI2673" s="270"/>
      <c r="AJ2673" s="270"/>
      <c r="AK2673" s="270"/>
      <c r="AL2673" s="270"/>
      <c r="AM2673" s="663"/>
      <c r="AN2673" s="663"/>
      <c r="AO2673" s="708" t="str">
        <f>IF(OR(Table1[[#This Row],[Início Setup Envase]]="",Table1[[#This Row],[Final Setup Envase]]=""),"",Table1[[#This Row],[Final Setup Envase]]-Table1[[#This Row],[Início Setup Envase]])</f>
        <v/>
      </c>
      <c r="AP2673" s="663"/>
      <c r="AQ2673" s="663"/>
      <c r="AR2673" s="270"/>
      <c r="AS2673" s="674"/>
      <c r="AT2673" s="674"/>
      <c r="AU2673" s="270"/>
      <c r="AV2673" s="270"/>
      <c r="AW2673" s="270"/>
      <c r="AX2673" s="270"/>
      <c r="AY2673" s="270"/>
      <c r="AZ2673" s="270"/>
      <c r="BA2673" s="270" t="str">
        <f>IF(Table1[[#This Row],[Data de Início]]="","",YEAR(Table1[[#This Row],[Data de Início]]))</f>
        <v/>
      </c>
      <c r="BB2673" s="270" t="str">
        <f>IF(Table1[[#This Row],[Data de Início]]="","",MONTH(Table1[[#This Row],[Data de Início]]))</f>
        <v/>
      </c>
      <c r="BC2673" s="483"/>
    </row>
    <row r="2674" spans="2:55" x14ac:dyDescent="0.25">
      <c r="B2674" s="470"/>
      <c r="C2674" s="263"/>
      <c r="D2674" s="477" cm="1">
        <f t="array" ref="D2674">IFERROR(HorasUteisFabrica2Turnos(B2674,C2674), "")</f>
        <v>0</v>
      </c>
      <c r="E2674" s="478" t="str">
        <f t="shared" si="42"/>
        <v/>
      </c>
      <c r="F2674" s="266"/>
      <c r="G2674" s="656"/>
      <c r="H2674" s="479"/>
      <c r="I2674" s="268"/>
      <c r="J2674" s="268"/>
      <c r="K2674" s="268"/>
      <c r="L2674" s="269"/>
      <c r="M2674" s="511" t="str">
        <f>IFERROR(INDEX([1]Produtos!$C:$C,MATCH(L2674,[1]Produtos!$B:$B,0)), "-")</f>
        <v>-</v>
      </c>
      <c r="N2674" s="511" t="str">
        <f>IFERROR(INDEX([1]Produtos!$E:$E,MATCH(L2674,[1]Produtos!$B:$B,0)), "-")</f>
        <v>-</v>
      </c>
      <c r="O2674" s="483" t="str">
        <f>IFERROR(INDEX([1]Produtos!$F:$F,MATCH(L2674,[1]Produtos!$B:$B,0)), "-")</f>
        <v>-</v>
      </c>
      <c r="P2674" s="477" t="str">
        <f>IFERROR(INDEX([1]Produtos!$G:$G,MATCH(L2674,[1]Produtos!$B:$B,0)), "-")</f>
        <v>-</v>
      </c>
      <c r="Q2674" s="483" t="str">
        <f>IFERROR(INDEX([1]Produtos!$H:$H,MATCH(L2674,[1]Produtos!$B:$B,0)), "-")</f>
        <v>-</v>
      </c>
      <c r="R2674" s="483" t="str">
        <f>IFERROR(INDEX([1]Produtos!$I:$I,MATCH(L2674,[1]Produtos!$B:$B,0)), "-")</f>
        <v>-</v>
      </c>
      <c r="S2674" s="483" t="str">
        <f>IFERROR(INDEX([1]Produtos!$J:$J,MATCH(L2674,[1]Produtos!$B:$B,0)), "-")</f>
        <v>-</v>
      </c>
      <c r="T2674" s="484"/>
      <c r="U2674" s="483"/>
      <c r="V2674" s="483"/>
      <c r="W2674" s="483"/>
      <c r="X2674" s="483"/>
      <c r="Y2674" s="483"/>
      <c r="Z2674" s="483"/>
      <c r="AA2674" s="483"/>
      <c r="AB2674" s="483"/>
      <c r="AC2674" s="483"/>
      <c r="AD2674" s="483"/>
      <c r="AE2674" s="483"/>
      <c r="AF2674" s="483"/>
      <c r="AG2674" s="483"/>
      <c r="AH2674" s="483"/>
      <c r="AI2674" s="483"/>
      <c r="AJ2674" s="483"/>
      <c r="AK2674" s="483"/>
      <c r="AL2674" s="483"/>
      <c r="AM2674" s="670"/>
      <c r="AN2674" s="670"/>
      <c r="AO2674" s="711" t="str">
        <f>IF(OR(Table1[[#This Row],[Início Setup Envase]]="",Table1[[#This Row],[Final Setup Envase]]=""),"",Table1[[#This Row],[Final Setup Envase]]-Table1[[#This Row],[Início Setup Envase]])</f>
        <v/>
      </c>
      <c r="AP2674" s="670"/>
      <c r="AQ2674" s="670"/>
      <c r="AR2674" s="483"/>
      <c r="AS2674" s="483"/>
      <c r="AT2674" s="483"/>
      <c r="AU2674" s="483"/>
      <c r="AV2674" s="483"/>
      <c r="AW2674" s="483"/>
      <c r="AX2674" s="483"/>
      <c r="AY2674" s="270"/>
      <c r="AZ2674" s="270"/>
      <c r="BA2674" s="270" t="str">
        <f>IF(Table1[[#This Row],[Data de Início]]="","",YEAR(Table1[[#This Row],[Data de Início]]))</f>
        <v/>
      </c>
      <c r="BB2674" s="270" t="str">
        <f>IF(Table1[[#This Row],[Data de Início]]="","",MONTH(Table1[[#This Row],[Data de Início]]))</f>
        <v/>
      </c>
      <c r="BC2674" s="270"/>
    </row>
    <row r="2675" spans="2:55" x14ac:dyDescent="0.25">
      <c r="B2675" s="470"/>
      <c r="C2675" s="263"/>
      <c r="D2675" s="477" cm="1">
        <f t="array" ref="D2675">IFERROR(HorasUteisFabrica2Turnos(B2675,C2675), "")</f>
        <v>0</v>
      </c>
      <c r="E2675" s="697" t="str">
        <f t="shared" si="42"/>
        <v/>
      </c>
      <c r="F2675" s="266"/>
      <c r="G2675" s="698"/>
      <c r="H2675" s="266"/>
      <c r="I2675" s="268"/>
      <c r="J2675" s="268"/>
      <c r="K2675" s="268"/>
      <c r="L2675" s="269"/>
      <c r="M2675" s="510" t="str">
        <f>IFERROR(INDEX([1]Produtos!$C:$C,MATCH(L2675,[1]Produtos!$B:$B,0)), "-")</f>
        <v>-</v>
      </c>
      <c r="N2675" s="510" t="str">
        <f>IFERROR(INDEX([1]Produtos!$E:$E,MATCH(L2675,[1]Produtos!$B:$B,0)), "-")</f>
        <v>-</v>
      </c>
      <c r="O2675" s="270" t="str">
        <f>IFERROR(INDEX([1]Produtos!$F:$F,MATCH(L2675,[1]Produtos!$B:$B,0)), "-")</f>
        <v>-</v>
      </c>
      <c r="P2675" s="264" t="str">
        <f>IFERROR(INDEX([1]Produtos!$G:$G,MATCH(L2675,[1]Produtos!$B:$B,0)), "-")</f>
        <v>-</v>
      </c>
      <c r="Q2675" s="270" t="str">
        <f>IFERROR(INDEX([1]Produtos!$H:$H,MATCH(L2675,[1]Produtos!$B:$B,0)), "-")</f>
        <v>-</v>
      </c>
      <c r="R2675" s="270" t="str">
        <f>IFERROR(INDEX([1]Produtos!$I:$I,MATCH(L2675,[1]Produtos!$B:$B,0)), "-")</f>
        <v>-</v>
      </c>
      <c r="S2675" s="270" t="str">
        <f>IFERROR(INDEX([1]Produtos!$J:$J,MATCH(L2675,[1]Produtos!$B:$B,0)), "-")</f>
        <v>-</v>
      </c>
      <c r="T2675" s="475"/>
      <c r="U2675" s="270"/>
      <c r="V2675" s="270"/>
      <c r="W2675" s="270"/>
      <c r="X2675" s="270"/>
      <c r="Y2675" s="270"/>
      <c r="Z2675" s="270"/>
      <c r="AA2675" s="270"/>
      <c r="AB2675" s="270"/>
      <c r="AC2675" s="270"/>
      <c r="AD2675" s="270"/>
      <c r="AE2675" s="270"/>
      <c r="AF2675" s="270"/>
      <c r="AG2675" s="270"/>
      <c r="AH2675" s="270"/>
      <c r="AI2675" s="270"/>
      <c r="AJ2675" s="270"/>
      <c r="AK2675" s="270"/>
      <c r="AL2675" s="270"/>
      <c r="AM2675" s="663"/>
      <c r="AN2675" s="663"/>
      <c r="AO2675" s="708" t="str">
        <f>IF(OR(Table1[[#This Row],[Início Setup Envase]]="",Table1[[#This Row],[Final Setup Envase]]=""),"",Table1[[#This Row],[Final Setup Envase]]-Table1[[#This Row],[Início Setup Envase]])</f>
        <v/>
      </c>
      <c r="AP2675" s="663"/>
      <c r="AQ2675" s="663"/>
      <c r="AR2675" s="270"/>
      <c r="AS2675" s="674"/>
      <c r="AT2675" s="674"/>
      <c r="AU2675" s="270"/>
      <c r="AV2675" s="270"/>
      <c r="AW2675" s="270"/>
      <c r="AX2675" s="270"/>
      <c r="AY2675" s="270"/>
      <c r="AZ2675" s="270"/>
      <c r="BA2675" s="270" t="str">
        <f>IF(Table1[[#This Row],[Data de Início]]="","",YEAR(Table1[[#This Row],[Data de Início]]))</f>
        <v/>
      </c>
      <c r="BB2675" s="270" t="str">
        <f>IF(Table1[[#This Row],[Data de Início]]="","",MONTH(Table1[[#This Row],[Data de Início]]))</f>
        <v/>
      </c>
      <c r="BC2675" s="483"/>
    </row>
    <row r="2676" spans="2:55" x14ac:dyDescent="0.25">
      <c r="B2676" s="470"/>
      <c r="C2676" s="263"/>
      <c r="D2676" s="477" cm="1">
        <f t="array" ref="D2676">IFERROR(HorasUteisFabrica2Turnos(B2676,C2676), "")</f>
        <v>0</v>
      </c>
      <c r="E2676" s="478" t="str">
        <f t="shared" si="42"/>
        <v/>
      </c>
      <c r="F2676" s="266"/>
      <c r="G2676" s="656"/>
      <c r="H2676" s="479"/>
      <c r="I2676" s="268"/>
      <c r="J2676" s="268"/>
      <c r="K2676" s="268"/>
      <c r="L2676" s="269"/>
      <c r="M2676" s="511" t="str">
        <f>IFERROR(INDEX([1]Produtos!$C:$C,MATCH(L2676,[1]Produtos!$B:$B,0)), "-")</f>
        <v>-</v>
      </c>
      <c r="N2676" s="511" t="str">
        <f>IFERROR(INDEX([1]Produtos!$E:$E,MATCH(L2676,[1]Produtos!$B:$B,0)), "-")</f>
        <v>-</v>
      </c>
      <c r="O2676" s="483" t="str">
        <f>IFERROR(INDEX([1]Produtos!$F:$F,MATCH(L2676,[1]Produtos!$B:$B,0)), "-")</f>
        <v>-</v>
      </c>
      <c r="P2676" s="477" t="str">
        <f>IFERROR(INDEX([1]Produtos!$G:$G,MATCH(L2676,[1]Produtos!$B:$B,0)), "-")</f>
        <v>-</v>
      </c>
      <c r="Q2676" s="483" t="str">
        <f>IFERROR(INDEX([1]Produtos!$H:$H,MATCH(L2676,[1]Produtos!$B:$B,0)), "-")</f>
        <v>-</v>
      </c>
      <c r="R2676" s="483" t="str">
        <f>IFERROR(INDEX([1]Produtos!$I:$I,MATCH(L2676,[1]Produtos!$B:$B,0)), "-")</f>
        <v>-</v>
      </c>
      <c r="S2676" s="483" t="str">
        <f>IFERROR(INDEX([1]Produtos!$J:$J,MATCH(L2676,[1]Produtos!$B:$B,0)), "-")</f>
        <v>-</v>
      </c>
      <c r="T2676" s="484"/>
      <c r="U2676" s="483"/>
      <c r="V2676" s="483"/>
      <c r="W2676" s="483"/>
      <c r="X2676" s="483"/>
      <c r="Y2676" s="483"/>
      <c r="Z2676" s="483"/>
      <c r="AA2676" s="483"/>
      <c r="AB2676" s="483"/>
      <c r="AC2676" s="483"/>
      <c r="AD2676" s="483"/>
      <c r="AE2676" s="483"/>
      <c r="AF2676" s="483"/>
      <c r="AG2676" s="483"/>
      <c r="AH2676" s="483"/>
      <c r="AI2676" s="483"/>
      <c r="AJ2676" s="483"/>
      <c r="AK2676" s="483"/>
      <c r="AL2676" s="483"/>
      <c r="AM2676" s="670"/>
      <c r="AN2676" s="670"/>
      <c r="AO2676" s="711" t="str">
        <f>IF(OR(Table1[[#This Row],[Início Setup Envase]]="",Table1[[#This Row],[Final Setup Envase]]=""),"",Table1[[#This Row],[Final Setup Envase]]-Table1[[#This Row],[Início Setup Envase]])</f>
        <v/>
      </c>
      <c r="AP2676" s="670"/>
      <c r="AQ2676" s="670"/>
      <c r="AR2676" s="483"/>
      <c r="AS2676" s="483"/>
      <c r="AT2676" s="483"/>
      <c r="AU2676" s="483"/>
      <c r="AV2676" s="483"/>
      <c r="AW2676" s="483"/>
      <c r="AX2676" s="483"/>
      <c r="AY2676" s="270"/>
      <c r="AZ2676" s="270"/>
      <c r="BA2676" s="270" t="str">
        <f>IF(Table1[[#This Row],[Data de Início]]="","",YEAR(Table1[[#This Row],[Data de Início]]))</f>
        <v/>
      </c>
      <c r="BB2676" s="270" t="str">
        <f>IF(Table1[[#This Row],[Data de Início]]="","",MONTH(Table1[[#This Row],[Data de Início]]))</f>
        <v/>
      </c>
      <c r="BC2676" s="270"/>
    </row>
    <row r="2677" spans="2:55" x14ac:dyDescent="0.25">
      <c r="B2677" s="470"/>
      <c r="C2677" s="263"/>
      <c r="D2677" s="477" cm="1">
        <f t="array" ref="D2677">IFERROR(HorasUteisFabrica2Turnos(B2677,C2677), "")</f>
        <v>0</v>
      </c>
      <c r="E2677" s="697" t="str">
        <f t="shared" si="42"/>
        <v/>
      </c>
      <c r="F2677" s="266"/>
      <c r="G2677" s="698"/>
      <c r="H2677" s="266"/>
      <c r="I2677" s="268"/>
      <c r="J2677" s="268"/>
      <c r="K2677" s="268"/>
      <c r="L2677" s="269"/>
      <c r="M2677" s="510" t="str">
        <f>IFERROR(INDEX([1]Produtos!$C:$C,MATCH(L2677,[1]Produtos!$B:$B,0)), "-")</f>
        <v>-</v>
      </c>
      <c r="N2677" s="510" t="str">
        <f>IFERROR(INDEX([1]Produtos!$E:$E,MATCH(L2677,[1]Produtos!$B:$B,0)), "-")</f>
        <v>-</v>
      </c>
      <c r="O2677" s="270" t="str">
        <f>IFERROR(INDEX([1]Produtos!$F:$F,MATCH(L2677,[1]Produtos!$B:$B,0)), "-")</f>
        <v>-</v>
      </c>
      <c r="P2677" s="264" t="str">
        <f>IFERROR(INDEX([1]Produtos!$G:$G,MATCH(L2677,[1]Produtos!$B:$B,0)), "-")</f>
        <v>-</v>
      </c>
      <c r="Q2677" s="270" t="str">
        <f>IFERROR(INDEX([1]Produtos!$H:$H,MATCH(L2677,[1]Produtos!$B:$B,0)), "-")</f>
        <v>-</v>
      </c>
      <c r="R2677" s="270" t="str">
        <f>IFERROR(INDEX([1]Produtos!$I:$I,MATCH(L2677,[1]Produtos!$B:$B,0)), "-")</f>
        <v>-</v>
      </c>
      <c r="S2677" s="270" t="str">
        <f>IFERROR(INDEX([1]Produtos!$J:$J,MATCH(L2677,[1]Produtos!$B:$B,0)), "-")</f>
        <v>-</v>
      </c>
      <c r="T2677" s="475"/>
      <c r="U2677" s="270"/>
      <c r="V2677" s="270"/>
      <c r="W2677" s="270"/>
      <c r="X2677" s="270"/>
      <c r="Y2677" s="270"/>
      <c r="Z2677" s="270"/>
      <c r="AA2677" s="270"/>
      <c r="AB2677" s="270"/>
      <c r="AC2677" s="270"/>
      <c r="AD2677" s="270"/>
      <c r="AE2677" s="270"/>
      <c r="AF2677" s="270"/>
      <c r="AG2677" s="270"/>
      <c r="AH2677" s="270"/>
      <c r="AI2677" s="270"/>
      <c r="AJ2677" s="270"/>
      <c r="AK2677" s="270"/>
      <c r="AL2677" s="270"/>
      <c r="AM2677" s="663"/>
      <c r="AN2677" s="663"/>
      <c r="AO2677" s="708" t="str">
        <f>IF(OR(Table1[[#This Row],[Início Setup Envase]]="",Table1[[#This Row],[Final Setup Envase]]=""),"",Table1[[#This Row],[Final Setup Envase]]-Table1[[#This Row],[Início Setup Envase]])</f>
        <v/>
      </c>
      <c r="AP2677" s="663"/>
      <c r="AQ2677" s="663"/>
      <c r="AR2677" s="270"/>
      <c r="AS2677" s="674"/>
      <c r="AT2677" s="674"/>
      <c r="AU2677" s="270"/>
      <c r="AV2677" s="270"/>
      <c r="AW2677" s="270"/>
      <c r="AX2677" s="270"/>
      <c r="AY2677" s="270"/>
      <c r="AZ2677" s="270"/>
      <c r="BA2677" s="270" t="str">
        <f>IF(Table1[[#This Row],[Data de Início]]="","",YEAR(Table1[[#This Row],[Data de Início]]))</f>
        <v/>
      </c>
      <c r="BB2677" s="270" t="str">
        <f>IF(Table1[[#This Row],[Data de Início]]="","",MONTH(Table1[[#This Row],[Data de Início]]))</f>
        <v/>
      </c>
      <c r="BC2677" s="483"/>
    </row>
    <row r="2678" spans="2:55" x14ac:dyDescent="0.25">
      <c r="B2678" s="470"/>
      <c r="C2678" s="263"/>
      <c r="D2678" s="477" cm="1">
        <f t="array" ref="D2678">IFERROR(HorasUteisFabrica2Turnos(B2678,C2678), "")</f>
        <v>0</v>
      </c>
      <c r="E2678" s="478" t="str">
        <f t="shared" si="42"/>
        <v/>
      </c>
      <c r="F2678" s="266"/>
      <c r="G2678" s="656"/>
      <c r="H2678" s="479"/>
      <c r="I2678" s="268"/>
      <c r="J2678" s="268"/>
      <c r="K2678" s="268"/>
      <c r="L2678" s="269"/>
      <c r="M2678" s="511" t="str">
        <f>IFERROR(INDEX([1]Produtos!$C:$C,MATCH(L2678,[1]Produtos!$B:$B,0)), "-")</f>
        <v>-</v>
      </c>
      <c r="N2678" s="511" t="str">
        <f>IFERROR(INDEX([1]Produtos!$E:$E,MATCH(L2678,[1]Produtos!$B:$B,0)), "-")</f>
        <v>-</v>
      </c>
      <c r="O2678" s="483" t="str">
        <f>IFERROR(INDEX([1]Produtos!$F:$F,MATCH(L2678,[1]Produtos!$B:$B,0)), "-")</f>
        <v>-</v>
      </c>
      <c r="P2678" s="477" t="str">
        <f>IFERROR(INDEX([1]Produtos!$G:$G,MATCH(L2678,[1]Produtos!$B:$B,0)), "-")</f>
        <v>-</v>
      </c>
      <c r="Q2678" s="483" t="str">
        <f>IFERROR(INDEX([1]Produtos!$H:$H,MATCH(L2678,[1]Produtos!$B:$B,0)), "-")</f>
        <v>-</v>
      </c>
      <c r="R2678" s="483" t="str">
        <f>IFERROR(INDEX([1]Produtos!$I:$I,MATCH(L2678,[1]Produtos!$B:$B,0)), "-")</f>
        <v>-</v>
      </c>
      <c r="S2678" s="483" t="str">
        <f>IFERROR(INDEX([1]Produtos!$J:$J,MATCH(L2678,[1]Produtos!$B:$B,0)), "-")</f>
        <v>-</v>
      </c>
      <c r="T2678" s="484"/>
      <c r="U2678" s="483"/>
      <c r="V2678" s="483"/>
      <c r="W2678" s="483"/>
      <c r="X2678" s="483"/>
      <c r="Y2678" s="483"/>
      <c r="Z2678" s="483"/>
      <c r="AA2678" s="483"/>
      <c r="AB2678" s="483"/>
      <c r="AC2678" s="483"/>
      <c r="AD2678" s="483"/>
      <c r="AE2678" s="483"/>
      <c r="AF2678" s="483"/>
      <c r="AG2678" s="483"/>
      <c r="AH2678" s="483"/>
      <c r="AI2678" s="483"/>
      <c r="AJ2678" s="483"/>
      <c r="AK2678" s="483"/>
      <c r="AL2678" s="483"/>
      <c r="AM2678" s="670"/>
      <c r="AN2678" s="670"/>
      <c r="AO2678" s="711" t="str">
        <f>IF(OR(Table1[[#This Row],[Início Setup Envase]]="",Table1[[#This Row],[Final Setup Envase]]=""),"",Table1[[#This Row],[Final Setup Envase]]-Table1[[#This Row],[Início Setup Envase]])</f>
        <v/>
      </c>
      <c r="AP2678" s="670"/>
      <c r="AQ2678" s="670"/>
      <c r="AR2678" s="483"/>
      <c r="AS2678" s="483"/>
      <c r="AT2678" s="483"/>
      <c r="AU2678" s="483"/>
      <c r="AV2678" s="483"/>
      <c r="AW2678" s="483"/>
      <c r="AX2678" s="483"/>
      <c r="AY2678" s="270"/>
      <c r="AZ2678" s="270"/>
      <c r="BA2678" s="270" t="str">
        <f>IF(Table1[[#This Row],[Data de Início]]="","",YEAR(Table1[[#This Row],[Data de Início]]))</f>
        <v/>
      </c>
      <c r="BB2678" s="270" t="str">
        <f>IF(Table1[[#This Row],[Data de Início]]="","",MONTH(Table1[[#This Row],[Data de Início]]))</f>
        <v/>
      </c>
      <c r="BC2678" s="270"/>
    </row>
    <row r="2679" spans="2:55" x14ac:dyDescent="0.25">
      <c r="B2679" s="470"/>
      <c r="C2679" s="263"/>
      <c r="D2679" s="477" cm="1">
        <f t="array" ref="D2679">IFERROR(HorasUteisFabrica2Turnos(B2679,C2679), "")</f>
        <v>0</v>
      </c>
      <c r="E2679" s="697" t="str">
        <f t="shared" si="42"/>
        <v/>
      </c>
      <c r="F2679" s="266"/>
      <c r="G2679" s="698"/>
      <c r="H2679" s="266"/>
      <c r="I2679" s="268"/>
      <c r="J2679" s="268"/>
      <c r="K2679" s="268"/>
      <c r="L2679" s="269"/>
      <c r="M2679" s="510" t="str">
        <f>IFERROR(INDEX([1]Produtos!$C:$C,MATCH(L2679,[1]Produtos!$B:$B,0)), "-")</f>
        <v>-</v>
      </c>
      <c r="N2679" s="510" t="str">
        <f>IFERROR(INDEX([1]Produtos!$E:$E,MATCH(L2679,[1]Produtos!$B:$B,0)), "-")</f>
        <v>-</v>
      </c>
      <c r="O2679" s="270" t="str">
        <f>IFERROR(INDEX([1]Produtos!$F:$F,MATCH(L2679,[1]Produtos!$B:$B,0)), "-")</f>
        <v>-</v>
      </c>
      <c r="P2679" s="264" t="str">
        <f>IFERROR(INDEX([1]Produtos!$G:$G,MATCH(L2679,[1]Produtos!$B:$B,0)), "-")</f>
        <v>-</v>
      </c>
      <c r="Q2679" s="270" t="str">
        <f>IFERROR(INDEX([1]Produtos!$H:$H,MATCH(L2679,[1]Produtos!$B:$B,0)), "-")</f>
        <v>-</v>
      </c>
      <c r="R2679" s="270" t="str">
        <f>IFERROR(INDEX([1]Produtos!$I:$I,MATCH(L2679,[1]Produtos!$B:$B,0)), "-")</f>
        <v>-</v>
      </c>
      <c r="S2679" s="270" t="str">
        <f>IFERROR(INDEX([1]Produtos!$J:$J,MATCH(L2679,[1]Produtos!$B:$B,0)), "-")</f>
        <v>-</v>
      </c>
      <c r="T2679" s="475"/>
      <c r="U2679" s="270"/>
      <c r="V2679" s="270"/>
      <c r="W2679" s="270"/>
      <c r="X2679" s="270"/>
      <c r="Y2679" s="270"/>
      <c r="Z2679" s="270"/>
      <c r="AA2679" s="270"/>
      <c r="AB2679" s="270"/>
      <c r="AC2679" s="270"/>
      <c r="AD2679" s="270"/>
      <c r="AE2679" s="270"/>
      <c r="AF2679" s="270"/>
      <c r="AG2679" s="270"/>
      <c r="AH2679" s="270"/>
      <c r="AI2679" s="270"/>
      <c r="AJ2679" s="270"/>
      <c r="AK2679" s="270"/>
      <c r="AL2679" s="270"/>
      <c r="AM2679" s="663"/>
      <c r="AN2679" s="663"/>
      <c r="AO2679" s="708" t="str">
        <f>IF(OR(Table1[[#This Row],[Início Setup Envase]]="",Table1[[#This Row],[Final Setup Envase]]=""),"",Table1[[#This Row],[Final Setup Envase]]-Table1[[#This Row],[Início Setup Envase]])</f>
        <v/>
      </c>
      <c r="AP2679" s="663"/>
      <c r="AQ2679" s="663"/>
      <c r="AR2679" s="270"/>
      <c r="AS2679" s="674"/>
      <c r="AT2679" s="674"/>
      <c r="AU2679" s="270"/>
      <c r="AV2679" s="270"/>
      <c r="AW2679" s="270"/>
      <c r="AX2679" s="270"/>
      <c r="AY2679" s="270"/>
      <c r="AZ2679" s="270"/>
      <c r="BA2679" s="270" t="str">
        <f>IF(Table1[[#This Row],[Data de Início]]="","",YEAR(Table1[[#This Row],[Data de Início]]))</f>
        <v/>
      </c>
      <c r="BB2679" s="270" t="str">
        <f>IF(Table1[[#This Row],[Data de Início]]="","",MONTH(Table1[[#This Row],[Data de Início]]))</f>
        <v/>
      </c>
      <c r="BC2679" s="483"/>
    </row>
    <row r="2680" spans="2:55" x14ac:dyDescent="0.25">
      <c r="B2680" s="470"/>
      <c r="C2680" s="263"/>
      <c r="D2680" s="477" cm="1">
        <f t="array" ref="D2680">IFERROR(HorasUteisFabrica2Turnos(B2680,C2680), "")</f>
        <v>0</v>
      </c>
      <c r="E2680" s="478" t="str">
        <f t="shared" si="42"/>
        <v/>
      </c>
      <c r="F2680" s="266"/>
      <c r="G2680" s="656"/>
      <c r="H2680" s="479"/>
      <c r="I2680" s="268"/>
      <c r="J2680" s="268"/>
      <c r="K2680" s="268"/>
      <c r="L2680" s="269"/>
      <c r="M2680" s="511" t="str">
        <f>IFERROR(INDEX([1]Produtos!$C:$C,MATCH(L2680,[1]Produtos!$B:$B,0)), "-")</f>
        <v>-</v>
      </c>
      <c r="N2680" s="511" t="str">
        <f>IFERROR(INDEX([1]Produtos!$E:$E,MATCH(L2680,[1]Produtos!$B:$B,0)), "-")</f>
        <v>-</v>
      </c>
      <c r="O2680" s="483" t="str">
        <f>IFERROR(INDEX([1]Produtos!$F:$F,MATCH(L2680,[1]Produtos!$B:$B,0)), "-")</f>
        <v>-</v>
      </c>
      <c r="P2680" s="477" t="str">
        <f>IFERROR(INDEX([1]Produtos!$G:$G,MATCH(L2680,[1]Produtos!$B:$B,0)), "-")</f>
        <v>-</v>
      </c>
      <c r="Q2680" s="483" t="str">
        <f>IFERROR(INDEX([1]Produtos!$H:$H,MATCH(L2680,[1]Produtos!$B:$B,0)), "-")</f>
        <v>-</v>
      </c>
      <c r="R2680" s="483" t="str">
        <f>IFERROR(INDEX([1]Produtos!$I:$I,MATCH(L2680,[1]Produtos!$B:$B,0)), "-")</f>
        <v>-</v>
      </c>
      <c r="S2680" s="483" t="str">
        <f>IFERROR(INDEX([1]Produtos!$J:$J,MATCH(L2680,[1]Produtos!$B:$B,0)), "-")</f>
        <v>-</v>
      </c>
      <c r="T2680" s="484"/>
      <c r="U2680" s="483"/>
      <c r="V2680" s="483"/>
      <c r="W2680" s="483"/>
      <c r="X2680" s="483"/>
      <c r="Y2680" s="483"/>
      <c r="Z2680" s="483"/>
      <c r="AA2680" s="483"/>
      <c r="AB2680" s="483"/>
      <c r="AC2680" s="483"/>
      <c r="AD2680" s="483"/>
      <c r="AE2680" s="483"/>
      <c r="AF2680" s="483"/>
      <c r="AG2680" s="483"/>
      <c r="AH2680" s="483"/>
      <c r="AI2680" s="483"/>
      <c r="AJ2680" s="483"/>
      <c r="AK2680" s="483"/>
      <c r="AL2680" s="483"/>
      <c r="AM2680" s="670"/>
      <c r="AN2680" s="670"/>
      <c r="AO2680" s="711" t="str">
        <f>IF(OR(Table1[[#This Row],[Início Setup Envase]]="",Table1[[#This Row],[Final Setup Envase]]=""),"",Table1[[#This Row],[Final Setup Envase]]-Table1[[#This Row],[Início Setup Envase]])</f>
        <v/>
      </c>
      <c r="AP2680" s="670"/>
      <c r="AQ2680" s="670"/>
      <c r="AR2680" s="483"/>
      <c r="AS2680" s="483"/>
      <c r="AT2680" s="483"/>
      <c r="AU2680" s="483"/>
      <c r="AV2680" s="483"/>
      <c r="AW2680" s="483"/>
      <c r="AX2680" s="483"/>
      <c r="AY2680" s="270"/>
      <c r="AZ2680" s="270"/>
      <c r="BA2680" s="270" t="str">
        <f>IF(Table1[[#This Row],[Data de Início]]="","",YEAR(Table1[[#This Row],[Data de Início]]))</f>
        <v/>
      </c>
      <c r="BB2680" s="270" t="str">
        <f>IF(Table1[[#This Row],[Data de Início]]="","",MONTH(Table1[[#This Row],[Data de Início]]))</f>
        <v/>
      </c>
      <c r="BC2680" s="270"/>
    </row>
    <row r="2681" spans="2:55" x14ac:dyDescent="0.25">
      <c r="B2681" s="470"/>
      <c r="C2681" s="263"/>
      <c r="D2681" s="477" cm="1">
        <f t="array" ref="D2681">IFERROR(HorasUteisFabrica2Turnos(B2681,C2681), "")</f>
        <v>0</v>
      </c>
      <c r="E2681" s="697" t="str">
        <f t="shared" si="42"/>
        <v/>
      </c>
      <c r="F2681" s="266"/>
      <c r="G2681" s="698"/>
      <c r="H2681" s="266"/>
      <c r="I2681" s="268"/>
      <c r="J2681" s="268"/>
      <c r="K2681" s="268"/>
      <c r="L2681" s="269"/>
      <c r="M2681" s="510" t="str">
        <f>IFERROR(INDEX([1]Produtos!$C:$C,MATCH(L2681,[1]Produtos!$B:$B,0)), "-")</f>
        <v>-</v>
      </c>
      <c r="N2681" s="510" t="str">
        <f>IFERROR(INDEX([1]Produtos!$E:$E,MATCH(L2681,[1]Produtos!$B:$B,0)), "-")</f>
        <v>-</v>
      </c>
      <c r="O2681" s="270" t="str">
        <f>IFERROR(INDEX([1]Produtos!$F:$F,MATCH(L2681,[1]Produtos!$B:$B,0)), "-")</f>
        <v>-</v>
      </c>
      <c r="P2681" s="264" t="str">
        <f>IFERROR(INDEX([1]Produtos!$G:$G,MATCH(L2681,[1]Produtos!$B:$B,0)), "-")</f>
        <v>-</v>
      </c>
      <c r="Q2681" s="270" t="str">
        <f>IFERROR(INDEX([1]Produtos!$H:$H,MATCH(L2681,[1]Produtos!$B:$B,0)), "-")</f>
        <v>-</v>
      </c>
      <c r="R2681" s="270" t="str">
        <f>IFERROR(INDEX([1]Produtos!$I:$I,MATCH(L2681,[1]Produtos!$B:$B,0)), "-")</f>
        <v>-</v>
      </c>
      <c r="S2681" s="270" t="str">
        <f>IFERROR(INDEX([1]Produtos!$J:$J,MATCH(L2681,[1]Produtos!$B:$B,0)), "-")</f>
        <v>-</v>
      </c>
      <c r="T2681" s="475"/>
      <c r="U2681" s="270"/>
      <c r="V2681" s="270"/>
      <c r="W2681" s="270"/>
      <c r="X2681" s="270"/>
      <c r="Y2681" s="270"/>
      <c r="Z2681" s="270"/>
      <c r="AA2681" s="270"/>
      <c r="AB2681" s="270"/>
      <c r="AC2681" s="270"/>
      <c r="AD2681" s="270"/>
      <c r="AE2681" s="270"/>
      <c r="AF2681" s="270"/>
      <c r="AG2681" s="270"/>
      <c r="AH2681" s="270"/>
      <c r="AI2681" s="270"/>
      <c r="AJ2681" s="270"/>
      <c r="AK2681" s="270"/>
      <c r="AL2681" s="270"/>
      <c r="AM2681" s="663"/>
      <c r="AN2681" s="663"/>
      <c r="AO2681" s="708" t="str">
        <f>IF(OR(Table1[[#This Row],[Início Setup Envase]]="",Table1[[#This Row],[Final Setup Envase]]=""),"",Table1[[#This Row],[Final Setup Envase]]-Table1[[#This Row],[Início Setup Envase]])</f>
        <v/>
      </c>
      <c r="AP2681" s="663"/>
      <c r="AQ2681" s="663"/>
      <c r="AR2681" s="270"/>
      <c r="AS2681" s="674"/>
      <c r="AT2681" s="674"/>
      <c r="AU2681" s="270"/>
      <c r="AV2681" s="270"/>
      <c r="AW2681" s="270"/>
      <c r="AX2681" s="270"/>
      <c r="AY2681" s="270"/>
      <c r="AZ2681" s="270"/>
      <c r="BA2681" s="270" t="str">
        <f>IF(Table1[[#This Row],[Data de Início]]="","",YEAR(Table1[[#This Row],[Data de Início]]))</f>
        <v/>
      </c>
      <c r="BB2681" s="270" t="str">
        <f>IF(Table1[[#This Row],[Data de Início]]="","",MONTH(Table1[[#This Row],[Data de Início]]))</f>
        <v/>
      </c>
      <c r="BC2681" s="483"/>
    </row>
    <row r="2682" spans="2:55" x14ac:dyDescent="0.25">
      <c r="B2682" s="470"/>
      <c r="C2682" s="263"/>
      <c r="D2682" s="477" cm="1">
        <f t="array" ref="D2682">IFERROR(HorasUteisFabrica2Turnos(B2682,C2682), "")</f>
        <v>0</v>
      </c>
      <c r="E2682" s="478" t="str">
        <f t="shared" si="42"/>
        <v/>
      </c>
      <c r="F2682" s="266"/>
      <c r="G2682" s="656"/>
      <c r="H2682" s="479"/>
      <c r="I2682" s="268"/>
      <c r="J2682" s="268"/>
      <c r="K2682" s="268"/>
      <c r="L2682" s="269"/>
      <c r="M2682" s="511" t="str">
        <f>IFERROR(INDEX([1]Produtos!$C:$C,MATCH(L2682,[1]Produtos!$B:$B,0)), "-")</f>
        <v>-</v>
      </c>
      <c r="N2682" s="511" t="str">
        <f>IFERROR(INDEX([1]Produtos!$E:$E,MATCH(L2682,[1]Produtos!$B:$B,0)), "-")</f>
        <v>-</v>
      </c>
      <c r="O2682" s="483" t="str">
        <f>IFERROR(INDEX([1]Produtos!$F:$F,MATCH(L2682,[1]Produtos!$B:$B,0)), "-")</f>
        <v>-</v>
      </c>
      <c r="P2682" s="477" t="str">
        <f>IFERROR(INDEX([1]Produtos!$G:$G,MATCH(L2682,[1]Produtos!$B:$B,0)), "-")</f>
        <v>-</v>
      </c>
      <c r="Q2682" s="483" t="str">
        <f>IFERROR(INDEX([1]Produtos!$H:$H,MATCH(L2682,[1]Produtos!$B:$B,0)), "-")</f>
        <v>-</v>
      </c>
      <c r="R2682" s="483" t="str">
        <f>IFERROR(INDEX([1]Produtos!$I:$I,MATCH(L2682,[1]Produtos!$B:$B,0)), "-")</f>
        <v>-</v>
      </c>
      <c r="S2682" s="483" t="str">
        <f>IFERROR(INDEX([1]Produtos!$J:$J,MATCH(L2682,[1]Produtos!$B:$B,0)), "-")</f>
        <v>-</v>
      </c>
      <c r="T2682" s="484"/>
      <c r="U2682" s="483"/>
      <c r="V2682" s="483"/>
      <c r="W2682" s="483"/>
      <c r="X2682" s="483"/>
      <c r="Y2682" s="483"/>
      <c r="Z2682" s="483"/>
      <c r="AA2682" s="483"/>
      <c r="AB2682" s="483"/>
      <c r="AC2682" s="483"/>
      <c r="AD2682" s="483"/>
      <c r="AE2682" s="483"/>
      <c r="AF2682" s="483"/>
      <c r="AG2682" s="483"/>
      <c r="AH2682" s="483"/>
      <c r="AI2682" s="483"/>
      <c r="AJ2682" s="483"/>
      <c r="AK2682" s="483"/>
      <c r="AL2682" s="483"/>
      <c r="AM2682" s="670"/>
      <c r="AN2682" s="670"/>
      <c r="AO2682" s="711" t="str">
        <f>IF(OR(Table1[[#This Row],[Início Setup Envase]]="",Table1[[#This Row],[Final Setup Envase]]=""),"",Table1[[#This Row],[Final Setup Envase]]-Table1[[#This Row],[Início Setup Envase]])</f>
        <v/>
      </c>
      <c r="AP2682" s="670"/>
      <c r="AQ2682" s="670"/>
      <c r="AR2682" s="483"/>
      <c r="AS2682" s="483"/>
      <c r="AT2682" s="483"/>
      <c r="AU2682" s="483"/>
      <c r="AV2682" s="483"/>
      <c r="AW2682" s="483"/>
      <c r="AX2682" s="483"/>
      <c r="AY2682" s="270"/>
      <c r="AZ2682" s="270"/>
      <c r="BA2682" s="270" t="str">
        <f>IF(Table1[[#This Row],[Data de Início]]="","",YEAR(Table1[[#This Row],[Data de Início]]))</f>
        <v/>
      </c>
      <c r="BB2682" s="270" t="str">
        <f>IF(Table1[[#This Row],[Data de Início]]="","",MONTH(Table1[[#This Row],[Data de Início]]))</f>
        <v/>
      </c>
      <c r="BC2682" s="270"/>
    </row>
    <row r="2683" spans="2:55" x14ac:dyDescent="0.25">
      <c r="B2683" s="470"/>
      <c r="C2683" s="263"/>
      <c r="D2683" s="477" cm="1">
        <f t="array" ref="D2683">IFERROR(HorasUteisFabrica2Turnos(B2683,C2683), "")</f>
        <v>0</v>
      </c>
      <c r="E2683" s="697" t="str">
        <f t="shared" si="42"/>
        <v/>
      </c>
      <c r="F2683" s="266"/>
      <c r="G2683" s="698"/>
      <c r="H2683" s="266"/>
      <c r="I2683" s="268"/>
      <c r="J2683" s="268"/>
      <c r="K2683" s="268"/>
      <c r="L2683" s="269"/>
      <c r="M2683" s="510" t="str">
        <f>IFERROR(INDEX([1]Produtos!$C:$C,MATCH(L2683,[1]Produtos!$B:$B,0)), "-")</f>
        <v>-</v>
      </c>
      <c r="N2683" s="510" t="str">
        <f>IFERROR(INDEX([1]Produtos!$E:$E,MATCH(L2683,[1]Produtos!$B:$B,0)), "-")</f>
        <v>-</v>
      </c>
      <c r="O2683" s="270" t="str">
        <f>IFERROR(INDEX([1]Produtos!$F:$F,MATCH(L2683,[1]Produtos!$B:$B,0)), "-")</f>
        <v>-</v>
      </c>
      <c r="P2683" s="264" t="str">
        <f>IFERROR(INDEX([1]Produtos!$G:$G,MATCH(L2683,[1]Produtos!$B:$B,0)), "-")</f>
        <v>-</v>
      </c>
      <c r="Q2683" s="270" t="str">
        <f>IFERROR(INDEX([1]Produtos!$H:$H,MATCH(L2683,[1]Produtos!$B:$B,0)), "-")</f>
        <v>-</v>
      </c>
      <c r="R2683" s="270" t="str">
        <f>IFERROR(INDEX([1]Produtos!$I:$I,MATCH(L2683,[1]Produtos!$B:$B,0)), "-")</f>
        <v>-</v>
      </c>
      <c r="S2683" s="270" t="str">
        <f>IFERROR(INDEX([1]Produtos!$J:$J,MATCH(L2683,[1]Produtos!$B:$B,0)), "-")</f>
        <v>-</v>
      </c>
      <c r="T2683" s="475"/>
      <c r="U2683" s="270"/>
      <c r="V2683" s="270"/>
      <c r="W2683" s="270"/>
      <c r="X2683" s="270"/>
      <c r="Y2683" s="270"/>
      <c r="Z2683" s="270"/>
      <c r="AA2683" s="270"/>
      <c r="AB2683" s="270"/>
      <c r="AC2683" s="270"/>
      <c r="AD2683" s="270"/>
      <c r="AE2683" s="270"/>
      <c r="AF2683" s="270"/>
      <c r="AG2683" s="270"/>
      <c r="AH2683" s="270"/>
      <c r="AI2683" s="270"/>
      <c r="AJ2683" s="270"/>
      <c r="AK2683" s="270"/>
      <c r="AL2683" s="270"/>
      <c r="AM2683" s="663"/>
      <c r="AN2683" s="663"/>
      <c r="AO2683" s="708" t="str">
        <f>IF(OR(Table1[[#This Row],[Início Setup Envase]]="",Table1[[#This Row],[Final Setup Envase]]=""),"",Table1[[#This Row],[Final Setup Envase]]-Table1[[#This Row],[Início Setup Envase]])</f>
        <v/>
      </c>
      <c r="AP2683" s="663"/>
      <c r="AQ2683" s="663"/>
      <c r="AR2683" s="270"/>
      <c r="AS2683" s="674"/>
      <c r="AT2683" s="674"/>
      <c r="AU2683" s="270"/>
      <c r="AV2683" s="270"/>
      <c r="AW2683" s="270"/>
      <c r="AX2683" s="270"/>
      <c r="AY2683" s="270"/>
      <c r="AZ2683" s="270"/>
      <c r="BA2683" s="270" t="str">
        <f>IF(Table1[[#This Row],[Data de Início]]="","",YEAR(Table1[[#This Row],[Data de Início]]))</f>
        <v/>
      </c>
      <c r="BB2683" s="270" t="str">
        <f>IF(Table1[[#This Row],[Data de Início]]="","",MONTH(Table1[[#This Row],[Data de Início]]))</f>
        <v/>
      </c>
      <c r="BC2683" s="483"/>
    </row>
    <row r="2684" spans="2:55" x14ac:dyDescent="0.25">
      <c r="B2684" s="470"/>
      <c r="C2684" s="263"/>
      <c r="D2684" s="477" cm="1">
        <f t="array" ref="D2684">IFERROR(HorasUteisFabrica2Turnos(B2684,C2684), "")</f>
        <v>0</v>
      </c>
      <c r="E2684" s="478" t="str">
        <f t="shared" si="42"/>
        <v/>
      </c>
      <c r="F2684" s="266"/>
      <c r="G2684" s="656"/>
      <c r="H2684" s="479"/>
      <c r="I2684" s="268"/>
      <c r="J2684" s="268"/>
      <c r="K2684" s="268"/>
      <c r="L2684" s="269"/>
      <c r="M2684" s="511" t="str">
        <f>IFERROR(INDEX([1]Produtos!$C:$C,MATCH(L2684,[1]Produtos!$B:$B,0)), "-")</f>
        <v>-</v>
      </c>
      <c r="N2684" s="511" t="str">
        <f>IFERROR(INDEX([1]Produtos!$E:$E,MATCH(L2684,[1]Produtos!$B:$B,0)), "-")</f>
        <v>-</v>
      </c>
      <c r="O2684" s="483" t="str">
        <f>IFERROR(INDEX([1]Produtos!$F:$F,MATCH(L2684,[1]Produtos!$B:$B,0)), "-")</f>
        <v>-</v>
      </c>
      <c r="P2684" s="477" t="str">
        <f>IFERROR(INDEX([1]Produtos!$G:$G,MATCH(L2684,[1]Produtos!$B:$B,0)), "-")</f>
        <v>-</v>
      </c>
      <c r="Q2684" s="483" t="str">
        <f>IFERROR(INDEX([1]Produtos!$H:$H,MATCH(L2684,[1]Produtos!$B:$B,0)), "-")</f>
        <v>-</v>
      </c>
      <c r="R2684" s="483" t="str">
        <f>IFERROR(INDEX([1]Produtos!$I:$I,MATCH(L2684,[1]Produtos!$B:$B,0)), "-")</f>
        <v>-</v>
      </c>
      <c r="S2684" s="483" t="str">
        <f>IFERROR(INDEX([1]Produtos!$J:$J,MATCH(L2684,[1]Produtos!$B:$B,0)), "-")</f>
        <v>-</v>
      </c>
      <c r="T2684" s="484"/>
      <c r="U2684" s="483"/>
      <c r="V2684" s="483"/>
      <c r="W2684" s="483"/>
      <c r="X2684" s="483"/>
      <c r="Y2684" s="483"/>
      <c r="Z2684" s="483"/>
      <c r="AA2684" s="483"/>
      <c r="AB2684" s="483"/>
      <c r="AC2684" s="483"/>
      <c r="AD2684" s="483"/>
      <c r="AE2684" s="483"/>
      <c r="AF2684" s="483"/>
      <c r="AG2684" s="483"/>
      <c r="AH2684" s="483"/>
      <c r="AI2684" s="483"/>
      <c r="AJ2684" s="483"/>
      <c r="AK2684" s="483"/>
      <c r="AL2684" s="483"/>
      <c r="AM2684" s="670"/>
      <c r="AN2684" s="670"/>
      <c r="AO2684" s="711" t="str">
        <f>IF(OR(Table1[[#This Row],[Início Setup Envase]]="",Table1[[#This Row],[Final Setup Envase]]=""),"",Table1[[#This Row],[Final Setup Envase]]-Table1[[#This Row],[Início Setup Envase]])</f>
        <v/>
      </c>
      <c r="AP2684" s="670"/>
      <c r="AQ2684" s="670"/>
      <c r="AR2684" s="483"/>
      <c r="AS2684" s="483"/>
      <c r="AT2684" s="483"/>
      <c r="AU2684" s="483"/>
      <c r="AV2684" s="483"/>
      <c r="AW2684" s="483"/>
      <c r="AX2684" s="483"/>
      <c r="AY2684" s="270"/>
      <c r="AZ2684" s="270"/>
      <c r="BA2684" s="270" t="str">
        <f>IF(Table1[[#This Row],[Data de Início]]="","",YEAR(Table1[[#This Row],[Data de Início]]))</f>
        <v/>
      </c>
      <c r="BB2684" s="270" t="str">
        <f>IF(Table1[[#This Row],[Data de Início]]="","",MONTH(Table1[[#This Row],[Data de Início]]))</f>
        <v/>
      </c>
      <c r="BC2684" s="270"/>
    </row>
    <row r="2685" spans="2:55" x14ac:dyDescent="0.25">
      <c r="B2685" s="470"/>
      <c r="C2685" s="263"/>
      <c r="D2685" s="477" cm="1">
        <f t="array" ref="D2685">IFERROR(HorasUteisFabrica2Turnos(B2685,C2685), "")</f>
        <v>0</v>
      </c>
      <c r="E2685" s="697" t="str">
        <f t="shared" si="42"/>
        <v/>
      </c>
      <c r="F2685" s="266"/>
      <c r="G2685" s="698"/>
      <c r="H2685" s="266"/>
      <c r="I2685" s="268"/>
      <c r="J2685" s="268"/>
      <c r="K2685" s="268"/>
      <c r="L2685" s="269"/>
      <c r="M2685" s="510" t="str">
        <f>IFERROR(INDEX([1]Produtos!$C:$C,MATCH(L2685,[1]Produtos!$B:$B,0)), "-")</f>
        <v>-</v>
      </c>
      <c r="N2685" s="510" t="str">
        <f>IFERROR(INDEX([1]Produtos!$E:$E,MATCH(L2685,[1]Produtos!$B:$B,0)), "-")</f>
        <v>-</v>
      </c>
      <c r="O2685" s="270" t="str">
        <f>IFERROR(INDEX([1]Produtos!$F:$F,MATCH(L2685,[1]Produtos!$B:$B,0)), "-")</f>
        <v>-</v>
      </c>
      <c r="P2685" s="264" t="str">
        <f>IFERROR(INDEX([1]Produtos!$G:$G,MATCH(L2685,[1]Produtos!$B:$B,0)), "-")</f>
        <v>-</v>
      </c>
      <c r="Q2685" s="270" t="str">
        <f>IFERROR(INDEX([1]Produtos!$H:$H,MATCH(L2685,[1]Produtos!$B:$B,0)), "-")</f>
        <v>-</v>
      </c>
      <c r="R2685" s="270" t="str">
        <f>IFERROR(INDEX([1]Produtos!$I:$I,MATCH(L2685,[1]Produtos!$B:$B,0)), "-")</f>
        <v>-</v>
      </c>
      <c r="S2685" s="270" t="str">
        <f>IFERROR(INDEX([1]Produtos!$J:$J,MATCH(L2685,[1]Produtos!$B:$B,0)), "-")</f>
        <v>-</v>
      </c>
      <c r="T2685" s="475"/>
      <c r="U2685" s="270"/>
      <c r="V2685" s="270"/>
      <c r="W2685" s="270"/>
      <c r="X2685" s="270"/>
      <c r="Y2685" s="270"/>
      <c r="Z2685" s="270"/>
      <c r="AA2685" s="270"/>
      <c r="AB2685" s="270"/>
      <c r="AC2685" s="270"/>
      <c r="AD2685" s="270"/>
      <c r="AE2685" s="270"/>
      <c r="AF2685" s="270"/>
      <c r="AG2685" s="270"/>
      <c r="AH2685" s="270"/>
      <c r="AI2685" s="270"/>
      <c r="AJ2685" s="270"/>
      <c r="AK2685" s="270"/>
      <c r="AL2685" s="270"/>
      <c r="AM2685" s="663"/>
      <c r="AN2685" s="663"/>
      <c r="AO2685" s="708" t="str">
        <f>IF(OR(Table1[[#This Row],[Início Setup Envase]]="",Table1[[#This Row],[Final Setup Envase]]=""),"",Table1[[#This Row],[Final Setup Envase]]-Table1[[#This Row],[Início Setup Envase]])</f>
        <v/>
      </c>
      <c r="AP2685" s="663"/>
      <c r="AQ2685" s="663"/>
      <c r="AR2685" s="270"/>
      <c r="AS2685" s="674"/>
      <c r="AT2685" s="674"/>
      <c r="AU2685" s="270"/>
      <c r="AV2685" s="270"/>
      <c r="AW2685" s="270"/>
      <c r="AX2685" s="270"/>
      <c r="AY2685" s="270"/>
      <c r="AZ2685" s="270"/>
      <c r="BA2685" s="270" t="str">
        <f>IF(Table1[[#This Row],[Data de Início]]="","",YEAR(Table1[[#This Row],[Data de Início]]))</f>
        <v/>
      </c>
      <c r="BB2685" s="270" t="str">
        <f>IF(Table1[[#This Row],[Data de Início]]="","",MONTH(Table1[[#This Row],[Data de Início]]))</f>
        <v/>
      </c>
      <c r="BC2685" s="483"/>
    </row>
    <row r="2686" spans="2:55" x14ac:dyDescent="0.25">
      <c r="B2686" s="470"/>
      <c r="C2686" s="263"/>
      <c r="D2686" s="477" cm="1">
        <f t="array" ref="D2686">IFERROR(HorasUteisFabrica2Turnos(B2686,C2686), "")</f>
        <v>0</v>
      </c>
      <c r="E2686" s="478" t="str">
        <f t="shared" si="42"/>
        <v/>
      </c>
      <c r="F2686" s="266"/>
      <c r="G2686" s="656"/>
      <c r="H2686" s="479"/>
      <c r="I2686" s="268"/>
      <c r="J2686" s="268"/>
      <c r="K2686" s="268"/>
      <c r="L2686" s="269"/>
      <c r="M2686" s="511" t="str">
        <f>IFERROR(INDEX([1]Produtos!$C:$C,MATCH(L2686,[1]Produtos!$B:$B,0)), "-")</f>
        <v>-</v>
      </c>
      <c r="N2686" s="511" t="str">
        <f>IFERROR(INDEX([1]Produtos!$E:$E,MATCH(L2686,[1]Produtos!$B:$B,0)), "-")</f>
        <v>-</v>
      </c>
      <c r="O2686" s="483" t="str">
        <f>IFERROR(INDEX([1]Produtos!$F:$F,MATCH(L2686,[1]Produtos!$B:$B,0)), "-")</f>
        <v>-</v>
      </c>
      <c r="P2686" s="477" t="str">
        <f>IFERROR(INDEX([1]Produtos!$G:$G,MATCH(L2686,[1]Produtos!$B:$B,0)), "-")</f>
        <v>-</v>
      </c>
      <c r="Q2686" s="483" t="str">
        <f>IFERROR(INDEX([1]Produtos!$H:$H,MATCH(L2686,[1]Produtos!$B:$B,0)), "-")</f>
        <v>-</v>
      </c>
      <c r="R2686" s="483" t="str">
        <f>IFERROR(INDEX([1]Produtos!$I:$I,MATCH(L2686,[1]Produtos!$B:$B,0)), "-")</f>
        <v>-</v>
      </c>
      <c r="S2686" s="483" t="str">
        <f>IFERROR(INDEX([1]Produtos!$J:$J,MATCH(L2686,[1]Produtos!$B:$B,0)), "-")</f>
        <v>-</v>
      </c>
      <c r="T2686" s="484"/>
      <c r="U2686" s="483"/>
      <c r="V2686" s="483"/>
      <c r="W2686" s="483"/>
      <c r="X2686" s="483"/>
      <c r="Y2686" s="483"/>
      <c r="Z2686" s="483"/>
      <c r="AA2686" s="483"/>
      <c r="AB2686" s="483"/>
      <c r="AC2686" s="483"/>
      <c r="AD2686" s="483"/>
      <c r="AE2686" s="483"/>
      <c r="AF2686" s="483"/>
      <c r="AG2686" s="483"/>
      <c r="AH2686" s="483"/>
      <c r="AI2686" s="483"/>
      <c r="AJ2686" s="483"/>
      <c r="AK2686" s="483"/>
      <c r="AL2686" s="483"/>
      <c r="AM2686" s="670"/>
      <c r="AN2686" s="670"/>
      <c r="AO2686" s="711" t="str">
        <f>IF(OR(Table1[[#This Row],[Início Setup Envase]]="",Table1[[#This Row],[Final Setup Envase]]=""),"",Table1[[#This Row],[Final Setup Envase]]-Table1[[#This Row],[Início Setup Envase]])</f>
        <v/>
      </c>
      <c r="AP2686" s="670"/>
      <c r="AQ2686" s="670"/>
      <c r="AR2686" s="483"/>
      <c r="AS2686" s="483"/>
      <c r="AT2686" s="483"/>
      <c r="AU2686" s="483"/>
      <c r="AV2686" s="483"/>
      <c r="AW2686" s="483"/>
      <c r="AX2686" s="483"/>
      <c r="AY2686" s="270"/>
      <c r="AZ2686" s="270"/>
      <c r="BA2686" s="270" t="str">
        <f>IF(Table1[[#This Row],[Data de Início]]="","",YEAR(Table1[[#This Row],[Data de Início]]))</f>
        <v/>
      </c>
      <c r="BB2686" s="270" t="str">
        <f>IF(Table1[[#This Row],[Data de Início]]="","",MONTH(Table1[[#This Row],[Data de Início]]))</f>
        <v/>
      </c>
      <c r="BC2686" s="270"/>
    </row>
    <row r="2687" spans="2:55" x14ac:dyDescent="0.25">
      <c r="B2687" s="470"/>
      <c r="C2687" s="263"/>
      <c r="D2687" s="477" cm="1">
        <f t="array" ref="D2687">IFERROR(HorasUteisFabrica2Turnos(B2687,C2687), "")</f>
        <v>0</v>
      </c>
      <c r="E2687" s="697" t="str">
        <f t="shared" si="42"/>
        <v/>
      </c>
      <c r="F2687" s="266"/>
      <c r="G2687" s="698"/>
      <c r="H2687" s="266"/>
      <c r="I2687" s="268"/>
      <c r="J2687" s="268"/>
      <c r="K2687" s="268"/>
      <c r="L2687" s="269"/>
      <c r="M2687" s="510" t="str">
        <f>IFERROR(INDEX([1]Produtos!$C:$C,MATCH(L2687,[1]Produtos!$B:$B,0)), "-")</f>
        <v>-</v>
      </c>
      <c r="N2687" s="510" t="str">
        <f>IFERROR(INDEX([1]Produtos!$E:$E,MATCH(L2687,[1]Produtos!$B:$B,0)), "-")</f>
        <v>-</v>
      </c>
      <c r="O2687" s="270" t="str">
        <f>IFERROR(INDEX([1]Produtos!$F:$F,MATCH(L2687,[1]Produtos!$B:$B,0)), "-")</f>
        <v>-</v>
      </c>
      <c r="P2687" s="264" t="str">
        <f>IFERROR(INDEX([1]Produtos!$G:$G,MATCH(L2687,[1]Produtos!$B:$B,0)), "-")</f>
        <v>-</v>
      </c>
      <c r="Q2687" s="270" t="str">
        <f>IFERROR(INDEX([1]Produtos!$H:$H,MATCH(L2687,[1]Produtos!$B:$B,0)), "-")</f>
        <v>-</v>
      </c>
      <c r="R2687" s="270" t="str">
        <f>IFERROR(INDEX([1]Produtos!$I:$I,MATCH(L2687,[1]Produtos!$B:$B,0)), "-")</f>
        <v>-</v>
      </c>
      <c r="S2687" s="270" t="str">
        <f>IFERROR(INDEX([1]Produtos!$J:$J,MATCH(L2687,[1]Produtos!$B:$B,0)), "-")</f>
        <v>-</v>
      </c>
      <c r="T2687" s="475"/>
      <c r="U2687" s="270"/>
      <c r="V2687" s="270"/>
      <c r="W2687" s="270"/>
      <c r="X2687" s="270"/>
      <c r="Y2687" s="270"/>
      <c r="Z2687" s="270"/>
      <c r="AA2687" s="270"/>
      <c r="AB2687" s="270"/>
      <c r="AC2687" s="270"/>
      <c r="AD2687" s="270"/>
      <c r="AE2687" s="270"/>
      <c r="AF2687" s="270"/>
      <c r="AG2687" s="270"/>
      <c r="AH2687" s="270"/>
      <c r="AI2687" s="270"/>
      <c r="AJ2687" s="270"/>
      <c r="AK2687" s="270"/>
      <c r="AL2687" s="270"/>
      <c r="AM2687" s="663"/>
      <c r="AN2687" s="663"/>
      <c r="AO2687" s="708" t="str">
        <f>IF(OR(Table1[[#This Row],[Início Setup Envase]]="",Table1[[#This Row],[Final Setup Envase]]=""),"",Table1[[#This Row],[Final Setup Envase]]-Table1[[#This Row],[Início Setup Envase]])</f>
        <v/>
      </c>
      <c r="AP2687" s="663"/>
      <c r="AQ2687" s="663"/>
      <c r="AR2687" s="270"/>
      <c r="AS2687" s="674"/>
      <c r="AT2687" s="674"/>
      <c r="AU2687" s="270"/>
      <c r="AV2687" s="270"/>
      <c r="AW2687" s="270"/>
      <c r="AX2687" s="270"/>
      <c r="AY2687" s="270"/>
      <c r="AZ2687" s="270"/>
      <c r="BA2687" s="270" t="str">
        <f>IF(Table1[[#This Row],[Data de Início]]="","",YEAR(Table1[[#This Row],[Data de Início]]))</f>
        <v/>
      </c>
      <c r="BB2687" s="270" t="str">
        <f>IF(Table1[[#This Row],[Data de Início]]="","",MONTH(Table1[[#This Row],[Data de Início]]))</f>
        <v/>
      </c>
      <c r="BC2687" s="483"/>
    </row>
    <row r="2688" spans="2:55" x14ac:dyDescent="0.25">
      <c r="B2688" s="470"/>
      <c r="C2688" s="263"/>
      <c r="D2688" s="477" cm="1">
        <f t="array" ref="D2688">IFERROR(HorasUteisFabrica2Turnos(B2688,C2688), "")</f>
        <v>0</v>
      </c>
      <c r="E2688" s="478" t="str">
        <f t="shared" si="42"/>
        <v/>
      </c>
      <c r="F2688" s="266"/>
      <c r="G2688" s="656"/>
      <c r="H2688" s="479"/>
      <c r="I2688" s="268"/>
      <c r="J2688" s="268"/>
      <c r="K2688" s="268"/>
      <c r="L2688" s="269"/>
      <c r="M2688" s="511" t="str">
        <f>IFERROR(INDEX([1]Produtos!$C:$C,MATCH(L2688,[1]Produtos!$B:$B,0)), "-")</f>
        <v>-</v>
      </c>
      <c r="N2688" s="511" t="str">
        <f>IFERROR(INDEX([1]Produtos!$E:$E,MATCH(L2688,[1]Produtos!$B:$B,0)), "-")</f>
        <v>-</v>
      </c>
      <c r="O2688" s="483" t="str">
        <f>IFERROR(INDEX([1]Produtos!$F:$F,MATCH(L2688,[1]Produtos!$B:$B,0)), "-")</f>
        <v>-</v>
      </c>
      <c r="P2688" s="477" t="str">
        <f>IFERROR(INDEX([1]Produtos!$G:$G,MATCH(L2688,[1]Produtos!$B:$B,0)), "-")</f>
        <v>-</v>
      </c>
      <c r="Q2688" s="483" t="str">
        <f>IFERROR(INDEX([1]Produtos!$H:$H,MATCH(L2688,[1]Produtos!$B:$B,0)), "-")</f>
        <v>-</v>
      </c>
      <c r="R2688" s="483" t="str">
        <f>IFERROR(INDEX([1]Produtos!$I:$I,MATCH(L2688,[1]Produtos!$B:$B,0)), "-")</f>
        <v>-</v>
      </c>
      <c r="S2688" s="483" t="str">
        <f>IFERROR(INDEX([1]Produtos!$J:$J,MATCH(L2688,[1]Produtos!$B:$B,0)), "-")</f>
        <v>-</v>
      </c>
      <c r="T2688" s="484"/>
      <c r="U2688" s="483"/>
      <c r="V2688" s="483"/>
      <c r="W2688" s="483"/>
      <c r="X2688" s="483"/>
      <c r="Y2688" s="483"/>
      <c r="Z2688" s="483"/>
      <c r="AA2688" s="483"/>
      <c r="AB2688" s="483"/>
      <c r="AC2688" s="483"/>
      <c r="AD2688" s="483"/>
      <c r="AE2688" s="483"/>
      <c r="AF2688" s="483"/>
      <c r="AG2688" s="483"/>
      <c r="AH2688" s="483"/>
      <c r="AI2688" s="483"/>
      <c r="AJ2688" s="483"/>
      <c r="AK2688" s="483"/>
      <c r="AL2688" s="483"/>
      <c r="AM2688" s="670"/>
      <c r="AN2688" s="670"/>
      <c r="AO2688" s="711" t="str">
        <f>IF(OR(Table1[[#This Row],[Início Setup Envase]]="",Table1[[#This Row],[Final Setup Envase]]=""),"",Table1[[#This Row],[Final Setup Envase]]-Table1[[#This Row],[Início Setup Envase]])</f>
        <v/>
      </c>
      <c r="AP2688" s="670"/>
      <c r="AQ2688" s="670"/>
      <c r="AR2688" s="483"/>
      <c r="AS2688" s="483"/>
      <c r="AT2688" s="483"/>
      <c r="AU2688" s="483"/>
      <c r="AV2688" s="483"/>
      <c r="AW2688" s="483"/>
      <c r="AX2688" s="483"/>
      <c r="AY2688" s="270"/>
      <c r="AZ2688" s="270"/>
      <c r="BA2688" s="270" t="str">
        <f>IF(Table1[[#This Row],[Data de Início]]="","",YEAR(Table1[[#This Row],[Data de Início]]))</f>
        <v/>
      </c>
      <c r="BB2688" s="270" t="str">
        <f>IF(Table1[[#This Row],[Data de Início]]="","",MONTH(Table1[[#This Row],[Data de Início]]))</f>
        <v/>
      </c>
      <c r="BC2688" s="270"/>
    </row>
    <row r="2689" spans="2:55" x14ac:dyDescent="0.25">
      <c r="B2689" s="470"/>
      <c r="C2689" s="263"/>
      <c r="D2689" s="477" cm="1">
        <f t="array" ref="D2689">IFERROR(HorasUteisFabrica2Turnos(B2689,C2689), "")</f>
        <v>0</v>
      </c>
      <c r="E2689" s="697" t="str">
        <f t="shared" si="42"/>
        <v/>
      </c>
      <c r="F2689" s="266"/>
      <c r="G2689" s="698"/>
      <c r="H2689" s="266"/>
      <c r="I2689" s="268"/>
      <c r="J2689" s="268"/>
      <c r="K2689" s="268"/>
      <c r="L2689" s="269"/>
      <c r="M2689" s="510" t="str">
        <f>IFERROR(INDEX([1]Produtos!$C:$C,MATCH(L2689,[1]Produtos!$B:$B,0)), "-")</f>
        <v>-</v>
      </c>
      <c r="N2689" s="510" t="str">
        <f>IFERROR(INDEX([1]Produtos!$E:$E,MATCH(L2689,[1]Produtos!$B:$B,0)), "-")</f>
        <v>-</v>
      </c>
      <c r="O2689" s="270" t="str">
        <f>IFERROR(INDEX([1]Produtos!$F:$F,MATCH(L2689,[1]Produtos!$B:$B,0)), "-")</f>
        <v>-</v>
      </c>
      <c r="P2689" s="264" t="str">
        <f>IFERROR(INDEX([1]Produtos!$G:$G,MATCH(L2689,[1]Produtos!$B:$B,0)), "-")</f>
        <v>-</v>
      </c>
      <c r="Q2689" s="270" t="str">
        <f>IFERROR(INDEX([1]Produtos!$H:$H,MATCH(L2689,[1]Produtos!$B:$B,0)), "-")</f>
        <v>-</v>
      </c>
      <c r="R2689" s="270" t="str">
        <f>IFERROR(INDEX([1]Produtos!$I:$I,MATCH(L2689,[1]Produtos!$B:$B,0)), "-")</f>
        <v>-</v>
      </c>
      <c r="S2689" s="270" t="str">
        <f>IFERROR(INDEX([1]Produtos!$J:$J,MATCH(L2689,[1]Produtos!$B:$B,0)), "-")</f>
        <v>-</v>
      </c>
      <c r="T2689" s="475"/>
      <c r="U2689" s="270"/>
      <c r="V2689" s="270"/>
      <c r="W2689" s="270"/>
      <c r="X2689" s="270"/>
      <c r="Y2689" s="270"/>
      <c r="Z2689" s="270"/>
      <c r="AA2689" s="270"/>
      <c r="AB2689" s="270"/>
      <c r="AC2689" s="270"/>
      <c r="AD2689" s="270"/>
      <c r="AE2689" s="270"/>
      <c r="AF2689" s="270"/>
      <c r="AG2689" s="270"/>
      <c r="AH2689" s="270"/>
      <c r="AI2689" s="270"/>
      <c r="AJ2689" s="270"/>
      <c r="AK2689" s="270"/>
      <c r="AL2689" s="270"/>
      <c r="AM2689" s="663"/>
      <c r="AN2689" s="663"/>
      <c r="AO2689" s="708" t="str">
        <f>IF(OR(Table1[[#This Row],[Início Setup Envase]]="",Table1[[#This Row],[Final Setup Envase]]=""),"",Table1[[#This Row],[Final Setup Envase]]-Table1[[#This Row],[Início Setup Envase]])</f>
        <v/>
      </c>
      <c r="AP2689" s="663"/>
      <c r="AQ2689" s="663"/>
      <c r="AR2689" s="270"/>
      <c r="AS2689" s="674"/>
      <c r="AT2689" s="674"/>
      <c r="AU2689" s="270"/>
      <c r="AV2689" s="270"/>
      <c r="AW2689" s="270"/>
      <c r="AX2689" s="270"/>
      <c r="AY2689" s="270"/>
      <c r="AZ2689" s="270"/>
      <c r="BA2689" s="270" t="str">
        <f>IF(Table1[[#This Row],[Data de Início]]="","",YEAR(Table1[[#This Row],[Data de Início]]))</f>
        <v/>
      </c>
      <c r="BB2689" s="270" t="str">
        <f>IF(Table1[[#This Row],[Data de Início]]="","",MONTH(Table1[[#This Row],[Data de Início]]))</f>
        <v/>
      </c>
      <c r="BC2689" s="483"/>
    </row>
    <row r="2690" spans="2:55" x14ac:dyDescent="0.25">
      <c r="B2690" s="470"/>
      <c r="C2690" s="263"/>
      <c r="D2690" s="477" cm="1">
        <f t="array" ref="D2690">IFERROR(HorasUteisFabrica2Turnos(B2690,C2690), "")</f>
        <v>0</v>
      </c>
      <c r="E2690" s="478" t="str">
        <f t="shared" si="42"/>
        <v/>
      </c>
      <c r="F2690" s="266"/>
      <c r="G2690" s="656"/>
      <c r="H2690" s="479"/>
      <c r="I2690" s="268"/>
      <c r="J2690" s="268"/>
      <c r="K2690" s="268"/>
      <c r="L2690" s="269"/>
      <c r="M2690" s="511" t="str">
        <f>IFERROR(INDEX([1]Produtos!$C:$C,MATCH(L2690,[1]Produtos!$B:$B,0)), "-")</f>
        <v>-</v>
      </c>
      <c r="N2690" s="511" t="str">
        <f>IFERROR(INDEX([1]Produtos!$E:$E,MATCH(L2690,[1]Produtos!$B:$B,0)), "-")</f>
        <v>-</v>
      </c>
      <c r="O2690" s="483" t="str">
        <f>IFERROR(INDEX([1]Produtos!$F:$F,MATCH(L2690,[1]Produtos!$B:$B,0)), "-")</f>
        <v>-</v>
      </c>
      <c r="P2690" s="477" t="str">
        <f>IFERROR(INDEX([1]Produtos!$G:$G,MATCH(L2690,[1]Produtos!$B:$B,0)), "-")</f>
        <v>-</v>
      </c>
      <c r="Q2690" s="483" t="str">
        <f>IFERROR(INDEX([1]Produtos!$H:$H,MATCH(L2690,[1]Produtos!$B:$B,0)), "-")</f>
        <v>-</v>
      </c>
      <c r="R2690" s="483" t="str">
        <f>IFERROR(INDEX([1]Produtos!$I:$I,MATCH(L2690,[1]Produtos!$B:$B,0)), "-")</f>
        <v>-</v>
      </c>
      <c r="S2690" s="483" t="str">
        <f>IFERROR(INDEX([1]Produtos!$J:$J,MATCH(L2690,[1]Produtos!$B:$B,0)), "-")</f>
        <v>-</v>
      </c>
      <c r="T2690" s="484"/>
      <c r="U2690" s="483"/>
      <c r="V2690" s="483"/>
      <c r="W2690" s="483"/>
      <c r="X2690" s="483"/>
      <c r="Y2690" s="483"/>
      <c r="Z2690" s="483"/>
      <c r="AA2690" s="483"/>
      <c r="AB2690" s="483"/>
      <c r="AC2690" s="483"/>
      <c r="AD2690" s="483"/>
      <c r="AE2690" s="483"/>
      <c r="AF2690" s="483"/>
      <c r="AG2690" s="483"/>
      <c r="AH2690" s="483"/>
      <c r="AI2690" s="483"/>
      <c r="AJ2690" s="483"/>
      <c r="AK2690" s="483"/>
      <c r="AL2690" s="483"/>
      <c r="AM2690" s="670"/>
      <c r="AN2690" s="670"/>
      <c r="AO2690" s="711" t="str">
        <f>IF(OR(Table1[[#This Row],[Início Setup Envase]]="",Table1[[#This Row],[Final Setup Envase]]=""),"",Table1[[#This Row],[Final Setup Envase]]-Table1[[#This Row],[Início Setup Envase]])</f>
        <v/>
      </c>
      <c r="AP2690" s="670"/>
      <c r="AQ2690" s="670"/>
      <c r="AR2690" s="483"/>
      <c r="AS2690" s="483"/>
      <c r="AT2690" s="483"/>
      <c r="AU2690" s="483"/>
      <c r="AV2690" s="483"/>
      <c r="AW2690" s="483"/>
      <c r="AX2690" s="483"/>
      <c r="AY2690" s="270"/>
      <c r="AZ2690" s="270"/>
      <c r="BA2690" s="270" t="str">
        <f>IF(Table1[[#This Row],[Data de Início]]="","",YEAR(Table1[[#This Row],[Data de Início]]))</f>
        <v/>
      </c>
      <c r="BB2690" s="270" t="str">
        <f>IF(Table1[[#This Row],[Data de Início]]="","",MONTH(Table1[[#This Row],[Data de Início]]))</f>
        <v/>
      </c>
      <c r="BC2690" s="270"/>
    </row>
    <row r="2691" spans="2:55" x14ac:dyDescent="0.25">
      <c r="B2691" s="470"/>
      <c r="C2691" s="263"/>
      <c r="D2691" s="477" cm="1">
        <f t="array" ref="D2691">IFERROR(HorasUteisFabrica2Turnos(B2691,C2691), "")</f>
        <v>0</v>
      </c>
      <c r="E2691" s="697" t="str">
        <f t="shared" si="42"/>
        <v/>
      </c>
      <c r="F2691" s="266"/>
      <c r="G2691" s="698"/>
      <c r="H2691" s="266"/>
      <c r="I2691" s="268"/>
      <c r="J2691" s="268"/>
      <c r="K2691" s="268"/>
      <c r="L2691" s="269"/>
      <c r="M2691" s="510" t="str">
        <f>IFERROR(INDEX([1]Produtos!$C:$C,MATCH(L2691,[1]Produtos!$B:$B,0)), "-")</f>
        <v>-</v>
      </c>
      <c r="N2691" s="510" t="str">
        <f>IFERROR(INDEX([1]Produtos!$E:$E,MATCH(L2691,[1]Produtos!$B:$B,0)), "-")</f>
        <v>-</v>
      </c>
      <c r="O2691" s="270" t="str">
        <f>IFERROR(INDEX([1]Produtos!$F:$F,MATCH(L2691,[1]Produtos!$B:$B,0)), "-")</f>
        <v>-</v>
      </c>
      <c r="P2691" s="264" t="str">
        <f>IFERROR(INDEX([1]Produtos!$G:$G,MATCH(L2691,[1]Produtos!$B:$B,0)), "-")</f>
        <v>-</v>
      </c>
      <c r="Q2691" s="270" t="str">
        <f>IFERROR(INDEX([1]Produtos!$H:$H,MATCH(L2691,[1]Produtos!$B:$B,0)), "-")</f>
        <v>-</v>
      </c>
      <c r="R2691" s="270" t="str">
        <f>IFERROR(INDEX([1]Produtos!$I:$I,MATCH(L2691,[1]Produtos!$B:$B,0)), "-")</f>
        <v>-</v>
      </c>
      <c r="S2691" s="270" t="str">
        <f>IFERROR(INDEX([1]Produtos!$J:$J,MATCH(L2691,[1]Produtos!$B:$B,0)), "-")</f>
        <v>-</v>
      </c>
      <c r="T2691" s="475"/>
      <c r="U2691" s="270"/>
      <c r="V2691" s="270"/>
      <c r="W2691" s="270"/>
      <c r="X2691" s="270"/>
      <c r="Y2691" s="270"/>
      <c r="Z2691" s="270"/>
      <c r="AA2691" s="270"/>
      <c r="AB2691" s="270"/>
      <c r="AC2691" s="270"/>
      <c r="AD2691" s="270"/>
      <c r="AE2691" s="270"/>
      <c r="AF2691" s="270"/>
      <c r="AG2691" s="270"/>
      <c r="AH2691" s="270"/>
      <c r="AI2691" s="270"/>
      <c r="AJ2691" s="270"/>
      <c r="AK2691" s="270"/>
      <c r="AL2691" s="270"/>
      <c r="AM2691" s="663"/>
      <c r="AN2691" s="663"/>
      <c r="AO2691" s="708" t="str">
        <f>IF(OR(Table1[[#This Row],[Início Setup Envase]]="",Table1[[#This Row],[Final Setup Envase]]=""),"",Table1[[#This Row],[Final Setup Envase]]-Table1[[#This Row],[Início Setup Envase]])</f>
        <v/>
      </c>
      <c r="AP2691" s="663"/>
      <c r="AQ2691" s="663"/>
      <c r="AR2691" s="270"/>
      <c r="AS2691" s="674"/>
      <c r="AT2691" s="674"/>
      <c r="AU2691" s="270"/>
      <c r="AV2691" s="270"/>
      <c r="AW2691" s="270"/>
      <c r="AX2691" s="270"/>
      <c r="AY2691" s="270"/>
      <c r="AZ2691" s="270"/>
      <c r="BA2691" s="270" t="str">
        <f>IF(Table1[[#This Row],[Data de Início]]="","",YEAR(Table1[[#This Row],[Data de Início]]))</f>
        <v/>
      </c>
      <c r="BB2691" s="270" t="str">
        <f>IF(Table1[[#This Row],[Data de Início]]="","",MONTH(Table1[[#This Row],[Data de Início]]))</f>
        <v/>
      </c>
      <c r="BC2691" s="483"/>
    </row>
    <row r="2692" spans="2:55" x14ac:dyDescent="0.25">
      <c r="B2692" s="470"/>
      <c r="C2692" s="263"/>
      <c r="D2692" s="477" cm="1">
        <f t="array" ref="D2692">IFERROR(HorasUteisFabrica2Turnos(B2692,C2692), "")</f>
        <v>0</v>
      </c>
      <c r="E2692" s="478" t="str">
        <f t="shared" si="42"/>
        <v/>
      </c>
      <c r="F2692" s="266"/>
      <c r="G2692" s="656"/>
      <c r="H2692" s="479"/>
      <c r="I2692" s="268"/>
      <c r="J2692" s="268"/>
      <c r="K2692" s="268"/>
      <c r="L2692" s="269"/>
      <c r="M2692" s="511" t="str">
        <f>IFERROR(INDEX([1]Produtos!$C:$C,MATCH(L2692,[1]Produtos!$B:$B,0)), "-")</f>
        <v>-</v>
      </c>
      <c r="N2692" s="511" t="str">
        <f>IFERROR(INDEX([1]Produtos!$E:$E,MATCH(L2692,[1]Produtos!$B:$B,0)), "-")</f>
        <v>-</v>
      </c>
      <c r="O2692" s="483" t="str">
        <f>IFERROR(INDEX([1]Produtos!$F:$F,MATCH(L2692,[1]Produtos!$B:$B,0)), "-")</f>
        <v>-</v>
      </c>
      <c r="P2692" s="477" t="str">
        <f>IFERROR(INDEX([1]Produtos!$G:$G,MATCH(L2692,[1]Produtos!$B:$B,0)), "-")</f>
        <v>-</v>
      </c>
      <c r="Q2692" s="483" t="str">
        <f>IFERROR(INDEX([1]Produtos!$H:$H,MATCH(L2692,[1]Produtos!$B:$B,0)), "-")</f>
        <v>-</v>
      </c>
      <c r="R2692" s="483" t="str">
        <f>IFERROR(INDEX([1]Produtos!$I:$I,MATCH(L2692,[1]Produtos!$B:$B,0)), "-")</f>
        <v>-</v>
      </c>
      <c r="S2692" s="483" t="str">
        <f>IFERROR(INDEX([1]Produtos!$J:$J,MATCH(L2692,[1]Produtos!$B:$B,0)), "-")</f>
        <v>-</v>
      </c>
      <c r="T2692" s="484"/>
      <c r="U2692" s="483"/>
      <c r="V2692" s="483"/>
      <c r="W2692" s="483"/>
      <c r="X2692" s="483"/>
      <c r="Y2692" s="483"/>
      <c r="Z2692" s="483"/>
      <c r="AA2692" s="483"/>
      <c r="AB2692" s="483"/>
      <c r="AC2692" s="483"/>
      <c r="AD2692" s="483"/>
      <c r="AE2692" s="483"/>
      <c r="AF2692" s="483"/>
      <c r="AG2692" s="483"/>
      <c r="AH2692" s="483"/>
      <c r="AI2692" s="483"/>
      <c r="AJ2692" s="483"/>
      <c r="AK2692" s="483"/>
      <c r="AL2692" s="483"/>
      <c r="AM2692" s="670"/>
      <c r="AN2692" s="670"/>
      <c r="AO2692" s="711" t="str">
        <f>IF(OR(Table1[[#This Row],[Início Setup Envase]]="",Table1[[#This Row],[Final Setup Envase]]=""),"",Table1[[#This Row],[Final Setup Envase]]-Table1[[#This Row],[Início Setup Envase]])</f>
        <v/>
      </c>
      <c r="AP2692" s="670"/>
      <c r="AQ2692" s="670"/>
      <c r="AR2692" s="483"/>
      <c r="AS2692" s="483"/>
      <c r="AT2692" s="483"/>
      <c r="AU2692" s="483"/>
      <c r="AV2692" s="483"/>
      <c r="AW2692" s="483"/>
      <c r="AX2692" s="483"/>
      <c r="AY2692" s="270"/>
      <c r="AZ2692" s="270"/>
      <c r="BA2692" s="270" t="str">
        <f>IF(Table1[[#This Row],[Data de Início]]="","",YEAR(Table1[[#This Row],[Data de Início]]))</f>
        <v/>
      </c>
      <c r="BB2692" s="270" t="str">
        <f>IF(Table1[[#This Row],[Data de Início]]="","",MONTH(Table1[[#This Row],[Data de Início]]))</f>
        <v/>
      </c>
      <c r="BC2692" s="270"/>
    </row>
    <row r="2693" spans="2:55" x14ac:dyDescent="0.25">
      <c r="B2693" s="470"/>
      <c r="C2693" s="263"/>
      <c r="D2693" s="477" cm="1">
        <f t="array" ref="D2693">IFERROR(HorasUteisFabrica2Turnos(B2693,C2693), "")</f>
        <v>0</v>
      </c>
      <c r="E2693" s="697" t="str">
        <f t="shared" si="42"/>
        <v/>
      </c>
      <c r="F2693" s="266"/>
      <c r="G2693" s="698"/>
      <c r="H2693" s="266"/>
      <c r="I2693" s="268"/>
      <c r="J2693" s="268"/>
      <c r="K2693" s="268"/>
      <c r="L2693" s="269"/>
      <c r="M2693" s="510" t="str">
        <f>IFERROR(INDEX([1]Produtos!$C:$C,MATCH(L2693,[1]Produtos!$B:$B,0)), "-")</f>
        <v>-</v>
      </c>
      <c r="N2693" s="510" t="str">
        <f>IFERROR(INDEX([1]Produtos!$E:$E,MATCH(L2693,[1]Produtos!$B:$B,0)), "-")</f>
        <v>-</v>
      </c>
      <c r="O2693" s="270" t="str">
        <f>IFERROR(INDEX([1]Produtos!$F:$F,MATCH(L2693,[1]Produtos!$B:$B,0)), "-")</f>
        <v>-</v>
      </c>
      <c r="P2693" s="264" t="str">
        <f>IFERROR(INDEX([1]Produtos!$G:$G,MATCH(L2693,[1]Produtos!$B:$B,0)), "-")</f>
        <v>-</v>
      </c>
      <c r="Q2693" s="270" t="str">
        <f>IFERROR(INDEX([1]Produtos!$H:$H,MATCH(L2693,[1]Produtos!$B:$B,0)), "-")</f>
        <v>-</v>
      </c>
      <c r="R2693" s="270" t="str">
        <f>IFERROR(INDEX([1]Produtos!$I:$I,MATCH(L2693,[1]Produtos!$B:$B,0)), "-")</f>
        <v>-</v>
      </c>
      <c r="S2693" s="270" t="str">
        <f>IFERROR(INDEX([1]Produtos!$J:$J,MATCH(L2693,[1]Produtos!$B:$B,0)), "-")</f>
        <v>-</v>
      </c>
      <c r="T2693" s="475"/>
      <c r="U2693" s="270"/>
      <c r="V2693" s="270"/>
      <c r="W2693" s="270"/>
      <c r="X2693" s="270"/>
      <c r="Y2693" s="270"/>
      <c r="Z2693" s="270"/>
      <c r="AA2693" s="270"/>
      <c r="AB2693" s="270"/>
      <c r="AC2693" s="270"/>
      <c r="AD2693" s="270"/>
      <c r="AE2693" s="270"/>
      <c r="AF2693" s="270"/>
      <c r="AG2693" s="270"/>
      <c r="AH2693" s="270"/>
      <c r="AI2693" s="270"/>
      <c r="AJ2693" s="270"/>
      <c r="AK2693" s="270"/>
      <c r="AL2693" s="270"/>
      <c r="AM2693" s="663"/>
      <c r="AN2693" s="663"/>
      <c r="AO2693" s="708" t="str">
        <f>IF(OR(Table1[[#This Row],[Início Setup Envase]]="",Table1[[#This Row],[Final Setup Envase]]=""),"",Table1[[#This Row],[Final Setup Envase]]-Table1[[#This Row],[Início Setup Envase]])</f>
        <v/>
      </c>
      <c r="AP2693" s="663"/>
      <c r="AQ2693" s="663"/>
      <c r="AR2693" s="270"/>
      <c r="AS2693" s="674"/>
      <c r="AT2693" s="674"/>
      <c r="AU2693" s="270"/>
      <c r="AV2693" s="270"/>
      <c r="AW2693" s="270"/>
      <c r="AX2693" s="270"/>
      <c r="AY2693" s="270"/>
      <c r="AZ2693" s="270"/>
      <c r="BA2693" s="270" t="str">
        <f>IF(Table1[[#This Row],[Data de Início]]="","",YEAR(Table1[[#This Row],[Data de Início]]))</f>
        <v/>
      </c>
      <c r="BB2693" s="270" t="str">
        <f>IF(Table1[[#This Row],[Data de Início]]="","",MONTH(Table1[[#This Row],[Data de Início]]))</f>
        <v/>
      </c>
      <c r="BC2693" s="483"/>
    </row>
    <row r="2694" spans="2:55" x14ac:dyDescent="0.25">
      <c r="B2694" s="470"/>
      <c r="C2694" s="263"/>
      <c r="D2694" s="477" cm="1">
        <f t="array" ref="D2694">IFERROR(HorasUteisFabrica2Turnos(B2694,C2694), "")</f>
        <v>0</v>
      </c>
      <c r="E2694" s="478" t="str">
        <f t="shared" si="42"/>
        <v/>
      </c>
      <c r="F2694" s="266"/>
      <c r="G2694" s="656"/>
      <c r="H2694" s="479"/>
      <c r="I2694" s="268"/>
      <c r="J2694" s="268"/>
      <c r="K2694" s="268"/>
      <c r="L2694" s="269"/>
      <c r="M2694" s="511" t="str">
        <f>IFERROR(INDEX([1]Produtos!$C:$C,MATCH(L2694,[1]Produtos!$B:$B,0)), "-")</f>
        <v>-</v>
      </c>
      <c r="N2694" s="511" t="str">
        <f>IFERROR(INDEX([1]Produtos!$E:$E,MATCH(L2694,[1]Produtos!$B:$B,0)), "-")</f>
        <v>-</v>
      </c>
      <c r="O2694" s="483" t="str">
        <f>IFERROR(INDEX([1]Produtos!$F:$F,MATCH(L2694,[1]Produtos!$B:$B,0)), "-")</f>
        <v>-</v>
      </c>
      <c r="P2694" s="477" t="str">
        <f>IFERROR(INDEX([1]Produtos!$G:$G,MATCH(L2694,[1]Produtos!$B:$B,0)), "-")</f>
        <v>-</v>
      </c>
      <c r="Q2694" s="483" t="str">
        <f>IFERROR(INDEX([1]Produtos!$H:$H,MATCH(L2694,[1]Produtos!$B:$B,0)), "-")</f>
        <v>-</v>
      </c>
      <c r="R2694" s="483" t="str">
        <f>IFERROR(INDEX([1]Produtos!$I:$I,MATCH(L2694,[1]Produtos!$B:$B,0)), "-")</f>
        <v>-</v>
      </c>
      <c r="S2694" s="483" t="str">
        <f>IFERROR(INDEX([1]Produtos!$J:$J,MATCH(L2694,[1]Produtos!$B:$B,0)), "-")</f>
        <v>-</v>
      </c>
      <c r="T2694" s="484"/>
      <c r="U2694" s="483"/>
      <c r="V2694" s="483"/>
      <c r="W2694" s="483"/>
      <c r="X2694" s="483"/>
      <c r="Y2694" s="483"/>
      <c r="Z2694" s="483"/>
      <c r="AA2694" s="483"/>
      <c r="AB2694" s="483"/>
      <c r="AC2694" s="483"/>
      <c r="AD2694" s="483"/>
      <c r="AE2694" s="483"/>
      <c r="AF2694" s="483"/>
      <c r="AG2694" s="483"/>
      <c r="AH2694" s="483"/>
      <c r="AI2694" s="483"/>
      <c r="AJ2694" s="483"/>
      <c r="AK2694" s="483"/>
      <c r="AL2694" s="483"/>
      <c r="AM2694" s="670"/>
      <c r="AN2694" s="670"/>
      <c r="AO2694" s="711" t="str">
        <f>IF(OR(Table1[[#This Row],[Início Setup Envase]]="",Table1[[#This Row],[Final Setup Envase]]=""),"",Table1[[#This Row],[Final Setup Envase]]-Table1[[#This Row],[Início Setup Envase]])</f>
        <v/>
      </c>
      <c r="AP2694" s="670"/>
      <c r="AQ2694" s="670"/>
      <c r="AR2694" s="483"/>
      <c r="AS2694" s="483"/>
      <c r="AT2694" s="483"/>
      <c r="AU2694" s="483"/>
      <c r="AV2694" s="483"/>
      <c r="AW2694" s="483"/>
      <c r="AX2694" s="483"/>
      <c r="AY2694" s="270"/>
      <c r="AZ2694" s="270"/>
      <c r="BA2694" s="270" t="str">
        <f>IF(Table1[[#This Row],[Data de Início]]="","",YEAR(Table1[[#This Row],[Data de Início]]))</f>
        <v/>
      </c>
      <c r="BB2694" s="270" t="str">
        <f>IF(Table1[[#This Row],[Data de Início]]="","",MONTH(Table1[[#This Row],[Data de Início]]))</f>
        <v/>
      </c>
      <c r="BC2694" s="270"/>
    </row>
    <row r="2695" spans="2:55" x14ac:dyDescent="0.25">
      <c r="B2695" s="470"/>
      <c r="C2695" s="263"/>
      <c r="D2695" s="477" cm="1">
        <f t="array" ref="D2695">IFERROR(HorasUteisFabrica2Turnos(B2695,C2695), "")</f>
        <v>0</v>
      </c>
      <c r="E2695" s="697" t="str">
        <f t="shared" si="42"/>
        <v/>
      </c>
      <c r="F2695" s="266"/>
      <c r="G2695" s="698"/>
      <c r="H2695" s="266"/>
      <c r="I2695" s="268"/>
      <c r="J2695" s="268"/>
      <c r="K2695" s="268"/>
      <c r="L2695" s="269"/>
      <c r="M2695" s="510" t="str">
        <f>IFERROR(INDEX([1]Produtos!$C:$C,MATCH(L2695,[1]Produtos!$B:$B,0)), "-")</f>
        <v>-</v>
      </c>
      <c r="N2695" s="510" t="str">
        <f>IFERROR(INDEX([1]Produtos!$E:$E,MATCH(L2695,[1]Produtos!$B:$B,0)), "-")</f>
        <v>-</v>
      </c>
      <c r="O2695" s="270" t="str">
        <f>IFERROR(INDEX([1]Produtos!$F:$F,MATCH(L2695,[1]Produtos!$B:$B,0)), "-")</f>
        <v>-</v>
      </c>
      <c r="P2695" s="264" t="str">
        <f>IFERROR(INDEX([1]Produtos!$G:$G,MATCH(L2695,[1]Produtos!$B:$B,0)), "-")</f>
        <v>-</v>
      </c>
      <c r="Q2695" s="270" t="str">
        <f>IFERROR(INDEX([1]Produtos!$H:$H,MATCH(L2695,[1]Produtos!$B:$B,0)), "-")</f>
        <v>-</v>
      </c>
      <c r="R2695" s="270" t="str">
        <f>IFERROR(INDEX([1]Produtos!$I:$I,MATCH(L2695,[1]Produtos!$B:$B,0)), "-")</f>
        <v>-</v>
      </c>
      <c r="S2695" s="270" t="str">
        <f>IFERROR(INDEX([1]Produtos!$J:$J,MATCH(L2695,[1]Produtos!$B:$B,0)), "-")</f>
        <v>-</v>
      </c>
      <c r="T2695" s="475"/>
      <c r="U2695" s="270"/>
      <c r="V2695" s="270"/>
      <c r="W2695" s="270"/>
      <c r="X2695" s="270"/>
      <c r="Y2695" s="270"/>
      <c r="Z2695" s="270"/>
      <c r="AA2695" s="270"/>
      <c r="AB2695" s="270"/>
      <c r="AC2695" s="270"/>
      <c r="AD2695" s="270"/>
      <c r="AE2695" s="270"/>
      <c r="AF2695" s="270"/>
      <c r="AG2695" s="270"/>
      <c r="AH2695" s="270"/>
      <c r="AI2695" s="270"/>
      <c r="AJ2695" s="270"/>
      <c r="AK2695" s="270"/>
      <c r="AL2695" s="270"/>
      <c r="AM2695" s="663"/>
      <c r="AN2695" s="663"/>
      <c r="AO2695" s="708" t="str">
        <f>IF(OR(Table1[[#This Row],[Início Setup Envase]]="",Table1[[#This Row],[Final Setup Envase]]=""),"",Table1[[#This Row],[Final Setup Envase]]-Table1[[#This Row],[Início Setup Envase]])</f>
        <v/>
      </c>
      <c r="AP2695" s="663"/>
      <c r="AQ2695" s="663"/>
      <c r="AR2695" s="270"/>
      <c r="AS2695" s="674"/>
      <c r="AT2695" s="674"/>
      <c r="AU2695" s="270"/>
      <c r="AV2695" s="270"/>
      <c r="AW2695" s="270"/>
      <c r="AX2695" s="270"/>
      <c r="AY2695" s="270"/>
      <c r="AZ2695" s="270"/>
      <c r="BA2695" s="270" t="str">
        <f>IF(Table1[[#This Row],[Data de Início]]="","",YEAR(Table1[[#This Row],[Data de Início]]))</f>
        <v/>
      </c>
      <c r="BB2695" s="270" t="str">
        <f>IF(Table1[[#This Row],[Data de Início]]="","",MONTH(Table1[[#This Row],[Data de Início]]))</f>
        <v/>
      </c>
      <c r="BC2695" s="483"/>
    </row>
    <row r="2696" spans="2:55" x14ac:dyDescent="0.25">
      <c r="B2696" s="470"/>
      <c r="C2696" s="263"/>
      <c r="D2696" s="477" cm="1">
        <f t="array" ref="D2696">IFERROR(HorasUteisFabrica2Turnos(B2696,C2696), "")</f>
        <v>0</v>
      </c>
      <c r="E2696" s="478" t="str">
        <f t="shared" si="42"/>
        <v/>
      </c>
      <c r="F2696" s="266"/>
      <c r="G2696" s="656"/>
      <c r="H2696" s="479"/>
      <c r="I2696" s="268"/>
      <c r="J2696" s="268"/>
      <c r="K2696" s="268"/>
      <c r="L2696" s="269"/>
      <c r="M2696" s="511" t="str">
        <f>IFERROR(INDEX([1]Produtos!$C:$C,MATCH(L2696,[1]Produtos!$B:$B,0)), "-")</f>
        <v>-</v>
      </c>
      <c r="N2696" s="511" t="str">
        <f>IFERROR(INDEX([1]Produtos!$E:$E,MATCH(L2696,[1]Produtos!$B:$B,0)), "-")</f>
        <v>-</v>
      </c>
      <c r="O2696" s="483" t="str">
        <f>IFERROR(INDEX([1]Produtos!$F:$F,MATCH(L2696,[1]Produtos!$B:$B,0)), "-")</f>
        <v>-</v>
      </c>
      <c r="P2696" s="477" t="str">
        <f>IFERROR(INDEX([1]Produtos!$G:$G,MATCH(L2696,[1]Produtos!$B:$B,0)), "-")</f>
        <v>-</v>
      </c>
      <c r="Q2696" s="483" t="str">
        <f>IFERROR(INDEX([1]Produtos!$H:$H,MATCH(L2696,[1]Produtos!$B:$B,0)), "-")</f>
        <v>-</v>
      </c>
      <c r="R2696" s="483" t="str">
        <f>IFERROR(INDEX([1]Produtos!$I:$I,MATCH(L2696,[1]Produtos!$B:$B,0)), "-")</f>
        <v>-</v>
      </c>
      <c r="S2696" s="483" t="str">
        <f>IFERROR(INDEX([1]Produtos!$J:$J,MATCH(L2696,[1]Produtos!$B:$B,0)), "-")</f>
        <v>-</v>
      </c>
      <c r="T2696" s="484"/>
      <c r="U2696" s="483"/>
      <c r="V2696" s="483"/>
      <c r="W2696" s="483"/>
      <c r="X2696" s="483"/>
      <c r="Y2696" s="483"/>
      <c r="Z2696" s="483"/>
      <c r="AA2696" s="483"/>
      <c r="AB2696" s="483"/>
      <c r="AC2696" s="483"/>
      <c r="AD2696" s="483"/>
      <c r="AE2696" s="483"/>
      <c r="AF2696" s="483"/>
      <c r="AG2696" s="483"/>
      <c r="AH2696" s="483"/>
      <c r="AI2696" s="483"/>
      <c r="AJ2696" s="483"/>
      <c r="AK2696" s="483"/>
      <c r="AL2696" s="483"/>
      <c r="AM2696" s="670"/>
      <c r="AN2696" s="670"/>
      <c r="AO2696" s="711" t="str">
        <f>IF(OR(Table1[[#This Row],[Início Setup Envase]]="",Table1[[#This Row],[Final Setup Envase]]=""),"",Table1[[#This Row],[Final Setup Envase]]-Table1[[#This Row],[Início Setup Envase]])</f>
        <v/>
      </c>
      <c r="AP2696" s="670"/>
      <c r="AQ2696" s="670"/>
      <c r="AR2696" s="483"/>
      <c r="AS2696" s="483"/>
      <c r="AT2696" s="483"/>
      <c r="AU2696" s="483"/>
      <c r="AV2696" s="483"/>
      <c r="AW2696" s="483"/>
      <c r="AX2696" s="483"/>
      <c r="AY2696" s="270"/>
      <c r="AZ2696" s="270"/>
      <c r="BA2696" s="270" t="str">
        <f>IF(Table1[[#This Row],[Data de Início]]="","",YEAR(Table1[[#This Row],[Data de Início]]))</f>
        <v/>
      </c>
      <c r="BB2696" s="270" t="str">
        <f>IF(Table1[[#This Row],[Data de Início]]="","",MONTH(Table1[[#This Row],[Data de Início]]))</f>
        <v/>
      </c>
      <c r="BC2696" s="270"/>
    </row>
    <row r="2697" spans="2:55" x14ac:dyDescent="0.25">
      <c r="B2697" s="470"/>
      <c r="C2697" s="263"/>
      <c r="D2697" s="477" cm="1">
        <f t="array" ref="D2697">IFERROR(HorasUteisFabrica2Turnos(B2697,C2697), "")</f>
        <v>0</v>
      </c>
      <c r="E2697" s="697" t="str">
        <f t="shared" si="42"/>
        <v/>
      </c>
      <c r="F2697" s="266"/>
      <c r="G2697" s="698"/>
      <c r="H2697" s="266"/>
      <c r="I2697" s="268"/>
      <c r="J2697" s="268"/>
      <c r="K2697" s="268"/>
      <c r="L2697" s="269"/>
      <c r="M2697" s="510" t="str">
        <f>IFERROR(INDEX([1]Produtos!$C:$C,MATCH(L2697,[1]Produtos!$B:$B,0)), "-")</f>
        <v>-</v>
      </c>
      <c r="N2697" s="510" t="str">
        <f>IFERROR(INDEX([1]Produtos!$E:$E,MATCH(L2697,[1]Produtos!$B:$B,0)), "-")</f>
        <v>-</v>
      </c>
      <c r="O2697" s="270" t="str">
        <f>IFERROR(INDEX([1]Produtos!$F:$F,MATCH(L2697,[1]Produtos!$B:$B,0)), "-")</f>
        <v>-</v>
      </c>
      <c r="P2697" s="264" t="str">
        <f>IFERROR(INDEX([1]Produtos!$G:$G,MATCH(L2697,[1]Produtos!$B:$B,0)), "-")</f>
        <v>-</v>
      </c>
      <c r="Q2697" s="270" t="str">
        <f>IFERROR(INDEX([1]Produtos!$H:$H,MATCH(L2697,[1]Produtos!$B:$B,0)), "-")</f>
        <v>-</v>
      </c>
      <c r="R2697" s="270" t="str">
        <f>IFERROR(INDEX([1]Produtos!$I:$I,MATCH(L2697,[1]Produtos!$B:$B,0)), "-")</f>
        <v>-</v>
      </c>
      <c r="S2697" s="270" t="str">
        <f>IFERROR(INDEX([1]Produtos!$J:$J,MATCH(L2697,[1]Produtos!$B:$B,0)), "-")</f>
        <v>-</v>
      </c>
      <c r="T2697" s="475"/>
      <c r="U2697" s="270"/>
      <c r="V2697" s="270"/>
      <c r="W2697" s="270"/>
      <c r="X2697" s="270"/>
      <c r="Y2697" s="270"/>
      <c r="Z2697" s="270"/>
      <c r="AA2697" s="270"/>
      <c r="AB2697" s="270"/>
      <c r="AC2697" s="270"/>
      <c r="AD2697" s="270"/>
      <c r="AE2697" s="270"/>
      <c r="AF2697" s="270"/>
      <c r="AG2697" s="270"/>
      <c r="AH2697" s="270"/>
      <c r="AI2697" s="270"/>
      <c r="AJ2697" s="270"/>
      <c r="AK2697" s="270"/>
      <c r="AL2697" s="270"/>
      <c r="AM2697" s="663"/>
      <c r="AN2697" s="663"/>
      <c r="AO2697" s="708" t="str">
        <f>IF(OR(Table1[[#This Row],[Início Setup Envase]]="",Table1[[#This Row],[Final Setup Envase]]=""),"",Table1[[#This Row],[Final Setup Envase]]-Table1[[#This Row],[Início Setup Envase]])</f>
        <v/>
      </c>
      <c r="AP2697" s="663"/>
      <c r="AQ2697" s="663"/>
      <c r="AR2697" s="270"/>
      <c r="AS2697" s="674"/>
      <c r="AT2697" s="674"/>
      <c r="AU2697" s="270"/>
      <c r="AV2697" s="270"/>
      <c r="AW2697" s="270"/>
      <c r="AX2697" s="270"/>
      <c r="AY2697" s="270"/>
      <c r="AZ2697" s="270"/>
      <c r="BA2697" s="270" t="str">
        <f>IF(Table1[[#This Row],[Data de Início]]="","",YEAR(Table1[[#This Row],[Data de Início]]))</f>
        <v/>
      </c>
      <c r="BB2697" s="270" t="str">
        <f>IF(Table1[[#This Row],[Data de Início]]="","",MONTH(Table1[[#This Row],[Data de Início]]))</f>
        <v/>
      </c>
      <c r="BC2697" s="483"/>
    </row>
    <row r="2698" spans="2:55" x14ac:dyDescent="0.25">
      <c r="B2698" s="470"/>
      <c r="C2698" s="263"/>
      <c r="D2698" s="477" cm="1">
        <f t="array" ref="D2698">IFERROR(HorasUteisFabrica2Turnos(B2698,C2698), "")</f>
        <v>0</v>
      </c>
      <c r="E2698" s="478" t="str">
        <f t="shared" si="42"/>
        <v/>
      </c>
      <c r="F2698" s="266"/>
      <c r="G2698" s="656"/>
      <c r="H2698" s="479"/>
      <c r="I2698" s="268"/>
      <c r="J2698" s="268"/>
      <c r="K2698" s="268"/>
      <c r="L2698" s="269"/>
      <c r="M2698" s="511" t="str">
        <f>IFERROR(INDEX([1]Produtos!$C:$C,MATCH(L2698,[1]Produtos!$B:$B,0)), "-")</f>
        <v>-</v>
      </c>
      <c r="N2698" s="511" t="str">
        <f>IFERROR(INDEX([1]Produtos!$E:$E,MATCH(L2698,[1]Produtos!$B:$B,0)), "-")</f>
        <v>-</v>
      </c>
      <c r="O2698" s="483" t="str">
        <f>IFERROR(INDEX([1]Produtos!$F:$F,MATCH(L2698,[1]Produtos!$B:$B,0)), "-")</f>
        <v>-</v>
      </c>
      <c r="P2698" s="477" t="str">
        <f>IFERROR(INDEX([1]Produtos!$G:$G,MATCH(L2698,[1]Produtos!$B:$B,0)), "-")</f>
        <v>-</v>
      </c>
      <c r="Q2698" s="483" t="str">
        <f>IFERROR(INDEX([1]Produtos!$H:$H,MATCH(L2698,[1]Produtos!$B:$B,0)), "-")</f>
        <v>-</v>
      </c>
      <c r="R2698" s="483" t="str">
        <f>IFERROR(INDEX([1]Produtos!$I:$I,MATCH(L2698,[1]Produtos!$B:$B,0)), "-")</f>
        <v>-</v>
      </c>
      <c r="S2698" s="483" t="str">
        <f>IFERROR(INDEX([1]Produtos!$J:$J,MATCH(L2698,[1]Produtos!$B:$B,0)), "-")</f>
        <v>-</v>
      </c>
      <c r="T2698" s="484"/>
      <c r="U2698" s="483"/>
      <c r="V2698" s="483"/>
      <c r="W2698" s="483"/>
      <c r="X2698" s="483"/>
      <c r="Y2698" s="483"/>
      <c r="Z2698" s="483"/>
      <c r="AA2698" s="483"/>
      <c r="AB2698" s="483"/>
      <c r="AC2698" s="483"/>
      <c r="AD2698" s="483"/>
      <c r="AE2698" s="483"/>
      <c r="AF2698" s="483"/>
      <c r="AG2698" s="483"/>
      <c r="AH2698" s="483"/>
      <c r="AI2698" s="483"/>
      <c r="AJ2698" s="483"/>
      <c r="AK2698" s="483"/>
      <c r="AL2698" s="483"/>
      <c r="AM2698" s="670"/>
      <c r="AN2698" s="670"/>
      <c r="AO2698" s="711" t="str">
        <f>IF(OR(Table1[[#This Row],[Início Setup Envase]]="",Table1[[#This Row],[Final Setup Envase]]=""),"",Table1[[#This Row],[Final Setup Envase]]-Table1[[#This Row],[Início Setup Envase]])</f>
        <v/>
      </c>
      <c r="AP2698" s="670"/>
      <c r="AQ2698" s="670"/>
      <c r="AR2698" s="483"/>
      <c r="AS2698" s="483"/>
      <c r="AT2698" s="483"/>
      <c r="AU2698" s="483"/>
      <c r="AV2698" s="483"/>
      <c r="AW2698" s="483"/>
      <c r="AX2698" s="483"/>
      <c r="AY2698" s="270"/>
      <c r="AZ2698" s="270"/>
      <c r="BA2698" s="270" t="str">
        <f>IF(Table1[[#This Row],[Data de Início]]="","",YEAR(Table1[[#This Row],[Data de Início]]))</f>
        <v/>
      </c>
      <c r="BB2698" s="270" t="str">
        <f>IF(Table1[[#This Row],[Data de Início]]="","",MONTH(Table1[[#This Row],[Data de Início]]))</f>
        <v/>
      </c>
      <c r="BC2698" s="270"/>
    </row>
    <row r="2699" spans="2:55" x14ac:dyDescent="0.25">
      <c r="B2699" s="470"/>
      <c r="C2699" s="263"/>
      <c r="D2699" s="477" cm="1">
        <f t="array" ref="D2699">IFERROR(HorasUteisFabrica2Turnos(B2699,C2699), "")</f>
        <v>0</v>
      </c>
      <c r="E2699" s="697" t="str">
        <f t="shared" si="42"/>
        <v/>
      </c>
      <c r="F2699" s="266"/>
      <c r="G2699" s="698"/>
      <c r="H2699" s="266"/>
      <c r="I2699" s="268"/>
      <c r="J2699" s="268"/>
      <c r="K2699" s="268"/>
      <c r="L2699" s="269"/>
      <c r="M2699" s="510" t="str">
        <f>IFERROR(INDEX([1]Produtos!$C:$C,MATCH(L2699,[1]Produtos!$B:$B,0)), "-")</f>
        <v>-</v>
      </c>
      <c r="N2699" s="510" t="str">
        <f>IFERROR(INDEX([1]Produtos!$E:$E,MATCH(L2699,[1]Produtos!$B:$B,0)), "-")</f>
        <v>-</v>
      </c>
      <c r="O2699" s="270" t="str">
        <f>IFERROR(INDEX([1]Produtos!$F:$F,MATCH(L2699,[1]Produtos!$B:$B,0)), "-")</f>
        <v>-</v>
      </c>
      <c r="P2699" s="264" t="str">
        <f>IFERROR(INDEX([1]Produtos!$G:$G,MATCH(L2699,[1]Produtos!$B:$B,0)), "-")</f>
        <v>-</v>
      </c>
      <c r="Q2699" s="270" t="str">
        <f>IFERROR(INDEX([1]Produtos!$H:$H,MATCH(L2699,[1]Produtos!$B:$B,0)), "-")</f>
        <v>-</v>
      </c>
      <c r="R2699" s="270" t="str">
        <f>IFERROR(INDEX([1]Produtos!$I:$I,MATCH(L2699,[1]Produtos!$B:$B,0)), "-")</f>
        <v>-</v>
      </c>
      <c r="S2699" s="270" t="str">
        <f>IFERROR(INDEX([1]Produtos!$J:$J,MATCH(L2699,[1]Produtos!$B:$B,0)), "-")</f>
        <v>-</v>
      </c>
      <c r="T2699" s="475"/>
      <c r="U2699" s="270"/>
      <c r="V2699" s="270"/>
      <c r="W2699" s="270"/>
      <c r="X2699" s="270"/>
      <c r="Y2699" s="270"/>
      <c r="Z2699" s="270"/>
      <c r="AA2699" s="270"/>
      <c r="AB2699" s="270"/>
      <c r="AC2699" s="270"/>
      <c r="AD2699" s="270"/>
      <c r="AE2699" s="270"/>
      <c r="AF2699" s="270"/>
      <c r="AG2699" s="270"/>
      <c r="AH2699" s="270"/>
      <c r="AI2699" s="270"/>
      <c r="AJ2699" s="270"/>
      <c r="AK2699" s="270"/>
      <c r="AL2699" s="270"/>
      <c r="AM2699" s="663"/>
      <c r="AN2699" s="663"/>
      <c r="AO2699" s="708" t="str">
        <f>IF(OR(Table1[[#This Row],[Início Setup Envase]]="",Table1[[#This Row],[Final Setup Envase]]=""),"",Table1[[#This Row],[Final Setup Envase]]-Table1[[#This Row],[Início Setup Envase]])</f>
        <v/>
      </c>
      <c r="AP2699" s="663"/>
      <c r="AQ2699" s="663"/>
      <c r="AR2699" s="270"/>
      <c r="AS2699" s="674"/>
      <c r="AT2699" s="674"/>
      <c r="AU2699" s="270"/>
      <c r="AV2699" s="270"/>
      <c r="AW2699" s="270"/>
      <c r="AX2699" s="270"/>
      <c r="AY2699" s="270"/>
      <c r="AZ2699" s="270"/>
      <c r="BA2699" s="270" t="str">
        <f>IF(Table1[[#This Row],[Data de Início]]="","",YEAR(Table1[[#This Row],[Data de Início]]))</f>
        <v/>
      </c>
      <c r="BB2699" s="270" t="str">
        <f>IF(Table1[[#This Row],[Data de Início]]="","",MONTH(Table1[[#This Row],[Data de Início]]))</f>
        <v/>
      </c>
      <c r="BC2699" s="483"/>
    </row>
    <row r="2700" spans="2:55" x14ac:dyDescent="0.25">
      <c r="B2700" s="470"/>
      <c r="C2700" s="263"/>
      <c r="D2700" s="477" cm="1">
        <f t="array" ref="D2700">IFERROR(HorasUteisFabrica2Turnos(B2700,C2700), "")</f>
        <v>0</v>
      </c>
      <c r="E2700" s="478" t="str">
        <f t="shared" si="42"/>
        <v/>
      </c>
      <c r="F2700" s="266"/>
      <c r="G2700" s="656"/>
      <c r="H2700" s="479"/>
      <c r="I2700" s="268"/>
      <c r="J2700" s="268"/>
      <c r="K2700" s="268"/>
      <c r="L2700" s="269"/>
      <c r="M2700" s="511" t="str">
        <f>IFERROR(INDEX([1]Produtos!$C:$C,MATCH(L2700,[1]Produtos!$B:$B,0)), "-")</f>
        <v>-</v>
      </c>
      <c r="N2700" s="511" t="str">
        <f>IFERROR(INDEX([1]Produtos!$E:$E,MATCH(L2700,[1]Produtos!$B:$B,0)), "-")</f>
        <v>-</v>
      </c>
      <c r="O2700" s="483" t="str">
        <f>IFERROR(INDEX([1]Produtos!$F:$F,MATCH(L2700,[1]Produtos!$B:$B,0)), "-")</f>
        <v>-</v>
      </c>
      <c r="P2700" s="477" t="str">
        <f>IFERROR(INDEX([1]Produtos!$G:$G,MATCH(L2700,[1]Produtos!$B:$B,0)), "-")</f>
        <v>-</v>
      </c>
      <c r="Q2700" s="483" t="str">
        <f>IFERROR(INDEX([1]Produtos!$H:$H,MATCH(L2700,[1]Produtos!$B:$B,0)), "-")</f>
        <v>-</v>
      </c>
      <c r="R2700" s="483" t="str">
        <f>IFERROR(INDEX([1]Produtos!$I:$I,MATCH(L2700,[1]Produtos!$B:$B,0)), "-")</f>
        <v>-</v>
      </c>
      <c r="S2700" s="483" t="str">
        <f>IFERROR(INDEX([1]Produtos!$J:$J,MATCH(L2700,[1]Produtos!$B:$B,0)), "-")</f>
        <v>-</v>
      </c>
      <c r="T2700" s="484"/>
      <c r="U2700" s="483"/>
      <c r="V2700" s="483"/>
      <c r="W2700" s="483"/>
      <c r="X2700" s="483"/>
      <c r="Y2700" s="483"/>
      <c r="Z2700" s="483"/>
      <c r="AA2700" s="483"/>
      <c r="AB2700" s="483"/>
      <c r="AC2700" s="483"/>
      <c r="AD2700" s="483"/>
      <c r="AE2700" s="483"/>
      <c r="AF2700" s="483"/>
      <c r="AG2700" s="483"/>
      <c r="AH2700" s="483"/>
      <c r="AI2700" s="483"/>
      <c r="AJ2700" s="483"/>
      <c r="AK2700" s="483"/>
      <c r="AL2700" s="483"/>
      <c r="AM2700" s="670"/>
      <c r="AN2700" s="670"/>
      <c r="AO2700" s="711" t="str">
        <f>IF(OR(Table1[[#This Row],[Início Setup Envase]]="",Table1[[#This Row],[Final Setup Envase]]=""),"",Table1[[#This Row],[Final Setup Envase]]-Table1[[#This Row],[Início Setup Envase]])</f>
        <v/>
      </c>
      <c r="AP2700" s="670"/>
      <c r="AQ2700" s="670"/>
      <c r="AR2700" s="483"/>
      <c r="AS2700" s="483"/>
      <c r="AT2700" s="483"/>
      <c r="AU2700" s="483"/>
      <c r="AV2700" s="483"/>
      <c r="AW2700" s="483"/>
      <c r="AX2700" s="483"/>
      <c r="AY2700" s="270"/>
      <c r="AZ2700" s="270"/>
      <c r="BA2700" s="270" t="str">
        <f>IF(Table1[[#This Row],[Data de Início]]="","",YEAR(Table1[[#This Row],[Data de Início]]))</f>
        <v/>
      </c>
      <c r="BB2700" s="270" t="str">
        <f>IF(Table1[[#This Row],[Data de Início]]="","",MONTH(Table1[[#This Row],[Data de Início]]))</f>
        <v/>
      </c>
      <c r="BC2700" s="270"/>
    </row>
    <row r="2701" spans="2:55" x14ac:dyDescent="0.25">
      <c r="B2701" s="470"/>
      <c r="C2701" s="263"/>
      <c r="D2701" s="477" cm="1">
        <f t="array" ref="D2701">IFERROR(HorasUteisFabrica2Turnos(B2701,C2701), "")</f>
        <v>0</v>
      </c>
      <c r="E2701" s="697" t="str">
        <f t="shared" si="42"/>
        <v/>
      </c>
      <c r="F2701" s="266"/>
      <c r="G2701" s="698"/>
      <c r="H2701" s="266"/>
      <c r="I2701" s="268"/>
      <c r="J2701" s="268"/>
      <c r="K2701" s="268"/>
      <c r="L2701" s="269"/>
      <c r="M2701" s="510" t="str">
        <f>IFERROR(INDEX([1]Produtos!$C:$C,MATCH(L2701,[1]Produtos!$B:$B,0)), "-")</f>
        <v>-</v>
      </c>
      <c r="N2701" s="510" t="str">
        <f>IFERROR(INDEX([1]Produtos!$E:$E,MATCH(L2701,[1]Produtos!$B:$B,0)), "-")</f>
        <v>-</v>
      </c>
      <c r="O2701" s="270" t="str">
        <f>IFERROR(INDEX([1]Produtos!$F:$F,MATCH(L2701,[1]Produtos!$B:$B,0)), "-")</f>
        <v>-</v>
      </c>
      <c r="P2701" s="264" t="str">
        <f>IFERROR(INDEX([1]Produtos!$G:$G,MATCH(L2701,[1]Produtos!$B:$B,0)), "-")</f>
        <v>-</v>
      </c>
      <c r="Q2701" s="270" t="str">
        <f>IFERROR(INDEX([1]Produtos!$H:$H,MATCH(L2701,[1]Produtos!$B:$B,0)), "-")</f>
        <v>-</v>
      </c>
      <c r="R2701" s="270" t="str">
        <f>IFERROR(INDEX([1]Produtos!$I:$I,MATCH(L2701,[1]Produtos!$B:$B,0)), "-")</f>
        <v>-</v>
      </c>
      <c r="S2701" s="270" t="str">
        <f>IFERROR(INDEX([1]Produtos!$J:$J,MATCH(L2701,[1]Produtos!$B:$B,0)), "-")</f>
        <v>-</v>
      </c>
      <c r="T2701" s="475"/>
      <c r="U2701" s="270"/>
      <c r="V2701" s="270"/>
      <c r="W2701" s="270"/>
      <c r="X2701" s="270"/>
      <c r="Y2701" s="270"/>
      <c r="Z2701" s="270"/>
      <c r="AA2701" s="270"/>
      <c r="AB2701" s="270"/>
      <c r="AC2701" s="270"/>
      <c r="AD2701" s="270"/>
      <c r="AE2701" s="270"/>
      <c r="AF2701" s="270"/>
      <c r="AG2701" s="270"/>
      <c r="AH2701" s="270"/>
      <c r="AI2701" s="270"/>
      <c r="AJ2701" s="270"/>
      <c r="AK2701" s="270"/>
      <c r="AL2701" s="270"/>
      <c r="AM2701" s="663"/>
      <c r="AN2701" s="663"/>
      <c r="AO2701" s="708" t="str">
        <f>IF(OR(Table1[[#This Row],[Início Setup Envase]]="",Table1[[#This Row],[Final Setup Envase]]=""),"",Table1[[#This Row],[Final Setup Envase]]-Table1[[#This Row],[Início Setup Envase]])</f>
        <v/>
      </c>
      <c r="AP2701" s="663"/>
      <c r="AQ2701" s="663"/>
      <c r="AR2701" s="270"/>
      <c r="AS2701" s="674"/>
      <c r="AT2701" s="674"/>
      <c r="AU2701" s="270"/>
      <c r="AV2701" s="270"/>
      <c r="AW2701" s="270"/>
      <c r="AX2701" s="270"/>
      <c r="AY2701" s="270"/>
      <c r="AZ2701" s="270"/>
      <c r="BA2701" s="270" t="str">
        <f>IF(Table1[[#This Row],[Data de Início]]="","",YEAR(Table1[[#This Row],[Data de Início]]))</f>
        <v/>
      </c>
      <c r="BB2701" s="270" t="str">
        <f>IF(Table1[[#This Row],[Data de Início]]="","",MONTH(Table1[[#This Row],[Data de Início]]))</f>
        <v/>
      </c>
      <c r="BC2701" s="483"/>
    </row>
    <row r="2702" spans="2:55" x14ac:dyDescent="0.25">
      <c r="B2702" s="470"/>
      <c r="C2702" s="263"/>
      <c r="D2702" s="477" cm="1">
        <f t="array" ref="D2702">IFERROR(HorasUteisFabrica2Turnos(B2702,C2702), "")</f>
        <v>0</v>
      </c>
      <c r="E2702" s="478" t="str">
        <f t="shared" si="42"/>
        <v/>
      </c>
      <c r="F2702" s="266"/>
      <c r="G2702" s="656"/>
      <c r="H2702" s="479"/>
      <c r="I2702" s="268"/>
      <c r="J2702" s="268"/>
      <c r="K2702" s="268"/>
      <c r="L2702" s="269"/>
      <c r="M2702" s="511" t="str">
        <f>IFERROR(INDEX([1]Produtos!$C:$C,MATCH(L2702,[1]Produtos!$B:$B,0)), "-")</f>
        <v>-</v>
      </c>
      <c r="N2702" s="511" t="str">
        <f>IFERROR(INDEX([1]Produtos!$E:$E,MATCH(L2702,[1]Produtos!$B:$B,0)), "-")</f>
        <v>-</v>
      </c>
      <c r="O2702" s="483" t="str">
        <f>IFERROR(INDEX([1]Produtos!$F:$F,MATCH(L2702,[1]Produtos!$B:$B,0)), "-")</f>
        <v>-</v>
      </c>
      <c r="P2702" s="477" t="str">
        <f>IFERROR(INDEX([1]Produtos!$G:$G,MATCH(L2702,[1]Produtos!$B:$B,0)), "-")</f>
        <v>-</v>
      </c>
      <c r="Q2702" s="483" t="str">
        <f>IFERROR(INDEX([1]Produtos!$H:$H,MATCH(L2702,[1]Produtos!$B:$B,0)), "-")</f>
        <v>-</v>
      </c>
      <c r="R2702" s="483" t="str">
        <f>IFERROR(INDEX([1]Produtos!$I:$I,MATCH(L2702,[1]Produtos!$B:$B,0)), "-")</f>
        <v>-</v>
      </c>
      <c r="S2702" s="483" t="str">
        <f>IFERROR(INDEX([1]Produtos!$J:$J,MATCH(L2702,[1]Produtos!$B:$B,0)), "-")</f>
        <v>-</v>
      </c>
      <c r="T2702" s="484"/>
      <c r="U2702" s="483"/>
      <c r="V2702" s="483"/>
      <c r="W2702" s="483"/>
      <c r="X2702" s="483"/>
      <c r="Y2702" s="483"/>
      <c r="Z2702" s="483"/>
      <c r="AA2702" s="483"/>
      <c r="AB2702" s="483"/>
      <c r="AC2702" s="483"/>
      <c r="AD2702" s="483"/>
      <c r="AE2702" s="483"/>
      <c r="AF2702" s="483"/>
      <c r="AG2702" s="483"/>
      <c r="AH2702" s="483"/>
      <c r="AI2702" s="483"/>
      <c r="AJ2702" s="483"/>
      <c r="AK2702" s="483"/>
      <c r="AL2702" s="483"/>
      <c r="AM2702" s="670"/>
      <c r="AN2702" s="670"/>
      <c r="AO2702" s="711" t="str">
        <f>IF(OR(Table1[[#This Row],[Início Setup Envase]]="",Table1[[#This Row],[Final Setup Envase]]=""),"",Table1[[#This Row],[Final Setup Envase]]-Table1[[#This Row],[Início Setup Envase]])</f>
        <v/>
      </c>
      <c r="AP2702" s="670"/>
      <c r="AQ2702" s="670"/>
      <c r="AR2702" s="483"/>
      <c r="AS2702" s="483"/>
      <c r="AT2702" s="483"/>
      <c r="AU2702" s="483"/>
      <c r="AV2702" s="483"/>
      <c r="AW2702" s="483"/>
      <c r="AX2702" s="483"/>
      <c r="AY2702" s="270"/>
      <c r="AZ2702" s="270"/>
      <c r="BA2702" s="270" t="str">
        <f>IF(Table1[[#This Row],[Data de Início]]="","",YEAR(Table1[[#This Row],[Data de Início]]))</f>
        <v/>
      </c>
      <c r="BB2702" s="270" t="str">
        <f>IF(Table1[[#This Row],[Data de Início]]="","",MONTH(Table1[[#This Row],[Data de Início]]))</f>
        <v/>
      </c>
      <c r="BC2702" s="270"/>
    </row>
    <row r="2703" spans="2:55" x14ac:dyDescent="0.25">
      <c r="B2703" s="470"/>
      <c r="C2703" s="263"/>
      <c r="D2703" s="477" cm="1">
        <f t="array" ref="D2703">IFERROR(HorasUteisFabrica2Turnos(B2703,C2703), "")</f>
        <v>0</v>
      </c>
      <c r="E2703" s="697" t="str">
        <f t="shared" si="42"/>
        <v/>
      </c>
      <c r="F2703" s="266"/>
      <c r="G2703" s="698"/>
      <c r="H2703" s="266"/>
      <c r="I2703" s="268"/>
      <c r="J2703" s="268"/>
      <c r="K2703" s="268"/>
      <c r="L2703" s="269"/>
      <c r="M2703" s="510" t="str">
        <f>IFERROR(INDEX([1]Produtos!$C:$C,MATCH(L2703,[1]Produtos!$B:$B,0)), "-")</f>
        <v>-</v>
      </c>
      <c r="N2703" s="510" t="str">
        <f>IFERROR(INDEX([1]Produtos!$E:$E,MATCH(L2703,[1]Produtos!$B:$B,0)), "-")</f>
        <v>-</v>
      </c>
      <c r="O2703" s="270" t="str">
        <f>IFERROR(INDEX([1]Produtos!$F:$F,MATCH(L2703,[1]Produtos!$B:$B,0)), "-")</f>
        <v>-</v>
      </c>
      <c r="P2703" s="264" t="str">
        <f>IFERROR(INDEX([1]Produtos!$G:$G,MATCH(L2703,[1]Produtos!$B:$B,0)), "-")</f>
        <v>-</v>
      </c>
      <c r="Q2703" s="270" t="str">
        <f>IFERROR(INDEX([1]Produtos!$H:$H,MATCH(L2703,[1]Produtos!$B:$B,0)), "-")</f>
        <v>-</v>
      </c>
      <c r="R2703" s="270" t="str">
        <f>IFERROR(INDEX([1]Produtos!$I:$I,MATCH(L2703,[1]Produtos!$B:$B,0)), "-")</f>
        <v>-</v>
      </c>
      <c r="S2703" s="270" t="str">
        <f>IFERROR(INDEX([1]Produtos!$J:$J,MATCH(L2703,[1]Produtos!$B:$B,0)), "-")</f>
        <v>-</v>
      </c>
      <c r="T2703" s="475"/>
      <c r="U2703" s="270"/>
      <c r="V2703" s="270"/>
      <c r="W2703" s="270"/>
      <c r="X2703" s="270"/>
      <c r="Y2703" s="270"/>
      <c r="Z2703" s="270"/>
      <c r="AA2703" s="270"/>
      <c r="AB2703" s="270"/>
      <c r="AC2703" s="270"/>
      <c r="AD2703" s="270"/>
      <c r="AE2703" s="270"/>
      <c r="AF2703" s="270"/>
      <c r="AG2703" s="270"/>
      <c r="AH2703" s="270"/>
      <c r="AI2703" s="270"/>
      <c r="AJ2703" s="270"/>
      <c r="AK2703" s="270"/>
      <c r="AL2703" s="270"/>
      <c r="AM2703" s="663"/>
      <c r="AN2703" s="663"/>
      <c r="AO2703" s="708" t="str">
        <f>IF(OR(Table1[[#This Row],[Início Setup Envase]]="",Table1[[#This Row],[Final Setup Envase]]=""),"",Table1[[#This Row],[Final Setup Envase]]-Table1[[#This Row],[Início Setup Envase]])</f>
        <v/>
      </c>
      <c r="AP2703" s="663"/>
      <c r="AQ2703" s="663"/>
      <c r="AR2703" s="270"/>
      <c r="AS2703" s="674"/>
      <c r="AT2703" s="674"/>
      <c r="AU2703" s="270"/>
      <c r="AV2703" s="270"/>
      <c r="AW2703" s="270"/>
      <c r="AX2703" s="270"/>
      <c r="AY2703" s="270"/>
      <c r="AZ2703" s="270"/>
      <c r="BA2703" s="270" t="str">
        <f>IF(Table1[[#This Row],[Data de Início]]="","",YEAR(Table1[[#This Row],[Data de Início]]))</f>
        <v/>
      </c>
      <c r="BB2703" s="270" t="str">
        <f>IF(Table1[[#This Row],[Data de Início]]="","",MONTH(Table1[[#This Row],[Data de Início]]))</f>
        <v/>
      </c>
      <c r="BC2703" s="483"/>
    </row>
    <row r="2704" spans="2:55" x14ac:dyDescent="0.25">
      <c r="B2704" s="470"/>
      <c r="C2704" s="263"/>
      <c r="D2704" s="477" cm="1">
        <f t="array" ref="D2704">IFERROR(HorasUteisFabrica2Turnos(B2704,C2704), "")</f>
        <v>0</v>
      </c>
      <c r="E2704" s="478" t="str">
        <f t="shared" si="42"/>
        <v/>
      </c>
      <c r="F2704" s="266"/>
      <c r="G2704" s="656"/>
      <c r="H2704" s="479"/>
      <c r="I2704" s="268"/>
      <c r="J2704" s="268"/>
      <c r="K2704" s="268"/>
      <c r="L2704" s="269"/>
      <c r="M2704" s="511" t="str">
        <f>IFERROR(INDEX([1]Produtos!$C:$C,MATCH(L2704,[1]Produtos!$B:$B,0)), "-")</f>
        <v>-</v>
      </c>
      <c r="N2704" s="511" t="str">
        <f>IFERROR(INDEX([1]Produtos!$E:$E,MATCH(L2704,[1]Produtos!$B:$B,0)), "-")</f>
        <v>-</v>
      </c>
      <c r="O2704" s="483" t="str">
        <f>IFERROR(INDEX([1]Produtos!$F:$F,MATCH(L2704,[1]Produtos!$B:$B,0)), "-")</f>
        <v>-</v>
      </c>
      <c r="P2704" s="477" t="str">
        <f>IFERROR(INDEX([1]Produtos!$G:$G,MATCH(L2704,[1]Produtos!$B:$B,0)), "-")</f>
        <v>-</v>
      </c>
      <c r="Q2704" s="483" t="str">
        <f>IFERROR(INDEX([1]Produtos!$H:$H,MATCH(L2704,[1]Produtos!$B:$B,0)), "-")</f>
        <v>-</v>
      </c>
      <c r="R2704" s="483" t="str">
        <f>IFERROR(INDEX([1]Produtos!$I:$I,MATCH(L2704,[1]Produtos!$B:$B,0)), "-")</f>
        <v>-</v>
      </c>
      <c r="S2704" s="483" t="str">
        <f>IFERROR(INDEX([1]Produtos!$J:$J,MATCH(L2704,[1]Produtos!$B:$B,0)), "-")</f>
        <v>-</v>
      </c>
      <c r="T2704" s="484"/>
      <c r="U2704" s="483"/>
      <c r="V2704" s="483"/>
      <c r="W2704" s="483"/>
      <c r="X2704" s="483"/>
      <c r="Y2704" s="483"/>
      <c r="Z2704" s="483"/>
      <c r="AA2704" s="483"/>
      <c r="AB2704" s="483"/>
      <c r="AC2704" s="483"/>
      <c r="AD2704" s="483"/>
      <c r="AE2704" s="483"/>
      <c r="AF2704" s="483"/>
      <c r="AG2704" s="483"/>
      <c r="AH2704" s="483"/>
      <c r="AI2704" s="483"/>
      <c r="AJ2704" s="483"/>
      <c r="AK2704" s="483"/>
      <c r="AL2704" s="483"/>
      <c r="AM2704" s="670"/>
      <c r="AN2704" s="670"/>
      <c r="AO2704" s="711" t="str">
        <f>IF(OR(Table1[[#This Row],[Início Setup Envase]]="",Table1[[#This Row],[Final Setup Envase]]=""),"",Table1[[#This Row],[Final Setup Envase]]-Table1[[#This Row],[Início Setup Envase]])</f>
        <v/>
      </c>
      <c r="AP2704" s="670"/>
      <c r="AQ2704" s="670"/>
      <c r="AR2704" s="483"/>
      <c r="AS2704" s="483"/>
      <c r="AT2704" s="483"/>
      <c r="AU2704" s="483"/>
      <c r="AV2704" s="483"/>
      <c r="AW2704" s="483"/>
      <c r="AX2704" s="483"/>
      <c r="AY2704" s="270"/>
      <c r="AZ2704" s="270"/>
      <c r="BA2704" s="270" t="str">
        <f>IF(Table1[[#This Row],[Data de Início]]="","",YEAR(Table1[[#This Row],[Data de Início]]))</f>
        <v/>
      </c>
      <c r="BB2704" s="270" t="str">
        <f>IF(Table1[[#This Row],[Data de Início]]="","",MONTH(Table1[[#This Row],[Data de Início]]))</f>
        <v/>
      </c>
      <c r="BC2704" s="270"/>
    </row>
    <row r="2705" spans="2:55" x14ac:dyDescent="0.25">
      <c r="B2705" s="470"/>
      <c r="C2705" s="263"/>
      <c r="D2705" s="477" cm="1">
        <f t="array" ref="D2705">IFERROR(HorasUteisFabrica2Turnos(B2705,C2705), "")</f>
        <v>0</v>
      </c>
      <c r="E2705" s="697" t="str">
        <f t="shared" si="42"/>
        <v/>
      </c>
      <c r="F2705" s="266"/>
      <c r="G2705" s="698"/>
      <c r="H2705" s="266"/>
      <c r="I2705" s="268"/>
      <c r="J2705" s="268"/>
      <c r="K2705" s="268"/>
      <c r="L2705" s="269"/>
      <c r="M2705" s="510" t="str">
        <f>IFERROR(INDEX([1]Produtos!$C:$C,MATCH(L2705,[1]Produtos!$B:$B,0)), "-")</f>
        <v>-</v>
      </c>
      <c r="N2705" s="510" t="str">
        <f>IFERROR(INDEX([1]Produtos!$E:$E,MATCH(L2705,[1]Produtos!$B:$B,0)), "-")</f>
        <v>-</v>
      </c>
      <c r="O2705" s="270" t="str">
        <f>IFERROR(INDEX([1]Produtos!$F:$F,MATCH(L2705,[1]Produtos!$B:$B,0)), "-")</f>
        <v>-</v>
      </c>
      <c r="P2705" s="264" t="str">
        <f>IFERROR(INDEX([1]Produtos!$G:$G,MATCH(L2705,[1]Produtos!$B:$B,0)), "-")</f>
        <v>-</v>
      </c>
      <c r="Q2705" s="270" t="str">
        <f>IFERROR(INDEX([1]Produtos!$H:$H,MATCH(L2705,[1]Produtos!$B:$B,0)), "-")</f>
        <v>-</v>
      </c>
      <c r="R2705" s="270" t="str">
        <f>IFERROR(INDEX([1]Produtos!$I:$I,MATCH(L2705,[1]Produtos!$B:$B,0)), "-")</f>
        <v>-</v>
      </c>
      <c r="S2705" s="270" t="str">
        <f>IFERROR(INDEX([1]Produtos!$J:$J,MATCH(L2705,[1]Produtos!$B:$B,0)), "-")</f>
        <v>-</v>
      </c>
      <c r="T2705" s="475"/>
      <c r="U2705" s="270"/>
      <c r="V2705" s="270"/>
      <c r="W2705" s="270"/>
      <c r="X2705" s="270"/>
      <c r="Y2705" s="270"/>
      <c r="Z2705" s="270"/>
      <c r="AA2705" s="270"/>
      <c r="AB2705" s="270"/>
      <c r="AC2705" s="270"/>
      <c r="AD2705" s="270"/>
      <c r="AE2705" s="270"/>
      <c r="AF2705" s="270"/>
      <c r="AG2705" s="270"/>
      <c r="AH2705" s="270"/>
      <c r="AI2705" s="270"/>
      <c r="AJ2705" s="270"/>
      <c r="AK2705" s="270"/>
      <c r="AL2705" s="270"/>
      <c r="AM2705" s="663"/>
      <c r="AN2705" s="663"/>
      <c r="AO2705" s="708" t="str">
        <f>IF(OR(Table1[[#This Row],[Início Setup Envase]]="",Table1[[#This Row],[Final Setup Envase]]=""),"",Table1[[#This Row],[Final Setup Envase]]-Table1[[#This Row],[Início Setup Envase]])</f>
        <v/>
      </c>
      <c r="AP2705" s="663"/>
      <c r="AQ2705" s="663"/>
      <c r="AR2705" s="270"/>
      <c r="AS2705" s="674"/>
      <c r="AT2705" s="674"/>
      <c r="AU2705" s="270"/>
      <c r="AV2705" s="270"/>
      <c r="AW2705" s="270"/>
      <c r="AX2705" s="270"/>
      <c r="AY2705" s="270"/>
      <c r="AZ2705" s="270"/>
      <c r="BA2705" s="270" t="str">
        <f>IF(Table1[[#This Row],[Data de Início]]="","",YEAR(Table1[[#This Row],[Data de Início]]))</f>
        <v/>
      </c>
      <c r="BB2705" s="270" t="str">
        <f>IF(Table1[[#This Row],[Data de Início]]="","",MONTH(Table1[[#This Row],[Data de Início]]))</f>
        <v/>
      </c>
      <c r="BC2705" s="483"/>
    </row>
    <row r="2706" spans="2:55" x14ac:dyDescent="0.25">
      <c r="B2706" s="470"/>
      <c r="C2706" s="263"/>
      <c r="D2706" s="477" cm="1">
        <f t="array" ref="D2706">IFERROR(HorasUteisFabrica2Turnos(B2706,C2706), "")</f>
        <v>0</v>
      </c>
      <c r="E2706" s="478" t="str">
        <f t="shared" si="42"/>
        <v/>
      </c>
      <c r="F2706" s="266"/>
      <c r="G2706" s="656"/>
      <c r="H2706" s="479"/>
      <c r="I2706" s="268"/>
      <c r="J2706" s="268"/>
      <c r="K2706" s="268"/>
      <c r="L2706" s="269"/>
      <c r="M2706" s="511" t="str">
        <f>IFERROR(INDEX([1]Produtos!$C:$C,MATCH(L2706,[1]Produtos!$B:$B,0)), "-")</f>
        <v>-</v>
      </c>
      <c r="N2706" s="511" t="str">
        <f>IFERROR(INDEX([1]Produtos!$E:$E,MATCH(L2706,[1]Produtos!$B:$B,0)), "-")</f>
        <v>-</v>
      </c>
      <c r="O2706" s="483" t="str">
        <f>IFERROR(INDEX([1]Produtos!$F:$F,MATCH(L2706,[1]Produtos!$B:$B,0)), "-")</f>
        <v>-</v>
      </c>
      <c r="P2706" s="477" t="str">
        <f>IFERROR(INDEX([1]Produtos!$G:$G,MATCH(L2706,[1]Produtos!$B:$B,0)), "-")</f>
        <v>-</v>
      </c>
      <c r="Q2706" s="483" t="str">
        <f>IFERROR(INDEX([1]Produtos!$H:$H,MATCH(L2706,[1]Produtos!$B:$B,0)), "-")</f>
        <v>-</v>
      </c>
      <c r="R2706" s="483" t="str">
        <f>IFERROR(INDEX([1]Produtos!$I:$I,MATCH(L2706,[1]Produtos!$B:$B,0)), "-")</f>
        <v>-</v>
      </c>
      <c r="S2706" s="483" t="str">
        <f>IFERROR(INDEX([1]Produtos!$J:$J,MATCH(L2706,[1]Produtos!$B:$B,0)), "-")</f>
        <v>-</v>
      </c>
      <c r="T2706" s="484"/>
      <c r="U2706" s="483"/>
      <c r="V2706" s="483"/>
      <c r="W2706" s="483"/>
      <c r="X2706" s="483"/>
      <c r="Y2706" s="483"/>
      <c r="Z2706" s="483"/>
      <c r="AA2706" s="483"/>
      <c r="AB2706" s="483"/>
      <c r="AC2706" s="483"/>
      <c r="AD2706" s="483"/>
      <c r="AE2706" s="483"/>
      <c r="AF2706" s="483"/>
      <c r="AG2706" s="483"/>
      <c r="AH2706" s="483"/>
      <c r="AI2706" s="483"/>
      <c r="AJ2706" s="483"/>
      <c r="AK2706" s="483"/>
      <c r="AL2706" s="483"/>
      <c r="AM2706" s="670"/>
      <c r="AN2706" s="670"/>
      <c r="AO2706" s="711" t="str">
        <f>IF(OR(Table1[[#This Row],[Início Setup Envase]]="",Table1[[#This Row],[Final Setup Envase]]=""),"",Table1[[#This Row],[Final Setup Envase]]-Table1[[#This Row],[Início Setup Envase]])</f>
        <v/>
      </c>
      <c r="AP2706" s="670"/>
      <c r="AQ2706" s="670"/>
      <c r="AR2706" s="483"/>
      <c r="AS2706" s="483"/>
      <c r="AT2706" s="483"/>
      <c r="AU2706" s="483"/>
      <c r="AV2706" s="483"/>
      <c r="AW2706" s="483"/>
      <c r="AX2706" s="483"/>
      <c r="AY2706" s="270"/>
      <c r="AZ2706" s="270"/>
      <c r="BA2706" s="270" t="str">
        <f>IF(Table1[[#This Row],[Data de Início]]="","",YEAR(Table1[[#This Row],[Data de Início]]))</f>
        <v/>
      </c>
      <c r="BB2706" s="270" t="str">
        <f>IF(Table1[[#This Row],[Data de Início]]="","",MONTH(Table1[[#This Row],[Data de Início]]))</f>
        <v/>
      </c>
      <c r="BC2706" s="270"/>
    </row>
    <row r="2707" spans="2:55" x14ac:dyDescent="0.25">
      <c r="B2707" s="470"/>
      <c r="C2707" s="263"/>
      <c r="D2707" s="477" cm="1">
        <f t="array" ref="D2707">IFERROR(HorasUteisFabrica2Turnos(B2707,C2707), "")</f>
        <v>0</v>
      </c>
      <c r="E2707" s="697" t="str">
        <f t="shared" si="42"/>
        <v/>
      </c>
      <c r="F2707" s="266"/>
      <c r="G2707" s="698"/>
      <c r="H2707" s="266"/>
      <c r="I2707" s="268"/>
      <c r="J2707" s="268"/>
      <c r="K2707" s="268"/>
      <c r="L2707" s="269"/>
      <c r="M2707" s="510" t="str">
        <f>IFERROR(INDEX([1]Produtos!$C:$C,MATCH(L2707,[1]Produtos!$B:$B,0)), "-")</f>
        <v>-</v>
      </c>
      <c r="N2707" s="510" t="str">
        <f>IFERROR(INDEX([1]Produtos!$E:$E,MATCH(L2707,[1]Produtos!$B:$B,0)), "-")</f>
        <v>-</v>
      </c>
      <c r="O2707" s="270" t="str">
        <f>IFERROR(INDEX([1]Produtos!$F:$F,MATCH(L2707,[1]Produtos!$B:$B,0)), "-")</f>
        <v>-</v>
      </c>
      <c r="P2707" s="264" t="str">
        <f>IFERROR(INDEX([1]Produtos!$G:$G,MATCH(L2707,[1]Produtos!$B:$B,0)), "-")</f>
        <v>-</v>
      </c>
      <c r="Q2707" s="270" t="str">
        <f>IFERROR(INDEX([1]Produtos!$H:$H,MATCH(L2707,[1]Produtos!$B:$B,0)), "-")</f>
        <v>-</v>
      </c>
      <c r="R2707" s="270" t="str">
        <f>IFERROR(INDEX([1]Produtos!$I:$I,MATCH(L2707,[1]Produtos!$B:$B,0)), "-")</f>
        <v>-</v>
      </c>
      <c r="S2707" s="270" t="str">
        <f>IFERROR(INDEX([1]Produtos!$J:$J,MATCH(L2707,[1]Produtos!$B:$B,0)), "-")</f>
        <v>-</v>
      </c>
      <c r="T2707" s="475"/>
      <c r="U2707" s="270"/>
      <c r="V2707" s="270"/>
      <c r="W2707" s="270"/>
      <c r="X2707" s="270"/>
      <c r="Y2707" s="270"/>
      <c r="Z2707" s="270"/>
      <c r="AA2707" s="270"/>
      <c r="AB2707" s="270"/>
      <c r="AC2707" s="270"/>
      <c r="AD2707" s="270"/>
      <c r="AE2707" s="270"/>
      <c r="AF2707" s="270"/>
      <c r="AG2707" s="270"/>
      <c r="AH2707" s="270"/>
      <c r="AI2707" s="270"/>
      <c r="AJ2707" s="270"/>
      <c r="AK2707" s="270"/>
      <c r="AL2707" s="270"/>
      <c r="AM2707" s="663"/>
      <c r="AN2707" s="663"/>
      <c r="AO2707" s="708" t="str">
        <f>IF(OR(Table1[[#This Row],[Início Setup Envase]]="",Table1[[#This Row],[Final Setup Envase]]=""),"",Table1[[#This Row],[Final Setup Envase]]-Table1[[#This Row],[Início Setup Envase]])</f>
        <v/>
      </c>
      <c r="AP2707" s="663"/>
      <c r="AQ2707" s="663"/>
      <c r="AR2707" s="270"/>
      <c r="AS2707" s="674"/>
      <c r="AT2707" s="674"/>
      <c r="AU2707" s="270"/>
      <c r="AV2707" s="270"/>
      <c r="AW2707" s="270"/>
      <c r="AX2707" s="270"/>
      <c r="AY2707" s="270"/>
      <c r="AZ2707" s="270"/>
      <c r="BA2707" s="270" t="str">
        <f>IF(Table1[[#This Row],[Data de Início]]="","",YEAR(Table1[[#This Row],[Data de Início]]))</f>
        <v/>
      </c>
      <c r="BB2707" s="270" t="str">
        <f>IF(Table1[[#This Row],[Data de Início]]="","",MONTH(Table1[[#This Row],[Data de Início]]))</f>
        <v/>
      </c>
      <c r="BC2707" s="483"/>
    </row>
    <row r="2708" spans="2:55" x14ac:dyDescent="0.25">
      <c r="B2708" s="470"/>
      <c r="C2708" s="263"/>
      <c r="D2708" s="477" cm="1">
        <f t="array" ref="D2708">IFERROR(HorasUteisFabrica2Turnos(B2708,C2708), "")</f>
        <v>0</v>
      </c>
      <c r="E2708" s="478" t="str">
        <f t="shared" si="42"/>
        <v/>
      </c>
      <c r="F2708" s="266"/>
      <c r="G2708" s="656"/>
      <c r="H2708" s="479"/>
      <c r="I2708" s="268"/>
      <c r="J2708" s="268"/>
      <c r="K2708" s="268"/>
      <c r="L2708" s="269"/>
      <c r="M2708" s="511" t="str">
        <f>IFERROR(INDEX([1]Produtos!$C:$C,MATCH(L2708,[1]Produtos!$B:$B,0)), "-")</f>
        <v>-</v>
      </c>
      <c r="N2708" s="511" t="str">
        <f>IFERROR(INDEX([1]Produtos!$E:$E,MATCH(L2708,[1]Produtos!$B:$B,0)), "-")</f>
        <v>-</v>
      </c>
      <c r="O2708" s="483" t="str">
        <f>IFERROR(INDEX([1]Produtos!$F:$F,MATCH(L2708,[1]Produtos!$B:$B,0)), "-")</f>
        <v>-</v>
      </c>
      <c r="P2708" s="477" t="str">
        <f>IFERROR(INDEX([1]Produtos!$G:$G,MATCH(L2708,[1]Produtos!$B:$B,0)), "-")</f>
        <v>-</v>
      </c>
      <c r="Q2708" s="483" t="str">
        <f>IFERROR(INDEX([1]Produtos!$H:$H,MATCH(L2708,[1]Produtos!$B:$B,0)), "-")</f>
        <v>-</v>
      </c>
      <c r="R2708" s="483" t="str">
        <f>IFERROR(INDEX([1]Produtos!$I:$I,MATCH(L2708,[1]Produtos!$B:$B,0)), "-")</f>
        <v>-</v>
      </c>
      <c r="S2708" s="483" t="str">
        <f>IFERROR(INDEX([1]Produtos!$J:$J,MATCH(L2708,[1]Produtos!$B:$B,0)), "-")</f>
        <v>-</v>
      </c>
      <c r="T2708" s="484"/>
      <c r="U2708" s="483"/>
      <c r="V2708" s="483"/>
      <c r="W2708" s="483"/>
      <c r="X2708" s="483"/>
      <c r="Y2708" s="483"/>
      <c r="Z2708" s="483"/>
      <c r="AA2708" s="483"/>
      <c r="AB2708" s="483"/>
      <c r="AC2708" s="483"/>
      <c r="AD2708" s="483"/>
      <c r="AE2708" s="483"/>
      <c r="AF2708" s="483"/>
      <c r="AG2708" s="483"/>
      <c r="AH2708" s="483"/>
      <c r="AI2708" s="483"/>
      <c r="AJ2708" s="483"/>
      <c r="AK2708" s="483"/>
      <c r="AL2708" s="483"/>
      <c r="AM2708" s="670"/>
      <c r="AN2708" s="670"/>
      <c r="AO2708" s="711" t="str">
        <f>IF(OR(Table1[[#This Row],[Início Setup Envase]]="",Table1[[#This Row],[Final Setup Envase]]=""),"",Table1[[#This Row],[Final Setup Envase]]-Table1[[#This Row],[Início Setup Envase]])</f>
        <v/>
      </c>
      <c r="AP2708" s="670"/>
      <c r="AQ2708" s="670"/>
      <c r="AR2708" s="483"/>
      <c r="AS2708" s="483"/>
      <c r="AT2708" s="483"/>
      <c r="AU2708" s="483"/>
      <c r="AV2708" s="483"/>
      <c r="AW2708" s="483"/>
      <c r="AX2708" s="483"/>
      <c r="AY2708" s="270"/>
      <c r="AZ2708" s="270"/>
      <c r="BA2708" s="270" t="str">
        <f>IF(Table1[[#This Row],[Data de Início]]="","",YEAR(Table1[[#This Row],[Data de Início]]))</f>
        <v/>
      </c>
      <c r="BB2708" s="270" t="str">
        <f>IF(Table1[[#This Row],[Data de Início]]="","",MONTH(Table1[[#This Row],[Data de Início]]))</f>
        <v/>
      </c>
      <c r="BC2708" s="270"/>
    </row>
    <row r="2709" spans="2:55" x14ac:dyDescent="0.25">
      <c r="B2709" s="470"/>
      <c r="C2709" s="263"/>
      <c r="D2709" s="477" cm="1">
        <f t="array" ref="D2709">IFERROR(HorasUteisFabrica2Turnos(B2709,C2709), "")</f>
        <v>0</v>
      </c>
      <c r="E2709" s="697" t="str">
        <f t="shared" si="42"/>
        <v/>
      </c>
      <c r="F2709" s="266"/>
      <c r="G2709" s="698"/>
      <c r="H2709" s="266"/>
      <c r="I2709" s="268"/>
      <c r="J2709" s="268"/>
      <c r="K2709" s="268"/>
      <c r="L2709" s="269"/>
      <c r="M2709" s="510" t="str">
        <f>IFERROR(INDEX([1]Produtos!$C:$C,MATCH(L2709,[1]Produtos!$B:$B,0)), "-")</f>
        <v>-</v>
      </c>
      <c r="N2709" s="510" t="str">
        <f>IFERROR(INDEX([1]Produtos!$E:$E,MATCH(L2709,[1]Produtos!$B:$B,0)), "-")</f>
        <v>-</v>
      </c>
      <c r="O2709" s="270" t="str">
        <f>IFERROR(INDEX([1]Produtos!$F:$F,MATCH(L2709,[1]Produtos!$B:$B,0)), "-")</f>
        <v>-</v>
      </c>
      <c r="P2709" s="264" t="str">
        <f>IFERROR(INDEX([1]Produtos!$G:$G,MATCH(L2709,[1]Produtos!$B:$B,0)), "-")</f>
        <v>-</v>
      </c>
      <c r="Q2709" s="270" t="str">
        <f>IFERROR(INDEX([1]Produtos!$H:$H,MATCH(L2709,[1]Produtos!$B:$B,0)), "-")</f>
        <v>-</v>
      </c>
      <c r="R2709" s="270" t="str">
        <f>IFERROR(INDEX([1]Produtos!$I:$I,MATCH(L2709,[1]Produtos!$B:$B,0)), "-")</f>
        <v>-</v>
      </c>
      <c r="S2709" s="270" t="str">
        <f>IFERROR(INDEX([1]Produtos!$J:$J,MATCH(L2709,[1]Produtos!$B:$B,0)), "-")</f>
        <v>-</v>
      </c>
      <c r="T2709" s="475"/>
      <c r="U2709" s="270"/>
      <c r="V2709" s="270"/>
      <c r="W2709" s="270"/>
      <c r="X2709" s="270"/>
      <c r="Y2709" s="270"/>
      <c r="Z2709" s="270"/>
      <c r="AA2709" s="270"/>
      <c r="AB2709" s="270"/>
      <c r="AC2709" s="270"/>
      <c r="AD2709" s="270"/>
      <c r="AE2709" s="270"/>
      <c r="AF2709" s="270"/>
      <c r="AG2709" s="270"/>
      <c r="AH2709" s="270"/>
      <c r="AI2709" s="270"/>
      <c r="AJ2709" s="270"/>
      <c r="AK2709" s="270"/>
      <c r="AL2709" s="270"/>
      <c r="AM2709" s="663"/>
      <c r="AN2709" s="663"/>
      <c r="AO2709" s="708" t="str">
        <f>IF(OR(Table1[[#This Row],[Início Setup Envase]]="",Table1[[#This Row],[Final Setup Envase]]=""),"",Table1[[#This Row],[Final Setup Envase]]-Table1[[#This Row],[Início Setup Envase]])</f>
        <v/>
      </c>
      <c r="AP2709" s="663"/>
      <c r="AQ2709" s="663"/>
      <c r="AR2709" s="270"/>
      <c r="AS2709" s="674"/>
      <c r="AT2709" s="674"/>
      <c r="AU2709" s="270"/>
      <c r="AV2709" s="270"/>
      <c r="AW2709" s="270"/>
      <c r="AX2709" s="270"/>
      <c r="AY2709" s="270"/>
      <c r="AZ2709" s="270"/>
      <c r="BA2709" s="270" t="str">
        <f>IF(Table1[[#This Row],[Data de Início]]="","",YEAR(Table1[[#This Row],[Data de Início]]))</f>
        <v/>
      </c>
      <c r="BB2709" s="270" t="str">
        <f>IF(Table1[[#This Row],[Data de Início]]="","",MONTH(Table1[[#This Row],[Data de Início]]))</f>
        <v/>
      </c>
      <c r="BC2709" s="483"/>
    </row>
    <row r="2710" spans="2:55" x14ac:dyDescent="0.25">
      <c r="B2710" s="470"/>
      <c r="C2710" s="263"/>
      <c r="D2710" s="477" cm="1">
        <f t="array" ref="D2710">IFERROR(HorasUteisFabrica2Turnos(B2710,C2710), "")</f>
        <v>0</v>
      </c>
      <c r="E2710" s="478" t="str">
        <f t="shared" si="42"/>
        <v/>
      </c>
      <c r="F2710" s="266"/>
      <c r="G2710" s="656"/>
      <c r="H2710" s="479"/>
      <c r="I2710" s="268"/>
      <c r="J2710" s="268"/>
      <c r="K2710" s="268"/>
      <c r="L2710" s="269"/>
      <c r="M2710" s="511" t="str">
        <f>IFERROR(INDEX([1]Produtos!$C:$C,MATCH(L2710,[1]Produtos!$B:$B,0)), "-")</f>
        <v>-</v>
      </c>
      <c r="N2710" s="511" t="str">
        <f>IFERROR(INDEX([1]Produtos!$E:$E,MATCH(L2710,[1]Produtos!$B:$B,0)), "-")</f>
        <v>-</v>
      </c>
      <c r="O2710" s="483" t="str">
        <f>IFERROR(INDEX([1]Produtos!$F:$F,MATCH(L2710,[1]Produtos!$B:$B,0)), "-")</f>
        <v>-</v>
      </c>
      <c r="P2710" s="477" t="str">
        <f>IFERROR(INDEX([1]Produtos!$G:$G,MATCH(L2710,[1]Produtos!$B:$B,0)), "-")</f>
        <v>-</v>
      </c>
      <c r="Q2710" s="483" t="str">
        <f>IFERROR(INDEX([1]Produtos!$H:$H,MATCH(L2710,[1]Produtos!$B:$B,0)), "-")</f>
        <v>-</v>
      </c>
      <c r="R2710" s="483" t="str">
        <f>IFERROR(INDEX([1]Produtos!$I:$I,MATCH(L2710,[1]Produtos!$B:$B,0)), "-")</f>
        <v>-</v>
      </c>
      <c r="S2710" s="483" t="str">
        <f>IFERROR(INDEX([1]Produtos!$J:$J,MATCH(L2710,[1]Produtos!$B:$B,0)), "-")</f>
        <v>-</v>
      </c>
      <c r="T2710" s="484"/>
      <c r="U2710" s="483"/>
      <c r="V2710" s="483"/>
      <c r="W2710" s="483"/>
      <c r="X2710" s="483"/>
      <c r="Y2710" s="483"/>
      <c r="Z2710" s="483"/>
      <c r="AA2710" s="483"/>
      <c r="AB2710" s="483"/>
      <c r="AC2710" s="483"/>
      <c r="AD2710" s="483"/>
      <c r="AE2710" s="483"/>
      <c r="AF2710" s="483"/>
      <c r="AG2710" s="483"/>
      <c r="AH2710" s="483"/>
      <c r="AI2710" s="483"/>
      <c r="AJ2710" s="483"/>
      <c r="AK2710" s="483"/>
      <c r="AL2710" s="483"/>
      <c r="AM2710" s="670"/>
      <c r="AN2710" s="670"/>
      <c r="AO2710" s="711" t="str">
        <f>IF(OR(Table1[[#This Row],[Início Setup Envase]]="",Table1[[#This Row],[Final Setup Envase]]=""),"",Table1[[#This Row],[Final Setup Envase]]-Table1[[#This Row],[Início Setup Envase]])</f>
        <v/>
      </c>
      <c r="AP2710" s="670"/>
      <c r="AQ2710" s="670"/>
      <c r="AR2710" s="483"/>
      <c r="AS2710" s="483"/>
      <c r="AT2710" s="483"/>
      <c r="AU2710" s="483"/>
      <c r="AV2710" s="483"/>
      <c r="AW2710" s="483"/>
      <c r="AX2710" s="483"/>
      <c r="AY2710" s="270"/>
      <c r="AZ2710" s="270"/>
      <c r="BA2710" s="270" t="str">
        <f>IF(Table1[[#This Row],[Data de Início]]="","",YEAR(Table1[[#This Row],[Data de Início]]))</f>
        <v/>
      </c>
      <c r="BB2710" s="270" t="str">
        <f>IF(Table1[[#This Row],[Data de Início]]="","",MONTH(Table1[[#This Row],[Data de Início]]))</f>
        <v/>
      </c>
      <c r="BC2710" s="270"/>
    </row>
    <row r="2711" spans="2:55" x14ac:dyDescent="0.25">
      <c r="B2711" s="470"/>
      <c r="C2711" s="263"/>
      <c r="D2711" s="477" cm="1">
        <f t="array" ref="D2711">IFERROR(HorasUteisFabrica2Turnos(B2711,C2711), "")</f>
        <v>0</v>
      </c>
      <c r="E2711" s="697" t="str">
        <f t="shared" si="42"/>
        <v/>
      </c>
      <c r="F2711" s="266"/>
      <c r="G2711" s="698"/>
      <c r="H2711" s="266"/>
      <c r="I2711" s="268"/>
      <c r="J2711" s="268"/>
      <c r="K2711" s="268"/>
      <c r="L2711" s="269"/>
      <c r="M2711" s="510" t="str">
        <f>IFERROR(INDEX([1]Produtos!$C:$C,MATCH(L2711,[1]Produtos!$B:$B,0)), "-")</f>
        <v>-</v>
      </c>
      <c r="N2711" s="510" t="str">
        <f>IFERROR(INDEX([1]Produtos!$E:$E,MATCH(L2711,[1]Produtos!$B:$B,0)), "-")</f>
        <v>-</v>
      </c>
      <c r="O2711" s="270" t="str">
        <f>IFERROR(INDEX([1]Produtos!$F:$F,MATCH(L2711,[1]Produtos!$B:$B,0)), "-")</f>
        <v>-</v>
      </c>
      <c r="P2711" s="264" t="str">
        <f>IFERROR(INDEX([1]Produtos!$G:$G,MATCH(L2711,[1]Produtos!$B:$B,0)), "-")</f>
        <v>-</v>
      </c>
      <c r="Q2711" s="270" t="str">
        <f>IFERROR(INDEX([1]Produtos!$H:$H,MATCH(L2711,[1]Produtos!$B:$B,0)), "-")</f>
        <v>-</v>
      </c>
      <c r="R2711" s="270" t="str">
        <f>IFERROR(INDEX([1]Produtos!$I:$I,MATCH(L2711,[1]Produtos!$B:$B,0)), "-")</f>
        <v>-</v>
      </c>
      <c r="S2711" s="270" t="str">
        <f>IFERROR(INDEX([1]Produtos!$J:$J,MATCH(L2711,[1]Produtos!$B:$B,0)), "-")</f>
        <v>-</v>
      </c>
      <c r="T2711" s="475"/>
      <c r="U2711" s="270"/>
      <c r="V2711" s="270"/>
      <c r="W2711" s="270"/>
      <c r="X2711" s="270"/>
      <c r="Y2711" s="270"/>
      <c r="Z2711" s="270"/>
      <c r="AA2711" s="270"/>
      <c r="AB2711" s="270"/>
      <c r="AC2711" s="270"/>
      <c r="AD2711" s="270"/>
      <c r="AE2711" s="270"/>
      <c r="AF2711" s="270"/>
      <c r="AG2711" s="270"/>
      <c r="AH2711" s="270"/>
      <c r="AI2711" s="270"/>
      <c r="AJ2711" s="270"/>
      <c r="AK2711" s="270"/>
      <c r="AL2711" s="270"/>
      <c r="AM2711" s="663"/>
      <c r="AN2711" s="663"/>
      <c r="AO2711" s="708" t="str">
        <f>IF(OR(Table1[[#This Row],[Início Setup Envase]]="",Table1[[#This Row],[Final Setup Envase]]=""),"",Table1[[#This Row],[Final Setup Envase]]-Table1[[#This Row],[Início Setup Envase]])</f>
        <v/>
      </c>
      <c r="AP2711" s="663"/>
      <c r="AQ2711" s="663"/>
      <c r="AR2711" s="270"/>
      <c r="AS2711" s="674"/>
      <c r="AT2711" s="674"/>
      <c r="AU2711" s="270"/>
      <c r="AV2711" s="270"/>
      <c r="AW2711" s="270"/>
      <c r="AX2711" s="270"/>
      <c r="AY2711" s="270"/>
      <c r="AZ2711" s="270"/>
      <c r="BA2711" s="270" t="str">
        <f>IF(Table1[[#This Row],[Data de Início]]="","",YEAR(Table1[[#This Row],[Data de Início]]))</f>
        <v/>
      </c>
      <c r="BB2711" s="270" t="str">
        <f>IF(Table1[[#This Row],[Data de Início]]="","",MONTH(Table1[[#This Row],[Data de Início]]))</f>
        <v/>
      </c>
      <c r="BC2711" s="483"/>
    </row>
    <row r="2712" spans="2:55" x14ac:dyDescent="0.25">
      <c r="B2712" s="470"/>
      <c r="C2712" s="263"/>
      <c r="D2712" s="477" cm="1">
        <f t="array" ref="D2712">IFERROR(HorasUteisFabrica2Turnos(B2712,C2712), "")</f>
        <v>0</v>
      </c>
      <c r="E2712" s="478" t="str">
        <f t="shared" si="42"/>
        <v/>
      </c>
      <c r="F2712" s="266"/>
      <c r="G2712" s="656"/>
      <c r="H2712" s="479"/>
      <c r="I2712" s="268"/>
      <c r="J2712" s="268"/>
      <c r="K2712" s="268"/>
      <c r="L2712" s="269"/>
      <c r="M2712" s="511" t="str">
        <f>IFERROR(INDEX([1]Produtos!$C:$C,MATCH(L2712,[1]Produtos!$B:$B,0)), "-")</f>
        <v>-</v>
      </c>
      <c r="N2712" s="511" t="str">
        <f>IFERROR(INDEX([1]Produtos!$E:$E,MATCH(L2712,[1]Produtos!$B:$B,0)), "-")</f>
        <v>-</v>
      </c>
      <c r="O2712" s="483" t="str">
        <f>IFERROR(INDEX([1]Produtos!$F:$F,MATCH(L2712,[1]Produtos!$B:$B,0)), "-")</f>
        <v>-</v>
      </c>
      <c r="P2712" s="477" t="str">
        <f>IFERROR(INDEX([1]Produtos!$G:$G,MATCH(L2712,[1]Produtos!$B:$B,0)), "-")</f>
        <v>-</v>
      </c>
      <c r="Q2712" s="483" t="str">
        <f>IFERROR(INDEX([1]Produtos!$H:$H,MATCH(L2712,[1]Produtos!$B:$B,0)), "-")</f>
        <v>-</v>
      </c>
      <c r="R2712" s="483" t="str">
        <f>IFERROR(INDEX([1]Produtos!$I:$I,MATCH(L2712,[1]Produtos!$B:$B,0)), "-")</f>
        <v>-</v>
      </c>
      <c r="S2712" s="483" t="str">
        <f>IFERROR(INDEX([1]Produtos!$J:$J,MATCH(L2712,[1]Produtos!$B:$B,0)), "-")</f>
        <v>-</v>
      </c>
      <c r="T2712" s="484"/>
      <c r="U2712" s="483"/>
      <c r="V2712" s="483"/>
      <c r="W2712" s="483"/>
      <c r="X2712" s="483"/>
      <c r="Y2712" s="483"/>
      <c r="Z2712" s="483"/>
      <c r="AA2712" s="483"/>
      <c r="AB2712" s="483"/>
      <c r="AC2712" s="483"/>
      <c r="AD2712" s="483"/>
      <c r="AE2712" s="483"/>
      <c r="AF2712" s="483"/>
      <c r="AG2712" s="483"/>
      <c r="AH2712" s="483"/>
      <c r="AI2712" s="483"/>
      <c r="AJ2712" s="483"/>
      <c r="AK2712" s="483"/>
      <c r="AL2712" s="483"/>
      <c r="AM2712" s="670"/>
      <c r="AN2712" s="670"/>
      <c r="AO2712" s="711" t="str">
        <f>IF(OR(Table1[[#This Row],[Início Setup Envase]]="",Table1[[#This Row],[Final Setup Envase]]=""),"",Table1[[#This Row],[Final Setup Envase]]-Table1[[#This Row],[Início Setup Envase]])</f>
        <v/>
      </c>
      <c r="AP2712" s="670"/>
      <c r="AQ2712" s="670"/>
      <c r="AR2712" s="483"/>
      <c r="AS2712" s="483"/>
      <c r="AT2712" s="483"/>
      <c r="AU2712" s="483"/>
      <c r="AV2712" s="483"/>
      <c r="AW2712" s="483"/>
      <c r="AX2712" s="483"/>
      <c r="AY2712" s="270"/>
      <c r="AZ2712" s="270"/>
      <c r="BA2712" s="270" t="str">
        <f>IF(Table1[[#This Row],[Data de Início]]="","",YEAR(Table1[[#This Row],[Data de Início]]))</f>
        <v/>
      </c>
      <c r="BB2712" s="270" t="str">
        <f>IF(Table1[[#This Row],[Data de Início]]="","",MONTH(Table1[[#This Row],[Data de Início]]))</f>
        <v/>
      </c>
      <c r="BC2712" s="270"/>
    </row>
    <row r="2713" spans="2:55" x14ac:dyDescent="0.25">
      <c r="B2713" s="470"/>
      <c r="C2713" s="263"/>
      <c r="D2713" s="477" cm="1">
        <f t="array" ref="D2713">IFERROR(HorasUteisFabrica2Turnos(B2713,C2713), "")</f>
        <v>0</v>
      </c>
      <c r="E2713" s="697" t="str">
        <f t="shared" si="42"/>
        <v/>
      </c>
      <c r="F2713" s="266"/>
      <c r="G2713" s="698"/>
      <c r="H2713" s="266"/>
      <c r="I2713" s="268"/>
      <c r="J2713" s="268"/>
      <c r="K2713" s="268"/>
      <c r="L2713" s="269"/>
      <c r="M2713" s="510" t="str">
        <f>IFERROR(INDEX([1]Produtos!$C:$C,MATCH(L2713,[1]Produtos!$B:$B,0)), "-")</f>
        <v>-</v>
      </c>
      <c r="N2713" s="510" t="str">
        <f>IFERROR(INDEX([1]Produtos!$E:$E,MATCH(L2713,[1]Produtos!$B:$B,0)), "-")</f>
        <v>-</v>
      </c>
      <c r="O2713" s="270" t="str">
        <f>IFERROR(INDEX([1]Produtos!$F:$F,MATCH(L2713,[1]Produtos!$B:$B,0)), "-")</f>
        <v>-</v>
      </c>
      <c r="P2713" s="264" t="str">
        <f>IFERROR(INDEX([1]Produtos!$G:$G,MATCH(L2713,[1]Produtos!$B:$B,0)), "-")</f>
        <v>-</v>
      </c>
      <c r="Q2713" s="270" t="str">
        <f>IFERROR(INDEX([1]Produtos!$H:$H,MATCH(L2713,[1]Produtos!$B:$B,0)), "-")</f>
        <v>-</v>
      </c>
      <c r="R2713" s="270" t="str">
        <f>IFERROR(INDEX([1]Produtos!$I:$I,MATCH(L2713,[1]Produtos!$B:$B,0)), "-")</f>
        <v>-</v>
      </c>
      <c r="S2713" s="270" t="str">
        <f>IFERROR(INDEX([1]Produtos!$J:$J,MATCH(L2713,[1]Produtos!$B:$B,0)), "-")</f>
        <v>-</v>
      </c>
      <c r="T2713" s="475"/>
      <c r="U2713" s="270"/>
      <c r="V2713" s="270"/>
      <c r="W2713" s="270"/>
      <c r="X2713" s="270"/>
      <c r="Y2713" s="270"/>
      <c r="Z2713" s="270"/>
      <c r="AA2713" s="270"/>
      <c r="AB2713" s="270"/>
      <c r="AC2713" s="270"/>
      <c r="AD2713" s="270"/>
      <c r="AE2713" s="270"/>
      <c r="AF2713" s="270"/>
      <c r="AG2713" s="270"/>
      <c r="AH2713" s="270"/>
      <c r="AI2713" s="270"/>
      <c r="AJ2713" s="270"/>
      <c r="AK2713" s="270"/>
      <c r="AL2713" s="270"/>
      <c r="AM2713" s="663"/>
      <c r="AN2713" s="663"/>
      <c r="AO2713" s="708" t="str">
        <f>IF(OR(Table1[[#This Row],[Início Setup Envase]]="",Table1[[#This Row],[Final Setup Envase]]=""),"",Table1[[#This Row],[Final Setup Envase]]-Table1[[#This Row],[Início Setup Envase]])</f>
        <v/>
      </c>
      <c r="AP2713" s="663"/>
      <c r="AQ2713" s="663"/>
      <c r="AR2713" s="270"/>
      <c r="AS2713" s="674"/>
      <c r="AT2713" s="674"/>
      <c r="AU2713" s="270"/>
      <c r="AV2713" s="270"/>
      <c r="AW2713" s="270"/>
      <c r="AX2713" s="270"/>
      <c r="AY2713" s="270"/>
      <c r="AZ2713" s="270"/>
      <c r="BA2713" s="270" t="str">
        <f>IF(Table1[[#This Row],[Data de Início]]="","",YEAR(Table1[[#This Row],[Data de Início]]))</f>
        <v/>
      </c>
      <c r="BB2713" s="270" t="str">
        <f>IF(Table1[[#This Row],[Data de Início]]="","",MONTH(Table1[[#This Row],[Data de Início]]))</f>
        <v/>
      </c>
      <c r="BC2713" s="483"/>
    </row>
    <row r="2714" spans="2:55" x14ac:dyDescent="0.25">
      <c r="B2714" s="470"/>
      <c r="C2714" s="263"/>
      <c r="D2714" s="477" cm="1">
        <f t="array" ref="D2714">IFERROR(HorasUteisFabrica2Turnos(B2714,C2714), "")</f>
        <v>0</v>
      </c>
      <c r="E2714" s="478" t="str">
        <f t="shared" si="42"/>
        <v/>
      </c>
      <c r="F2714" s="266"/>
      <c r="G2714" s="656"/>
      <c r="H2714" s="479"/>
      <c r="I2714" s="268"/>
      <c r="J2714" s="268"/>
      <c r="K2714" s="268"/>
      <c r="L2714" s="269"/>
      <c r="M2714" s="511" t="str">
        <f>IFERROR(INDEX([1]Produtos!$C:$C,MATCH(L2714,[1]Produtos!$B:$B,0)), "-")</f>
        <v>-</v>
      </c>
      <c r="N2714" s="511" t="str">
        <f>IFERROR(INDEX([1]Produtos!$E:$E,MATCH(L2714,[1]Produtos!$B:$B,0)), "-")</f>
        <v>-</v>
      </c>
      <c r="O2714" s="483" t="str">
        <f>IFERROR(INDEX([1]Produtos!$F:$F,MATCH(L2714,[1]Produtos!$B:$B,0)), "-")</f>
        <v>-</v>
      </c>
      <c r="P2714" s="477" t="str">
        <f>IFERROR(INDEX([1]Produtos!$G:$G,MATCH(L2714,[1]Produtos!$B:$B,0)), "-")</f>
        <v>-</v>
      </c>
      <c r="Q2714" s="483" t="str">
        <f>IFERROR(INDEX([1]Produtos!$H:$H,MATCH(L2714,[1]Produtos!$B:$B,0)), "-")</f>
        <v>-</v>
      </c>
      <c r="R2714" s="483" t="str">
        <f>IFERROR(INDEX([1]Produtos!$I:$I,MATCH(L2714,[1]Produtos!$B:$B,0)), "-")</f>
        <v>-</v>
      </c>
      <c r="S2714" s="483" t="str">
        <f>IFERROR(INDEX([1]Produtos!$J:$J,MATCH(L2714,[1]Produtos!$B:$B,0)), "-")</f>
        <v>-</v>
      </c>
      <c r="T2714" s="484"/>
      <c r="U2714" s="483"/>
      <c r="V2714" s="483"/>
      <c r="W2714" s="483"/>
      <c r="X2714" s="483"/>
      <c r="Y2714" s="483"/>
      <c r="Z2714" s="483"/>
      <c r="AA2714" s="483"/>
      <c r="AB2714" s="483"/>
      <c r="AC2714" s="483"/>
      <c r="AD2714" s="483"/>
      <c r="AE2714" s="483"/>
      <c r="AF2714" s="483"/>
      <c r="AG2714" s="483"/>
      <c r="AH2714" s="483"/>
      <c r="AI2714" s="483"/>
      <c r="AJ2714" s="483"/>
      <c r="AK2714" s="483"/>
      <c r="AL2714" s="483"/>
      <c r="AM2714" s="670"/>
      <c r="AN2714" s="670"/>
      <c r="AO2714" s="711" t="str">
        <f>IF(OR(Table1[[#This Row],[Início Setup Envase]]="",Table1[[#This Row],[Final Setup Envase]]=""),"",Table1[[#This Row],[Final Setup Envase]]-Table1[[#This Row],[Início Setup Envase]])</f>
        <v/>
      </c>
      <c r="AP2714" s="670"/>
      <c r="AQ2714" s="670"/>
      <c r="AR2714" s="483"/>
      <c r="AS2714" s="483"/>
      <c r="AT2714" s="483"/>
      <c r="AU2714" s="483"/>
      <c r="AV2714" s="483"/>
      <c r="AW2714" s="483"/>
      <c r="AX2714" s="483"/>
      <c r="AY2714" s="270"/>
      <c r="AZ2714" s="270"/>
      <c r="BA2714" s="270" t="str">
        <f>IF(Table1[[#This Row],[Data de Início]]="","",YEAR(Table1[[#This Row],[Data de Início]]))</f>
        <v/>
      </c>
      <c r="BB2714" s="270" t="str">
        <f>IF(Table1[[#This Row],[Data de Início]]="","",MONTH(Table1[[#This Row],[Data de Início]]))</f>
        <v/>
      </c>
      <c r="BC2714" s="270"/>
    </row>
    <row r="2715" spans="2:55" x14ac:dyDescent="0.25">
      <c r="B2715" s="470"/>
      <c r="C2715" s="263"/>
      <c r="D2715" s="477" cm="1">
        <f t="array" ref="D2715">IFERROR(HorasUteisFabrica2Turnos(B2715,C2715), "")</f>
        <v>0</v>
      </c>
      <c r="E2715" s="697" t="str">
        <f t="shared" si="42"/>
        <v/>
      </c>
      <c r="F2715" s="266"/>
      <c r="G2715" s="698"/>
      <c r="H2715" s="266"/>
      <c r="I2715" s="268"/>
      <c r="J2715" s="268"/>
      <c r="K2715" s="268"/>
      <c r="L2715" s="269"/>
      <c r="M2715" s="510" t="str">
        <f>IFERROR(INDEX([1]Produtos!$C:$C,MATCH(L2715,[1]Produtos!$B:$B,0)), "-")</f>
        <v>-</v>
      </c>
      <c r="N2715" s="510" t="str">
        <f>IFERROR(INDEX([1]Produtos!$E:$E,MATCH(L2715,[1]Produtos!$B:$B,0)), "-")</f>
        <v>-</v>
      </c>
      <c r="O2715" s="270" t="str">
        <f>IFERROR(INDEX([1]Produtos!$F:$F,MATCH(L2715,[1]Produtos!$B:$B,0)), "-")</f>
        <v>-</v>
      </c>
      <c r="P2715" s="264" t="str">
        <f>IFERROR(INDEX([1]Produtos!$G:$G,MATCH(L2715,[1]Produtos!$B:$B,0)), "-")</f>
        <v>-</v>
      </c>
      <c r="Q2715" s="270" t="str">
        <f>IFERROR(INDEX([1]Produtos!$H:$H,MATCH(L2715,[1]Produtos!$B:$B,0)), "-")</f>
        <v>-</v>
      </c>
      <c r="R2715" s="270" t="str">
        <f>IFERROR(INDEX([1]Produtos!$I:$I,MATCH(L2715,[1]Produtos!$B:$B,0)), "-")</f>
        <v>-</v>
      </c>
      <c r="S2715" s="270" t="str">
        <f>IFERROR(INDEX([1]Produtos!$J:$J,MATCH(L2715,[1]Produtos!$B:$B,0)), "-")</f>
        <v>-</v>
      </c>
      <c r="T2715" s="475"/>
      <c r="U2715" s="270"/>
      <c r="V2715" s="270"/>
      <c r="W2715" s="270"/>
      <c r="X2715" s="270"/>
      <c r="Y2715" s="270"/>
      <c r="Z2715" s="270"/>
      <c r="AA2715" s="270"/>
      <c r="AB2715" s="270"/>
      <c r="AC2715" s="270"/>
      <c r="AD2715" s="270"/>
      <c r="AE2715" s="270"/>
      <c r="AF2715" s="270"/>
      <c r="AG2715" s="270"/>
      <c r="AH2715" s="270"/>
      <c r="AI2715" s="270"/>
      <c r="AJ2715" s="270"/>
      <c r="AK2715" s="270"/>
      <c r="AL2715" s="270"/>
      <c r="AM2715" s="663"/>
      <c r="AN2715" s="663"/>
      <c r="AO2715" s="708" t="str">
        <f>IF(OR(Table1[[#This Row],[Início Setup Envase]]="",Table1[[#This Row],[Final Setup Envase]]=""),"",Table1[[#This Row],[Final Setup Envase]]-Table1[[#This Row],[Início Setup Envase]])</f>
        <v/>
      </c>
      <c r="AP2715" s="663"/>
      <c r="AQ2715" s="663"/>
      <c r="AR2715" s="270"/>
      <c r="AS2715" s="674"/>
      <c r="AT2715" s="674"/>
      <c r="AU2715" s="270"/>
      <c r="AV2715" s="270"/>
      <c r="AW2715" s="270"/>
      <c r="AX2715" s="270"/>
      <c r="AY2715" s="270"/>
      <c r="AZ2715" s="270"/>
      <c r="BA2715" s="270" t="str">
        <f>IF(Table1[[#This Row],[Data de Início]]="","",YEAR(Table1[[#This Row],[Data de Início]]))</f>
        <v/>
      </c>
      <c r="BB2715" s="270" t="str">
        <f>IF(Table1[[#This Row],[Data de Início]]="","",MONTH(Table1[[#This Row],[Data de Início]]))</f>
        <v/>
      </c>
      <c r="BC2715" s="483"/>
    </row>
    <row r="2716" spans="2:55" x14ac:dyDescent="0.25">
      <c r="B2716" s="470"/>
      <c r="C2716" s="263"/>
      <c r="D2716" s="477" cm="1">
        <f t="array" ref="D2716">IFERROR(HorasUteisFabrica2Turnos(B2716,C2716), "")</f>
        <v>0</v>
      </c>
      <c r="E2716" s="478" t="str">
        <f t="shared" si="42"/>
        <v/>
      </c>
      <c r="F2716" s="266"/>
      <c r="G2716" s="656"/>
      <c r="H2716" s="479"/>
      <c r="I2716" s="268"/>
      <c r="J2716" s="268"/>
      <c r="K2716" s="268"/>
      <c r="L2716" s="269"/>
      <c r="M2716" s="511" t="str">
        <f>IFERROR(INDEX([1]Produtos!$C:$C,MATCH(L2716,[1]Produtos!$B:$B,0)), "-")</f>
        <v>-</v>
      </c>
      <c r="N2716" s="511" t="str">
        <f>IFERROR(INDEX([1]Produtos!$E:$E,MATCH(L2716,[1]Produtos!$B:$B,0)), "-")</f>
        <v>-</v>
      </c>
      <c r="O2716" s="483" t="str">
        <f>IFERROR(INDEX([1]Produtos!$F:$F,MATCH(L2716,[1]Produtos!$B:$B,0)), "-")</f>
        <v>-</v>
      </c>
      <c r="P2716" s="477" t="str">
        <f>IFERROR(INDEX([1]Produtos!$G:$G,MATCH(L2716,[1]Produtos!$B:$B,0)), "-")</f>
        <v>-</v>
      </c>
      <c r="Q2716" s="483" t="str">
        <f>IFERROR(INDEX([1]Produtos!$H:$H,MATCH(L2716,[1]Produtos!$B:$B,0)), "-")</f>
        <v>-</v>
      </c>
      <c r="R2716" s="483" t="str">
        <f>IFERROR(INDEX([1]Produtos!$I:$I,MATCH(L2716,[1]Produtos!$B:$B,0)), "-")</f>
        <v>-</v>
      </c>
      <c r="S2716" s="483" t="str">
        <f>IFERROR(INDEX([1]Produtos!$J:$J,MATCH(L2716,[1]Produtos!$B:$B,0)), "-")</f>
        <v>-</v>
      </c>
      <c r="T2716" s="484"/>
      <c r="U2716" s="483"/>
      <c r="V2716" s="483"/>
      <c r="W2716" s="483"/>
      <c r="X2716" s="483"/>
      <c r="Y2716" s="483"/>
      <c r="Z2716" s="483"/>
      <c r="AA2716" s="483"/>
      <c r="AB2716" s="483"/>
      <c r="AC2716" s="483"/>
      <c r="AD2716" s="483"/>
      <c r="AE2716" s="483"/>
      <c r="AF2716" s="483"/>
      <c r="AG2716" s="483"/>
      <c r="AH2716" s="483"/>
      <c r="AI2716" s="483"/>
      <c r="AJ2716" s="483"/>
      <c r="AK2716" s="483"/>
      <c r="AL2716" s="483"/>
      <c r="AM2716" s="670"/>
      <c r="AN2716" s="670"/>
      <c r="AO2716" s="711" t="str">
        <f>IF(OR(Table1[[#This Row],[Início Setup Envase]]="",Table1[[#This Row],[Final Setup Envase]]=""),"",Table1[[#This Row],[Final Setup Envase]]-Table1[[#This Row],[Início Setup Envase]])</f>
        <v/>
      </c>
      <c r="AP2716" s="670"/>
      <c r="AQ2716" s="670"/>
      <c r="AR2716" s="483"/>
      <c r="AS2716" s="483"/>
      <c r="AT2716" s="483"/>
      <c r="AU2716" s="483"/>
      <c r="AV2716" s="483"/>
      <c r="AW2716" s="483"/>
      <c r="AX2716" s="483"/>
      <c r="AY2716" s="270"/>
      <c r="AZ2716" s="270"/>
      <c r="BA2716" s="270" t="str">
        <f>IF(Table1[[#This Row],[Data de Início]]="","",YEAR(Table1[[#This Row],[Data de Início]]))</f>
        <v/>
      </c>
      <c r="BB2716" s="270" t="str">
        <f>IF(Table1[[#This Row],[Data de Início]]="","",MONTH(Table1[[#This Row],[Data de Início]]))</f>
        <v/>
      </c>
      <c r="BC2716" s="270"/>
    </row>
    <row r="2717" spans="2:55" x14ac:dyDescent="0.25">
      <c r="B2717" s="470"/>
      <c r="C2717" s="263"/>
      <c r="D2717" s="477" cm="1">
        <f t="array" ref="D2717">IFERROR(HorasUteisFabrica2Turnos(B2717,C2717), "")</f>
        <v>0</v>
      </c>
      <c r="E2717" s="697" t="str">
        <f t="shared" si="42"/>
        <v/>
      </c>
      <c r="F2717" s="266"/>
      <c r="G2717" s="698"/>
      <c r="H2717" s="266"/>
      <c r="I2717" s="268"/>
      <c r="J2717" s="268"/>
      <c r="K2717" s="268"/>
      <c r="L2717" s="269"/>
      <c r="M2717" s="510" t="str">
        <f>IFERROR(INDEX([1]Produtos!$C:$C,MATCH(L2717,[1]Produtos!$B:$B,0)), "-")</f>
        <v>-</v>
      </c>
      <c r="N2717" s="510" t="str">
        <f>IFERROR(INDEX([1]Produtos!$E:$E,MATCH(L2717,[1]Produtos!$B:$B,0)), "-")</f>
        <v>-</v>
      </c>
      <c r="O2717" s="270" t="str">
        <f>IFERROR(INDEX([1]Produtos!$F:$F,MATCH(L2717,[1]Produtos!$B:$B,0)), "-")</f>
        <v>-</v>
      </c>
      <c r="P2717" s="264" t="str">
        <f>IFERROR(INDEX([1]Produtos!$G:$G,MATCH(L2717,[1]Produtos!$B:$B,0)), "-")</f>
        <v>-</v>
      </c>
      <c r="Q2717" s="270" t="str">
        <f>IFERROR(INDEX([1]Produtos!$H:$H,MATCH(L2717,[1]Produtos!$B:$B,0)), "-")</f>
        <v>-</v>
      </c>
      <c r="R2717" s="270" t="str">
        <f>IFERROR(INDEX([1]Produtos!$I:$I,MATCH(L2717,[1]Produtos!$B:$B,0)), "-")</f>
        <v>-</v>
      </c>
      <c r="S2717" s="270" t="str">
        <f>IFERROR(INDEX([1]Produtos!$J:$J,MATCH(L2717,[1]Produtos!$B:$B,0)), "-")</f>
        <v>-</v>
      </c>
      <c r="T2717" s="475"/>
      <c r="U2717" s="270"/>
      <c r="V2717" s="270"/>
      <c r="W2717" s="270"/>
      <c r="X2717" s="270"/>
      <c r="Y2717" s="270"/>
      <c r="Z2717" s="270"/>
      <c r="AA2717" s="270"/>
      <c r="AB2717" s="270"/>
      <c r="AC2717" s="270"/>
      <c r="AD2717" s="270"/>
      <c r="AE2717" s="270"/>
      <c r="AF2717" s="270"/>
      <c r="AG2717" s="270"/>
      <c r="AH2717" s="270"/>
      <c r="AI2717" s="270"/>
      <c r="AJ2717" s="270"/>
      <c r="AK2717" s="270"/>
      <c r="AL2717" s="270"/>
      <c r="AM2717" s="663"/>
      <c r="AN2717" s="663"/>
      <c r="AO2717" s="708" t="str">
        <f>IF(OR(Table1[[#This Row],[Início Setup Envase]]="",Table1[[#This Row],[Final Setup Envase]]=""),"",Table1[[#This Row],[Final Setup Envase]]-Table1[[#This Row],[Início Setup Envase]])</f>
        <v/>
      </c>
      <c r="AP2717" s="663"/>
      <c r="AQ2717" s="663"/>
      <c r="AR2717" s="270"/>
      <c r="AS2717" s="674"/>
      <c r="AT2717" s="674"/>
      <c r="AU2717" s="270"/>
      <c r="AV2717" s="270"/>
      <c r="AW2717" s="270"/>
      <c r="AX2717" s="270"/>
      <c r="AY2717" s="270"/>
      <c r="AZ2717" s="270"/>
      <c r="BA2717" s="270" t="str">
        <f>IF(Table1[[#This Row],[Data de Início]]="","",YEAR(Table1[[#This Row],[Data de Início]]))</f>
        <v/>
      </c>
      <c r="BB2717" s="270" t="str">
        <f>IF(Table1[[#This Row],[Data de Início]]="","",MONTH(Table1[[#This Row],[Data de Início]]))</f>
        <v/>
      </c>
      <c r="BC2717" s="483"/>
    </row>
    <row r="2718" spans="2:55" x14ac:dyDescent="0.25">
      <c r="B2718" s="470"/>
      <c r="C2718" s="263"/>
      <c r="D2718" s="477" cm="1">
        <f t="array" ref="D2718">IFERROR(HorasUteisFabrica2Turnos(B2718,C2718), "")</f>
        <v>0</v>
      </c>
      <c r="E2718" s="478" t="str">
        <f t="shared" si="42"/>
        <v/>
      </c>
      <c r="F2718" s="266"/>
      <c r="G2718" s="656"/>
      <c r="H2718" s="479"/>
      <c r="I2718" s="268"/>
      <c r="J2718" s="268"/>
      <c r="K2718" s="268"/>
      <c r="L2718" s="269"/>
      <c r="M2718" s="511" t="str">
        <f>IFERROR(INDEX([1]Produtos!$C:$C,MATCH(L2718,[1]Produtos!$B:$B,0)), "-")</f>
        <v>-</v>
      </c>
      <c r="N2718" s="511" t="str">
        <f>IFERROR(INDEX([1]Produtos!$E:$E,MATCH(L2718,[1]Produtos!$B:$B,0)), "-")</f>
        <v>-</v>
      </c>
      <c r="O2718" s="483" t="str">
        <f>IFERROR(INDEX([1]Produtos!$F:$F,MATCH(L2718,[1]Produtos!$B:$B,0)), "-")</f>
        <v>-</v>
      </c>
      <c r="P2718" s="477" t="str">
        <f>IFERROR(INDEX([1]Produtos!$G:$G,MATCH(L2718,[1]Produtos!$B:$B,0)), "-")</f>
        <v>-</v>
      </c>
      <c r="Q2718" s="483" t="str">
        <f>IFERROR(INDEX([1]Produtos!$H:$H,MATCH(L2718,[1]Produtos!$B:$B,0)), "-")</f>
        <v>-</v>
      </c>
      <c r="R2718" s="483" t="str">
        <f>IFERROR(INDEX([1]Produtos!$I:$I,MATCH(L2718,[1]Produtos!$B:$B,0)), "-")</f>
        <v>-</v>
      </c>
      <c r="S2718" s="483" t="str">
        <f>IFERROR(INDEX([1]Produtos!$J:$J,MATCH(L2718,[1]Produtos!$B:$B,0)), "-")</f>
        <v>-</v>
      </c>
      <c r="T2718" s="484"/>
      <c r="U2718" s="483"/>
      <c r="V2718" s="483"/>
      <c r="W2718" s="483"/>
      <c r="X2718" s="483"/>
      <c r="Y2718" s="483"/>
      <c r="Z2718" s="483"/>
      <c r="AA2718" s="483"/>
      <c r="AB2718" s="483"/>
      <c r="AC2718" s="483"/>
      <c r="AD2718" s="483"/>
      <c r="AE2718" s="483"/>
      <c r="AF2718" s="483"/>
      <c r="AG2718" s="483"/>
      <c r="AH2718" s="483"/>
      <c r="AI2718" s="483"/>
      <c r="AJ2718" s="483"/>
      <c r="AK2718" s="483"/>
      <c r="AL2718" s="483"/>
      <c r="AM2718" s="670"/>
      <c r="AN2718" s="670"/>
      <c r="AO2718" s="711" t="str">
        <f>IF(OR(Table1[[#This Row],[Início Setup Envase]]="",Table1[[#This Row],[Final Setup Envase]]=""),"",Table1[[#This Row],[Final Setup Envase]]-Table1[[#This Row],[Início Setup Envase]])</f>
        <v/>
      </c>
      <c r="AP2718" s="670"/>
      <c r="AQ2718" s="670"/>
      <c r="AR2718" s="483"/>
      <c r="AS2718" s="483"/>
      <c r="AT2718" s="483"/>
      <c r="AU2718" s="483"/>
      <c r="AV2718" s="483"/>
      <c r="AW2718" s="483"/>
      <c r="AX2718" s="483"/>
      <c r="AY2718" s="270"/>
      <c r="AZ2718" s="270"/>
      <c r="BA2718" s="270" t="str">
        <f>IF(Table1[[#This Row],[Data de Início]]="","",YEAR(Table1[[#This Row],[Data de Início]]))</f>
        <v/>
      </c>
      <c r="BB2718" s="270" t="str">
        <f>IF(Table1[[#This Row],[Data de Início]]="","",MONTH(Table1[[#This Row],[Data de Início]]))</f>
        <v/>
      </c>
      <c r="BC2718" s="270"/>
    </row>
    <row r="2719" spans="2:55" x14ac:dyDescent="0.25">
      <c r="B2719" s="470"/>
      <c r="C2719" s="263"/>
      <c r="D2719" s="477" cm="1">
        <f t="array" ref="D2719">IFERROR(HorasUteisFabrica2Turnos(B2719,C2719), "")</f>
        <v>0</v>
      </c>
      <c r="E2719" s="697" t="str">
        <f t="shared" si="42"/>
        <v/>
      </c>
      <c r="F2719" s="266"/>
      <c r="G2719" s="698"/>
      <c r="H2719" s="266"/>
      <c r="I2719" s="268"/>
      <c r="J2719" s="268"/>
      <c r="K2719" s="268"/>
      <c r="L2719" s="269"/>
      <c r="M2719" s="510" t="str">
        <f>IFERROR(INDEX([1]Produtos!$C:$C,MATCH(L2719,[1]Produtos!$B:$B,0)), "-")</f>
        <v>-</v>
      </c>
      <c r="N2719" s="510" t="str">
        <f>IFERROR(INDEX([1]Produtos!$E:$E,MATCH(L2719,[1]Produtos!$B:$B,0)), "-")</f>
        <v>-</v>
      </c>
      <c r="O2719" s="270" t="str">
        <f>IFERROR(INDEX([1]Produtos!$F:$F,MATCH(L2719,[1]Produtos!$B:$B,0)), "-")</f>
        <v>-</v>
      </c>
      <c r="P2719" s="264" t="str">
        <f>IFERROR(INDEX([1]Produtos!$G:$G,MATCH(L2719,[1]Produtos!$B:$B,0)), "-")</f>
        <v>-</v>
      </c>
      <c r="Q2719" s="270" t="str">
        <f>IFERROR(INDEX([1]Produtos!$H:$H,MATCH(L2719,[1]Produtos!$B:$B,0)), "-")</f>
        <v>-</v>
      </c>
      <c r="R2719" s="270" t="str">
        <f>IFERROR(INDEX([1]Produtos!$I:$I,MATCH(L2719,[1]Produtos!$B:$B,0)), "-")</f>
        <v>-</v>
      </c>
      <c r="S2719" s="270" t="str">
        <f>IFERROR(INDEX([1]Produtos!$J:$J,MATCH(L2719,[1]Produtos!$B:$B,0)), "-")</f>
        <v>-</v>
      </c>
      <c r="T2719" s="475"/>
      <c r="U2719" s="270"/>
      <c r="V2719" s="270"/>
      <c r="W2719" s="270"/>
      <c r="X2719" s="270"/>
      <c r="Y2719" s="270"/>
      <c r="Z2719" s="270"/>
      <c r="AA2719" s="270"/>
      <c r="AB2719" s="270"/>
      <c r="AC2719" s="270"/>
      <c r="AD2719" s="270"/>
      <c r="AE2719" s="270"/>
      <c r="AF2719" s="270"/>
      <c r="AG2719" s="270"/>
      <c r="AH2719" s="270"/>
      <c r="AI2719" s="270"/>
      <c r="AJ2719" s="270"/>
      <c r="AK2719" s="270"/>
      <c r="AL2719" s="270"/>
      <c r="AM2719" s="663"/>
      <c r="AN2719" s="663"/>
      <c r="AO2719" s="708" t="str">
        <f>IF(OR(Table1[[#This Row],[Início Setup Envase]]="",Table1[[#This Row],[Final Setup Envase]]=""),"",Table1[[#This Row],[Final Setup Envase]]-Table1[[#This Row],[Início Setup Envase]])</f>
        <v/>
      </c>
      <c r="AP2719" s="663"/>
      <c r="AQ2719" s="663"/>
      <c r="AR2719" s="270"/>
      <c r="AS2719" s="674"/>
      <c r="AT2719" s="674"/>
      <c r="AU2719" s="270"/>
      <c r="AV2719" s="270"/>
      <c r="AW2719" s="270"/>
      <c r="AX2719" s="270"/>
      <c r="AY2719" s="270"/>
      <c r="AZ2719" s="270"/>
      <c r="BA2719" s="270" t="str">
        <f>IF(Table1[[#This Row],[Data de Início]]="","",YEAR(Table1[[#This Row],[Data de Início]]))</f>
        <v/>
      </c>
      <c r="BB2719" s="270" t="str">
        <f>IF(Table1[[#This Row],[Data de Início]]="","",MONTH(Table1[[#This Row],[Data de Início]]))</f>
        <v/>
      </c>
      <c r="BC2719" s="483"/>
    </row>
    <row r="2720" spans="2:55" x14ac:dyDescent="0.25">
      <c r="B2720" s="470"/>
      <c r="C2720" s="263"/>
      <c r="D2720" s="477" cm="1">
        <f t="array" ref="D2720">IFERROR(HorasUteisFabrica2Turnos(B2720,C2720), "")</f>
        <v>0</v>
      </c>
      <c r="E2720" s="478" t="str">
        <f t="shared" si="42"/>
        <v/>
      </c>
      <c r="F2720" s="266"/>
      <c r="G2720" s="656"/>
      <c r="H2720" s="479"/>
      <c r="I2720" s="268"/>
      <c r="J2720" s="268"/>
      <c r="K2720" s="268"/>
      <c r="L2720" s="269"/>
      <c r="M2720" s="511" t="str">
        <f>IFERROR(INDEX([1]Produtos!$C:$C,MATCH(L2720,[1]Produtos!$B:$B,0)), "-")</f>
        <v>-</v>
      </c>
      <c r="N2720" s="511" t="str">
        <f>IFERROR(INDEX([1]Produtos!$E:$E,MATCH(L2720,[1]Produtos!$B:$B,0)), "-")</f>
        <v>-</v>
      </c>
      <c r="O2720" s="483" t="str">
        <f>IFERROR(INDEX([1]Produtos!$F:$F,MATCH(L2720,[1]Produtos!$B:$B,0)), "-")</f>
        <v>-</v>
      </c>
      <c r="P2720" s="477" t="str">
        <f>IFERROR(INDEX([1]Produtos!$G:$G,MATCH(L2720,[1]Produtos!$B:$B,0)), "-")</f>
        <v>-</v>
      </c>
      <c r="Q2720" s="483" t="str">
        <f>IFERROR(INDEX([1]Produtos!$H:$H,MATCH(L2720,[1]Produtos!$B:$B,0)), "-")</f>
        <v>-</v>
      </c>
      <c r="R2720" s="483" t="str">
        <f>IFERROR(INDEX([1]Produtos!$I:$I,MATCH(L2720,[1]Produtos!$B:$B,0)), "-")</f>
        <v>-</v>
      </c>
      <c r="S2720" s="483" t="str">
        <f>IFERROR(INDEX([1]Produtos!$J:$J,MATCH(L2720,[1]Produtos!$B:$B,0)), "-")</f>
        <v>-</v>
      </c>
      <c r="T2720" s="484"/>
      <c r="U2720" s="483"/>
      <c r="V2720" s="483"/>
      <c r="W2720" s="483"/>
      <c r="X2720" s="483"/>
      <c r="Y2720" s="483"/>
      <c r="Z2720" s="483"/>
      <c r="AA2720" s="483"/>
      <c r="AB2720" s="483"/>
      <c r="AC2720" s="483"/>
      <c r="AD2720" s="483"/>
      <c r="AE2720" s="483"/>
      <c r="AF2720" s="483"/>
      <c r="AG2720" s="483"/>
      <c r="AH2720" s="483"/>
      <c r="AI2720" s="483"/>
      <c r="AJ2720" s="483"/>
      <c r="AK2720" s="483"/>
      <c r="AL2720" s="483"/>
      <c r="AM2720" s="670"/>
      <c r="AN2720" s="670"/>
      <c r="AO2720" s="711" t="str">
        <f>IF(OR(Table1[[#This Row],[Início Setup Envase]]="",Table1[[#This Row],[Final Setup Envase]]=""),"",Table1[[#This Row],[Final Setup Envase]]-Table1[[#This Row],[Início Setup Envase]])</f>
        <v/>
      </c>
      <c r="AP2720" s="670"/>
      <c r="AQ2720" s="670"/>
      <c r="AR2720" s="483"/>
      <c r="AS2720" s="483"/>
      <c r="AT2720" s="483"/>
      <c r="AU2720" s="483"/>
      <c r="AV2720" s="483"/>
      <c r="AW2720" s="483"/>
      <c r="AX2720" s="483"/>
      <c r="AY2720" s="270"/>
      <c r="AZ2720" s="270"/>
      <c r="BA2720" s="270" t="str">
        <f>IF(Table1[[#This Row],[Data de Início]]="","",YEAR(Table1[[#This Row],[Data de Início]]))</f>
        <v/>
      </c>
      <c r="BB2720" s="270" t="str">
        <f>IF(Table1[[#This Row],[Data de Início]]="","",MONTH(Table1[[#This Row],[Data de Início]]))</f>
        <v/>
      </c>
      <c r="BC2720" s="270"/>
    </row>
    <row r="2721" spans="2:55" x14ac:dyDescent="0.25">
      <c r="B2721" s="470"/>
      <c r="C2721" s="263"/>
      <c r="D2721" s="477" cm="1">
        <f t="array" ref="D2721">IFERROR(HorasUteisFabrica2Turnos(B2721,C2721), "")</f>
        <v>0</v>
      </c>
      <c r="E2721" s="697" t="str">
        <f t="shared" si="42"/>
        <v/>
      </c>
      <c r="F2721" s="266"/>
      <c r="G2721" s="698"/>
      <c r="H2721" s="266"/>
      <c r="I2721" s="268"/>
      <c r="J2721" s="268"/>
      <c r="K2721" s="268"/>
      <c r="L2721" s="269"/>
      <c r="M2721" s="510" t="str">
        <f>IFERROR(INDEX([1]Produtos!$C:$C,MATCH(L2721,[1]Produtos!$B:$B,0)), "-")</f>
        <v>-</v>
      </c>
      <c r="N2721" s="510" t="str">
        <f>IFERROR(INDEX([1]Produtos!$E:$E,MATCH(L2721,[1]Produtos!$B:$B,0)), "-")</f>
        <v>-</v>
      </c>
      <c r="O2721" s="270" t="str">
        <f>IFERROR(INDEX([1]Produtos!$F:$F,MATCH(L2721,[1]Produtos!$B:$B,0)), "-")</f>
        <v>-</v>
      </c>
      <c r="P2721" s="264" t="str">
        <f>IFERROR(INDEX([1]Produtos!$G:$G,MATCH(L2721,[1]Produtos!$B:$B,0)), "-")</f>
        <v>-</v>
      </c>
      <c r="Q2721" s="270" t="str">
        <f>IFERROR(INDEX([1]Produtos!$H:$H,MATCH(L2721,[1]Produtos!$B:$B,0)), "-")</f>
        <v>-</v>
      </c>
      <c r="R2721" s="270" t="str">
        <f>IFERROR(INDEX([1]Produtos!$I:$I,MATCH(L2721,[1]Produtos!$B:$B,0)), "-")</f>
        <v>-</v>
      </c>
      <c r="S2721" s="270" t="str">
        <f>IFERROR(INDEX([1]Produtos!$J:$J,MATCH(L2721,[1]Produtos!$B:$B,0)), "-")</f>
        <v>-</v>
      </c>
      <c r="T2721" s="475"/>
      <c r="U2721" s="270"/>
      <c r="V2721" s="270"/>
      <c r="W2721" s="270"/>
      <c r="X2721" s="270"/>
      <c r="Y2721" s="270"/>
      <c r="Z2721" s="270"/>
      <c r="AA2721" s="270"/>
      <c r="AB2721" s="270"/>
      <c r="AC2721" s="270"/>
      <c r="AD2721" s="270"/>
      <c r="AE2721" s="270"/>
      <c r="AF2721" s="270"/>
      <c r="AG2721" s="270"/>
      <c r="AH2721" s="270"/>
      <c r="AI2721" s="270"/>
      <c r="AJ2721" s="270"/>
      <c r="AK2721" s="270"/>
      <c r="AL2721" s="270"/>
      <c r="AM2721" s="663"/>
      <c r="AN2721" s="663"/>
      <c r="AO2721" s="708" t="str">
        <f>IF(OR(Table1[[#This Row],[Início Setup Envase]]="",Table1[[#This Row],[Final Setup Envase]]=""),"",Table1[[#This Row],[Final Setup Envase]]-Table1[[#This Row],[Início Setup Envase]])</f>
        <v/>
      </c>
      <c r="AP2721" s="663"/>
      <c r="AQ2721" s="663"/>
      <c r="AR2721" s="270"/>
      <c r="AS2721" s="674"/>
      <c r="AT2721" s="674"/>
      <c r="AU2721" s="270"/>
      <c r="AV2721" s="270"/>
      <c r="AW2721" s="270"/>
      <c r="AX2721" s="270"/>
      <c r="AY2721" s="270"/>
      <c r="AZ2721" s="270"/>
      <c r="BA2721" s="270" t="str">
        <f>IF(Table1[[#This Row],[Data de Início]]="","",YEAR(Table1[[#This Row],[Data de Início]]))</f>
        <v/>
      </c>
      <c r="BB2721" s="270" t="str">
        <f>IF(Table1[[#This Row],[Data de Início]]="","",MONTH(Table1[[#This Row],[Data de Início]]))</f>
        <v/>
      </c>
      <c r="BC2721" s="483"/>
    </row>
    <row r="2722" spans="2:55" x14ac:dyDescent="0.25">
      <c r="B2722" s="470"/>
      <c r="C2722" s="263"/>
      <c r="D2722" s="477" cm="1">
        <f t="array" ref="D2722">IFERROR(HorasUteisFabrica2Turnos(B2722,C2722), "")</f>
        <v>0</v>
      </c>
      <c r="E2722" s="478" t="str">
        <f t="shared" si="42"/>
        <v/>
      </c>
      <c r="F2722" s="266"/>
      <c r="G2722" s="656"/>
      <c r="H2722" s="479"/>
      <c r="I2722" s="268"/>
      <c r="J2722" s="268"/>
      <c r="K2722" s="268"/>
      <c r="L2722" s="269"/>
      <c r="M2722" s="511" t="str">
        <f>IFERROR(INDEX([1]Produtos!$C:$C,MATCH(L2722,[1]Produtos!$B:$B,0)), "-")</f>
        <v>-</v>
      </c>
      <c r="N2722" s="511" t="str">
        <f>IFERROR(INDEX([1]Produtos!$E:$E,MATCH(L2722,[1]Produtos!$B:$B,0)), "-")</f>
        <v>-</v>
      </c>
      <c r="O2722" s="483" t="str">
        <f>IFERROR(INDEX([1]Produtos!$F:$F,MATCH(L2722,[1]Produtos!$B:$B,0)), "-")</f>
        <v>-</v>
      </c>
      <c r="P2722" s="477" t="str">
        <f>IFERROR(INDEX([1]Produtos!$G:$G,MATCH(L2722,[1]Produtos!$B:$B,0)), "-")</f>
        <v>-</v>
      </c>
      <c r="Q2722" s="483" t="str">
        <f>IFERROR(INDEX([1]Produtos!$H:$H,MATCH(L2722,[1]Produtos!$B:$B,0)), "-")</f>
        <v>-</v>
      </c>
      <c r="R2722" s="483" t="str">
        <f>IFERROR(INDEX([1]Produtos!$I:$I,MATCH(L2722,[1]Produtos!$B:$B,0)), "-")</f>
        <v>-</v>
      </c>
      <c r="S2722" s="483" t="str">
        <f>IFERROR(INDEX([1]Produtos!$J:$J,MATCH(L2722,[1]Produtos!$B:$B,0)), "-")</f>
        <v>-</v>
      </c>
      <c r="T2722" s="484"/>
      <c r="U2722" s="483"/>
      <c r="V2722" s="483"/>
      <c r="W2722" s="483"/>
      <c r="X2722" s="483"/>
      <c r="Y2722" s="483"/>
      <c r="Z2722" s="483"/>
      <c r="AA2722" s="483"/>
      <c r="AB2722" s="483"/>
      <c r="AC2722" s="483"/>
      <c r="AD2722" s="483"/>
      <c r="AE2722" s="483"/>
      <c r="AF2722" s="483"/>
      <c r="AG2722" s="483"/>
      <c r="AH2722" s="483"/>
      <c r="AI2722" s="483"/>
      <c r="AJ2722" s="483"/>
      <c r="AK2722" s="483"/>
      <c r="AL2722" s="483"/>
      <c r="AM2722" s="670"/>
      <c r="AN2722" s="670"/>
      <c r="AO2722" s="711" t="str">
        <f>IF(OR(Table1[[#This Row],[Início Setup Envase]]="",Table1[[#This Row],[Final Setup Envase]]=""),"",Table1[[#This Row],[Final Setup Envase]]-Table1[[#This Row],[Início Setup Envase]])</f>
        <v/>
      </c>
      <c r="AP2722" s="670"/>
      <c r="AQ2722" s="670"/>
      <c r="AR2722" s="483"/>
      <c r="AS2722" s="483"/>
      <c r="AT2722" s="483"/>
      <c r="AU2722" s="483"/>
      <c r="AV2722" s="483"/>
      <c r="AW2722" s="483"/>
      <c r="AX2722" s="483"/>
      <c r="AY2722" s="270"/>
      <c r="AZ2722" s="270"/>
      <c r="BA2722" s="270" t="str">
        <f>IF(Table1[[#This Row],[Data de Início]]="","",YEAR(Table1[[#This Row],[Data de Início]]))</f>
        <v/>
      </c>
      <c r="BB2722" s="270" t="str">
        <f>IF(Table1[[#This Row],[Data de Início]]="","",MONTH(Table1[[#This Row],[Data de Início]]))</f>
        <v/>
      </c>
      <c r="BC2722" s="270"/>
    </row>
    <row r="2723" spans="2:55" x14ac:dyDescent="0.25">
      <c r="B2723" s="470"/>
      <c r="C2723" s="263"/>
      <c r="D2723" s="477" cm="1">
        <f t="array" ref="D2723">IFERROR(HorasUteisFabrica2Turnos(B2723,C2723), "")</f>
        <v>0</v>
      </c>
      <c r="E2723" s="697" t="str">
        <f t="shared" si="42"/>
        <v/>
      </c>
      <c r="F2723" s="266"/>
      <c r="G2723" s="698"/>
      <c r="H2723" s="266"/>
      <c r="I2723" s="268"/>
      <c r="J2723" s="268"/>
      <c r="K2723" s="268"/>
      <c r="L2723" s="269"/>
      <c r="M2723" s="510" t="str">
        <f>IFERROR(INDEX([1]Produtos!$C:$C,MATCH(L2723,[1]Produtos!$B:$B,0)), "-")</f>
        <v>-</v>
      </c>
      <c r="N2723" s="510" t="str">
        <f>IFERROR(INDEX([1]Produtos!$E:$E,MATCH(L2723,[1]Produtos!$B:$B,0)), "-")</f>
        <v>-</v>
      </c>
      <c r="O2723" s="270" t="str">
        <f>IFERROR(INDEX([1]Produtos!$F:$F,MATCH(L2723,[1]Produtos!$B:$B,0)), "-")</f>
        <v>-</v>
      </c>
      <c r="P2723" s="264" t="str">
        <f>IFERROR(INDEX([1]Produtos!$G:$G,MATCH(L2723,[1]Produtos!$B:$B,0)), "-")</f>
        <v>-</v>
      </c>
      <c r="Q2723" s="270" t="str">
        <f>IFERROR(INDEX([1]Produtos!$H:$H,MATCH(L2723,[1]Produtos!$B:$B,0)), "-")</f>
        <v>-</v>
      </c>
      <c r="R2723" s="270" t="str">
        <f>IFERROR(INDEX([1]Produtos!$I:$I,MATCH(L2723,[1]Produtos!$B:$B,0)), "-")</f>
        <v>-</v>
      </c>
      <c r="S2723" s="270" t="str">
        <f>IFERROR(INDEX([1]Produtos!$J:$J,MATCH(L2723,[1]Produtos!$B:$B,0)), "-")</f>
        <v>-</v>
      </c>
      <c r="T2723" s="475"/>
      <c r="U2723" s="270"/>
      <c r="V2723" s="270"/>
      <c r="W2723" s="270"/>
      <c r="X2723" s="270"/>
      <c r="Y2723" s="270"/>
      <c r="Z2723" s="270"/>
      <c r="AA2723" s="270"/>
      <c r="AB2723" s="270"/>
      <c r="AC2723" s="270"/>
      <c r="AD2723" s="270"/>
      <c r="AE2723" s="270"/>
      <c r="AF2723" s="270"/>
      <c r="AG2723" s="270"/>
      <c r="AH2723" s="270"/>
      <c r="AI2723" s="270"/>
      <c r="AJ2723" s="270"/>
      <c r="AK2723" s="270"/>
      <c r="AL2723" s="270"/>
      <c r="AM2723" s="663"/>
      <c r="AN2723" s="663"/>
      <c r="AO2723" s="708" t="str">
        <f>IF(OR(Table1[[#This Row],[Início Setup Envase]]="",Table1[[#This Row],[Final Setup Envase]]=""),"",Table1[[#This Row],[Final Setup Envase]]-Table1[[#This Row],[Início Setup Envase]])</f>
        <v/>
      </c>
      <c r="AP2723" s="663"/>
      <c r="AQ2723" s="663"/>
      <c r="AR2723" s="270"/>
      <c r="AS2723" s="674"/>
      <c r="AT2723" s="674"/>
      <c r="AU2723" s="270"/>
      <c r="AV2723" s="270"/>
      <c r="AW2723" s="270"/>
      <c r="AX2723" s="270"/>
      <c r="AY2723" s="270"/>
      <c r="AZ2723" s="270"/>
      <c r="BA2723" s="270" t="str">
        <f>IF(Table1[[#This Row],[Data de Início]]="","",YEAR(Table1[[#This Row],[Data de Início]]))</f>
        <v/>
      </c>
      <c r="BB2723" s="270" t="str">
        <f>IF(Table1[[#This Row],[Data de Início]]="","",MONTH(Table1[[#This Row],[Data de Início]]))</f>
        <v/>
      </c>
      <c r="BC2723" s="483"/>
    </row>
    <row r="2724" spans="2:55" x14ac:dyDescent="0.25">
      <c r="B2724" s="470"/>
      <c r="C2724" s="263"/>
      <c r="D2724" s="477" cm="1">
        <f t="array" ref="D2724">IFERROR(HorasUteisFabrica2Turnos(B2724,C2724), "")</f>
        <v>0</v>
      </c>
      <c r="E2724" s="478" t="str">
        <f t="shared" si="42"/>
        <v/>
      </c>
      <c r="F2724" s="266"/>
      <c r="G2724" s="656"/>
      <c r="H2724" s="479"/>
      <c r="I2724" s="268"/>
      <c r="J2724" s="268"/>
      <c r="K2724" s="268"/>
      <c r="L2724" s="269"/>
      <c r="M2724" s="511" t="str">
        <f>IFERROR(INDEX([1]Produtos!$C:$C,MATCH(L2724,[1]Produtos!$B:$B,0)), "-")</f>
        <v>-</v>
      </c>
      <c r="N2724" s="511" t="str">
        <f>IFERROR(INDEX([1]Produtos!$E:$E,MATCH(L2724,[1]Produtos!$B:$B,0)), "-")</f>
        <v>-</v>
      </c>
      <c r="O2724" s="483" t="str">
        <f>IFERROR(INDEX([1]Produtos!$F:$F,MATCH(L2724,[1]Produtos!$B:$B,0)), "-")</f>
        <v>-</v>
      </c>
      <c r="P2724" s="477" t="str">
        <f>IFERROR(INDEX([1]Produtos!$G:$G,MATCH(L2724,[1]Produtos!$B:$B,0)), "-")</f>
        <v>-</v>
      </c>
      <c r="Q2724" s="483" t="str">
        <f>IFERROR(INDEX([1]Produtos!$H:$H,MATCH(L2724,[1]Produtos!$B:$B,0)), "-")</f>
        <v>-</v>
      </c>
      <c r="R2724" s="483" t="str">
        <f>IFERROR(INDEX([1]Produtos!$I:$I,MATCH(L2724,[1]Produtos!$B:$B,0)), "-")</f>
        <v>-</v>
      </c>
      <c r="S2724" s="483" t="str">
        <f>IFERROR(INDEX([1]Produtos!$J:$J,MATCH(L2724,[1]Produtos!$B:$B,0)), "-")</f>
        <v>-</v>
      </c>
      <c r="T2724" s="484"/>
      <c r="U2724" s="483"/>
      <c r="V2724" s="483"/>
      <c r="W2724" s="483"/>
      <c r="X2724" s="483"/>
      <c r="Y2724" s="483"/>
      <c r="Z2724" s="483"/>
      <c r="AA2724" s="483"/>
      <c r="AB2724" s="483"/>
      <c r="AC2724" s="483"/>
      <c r="AD2724" s="483"/>
      <c r="AE2724" s="483"/>
      <c r="AF2724" s="483"/>
      <c r="AG2724" s="483"/>
      <c r="AH2724" s="483"/>
      <c r="AI2724" s="483"/>
      <c r="AJ2724" s="483"/>
      <c r="AK2724" s="483"/>
      <c r="AL2724" s="483"/>
      <c r="AM2724" s="670"/>
      <c r="AN2724" s="670"/>
      <c r="AO2724" s="711" t="str">
        <f>IF(OR(Table1[[#This Row],[Início Setup Envase]]="",Table1[[#This Row],[Final Setup Envase]]=""),"",Table1[[#This Row],[Final Setup Envase]]-Table1[[#This Row],[Início Setup Envase]])</f>
        <v/>
      </c>
      <c r="AP2724" s="670"/>
      <c r="AQ2724" s="670"/>
      <c r="AR2724" s="483"/>
      <c r="AS2724" s="483"/>
      <c r="AT2724" s="483"/>
      <c r="AU2724" s="483"/>
      <c r="AV2724" s="483"/>
      <c r="AW2724" s="483"/>
      <c r="AX2724" s="483"/>
      <c r="AY2724" s="270"/>
      <c r="AZ2724" s="270"/>
      <c r="BA2724" s="270" t="str">
        <f>IF(Table1[[#This Row],[Data de Início]]="","",YEAR(Table1[[#This Row],[Data de Início]]))</f>
        <v/>
      </c>
      <c r="BB2724" s="270" t="str">
        <f>IF(Table1[[#This Row],[Data de Início]]="","",MONTH(Table1[[#This Row],[Data de Início]]))</f>
        <v/>
      </c>
      <c r="BC2724" s="270"/>
    </row>
    <row r="2725" spans="2:55" x14ac:dyDescent="0.25">
      <c r="B2725" s="470"/>
      <c r="C2725" s="263"/>
      <c r="D2725" s="477" cm="1">
        <f t="array" ref="D2725">IFERROR(HorasUteisFabrica2Turnos(B2725,C2725), "")</f>
        <v>0</v>
      </c>
      <c r="E2725" s="697" t="str">
        <f t="shared" ref="E2725:E2759" si="43">IFERROR(K2725/D2725, "")</f>
        <v/>
      </c>
      <c r="F2725" s="266"/>
      <c r="G2725" s="698"/>
      <c r="H2725" s="266"/>
      <c r="I2725" s="268"/>
      <c r="J2725" s="268"/>
      <c r="K2725" s="268"/>
      <c r="L2725" s="269"/>
      <c r="M2725" s="510" t="str">
        <f>IFERROR(INDEX([1]Produtos!$C:$C,MATCH(L2725,[1]Produtos!$B:$B,0)), "-")</f>
        <v>-</v>
      </c>
      <c r="N2725" s="510" t="str">
        <f>IFERROR(INDEX([1]Produtos!$E:$E,MATCH(L2725,[1]Produtos!$B:$B,0)), "-")</f>
        <v>-</v>
      </c>
      <c r="O2725" s="270" t="str">
        <f>IFERROR(INDEX([1]Produtos!$F:$F,MATCH(L2725,[1]Produtos!$B:$B,0)), "-")</f>
        <v>-</v>
      </c>
      <c r="P2725" s="264" t="str">
        <f>IFERROR(INDEX([1]Produtos!$G:$G,MATCH(L2725,[1]Produtos!$B:$B,0)), "-")</f>
        <v>-</v>
      </c>
      <c r="Q2725" s="270" t="str">
        <f>IFERROR(INDEX([1]Produtos!$H:$H,MATCH(L2725,[1]Produtos!$B:$B,0)), "-")</f>
        <v>-</v>
      </c>
      <c r="R2725" s="270" t="str">
        <f>IFERROR(INDEX([1]Produtos!$I:$I,MATCH(L2725,[1]Produtos!$B:$B,0)), "-")</f>
        <v>-</v>
      </c>
      <c r="S2725" s="270" t="str">
        <f>IFERROR(INDEX([1]Produtos!$J:$J,MATCH(L2725,[1]Produtos!$B:$B,0)), "-")</f>
        <v>-</v>
      </c>
      <c r="T2725" s="475"/>
      <c r="U2725" s="270"/>
      <c r="V2725" s="270"/>
      <c r="W2725" s="270"/>
      <c r="X2725" s="270"/>
      <c r="Y2725" s="270"/>
      <c r="Z2725" s="270"/>
      <c r="AA2725" s="270"/>
      <c r="AB2725" s="270"/>
      <c r="AC2725" s="270"/>
      <c r="AD2725" s="270"/>
      <c r="AE2725" s="270"/>
      <c r="AF2725" s="270"/>
      <c r="AG2725" s="270"/>
      <c r="AH2725" s="270"/>
      <c r="AI2725" s="270"/>
      <c r="AJ2725" s="270"/>
      <c r="AK2725" s="270"/>
      <c r="AL2725" s="270"/>
      <c r="AM2725" s="663"/>
      <c r="AN2725" s="663"/>
      <c r="AO2725" s="708" t="str">
        <f>IF(OR(Table1[[#This Row],[Início Setup Envase]]="",Table1[[#This Row],[Final Setup Envase]]=""),"",Table1[[#This Row],[Final Setup Envase]]-Table1[[#This Row],[Início Setup Envase]])</f>
        <v/>
      </c>
      <c r="AP2725" s="663"/>
      <c r="AQ2725" s="663"/>
      <c r="AR2725" s="270"/>
      <c r="AS2725" s="674"/>
      <c r="AT2725" s="674"/>
      <c r="AU2725" s="270"/>
      <c r="AV2725" s="270"/>
      <c r="AW2725" s="270"/>
      <c r="AX2725" s="270"/>
      <c r="AY2725" s="270"/>
      <c r="AZ2725" s="270"/>
      <c r="BA2725" s="270" t="str">
        <f>IF(Table1[[#This Row],[Data de Início]]="","",YEAR(Table1[[#This Row],[Data de Início]]))</f>
        <v/>
      </c>
      <c r="BB2725" s="270" t="str">
        <f>IF(Table1[[#This Row],[Data de Início]]="","",MONTH(Table1[[#This Row],[Data de Início]]))</f>
        <v/>
      </c>
      <c r="BC2725" s="483"/>
    </row>
    <row r="2726" spans="2:55" x14ac:dyDescent="0.25">
      <c r="B2726" s="470"/>
      <c r="C2726" s="263"/>
      <c r="D2726" s="477" cm="1">
        <f t="array" ref="D2726">IFERROR(HorasUteisFabrica2Turnos(B2726,C2726), "")</f>
        <v>0</v>
      </c>
      <c r="E2726" s="478" t="str">
        <f t="shared" si="43"/>
        <v/>
      </c>
      <c r="F2726" s="266"/>
      <c r="G2726" s="656"/>
      <c r="H2726" s="479"/>
      <c r="I2726" s="268"/>
      <c r="J2726" s="268"/>
      <c r="K2726" s="268"/>
      <c r="L2726" s="269"/>
      <c r="M2726" s="511" t="str">
        <f>IFERROR(INDEX([1]Produtos!$C:$C,MATCH(L2726,[1]Produtos!$B:$B,0)), "-")</f>
        <v>-</v>
      </c>
      <c r="N2726" s="511" t="str">
        <f>IFERROR(INDEX([1]Produtos!$E:$E,MATCH(L2726,[1]Produtos!$B:$B,0)), "-")</f>
        <v>-</v>
      </c>
      <c r="O2726" s="483" t="str">
        <f>IFERROR(INDEX([1]Produtos!$F:$F,MATCH(L2726,[1]Produtos!$B:$B,0)), "-")</f>
        <v>-</v>
      </c>
      <c r="P2726" s="477" t="str">
        <f>IFERROR(INDEX([1]Produtos!$G:$G,MATCH(L2726,[1]Produtos!$B:$B,0)), "-")</f>
        <v>-</v>
      </c>
      <c r="Q2726" s="483" t="str">
        <f>IFERROR(INDEX([1]Produtos!$H:$H,MATCH(L2726,[1]Produtos!$B:$B,0)), "-")</f>
        <v>-</v>
      </c>
      <c r="R2726" s="483" t="str">
        <f>IFERROR(INDEX([1]Produtos!$I:$I,MATCH(L2726,[1]Produtos!$B:$B,0)), "-")</f>
        <v>-</v>
      </c>
      <c r="S2726" s="483" t="str">
        <f>IFERROR(INDEX([1]Produtos!$J:$J,MATCH(L2726,[1]Produtos!$B:$B,0)), "-")</f>
        <v>-</v>
      </c>
      <c r="T2726" s="484"/>
      <c r="U2726" s="483"/>
      <c r="V2726" s="483"/>
      <c r="W2726" s="483"/>
      <c r="X2726" s="483"/>
      <c r="Y2726" s="483"/>
      <c r="Z2726" s="483"/>
      <c r="AA2726" s="483"/>
      <c r="AB2726" s="483"/>
      <c r="AC2726" s="483"/>
      <c r="AD2726" s="483"/>
      <c r="AE2726" s="483"/>
      <c r="AF2726" s="483"/>
      <c r="AG2726" s="483"/>
      <c r="AH2726" s="483"/>
      <c r="AI2726" s="483"/>
      <c r="AJ2726" s="483"/>
      <c r="AK2726" s="483"/>
      <c r="AL2726" s="483"/>
      <c r="AM2726" s="670"/>
      <c r="AN2726" s="670"/>
      <c r="AO2726" s="711" t="str">
        <f>IF(OR(Table1[[#This Row],[Início Setup Envase]]="",Table1[[#This Row],[Final Setup Envase]]=""),"",Table1[[#This Row],[Final Setup Envase]]-Table1[[#This Row],[Início Setup Envase]])</f>
        <v/>
      </c>
      <c r="AP2726" s="670"/>
      <c r="AQ2726" s="670"/>
      <c r="AR2726" s="483"/>
      <c r="AS2726" s="483"/>
      <c r="AT2726" s="483"/>
      <c r="AU2726" s="483"/>
      <c r="AV2726" s="483"/>
      <c r="AW2726" s="483"/>
      <c r="AX2726" s="483"/>
      <c r="AY2726" s="270"/>
      <c r="AZ2726" s="270"/>
      <c r="BA2726" s="270" t="str">
        <f>IF(Table1[[#This Row],[Data de Início]]="","",YEAR(Table1[[#This Row],[Data de Início]]))</f>
        <v/>
      </c>
      <c r="BB2726" s="270" t="str">
        <f>IF(Table1[[#This Row],[Data de Início]]="","",MONTH(Table1[[#This Row],[Data de Início]]))</f>
        <v/>
      </c>
      <c r="BC2726" s="270"/>
    </row>
    <row r="2727" spans="2:55" x14ac:dyDescent="0.25">
      <c r="B2727" s="470"/>
      <c r="C2727" s="263"/>
      <c r="D2727" s="477" cm="1">
        <f t="array" ref="D2727">IFERROR(HorasUteisFabrica2Turnos(B2727,C2727), "")</f>
        <v>0</v>
      </c>
      <c r="E2727" s="697" t="str">
        <f t="shared" si="43"/>
        <v/>
      </c>
      <c r="F2727" s="266"/>
      <c r="G2727" s="698"/>
      <c r="H2727" s="266"/>
      <c r="I2727" s="268"/>
      <c r="J2727" s="268"/>
      <c r="K2727" s="268"/>
      <c r="L2727" s="269"/>
      <c r="M2727" s="510" t="str">
        <f>IFERROR(INDEX([1]Produtos!$C:$C,MATCH(L2727,[1]Produtos!$B:$B,0)), "-")</f>
        <v>-</v>
      </c>
      <c r="N2727" s="510" t="str">
        <f>IFERROR(INDEX([1]Produtos!$E:$E,MATCH(L2727,[1]Produtos!$B:$B,0)), "-")</f>
        <v>-</v>
      </c>
      <c r="O2727" s="270" t="str">
        <f>IFERROR(INDEX([1]Produtos!$F:$F,MATCH(L2727,[1]Produtos!$B:$B,0)), "-")</f>
        <v>-</v>
      </c>
      <c r="P2727" s="264" t="str">
        <f>IFERROR(INDEX([1]Produtos!$G:$G,MATCH(L2727,[1]Produtos!$B:$B,0)), "-")</f>
        <v>-</v>
      </c>
      <c r="Q2727" s="270" t="str">
        <f>IFERROR(INDEX([1]Produtos!$H:$H,MATCH(L2727,[1]Produtos!$B:$B,0)), "-")</f>
        <v>-</v>
      </c>
      <c r="R2727" s="270" t="str">
        <f>IFERROR(INDEX([1]Produtos!$I:$I,MATCH(L2727,[1]Produtos!$B:$B,0)), "-")</f>
        <v>-</v>
      </c>
      <c r="S2727" s="270" t="str">
        <f>IFERROR(INDEX([1]Produtos!$J:$J,MATCH(L2727,[1]Produtos!$B:$B,0)), "-")</f>
        <v>-</v>
      </c>
      <c r="T2727" s="475"/>
      <c r="U2727" s="270"/>
      <c r="V2727" s="270"/>
      <c r="W2727" s="270"/>
      <c r="X2727" s="270"/>
      <c r="Y2727" s="270"/>
      <c r="Z2727" s="270"/>
      <c r="AA2727" s="270"/>
      <c r="AB2727" s="270"/>
      <c r="AC2727" s="270"/>
      <c r="AD2727" s="270"/>
      <c r="AE2727" s="270"/>
      <c r="AF2727" s="270"/>
      <c r="AG2727" s="270"/>
      <c r="AH2727" s="270"/>
      <c r="AI2727" s="270"/>
      <c r="AJ2727" s="270"/>
      <c r="AK2727" s="270"/>
      <c r="AL2727" s="270"/>
      <c r="AM2727" s="663"/>
      <c r="AN2727" s="663"/>
      <c r="AO2727" s="708" t="str">
        <f>IF(OR(Table1[[#This Row],[Início Setup Envase]]="",Table1[[#This Row],[Final Setup Envase]]=""),"",Table1[[#This Row],[Final Setup Envase]]-Table1[[#This Row],[Início Setup Envase]])</f>
        <v/>
      </c>
      <c r="AP2727" s="663"/>
      <c r="AQ2727" s="663"/>
      <c r="AR2727" s="270"/>
      <c r="AS2727" s="674"/>
      <c r="AT2727" s="674"/>
      <c r="AU2727" s="270"/>
      <c r="AV2727" s="270"/>
      <c r="AW2727" s="270"/>
      <c r="AX2727" s="270"/>
      <c r="AY2727" s="270"/>
      <c r="AZ2727" s="270"/>
      <c r="BA2727" s="270" t="str">
        <f>IF(Table1[[#This Row],[Data de Início]]="","",YEAR(Table1[[#This Row],[Data de Início]]))</f>
        <v/>
      </c>
      <c r="BB2727" s="270" t="str">
        <f>IF(Table1[[#This Row],[Data de Início]]="","",MONTH(Table1[[#This Row],[Data de Início]]))</f>
        <v/>
      </c>
      <c r="BC2727" s="483"/>
    </row>
    <row r="2728" spans="2:55" x14ac:dyDescent="0.25">
      <c r="B2728" s="470"/>
      <c r="C2728" s="263"/>
      <c r="D2728" s="477" cm="1">
        <f t="array" ref="D2728">IFERROR(HorasUteisFabrica2Turnos(B2728,C2728), "")</f>
        <v>0</v>
      </c>
      <c r="E2728" s="478" t="str">
        <f t="shared" si="43"/>
        <v/>
      </c>
      <c r="F2728" s="266"/>
      <c r="G2728" s="656"/>
      <c r="H2728" s="479"/>
      <c r="I2728" s="268"/>
      <c r="J2728" s="268"/>
      <c r="K2728" s="268"/>
      <c r="L2728" s="269"/>
      <c r="M2728" s="511" t="str">
        <f>IFERROR(INDEX([1]Produtos!$C:$C,MATCH(L2728,[1]Produtos!$B:$B,0)), "-")</f>
        <v>-</v>
      </c>
      <c r="N2728" s="511" t="str">
        <f>IFERROR(INDEX([1]Produtos!$E:$E,MATCH(L2728,[1]Produtos!$B:$B,0)), "-")</f>
        <v>-</v>
      </c>
      <c r="O2728" s="483" t="str">
        <f>IFERROR(INDEX([1]Produtos!$F:$F,MATCH(L2728,[1]Produtos!$B:$B,0)), "-")</f>
        <v>-</v>
      </c>
      <c r="P2728" s="477" t="str">
        <f>IFERROR(INDEX([1]Produtos!$G:$G,MATCH(L2728,[1]Produtos!$B:$B,0)), "-")</f>
        <v>-</v>
      </c>
      <c r="Q2728" s="483" t="str">
        <f>IFERROR(INDEX([1]Produtos!$H:$H,MATCH(L2728,[1]Produtos!$B:$B,0)), "-")</f>
        <v>-</v>
      </c>
      <c r="R2728" s="483" t="str">
        <f>IFERROR(INDEX([1]Produtos!$I:$I,MATCH(L2728,[1]Produtos!$B:$B,0)), "-")</f>
        <v>-</v>
      </c>
      <c r="S2728" s="483" t="str">
        <f>IFERROR(INDEX([1]Produtos!$J:$J,MATCH(L2728,[1]Produtos!$B:$B,0)), "-")</f>
        <v>-</v>
      </c>
      <c r="T2728" s="484"/>
      <c r="U2728" s="483"/>
      <c r="V2728" s="483"/>
      <c r="W2728" s="483"/>
      <c r="X2728" s="483"/>
      <c r="Y2728" s="483"/>
      <c r="Z2728" s="483"/>
      <c r="AA2728" s="483"/>
      <c r="AB2728" s="483"/>
      <c r="AC2728" s="483"/>
      <c r="AD2728" s="483"/>
      <c r="AE2728" s="483"/>
      <c r="AF2728" s="483"/>
      <c r="AG2728" s="483"/>
      <c r="AH2728" s="483"/>
      <c r="AI2728" s="483"/>
      <c r="AJ2728" s="483"/>
      <c r="AK2728" s="483"/>
      <c r="AL2728" s="483"/>
      <c r="AM2728" s="670"/>
      <c r="AN2728" s="670"/>
      <c r="AO2728" s="711" t="str">
        <f>IF(OR(Table1[[#This Row],[Início Setup Envase]]="",Table1[[#This Row],[Final Setup Envase]]=""),"",Table1[[#This Row],[Final Setup Envase]]-Table1[[#This Row],[Início Setup Envase]])</f>
        <v/>
      </c>
      <c r="AP2728" s="670"/>
      <c r="AQ2728" s="670"/>
      <c r="AR2728" s="483"/>
      <c r="AS2728" s="483"/>
      <c r="AT2728" s="483"/>
      <c r="AU2728" s="483"/>
      <c r="AV2728" s="483"/>
      <c r="AW2728" s="483"/>
      <c r="AX2728" s="483"/>
      <c r="AY2728" s="270"/>
      <c r="AZ2728" s="270"/>
      <c r="BA2728" s="270" t="str">
        <f>IF(Table1[[#This Row],[Data de Início]]="","",YEAR(Table1[[#This Row],[Data de Início]]))</f>
        <v/>
      </c>
      <c r="BB2728" s="270" t="str">
        <f>IF(Table1[[#This Row],[Data de Início]]="","",MONTH(Table1[[#This Row],[Data de Início]]))</f>
        <v/>
      </c>
      <c r="BC2728" s="270"/>
    </row>
    <row r="2729" spans="2:55" x14ac:dyDescent="0.25">
      <c r="B2729" s="470"/>
      <c r="C2729" s="263"/>
      <c r="D2729" s="477" cm="1">
        <f t="array" ref="D2729">IFERROR(HorasUteisFabrica2Turnos(B2729,C2729), "")</f>
        <v>0</v>
      </c>
      <c r="E2729" s="697" t="str">
        <f t="shared" si="43"/>
        <v/>
      </c>
      <c r="F2729" s="266"/>
      <c r="G2729" s="698"/>
      <c r="H2729" s="266"/>
      <c r="I2729" s="268"/>
      <c r="J2729" s="268"/>
      <c r="K2729" s="268"/>
      <c r="L2729" s="269"/>
      <c r="M2729" s="510" t="str">
        <f>IFERROR(INDEX([1]Produtos!$C:$C,MATCH(L2729,[1]Produtos!$B:$B,0)), "-")</f>
        <v>-</v>
      </c>
      <c r="N2729" s="510" t="str">
        <f>IFERROR(INDEX([1]Produtos!$E:$E,MATCH(L2729,[1]Produtos!$B:$B,0)), "-")</f>
        <v>-</v>
      </c>
      <c r="O2729" s="270" t="str">
        <f>IFERROR(INDEX([1]Produtos!$F:$F,MATCH(L2729,[1]Produtos!$B:$B,0)), "-")</f>
        <v>-</v>
      </c>
      <c r="P2729" s="264" t="str">
        <f>IFERROR(INDEX([1]Produtos!$G:$G,MATCH(L2729,[1]Produtos!$B:$B,0)), "-")</f>
        <v>-</v>
      </c>
      <c r="Q2729" s="270" t="str">
        <f>IFERROR(INDEX([1]Produtos!$H:$H,MATCH(L2729,[1]Produtos!$B:$B,0)), "-")</f>
        <v>-</v>
      </c>
      <c r="R2729" s="270" t="str">
        <f>IFERROR(INDEX([1]Produtos!$I:$I,MATCH(L2729,[1]Produtos!$B:$B,0)), "-")</f>
        <v>-</v>
      </c>
      <c r="S2729" s="270" t="str">
        <f>IFERROR(INDEX([1]Produtos!$J:$J,MATCH(L2729,[1]Produtos!$B:$B,0)), "-")</f>
        <v>-</v>
      </c>
      <c r="T2729" s="475"/>
      <c r="U2729" s="270"/>
      <c r="V2729" s="270"/>
      <c r="W2729" s="270"/>
      <c r="X2729" s="270"/>
      <c r="Y2729" s="270"/>
      <c r="Z2729" s="270"/>
      <c r="AA2729" s="270"/>
      <c r="AB2729" s="270"/>
      <c r="AC2729" s="270"/>
      <c r="AD2729" s="270"/>
      <c r="AE2729" s="270"/>
      <c r="AF2729" s="270"/>
      <c r="AG2729" s="270"/>
      <c r="AH2729" s="270"/>
      <c r="AI2729" s="270"/>
      <c r="AJ2729" s="270"/>
      <c r="AK2729" s="270"/>
      <c r="AL2729" s="270"/>
      <c r="AM2729" s="663"/>
      <c r="AN2729" s="663"/>
      <c r="AO2729" s="708" t="str">
        <f>IF(OR(Table1[[#This Row],[Início Setup Envase]]="",Table1[[#This Row],[Final Setup Envase]]=""),"",Table1[[#This Row],[Final Setup Envase]]-Table1[[#This Row],[Início Setup Envase]])</f>
        <v/>
      </c>
      <c r="AP2729" s="663"/>
      <c r="AQ2729" s="663"/>
      <c r="AR2729" s="270"/>
      <c r="AS2729" s="674"/>
      <c r="AT2729" s="674"/>
      <c r="AU2729" s="270"/>
      <c r="AV2729" s="270"/>
      <c r="AW2729" s="270"/>
      <c r="AX2729" s="270"/>
      <c r="AY2729" s="270"/>
      <c r="AZ2729" s="270"/>
      <c r="BA2729" s="270" t="str">
        <f>IF(Table1[[#This Row],[Data de Início]]="","",YEAR(Table1[[#This Row],[Data de Início]]))</f>
        <v/>
      </c>
      <c r="BB2729" s="270" t="str">
        <f>IF(Table1[[#This Row],[Data de Início]]="","",MONTH(Table1[[#This Row],[Data de Início]]))</f>
        <v/>
      </c>
      <c r="BC2729" s="483"/>
    </row>
    <row r="2730" spans="2:55" x14ac:dyDescent="0.25">
      <c r="B2730" s="470"/>
      <c r="C2730" s="263"/>
      <c r="D2730" s="477" cm="1">
        <f t="array" ref="D2730">IFERROR(HorasUteisFabrica2Turnos(B2730,C2730), "")</f>
        <v>0</v>
      </c>
      <c r="E2730" s="478" t="str">
        <f t="shared" si="43"/>
        <v/>
      </c>
      <c r="F2730" s="266"/>
      <c r="G2730" s="656"/>
      <c r="H2730" s="479"/>
      <c r="I2730" s="268"/>
      <c r="J2730" s="268"/>
      <c r="K2730" s="268"/>
      <c r="L2730" s="269"/>
      <c r="M2730" s="511" t="str">
        <f>IFERROR(INDEX([1]Produtos!$C:$C,MATCH(L2730,[1]Produtos!$B:$B,0)), "-")</f>
        <v>-</v>
      </c>
      <c r="N2730" s="511" t="str">
        <f>IFERROR(INDEX([1]Produtos!$E:$E,MATCH(L2730,[1]Produtos!$B:$B,0)), "-")</f>
        <v>-</v>
      </c>
      <c r="O2730" s="483" t="str">
        <f>IFERROR(INDEX([1]Produtos!$F:$F,MATCH(L2730,[1]Produtos!$B:$B,0)), "-")</f>
        <v>-</v>
      </c>
      <c r="P2730" s="477" t="str">
        <f>IFERROR(INDEX([1]Produtos!$G:$G,MATCH(L2730,[1]Produtos!$B:$B,0)), "-")</f>
        <v>-</v>
      </c>
      <c r="Q2730" s="483" t="str">
        <f>IFERROR(INDEX([1]Produtos!$H:$H,MATCH(L2730,[1]Produtos!$B:$B,0)), "-")</f>
        <v>-</v>
      </c>
      <c r="R2730" s="483" t="str">
        <f>IFERROR(INDEX([1]Produtos!$I:$I,MATCH(L2730,[1]Produtos!$B:$B,0)), "-")</f>
        <v>-</v>
      </c>
      <c r="S2730" s="483" t="str">
        <f>IFERROR(INDEX([1]Produtos!$J:$J,MATCH(L2730,[1]Produtos!$B:$B,0)), "-")</f>
        <v>-</v>
      </c>
      <c r="T2730" s="484"/>
      <c r="U2730" s="483"/>
      <c r="V2730" s="483"/>
      <c r="W2730" s="483"/>
      <c r="X2730" s="483"/>
      <c r="Y2730" s="483"/>
      <c r="Z2730" s="483"/>
      <c r="AA2730" s="483"/>
      <c r="AB2730" s="483"/>
      <c r="AC2730" s="483"/>
      <c r="AD2730" s="483"/>
      <c r="AE2730" s="483"/>
      <c r="AF2730" s="483"/>
      <c r="AG2730" s="483"/>
      <c r="AH2730" s="483"/>
      <c r="AI2730" s="483"/>
      <c r="AJ2730" s="483"/>
      <c r="AK2730" s="483"/>
      <c r="AL2730" s="483"/>
      <c r="AM2730" s="670"/>
      <c r="AN2730" s="670"/>
      <c r="AO2730" s="711" t="str">
        <f>IF(OR(Table1[[#This Row],[Início Setup Envase]]="",Table1[[#This Row],[Final Setup Envase]]=""),"",Table1[[#This Row],[Final Setup Envase]]-Table1[[#This Row],[Início Setup Envase]])</f>
        <v/>
      </c>
      <c r="AP2730" s="670"/>
      <c r="AQ2730" s="670"/>
      <c r="AR2730" s="483"/>
      <c r="AS2730" s="483"/>
      <c r="AT2730" s="483"/>
      <c r="AU2730" s="483"/>
      <c r="AV2730" s="483"/>
      <c r="AW2730" s="483"/>
      <c r="AX2730" s="483"/>
      <c r="AY2730" s="270"/>
      <c r="AZ2730" s="270"/>
      <c r="BA2730" s="270" t="str">
        <f>IF(Table1[[#This Row],[Data de Início]]="","",YEAR(Table1[[#This Row],[Data de Início]]))</f>
        <v/>
      </c>
      <c r="BB2730" s="270" t="str">
        <f>IF(Table1[[#This Row],[Data de Início]]="","",MONTH(Table1[[#This Row],[Data de Início]]))</f>
        <v/>
      </c>
      <c r="BC2730" s="270"/>
    </row>
    <row r="2731" spans="2:55" x14ac:dyDescent="0.25">
      <c r="B2731" s="470"/>
      <c r="C2731" s="263"/>
      <c r="D2731" s="477" cm="1">
        <f t="array" ref="D2731">IFERROR(HorasUteisFabrica2Turnos(B2731,C2731), "")</f>
        <v>0</v>
      </c>
      <c r="E2731" s="697" t="str">
        <f t="shared" si="43"/>
        <v/>
      </c>
      <c r="F2731" s="266"/>
      <c r="G2731" s="698"/>
      <c r="H2731" s="266"/>
      <c r="I2731" s="268"/>
      <c r="J2731" s="268"/>
      <c r="K2731" s="268"/>
      <c r="L2731" s="269"/>
      <c r="M2731" s="510" t="str">
        <f>IFERROR(INDEX([1]Produtos!$C:$C,MATCH(L2731,[1]Produtos!$B:$B,0)), "-")</f>
        <v>-</v>
      </c>
      <c r="N2731" s="510" t="str">
        <f>IFERROR(INDEX([1]Produtos!$E:$E,MATCH(L2731,[1]Produtos!$B:$B,0)), "-")</f>
        <v>-</v>
      </c>
      <c r="O2731" s="270" t="str">
        <f>IFERROR(INDEX([1]Produtos!$F:$F,MATCH(L2731,[1]Produtos!$B:$B,0)), "-")</f>
        <v>-</v>
      </c>
      <c r="P2731" s="264" t="str">
        <f>IFERROR(INDEX([1]Produtos!$G:$G,MATCH(L2731,[1]Produtos!$B:$B,0)), "-")</f>
        <v>-</v>
      </c>
      <c r="Q2731" s="270" t="str">
        <f>IFERROR(INDEX([1]Produtos!$H:$H,MATCH(L2731,[1]Produtos!$B:$B,0)), "-")</f>
        <v>-</v>
      </c>
      <c r="R2731" s="270" t="str">
        <f>IFERROR(INDEX([1]Produtos!$I:$I,MATCH(L2731,[1]Produtos!$B:$B,0)), "-")</f>
        <v>-</v>
      </c>
      <c r="S2731" s="270" t="str">
        <f>IFERROR(INDEX([1]Produtos!$J:$J,MATCH(L2731,[1]Produtos!$B:$B,0)), "-")</f>
        <v>-</v>
      </c>
      <c r="T2731" s="475"/>
      <c r="U2731" s="270"/>
      <c r="V2731" s="270"/>
      <c r="W2731" s="270"/>
      <c r="X2731" s="270"/>
      <c r="Y2731" s="270"/>
      <c r="Z2731" s="270"/>
      <c r="AA2731" s="270"/>
      <c r="AB2731" s="270"/>
      <c r="AC2731" s="270"/>
      <c r="AD2731" s="270"/>
      <c r="AE2731" s="270"/>
      <c r="AF2731" s="270"/>
      <c r="AG2731" s="270"/>
      <c r="AH2731" s="270"/>
      <c r="AI2731" s="270"/>
      <c r="AJ2731" s="270"/>
      <c r="AK2731" s="270"/>
      <c r="AL2731" s="270"/>
      <c r="AM2731" s="663"/>
      <c r="AN2731" s="663"/>
      <c r="AO2731" s="708" t="str">
        <f>IF(OR(Table1[[#This Row],[Início Setup Envase]]="",Table1[[#This Row],[Final Setup Envase]]=""),"",Table1[[#This Row],[Final Setup Envase]]-Table1[[#This Row],[Início Setup Envase]])</f>
        <v/>
      </c>
      <c r="AP2731" s="663"/>
      <c r="AQ2731" s="663"/>
      <c r="AR2731" s="270"/>
      <c r="AS2731" s="674"/>
      <c r="AT2731" s="674"/>
      <c r="AU2731" s="270"/>
      <c r="AV2731" s="270"/>
      <c r="AW2731" s="270"/>
      <c r="AX2731" s="270"/>
      <c r="AY2731" s="270"/>
      <c r="AZ2731" s="270"/>
      <c r="BA2731" s="270" t="str">
        <f>IF(Table1[[#This Row],[Data de Início]]="","",YEAR(Table1[[#This Row],[Data de Início]]))</f>
        <v/>
      </c>
      <c r="BB2731" s="270" t="str">
        <f>IF(Table1[[#This Row],[Data de Início]]="","",MONTH(Table1[[#This Row],[Data de Início]]))</f>
        <v/>
      </c>
      <c r="BC2731" s="483"/>
    </row>
    <row r="2732" spans="2:55" x14ac:dyDescent="0.25">
      <c r="B2732" s="470"/>
      <c r="C2732" s="263"/>
      <c r="D2732" s="477" cm="1">
        <f t="array" ref="D2732">IFERROR(HorasUteisFabrica2Turnos(B2732,C2732), "")</f>
        <v>0</v>
      </c>
      <c r="E2732" s="478" t="str">
        <f t="shared" si="43"/>
        <v/>
      </c>
      <c r="F2732" s="266"/>
      <c r="G2732" s="656"/>
      <c r="H2732" s="479"/>
      <c r="I2732" s="268"/>
      <c r="J2732" s="268"/>
      <c r="K2732" s="268"/>
      <c r="L2732" s="269"/>
      <c r="M2732" s="511" t="str">
        <f>IFERROR(INDEX([1]Produtos!$C:$C,MATCH(L2732,[1]Produtos!$B:$B,0)), "-")</f>
        <v>-</v>
      </c>
      <c r="N2732" s="511" t="str">
        <f>IFERROR(INDEX([1]Produtos!$E:$E,MATCH(L2732,[1]Produtos!$B:$B,0)), "-")</f>
        <v>-</v>
      </c>
      <c r="O2732" s="483" t="str">
        <f>IFERROR(INDEX([1]Produtos!$F:$F,MATCH(L2732,[1]Produtos!$B:$B,0)), "-")</f>
        <v>-</v>
      </c>
      <c r="P2732" s="477" t="str">
        <f>IFERROR(INDEX([1]Produtos!$G:$G,MATCH(L2732,[1]Produtos!$B:$B,0)), "-")</f>
        <v>-</v>
      </c>
      <c r="Q2732" s="483" t="str">
        <f>IFERROR(INDEX([1]Produtos!$H:$H,MATCH(L2732,[1]Produtos!$B:$B,0)), "-")</f>
        <v>-</v>
      </c>
      <c r="R2732" s="483" t="str">
        <f>IFERROR(INDEX([1]Produtos!$I:$I,MATCH(L2732,[1]Produtos!$B:$B,0)), "-")</f>
        <v>-</v>
      </c>
      <c r="S2732" s="483" t="str">
        <f>IFERROR(INDEX([1]Produtos!$J:$J,MATCH(L2732,[1]Produtos!$B:$B,0)), "-")</f>
        <v>-</v>
      </c>
      <c r="T2732" s="484"/>
      <c r="U2732" s="483"/>
      <c r="V2732" s="483"/>
      <c r="W2732" s="483"/>
      <c r="X2732" s="483"/>
      <c r="Y2732" s="483"/>
      <c r="Z2732" s="483"/>
      <c r="AA2732" s="483"/>
      <c r="AB2732" s="483"/>
      <c r="AC2732" s="483"/>
      <c r="AD2732" s="483"/>
      <c r="AE2732" s="483"/>
      <c r="AF2732" s="483"/>
      <c r="AG2732" s="483"/>
      <c r="AH2732" s="483"/>
      <c r="AI2732" s="483"/>
      <c r="AJ2732" s="483"/>
      <c r="AK2732" s="483"/>
      <c r="AL2732" s="483"/>
      <c r="AM2732" s="670"/>
      <c r="AN2732" s="670"/>
      <c r="AO2732" s="711" t="str">
        <f>IF(OR(Table1[[#This Row],[Início Setup Envase]]="",Table1[[#This Row],[Final Setup Envase]]=""),"",Table1[[#This Row],[Final Setup Envase]]-Table1[[#This Row],[Início Setup Envase]])</f>
        <v/>
      </c>
      <c r="AP2732" s="670"/>
      <c r="AQ2732" s="670"/>
      <c r="AR2732" s="483"/>
      <c r="AS2732" s="483"/>
      <c r="AT2732" s="483"/>
      <c r="AU2732" s="483"/>
      <c r="AV2732" s="483"/>
      <c r="AW2732" s="483"/>
      <c r="AX2732" s="483"/>
      <c r="AY2732" s="270"/>
      <c r="AZ2732" s="270"/>
      <c r="BA2732" s="270" t="str">
        <f>IF(Table1[[#This Row],[Data de Início]]="","",YEAR(Table1[[#This Row],[Data de Início]]))</f>
        <v/>
      </c>
      <c r="BB2732" s="270" t="str">
        <f>IF(Table1[[#This Row],[Data de Início]]="","",MONTH(Table1[[#This Row],[Data de Início]]))</f>
        <v/>
      </c>
      <c r="BC2732" s="270"/>
    </row>
    <row r="2733" spans="2:55" x14ac:dyDescent="0.25">
      <c r="B2733" s="470"/>
      <c r="C2733" s="263"/>
      <c r="D2733" s="477" cm="1">
        <f t="array" ref="D2733">IFERROR(HorasUteisFabrica2Turnos(B2733,C2733), "")</f>
        <v>0</v>
      </c>
      <c r="E2733" s="697" t="str">
        <f t="shared" si="43"/>
        <v/>
      </c>
      <c r="F2733" s="266"/>
      <c r="G2733" s="698"/>
      <c r="H2733" s="266"/>
      <c r="I2733" s="268"/>
      <c r="J2733" s="268"/>
      <c r="K2733" s="268"/>
      <c r="L2733" s="269"/>
      <c r="M2733" s="510" t="str">
        <f>IFERROR(INDEX([1]Produtos!$C:$C,MATCH(L2733,[1]Produtos!$B:$B,0)), "-")</f>
        <v>-</v>
      </c>
      <c r="N2733" s="510" t="str">
        <f>IFERROR(INDEX([1]Produtos!$E:$E,MATCH(L2733,[1]Produtos!$B:$B,0)), "-")</f>
        <v>-</v>
      </c>
      <c r="O2733" s="270" t="str">
        <f>IFERROR(INDEX([1]Produtos!$F:$F,MATCH(L2733,[1]Produtos!$B:$B,0)), "-")</f>
        <v>-</v>
      </c>
      <c r="P2733" s="264" t="str">
        <f>IFERROR(INDEX([1]Produtos!$G:$G,MATCH(L2733,[1]Produtos!$B:$B,0)), "-")</f>
        <v>-</v>
      </c>
      <c r="Q2733" s="270" t="str">
        <f>IFERROR(INDEX([1]Produtos!$H:$H,MATCH(L2733,[1]Produtos!$B:$B,0)), "-")</f>
        <v>-</v>
      </c>
      <c r="R2733" s="270" t="str">
        <f>IFERROR(INDEX([1]Produtos!$I:$I,MATCH(L2733,[1]Produtos!$B:$B,0)), "-")</f>
        <v>-</v>
      </c>
      <c r="S2733" s="270" t="str">
        <f>IFERROR(INDEX([1]Produtos!$J:$J,MATCH(L2733,[1]Produtos!$B:$B,0)), "-")</f>
        <v>-</v>
      </c>
      <c r="T2733" s="475"/>
      <c r="U2733" s="270"/>
      <c r="V2733" s="270"/>
      <c r="W2733" s="270"/>
      <c r="X2733" s="270"/>
      <c r="Y2733" s="270"/>
      <c r="Z2733" s="270"/>
      <c r="AA2733" s="270"/>
      <c r="AB2733" s="270"/>
      <c r="AC2733" s="270"/>
      <c r="AD2733" s="270"/>
      <c r="AE2733" s="270"/>
      <c r="AF2733" s="270"/>
      <c r="AG2733" s="270"/>
      <c r="AH2733" s="270"/>
      <c r="AI2733" s="270"/>
      <c r="AJ2733" s="270"/>
      <c r="AK2733" s="270"/>
      <c r="AL2733" s="270"/>
      <c r="AM2733" s="663"/>
      <c r="AN2733" s="663"/>
      <c r="AO2733" s="708" t="str">
        <f>IF(OR(Table1[[#This Row],[Início Setup Envase]]="",Table1[[#This Row],[Final Setup Envase]]=""),"",Table1[[#This Row],[Final Setup Envase]]-Table1[[#This Row],[Início Setup Envase]])</f>
        <v/>
      </c>
      <c r="AP2733" s="663"/>
      <c r="AQ2733" s="663"/>
      <c r="AR2733" s="270"/>
      <c r="AS2733" s="674"/>
      <c r="AT2733" s="674"/>
      <c r="AU2733" s="270"/>
      <c r="AV2733" s="270"/>
      <c r="AW2733" s="270"/>
      <c r="AX2733" s="270"/>
      <c r="AY2733" s="270"/>
      <c r="AZ2733" s="270"/>
      <c r="BA2733" s="270" t="str">
        <f>IF(Table1[[#This Row],[Data de Início]]="","",YEAR(Table1[[#This Row],[Data de Início]]))</f>
        <v/>
      </c>
      <c r="BB2733" s="270" t="str">
        <f>IF(Table1[[#This Row],[Data de Início]]="","",MONTH(Table1[[#This Row],[Data de Início]]))</f>
        <v/>
      </c>
      <c r="BC2733" s="483"/>
    </row>
    <row r="2734" spans="2:55" x14ac:dyDescent="0.25">
      <c r="B2734" s="470"/>
      <c r="C2734" s="263"/>
      <c r="D2734" s="477" cm="1">
        <f t="array" ref="D2734">IFERROR(HorasUteisFabrica2Turnos(B2734,C2734), "")</f>
        <v>0</v>
      </c>
      <c r="E2734" s="478" t="str">
        <f t="shared" si="43"/>
        <v/>
      </c>
      <c r="F2734" s="266"/>
      <c r="G2734" s="656"/>
      <c r="H2734" s="479"/>
      <c r="I2734" s="268"/>
      <c r="J2734" s="268"/>
      <c r="K2734" s="268"/>
      <c r="L2734" s="269"/>
      <c r="M2734" s="511" t="str">
        <f>IFERROR(INDEX([1]Produtos!$C:$C,MATCH(L2734,[1]Produtos!$B:$B,0)), "-")</f>
        <v>-</v>
      </c>
      <c r="N2734" s="511" t="str">
        <f>IFERROR(INDEX([1]Produtos!$E:$E,MATCH(L2734,[1]Produtos!$B:$B,0)), "-")</f>
        <v>-</v>
      </c>
      <c r="O2734" s="483" t="str">
        <f>IFERROR(INDEX([1]Produtos!$F:$F,MATCH(L2734,[1]Produtos!$B:$B,0)), "-")</f>
        <v>-</v>
      </c>
      <c r="P2734" s="477" t="str">
        <f>IFERROR(INDEX([1]Produtos!$G:$G,MATCH(L2734,[1]Produtos!$B:$B,0)), "-")</f>
        <v>-</v>
      </c>
      <c r="Q2734" s="483" t="str">
        <f>IFERROR(INDEX([1]Produtos!$H:$H,MATCH(L2734,[1]Produtos!$B:$B,0)), "-")</f>
        <v>-</v>
      </c>
      <c r="R2734" s="483" t="str">
        <f>IFERROR(INDEX([1]Produtos!$I:$I,MATCH(L2734,[1]Produtos!$B:$B,0)), "-")</f>
        <v>-</v>
      </c>
      <c r="S2734" s="483" t="str">
        <f>IFERROR(INDEX([1]Produtos!$J:$J,MATCH(L2734,[1]Produtos!$B:$B,0)), "-")</f>
        <v>-</v>
      </c>
      <c r="T2734" s="484"/>
      <c r="U2734" s="483"/>
      <c r="V2734" s="483"/>
      <c r="W2734" s="483"/>
      <c r="X2734" s="483"/>
      <c r="Y2734" s="483"/>
      <c r="Z2734" s="483"/>
      <c r="AA2734" s="483"/>
      <c r="AB2734" s="483"/>
      <c r="AC2734" s="483"/>
      <c r="AD2734" s="483"/>
      <c r="AE2734" s="483"/>
      <c r="AF2734" s="483"/>
      <c r="AG2734" s="483"/>
      <c r="AH2734" s="483"/>
      <c r="AI2734" s="483"/>
      <c r="AJ2734" s="483"/>
      <c r="AK2734" s="483"/>
      <c r="AL2734" s="483"/>
      <c r="AM2734" s="670"/>
      <c r="AN2734" s="670"/>
      <c r="AO2734" s="711" t="str">
        <f>IF(OR(Table1[[#This Row],[Início Setup Envase]]="",Table1[[#This Row],[Final Setup Envase]]=""),"",Table1[[#This Row],[Final Setup Envase]]-Table1[[#This Row],[Início Setup Envase]])</f>
        <v/>
      </c>
      <c r="AP2734" s="670"/>
      <c r="AQ2734" s="670"/>
      <c r="AR2734" s="483"/>
      <c r="AS2734" s="483"/>
      <c r="AT2734" s="483"/>
      <c r="AU2734" s="483"/>
      <c r="AV2734" s="483"/>
      <c r="AW2734" s="483"/>
      <c r="AX2734" s="483"/>
      <c r="AY2734" s="270"/>
      <c r="AZ2734" s="270"/>
      <c r="BA2734" s="270" t="str">
        <f>IF(Table1[[#This Row],[Data de Início]]="","",YEAR(Table1[[#This Row],[Data de Início]]))</f>
        <v/>
      </c>
      <c r="BB2734" s="270" t="str">
        <f>IF(Table1[[#This Row],[Data de Início]]="","",MONTH(Table1[[#This Row],[Data de Início]]))</f>
        <v/>
      </c>
      <c r="BC2734" s="270"/>
    </row>
    <row r="2735" spans="2:55" x14ac:dyDescent="0.25">
      <c r="B2735" s="470"/>
      <c r="C2735" s="263"/>
      <c r="D2735" s="477" cm="1">
        <f t="array" ref="D2735">IFERROR(HorasUteisFabrica2Turnos(B2735,C2735), "")</f>
        <v>0</v>
      </c>
      <c r="E2735" s="697" t="str">
        <f t="shared" si="43"/>
        <v/>
      </c>
      <c r="F2735" s="266"/>
      <c r="G2735" s="698"/>
      <c r="H2735" s="266"/>
      <c r="I2735" s="268"/>
      <c r="J2735" s="268"/>
      <c r="K2735" s="268"/>
      <c r="L2735" s="269"/>
      <c r="M2735" s="510" t="str">
        <f>IFERROR(INDEX([1]Produtos!$C:$C,MATCH(L2735,[1]Produtos!$B:$B,0)), "-")</f>
        <v>-</v>
      </c>
      <c r="N2735" s="510" t="str">
        <f>IFERROR(INDEX([1]Produtos!$E:$E,MATCH(L2735,[1]Produtos!$B:$B,0)), "-")</f>
        <v>-</v>
      </c>
      <c r="O2735" s="270" t="str">
        <f>IFERROR(INDEX([1]Produtos!$F:$F,MATCH(L2735,[1]Produtos!$B:$B,0)), "-")</f>
        <v>-</v>
      </c>
      <c r="P2735" s="264" t="str">
        <f>IFERROR(INDEX([1]Produtos!$G:$G,MATCH(L2735,[1]Produtos!$B:$B,0)), "-")</f>
        <v>-</v>
      </c>
      <c r="Q2735" s="270" t="str">
        <f>IFERROR(INDEX([1]Produtos!$H:$H,MATCH(L2735,[1]Produtos!$B:$B,0)), "-")</f>
        <v>-</v>
      </c>
      <c r="R2735" s="270" t="str">
        <f>IFERROR(INDEX([1]Produtos!$I:$I,MATCH(L2735,[1]Produtos!$B:$B,0)), "-")</f>
        <v>-</v>
      </c>
      <c r="S2735" s="270" t="str">
        <f>IFERROR(INDEX([1]Produtos!$J:$J,MATCH(L2735,[1]Produtos!$B:$B,0)), "-")</f>
        <v>-</v>
      </c>
      <c r="T2735" s="475"/>
      <c r="U2735" s="270"/>
      <c r="V2735" s="270"/>
      <c r="W2735" s="270"/>
      <c r="X2735" s="270"/>
      <c r="Y2735" s="270"/>
      <c r="Z2735" s="270"/>
      <c r="AA2735" s="270"/>
      <c r="AB2735" s="270"/>
      <c r="AC2735" s="270"/>
      <c r="AD2735" s="270"/>
      <c r="AE2735" s="270"/>
      <c r="AF2735" s="270"/>
      <c r="AG2735" s="270"/>
      <c r="AH2735" s="270"/>
      <c r="AI2735" s="270"/>
      <c r="AJ2735" s="270"/>
      <c r="AK2735" s="270"/>
      <c r="AL2735" s="270"/>
      <c r="AM2735" s="663"/>
      <c r="AN2735" s="663"/>
      <c r="AO2735" s="708" t="str">
        <f>IF(OR(Table1[[#This Row],[Início Setup Envase]]="",Table1[[#This Row],[Final Setup Envase]]=""),"",Table1[[#This Row],[Final Setup Envase]]-Table1[[#This Row],[Início Setup Envase]])</f>
        <v/>
      </c>
      <c r="AP2735" s="663"/>
      <c r="AQ2735" s="663"/>
      <c r="AR2735" s="270"/>
      <c r="AS2735" s="674"/>
      <c r="AT2735" s="674"/>
      <c r="AU2735" s="270"/>
      <c r="AV2735" s="270"/>
      <c r="AW2735" s="270"/>
      <c r="AX2735" s="270"/>
      <c r="AY2735" s="270"/>
      <c r="AZ2735" s="270"/>
      <c r="BA2735" s="270" t="str">
        <f>IF(Table1[[#This Row],[Data de Início]]="","",YEAR(Table1[[#This Row],[Data de Início]]))</f>
        <v/>
      </c>
      <c r="BB2735" s="270" t="str">
        <f>IF(Table1[[#This Row],[Data de Início]]="","",MONTH(Table1[[#This Row],[Data de Início]]))</f>
        <v/>
      </c>
      <c r="BC2735" s="483"/>
    </row>
    <row r="2736" spans="2:55" x14ac:dyDescent="0.25">
      <c r="B2736" s="470"/>
      <c r="C2736" s="263"/>
      <c r="D2736" s="477" cm="1">
        <f t="array" ref="D2736">IFERROR(HorasUteisFabrica2Turnos(B2736,C2736), "")</f>
        <v>0</v>
      </c>
      <c r="E2736" s="478" t="str">
        <f t="shared" si="43"/>
        <v/>
      </c>
      <c r="F2736" s="266"/>
      <c r="G2736" s="656"/>
      <c r="H2736" s="479"/>
      <c r="I2736" s="268"/>
      <c r="J2736" s="268"/>
      <c r="K2736" s="268"/>
      <c r="L2736" s="269"/>
      <c r="M2736" s="511" t="str">
        <f>IFERROR(INDEX([1]Produtos!$C:$C,MATCH(L2736,[1]Produtos!$B:$B,0)), "-")</f>
        <v>-</v>
      </c>
      <c r="N2736" s="511" t="str">
        <f>IFERROR(INDEX([1]Produtos!$E:$E,MATCH(L2736,[1]Produtos!$B:$B,0)), "-")</f>
        <v>-</v>
      </c>
      <c r="O2736" s="483" t="str">
        <f>IFERROR(INDEX([1]Produtos!$F:$F,MATCH(L2736,[1]Produtos!$B:$B,0)), "-")</f>
        <v>-</v>
      </c>
      <c r="P2736" s="477" t="str">
        <f>IFERROR(INDEX([1]Produtos!$G:$G,MATCH(L2736,[1]Produtos!$B:$B,0)), "-")</f>
        <v>-</v>
      </c>
      <c r="Q2736" s="483" t="str">
        <f>IFERROR(INDEX([1]Produtos!$H:$H,MATCH(L2736,[1]Produtos!$B:$B,0)), "-")</f>
        <v>-</v>
      </c>
      <c r="R2736" s="483" t="str">
        <f>IFERROR(INDEX([1]Produtos!$I:$I,MATCH(L2736,[1]Produtos!$B:$B,0)), "-")</f>
        <v>-</v>
      </c>
      <c r="S2736" s="483" t="str">
        <f>IFERROR(INDEX([1]Produtos!$J:$J,MATCH(L2736,[1]Produtos!$B:$B,0)), "-")</f>
        <v>-</v>
      </c>
      <c r="T2736" s="484"/>
      <c r="U2736" s="483"/>
      <c r="V2736" s="483"/>
      <c r="W2736" s="483"/>
      <c r="X2736" s="483"/>
      <c r="Y2736" s="483"/>
      <c r="Z2736" s="483"/>
      <c r="AA2736" s="483"/>
      <c r="AB2736" s="483"/>
      <c r="AC2736" s="483"/>
      <c r="AD2736" s="483"/>
      <c r="AE2736" s="483"/>
      <c r="AF2736" s="483"/>
      <c r="AG2736" s="483"/>
      <c r="AH2736" s="483"/>
      <c r="AI2736" s="483"/>
      <c r="AJ2736" s="483"/>
      <c r="AK2736" s="483"/>
      <c r="AL2736" s="483"/>
      <c r="AM2736" s="670"/>
      <c r="AN2736" s="670"/>
      <c r="AO2736" s="711" t="str">
        <f>IF(OR(Table1[[#This Row],[Início Setup Envase]]="",Table1[[#This Row],[Final Setup Envase]]=""),"",Table1[[#This Row],[Final Setup Envase]]-Table1[[#This Row],[Início Setup Envase]])</f>
        <v/>
      </c>
      <c r="AP2736" s="670"/>
      <c r="AQ2736" s="670"/>
      <c r="AR2736" s="483"/>
      <c r="AS2736" s="483"/>
      <c r="AT2736" s="483"/>
      <c r="AU2736" s="483"/>
      <c r="AV2736" s="483"/>
      <c r="AW2736" s="483"/>
      <c r="AX2736" s="483"/>
      <c r="AY2736" s="270"/>
      <c r="AZ2736" s="270"/>
      <c r="BA2736" s="270" t="str">
        <f>IF(Table1[[#This Row],[Data de Início]]="","",YEAR(Table1[[#This Row],[Data de Início]]))</f>
        <v/>
      </c>
      <c r="BB2736" s="270" t="str">
        <f>IF(Table1[[#This Row],[Data de Início]]="","",MONTH(Table1[[#This Row],[Data de Início]]))</f>
        <v/>
      </c>
      <c r="BC2736" s="270"/>
    </row>
    <row r="2737" spans="2:55" x14ac:dyDescent="0.25">
      <c r="B2737" s="470"/>
      <c r="C2737" s="263"/>
      <c r="D2737" s="477" cm="1">
        <f t="array" ref="D2737">IFERROR(HorasUteisFabrica2Turnos(B2737,C2737), "")</f>
        <v>0</v>
      </c>
      <c r="E2737" s="697" t="str">
        <f t="shared" si="43"/>
        <v/>
      </c>
      <c r="F2737" s="266"/>
      <c r="G2737" s="698"/>
      <c r="H2737" s="266"/>
      <c r="I2737" s="268"/>
      <c r="J2737" s="268"/>
      <c r="K2737" s="268"/>
      <c r="L2737" s="269"/>
      <c r="M2737" s="510" t="str">
        <f>IFERROR(INDEX([1]Produtos!$C:$C,MATCH(L2737,[1]Produtos!$B:$B,0)), "-")</f>
        <v>-</v>
      </c>
      <c r="N2737" s="510" t="str">
        <f>IFERROR(INDEX([1]Produtos!$E:$E,MATCH(L2737,[1]Produtos!$B:$B,0)), "-")</f>
        <v>-</v>
      </c>
      <c r="O2737" s="270" t="str">
        <f>IFERROR(INDEX([1]Produtos!$F:$F,MATCH(L2737,[1]Produtos!$B:$B,0)), "-")</f>
        <v>-</v>
      </c>
      <c r="P2737" s="264" t="str">
        <f>IFERROR(INDEX([1]Produtos!$G:$G,MATCH(L2737,[1]Produtos!$B:$B,0)), "-")</f>
        <v>-</v>
      </c>
      <c r="Q2737" s="270" t="str">
        <f>IFERROR(INDEX([1]Produtos!$H:$H,MATCH(L2737,[1]Produtos!$B:$B,0)), "-")</f>
        <v>-</v>
      </c>
      <c r="R2737" s="270" t="str">
        <f>IFERROR(INDEX([1]Produtos!$I:$I,MATCH(L2737,[1]Produtos!$B:$B,0)), "-")</f>
        <v>-</v>
      </c>
      <c r="S2737" s="270" t="str">
        <f>IFERROR(INDEX([1]Produtos!$J:$J,MATCH(L2737,[1]Produtos!$B:$B,0)), "-")</f>
        <v>-</v>
      </c>
      <c r="T2737" s="475"/>
      <c r="U2737" s="270"/>
      <c r="V2737" s="270"/>
      <c r="W2737" s="270"/>
      <c r="X2737" s="270"/>
      <c r="Y2737" s="270"/>
      <c r="Z2737" s="270"/>
      <c r="AA2737" s="270"/>
      <c r="AB2737" s="270"/>
      <c r="AC2737" s="270"/>
      <c r="AD2737" s="270"/>
      <c r="AE2737" s="270"/>
      <c r="AF2737" s="270"/>
      <c r="AG2737" s="270"/>
      <c r="AH2737" s="270"/>
      <c r="AI2737" s="270"/>
      <c r="AJ2737" s="270"/>
      <c r="AK2737" s="270"/>
      <c r="AL2737" s="270"/>
      <c r="AM2737" s="663"/>
      <c r="AN2737" s="663"/>
      <c r="AO2737" s="708" t="str">
        <f>IF(OR(Table1[[#This Row],[Início Setup Envase]]="",Table1[[#This Row],[Final Setup Envase]]=""),"",Table1[[#This Row],[Final Setup Envase]]-Table1[[#This Row],[Início Setup Envase]])</f>
        <v/>
      </c>
      <c r="AP2737" s="663"/>
      <c r="AQ2737" s="663"/>
      <c r="AR2737" s="270"/>
      <c r="AS2737" s="674"/>
      <c r="AT2737" s="674"/>
      <c r="AU2737" s="270"/>
      <c r="AV2737" s="270"/>
      <c r="AW2737" s="270"/>
      <c r="AX2737" s="270"/>
      <c r="AY2737" s="270"/>
      <c r="AZ2737" s="270"/>
      <c r="BA2737" s="270" t="str">
        <f>IF(Table1[[#This Row],[Data de Início]]="","",YEAR(Table1[[#This Row],[Data de Início]]))</f>
        <v/>
      </c>
      <c r="BB2737" s="270" t="str">
        <f>IF(Table1[[#This Row],[Data de Início]]="","",MONTH(Table1[[#This Row],[Data de Início]]))</f>
        <v/>
      </c>
      <c r="BC2737" s="483"/>
    </row>
    <row r="2738" spans="2:55" x14ac:dyDescent="0.25">
      <c r="B2738" s="470"/>
      <c r="C2738" s="263"/>
      <c r="D2738" s="477" cm="1">
        <f t="array" ref="D2738">IFERROR(HorasUteisFabrica2Turnos(B2738,C2738), "")</f>
        <v>0</v>
      </c>
      <c r="E2738" s="478" t="str">
        <f t="shared" si="43"/>
        <v/>
      </c>
      <c r="F2738" s="266"/>
      <c r="G2738" s="656"/>
      <c r="H2738" s="479"/>
      <c r="I2738" s="268"/>
      <c r="J2738" s="268"/>
      <c r="K2738" s="268"/>
      <c r="L2738" s="269"/>
      <c r="M2738" s="511" t="str">
        <f>IFERROR(INDEX([1]Produtos!$C:$C,MATCH(L2738,[1]Produtos!$B:$B,0)), "-")</f>
        <v>-</v>
      </c>
      <c r="N2738" s="511" t="str">
        <f>IFERROR(INDEX([1]Produtos!$E:$E,MATCH(L2738,[1]Produtos!$B:$B,0)), "-")</f>
        <v>-</v>
      </c>
      <c r="O2738" s="483" t="str">
        <f>IFERROR(INDEX([1]Produtos!$F:$F,MATCH(L2738,[1]Produtos!$B:$B,0)), "-")</f>
        <v>-</v>
      </c>
      <c r="P2738" s="477" t="str">
        <f>IFERROR(INDEX([1]Produtos!$G:$G,MATCH(L2738,[1]Produtos!$B:$B,0)), "-")</f>
        <v>-</v>
      </c>
      <c r="Q2738" s="483" t="str">
        <f>IFERROR(INDEX([1]Produtos!$H:$H,MATCH(L2738,[1]Produtos!$B:$B,0)), "-")</f>
        <v>-</v>
      </c>
      <c r="R2738" s="483" t="str">
        <f>IFERROR(INDEX([1]Produtos!$I:$I,MATCH(L2738,[1]Produtos!$B:$B,0)), "-")</f>
        <v>-</v>
      </c>
      <c r="S2738" s="483" t="str">
        <f>IFERROR(INDEX([1]Produtos!$J:$J,MATCH(L2738,[1]Produtos!$B:$B,0)), "-")</f>
        <v>-</v>
      </c>
      <c r="T2738" s="484"/>
      <c r="U2738" s="483"/>
      <c r="V2738" s="483"/>
      <c r="W2738" s="483"/>
      <c r="X2738" s="483"/>
      <c r="Y2738" s="483"/>
      <c r="Z2738" s="483"/>
      <c r="AA2738" s="483"/>
      <c r="AB2738" s="483"/>
      <c r="AC2738" s="483"/>
      <c r="AD2738" s="483"/>
      <c r="AE2738" s="483"/>
      <c r="AF2738" s="483"/>
      <c r="AG2738" s="483"/>
      <c r="AH2738" s="483"/>
      <c r="AI2738" s="483"/>
      <c r="AJ2738" s="483"/>
      <c r="AK2738" s="483"/>
      <c r="AL2738" s="483"/>
      <c r="AM2738" s="670"/>
      <c r="AN2738" s="670"/>
      <c r="AO2738" s="711" t="str">
        <f>IF(OR(Table1[[#This Row],[Início Setup Envase]]="",Table1[[#This Row],[Final Setup Envase]]=""),"",Table1[[#This Row],[Final Setup Envase]]-Table1[[#This Row],[Início Setup Envase]])</f>
        <v/>
      </c>
      <c r="AP2738" s="670"/>
      <c r="AQ2738" s="670"/>
      <c r="AR2738" s="483"/>
      <c r="AS2738" s="483"/>
      <c r="AT2738" s="483"/>
      <c r="AU2738" s="483"/>
      <c r="AV2738" s="483"/>
      <c r="AW2738" s="483"/>
      <c r="AX2738" s="483"/>
      <c r="AY2738" s="270"/>
      <c r="AZ2738" s="270"/>
      <c r="BA2738" s="270" t="str">
        <f>IF(Table1[[#This Row],[Data de Início]]="","",YEAR(Table1[[#This Row],[Data de Início]]))</f>
        <v/>
      </c>
      <c r="BB2738" s="270" t="str">
        <f>IF(Table1[[#This Row],[Data de Início]]="","",MONTH(Table1[[#This Row],[Data de Início]]))</f>
        <v/>
      </c>
      <c r="BC2738" s="270"/>
    </row>
    <row r="2739" spans="2:55" x14ac:dyDescent="0.25">
      <c r="B2739" s="470"/>
      <c r="C2739" s="263"/>
      <c r="D2739" s="477" cm="1">
        <f t="array" ref="D2739">IFERROR(HorasUteisFabrica2Turnos(B2739,C2739), "")</f>
        <v>0</v>
      </c>
      <c r="E2739" s="697" t="str">
        <f t="shared" si="43"/>
        <v/>
      </c>
      <c r="F2739" s="266"/>
      <c r="G2739" s="698"/>
      <c r="H2739" s="266"/>
      <c r="I2739" s="268"/>
      <c r="J2739" s="268"/>
      <c r="K2739" s="268"/>
      <c r="L2739" s="269"/>
      <c r="M2739" s="510" t="str">
        <f>IFERROR(INDEX([1]Produtos!$C:$C,MATCH(L2739,[1]Produtos!$B:$B,0)), "-")</f>
        <v>-</v>
      </c>
      <c r="N2739" s="510" t="str">
        <f>IFERROR(INDEX([1]Produtos!$E:$E,MATCH(L2739,[1]Produtos!$B:$B,0)), "-")</f>
        <v>-</v>
      </c>
      <c r="O2739" s="270" t="str">
        <f>IFERROR(INDEX([1]Produtos!$F:$F,MATCH(L2739,[1]Produtos!$B:$B,0)), "-")</f>
        <v>-</v>
      </c>
      <c r="P2739" s="264" t="str">
        <f>IFERROR(INDEX([1]Produtos!$G:$G,MATCH(L2739,[1]Produtos!$B:$B,0)), "-")</f>
        <v>-</v>
      </c>
      <c r="Q2739" s="270" t="str">
        <f>IFERROR(INDEX([1]Produtos!$H:$H,MATCH(L2739,[1]Produtos!$B:$B,0)), "-")</f>
        <v>-</v>
      </c>
      <c r="R2739" s="270" t="str">
        <f>IFERROR(INDEX([1]Produtos!$I:$I,MATCH(L2739,[1]Produtos!$B:$B,0)), "-")</f>
        <v>-</v>
      </c>
      <c r="S2739" s="270" t="str">
        <f>IFERROR(INDEX([1]Produtos!$J:$J,MATCH(L2739,[1]Produtos!$B:$B,0)), "-")</f>
        <v>-</v>
      </c>
      <c r="T2739" s="475"/>
      <c r="U2739" s="270"/>
      <c r="V2739" s="270"/>
      <c r="W2739" s="270"/>
      <c r="X2739" s="270"/>
      <c r="Y2739" s="270"/>
      <c r="Z2739" s="270"/>
      <c r="AA2739" s="270"/>
      <c r="AB2739" s="270"/>
      <c r="AC2739" s="270"/>
      <c r="AD2739" s="270"/>
      <c r="AE2739" s="270"/>
      <c r="AF2739" s="270"/>
      <c r="AG2739" s="270"/>
      <c r="AH2739" s="270"/>
      <c r="AI2739" s="270"/>
      <c r="AJ2739" s="270"/>
      <c r="AK2739" s="270"/>
      <c r="AL2739" s="270"/>
      <c r="AM2739" s="663"/>
      <c r="AN2739" s="663"/>
      <c r="AO2739" s="708" t="str">
        <f>IF(OR(Table1[[#This Row],[Início Setup Envase]]="",Table1[[#This Row],[Final Setup Envase]]=""),"",Table1[[#This Row],[Final Setup Envase]]-Table1[[#This Row],[Início Setup Envase]])</f>
        <v/>
      </c>
      <c r="AP2739" s="663"/>
      <c r="AQ2739" s="663"/>
      <c r="AR2739" s="270"/>
      <c r="AS2739" s="674"/>
      <c r="AT2739" s="674"/>
      <c r="AU2739" s="270"/>
      <c r="AV2739" s="270"/>
      <c r="AW2739" s="270"/>
      <c r="AX2739" s="270"/>
      <c r="AY2739" s="270"/>
      <c r="AZ2739" s="270"/>
      <c r="BA2739" s="270" t="str">
        <f>IF(Table1[[#This Row],[Data de Início]]="","",YEAR(Table1[[#This Row],[Data de Início]]))</f>
        <v/>
      </c>
      <c r="BB2739" s="270" t="str">
        <f>IF(Table1[[#This Row],[Data de Início]]="","",MONTH(Table1[[#This Row],[Data de Início]]))</f>
        <v/>
      </c>
      <c r="BC2739" s="483"/>
    </row>
    <row r="2740" spans="2:55" x14ac:dyDescent="0.25">
      <c r="B2740" s="470"/>
      <c r="C2740" s="263"/>
      <c r="D2740" s="477" cm="1">
        <f t="array" ref="D2740">IFERROR(HorasUteisFabrica2Turnos(B2740,C2740), "")</f>
        <v>0</v>
      </c>
      <c r="E2740" s="478" t="str">
        <f t="shared" si="43"/>
        <v/>
      </c>
      <c r="F2740" s="266"/>
      <c r="G2740" s="656"/>
      <c r="H2740" s="479"/>
      <c r="I2740" s="268"/>
      <c r="J2740" s="268"/>
      <c r="K2740" s="268"/>
      <c r="L2740" s="269"/>
      <c r="M2740" s="511" t="str">
        <f>IFERROR(INDEX([1]Produtos!$C:$C,MATCH(L2740,[1]Produtos!$B:$B,0)), "-")</f>
        <v>-</v>
      </c>
      <c r="N2740" s="511" t="str">
        <f>IFERROR(INDEX([1]Produtos!$E:$E,MATCH(L2740,[1]Produtos!$B:$B,0)), "-")</f>
        <v>-</v>
      </c>
      <c r="O2740" s="483" t="str">
        <f>IFERROR(INDEX([1]Produtos!$F:$F,MATCH(L2740,[1]Produtos!$B:$B,0)), "-")</f>
        <v>-</v>
      </c>
      <c r="P2740" s="477" t="str">
        <f>IFERROR(INDEX([1]Produtos!$G:$G,MATCH(L2740,[1]Produtos!$B:$B,0)), "-")</f>
        <v>-</v>
      </c>
      <c r="Q2740" s="483" t="str">
        <f>IFERROR(INDEX([1]Produtos!$H:$H,MATCH(L2740,[1]Produtos!$B:$B,0)), "-")</f>
        <v>-</v>
      </c>
      <c r="R2740" s="483" t="str">
        <f>IFERROR(INDEX([1]Produtos!$I:$I,MATCH(L2740,[1]Produtos!$B:$B,0)), "-")</f>
        <v>-</v>
      </c>
      <c r="S2740" s="483" t="str">
        <f>IFERROR(INDEX([1]Produtos!$J:$J,MATCH(L2740,[1]Produtos!$B:$B,0)), "-")</f>
        <v>-</v>
      </c>
      <c r="T2740" s="484"/>
      <c r="U2740" s="483"/>
      <c r="V2740" s="483"/>
      <c r="W2740" s="483"/>
      <c r="X2740" s="483"/>
      <c r="Y2740" s="483"/>
      <c r="Z2740" s="483"/>
      <c r="AA2740" s="483"/>
      <c r="AB2740" s="483"/>
      <c r="AC2740" s="483"/>
      <c r="AD2740" s="483"/>
      <c r="AE2740" s="483"/>
      <c r="AF2740" s="483"/>
      <c r="AG2740" s="483"/>
      <c r="AH2740" s="483"/>
      <c r="AI2740" s="483"/>
      <c r="AJ2740" s="483"/>
      <c r="AK2740" s="483"/>
      <c r="AL2740" s="483"/>
      <c r="AM2740" s="670"/>
      <c r="AN2740" s="670"/>
      <c r="AO2740" s="711" t="str">
        <f>IF(OR(Table1[[#This Row],[Início Setup Envase]]="",Table1[[#This Row],[Final Setup Envase]]=""),"",Table1[[#This Row],[Final Setup Envase]]-Table1[[#This Row],[Início Setup Envase]])</f>
        <v/>
      </c>
      <c r="AP2740" s="670"/>
      <c r="AQ2740" s="670"/>
      <c r="AR2740" s="483"/>
      <c r="AS2740" s="483"/>
      <c r="AT2740" s="483"/>
      <c r="AU2740" s="483"/>
      <c r="AV2740" s="483"/>
      <c r="AW2740" s="483"/>
      <c r="AX2740" s="483"/>
      <c r="AY2740" s="270"/>
      <c r="AZ2740" s="270"/>
      <c r="BA2740" s="270" t="str">
        <f>IF(Table1[[#This Row],[Data de Início]]="","",YEAR(Table1[[#This Row],[Data de Início]]))</f>
        <v/>
      </c>
      <c r="BB2740" s="270" t="str">
        <f>IF(Table1[[#This Row],[Data de Início]]="","",MONTH(Table1[[#This Row],[Data de Início]]))</f>
        <v/>
      </c>
      <c r="BC2740" s="270"/>
    </row>
    <row r="2741" spans="2:55" x14ac:dyDescent="0.25">
      <c r="B2741" s="470"/>
      <c r="C2741" s="263"/>
      <c r="D2741" s="477" cm="1">
        <f t="array" ref="D2741">IFERROR(HorasUteisFabrica2Turnos(B2741,C2741), "")</f>
        <v>0</v>
      </c>
      <c r="E2741" s="697" t="str">
        <f t="shared" si="43"/>
        <v/>
      </c>
      <c r="F2741" s="266"/>
      <c r="G2741" s="698"/>
      <c r="H2741" s="266"/>
      <c r="I2741" s="268"/>
      <c r="J2741" s="268"/>
      <c r="K2741" s="268"/>
      <c r="L2741" s="269"/>
      <c r="M2741" s="510" t="str">
        <f>IFERROR(INDEX([1]Produtos!$C:$C,MATCH(L2741,[1]Produtos!$B:$B,0)), "-")</f>
        <v>-</v>
      </c>
      <c r="N2741" s="510" t="str">
        <f>IFERROR(INDEX([1]Produtos!$E:$E,MATCH(L2741,[1]Produtos!$B:$B,0)), "-")</f>
        <v>-</v>
      </c>
      <c r="O2741" s="270" t="str">
        <f>IFERROR(INDEX([1]Produtos!$F:$F,MATCH(L2741,[1]Produtos!$B:$B,0)), "-")</f>
        <v>-</v>
      </c>
      <c r="P2741" s="264" t="str">
        <f>IFERROR(INDEX([1]Produtos!$G:$G,MATCH(L2741,[1]Produtos!$B:$B,0)), "-")</f>
        <v>-</v>
      </c>
      <c r="Q2741" s="270" t="str">
        <f>IFERROR(INDEX([1]Produtos!$H:$H,MATCH(L2741,[1]Produtos!$B:$B,0)), "-")</f>
        <v>-</v>
      </c>
      <c r="R2741" s="270" t="str">
        <f>IFERROR(INDEX([1]Produtos!$I:$I,MATCH(L2741,[1]Produtos!$B:$B,0)), "-")</f>
        <v>-</v>
      </c>
      <c r="S2741" s="270" t="str">
        <f>IFERROR(INDEX([1]Produtos!$J:$J,MATCH(L2741,[1]Produtos!$B:$B,0)), "-")</f>
        <v>-</v>
      </c>
      <c r="T2741" s="475"/>
      <c r="U2741" s="270"/>
      <c r="V2741" s="270"/>
      <c r="W2741" s="270"/>
      <c r="X2741" s="270"/>
      <c r="Y2741" s="270"/>
      <c r="Z2741" s="270"/>
      <c r="AA2741" s="270"/>
      <c r="AB2741" s="270"/>
      <c r="AC2741" s="270"/>
      <c r="AD2741" s="270"/>
      <c r="AE2741" s="270"/>
      <c r="AF2741" s="270"/>
      <c r="AG2741" s="270"/>
      <c r="AH2741" s="270"/>
      <c r="AI2741" s="270"/>
      <c r="AJ2741" s="270"/>
      <c r="AK2741" s="270"/>
      <c r="AL2741" s="270"/>
      <c r="AM2741" s="663"/>
      <c r="AN2741" s="663"/>
      <c r="AO2741" s="708" t="str">
        <f>IF(OR(Table1[[#This Row],[Início Setup Envase]]="",Table1[[#This Row],[Final Setup Envase]]=""),"",Table1[[#This Row],[Final Setup Envase]]-Table1[[#This Row],[Início Setup Envase]])</f>
        <v/>
      </c>
      <c r="AP2741" s="663"/>
      <c r="AQ2741" s="663"/>
      <c r="AR2741" s="270"/>
      <c r="AS2741" s="674"/>
      <c r="AT2741" s="674"/>
      <c r="AU2741" s="270"/>
      <c r="AV2741" s="270"/>
      <c r="AW2741" s="270"/>
      <c r="AX2741" s="270"/>
      <c r="AY2741" s="270"/>
      <c r="AZ2741" s="270"/>
      <c r="BA2741" s="270" t="str">
        <f>IF(Table1[[#This Row],[Data de Início]]="","",YEAR(Table1[[#This Row],[Data de Início]]))</f>
        <v/>
      </c>
      <c r="BB2741" s="270" t="str">
        <f>IF(Table1[[#This Row],[Data de Início]]="","",MONTH(Table1[[#This Row],[Data de Início]]))</f>
        <v/>
      </c>
      <c r="BC2741" s="483"/>
    </row>
    <row r="2742" spans="2:55" x14ac:dyDescent="0.25">
      <c r="B2742" s="470"/>
      <c r="C2742" s="263"/>
      <c r="D2742" s="477" cm="1">
        <f t="array" ref="D2742">IFERROR(HorasUteisFabrica2Turnos(B2742,C2742), "")</f>
        <v>0</v>
      </c>
      <c r="E2742" s="265" t="str">
        <f t="shared" si="43"/>
        <v/>
      </c>
      <c r="F2742" s="266"/>
      <c r="G2742" s="266"/>
      <c r="H2742" s="266"/>
      <c r="I2742" s="268"/>
      <c r="J2742" s="268"/>
      <c r="K2742" s="268"/>
      <c r="L2742" s="269"/>
      <c r="M2742" s="510" t="str">
        <f>IFERROR(INDEX([1]Produtos!$C:$C,MATCH(L2742,[1]Produtos!$B:$B,0)), "-")</f>
        <v>-</v>
      </c>
      <c r="N2742" s="510" t="str">
        <f>IFERROR(INDEX([1]Produtos!$E:$E,MATCH(L2742,[1]Produtos!$B:$B,0)), "-")</f>
        <v>-</v>
      </c>
      <c r="O2742" s="270" t="str">
        <f>IFERROR(INDEX([1]Produtos!$F:$F,MATCH(L2742,[1]Produtos!$B:$B,0)), "-")</f>
        <v>-</v>
      </c>
      <c r="P2742" s="264" t="str">
        <f>IFERROR(INDEX([1]Produtos!$G:$G,MATCH(L2742,[1]Produtos!$B:$B,0)), "-")</f>
        <v>-</v>
      </c>
      <c r="Q2742" s="270" t="str">
        <f>IFERROR(INDEX([1]Produtos!$H:$H,MATCH(L2742,[1]Produtos!$B:$B,0)), "-")</f>
        <v>-</v>
      </c>
      <c r="R2742" s="270" t="str">
        <f>IFERROR(INDEX([1]Produtos!$I:$I,MATCH(L2742,[1]Produtos!$B:$B,0)), "-")</f>
        <v>-</v>
      </c>
      <c r="S2742" s="270" t="str">
        <f>IFERROR(INDEX([1]Produtos!$J:$J,MATCH(L2742,[1]Produtos!$B:$B,0)), "-")</f>
        <v>-</v>
      </c>
      <c r="T2742" s="475"/>
      <c r="U2742" s="270"/>
      <c r="V2742" s="270"/>
      <c r="W2742" s="270"/>
      <c r="X2742" s="270"/>
      <c r="Y2742" s="270"/>
      <c r="Z2742" s="270"/>
      <c r="AA2742" s="270"/>
      <c r="AB2742" s="270"/>
      <c r="AC2742" s="270"/>
      <c r="AD2742" s="270"/>
      <c r="AE2742" s="270"/>
      <c r="AF2742" s="270"/>
      <c r="AG2742" s="270"/>
      <c r="AH2742" s="270"/>
      <c r="AI2742" s="270"/>
      <c r="AJ2742" s="270"/>
      <c r="AK2742" s="270"/>
      <c r="AL2742" s="270"/>
      <c r="AM2742" s="663"/>
      <c r="AN2742" s="663"/>
      <c r="AO2742" s="708" t="str">
        <f>IF(OR(Table1[[#This Row],[Início Setup Envase]]="",Table1[[#This Row],[Final Setup Envase]]=""),"",Table1[[#This Row],[Final Setup Envase]]-Table1[[#This Row],[Início Setup Envase]])</f>
        <v/>
      </c>
      <c r="AP2742" s="663"/>
      <c r="AQ2742" s="663"/>
      <c r="AR2742" s="270"/>
      <c r="AS2742" s="270"/>
      <c r="AT2742" s="270"/>
      <c r="AU2742" s="270"/>
      <c r="AV2742" s="270"/>
      <c r="AW2742" s="270"/>
      <c r="AX2742" s="270"/>
      <c r="AY2742" s="270"/>
      <c r="AZ2742" s="270"/>
      <c r="BA2742" s="270" t="str">
        <f>IF(Table1[[#This Row],[Data de Início]]="","",YEAR(Table1[[#This Row],[Data de Início]]))</f>
        <v/>
      </c>
      <c r="BB2742" s="270" t="str">
        <f>IF(Table1[[#This Row],[Data de Início]]="","",MONTH(Table1[[#This Row],[Data de Início]]))</f>
        <v/>
      </c>
      <c r="BC2742" s="270"/>
    </row>
    <row r="2743" spans="2:55" x14ac:dyDescent="0.25">
      <c r="B2743" s="470"/>
      <c r="C2743" s="263"/>
      <c r="D2743" s="477" cm="1">
        <f t="array" ref="D2743">IFERROR(HorasUteisFabrica2Turnos(B2743,C2743), "")</f>
        <v>0</v>
      </c>
      <c r="E2743" s="697" t="str">
        <f t="shared" si="43"/>
        <v/>
      </c>
      <c r="F2743" s="266"/>
      <c r="G2743" s="698"/>
      <c r="H2743" s="266"/>
      <c r="I2743" s="268"/>
      <c r="J2743" s="268"/>
      <c r="K2743" s="268"/>
      <c r="L2743" s="269"/>
      <c r="M2743" s="510" t="str">
        <f>IFERROR(INDEX([1]Produtos!$C:$C,MATCH(L2743,[1]Produtos!$B:$B,0)), "-")</f>
        <v>-</v>
      </c>
      <c r="N2743" s="510" t="str">
        <f>IFERROR(INDEX([1]Produtos!$E:$E,MATCH(L2743,[1]Produtos!$B:$B,0)), "-")</f>
        <v>-</v>
      </c>
      <c r="O2743" s="270" t="str">
        <f>IFERROR(INDEX([1]Produtos!$F:$F,MATCH(L2743,[1]Produtos!$B:$B,0)), "-")</f>
        <v>-</v>
      </c>
      <c r="P2743" s="264" t="str">
        <f>IFERROR(INDEX([1]Produtos!$G:$G,MATCH(L2743,[1]Produtos!$B:$B,0)), "-")</f>
        <v>-</v>
      </c>
      <c r="Q2743" s="270" t="str">
        <f>IFERROR(INDEX([1]Produtos!$H:$H,MATCH(L2743,[1]Produtos!$B:$B,0)), "-")</f>
        <v>-</v>
      </c>
      <c r="R2743" s="270" t="str">
        <f>IFERROR(INDEX([1]Produtos!$I:$I,MATCH(L2743,[1]Produtos!$B:$B,0)), "-")</f>
        <v>-</v>
      </c>
      <c r="S2743" s="270" t="str">
        <f>IFERROR(INDEX([1]Produtos!$J:$J,MATCH(L2743,[1]Produtos!$B:$B,0)), "-")</f>
        <v>-</v>
      </c>
      <c r="T2743" s="475"/>
      <c r="U2743" s="270"/>
      <c r="V2743" s="270"/>
      <c r="W2743" s="270"/>
      <c r="X2743" s="270"/>
      <c r="Y2743" s="270"/>
      <c r="Z2743" s="270"/>
      <c r="AA2743" s="270"/>
      <c r="AB2743" s="270"/>
      <c r="AC2743" s="270"/>
      <c r="AD2743" s="270"/>
      <c r="AE2743" s="270"/>
      <c r="AF2743" s="270"/>
      <c r="AG2743" s="270"/>
      <c r="AH2743" s="270"/>
      <c r="AI2743" s="270"/>
      <c r="AJ2743" s="270"/>
      <c r="AK2743" s="270"/>
      <c r="AL2743" s="270"/>
      <c r="AM2743" s="663"/>
      <c r="AN2743" s="663"/>
      <c r="AO2743" s="708" t="str">
        <f>IF(OR(Table1[[#This Row],[Início Setup Envase]]="",Table1[[#This Row],[Final Setup Envase]]=""),"",Table1[[#This Row],[Final Setup Envase]]-Table1[[#This Row],[Início Setup Envase]])</f>
        <v/>
      </c>
      <c r="AP2743" s="663"/>
      <c r="AQ2743" s="663"/>
      <c r="AR2743" s="270"/>
      <c r="AS2743" s="674"/>
      <c r="AT2743" s="674"/>
      <c r="AU2743" s="270"/>
      <c r="AV2743" s="270"/>
      <c r="AW2743" s="270"/>
      <c r="AX2743" s="270"/>
      <c r="AY2743" s="270"/>
      <c r="AZ2743" s="270"/>
      <c r="BA2743" s="270" t="str">
        <f>IF(Table1[[#This Row],[Data de Início]]="","",YEAR(Table1[[#This Row],[Data de Início]]))</f>
        <v/>
      </c>
      <c r="BB2743" s="270" t="str">
        <f>IF(Table1[[#This Row],[Data de Início]]="","",MONTH(Table1[[#This Row],[Data de Início]]))</f>
        <v/>
      </c>
      <c r="BC2743" s="270"/>
    </row>
    <row r="2744" spans="2:55" x14ac:dyDescent="0.25">
      <c r="B2744" s="470"/>
      <c r="C2744" s="263"/>
      <c r="D2744" s="477" cm="1">
        <f t="array" ref="D2744">IFERROR(HorasUteisFabrica2Turnos(B2744,C2744), "")</f>
        <v>0</v>
      </c>
      <c r="E2744" s="265" t="str">
        <f t="shared" si="43"/>
        <v/>
      </c>
      <c r="F2744" s="266"/>
      <c r="G2744" s="266"/>
      <c r="H2744" s="266"/>
      <c r="I2744" s="268"/>
      <c r="J2744" s="268"/>
      <c r="K2744" s="268"/>
      <c r="L2744" s="269"/>
      <c r="M2744" s="510" t="str">
        <f>IFERROR(INDEX([1]Produtos!$C:$C,MATCH(L2744,[1]Produtos!$B:$B,0)), "-")</f>
        <v>-</v>
      </c>
      <c r="N2744" s="510" t="str">
        <f>IFERROR(INDEX([1]Produtos!$E:$E,MATCH(L2744,[1]Produtos!$B:$B,0)), "-")</f>
        <v>-</v>
      </c>
      <c r="O2744" s="270" t="str">
        <f>IFERROR(INDEX([1]Produtos!$F:$F,MATCH(L2744,[1]Produtos!$B:$B,0)), "-")</f>
        <v>-</v>
      </c>
      <c r="P2744" s="264" t="str">
        <f>IFERROR(INDEX([1]Produtos!$G:$G,MATCH(L2744,[1]Produtos!$B:$B,0)), "-")</f>
        <v>-</v>
      </c>
      <c r="Q2744" s="270" t="str">
        <f>IFERROR(INDEX([1]Produtos!$H:$H,MATCH(L2744,[1]Produtos!$B:$B,0)), "-")</f>
        <v>-</v>
      </c>
      <c r="R2744" s="270" t="str">
        <f>IFERROR(INDEX([1]Produtos!$I:$I,MATCH(L2744,[1]Produtos!$B:$B,0)), "-")</f>
        <v>-</v>
      </c>
      <c r="S2744" s="270" t="str">
        <f>IFERROR(INDEX([1]Produtos!$J:$J,MATCH(L2744,[1]Produtos!$B:$B,0)), "-")</f>
        <v>-</v>
      </c>
      <c r="T2744" s="475"/>
      <c r="U2744" s="270"/>
      <c r="V2744" s="270"/>
      <c r="W2744" s="270"/>
      <c r="X2744" s="270"/>
      <c r="Y2744" s="270"/>
      <c r="Z2744" s="270"/>
      <c r="AA2744" s="270"/>
      <c r="AB2744" s="270"/>
      <c r="AC2744" s="270"/>
      <c r="AD2744" s="270"/>
      <c r="AE2744" s="270"/>
      <c r="AF2744" s="270"/>
      <c r="AG2744" s="270"/>
      <c r="AH2744" s="270"/>
      <c r="AI2744" s="270"/>
      <c r="AJ2744" s="270"/>
      <c r="AK2744" s="270"/>
      <c r="AL2744" s="270"/>
      <c r="AM2744" s="663"/>
      <c r="AN2744" s="663"/>
      <c r="AO2744" s="708" t="str">
        <f>IF(OR(Table1[[#This Row],[Início Setup Envase]]="",Table1[[#This Row],[Final Setup Envase]]=""),"",Table1[[#This Row],[Final Setup Envase]]-Table1[[#This Row],[Início Setup Envase]])</f>
        <v/>
      </c>
      <c r="AP2744" s="663"/>
      <c r="AQ2744" s="663"/>
      <c r="AR2744" s="270"/>
      <c r="AS2744" s="270"/>
      <c r="AT2744" s="270"/>
      <c r="AU2744" s="270"/>
      <c r="AV2744" s="270"/>
      <c r="AW2744" s="270"/>
      <c r="AX2744" s="270"/>
      <c r="AY2744" s="270"/>
      <c r="AZ2744" s="270"/>
      <c r="BA2744" s="270" t="str">
        <f>IF(Table1[[#This Row],[Data de Início]]="","",YEAR(Table1[[#This Row],[Data de Início]]))</f>
        <v/>
      </c>
      <c r="BB2744" s="270" t="str">
        <f>IF(Table1[[#This Row],[Data de Início]]="","",MONTH(Table1[[#This Row],[Data de Início]]))</f>
        <v/>
      </c>
      <c r="BC2744" s="270"/>
    </row>
    <row r="2745" spans="2:55" x14ac:dyDescent="0.25">
      <c r="B2745" s="470"/>
      <c r="C2745" s="263"/>
      <c r="D2745" s="477" cm="1">
        <f t="array" ref="D2745">IFERROR(HorasUteisFabrica2Turnos(B2745,C2745), "")</f>
        <v>0</v>
      </c>
      <c r="E2745" s="697" t="str">
        <f t="shared" si="43"/>
        <v/>
      </c>
      <c r="F2745" s="266"/>
      <c r="G2745" s="698"/>
      <c r="H2745" s="266"/>
      <c r="I2745" s="268"/>
      <c r="J2745" s="268"/>
      <c r="K2745" s="268"/>
      <c r="L2745" s="269"/>
      <c r="M2745" s="510" t="str">
        <f>IFERROR(INDEX([1]Produtos!$C:$C,MATCH(L2745,[1]Produtos!$B:$B,0)), "-")</f>
        <v>-</v>
      </c>
      <c r="N2745" s="510" t="str">
        <f>IFERROR(INDEX([1]Produtos!$E:$E,MATCH(L2745,[1]Produtos!$B:$B,0)), "-")</f>
        <v>-</v>
      </c>
      <c r="O2745" s="270" t="str">
        <f>IFERROR(INDEX([1]Produtos!$F:$F,MATCH(L2745,[1]Produtos!$B:$B,0)), "-")</f>
        <v>-</v>
      </c>
      <c r="P2745" s="264" t="str">
        <f>IFERROR(INDEX([1]Produtos!$G:$G,MATCH(L2745,[1]Produtos!$B:$B,0)), "-")</f>
        <v>-</v>
      </c>
      <c r="Q2745" s="270" t="str">
        <f>IFERROR(INDEX([1]Produtos!$H:$H,MATCH(L2745,[1]Produtos!$B:$B,0)), "-")</f>
        <v>-</v>
      </c>
      <c r="R2745" s="270" t="str">
        <f>IFERROR(INDEX([1]Produtos!$I:$I,MATCH(L2745,[1]Produtos!$B:$B,0)), "-")</f>
        <v>-</v>
      </c>
      <c r="S2745" s="270" t="str">
        <f>IFERROR(INDEX([1]Produtos!$J:$J,MATCH(L2745,[1]Produtos!$B:$B,0)), "-")</f>
        <v>-</v>
      </c>
      <c r="T2745" s="475"/>
      <c r="U2745" s="270"/>
      <c r="V2745" s="270"/>
      <c r="W2745" s="270"/>
      <c r="X2745" s="270"/>
      <c r="Y2745" s="270"/>
      <c r="Z2745" s="270"/>
      <c r="AA2745" s="270"/>
      <c r="AB2745" s="270"/>
      <c r="AC2745" s="270"/>
      <c r="AD2745" s="270"/>
      <c r="AE2745" s="270"/>
      <c r="AF2745" s="270"/>
      <c r="AG2745" s="270"/>
      <c r="AH2745" s="270"/>
      <c r="AI2745" s="270"/>
      <c r="AJ2745" s="270"/>
      <c r="AK2745" s="270"/>
      <c r="AL2745" s="270"/>
      <c r="AM2745" s="663"/>
      <c r="AN2745" s="663"/>
      <c r="AO2745" s="708" t="str">
        <f>IF(OR(Table1[[#This Row],[Início Setup Envase]]="",Table1[[#This Row],[Final Setup Envase]]=""),"",Table1[[#This Row],[Final Setup Envase]]-Table1[[#This Row],[Início Setup Envase]])</f>
        <v/>
      </c>
      <c r="AP2745" s="663"/>
      <c r="AQ2745" s="663"/>
      <c r="AR2745" s="270"/>
      <c r="AS2745" s="674"/>
      <c r="AT2745" s="674"/>
      <c r="AU2745" s="270"/>
      <c r="AV2745" s="270"/>
      <c r="AW2745" s="270"/>
      <c r="AX2745" s="270"/>
      <c r="AY2745" s="270"/>
      <c r="AZ2745" s="270"/>
      <c r="BA2745" s="270" t="str">
        <f>IF(Table1[[#This Row],[Data de Início]]="","",YEAR(Table1[[#This Row],[Data de Início]]))</f>
        <v/>
      </c>
      <c r="BB2745" s="270" t="str">
        <f>IF(Table1[[#This Row],[Data de Início]]="","",MONTH(Table1[[#This Row],[Data de Início]]))</f>
        <v/>
      </c>
      <c r="BC2745" s="270"/>
    </row>
    <row r="2746" spans="2:55" x14ac:dyDescent="0.25">
      <c r="B2746" s="470"/>
      <c r="C2746" s="263"/>
      <c r="D2746" s="477" cm="1">
        <f t="array" ref="D2746">IFERROR(HorasUteisFabrica2Turnos(B2746,C2746), "")</f>
        <v>0</v>
      </c>
      <c r="E2746" s="265" t="str">
        <f t="shared" si="43"/>
        <v/>
      </c>
      <c r="F2746" s="266"/>
      <c r="G2746" s="266"/>
      <c r="H2746" s="266"/>
      <c r="I2746" s="268"/>
      <c r="J2746" s="268"/>
      <c r="K2746" s="268"/>
      <c r="L2746" s="269"/>
      <c r="M2746" s="510" t="str">
        <f>IFERROR(INDEX([1]Produtos!$C:$C,MATCH(L2746,[1]Produtos!$B:$B,0)), "-")</f>
        <v>-</v>
      </c>
      <c r="N2746" s="510" t="str">
        <f>IFERROR(INDEX([1]Produtos!$E:$E,MATCH(L2746,[1]Produtos!$B:$B,0)), "-")</f>
        <v>-</v>
      </c>
      <c r="O2746" s="270" t="str">
        <f>IFERROR(INDEX([1]Produtos!$F:$F,MATCH(L2746,[1]Produtos!$B:$B,0)), "-")</f>
        <v>-</v>
      </c>
      <c r="P2746" s="264" t="str">
        <f>IFERROR(INDEX([1]Produtos!$G:$G,MATCH(L2746,[1]Produtos!$B:$B,0)), "-")</f>
        <v>-</v>
      </c>
      <c r="Q2746" s="270" t="str">
        <f>IFERROR(INDEX([1]Produtos!$H:$H,MATCH(L2746,[1]Produtos!$B:$B,0)), "-")</f>
        <v>-</v>
      </c>
      <c r="R2746" s="270" t="str">
        <f>IFERROR(INDEX([1]Produtos!$I:$I,MATCH(L2746,[1]Produtos!$B:$B,0)), "-")</f>
        <v>-</v>
      </c>
      <c r="S2746" s="270" t="str">
        <f>IFERROR(INDEX([1]Produtos!$J:$J,MATCH(L2746,[1]Produtos!$B:$B,0)), "-")</f>
        <v>-</v>
      </c>
      <c r="T2746" s="475"/>
      <c r="U2746" s="270"/>
      <c r="V2746" s="270"/>
      <c r="W2746" s="270"/>
      <c r="X2746" s="270"/>
      <c r="Y2746" s="270"/>
      <c r="Z2746" s="270"/>
      <c r="AA2746" s="270"/>
      <c r="AB2746" s="270"/>
      <c r="AC2746" s="270"/>
      <c r="AD2746" s="270"/>
      <c r="AE2746" s="270"/>
      <c r="AF2746" s="270"/>
      <c r="AG2746" s="270"/>
      <c r="AH2746" s="270"/>
      <c r="AI2746" s="270"/>
      <c r="AJ2746" s="270"/>
      <c r="AK2746" s="270"/>
      <c r="AL2746" s="270"/>
      <c r="AM2746" s="663"/>
      <c r="AN2746" s="663"/>
      <c r="AO2746" s="708" t="str">
        <f>IF(OR(Table1[[#This Row],[Início Setup Envase]]="",Table1[[#This Row],[Final Setup Envase]]=""),"",Table1[[#This Row],[Final Setup Envase]]-Table1[[#This Row],[Início Setup Envase]])</f>
        <v/>
      </c>
      <c r="AP2746" s="663"/>
      <c r="AQ2746" s="663"/>
      <c r="AR2746" s="270"/>
      <c r="AS2746" s="270"/>
      <c r="AT2746" s="270"/>
      <c r="AU2746" s="270"/>
      <c r="AV2746" s="270"/>
      <c r="AW2746" s="270"/>
      <c r="AX2746" s="270"/>
      <c r="AY2746" s="270"/>
      <c r="AZ2746" s="270"/>
      <c r="BA2746" s="270" t="str">
        <f>IF(Table1[[#This Row],[Data de Início]]="","",YEAR(Table1[[#This Row],[Data de Início]]))</f>
        <v/>
      </c>
      <c r="BB2746" s="270" t="str">
        <f>IF(Table1[[#This Row],[Data de Início]]="","",MONTH(Table1[[#This Row],[Data de Início]]))</f>
        <v/>
      </c>
      <c r="BC2746" s="270"/>
    </row>
    <row r="2747" spans="2:55" x14ac:dyDescent="0.25">
      <c r="B2747" s="470"/>
      <c r="C2747" s="263"/>
      <c r="D2747" s="477" cm="1">
        <f t="array" ref="D2747">IFERROR(HorasUteisFabrica2Turnos(B2747,C2747), "")</f>
        <v>0</v>
      </c>
      <c r="E2747" s="697" t="str">
        <f t="shared" si="43"/>
        <v/>
      </c>
      <c r="F2747" s="266"/>
      <c r="G2747" s="698"/>
      <c r="H2747" s="266"/>
      <c r="I2747" s="268"/>
      <c r="J2747" s="268"/>
      <c r="K2747" s="268"/>
      <c r="L2747" s="269"/>
      <c r="M2747" s="510" t="str">
        <f>IFERROR(INDEX([1]Produtos!$C:$C,MATCH(L2747,[1]Produtos!$B:$B,0)), "-")</f>
        <v>-</v>
      </c>
      <c r="N2747" s="510" t="str">
        <f>IFERROR(INDEX([1]Produtos!$E:$E,MATCH(L2747,[1]Produtos!$B:$B,0)), "-")</f>
        <v>-</v>
      </c>
      <c r="O2747" s="270" t="str">
        <f>IFERROR(INDEX([1]Produtos!$F:$F,MATCH(L2747,[1]Produtos!$B:$B,0)), "-")</f>
        <v>-</v>
      </c>
      <c r="P2747" s="264" t="str">
        <f>IFERROR(INDEX([1]Produtos!$G:$G,MATCH(L2747,[1]Produtos!$B:$B,0)), "-")</f>
        <v>-</v>
      </c>
      <c r="Q2747" s="270" t="str">
        <f>IFERROR(INDEX([1]Produtos!$H:$H,MATCH(L2747,[1]Produtos!$B:$B,0)), "-")</f>
        <v>-</v>
      </c>
      <c r="R2747" s="270" t="str">
        <f>IFERROR(INDEX([1]Produtos!$I:$I,MATCH(L2747,[1]Produtos!$B:$B,0)), "-")</f>
        <v>-</v>
      </c>
      <c r="S2747" s="270" t="str">
        <f>IFERROR(INDEX([1]Produtos!$J:$J,MATCH(L2747,[1]Produtos!$B:$B,0)), "-")</f>
        <v>-</v>
      </c>
      <c r="T2747" s="475"/>
      <c r="U2747" s="270"/>
      <c r="V2747" s="270"/>
      <c r="W2747" s="270"/>
      <c r="X2747" s="270"/>
      <c r="Y2747" s="270"/>
      <c r="Z2747" s="270"/>
      <c r="AA2747" s="270"/>
      <c r="AB2747" s="270"/>
      <c r="AC2747" s="270"/>
      <c r="AD2747" s="270"/>
      <c r="AE2747" s="270"/>
      <c r="AF2747" s="270"/>
      <c r="AG2747" s="270"/>
      <c r="AH2747" s="270"/>
      <c r="AI2747" s="270"/>
      <c r="AJ2747" s="270"/>
      <c r="AK2747" s="270"/>
      <c r="AL2747" s="270"/>
      <c r="AM2747" s="663"/>
      <c r="AN2747" s="663"/>
      <c r="AO2747" s="708" t="str">
        <f>IF(OR(Table1[[#This Row],[Início Setup Envase]]="",Table1[[#This Row],[Final Setup Envase]]=""),"",Table1[[#This Row],[Final Setup Envase]]-Table1[[#This Row],[Início Setup Envase]])</f>
        <v/>
      </c>
      <c r="AP2747" s="663"/>
      <c r="AQ2747" s="663"/>
      <c r="AR2747" s="270"/>
      <c r="AS2747" s="674"/>
      <c r="AT2747" s="674"/>
      <c r="AU2747" s="270"/>
      <c r="AV2747" s="270"/>
      <c r="AW2747" s="270"/>
      <c r="AX2747" s="270"/>
      <c r="AY2747" s="483"/>
      <c r="AZ2747" s="483"/>
      <c r="BA2747" s="270" t="str">
        <f>IF(Table1[[#This Row],[Data de Início]]="","",YEAR(Table1[[#This Row],[Data de Início]]))</f>
        <v/>
      </c>
      <c r="BB2747" s="270" t="str">
        <f>IF(Table1[[#This Row],[Data de Início]]="","",MONTH(Table1[[#This Row],[Data de Início]]))</f>
        <v/>
      </c>
      <c r="BC2747" s="270"/>
    </row>
    <row r="2748" spans="2:55" x14ac:dyDescent="0.25">
      <c r="B2748" s="470"/>
      <c r="C2748" s="263"/>
      <c r="D2748" s="477" cm="1">
        <f t="array" ref="D2748">IFERROR(HorasUteisFabrica2Turnos(B2748,C2748), "")</f>
        <v>0</v>
      </c>
      <c r="E2748" s="265" t="str">
        <f t="shared" si="43"/>
        <v/>
      </c>
      <c r="F2748" s="266"/>
      <c r="G2748" s="266"/>
      <c r="H2748" s="266"/>
      <c r="I2748" s="268"/>
      <c r="J2748" s="268"/>
      <c r="K2748" s="268"/>
      <c r="L2748" s="269"/>
      <c r="M2748" s="510" t="str">
        <f>IFERROR(INDEX([1]Produtos!$C:$C,MATCH(L2748,[1]Produtos!$B:$B,0)), "-")</f>
        <v>-</v>
      </c>
      <c r="N2748" s="510" t="str">
        <f>IFERROR(INDEX([1]Produtos!$E:$E,MATCH(L2748,[1]Produtos!$B:$B,0)), "-")</f>
        <v>-</v>
      </c>
      <c r="O2748" s="270" t="str">
        <f>IFERROR(INDEX([1]Produtos!$F:$F,MATCH(L2748,[1]Produtos!$B:$B,0)), "-")</f>
        <v>-</v>
      </c>
      <c r="P2748" s="264" t="str">
        <f>IFERROR(INDEX([1]Produtos!$G:$G,MATCH(L2748,[1]Produtos!$B:$B,0)), "-")</f>
        <v>-</v>
      </c>
      <c r="Q2748" s="270" t="str">
        <f>IFERROR(INDEX([1]Produtos!$H:$H,MATCH(L2748,[1]Produtos!$B:$B,0)), "-")</f>
        <v>-</v>
      </c>
      <c r="R2748" s="270" t="str">
        <f>IFERROR(INDEX([1]Produtos!$I:$I,MATCH(L2748,[1]Produtos!$B:$B,0)), "-")</f>
        <v>-</v>
      </c>
      <c r="S2748" s="270" t="str">
        <f>IFERROR(INDEX([1]Produtos!$J:$J,MATCH(L2748,[1]Produtos!$B:$B,0)), "-")</f>
        <v>-</v>
      </c>
      <c r="T2748" s="475"/>
      <c r="U2748" s="270"/>
      <c r="V2748" s="270"/>
      <c r="W2748" s="270"/>
      <c r="X2748" s="270"/>
      <c r="Y2748" s="270"/>
      <c r="Z2748" s="270"/>
      <c r="AA2748" s="270"/>
      <c r="AB2748" s="270"/>
      <c r="AC2748" s="270"/>
      <c r="AD2748" s="270"/>
      <c r="AE2748" s="270"/>
      <c r="AF2748" s="270"/>
      <c r="AG2748" s="270"/>
      <c r="AH2748" s="270"/>
      <c r="AI2748" s="270"/>
      <c r="AJ2748" s="270"/>
      <c r="AK2748" s="270"/>
      <c r="AL2748" s="270"/>
      <c r="AM2748" s="663"/>
      <c r="AN2748" s="663"/>
      <c r="AO2748" s="708" t="str">
        <f>IF(OR(Table1[[#This Row],[Início Setup Envase]]="",Table1[[#This Row],[Final Setup Envase]]=""),"",Table1[[#This Row],[Final Setup Envase]]-Table1[[#This Row],[Início Setup Envase]])</f>
        <v/>
      </c>
      <c r="AP2748" s="663"/>
      <c r="AQ2748" s="663"/>
      <c r="AR2748" s="270"/>
      <c r="AS2748" s="270"/>
      <c r="AT2748" s="270"/>
      <c r="AU2748" s="270"/>
      <c r="AV2748" s="270"/>
      <c r="AW2748" s="270"/>
      <c r="AX2748" s="270"/>
      <c r="AY2748" s="270"/>
      <c r="AZ2748" s="270"/>
      <c r="BA2748" s="270" t="str">
        <f>IF(Table1[[#This Row],[Data de Início]]="","",YEAR(Table1[[#This Row],[Data de Início]]))</f>
        <v/>
      </c>
      <c r="BB2748" s="270" t="str">
        <f>IF(Table1[[#This Row],[Data de Início]]="","",MONTH(Table1[[#This Row],[Data de Início]]))</f>
        <v/>
      </c>
      <c r="BC2748" s="270"/>
    </row>
    <row r="2749" spans="2:55" x14ac:dyDescent="0.25">
      <c r="B2749" s="470"/>
      <c r="C2749" s="263"/>
      <c r="D2749" s="477" cm="1">
        <f t="array" ref="D2749">IFERROR(HorasUteisFabrica2Turnos(B2749,C2749), "")</f>
        <v>0</v>
      </c>
      <c r="E2749" s="697" t="str">
        <f t="shared" si="43"/>
        <v/>
      </c>
      <c r="F2749" s="266"/>
      <c r="G2749" s="698"/>
      <c r="H2749" s="266"/>
      <c r="I2749" s="268"/>
      <c r="J2749" s="268"/>
      <c r="K2749" s="268"/>
      <c r="L2749" s="269"/>
      <c r="M2749" s="510" t="str">
        <f>IFERROR(INDEX([1]Produtos!$C:$C,MATCH(L2749,[1]Produtos!$B:$B,0)), "-")</f>
        <v>-</v>
      </c>
      <c r="N2749" s="510" t="str">
        <f>IFERROR(INDEX([1]Produtos!$E:$E,MATCH(L2749,[1]Produtos!$B:$B,0)), "-")</f>
        <v>-</v>
      </c>
      <c r="O2749" s="270" t="str">
        <f>IFERROR(INDEX([1]Produtos!$F:$F,MATCH(L2749,[1]Produtos!$B:$B,0)), "-")</f>
        <v>-</v>
      </c>
      <c r="P2749" s="264" t="str">
        <f>IFERROR(INDEX([1]Produtos!$G:$G,MATCH(L2749,[1]Produtos!$B:$B,0)), "-")</f>
        <v>-</v>
      </c>
      <c r="Q2749" s="270" t="str">
        <f>IFERROR(INDEX([1]Produtos!$H:$H,MATCH(L2749,[1]Produtos!$B:$B,0)), "-")</f>
        <v>-</v>
      </c>
      <c r="R2749" s="270" t="str">
        <f>IFERROR(INDEX([1]Produtos!$I:$I,MATCH(L2749,[1]Produtos!$B:$B,0)), "-")</f>
        <v>-</v>
      </c>
      <c r="S2749" s="270" t="str">
        <f>IFERROR(INDEX([1]Produtos!$J:$J,MATCH(L2749,[1]Produtos!$B:$B,0)), "-")</f>
        <v>-</v>
      </c>
      <c r="T2749" s="475"/>
      <c r="U2749" s="270"/>
      <c r="V2749" s="270"/>
      <c r="W2749" s="270"/>
      <c r="X2749" s="270"/>
      <c r="Y2749" s="270"/>
      <c r="Z2749" s="270"/>
      <c r="AA2749" s="270"/>
      <c r="AB2749" s="270"/>
      <c r="AC2749" s="270"/>
      <c r="AD2749" s="270"/>
      <c r="AE2749" s="270"/>
      <c r="AF2749" s="270"/>
      <c r="AG2749" s="270"/>
      <c r="AH2749" s="270"/>
      <c r="AI2749" s="270"/>
      <c r="AJ2749" s="270"/>
      <c r="AK2749" s="270"/>
      <c r="AL2749" s="270"/>
      <c r="AM2749" s="663"/>
      <c r="AN2749" s="663"/>
      <c r="AO2749" s="708" t="str">
        <f>IF(OR(Table1[[#This Row],[Início Setup Envase]]="",Table1[[#This Row],[Final Setup Envase]]=""),"",Table1[[#This Row],[Final Setup Envase]]-Table1[[#This Row],[Início Setup Envase]])</f>
        <v/>
      </c>
      <c r="AP2749" s="663"/>
      <c r="AQ2749" s="663"/>
      <c r="AR2749" s="270"/>
      <c r="AS2749" s="674"/>
      <c r="AT2749" s="674"/>
      <c r="AU2749" s="270"/>
      <c r="AV2749" s="270"/>
      <c r="AW2749" s="270"/>
      <c r="AX2749" s="270"/>
      <c r="AY2749" s="270"/>
      <c r="AZ2749" s="270"/>
      <c r="BA2749" s="270" t="str">
        <f>IF(Table1[[#This Row],[Data de Início]]="","",YEAR(Table1[[#This Row],[Data de Início]]))</f>
        <v/>
      </c>
      <c r="BB2749" s="270" t="str">
        <f>IF(Table1[[#This Row],[Data de Início]]="","",MONTH(Table1[[#This Row],[Data de Início]]))</f>
        <v/>
      </c>
      <c r="BC2749" s="270"/>
    </row>
    <row r="2750" spans="2:55" x14ac:dyDescent="0.25">
      <c r="B2750" s="470"/>
      <c r="C2750" s="263"/>
      <c r="D2750" s="477" cm="1">
        <f t="array" ref="D2750">IFERROR(HorasUteisFabrica2Turnos(B2750,C2750), "")</f>
        <v>0</v>
      </c>
      <c r="E2750" s="265" t="str">
        <f t="shared" si="43"/>
        <v/>
      </c>
      <c r="F2750" s="266"/>
      <c r="G2750" s="266"/>
      <c r="H2750" s="266"/>
      <c r="I2750" s="268"/>
      <c r="J2750" s="268"/>
      <c r="K2750" s="268"/>
      <c r="L2750" s="269"/>
      <c r="M2750" s="510" t="str">
        <f>IFERROR(INDEX([1]Produtos!$C:$C,MATCH(L2750,[1]Produtos!$B:$B,0)), "-")</f>
        <v>-</v>
      </c>
      <c r="N2750" s="510" t="str">
        <f>IFERROR(INDEX([1]Produtos!$E:$E,MATCH(L2750,[1]Produtos!$B:$B,0)), "-")</f>
        <v>-</v>
      </c>
      <c r="O2750" s="270" t="str">
        <f>IFERROR(INDEX([1]Produtos!$F:$F,MATCH(L2750,[1]Produtos!$B:$B,0)), "-")</f>
        <v>-</v>
      </c>
      <c r="P2750" s="264" t="str">
        <f>IFERROR(INDEX([1]Produtos!$G:$G,MATCH(L2750,[1]Produtos!$B:$B,0)), "-")</f>
        <v>-</v>
      </c>
      <c r="Q2750" s="270" t="str">
        <f>IFERROR(INDEX([1]Produtos!$H:$H,MATCH(L2750,[1]Produtos!$B:$B,0)), "-")</f>
        <v>-</v>
      </c>
      <c r="R2750" s="270" t="str">
        <f>IFERROR(INDEX([1]Produtos!$I:$I,MATCH(L2750,[1]Produtos!$B:$B,0)), "-")</f>
        <v>-</v>
      </c>
      <c r="S2750" s="270" t="str">
        <f>IFERROR(INDEX([1]Produtos!$J:$J,MATCH(L2750,[1]Produtos!$B:$B,0)), "-")</f>
        <v>-</v>
      </c>
      <c r="T2750" s="475"/>
      <c r="U2750" s="270"/>
      <c r="V2750" s="270"/>
      <c r="W2750" s="270"/>
      <c r="X2750" s="270"/>
      <c r="Y2750" s="270"/>
      <c r="Z2750" s="270"/>
      <c r="AA2750" s="270"/>
      <c r="AB2750" s="270"/>
      <c r="AC2750" s="270"/>
      <c r="AD2750" s="270"/>
      <c r="AE2750" s="270"/>
      <c r="AF2750" s="270"/>
      <c r="AG2750" s="270"/>
      <c r="AH2750" s="270"/>
      <c r="AI2750" s="270"/>
      <c r="AJ2750" s="270"/>
      <c r="AK2750" s="270"/>
      <c r="AL2750" s="270"/>
      <c r="AM2750" s="663"/>
      <c r="AN2750" s="663"/>
      <c r="AO2750" s="708" t="str">
        <f>IF(OR(Table1[[#This Row],[Início Setup Envase]]="",Table1[[#This Row],[Final Setup Envase]]=""),"",Table1[[#This Row],[Final Setup Envase]]-Table1[[#This Row],[Início Setup Envase]])</f>
        <v/>
      </c>
      <c r="AP2750" s="663"/>
      <c r="AQ2750" s="663"/>
      <c r="AR2750" s="270"/>
      <c r="AS2750" s="270"/>
      <c r="AT2750" s="270"/>
      <c r="AU2750" s="270"/>
      <c r="AV2750" s="270"/>
      <c r="AW2750" s="270"/>
      <c r="AX2750" s="270"/>
      <c r="AY2750" s="270"/>
      <c r="AZ2750" s="270"/>
      <c r="BA2750" s="270" t="str">
        <f>IF(Table1[[#This Row],[Data de Início]]="","",YEAR(Table1[[#This Row],[Data de Início]]))</f>
        <v/>
      </c>
      <c r="BB2750" s="270" t="str">
        <f>IF(Table1[[#This Row],[Data de Início]]="","",MONTH(Table1[[#This Row],[Data de Início]]))</f>
        <v/>
      </c>
      <c r="BC2750" s="270"/>
    </row>
    <row r="2751" spans="2:55" x14ac:dyDescent="0.25">
      <c r="B2751" s="470"/>
      <c r="C2751" s="263"/>
      <c r="D2751" s="477" cm="1">
        <f t="array" ref="D2751">IFERROR(HorasUteisFabrica2Turnos(B2751,C2751), "")</f>
        <v>0</v>
      </c>
      <c r="E2751" s="697" t="str">
        <f t="shared" si="43"/>
        <v/>
      </c>
      <c r="F2751" s="266"/>
      <c r="G2751" s="698"/>
      <c r="H2751" s="266"/>
      <c r="I2751" s="268"/>
      <c r="J2751" s="268"/>
      <c r="K2751" s="268"/>
      <c r="L2751" s="269"/>
      <c r="M2751" s="510" t="str">
        <f>IFERROR(INDEX([1]Produtos!$C:$C,MATCH(L2751,[1]Produtos!$B:$B,0)), "-")</f>
        <v>-</v>
      </c>
      <c r="N2751" s="510" t="str">
        <f>IFERROR(INDEX([1]Produtos!$E:$E,MATCH(L2751,[1]Produtos!$B:$B,0)), "-")</f>
        <v>-</v>
      </c>
      <c r="O2751" s="270" t="str">
        <f>IFERROR(INDEX([1]Produtos!$F:$F,MATCH(L2751,[1]Produtos!$B:$B,0)), "-")</f>
        <v>-</v>
      </c>
      <c r="P2751" s="264" t="str">
        <f>IFERROR(INDEX([1]Produtos!$G:$G,MATCH(L2751,[1]Produtos!$B:$B,0)), "-")</f>
        <v>-</v>
      </c>
      <c r="Q2751" s="270" t="str">
        <f>IFERROR(INDEX([1]Produtos!$H:$H,MATCH(L2751,[1]Produtos!$B:$B,0)), "-")</f>
        <v>-</v>
      </c>
      <c r="R2751" s="270" t="str">
        <f>IFERROR(INDEX([1]Produtos!$I:$I,MATCH(L2751,[1]Produtos!$B:$B,0)), "-")</f>
        <v>-</v>
      </c>
      <c r="S2751" s="270" t="str">
        <f>IFERROR(INDEX([1]Produtos!$J:$J,MATCH(L2751,[1]Produtos!$B:$B,0)), "-")</f>
        <v>-</v>
      </c>
      <c r="T2751" s="475"/>
      <c r="U2751" s="270"/>
      <c r="V2751" s="270"/>
      <c r="W2751" s="270"/>
      <c r="X2751" s="270"/>
      <c r="Y2751" s="270"/>
      <c r="Z2751" s="270"/>
      <c r="AA2751" s="270"/>
      <c r="AB2751" s="270"/>
      <c r="AC2751" s="270"/>
      <c r="AD2751" s="270"/>
      <c r="AE2751" s="270"/>
      <c r="AF2751" s="270"/>
      <c r="AG2751" s="270"/>
      <c r="AH2751" s="270"/>
      <c r="AI2751" s="270"/>
      <c r="AJ2751" s="270"/>
      <c r="AK2751" s="270"/>
      <c r="AL2751" s="270"/>
      <c r="AM2751" s="663"/>
      <c r="AN2751" s="663"/>
      <c r="AO2751" s="708" t="str">
        <f>IF(OR(Table1[[#This Row],[Início Setup Envase]]="",Table1[[#This Row],[Final Setup Envase]]=""),"",Table1[[#This Row],[Final Setup Envase]]-Table1[[#This Row],[Início Setup Envase]])</f>
        <v/>
      </c>
      <c r="AP2751" s="663"/>
      <c r="AQ2751" s="663"/>
      <c r="AR2751" s="270"/>
      <c r="AS2751" s="674"/>
      <c r="AT2751" s="674"/>
      <c r="AU2751" s="270"/>
      <c r="AV2751" s="270"/>
      <c r="AW2751" s="270"/>
      <c r="AX2751" s="270"/>
      <c r="AY2751" s="270"/>
      <c r="AZ2751" s="270"/>
      <c r="BA2751" s="270" t="str">
        <f>IF(Table1[[#This Row],[Data de Início]]="","",YEAR(Table1[[#This Row],[Data de Início]]))</f>
        <v/>
      </c>
      <c r="BB2751" s="270" t="str">
        <f>IF(Table1[[#This Row],[Data de Início]]="","",MONTH(Table1[[#This Row],[Data de Início]]))</f>
        <v/>
      </c>
      <c r="BC2751" s="270"/>
    </row>
    <row r="2752" spans="2:55" x14ac:dyDescent="0.25">
      <c r="B2752" s="470"/>
      <c r="C2752" s="263"/>
      <c r="D2752" s="477" cm="1">
        <f t="array" ref="D2752">IFERROR(HorasUteisFabrica2Turnos(B2752,C2752), "")</f>
        <v>0</v>
      </c>
      <c r="E2752" s="265" t="str">
        <f t="shared" si="43"/>
        <v/>
      </c>
      <c r="F2752" s="266"/>
      <c r="G2752" s="266"/>
      <c r="H2752" s="266"/>
      <c r="I2752" s="268"/>
      <c r="J2752" s="268"/>
      <c r="K2752" s="268"/>
      <c r="L2752" s="269"/>
      <c r="M2752" s="510" t="str">
        <f>IFERROR(INDEX([1]Produtos!$C:$C,MATCH(L2752,[1]Produtos!$B:$B,0)), "-")</f>
        <v>-</v>
      </c>
      <c r="N2752" s="510" t="str">
        <f>IFERROR(INDEX([1]Produtos!$E:$E,MATCH(L2752,[1]Produtos!$B:$B,0)), "-")</f>
        <v>-</v>
      </c>
      <c r="O2752" s="270" t="str">
        <f>IFERROR(INDEX([1]Produtos!$F:$F,MATCH(L2752,[1]Produtos!$B:$B,0)), "-")</f>
        <v>-</v>
      </c>
      <c r="P2752" s="264" t="str">
        <f>IFERROR(INDEX([1]Produtos!$G:$G,MATCH(L2752,[1]Produtos!$B:$B,0)), "-")</f>
        <v>-</v>
      </c>
      <c r="Q2752" s="270" t="str">
        <f>IFERROR(INDEX([1]Produtos!$H:$H,MATCH(L2752,[1]Produtos!$B:$B,0)), "-")</f>
        <v>-</v>
      </c>
      <c r="R2752" s="270" t="str">
        <f>IFERROR(INDEX([1]Produtos!$I:$I,MATCH(L2752,[1]Produtos!$B:$B,0)), "-")</f>
        <v>-</v>
      </c>
      <c r="S2752" s="270" t="str">
        <f>IFERROR(INDEX([1]Produtos!$J:$J,MATCH(L2752,[1]Produtos!$B:$B,0)), "-")</f>
        <v>-</v>
      </c>
      <c r="T2752" s="475"/>
      <c r="U2752" s="270"/>
      <c r="V2752" s="270"/>
      <c r="W2752" s="270"/>
      <c r="X2752" s="270"/>
      <c r="Y2752" s="270"/>
      <c r="Z2752" s="270"/>
      <c r="AA2752" s="270"/>
      <c r="AB2752" s="270"/>
      <c r="AC2752" s="270"/>
      <c r="AD2752" s="270"/>
      <c r="AE2752" s="270"/>
      <c r="AF2752" s="270"/>
      <c r="AG2752" s="270"/>
      <c r="AH2752" s="270"/>
      <c r="AI2752" s="270"/>
      <c r="AJ2752" s="270"/>
      <c r="AK2752" s="270"/>
      <c r="AL2752" s="270"/>
      <c r="AM2752" s="663"/>
      <c r="AN2752" s="663"/>
      <c r="AO2752" s="708" t="str">
        <f>IF(OR(Table1[[#This Row],[Início Setup Envase]]="",Table1[[#This Row],[Final Setup Envase]]=""),"",Table1[[#This Row],[Final Setup Envase]]-Table1[[#This Row],[Início Setup Envase]])</f>
        <v/>
      </c>
      <c r="AP2752" s="663"/>
      <c r="AQ2752" s="663"/>
      <c r="AR2752" s="270"/>
      <c r="AS2752" s="270"/>
      <c r="AT2752" s="270"/>
      <c r="AU2752" s="270"/>
      <c r="AV2752" s="270"/>
      <c r="AW2752" s="270"/>
      <c r="AX2752" s="270"/>
      <c r="AY2752" s="270"/>
      <c r="AZ2752" s="270"/>
      <c r="BA2752" s="270" t="str">
        <f>IF(Table1[[#This Row],[Data de Início]]="","",YEAR(Table1[[#This Row],[Data de Início]]))</f>
        <v/>
      </c>
      <c r="BB2752" s="270" t="str">
        <f>IF(Table1[[#This Row],[Data de Início]]="","",MONTH(Table1[[#This Row],[Data de Início]]))</f>
        <v/>
      </c>
      <c r="BC2752" s="270"/>
    </row>
    <row r="2753" spans="2:55" x14ac:dyDescent="0.25">
      <c r="B2753" s="470"/>
      <c r="C2753" s="263"/>
      <c r="D2753" s="477" cm="1">
        <f t="array" ref="D2753">IFERROR(HorasUteisFabrica2Turnos(B2753,C2753), "")</f>
        <v>0</v>
      </c>
      <c r="E2753" s="697" t="str">
        <f t="shared" si="43"/>
        <v/>
      </c>
      <c r="F2753" s="266"/>
      <c r="G2753" s="698"/>
      <c r="H2753" s="266"/>
      <c r="I2753" s="268"/>
      <c r="J2753" s="268"/>
      <c r="K2753" s="268"/>
      <c r="L2753" s="269"/>
      <c r="M2753" s="510" t="str">
        <f>IFERROR(INDEX([1]Produtos!$C:$C,MATCH(L2753,[1]Produtos!$B:$B,0)), "-")</f>
        <v>-</v>
      </c>
      <c r="N2753" s="510" t="str">
        <f>IFERROR(INDEX([1]Produtos!$E:$E,MATCH(L2753,[1]Produtos!$B:$B,0)), "-")</f>
        <v>-</v>
      </c>
      <c r="O2753" s="270" t="str">
        <f>IFERROR(INDEX([1]Produtos!$F:$F,MATCH(L2753,[1]Produtos!$B:$B,0)), "-")</f>
        <v>-</v>
      </c>
      <c r="P2753" s="264" t="str">
        <f>IFERROR(INDEX([1]Produtos!$G:$G,MATCH(L2753,[1]Produtos!$B:$B,0)), "-")</f>
        <v>-</v>
      </c>
      <c r="Q2753" s="270" t="str">
        <f>IFERROR(INDEX([1]Produtos!$H:$H,MATCH(L2753,[1]Produtos!$B:$B,0)), "-")</f>
        <v>-</v>
      </c>
      <c r="R2753" s="270" t="str">
        <f>IFERROR(INDEX([1]Produtos!$I:$I,MATCH(L2753,[1]Produtos!$B:$B,0)), "-")</f>
        <v>-</v>
      </c>
      <c r="S2753" s="270" t="str">
        <f>IFERROR(INDEX([1]Produtos!$J:$J,MATCH(L2753,[1]Produtos!$B:$B,0)), "-")</f>
        <v>-</v>
      </c>
      <c r="T2753" s="475"/>
      <c r="U2753" s="270"/>
      <c r="V2753" s="270"/>
      <c r="W2753" s="270"/>
      <c r="X2753" s="270"/>
      <c r="Y2753" s="270"/>
      <c r="Z2753" s="270"/>
      <c r="AA2753" s="270"/>
      <c r="AB2753" s="270"/>
      <c r="AC2753" s="270"/>
      <c r="AD2753" s="270"/>
      <c r="AE2753" s="270"/>
      <c r="AF2753" s="270"/>
      <c r="AG2753" s="270"/>
      <c r="AH2753" s="270"/>
      <c r="AI2753" s="270"/>
      <c r="AJ2753" s="270"/>
      <c r="AK2753" s="270"/>
      <c r="AL2753" s="270"/>
      <c r="AM2753" s="663"/>
      <c r="AN2753" s="663"/>
      <c r="AO2753" s="708" t="str">
        <f>IF(OR(Table1[[#This Row],[Início Setup Envase]]="",Table1[[#This Row],[Final Setup Envase]]=""),"",Table1[[#This Row],[Final Setup Envase]]-Table1[[#This Row],[Início Setup Envase]])</f>
        <v/>
      </c>
      <c r="AP2753" s="663"/>
      <c r="AQ2753" s="663"/>
      <c r="AR2753" s="270"/>
      <c r="AS2753" s="674"/>
      <c r="AT2753" s="674"/>
      <c r="AU2753" s="270"/>
      <c r="AV2753" s="270"/>
      <c r="AW2753" s="270"/>
      <c r="AX2753" s="270"/>
      <c r="AY2753" s="270"/>
      <c r="AZ2753" s="270"/>
      <c r="BA2753" s="270" t="str">
        <f>IF(Table1[[#This Row],[Data de Início]]="","",YEAR(Table1[[#This Row],[Data de Início]]))</f>
        <v/>
      </c>
      <c r="BB2753" s="270" t="str">
        <f>IF(Table1[[#This Row],[Data de Início]]="","",MONTH(Table1[[#This Row],[Data de Início]]))</f>
        <v/>
      </c>
      <c r="BC2753" s="270"/>
    </row>
    <row r="2754" spans="2:55" x14ac:dyDescent="0.25">
      <c r="B2754" s="470"/>
      <c r="C2754" s="263"/>
      <c r="D2754" s="477" cm="1">
        <f t="array" ref="D2754">IFERROR(HorasUteisFabrica2Turnos(B2754,C2754), "")</f>
        <v>0</v>
      </c>
      <c r="E2754" s="265" t="str">
        <f t="shared" si="43"/>
        <v/>
      </c>
      <c r="F2754" s="266"/>
      <c r="G2754" s="266"/>
      <c r="H2754" s="266"/>
      <c r="I2754" s="268"/>
      <c r="J2754" s="268"/>
      <c r="K2754" s="268"/>
      <c r="L2754" s="269"/>
      <c r="M2754" s="510" t="str">
        <f>IFERROR(INDEX([1]Produtos!$C:$C,MATCH(L2754,[1]Produtos!$B:$B,0)), "-")</f>
        <v>-</v>
      </c>
      <c r="N2754" s="510" t="str">
        <f>IFERROR(INDEX([1]Produtos!$E:$E,MATCH(L2754,[1]Produtos!$B:$B,0)), "-")</f>
        <v>-</v>
      </c>
      <c r="O2754" s="270" t="str">
        <f>IFERROR(INDEX([1]Produtos!$F:$F,MATCH(L2754,[1]Produtos!$B:$B,0)), "-")</f>
        <v>-</v>
      </c>
      <c r="P2754" s="264" t="str">
        <f>IFERROR(INDEX([1]Produtos!$G:$G,MATCH(L2754,[1]Produtos!$B:$B,0)), "-")</f>
        <v>-</v>
      </c>
      <c r="Q2754" s="270" t="str">
        <f>IFERROR(INDEX([1]Produtos!$H:$H,MATCH(L2754,[1]Produtos!$B:$B,0)), "-")</f>
        <v>-</v>
      </c>
      <c r="R2754" s="270" t="str">
        <f>IFERROR(INDEX([1]Produtos!$I:$I,MATCH(L2754,[1]Produtos!$B:$B,0)), "-")</f>
        <v>-</v>
      </c>
      <c r="S2754" s="270" t="str">
        <f>IFERROR(INDEX([1]Produtos!$J:$J,MATCH(L2754,[1]Produtos!$B:$B,0)), "-")</f>
        <v>-</v>
      </c>
      <c r="T2754" s="475"/>
      <c r="U2754" s="270"/>
      <c r="V2754" s="270"/>
      <c r="W2754" s="270"/>
      <c r="X2754" s="270"/>
      <c r="Y2754" s="270"/>
      <c r="Z2754" s="270"/>
      <c r="AA2754" s="270"/>
      <c r="AB2754" s="270"/>
      <c r="AC2754" s="270"/>
      <c r="AD2754" s="270"/>
      <c r="AE2754" s="270"/>
      <c r="AF2754" s="270"/>
      <c r="AG2754" s="270"/>
      <c r="AH2754" s="270"/>
      <c r="AI2754" s="270"/>
      <c r="AJ2754" s="270"/>
      <c r="AK2754" s="270"/>
      <c r="AL2754" s="270"/>
      <c r="AM2754" s="663"/>
      <c r="AN2754" s="663"/>
      <c r="AO2754" s="708" t="str">
        <f>IF(OR(Table1[[#This Row],[Início Setup Envase]]="",Table1[[#This Row],[Final Setup Envase]]=""),"",Table1[[#This Row],[Final Setup Envase]]-Table1[[#This Row],[Início Setup Envase]])</f>
        <v/>
      </c>
      <c r="AP2754" s="663"/>
      <c r="AQ2754" s="663"/>
      <c r="AR2754" s="270"/>
      <c r="AS2754" s="270"/>
      <c r="AT2754" s="270"/>
      <c r="AU2754" s="270"/>
      <c r="AV2754" s="270"/>
      <c r="AW2754" s="270"/>
      <c r="AX2754" s="270"/>
      <c r="AY2754" s="270"/>
      <c r="AZ2754" s="270"/>
      <c r="BA2754" s="270" t="str">
        <f>IF(Table1[[#This Row],[Data de Início]]="","",YEAR(Table1[[#This Row],[Data de Início]]))</f>
        <v/>
      </c>
      <c r="BB2754" s="270" t="str">
        <f>IF(Table1[[#This Row],[Data de Início]]="","",MONTH(Table1[[#This Row],[Data de Início]]))</f>
        <v/>
      </c>
      <c r="BC2754" s="270"/>
    </row>
    <row r="2755" spans="2:55" x14ac:dyDescent="0.25">
      <c r="B2755" s="470"/>
      <c r="C2755" s="263"/>
      <c r="D2755" s="477" cm="1">
        <f t="array" ref="D2755">IFERROR(HorasUteisFabrica2Turnos(B2755,C2755), "")</f>
        <v>0</v>
      </c>
      <c r="E2755" s="697" t="str">
        <f t="shared" si="43"/>
        <v/>
      </c>
      <c r="F2755" s="266"/>
      <c r="G2755" s="698"/>
      <c r="H2755" s="266"/>
      <c r="I2755" s="268"/>
      <c r="J2755" s="268"/>
      <c r="K2755" s="268"/>
      <c r="L2755" s="269"/>
      <c r="M2755" s="510" t="str">
        <f>IFERROR(INDEX([1]Produtos!$C:$C,MATCH(L2755,[1]Produtos!$B:$B,0)), "-")</f>
        <v>-</v>
      </c>
      <c r="N2755" s="510" t="str">
        <f>IFERROR(INDEX([1]Produtos!$E:$E,MATCH(L2755,[1]Produtos!$B:$B,0)), "-")</f>
        <v>-</v>
      </c>
      <c r="O2755" s="270" t="str">
        <f>IFERROR(INDEX([1]Produtos!$F:$F,MATCH(L2755,[1]Produtos!$B:$B,0)), "-")</f>
        <v>-</v>
      </c>
      <c r="P2755" s="264" t="str">
        <f>IFERROR(INDEX([1]Produtos!$G:$G,MATCH(L2755,[1]Produtos!$B:$B,0)), "-")</f>
        <v>-</v>
      </c>
      <c r="Q2755" s="270" t="str">
        <f>IFERROR(INDEX([1]Produtos!$H:$H,MATCH(L2755,[1]Produtos!$B:$B,0)), "-")</f>
        <v>-</v>
      </c>
      <c r="R2755" s="270" t="str">
        <f>IFERROR(INDEX([1]Produtos!$I:$I,MATCH(L2755,[1]Produtos!$B:$B,0)), "-")</f>
        <v>-</v>
      </c>
      <c r="S2755" s="270" t="str">
        <f>IFERROR(INDEX([1]Produtos!$J:$J,MATCH(L2755,[1]Produtos!$B:$B,0)), "-")</f>
        <v>-</v>
      </c>
      <c r="T2755" s="475"/>
      <c r="U2755" s="270"/>
      <c r="V2755" s="270"/>
      <c r="W2755" s="270"/>
      <c r="X2755" s="270"/>
      <c r="Y2755" s="270"/>
      <c r="Z2755" s="270"/>
      <c r="AA2755" s="270"/>
      <c r="AB2755" s="270"/>
      <c r="AC2755" s="270"/>
      <c r="AD2755" s="270"/>
      <c r="AE2755" s="270"/>
      <c r="AF2755" s="270"/>
      <c r="AG2755" s="270"/>
      <c r="AH2755" s="270"/>
      <c r="AI2755" s="270"/>
      <c r="AJ2755" s="270"/>
      <c r="AK2755" s="270"/>
      <c r="AL2755" s="270"/>
      <c r="AM2755" s="663"/>
      <c r="AN2755" s="663"/>
      <c r="AO2755" s="708" t="str">
        <f>IF(OR(Table1[[#This Row],[Início Setup Envase]]="",Table1[[#This Row],[Final Setup Envase]]=""),"",Table1[[#This Row],[Final Setup Envase]]-Table1[[#This Row],[Início Setup Envase]])</f>
        <v/>
      </c>
      <c r="AP2755" s="663"/>
      <c r="AQ2755" s="663"/>
      <c r="AR2755" s="270"/>
      <c r="AS2755" s="674"/>
      <c r="AT2755" s="674"/>
      <c r="AU2755" s="270"/>
      <c r="AV2755" s="270"/>
      <c r="AW2755" s="270"/>
      <c r="AX2755" s="270"/>
      <c r="AY2755" s="270"/>
      <c r="AZ2755" s="270"/>
      <c r="BA2755" s="270" t="str">
        <f>IF(Table1[[#This Row],[Data de Início]]="","",YEAR(Table1[[#This Row],[Data de Início]]))</f>
        <v/>
      </c>
      <c r="BB2755" s="270" t="str">
        <f>IF(Table1[[#This Row],[Data de Início]]="","",MONTH(Table1[[#This Row],[Data de Início]]))</f>
        <v/>
      </c>
      <c r="BC2755" s="270"/>
    </row>
    <row r="2756" spans="2:55" x14ac:dyDescent="0.25">
      <c r="B2756" s="470"/>
      <c r="C2756" s="263"/>
      <c r="D2756" s="477" cm="1">
        <f t="array" ref="D2756">IFERROR(HorasUteisFabrica2Turnos(B2756,C2756), "")</f>
        <v>0</v>
      </c>
      <c r="E2756" s="265" t="str">
        <f t="shared" si="43"/>
        <v/>
      </c>
      <c r="F2756" s="266"/>
      <c r="G2756" s="266"/>
      <c r="H2756" s="266"/>
      <c r="I2756" s="268"/>
      <c r="J2756" s="268"/>
      <c r="K2756" s="268"/>
      <c r="L2756" s="269"/>
      <c r="M2756" s="510" t="str">
        <f>IFERROR(INDEX([1]Produtos!$C:$C,MATCH(L2756,[1]Produtos!$B:$B,0)), "-")</f>
        <v>-</v>
      </c>
      <c r="N2756" s="510" t="str">
        <f>IFERROR(INDEX([1]Produtos!$E:$E,MATCH(L2756,[1]Produtos!$B:$B,0)), "-")</f>
        <v>-</v>
      </c>
      <c r="O2756" s="270" t="str">
        <f>IFERROR(INDEX([1]Produtos!$F:$F,MATCH(L2756,[1]Produtos!$B:$B,0)), "-")</f>
        <v>-</v>
      </c>
      <c r="P2756" s="264" t="str">
        <f>IFERROR(INDEX([1]Produtos!$G:$G,MATCH(L2756,[1]Produtos!$B:$B,0)), "-")</f>
        <v>-</v>
      </c>
      <c r="Q2756" s="270" t="str">
        <f>IFERROR(INDEX([1]Produtos!$H:$H,MATCH(L2756,[1]Produtos!$B:$B,0)), "-")</f>
        <v>-</v>
      </c>
      <c r="R2756" s="270" t="str">
        <f>IFERROR(INDEX([1]Produtos!$I:$I,MATCH(L2756,[1]Produtos!$B:$B,0)), "-")</f>
        <v>-</v>
      </c>
      <c r="S2756" s="270" t="str">
        <f>IFERROR(INDEX([1]Produtos!$J:$J,MATCH(L2756,[1]Produtos!$B:$B,0)), "-")</f>
        <v>-</v>
      </c>
      <c r="T2756" s="475"/>
      <c r="U2756" s="270"/>
      <c r="V2756" s="270"/>
      <c r="W2756" s="270"/>
      <c r="X2756" s="270"/>
      <c r="Y2756" s="270"/>
      <c r="Z2756" s="270"/>
      <c r="AA2756" s="270"/>
      <c r="AB2756" s="270"/>
      <c r="AC2756" s="270"/>
      <c r="AD2756" s="270"/>
      <c r="AE2756" s="270"/>
      <c r="AF2756" s="270"/>
      <c r="AG2756" s="270"/>
      <c r="AH2756" s="270"/>
      <c r="AI2756" s="270"/>
      <c r="AJ2756" s="270"/>
      <c r="AK2756" s="270"/>
      <c r="AL2756" s="270"/>
      <c r="AM2756" s="663"/>
      <c r="AN2756" s="663"/>
      <c r="AO2756" s="708" t="str">
        <f>IF(OR(Table1[[#This Row],[Início Setup Envase]]="",Table1[[#This Row],[Final Setup Envase]]=""),"",Table1[[#This Row],[Final Setup Envase]]-Table1[[#This Row],[Início Setup Envase]])</f>
        <v/>
      </c>
      <c r="AP2756" s="663"/>
      <c r="AQ2756" s="663"/>
      <c r="AR2756" s="270"/>
      <c r="AS2756" s="270"/>
      <c r="AT2756" s="270"/>
      <c r="AU2756" s="270"/>
      <c r="AV2756" s="270"/>
      <c r="AW2756" s="270"/>
      <c r="AX2756" s="270"/>
      <c r="AY2756" s="270"/>
      <c r="AZ2756" s="270"/>
      <c r="BA2756" s="270" t="str">
        <f>IF(Table1[[#This Row],[Data de Início]]="","",YEAR(Table1[[#This Row],[Data de Início]]))</f>
        <v/>
      </c>
      <c r="BB2756" s="270" t="str">
        <f>IF(Table1[[#This Row],[Data de Início]]="","",MONTH(Table1[[#This Row],[Data de Início]]))</f>
        <v/>
      </c>
      <c r="BC2756" s="270"/>
    </row>
    <row r="2757" spans="2:55" x14ac:dyDescent="0.25">
      <c r="B2757" s="470"/>
      <c r="C2757" s="263"/>
      <c r="D2757" s="477" cm="1">
        <f t="array" ref="D2757">IFERROR(HorasUteisFabrica2Turnos(B2757,C2757), "")</f>
        <v>0</v>
      </c>
      <c r="E2757" s="697" t="str">
        <f t="shared" si="43"/>
        <v/>
      </c>
      <c r="F2757" s="266"/>
      <c r="G2757" s="698"/>
      <c r="H2757" s="266"/>
      <c r="I2757" s="268"/>
      <c r="J2757" s="268"/>
      <c r="K2757" s="268"/>
      <c r="L2757" s="269"/>
      <c r="M2757" s="510" t="str">
        <f>IFERROR(INDEX([1]Produtos!$C:$C,MATCH(L2757,[1]Produtos!$B:$B,0)), "-")</f>
        <v>-</v>
      </c>
      <c r="N2757" s="510" t="str">
        <f>IFERROR(INDEX([1]Produtos!$E:$E,MATCH(L2757,[1]Produtos!$B:$B,0)), "-")</f>
        <v>-</v>
      </c>
      <c r="O2757" s="270" t="str">
        <f>IFERROR(INDEX([1]Produtos!$F:$F,MATCH(L2757,[1]Produtos!$B:$B,0)), "-")</f>
        <v>-</v>
      </c>
      <c r="P2757" s="264" t="str">
        <f>IFERROR(INDEX([1]Produtos!$G:$G,MATCH(L2757,[1]Produtos!$B:$B,0)), "-")</f>
        <v>-</v>
      </c>
      <c r="Q2757" s="270" t="str">
        <f>IFERROR(INDEX([1]Produtos!$H:$H,MATCH(L2757,[1]Produtos!$B:$B,0)), "-")</f>
        <v>-</v>
      </c>
      <c r="R2757" s="270" t="str">
        <f>IFERROR(INDEX([1]Produtos!$I:$I,MATCH(L2757,[1]Produtos!$B:$B,0)), "-")</f>
        <v>-</v>
      </c>
      <c r="S2757" s="270" t="str">
        <f>IFERROR(INDEX([1]Produtos!$J:$J,MATCH(L2757,[1]Produtos!$B:$B,0)), "-")</f>
        <v>-</v>
      </c>
      <c r="T2757" s="475"/>
      <c r="U2757" s="270"/>
      <c r="V2757" s="270"/>
      <c r="W2757" s="270"/>
      <c r="X2757" s="270"/>
      <c r="Y2757" s="270"/>
      <c r="Z2757" s="270"/>
      <c r="AA2757" s="270"/>
      <c r="AB2757" s="270"/>
      <c r="AC2757" s="270"/>
      <c r="AD2757" s="270"/>
      <c r="AE2757" s="270"/>
      <c r="AF2757" s="270"/>
      <c r="AG2757" s="270"/>
      <c r="AH2757" s="270"/>
      <c r="AI2757" s="270"/>
      <c r="AJ2757" s="270"/>
      <c r="AK2757" s="270"/>
      <c r="AL2757" s="270"/>
      <c r="AM2757" s="663"/>
      <c r="AN2757" s="663"/>
      <c r="AO2757" s="708" t="str">
        <f>IF(OR(Table1[[#This Row],[Início Setup Envase]]="",Table1[[#This Row],[Final Setup Envase]]=""),"",Table1[[#This Row],[Final Setup Envase]]-Table1[[#This Row],[Início Setup Envase]])</f>
        <v/>
      </c>
      <c r="AP2757" s="663"/>
      <c r="AQ2757" s="663"/>
      <c r="AR2757" s="270"/>
      <c r="AS2757" s="674"/>
      <c r="AT2757" s="674"/>
      <c r="AU2757" s="270"/>
      <c r="AV2757" s="270"/>
      <c r="AW2757" s="270"/>
      <c r="AX2757" s="270"/>
      <c r="AY2757" s="270"/>
      <c r="AZ2757" s="270"/>
      <c r="BA2757" s="270" t="str">
        <f>IF(Table1[[#This Row],[Data de Início]]="","",YEAR(Table1[[#This Row],[Data de Início]]))</f>
        <v/>
      </c>
      <c r="BB2757" s="270" t="str">
        <f>IF(Table1[[#This Row],[Data de Início]]="","",MONTH(Table1[[#This Row],[Data de Início]]))</f>
        <v/>
      </c>
      <c r="BC2757" s="270"/>
    </row>
    <row r="2758" spans="2:55" x14ac:dyDescent="0.25">
      <c r="B2758" s="470"/>
      <c r="C2758" s="263"/>
      <c r="D2758" s="477" cm="1">
        <f t="array" ref="D2758">IFERROR(HorasUteisFabrica2Turnos(B2758,C2758), "")</f>
        <v>0</v>
      </c>
      <c r="E2758" s="265" t="str">
        <f t="shared" si="43"/>
        <v/>
      </c>
      <c r="F2758" s="266"/>
      <c r="G2758" s="266"/>
      <c r="H2758" s="266"/>
      <c r="I2758" s="268"/>
      <c r="J2758" s="268"/>
      <c r="K2758" s="268"/>
      <c r="L2758" s="269"/>
      <c r="M2758" s="510" t="str">
        <f>IFERROR(INDEX([1]Produtos!$C:$C,MATCH(L2758,[1]Produtos!$B:$B,0)), "-")</f>
        <v>-</v>
      </c>
      <c r="N2758" s="510" t="str">
        <f>IFERROR(INDEX([1]Produtos!$E:$E,MATCH(L2758,[1]Produtos!$B:$B,0)), "-")</f>
        <v>-</v>
      </c>
      <c r="O2758" s="270" t="str">
        <f>IFERROR(INDEX([1]Produtos!$F:$F,MATCH(L2758,[1]Produtos!$B:$B,0)), "-")</f>
        <v>-</v>
      </c>
      <c r="P2758" s="264" t="str">
        <f>IFERROR(INDEX([1]Produtos!$G:$G,MATCH(L2758,[1]Produtos!$B:$B,0)), "-")</f>
        <v>-</v>
      </c>
      <c r="Q2758" s="270" t="str">
        <f>IFERROR(INDEX([1]Produtos!$H:$H,MATCH(L2758,[1]Produtos!$B:$B,0)), "-")</f>
        <v>-</v>
      </c>
      <c r="R2758" s="270" t="str">
        <f>IFERROR(INDEX([1]Produtos!$I:$I,MATCH(L2758,[1]Produtos!$B:$B,0)), "-")</f>
        <v>-</v>
      </c>
      <c r="S2758" s="270" t="str">
        <f>IFERROR(INDEX([1]Produtos!$J:$J,MATCH(L2758,[1]Produtos!$B:$B,0)), "-")</f>
        <v>-</v>
      </c>
      <c r="T2758" s="475"/>
      <c r="U2758" s="270"/>
      <c r="V2758" s="270"/>
      <c r="W2758" s="270"/>
      <c r="X2758" s="270"/>
      <c r="Y2758" s="270"/>
      <c r="Z2758" s="270"/>
      <c r="AA2758" s="270"/>
      <c r="AB2758" s="270"/>
      <c r="AC2758" s="270"/>
      <c r="AD2758" s="270"/>
      <c r="AE2758" s="270"/>
      <c r="AF2758" s="270"/>
      <c r="AG2758" s="270"/>
      <c r="AH2758" s="270"/>
      <c r="AI2758" s="270"/>
      <c r="AJ2758" s="270"/>
      <c r="AK2758" s="270"/>
      <c r="AL2758" s="270"/>
      <c r="AM2758" s="663"/>
      <c r="AN2758" s="663"/>
      <c r="AO2758" s="708" t="str">
        <f>IF(OR(Table1[[#This Row],[Início Setup Envase]]="",Table1[[#This Row],[Final Setup Envase]]=""),"",Table1[[#This Row],[Final Setup Envase]]-Table1[[#This Row],[Início Setup Envase]])</f>
        <v/>
      </c>
      <c r="AP2758" s="663"/>
      <c r="AQ2758" s="663"/>
      <c r="AR2758" s="270"/>
      <c r="AS2758" s="270"/>
      <c r="AT2758" s="270"/>
      <c r="AU2758" s="270"/>
      <c r="AV2758" s="270"/>
      <c r="AW2758" s="270"/>
      <c r="AX2758" s="270"/>
      <c r="AY2758" s="483"/>
      <c r="AZ2758" s="483"/>
      <c r="BA2758" s="270" t="str">
        <f>IF(Table1[[#This Row],[Data de Início]]="","",YEAR(Table1[[#This Row],[Data de Início]]))</f>
        <v/>
      </c>
      <c r="BB2758" s="270" t="str">
        <f>IF(Table1[[#This Row],[Data de Início]]="","",MONTH(Table1[[#This Row],[Data de Início]]))</f>
        <v/>
      </c>
      <c r="BC2758" s="270"/>
    </row>
    <row r="2759" spans="2:55" x14ac:dyDescent="0.25">
      <c r="B2759" s="470"/>
      <c r="C2759" s="263"/>
      <c r="D2759" s="477" cm="1">
        <f t="array" ref="D2759">IFERROR(HorasUteisFabrica2Turnos(B2759,C2759), "")</f>
        <v>0</v>
      </c>
      <c r="E2759" s="697" t="str">
        <f t="shared" si="43"/>
        <v/>
      </c>
      <c r="F2759" s="266"/>
      <c r="G2759" s="698"/>
      <c r="H2759" s="266"/>
      <c r="I2759" s="268"/>
      <c r="J2759" s="268"/>
      <c r="K2759" s="268"/>
      <c r="L2759" s="269"/>
      <c r="M2759" s="510"/>
      <c r="N2759" s="510" t="str">
        <f>IFERROR(INDEX([1]Produtos!$E:$E,MATCH(L2759,[1]Produtos!$B:$B,0)), "-")</f>
        <v>-</v>
      </c>
      <c r="O2759" s="270" t="str">
        <f>IFERROR(INDEX([1]Produtos!$F:$F,MATCH(L2759,[1]Produtos!$B:$B,0)), "-")</f>
        <v>-</v>
      </c>
      <c r="P2759" s="264" t="str">
        <f>IFERROR(INDEX([1]Produtos!$G:$G,MATCH(L2759,[1]Produtos!$B:$B,0)), "-")</f>
        <v>-</v>
      </c>
      <c r="Q2759" s="270" t="str">
        <f>IFERROR(INDEX([1]Produtos!$H:$H,MATCH(L2759,[1]Produtos!$B:$B,0)), "-")</f>
        <v>-</v>
      </c>
      <c r="R2759" s="270" t="str">
        <f>IFERROR(INDEX([1]Produtos!$I:$I,MATCH(L2759,[1]Produtos!$B:$B,0)), "-")</f>
        <v>-</v>
      </c>
      <c r="S2759" s="270" t="str">
        <f>IFERROR(INDEX([1]Produtos!$J:$J,MATCH(L2759,[1]Produtos!$B:$B,0)), "-")</f>
        <v>-</v>
      </c>
      <c r="T2759" s="475"/>
      <c r="U2759" s="270"/>
      <c r="V2759" s="270"/>
      <c r="W2759" s="270"/>
      <c r="X2759" s="270"/>
      <c r="Y2759" s="270"/>
      <c r="Z2759" s="270"/>
      <c r="AA2759" s="270"/>
      <c r="AB2759" s="270"/>
      <c r="AC2759" s="270"/>
      <c r="AD2759" s="270"/>
      <c r="AE2759" s="270"/>
      <c r="AF2759" s="270"/>
      <c r="AG2759" s="270"/>
      <c r="AH2759" s="270"/>
      <c r="AI2759" s="270"/>
      <c r="AJ2759" s="270"/>
      <c r="AK2759" s="270"/>
      <c r="AL2759" s="270"/>
      <c r="AM2759" s="663"/>
      <c r="AN2759" s="663"/>
      <c r="AO2759" s="708" t="str">
        <f>IF(OR(Table1[[#This Row],[Início Setup Envase]]="",Table1[[#This Row],[Final Setup Envase]]=""),"",Table1[[#This Row],[Final Setup Envase]]-Table1[[#This Row],[Início Setup Envase]])</f>
        <v/>
      </c>
      <c r="AP2759" s="663"/>
      <c r="AQ2759" s="663"/>
      <c r="AR2759" s="270"/>
      <c r="AS2759" s="674"/>
      <c r="AT2759" s="674"/>
      <c r="AU2759" s="270"/>
      <c r="AV2759" s="270"/>
      <c r="AW2759" s="270"/>
      <c r="AX2759" s="270"/>
      <c r="AY2759" s="483"/>
      <c r="AZ2759" s="483"/>
      <c r="BA2759" s="483" t="str">
        <f>IF(Table1[[#This Row],[Data de Início]]="","",YEAR(Table1[[#This Row],[Data de Início]]))</f>
        <v/>
      </c>
      <c r="BB2759" s="483" t="str">
        <f>IF(Table1[[#This Row],[Data de Início]]="","",MONTH(Table1[[#This Row],[Data de Início]]))</f>
        <v/>
      </c>
      <c r="BC2759" s="270"/>
    </row>
    <row r="2760" spans="2:55" x14ac:dyDescent="0.25">
      <c r="BA2760" s="270"/>
    </row>
    <row r="2762" spans="2:55" x14ac:dyDescent="0.25">
      <c r="G2762" s="231"/>
    </row>
    <row r="2763" spans="2:55" x14ac:dyDescent="0.25">
      <c r="F2763" s="231"/>
      <c r="G2763" s="231"/>
    </row>
    <row r="2764" spans="2:55" x14ac:dyDescent="0.25">
      <c r="F2764" s="231"/>
      <c r="G2764" s="231"/>
    </row>
    <row r="2765" spans="2:55" x14ac:dyDescent="0.25">
      <c r="G2765" s="231"/>
    </row>
    <row r="2766" spans="2:55" x14ac:dyDescent="0.25">
      <c r="K2766" s="231"/>
    </row>
    <row r="2767" spans="2:55" x14ac:dyDescent="0.25">
      <c r="G2767" s="231"/>
    </row>
    <row r="2768" spans="2:55" x14ac:dyDescent="0.25">
      <c r="G2768" s="231"/>
    </row>
    <row r="2769" spans="5:12" x14ac:dyDescent="0.25">
      <c r="E2769" s="231"/>
    </row>
    <row r="2770" spans="5:12" x14ac:dyDescent="0.25">
      <c r="L2770" s="231"/>
    </row>
  </sheetData>
  <phoneticPr fontId="1" type="noConversion"/>
  <conditionalFormatting sqref="D218 E218:E222 D149:F207 G149:H218 D208:E217 F208:F218 D223:H295 D367:H381 H409:H429 E527:E551 G528:G551 E409:F429 G415:G429 E431:H526 D391:D551 E430:G430 H871:H877 D852:E857 Y784 D1:H148 G969:G1036 G586:G967">
    <cfRule type="cellIs" dxfId="2624" priority="466" operator="lessThan">
      <formula>0</formula>
    </cfRule>
  </conditionalFormatting>
  <conditionalFormatting sqref="D219 F219:H219">
    <cfRule type="cellIs" dxfId="2623" priority="464" operator="lessThan">
      <formula>0</formula>
    </cfRule>
  </conditionalFormatting>
  <conditionalFormatting sqref="D220:D222 F220:H221 F222">
    <cfRule type="cellIs" dxfId="2622" priority="463" operator="lessThan">
      <formula>0</formula>
    </cfRule>
  </conditionalFormatting>
  <conditionalFormatting sqref="G222:H222">
    <cfRule type="cellIs" dxfId="2621" priority="462" operator="lessThan">
      <formula>0</formula>
    </cfRule>
  </conditionalFormatting>
  <conditionalFormatting sqref="G271:G273">
    <cfRule type="cellIs" dxfId="2620" priority="456" operator="lessThan">
      <formula>0</formula>
    </cfRule>
  </conditionalFormatting>
  <conditionalFormatting sqref="D296:E296">
    <cfRule type="cellIs" dxfId="2619" priority="452" operator="lessThan">
      <formula>0</formula>
    </cfRule>
  </conditionalFormatting>
  <conditionalFormatting sqref="F296:H296">
    <cfRule type="cellIs" dxfId="2618" priority="451" operator="lessThan">
      <formula>0</formula>
    </cfRule>
  </conditionalFormatting>
  <conditionalFormatting sqref="D297:E299">
    <cfRule type="cellIs" dxfId="2617" priority="450" operator="lessThan">
      <formula>0</formula>
    </cfRule>
  </conditionalFormatting>
  <conditionalFormatting sqref="F297:H299">
    <cfRule type="cellIs" dxfId="2616" priority="449" operator="lessThan">
      <formula>0</formula>
    </cfRule>
  </conditionalFormatting>
  <conditionalFormatting sqref="D301:E301">
    <cfRule type="cellIs" dxfId="2615" priority="446" operator="lessThan">
      <formula>0</formula>
    </cfRule>
  </conditionalFormatting>
  <conditionalFormatting sqref="F301 H301">
    <cfRule type="cellIs" dxfId="2614" priority="445" operator="lessThan">
      <formula>0</formula>
    </cfRule>
  </conditionalFormatting>
  <conditionalFormatting sqref="G301">
    <cfRule type="cellIs" dxfId="2613" priority="444" operator="lessThan">
      <formula>0</formula>
    </cfRule>
  </conditionalFormatting>
  <conditionalFormatting sqref="D300:E300">
    <cfRule type="cellIs" dxfId="2612" priority="441" operator="lessThan">
      <formula>0</formula>
    </cfRule>
  </conditionalFormatting>
  <conditionalFormatting sqref="F300:H300">
    <cfRule type="cellIs" dxfId="2611" priority="440" operator="lessThan">
      <formula>0</formula>
    </cfRule>
  </conditionalFormatting>
  <conditionalFormatting sqref="D302:E303">
    <cfRule type="cellIs" dxfId="2610" priority="439" operator="lessThan">
      <formula>0</formula>
    </cfRule>
  </conditionalFormatting>
  <conditionalFormatting sqref="F302:H303">
    <cfRule type="cellIs" dxfId="2609" priority="438" operator="lessThan">
      <formula>0</formula>
    </cfRule>
  </conditionalFormatting>
  <conditionalFormatting sqref="D304:H304">
    <cfRule type="cellIs" dxfId="2608" priority="434" operator="lessThan">
      <formula>0</formula>
    </cfRule>
  </conditionalFormatting>
  <conditionalFormatting sqref="D305:H305">
    <cfRule type="cellIs" dxfId="2607" priority="433" operator="lessThan">
      <formula>0</formula>
    </cfRule>
  </conditionalFormatting>
  <conditionalFormatting sqref="D306:H307">
    <cfRule type="cellIs" dxfId="2606" priority="432" operator="lessThan">
      <formula>0</formula>
    </cfRule>
  </conditionalFormatting>
  <conditionalFormatting sqref="D309:H309">
    <cfRule type="cellIs" dxfId="2605" priority="431" operator="lessThan">
      <formula>0</formula>
    </cfRule>
  </conditionalFormatting>
  <conditionalFormatting sqref="D308:H308">
    <cfRule type="cellIs" dxfId="2604" priority="430" operator="lessThan">
      <formula>0</formula>
    </cfRule>
  </conditionalFormatting>
  <conditionalFormatting sqref="H310:H316">
    <cfRule type="cellIs" dxfId="2603" priority="429" operator="lessThan">
      <formula>0</formula>
    </cfRule>
  </conditionalFormatting>
  <conditionalFormatting sqref="F310:F316">
    <cfRule type="cellIs" dxfId="2602" priority="428" operator="lessThan">
      <formula>0</formula>
    </cfRule>
  </conditionalFormatting>
  <conditionalFormatting sqref="G310:G316">
    <cfRule type="cellIs" dxfId="2601" priority="427" operator="lessThan">
      <formula>0</formula>
    </cfRule>
  </conditionalFormatting>
  <conditionalFormatting sqref="D310:E316">
    <cfRule type="cellIs" dxfId="2600" priority="426" operator="lessThan">
      <formula>0</formula>
    </cfRule>
  </conditionalFormatting>
  <conditionalFormatting sqref="D317:H321">
    <cfRule type="cellIs" dxfId="2599" priority="425" operator="lessThan">
      <formula>0</formula>
    </cfRule>
  </conditionalFormatting>
  <conditionalFormatting sqref="F322:H324">
    <cfRule type="cellIs" dxfId="2598" priority="424" operator="lessThan">
      <formula>0</formula>
    </cfRule>
  </conditionalFormatting>
  <conditionalFormatting sqref="D322:E324">
    <cfRule type="cellIs" dxfId="2597" priority="423" operator="lessThan">
      <formula>0</formula>
    </cfRule>
  </conditionalFormatting>
  <conditionalFormatting sqref="F325:H326">
    <cfRule type="cellIs" dxfId="2596" priority="422" operator="lessThan">
      <formula>0</formula>
    </cfRule>
  </conditionalFormatting>
  <conditionalFormatting sqref="D325:E326">
    <cfRule type="cellIs" dxfId="2595" priority="421" operator="lessThan">
      <formula>0</formula>
    </cfRule>
  </conditionalFormatting>
  <conditionalFormatting sqref="H327:H330">
    <cfRule type="cellIs" dxfId="2594" priority="420" operator="lessThan">
      <formula>0</formula>
    </cfRule>
  </conditionalFormatting>
  <conditionalFormatting sqref="F327:F330">
    <cfRule type="cellIs" dxfId="2593" priority="419" operator="lessThan">
      <formula>0</formula>
    </cfRule>
  </conditionalFormatting>
  <conditionalFormatting sqref="G327:G330">
    <cfRule type="cellIs" dxfId="2592" priority="418" operator="lessThan">
      <formula>0</formula>
    </cfRule>
  </conditionalFormatting>
  <conditionalFormatting sqref="D327:E327">
    <cfRule type="cellIs" dxfId="2591" priority="417" operator="lessThan">
      <formula>0</formula>
    </cfRule>
  </conditionalFormatting>
  <conditionalFormatting sqref="D328:E329">
    <cfRule type="cellIs" dxfId="2590" priority="416" operator="lessThan">
      <formula>0</formula>
    </cfRule>
  </conditionalFormatting>
  <conditionalFormatting sqref="D330:E330">
    <cfRule type="cellIs" dxfId="2589" priority="415" operator="lessThan">
      <formula>0</formula>
    </cfRule>
  </conditionalFormatting>
  <conditionalFormatting sqref="H331:H334">
    <cfRule type="cellIs" dxfId="2588" priority="412" operator="lessThan">
      <formula>0</formula>
    </cfRule>
  </conditionalFormatting>
  <conditionalFormatting sqref="F331:F334">
    <cfRule type="cellIs" dxfId="2587" priority="411" operator="lessThan">
      <formula>0</formula>
    </cfRule>
  </conditionalFormatting>
  <conditionalFormatting sqref="G331:G334">
    <cfRule type="cellIs" dxfId="2586" priority="410" operator="lessThan">
      <formula>0</formula>
    </cfRule>
  </conditionalFormatting>
  <conditionalFormatting sqref="D331:E334">
    <cfRule type="cellIs" dxfId="2585" priority="409" operator="lessThan">
      <formula>0</formula>
    </cfRule>
  </conditionalFormatting>
  <conditionalFormatting sqref="D335:H336">
    <cfRule type="cellIs" dxfId="2584" priority="408" operator="lessThan">
      <formula>0</formula>
    </cfRule>
  </conditionalFormatting>
  <conditionalFormatting sqref="D337:H337">
    <cfRule type="cellIs" dxfId="2583" priority="407" operator="lessThan">
      <formula>0</formula>
    </cfRule>
  </conditionalFormatting>
  <conditionalFormatting sqref="D338:H338">
    <cfRule type="cellIs" dxfId="2582" priority="406" operator="lessThan">
      <formula>0</formula>
    </cfRule>
  </conditionalFormatting>
  <conditionalFormatting sqref="D339:H339">
    <cfRule type="cellIs" dxfId="2581" priority="401" operator="lessThan">
      <formula>0</formula>
    </cfRule>
  </conditionalFormatting>
  <conditionalFormatting sqref="D340:H340">
    <cfRule type="cellIs" dxfId="2580" priority="400" operator="lessThan">
      <formula>0</formula>
    </cfRule>
  </conditionalFormatting>
  <conditionalFormatting sqref="D341:H341">
    <cfRule type="cellIs" dxfId="2579" priority="399" operator="lessThan">
      <formula>0</formula>
    </cfRule>
  </conditionalFormatting>
  <conditionalFormatting sqref="D342:H342">
    <cfRule type="cellIs" dxfId="2578" priority="398" operator="lessThan">
      <formula>0</formula>
    </cfRule>
  </conditionalFormatting>
  <conditionalFormatting sqref="D343:H345">
    <cfRule type="cellIs" dxfId="2577" priority="397" operator="lessThan">
      <formula>0</formula>
    </cfRule>
  </conditionalFormatting>
  <conditionalFormatting sqref="D346:H346">
    <cfRule type="cellIs" dxfId="2576" priority="396" operator="lessThan">
      <formula>0</formula>
    </cfRule>
  </conditionalFormatting>
  <conditionalFormatting sqref="D347:H347">
    <cfRule type="cellIs" dxfId="2575" priority="395" operator="lessThan">
      <formula>0</formula>
    </cfRule>
  </conditionalFormatting>
  <conditionalFormatting sqref="D348:H348">
    <cfRule type="cellIs" dxfId="2574" priority="394" operator="lessThan">
      <formula>0</formula>
    </cfRule>
  </conditionalFormatting>
  <conditionalFormatting sqref="D349:H349">
    <cfRule type="cellIs" dxfId="2573" priority="393" operator="lessThan">
      <formula>0</formula>
    </cfRule>
  </conditionalFormatting>
  <conditionalFormatting sqref="D350:H350">
    <cfRule type="cellIs" dxfId="2572" priority="392" operator="lessThan">
      <formula>0</formula>
    </cfRule>
  </conditionalFormatting>
  <conditionalFormatting sqref="D351:H351">
    <cfRule type="cellIs" dxfId="2571" priority="391" operator="lessThan">
      <formula>0</formula>
    </cfRule>
  </conditionalFormatting>
  <conditionalFormatting sqref="D352:H352">
    <cfRule type="cellIs" dxfId="2570" priority="390" operator="lessThan">
      <formula>0</formula>
    </cfRule>
  </conditionalFormatting>
  <conditionalFormatting sqref="D353:H355">
    <cfRule type="cellIs" dxfId="2569" priority="389" operator="lessThan">
      <formula>0</formula>
    </cfRule>
  </conditionalFormatting>
  <conditionalFormatting sqref="D356:H357">
    <cfRule type="cellIs" dxfId="2568" priority="388" operator="lessThan">
      <formula>0</formula>
    </cfRule>
  </conditionalFormatting>
  <conditionalFormatting sqref="D358:H359">
    <cfRule type="cellIs" dxfId="2567" priority="387" operator="lessThan">
      <formula>0</formula>
    </cfRule>
  </conditionalFormatting>
  <conditionalFormatting sqref="D360:H361">
    <cfRule type="cellIs" dxfId="2566" priority="386" operator="lessThan">
      <formula>0</formula>
    </cfRule>
  </conditionalFormatting>
  <conditionalFormatting sqref="D362:H362">
    <cfRule type="cellIs" dxfId="2565" priority="385" operator="lessThan">
      <formula>0</formula>
    </cfRule>
  </conditionalFormatting>
  <conditionalFormatting sqref="D363:H363">
    <cfRule type="cellIs" dxfId="2564" priority="384" operator="lessThan">
      <formula>0</formula>
    </cfRule>
  </conditionalFormatting>
  <conditionalFormatting sqref="D364:H364">
    <cfRule type="cellIs" dxfId="2563" priority="383" operator="lessThan">
      <formula>0</formula>
    </cfRule>
  </conditionalFormatting>
  <conditionalFormatting sqref="D365:H365">
    <cfRule type="cellIs" dxfId="2562" priority="382" operator="lessThan">
      <formula>0</formula>
    </cfRule>
  </conditionalFormatting>
  <conditionalFormatting sqref="D366:H366">
    <cfRule type="cellIs" dxfId="2561" priority="381" operator="lessThan">
      <formula>0</formula>
    </cfRule>
  </conditionalFormatting>
  <conditionalFormatting sqref="D382:H382">
    <cfRule type="cellIs" dxfId="2560" priority="375" operator="lessThan">
      <formula>0</formula>
    </cfRule>
  </conditionalFormatting>
  <conditionalFormatting sqref="D383:H383">
    <cfRule type="cellIs" dxfId="2559" priority="374" operator="lessThan">
      <formula>0</formula>
    </cfRule>
  </conditionalFormatting>
  <conditionalFormatting sqref="D384:H384">
    <cfRule type="cellIs" dxfId="2558" priority="373" operator="lessThan">
      <formula>0</formula>
    </cfRule>
  </conditionalFormatting>
  <conditionalFormatting sqref="D385:H385">
    <cfRule type="cellIs" dxfId="2557" priority="372" operator="lessThan">
      <formula>0</formula>
    </cfRule>
  </conditionalFormatting>
  <conditionalFormatting sqref="D386:H386">
    <cfRule type="cellIs" dxfId="2556" priority="371" operator="lessThan">
      <formula>0</formula>
    </cfRule>
  </conditionalFormatting>
  <conditionalFormatting sqref="D387:H387">
    <cfRule type="cellIs" dxfId="2555" priority="370" operator="lessThan">
      <formula>0</formula>
    </cfRule>
  </conditionalFormatting>
  <conditionalFormatting sqref="D388:H388">
    <cfRule type="cellIs" dxfId="2554" priority="369" operator="lessThan">
      <formula>0</formula>
    </cfRule>
  </conditionalFormatting>
  <conditionalFormatting sqref="D389:H389">
    <cfRule type="cellIs" dxfId="2553" priority="368" operator="lessThan">
      <formula>0</formula>
    </cfRule>
  </conditionalFormatting>
  <conditionalFormatting sqref="D390:H390">
    <cfRule type="cellIs" dxfId="2552" priority="367" operator="lessThan">
      <formula>0</formula>
    </cfRule>
  </conditionalFormatting>
  <conditionalFormatting sqref="E391:H391">
    <cfRule type="cellIs" dxfId="2551" priority="365" operator="lessThan">
      <formula>0</formula>
    </cfRule>
  </conditionalFormatting>
  <conditionalFormatting sqref="E392:H392">
    <cfRule type="cellIs" dxfId="2550" priority="364" operator="lessThan">
      <formula>0</formula>
    </cfRule>
  </conditionalFormatting>
  <conditionalFormatting sqref="E393:H393">
    <cfRule type="cellIs" dxfId="2549" priority="362" operator="lessThan">
      <formula>0</formula>
    </cfRule>
  </conditionalFormatting>
  <conditionalFormatting sqref="E394:H394">
    <cfRule type="cellIs" dxfId="2548" priority="361" operator="lessThan">
      <formula>0</formula>
    </cfRule>
  </conditionalFormatting>
  <conditionalFormatting sqref="E395:H395">
    <cfRule type="cellIs" dxfId="2547" priority="360" operator="lessThan">
      <formula>0</formula>
    </cfRule>
  </conditionalFormatting>
  <conditionalFormatting sqref="E396:H396">
    <cfRule type="cellIs" dxfId="2546" priority="359" operator="lessThan">
      <formula>0</formula>
    </cfRule>
  </conditionalFormatting>
  <conditionalFormatting sqref="E397:H397">
    <cfRule type="cellIs" dxfId="2545" priority="358" operator="lessThan">
      <formula>0</formula>
    </cfRule>
  </conditionalFormatting>
  <conditionalFormatting sqref="E398:H398">
    <cfRule type="cellIs" dxfId="2544" priority="357" operator="lessThan">
      <formula>0</formula>
    </cfRule>
  </conditionalFormatting>
  <conditionalFormatting sqref="E399:H399 G399:G401">
    <cfRule type="cellIs" dxfId="2543" priority="356" operator="lessThan">
      <formula>0</formula>
    </cfRule>
  </conditionalFormatting>
  <conditionalFormatting sqref="E400:H400">
    <cfRule type="cellIs" dxfId="2542" priority="355" operator="lessThan">
      <formula>0</formula>
    </cfRule>
  </conditionalFormatting>
  <conditionalFormatting sqref="E401:H401">
    <cfRule type="cellIs" dxfId="2541" priority="354" operator="lessThan">
      <formula>0</formula>
    </cfRule>
  </conditionalFormatting>
  <conditionalFormatting sqref="E402:H402 G402:G408">
    <cfRule type="cellIs" dxfId="2540" priority="353" operator="lessThan">
      <formula>0</formula>
    </cfRule>
  </conditionalFormatting>
  <conditionalFormatting sqref="E403:H403">
    <cfRule type="cellIs" dxfId="2539" priority="352" operator="lessThan">
      <formula>0</formula>
    </cfRule>
  </conditionalFormatting>
  <conditionalFormatting sqref="E404:H404">
    <cfRule type="cellIs" dxfId="2538" priority="351" operator="lessThan">
      <formula>0</formula>
    </cfRule>
  </conditionalFormatting>
  <conditionalFormatting sqref="E405:H405">
    <cfRule type="cellIs" dxfId="2537" priority="350" operator="lessThan">
      <formula>0</formula>
    </cfRule>
  </conditionalFormatting>
  <conditionalFormatting sqref="E406:H406">
    <cfRule type="cellIs" dxfId="2536" priority="349" operator="lessThan">
      <formula>0</formula>
    </cfRule>
  </conditionalFormatting>
  <conditionalFormatting sqref="E407:H408">
    <cfRule type="cellIs" dxfId="2535" priority="348" operator="lessThan">
      <formula>0</formula>
    </cfRule>
  </conditionalFormatting>
  <conditionalFormatting sqref="G409:G412">
    <cfRule type="cellIs" dxfId="2534" priority="346" operator="lessThan">
      <formula>0</formula>
    </cfRule>
  </conditionalFormatting>
  <conditionalFormatting sqref="G413:G414">
    <cfRule type="cellIs" dxfId="2533" priority="345" operator="lessThan">
      <formula>0</formula>
    </cfRule>
  </conditionalFormatting>
  <conditionalFormatting sqref="G413:G414">
    <cfRule type="cellIs" dxfId="2532" priority="344" operator="lessThan">
      <formula>0</formula>
    </cfRule>
  </conditionalFormatting>
  <conditionalFormatting sqref="I3:I526">
    <cfRule type="duplicateValues" dxfId="2531" priority="1434"/>
  </conditionalFormatting>
  <conditionalFormatting sqref="H430">
    <cfRule type="duplicateValues" dxfId="2530" priority="340"/>
  </conditionalFormatting>
  <conditionalFormatting sqref="G553">
    <cfRule type="cellIs" dxfId="2529" priority="339" operator="lessThan">
      <formula>0</formula>
    </cfRule>
  </conditionalFormatting>
  <conditionalFormatting sqref="F557 H557">
    <cfRule type="cellIs" dxfId="2528" priority="337" operator="lessThan">
      <formula>0</formula>
    </cfRule>
  </conditionalFormatting>
  <conditionalFormatting sqref="G557:G570">
    <cfRule type="cellIs" dxfId="2527" priority="336" operator="lessThan">
      <formula>0</formula>
    </cfRule>
  </conditionalFormatting>
  <conditionalFormatting sqref="H558:H561 F558:F561">
    <cfRule type="cellIs" dxfId="2526" priority="334" operator="lessThan">
      <formula>0</formula>
    </cfRule>
  </conditionalFormatting>
  <conditionalFormatting sqref="G571:G578">
    <cfRule type="cellIs" dxfId="2525" priority="333" operator="lessThan">
      <formula>0</formula>
    </cfRule>
  </conditionalFormatting>
  <conditionalFormatting sqref="I573">
    <cfRule type="duplicateValues" dxfId="2524" priority="331"/>
  </conditionalFormatting>
  <conditionalFormatting sqref="I576">
    <cfRule type="duplicateValues" dxfId="2523" priority="330"/>
  </conditionalFormatting>
  <conditionalFormatting sqref="H577:H604">
    <cfRule type="duplicateValues" dxfId="2522" priority="329"/>
  </conditionalFormatting>
  <conditionalFormatting sqref="G579:G581">
    <cfRule type="cellIs" dxfId="2521" priority="327" operator="lessThan">
      <formula>0</formula>
    </cfRule>
  </conditionalFormatting>
  <conditionalFormatting sqref="I578:I579">
    <cfRule type="duplicateValues" dxfId="2520" priority="326"/>
  </conditionalFormatting>
  <conditionalFormatting sqref="I581">
    <cfRule type="duplicateValues" dxfId="2519" priority="325"/>
  </conditionalFormatting>
  <conditionalFormatting sqref="G582:G583">
    <cfRule type="cellIs" dxfId="2518" priority="324" operator="lessThan">
      <formula>0</formula>
    </cfRule>
  </conditionalFormatting>
  <conditionalFormatting sqref="G584:G585">
    <cfRule type="cellIs" dxfId="2517" priority="323" operator="lessThan">
      <formula>0</formula>
    </cfRule>
  </conditionalFormatting>
  <conditionalFormatting sqref="I797:I870 I1 I635:I795 I3:I633 I880:I881 I883:I892 I895:I902 I1035 I1037 I1041 I1043 I1045 I1047 I1049 I1051 I1053 I1055 I1057 I1059 I1061 I1063 I1065 I1067 I1069 I1071 I1073 I1075 I1077 I1079 I1085 I1087 I1089 I1093 I1095 I1097 I1099 I1101 I1103 I1105 I1107 I1109 I1111 I1113 I1115 I1117 I1119 I1121 I1123 I1125 I1128 I1130 I1132 I1134 I1136 I1138 I1140 I1142 I1144 I1146 I1148 I1150 I1158 I1160 I1168 I1170 I1172 I1174 I1176 I1178 I1180 I1182 I1184 I1186 I1188 I1190 I1192 I1194 I1196 I1198 I1200 I1202 I1204 I1206 I1208 I1210 I1212 I1214 I1216 I1218 I1220 I1222 I1224 I1226 I1228 I1230 I1232 I1234 I1236 I1238 I1240 I1242 I1244 I1246 I1248 I1250 I1252 I1254 I1256 I1258 I1260 I1262 I1264 I1266 I1268 I1270 I1272 I1274 I1276 I1278 I1280 I1282 I1284 I1286 I1288 I1290 I1292 I1294 I1296 I1298 I1300 I1302 I1304 I1306 I1308 I1310 I1312 I1314 I1316 I1318 I1320 I1322 I1324 I1326 I1328 I1330 I1332 I1334 I1336 I1338 I1340 I1342 I1344 I1346 I1348 I1350 I1352 I1354 I1356 I1358 I1360 I1362 I1364 I1366 I1368 I1370 I1372 I1374 I1376 I1378 I1380 I1382 I1384 I1386 I1388 I1390 I1392 I1394 I1396 I1398 I1400 I1402 I1404 I1406 I1408 I1410 I1412 I1414 I1416 I1418 I1420 I1422 I1424 I1426 I1428 I1430 I1432 I1434 I1436 I1438 I1440 I1442 I1444 I1446 I1448 I1450 I1452 I1454 I1456 I1458 I1460 I1462 I1464 I1466 I1468 I1470 I1472 I1474 I1476 I1478 I1480 I1482 I1484 I1486 I1488 I1490 I1492 I1494 I1496 I1498 I1500 I1502 I1504 I1506 I1508 I1510 I1512 I1514 I1516 I1518 I1520 I1522 I1524 I1526 I1528 I1530 I1532 I1534 I1536 I1538 I1540 I1542 I1544 I1546 I1548 I1550 I1552 I1554 I1556 I1558 I1560 I1562 I1564 I1566 I1568 I1570 I1572 I1574 I1576 I1578 I1580 I1582 I1584 I1586 I1588 I1590 I1592 I1594 I1596 I1598 I1600 I1602 I1604 I1606 I1608 I1610 I1612 I1614 I1616 I1618 I1620 I1622 I1624 I1626 I1628 I1630 I1632 I1634 I1636 I1638 I1640 I1642 I1644 I1646 I1648 I1650 I1652 I1654 I1656 I1658 I1660 I1662 I1664 I1666 I1668 I1670 I1672 I1674 I1676 I1678 I1680 I1682 I1684 I1686 I1688 I1690 I1692 I1694 I1696 I1698 I1700 I1702 I1704 I1706 I1708 I1710 I1712 I1714 I1716 I1718 I1720 I1722 I1724 I1726 I1728 I1730 I1732 I1734 I1736 I1738 I1740 I1742 I1744 I1746 I1748 I1750 I1752 I1754 I1756 I1758 I1760 I1762 I1764 I1766 I1768 I1770 I1772 I1774 I1776 I1778 I1780 I1782 I1784 I1786 I1788 I1790 I1792 I1794 I1796 I1798 I1800 I1802 I1804 I1806 I1808 I1810 I1812 I1814 I1816 I1818 I1820 I1822 I1824 I1826 I1828 I1830 I1832 I1834 I1836 I1838 I1840 I1842 I1844 I1846 I1848 I1850 I1852 I1854 I1856 I1858 I1860 I1862 I1864 I1866 I1868 I1870 I1872 I1874 I1876 I1878 I1880 I1882 I1884 I1886 I1888 I1890 I1892 I1894 I1896 I1898 I1900 I1902 I1904 I1906 I1908 I1910 I1912 I1914 I1916 I1918 I1920 I1922 I1924 I1926 I1928 I1930 I1932 I1934 I1936 I1938 I1940 I1942 I1944 I1946 I1948 I1950 I1952 I1954 I1956 I1958 I1960 I1962 I1964 I1966 I1968 I1970 I1972 I1974 I1976 I1978 I1980 I1982 I1984 I1986 I1988 I1990 I1992 I1994 I1996 I1998 I2000 I2002 I2004 I2006 I2008 I2010 I2012 I2014 I2016 I2018 I2020 I2022 I2024 I2026 I2028 I2030 I2032 I2034 I2036 I2038 I2040 I2042 I2044 I2046 I2048 I2050 I2052 I2054 I2056 I2058 I2060 I2062 I2064 I2066 I2068 I2070 I2072 I2074 I2076 I2078 I2080 I2082 I2084 I2086 I2088 I2090 I2092 I2094 I2096 I2098 I2100 I2102 I2104 I2106 I2108 I2110 I2112 I2114 I2116 I2118 I2120 I2122 I2124 I2126 I2128 I2130 I2132 I2134 I2136 I2138 I2140 I2142 I2144 I2146 I2148 I2150 I2152 I2154 I2156 I2158 I2160 I2162 I2164 I2166 I2168 I2170 I2172 I2174 I2176 I2178 I2180 I2182 I2184 I2186 I2188 I2190 I2192 I2194 I2196 I2198 I2200 I2202 I2204 I2206 I2208 I2210 I2212 I2214 I2216 I2218 I2220 I2222 I2224 I2226 I2228 I2230 I2232 I2234 I2236 I2238 I2240 I2242 I2244 I2246 I2248 I2250 I2252 I2254 I2256 I2258 I2260 I2262 I2264 I2266 I2268 I2270 I2272 I2274 I2276 I2278 I2280 I2282 I2284 I2286 I2288 I2290 I2292 I2294 I2296 I2298 I2300 I2302 I2304 I2306 I2308 I2310 I2312 I2314 I2316 I2318 I2320 I2322 I2324 I2326 I2328 I2330 I2332 I2334 I2336 I2338 I2340 I2342 I2344 I2346 I2348 I2350 I2352 I2354 I2356 I2358 I2360 I2362 I2364 I2366 I2368 I2370 I2372 I2374 I2376 I2378 I2380 I2382 I2384 I2386 I2388 I2390 I2392 I2394 I2396 I2398 I2400 I2402 I2404 I2406 I2408 I2410 I2412 I2414 I2416 I2418 I2420 I2422 I2424 I2426 I2428 I2430 I2432 I2434 I2436 I2438 I2440 I2442 I2444 I2446 I2448 I2450 I2452 I2454 I2456 I2458 I2460 I2462 I2464 I2466 I2468 I2470 I2472 I2474 I2476 I2478 I2480 I2482 I2484 I2486 I2488 I2490 I2492 I2494 I2496 I2498 I2500 I2502 I2504 I2506 I2508 I2510 I2512 I2514 I2516 I2518 I2520 I2522 I2524 I2526 I2528 I2530 I2532 I2534 I2536 I2538 I2540 I2542 I2544 I2546 I2548 I2550 I2552 I2554 I2556 I2558 I2560 I2562 I2564 I2566 I2568 I2570 I2572 I2574 I2576 I2578 I2580 I2582 I2584 I2586 I2588 I2590 I2592 I2594 I2596 I2598 I2600 I2602 I2604 I2606 I2608 I2610 I2612 I2614 I2616 I2618 I2620 I2622 I2624 I2626 I2628 I2630 I2632 I2634 I2636 I2638 I2640 I2642 I2644 I2646 I2648 I2650 I2652 I2654 I2656 I2658 I2660 I2662 I2664 I2666 I2668 I2670 I2672 I2674 I2676 I2678 I2680 I2682 I2684 I2686 I2688 I2690 I2692 I2694 I2696 I2698 I2700 I2702 I2704 I2706 I2708 I2710 I2712 I2714 I2716 I2718 I2720 I2722 I2724 I2726 I2728 I2730 I2732 I2734 I2736 I2738 I2740 I1039 I1081:I1083 I1152:I1156 I1162:I1166">
    <cfRule type="duplicateValues" dxfId="2516" priority="225"/>
    <cfRule type="duplicateValues" dxfId="2515" priority="226"/>
    <cfRule type="duplicateValues" dxfId="2514" priority="319"/>
  </conditionalFormatting>
  <conditionalFormatting sqref="H625:H626">
    <cfRule type="duplicateValues" dxfId="2513" priority="316"/>
  </conditionalFormatting>
  <conditionalFormatting sqref="H627:H629">
    <cfRule type="duplicateValues" dxfId="2512" priority="314"/>
  </conditionalFormatting>
  <conditionalFormatting sqref="H630">
    <cfRule type="duplicateValues" dxfId="2511" priority="312"/>
  </conditionalFormatting>
  <conditionalFormatting sqref="H631">
    <cfRule type="duplicateValues" dxfId="2510" priority="310"/>
  </conditionalFormatting>
  <conditionalFormatting sqref="H634">
    <cfRule type="duplicateValues" dxfId="2509" priority="306"/>
  </conditionalFormatting>
  <conditionalFormatting sqref="Z729:Z730 H729:H730">
    <cfRule type="duplicateValues" dxfId="2508" priority="255"/>
  </conditionalFormatting>
  <conditionalFormatting sqref="Y729:Y730">
    <cfRule type="cellIs" dxfId="2507" priority="254" operator="lessThan">
      <formula>0</formula>
    </cfRule>
  </conditionalFormatting>
  <conditionalFormatting sqref="Y729:Y730">
    <cfRule type="cellIs" dxfId="2506" priority="253" operator="lessThan">
      <formula>0</formula>
    </cfRule>
  </conditionalFormatting>
  <conditionalFormatting sqref="Z731 H731">
    <cfRule type="duplicateValues" dxfId="2505" priority="249"/>
  </conditionalFormatting>
  <conditionalFormatting sqref="Z732 H732">
    <cfRule type="duplicateValues" dxfId="2504" priority="248"/>
  </conditionalFormatting>
  <conditionalFormatting sqref="Z733 H733">
    <cfRule type="duplicateValues" dxfId="2503" priority="247"/>
  </conditionalFormatting>
  <conditionalFormatting sqref="Z734 H734">
    <cfRule type="duplicateValues" dxfId="2502" priority="246"/>
  </conditionalFormatting>
  <conditionalFormatting sqref="Z735 H735">
    <cfRule type="duplicateValues" dxfId="2501" priority="245"/>
  </conditionalFormatting>
  <conditionalFormatting sqref="G774:G776">
    <cfRule type="cellIs" dxfId="2500" priority="238" operator="lessThan">
      <formula>0</formula>
    </cfRule>
  </conditionalFormatting>
  <conditionalFormatting sqref="G774:G776">
    <cfRule type="cellIs" dxfId="2499" priority="237" operator="lessThan">
      <formula>0</formula>
    </cfRule>
  </conditionalFormatting>
  <conditionalFormatting sqref="Y786:Y787">
    <cfRule type="cellIs" dxfId="2498" priority="232" operator="lessThan">
      <formula>0</formula>
    </cfRule>
  </conditionalFormatting>
  <conditionalFormatting sqref="H787:H791 Z788:Z789">
    <cfRule type="duplicateValues" dxfId="2497" priority="231"/>
  </conditionalFormatting>
  <conditionalFormatting sqref="L787:L788">
    <cfRule type="expression" dxfId="2496" priority="230">
      <formula>$W788="Inativo"</formula>
    </cfRule>
  </conditionalFormatting>
  <conditionalFormatting sqref="H792:H799">
    <cfRule type="duplicateValues" dxfId="2495" priority="229"/>
  </conditionalFormatting>
  <conditionalFormatting sqref="H800:H803 Z801:Z804">
    <cfRule type="duplicateValues" dxfId="2494" priority="228"/>
  </conditionalFormatting>
  <conditionalFormatting sqref="I880:I881 I1 I3:I870 I883:I892 I895:I902 I1035 I1037 I1041 I1043 I1045 I1047 I1049 I1051 I1053 I1055 I1057 I1059 I1061 I1063 I1065 I1067 I1069 I1071 I1073 I1075 I1077 I1079 I1085 I1087 I1089 I1093 I1095 I1097 I1099 I1101 I1103 I1105 I1107 I1109 I1111 I1113 I1115 I1117 I1119 I1121 I1123 I1125 I1128 I1130 I1132 I1134 I1136 I1138 I1140 I1142 I1144 I1146 I1148 I1150 I1158 I1160 I1168 I1170 I1172 I1174 I1176 I1178 I1180 I1182 I1184 I1186 I1188 I1190 I1192 I1194 I1196 I1198 I1200 I1202 I1204 I1206 I1208 I1210 I1212 I1214 I1216 I1218 I1220 I1222 I1224 I1226 I1228 I1230 I1232 I1234 I1236 I1238 I1240 I1242 I1244 I1246 I1248 I1250 I1252 I1254 I1256 I1258 I1260 I1262 I1264 I1266 I1268 I1270 I1272 I1274 I1276 I1278 I1280 I1282 I1284 I1286 I1288 I1290 I1292 I1294 I1296 I1298 I1300 I1302 I1304 I1306 I1308 I1310 I1312 I1314 I1316 I1318 I1320 I1322 I1324 I1326 I1328 I1330 I1332 I1334 I1336 I1338 I1340 I1342 I1344 I1346 I1348 I1350 I1352 I1354 I1356 I1358 I1360 I1362 I1364 I1366 I1368 I1370 I1372 I1374 I1376 I1378 I1380 I1382 I1384 I1386 I1388 I1390 I1392 I1394 I1396 I1398 I1400 I1402 I1404 I1406 I1408 I1410 I1412 I1414 I1416 I1418 I1420 I1422 I1424 I1426 I1428 I1430 I1432 I1434 I1436 I1438 I1440 I1442 I1444 I1446 I1448 I1450 I1452 I1454 I1456 I1458 I1460 I1462 I1464 I1466 I1468 I1470 I1472 I1474 I1476 I1478 I1480 I1482 I1484 I1486 I1488 I1490 I1492 I1494 I1496 I1498 I1500 I1502 I1504 I1506 I1508 I1510 I1512 I1514 I1516 I1518 I1520 I1522 I1524 I1526 I1528 I1530 I1532 I1534 I1536 I1538 I1540 I1542 I1544 I1546 I1548 I1550 I1552 I1554 I1556 I1558 I1560 I1562 I1564 I1566 I1568 I1570 I1572 I1574 I1576 I1578 I1580 I1582 I1584 I1586 I1588 I1590 I1592 I1594 I1596 I1598 I1600 I1602 I1604 I1606 I1608 I1610 I1612 I1614 I1616 I1618 I1620 I1622 I1624 I1626 I1628 I1630 I1632 I1634 I1636 I1638 I1640 I1642 I1644 I1646 I1648 I1650 I1652 I1654 I1656 I1658 I1660 I1662 I1664 I1666 I1668 I1670 I1672 I1674 I1676 I1678 I1680 I1682 I1684 I1686 I1688 I1690 I1692 I1694 I1696 I1698 I1700 I1702 I1704 I1706 I1708 I1710 I1712 I1714 I1716 I1718 I1720 I1722 I1724 I1726 I1728 I1730 I1732 I1734 I1736 I1738 I1740 I1742 I1744 I1746 I1748 I1750 I1752 I1754 I1756 I1758 I1760 I1762 I1764 I1766 I1768 I1770 I1772 I1774 I1776 I1778 I1780 I1782 I1784 I1786 I1788 I1790 I1792 I1794 I1796 I1798 I1800 I1802 I1804 I1806 I1808 I1810 I1812 I1814 I1816 I1818 I1820 I1822 I1824 I1826 I1828 I1830 I1832 I1834 I1836 I1838 I1840 I1842 I1844 I1846 I1848 I1850 I1852 I1854 I1856 I1858 I1860 I1862 I1864 I1866 I1868 I1870 I1872 I1874 I1876 I1878 I1880 I1882 I1884 I1886 I1888 I1890 I1892 I1894 I1896 I1898 I1900 I1902 I1904 I1906 I1908 I1910 I1912 I1914 I1916 I1918 I1920 I1922 I1924 I1926 I1928 I1930 I1932 I1934 I1936 I1938 I1940 I1942 I1944 I1946 I1948 I1950 I1952 I1954 I1956 I1958 I1960 I1962 I1964 I1966 I1968 I1970 I1972 I1974 I1976 I1978 I1980 I1982 I1984 I1986 I1988 I1990 I1992 I1994 I1996 I1998 I2000 I2002 I2004 I2006 I2008 I2010 I2012 I2014 I2016 I2018 I2020 I2022 I2024 I2026 I2028 I2030 I2032 I2034 I2036 I2038 I2040 I2042 I2044 I2046 I2048 I2050 I2052 I2054 I2056 I2058 I2060 I2062 I2064 I2066 I2068 I2070 I2072 I2074 I2076 I2078 I2080 I2082 I2084 I2086 I2088 I2090 I2092 I2094 I2096 I2098 I2100 I2102 I2104 I2106 I2108 I2110 I2112 I2114 I2116 I2118 I2120 I2122 I2124 I2126 I2128 I2130 I2132 I2134 I2136 I2138 I2140 I2142 I2144 I2146 I2148 I2150 I2152 I2154 I2156 I2158 I2160 I2162 I2164 I2166 I2168 I2170 I2172 I2174 I2176 I2178 I2180 I2182 I2184 I2186 I2188 I2190 I2192 I2194 I2196 I2198 I2200 I2202 I2204 I2206 I2208 I2210 I2212 I2214 I2216 I2218 I2220 I2222 I2224 I2226 I2228 I2230 I2232 I2234 I2236 I2238 I2240 I2242 I2244 I2246 I2248 I2250 I2252 I2254 I2256 I2258 I2260 I2262 I2264 I2266 I2268 I2270 I2272 I2274 I2276 I2278 I2280 I2282 I2284 I2286 I2288 I2290 I2292 I2294 I2296 I2298 I2300 I2302 I2304 I2306 I2308 I2310 I2312 I2314 I2316 I2318 I2320 I2322 I2324 I2326 I2328 I2330 I2332 I2334 I2336 I2338 I2340 I2342 I2344 I2346 I2348 I2350 I2352 I2354 I2356 I2358 I2360 I2362 I2364 I2366 I2368 I2370 I2372 I2374 I2376 I2378 I2380 I2382 I2384 I2386 I2388 I2390 I2392 I2394 I2396 I2398 I2400 I2402 I2404 I2406 I2408 I2410 I2412 I2414 I2416 I2418 I2420 I2422 I2424 I2426 I2428 I2430 I2432 I2434 I2436 I2438 I2440 I2442 I2444 I2446 I2448 I2450 I2452 I2454 I2456 I2458 I2460 I2462 I2464 I2466 I2468 I2470 I2472 I2474 I2476 I2478 I2480 I2482 I2484 I2486 I2488 I2490 I2492 I2494 I2496 I2498 I2500 I2502 I2504 I2506 I2508 I2510 I2512 I2514 I2516 I2518 I2520 I2522 I2524 I2526 I2528 I2530 I2532 I2534 I2536 I2538 I2540 I2542 I2544 I2546 I2548 I2550 I2552 I2554 I2556 I2558 I2560 I2562 I2564 I2566 I2568 I2570 I2572 I2574 I2576 I2578 I2580 I2582 I2584 I2586 I2588 I2590 I2592 I2594 I2596 I2598 I2600 I2602 I2604 I2606 I2608 I2610 I2612 I2614 I2616 I2618 I2620 I2622 I2624 I2626 I2628 I2630 I2632 I2634 I2636 I2638 I2640 I2642 I2644 I2646 I2648 I2650 I2652 I2654 I2656 I2658 I2660 I2662 I2664 I2666 I2668 I2670 I2672 I2674 I2676 I2678 I2680 I2682 I2684 I2686 I2688 I2690 I2692 I2694 I2696 I2698 I2700 I2702 I2704 I2706 I2708 I2710 I2712 I2714 I2716 I2718 I2720 I2722 I2724 I2726 I2728 I2730 I2732 I2734 I2736 I2738 I2740 I1039 I1081:I1083 I1152:I1156 I1162:I1166">
    <cfRule type="duplicateValues" dxfId="2493" priority="220"/>
  </conditionalFormatting>
  <conditionalFormatting sqref="I875:I877 I871:I873">
    <cfRule type="duplicateValues" dxfId="2492" priority="210"/>
  </conditionalFormatting>
  <conditionalFormatting sqref="G873">
    <cfRule type="cellIs" dxfId="2491" priority="202" operator="lessThan">
      <formula>0</formula>
    </cfRule>
  </conditionalFormatting>
  <conditionalFormatting sqref="G874:G876">
    <cfRule type="cellIs" dxfId="2490" priority="201" operator="lessThan">
      <formula>0</formula>
    </cfRule>
  </conditionalFormatting>
  <conditionalFormatting sqref="I880:I881 I1 I3:I877 I883:I904 I1035 I1037 I1041 I1043 I1045 I1047 I1049 I1051 I1053 I1055 I1057 I1059 I1061 I1063 I1065 I1067 I1069 I1071 I1073 I1075 I1077 I1079 I1085 I1087 I1089 I1093 I1095 I1097 I1099 I1101 I1103 I1105 I1107 I1109 I1111 I1113 I1115 I1117 I1119 I1121 I1123 I1125 I1128 I1130 I1132 I1134 I1136 I1138 I1140 I1142 I1144 I1146 I1148 I1150 I1158 I1160 I1168 I1170 I1172 I1174 I1176 I1178 I1180 I1182 I1184 I1186 I1188 I1190 I1192 I1194 I1196 I1198 I1200 I1202 I1204 I1206 I1208 I1210 I1212 I1214 I1216 I1218 I1220 I1222 I1224 I1226 I1228 I1230 I1232 I1234 I1236 I1238 I1240 I1242 I1244 I1246 I1248 I1250 I1252 I1254 I1256 I1258 I1260 I1262 I1264 I1266 I1268 I1270 I1272 I1274 I1276 I1278 I1280 I1282 I1284 I1286 I1288 I1290 I1292 I1294 I1296 I1298 I1300 I1302 I1304 I1306 I1308 I1310 I1312 I1314 I1316 I1318 I1320 I1322 I1324 I1326 I1328 I1330 I1332 I1334 I1336 I1338 I1340 I1342 I1344 I1346 I1348 I1350 I1352 I1354 I1356 I1358 I1360 I1362 I1364 I1366 I1368 I1370 I1372 I1374 I1376 I1378 I1380 I1382 I1384 I1386 I1388 I1390 I1392 I1394 I1396 I1398 I1400 I1402 I1404 I1406 I1408 I1410 I1412 I1414 I1416 I1418 I1420 I1422 I1424 I1426 I1428 I1430 I1432 I1434 I1436 I1438 I1440 I1442 I1444 I1446 I1448 I1450 I1452 I1454 I1456 I1458 I1460 I1462 I1464 I1466 I1468 I1470 I1472 I1474 I1476 I1478 I1480 I1482 I1484 I1486 I1488 I1490 I1492 I1494 I1496 I1498 I1500 I1502 I1504 I1506 I1508 I1510 I1512 I1514 I1516 I1518 I1520 I1522 I1524 I1526 I1528 I1530 I1532 I1534 I1536 I1538 I1540 I1542 I1544 I1546 I1548 I1550 I1552 I1554 I1556 I1558 I1560 I1562 I1564 I1566 I1568 I1570 I1572 I1574 I1576 I1578 I1580 I1582 I1584 I1586 I1588 I1590 I1592 I1594 I1596 I1598 I1600 I1602 I1604 I1606 I1608 I1610 I1612 I1614 I1616 I1618 I1620 I1622 I1624 I1626 I1628 I1630 I1632 I1634 I1636 I1638 I1640 I1642 I1644 I1646 I1648 I1650 I1652 I1654 I1656 I1658 I1660 I1662 I1664 I1666 I1668 I1670 I1672 I1674 I1676 I1678 I1680 I1682 I1684 I1686 I1688 I1690 I1692 I1694 I1696 I1698 I1700 I1702 I1704 I1706 I1708 I1710 I1712 I1714 I1716 I1718 I1720 I1722 I1724 I1726 I1728 I1730 I1732 I1734 I1736 I1738 I1740 I1742 I1744 I1746 I1748 I1750 I1752 I1754 I1756 I1758 I1760 I1762 I1764 I1766 I1768 I1770 I1772 I1774 I1776 I1778 I1780 I1782 I1784 I1786 I1788 I1790 I1792 I1794 I1796 I1798 I1800 I1802 I1804 I1806 I1808 I1810 I1812 I1814 I1816 I1818 I1820 I1822 I1824 I1826 I1828 I1830 I1832 I1834 I1836 I1838 I1840 I1842 I1844 I1846 I1848 I1850 I1852 I1854 I1856 I1858 I1860 I1862 I1864 I1866 I1868 I1870 I1872 I1874 I1876 I1878 I1880 I1882 I1884 I1886 I1888 I1890 I1892 I1894 I1896 I1898 I1900 I1902 I1904 I1906 I1908 I1910 I1912 I1914 I1916 I1918 I1920 I1922 I1924 I1926 I1928 I1930 I1932 I1934 I1936 I1938 I1940 I1942 I1944 I1946 I1948 I1950 I1952 I1954 I1956 I1958 I1960 I1962 I1964 I1966 I1968 I1970 I1972 I1974 I1976 I1978 I1980 I1982 I1984 I1986 I1988 I1990 I1992 I1994 I1996 I1998 I2000 I2002 I2004 I2006 I2008 I2010 I2012 I2014 I2016 I2018 I2020 I2022 I2024 I2026 I2028 I2030 I2032 I2034 I2036 I2038 I2040 I2042 I2044 I2046 I2048 I2050 I2052 I2054 I2056 I2058 I2060 I2062 I2064 I2066 I2068 I2070 I2072 I2074 I2076 I2078 I2080 I2082 I2084 I2086 I2088 I2090 I2092 I2094 I2096 I2098 I2100 I2102 I2104 I2106 I2108 I2110 I2112 I2114 I2116 I2118 I2120 I2122 I2124 I2126 I2128 I2130 I2132 I2134 I2136 I2138 I2140 I2142 I2144 I2146 I2148 I2150 I2152 I2154 I2156 I2158 I2160 I2162 I2164 I2166 I2168 I2170 I2172 I2174 I2176 I2178 I2180 I2182 I2184 I2186 I2188 I2190 I2192 I2194 I2196 I2198 I2200 I2202 I2204 I2206 I2208 I2210 I2212 I2214 I2216 I2218 I2220 I2222 I2224 I2226 I2228 I2230 I2232 I2234 I2236 I2238 I2240 I2242 I2244 I2246 I2248 I2250 I2252 I2254 I2256 I2258 I2260 I2262 I2264 I2266 I2268 I2270 I2272 I2274 I2276 I2278 I2280 I2282 I2284 I2286 I2288 I2290 I2292 I2294 I2296 I2298 I2300 I2302 I2304 I2306 I2308 I2310 I2312 I2314 I2316 I2318 I2320 I2322 I2324 I2326 I2328 I2330 I2332 I2334 I2336 I2338 I2340 I2342 I2344 I2346 I2348 I2350 I2352 I2354 I2356 I2358 I2360 I2362 I2364 I2366 I2368 I2370 I2372 I2374 I2376 I2378 I2380 I2382 I2384 I2386 I2388 I2390 I2392 I2394 I2396 I2398 I2400 I2402 I2404 I2406 I2408 I2410 I2412 I2414 I2416 I2418 I2420 I2422 I2424 I2426 I2428 I2430 I2432 I2434 I2436 I2438 I2440 I2442 I2444 I2446 I2448 I2450 I2452 I2454 I2456 I2458 I2460 I2462 I2464 I2466 I2468 I2470 I2472 I2474 I2476 I2478 I2480 I2482 I2484 I2486 I2488 I2490 I2492 I2494 I2496 I2498 I2500 I2502 I2504 I2506 I2508 I2510 I2512 I2514 I2516 I2518 I2520 I2522 I2524 I2526 I2528 I2530 I2532 I2534 I2536 I2538 I2540 I2542 I2544 I2546 I2548 I2550 I2552 I2554 I2556 I2558 I2560 I2562 I2564 I2566 I2568 I2570 I2572 I2574 I2576 I2578 I2580 I2582 I2584 I2586 I2588 I2590 I2592 I2594 I2596 I2598 I2600 I2602 I2604 I2606 I2608 I2610 I2612 I2614 I2616 I2618 I2620 I2622 I2624 I2626 I2628 I2630 I2632 I2634 I2636 I2638 I2640 I2642 I2644 I2646 I2648 I2650 I2652 I2654 I2656 I2658 I2660 I2662 I2664 I2666 I2668 I2670 I2672 I2674 I2676 I2678 I2680 I2682 I2684 I2686 I2688 I2690 I2692 I2694 I2696 I2698 I2700 I2702 I2704 I2706 I2708 I2710 I2712 I2714 I2716 I2718 I2720 I2722 I2724 I2726 I2728 I2730 I2732 I2734 I2736 I2738 I2740 I1039 I1081:I1083 I1152:I1156 I1162:I1166">
    <cfRule type="duplicateValues" dxfId="2489" priority="200"/>
  </conditionalFormatting>
  <conditionalFormatting sqref="G877:G880">
    <cfRule type="cellIs" dxfId="2488" priority="199" operator="lessThan">
      <formula>0</formula>
    </cfRule>
  </conditionalFormatting>
  <conditionalFormatting sqref="I878:I881">
    <cfRule type="cellIs" dxfId="2487" priority="198" operator="lessThan">
      <formula>0</formula>
    </cfRule>
  </conditionalFormatting>
  <conditionalFormatting sqref="H878">
    <cfRule type="cellIs" dxfId="2486" priority="195" operator="lessThan">
      <formula>0</formula>
    </cfRule>
  </conditionalFormatting>
  <conditionalFormatting sqref="I1 I3:I881 I883:I904 I1035 I1037 I1041 I1043 I1045 I1047 I1049 I1051 I1053 I1055 I1057 I1059 I1061 I1063 I1065 I1067 I1069 I1071 I1073 I1075 I1077 I1079 I1085 I1087 I1089 I1093 I1095 I1097 I1099 I1101 I1103 I1105 I1107 I1109 I1111 I1113 I1115 I1117 I1119 I1121 I1123 I1125 I1128 I1130 I1132 I1134 I1136 I1138 I1140 I1142 I1144 I1146 I1148 I1150 I1158 I1160 I1168 I1170 I1172 I1174 I1176 I1178 I1180 I1182 I1184 I1186 I1188 I1190 I1192 I1194 I1196 I1198 I1200 I1202 I1204 I1206 I1208 I1210 I1212 I1214 I1216 I1218 I1220 I1222 I1224 I1226 I1228 I1230 I1232 I1234 I1236 I1238 I1240 I1242 I1244 I1246 I1248 I1250 I1252 I1254 I1256 I1258 I1260 I1262 I1264 I1266 I1268 I1270 I1272 I1274 I1276 I1278 I1280 I1282 I1284 I1286 I1288 I1290 I1292 I1294 I1296 I1298 I1300 I1302 I1304 I1306 I1308 I1310 I1312 I1314 I1316 I1318 I1320 I1322 I1324 I1326 I1328 I1330 I1332 I1334 I1336 I1338 I1340 I1342 I1344 I1346 I1348 I1350 I1352 I1354 I1356 I1358 I1360 I1362 I1364 I1366 I1368 I1370 I1372 I1374 I1376 I1378 I1380 I1382 I1384 I1386 I1388 I1390 I1392 I1394 I1396 I1398 I1400 I1402 I1404 I1406 I1408 I1410 I1412 I1414 I1416 I1418 I1420 I1422 I1424 I1426 I1428 I1430 I1432 I1434 I1436 I1438 I1440 I1442 I1444 I1446 I1448 I1450 I1452 I1454 I1456 I1458 I1460 I1462 I1464 I1466 I1468 I1470 I1472 I1474 I1476 I1478 I1480 I1482 I1484 I1486 I1488 I1490 I1492 I1494 I1496 I1498 I1500 I1502 I1504 I1506 I1508 I1510 I1512 I1514 I1516 I1518 I1520 I1522 I1524 I1526 I1528 I1530 I1532 I1534 I1536 I1538 I1540 I1542 I1544 I1546 I1548 I1550 I1552 I1554 I1556 I1558 I1560 I1562 I1564 I1566 I1568 I1570 I1572 I1574 I1576 I1578 I1580 I1582 I1584 I1586 I1588 I1590 I1592 I1594 I1596 I1598 I1600 I1602 I1604 I1606 I1608 I1610 I1612 I1614 I1616 I1618 I1620 I1622 I1624 I1626 I1628 I1630 I1632 I1634 I1636 I1638 I1640 I1642 I1644 I1646 I1648 I1650 I1652 I1654 I1656 I1658 I1660 I1662 I1664 I1666 I1668 I1670 I1672 I1674 I1676 I1678 I1680 I1682 I1684 I1686 I1688 I1690 I1692 I1694 I1696 I1698 I1700 I1702 I1704 I1706 I1708 I1710 I1712 I1714 I1716 I1718 I1720 I1722 I1724 I1726 I1728 I1730 I1732 I1734 I1736 I1738 I1740 I1742 I1744 I1746 I1748 I1750 I1752 I1754 I1756 I1758 I1760 I1762 I1764 I1766 I1768 I1770 I1772 I1774 I1776 I1778 I1780 I1782 I1784 I1786 I1788 I1790 I1792 I1794 I1796 I1798 I1800 I1802 I1804 I1806 I1808 I1810 I1812 I1814 I1816 I1818 I1820 I1822 I1824 I1826 I1828 I1830 I1832 I1834 I1836 I1838 I1840 I1842 I1844 I1846 I1848 I1850 I1852 I1854 I1856 I1858 I1860 I1862 I1864 I1866 I1868 I1870 I1872 I1874 I1876 I1878 I1880 I1882 I1884 I1886 I1888 I1890 I1892 I1894 I1896 I1898 I1900 I1902 I1904 I1906 I1908 I1910 I1912 I1914 I1916 I1918 I1920 I1922 I1924 I1926 I1928 I1930 I1932 I1934 I1936 I1938 I1940 I1942 I1944 I1946 I1948 I1950 I1952 I1954 I1956 I1958 I1960 I1962 I1964 I1966 I1968 I1970 I1972 I1974 I1976 I1978 I1980 I1982 I1984 I1986 I1988 I1990 I1992 I1994 I1996 I1998 I2000 I2002 I2004 I2006 I2008 I2010 I2012 I2014 I2016 I2018 I2020 I2022 I2024 I2026 I2028 I2030 I2032 I2034 I2036 I2038 I2040 I2042 I2044 I2046 I2048 I2050 I2052 I2054 I2056 I2058 I2060 I2062 I2064 I2066 I2068 I2070 I2072 I2074 I2076 I2078 I2080 I2082 I2084 I2086 I2088 I2090 I2092 I2094 I2096 I2098 I2100 I2102 I2104 I2106 I2108 I2110 I2112 I2114 I2116 I2118 I2120 I2122 I2124 I2126 I2128 I2130 I2132 I2134 I2136 I2138 I2140 I2142 I2144 I2146 I2148 I2150 I2152 I2154 I2156 I2158 I2160 I2162 I2164 I2166 I2168 I2170 I2172 I2174 I2176 I2178 I2180 I2182 I2184 I2186 I2188 I2190 I2192 I2194 I2196 I2198 I2200 I2202 I2204 I2206 I2208 I2210 I2212 I2214 I2216 I2218 I2220 I2222 I2224 I2226 I2228 I2230 I2232 I2234 I2236 I2238 I2240 I2242 I2244 I2246 I2248 I2250 I2252 I2254 I2256 I2258 I2260 I2262 I2264 I2266 I2268 I2270 I2272 I2274 I2276 I2278 I2280 I2282 I2284 I2286 I2288 I2290 I2292 I2294 I2296 I2298 I2300 I2302 I2304 I2306 I2308 I2310 I2312 I2314 I2316 I2318 I2320 I2322 I2324 I2326 I2328 I2330 I2332 I2334 I2336 I2338 I2340 I2342 I2344 I2346 I2348 I2350 I2352 I2354 I2356 I2358 I2360 I2362 I2364 I2366 I2368 I2370 I2372 I2374 I2376 I2378 I2380 I2382 I2384 I2386 I2388 I2390 I2392 I2394 I2396 I2398 I2400 I2402 I2404 I2406 I2408 I2410 I2412 I2414 I2416 I2418 I2420 I2422 I2424 I2426 I2428 I2430 I2432 I2434 I2436 I2438 I2440 I2442 I2444 I2446 I2448 I2450 I2452 I2454 I2456 I2458 I2460 I2462 I2464 I2466 I2468 I2470 I2472 I2474 I2476 I2478 I2480 I2482 I2484 I2486 I2488 I2490 I2492 I2494 I2496 I2498 I2500 I2502 I2504 I2506 I2508 I2510 I2512 I2514 I2516 I2518 I2520 I2522 I2524 I2526 I2528 I2530 I2532 I2534 I2536 I2538 I2540 I2542 I2544 I2546 I2548 I2550 I2552 I2554 I2556 I2558 I2560 I2562 I2564 I2566 I2568 I2570 I2572 I2574 I2576 I2578 I2580 I2582 I2584 I2586 I2588 I2590 I2592 I2594 I2596 I2598 I2600 I2602 I2604 I2606 I2608 I2610 I2612 I2614 I2616 I2618 I2620 I2622 I2624 I2626 I2628 I2630 I2632 I2634 I2636 I2638 I2640 I2642 I2644 I2646 I2648 I2650 I2652 I2654 I2656 I2658 I2660 I2662 I2664 I2666 I2668 I2670 I2672 I2674 I2676 I2678 I2680 I2682 I2684 I2686 I2688 I2690 I2692 I2694 I2696 I2698 I2700 I2702 I2704 I2706 I2708 I2710 I2712 I2714 I2716 I2718 I2720 I2722 I2724 I2726 I2728 I2730 I2732 I2734 I2736 I2738 I2740 I1039 I1081:I1083 I1152:I1156 I1162:I1166">
    <cfRule type="duplicateValues" dxfId="2485" priority="194"/>
  </conditionalFormatting>
  <conditionalFormatting sqref="Z805:Z808 H804:H870">
    <cfRule type="duplicateValues" dxfId="2484" priority="1513"/>
  </conditionalFormatting>
  <conditionalFormatting sqref="I2">
    <cfRule type="cellIs" dxfId="2483" priority="193" operator="lessThan">
      <formula>0</formula>
    </cfRule>
  </conditionalFormatting>
  <conditionalFormatting sqref="G881">
    <cfRule type="cellIs" dxfId="2482" priority="192" operator="lessThan">
      <formula>0</formula>
    </cfRule>
  </conditionalFormatting>
  <conditionalFormatting sqref="Z784 H784">
    <cfRule type="duplicateValues" dxfId="2481" priority="1537"/>
  </conditionalFormatting>
  <conditionalFormatting sqref="U890:U913">
    <cfRule type="cellIs" dxfId="2480" priority="167" operator="lessThan">
      <formula>0</formula>
    </cfRule>
  </conditionalFormatting>
  <conditionalFormatting sqref="V890:V913">
    <cfRule type="duplicateValues" dxfId="2479" priority="164"/>
    <cfRule type="duplicateValues" dxfId="2478" priority="165"/>
    <cfRule type="duplicateValues" dxfId="2477" priority="166"/>
  </conditionalFormatting>
  <conditionalFormatting sqref="V890:V913">
    <cfRule type="duplicateValues" dxfId="2476" priority="163"/>
  </conditionalFormatting>
  <conditionalFormatting sqref="V890:V913">
    <cfRule type="duplicateValues" dxfId="2475" priority="162"/>
  </conditionalFormatting>
  <conditionalFormatting sqref="V890:V913">
    <cfRule type="duplicateValues" dxfId="2474" priority="161"/>
  </conditionalFormatting>
  <conditionalFormatting sqref="I1:I904 I1035 I1037 I1041 I1043 I1045 I1047 I1049 I1051 I1053 I1055 I1057 I1059 I1061 I1063 I1065 I1067 I1069 I1071 I1073 I1075 I1077 I1079 I1085 I1087 I1089 I1093 I1095 I1097 I1099 I1101 I1103 I1105 I1107 I1109 I1111 I1113 I1115 I1117 I1119 I1121 I1123 I1125 I1128 I1130 I1132 I1134 I1136 I1138 I1140 I1142 I1144 I1146 I1148 I1150 I1158 I1160 I1168 I1170 I1172 I1174 I1176 I1178 I1180 I1182 I1184 I1186 I1188 I1190 I1192 I1194 I1196 I1198 I1200 I1202 I1204 I1206 I1208 I1210 I1212 I1214 I1216 I1218 I1220 I1222 I1224 I1226 I1228 I1230 I1232 I1234 I1236 I1238 I1240 I1242 I1244 I1246 I1248 I1250 I1252 I1254 I1256 I1258 I1260 I1262 I1264 I1266 I1268 I1270 I1272 I1274 I1276 I1278 I1280 I1282 I1284 I1286 I1288 I1290 I1292 I1294 I1296 I1298 I1300 I1302 I1304 I1306 I1308 I1310 I1312 I1314 I1316 I1318 I1320 I1322 I1324 I1326 I1328 I1330 I1332 I1334 I1336 I1338 I1340 I1342 I1344 I1346 I1348 I1350 I1352 I1354 I1356 I1358 I1360 I1362 I1364 I1366 I1368 I1370 I1372 I1374 I1376 I1378 I1380 I1382 I1384 I1386 I1388 I1390 I1392 I1394 I1396 I1398 I1400 I1402 I1404 I1406 I1408 I1410 I1412 I1414 I1416 I1418 I1420 I1422 I1424 I1426 I1428 I1430 I1432 I1434 I1436 I1438 I1440 I1442 I1444 I1446 I1448 I1450 I1452 I1454 I1456 I1458 I1460 I1462 I1464 I1466 I1468 I1470 I1472 I1474 I1476 I1478 I1480 I1482 I1484 I1486 I1488 I1490 I1492 I1494 I1496 I1498 I1500 I1502 I1504 I1506 I1508 I1510 I1512 I1514 I1516 I1518 I1520 I1522 I1524 I1526 I1528 I1530 I1532 I1534 I1536 I1538 I1540 I1542 I1544 I1546 I1548 I1550 I1552 I1554 I1556 I1558 I1560 I1562 I1564 I1566 I1568 I1570 I1572 I1574 I1576 I1578 I1580 I1582 I1584 I1586 I1588 I1590 I1592 I1594 I1596 I1598 I1600 I1602 I1604 I1606 I1608 I1610 I1612 I1614 I1616 I1618 I1620 I1622 I1624 I1626 I1628 I1630 I1632 I1634 I1636 I1638 I1640 I1642 I1644 I1646 I1648 I1650 I1652 I1654 I1656 I1658 I1660 I1662 I1664 I1666 I1668 I1670 I1672 I1674 I1676 I1678 I1680 I1682 I1684 I1686 I1688 I1690 I1692 I1694 I1696 I1698 I1700 I1702 I1704 I1706 I1708 I1710 I1712 I1714 I1716 I1718 I1720 I1722 I1724 I1726 I1728 I1730 I1732 I1734 I1736 I1738 I1740 I1742 I1744 I1746 I1748 I1750 I1752 I1754 I1756 I1758 I1760 I1762 I1764 I1766 I1768 I1770 I1772 I1774 I1776 I1778 I1780 I1782 I1784 I1786 I1788 I1790 I1792 I1794 I1796 I1798 I1800 I1802 I1804 I1806 I1808 I1810 I1812 I1814 I1816 I1818 I1820 I1822 I1824 I1826 I1828 I1830 I1832 I1834 I1836 I1838 I1840 I1842 I1844 I1846 I1848 I1850 I1852 I1854 I1856 I1858 I1860 I1862 I1864 I1866 I1868 I1870 I1872 I1874 I1876 I1878 I1880 I1882 I1884 I1886 I1888 I1890 I1892 I1894 I1896 I1898 I1900 I1902 I1904 I1906 I1908 I1910 I1912 I1914 I1916 I1918 I1920 I1922 I1924 I1926 I1928 I1930 I1932 I1934 I1936 I1938 I1940 I1942 I1944 I1946 I1948 I1950 I1952 I1954 I1956 I1958 I1960 I1962 I1964 I1966 I1968 I1970 I1972 I1974 I1976 I1978 I1980 I1982 I1984 I1986 I1988 I1990 I1992 I1994 I1996 I1998 I2000 I2002 I2004 I2006 I2008 I2010 I2012 I2014 I2016 I2018 I2020 I2022 I2024 I2026 I2028 I2030 I2032 I2034 I2036 I2038 I2040 I2042 I2044 I2046 I2048 I2050 I2052 I2054 I2056 I2058 I2060 I2062 I2064 I2066 I2068 I2070 I2072 I2074 I2076 I2078 I2080 I2082 I2084 I2086 I2088 I2090 I2092 I2094 I2096 I2098 I2100 I2102 I2104 I2106 I2108 I2110 I2112 I2114 I2116 I2118 I2120 I2122 I2124 I2126 I2128 I2130 I2132 I2134 I2136 I2138 I2140 I2142 I2144 I2146 I2148 I2150 I2152 I2154 I2156 I2158 I2160 I2162 I2164 I2166 I2168 I2170 I2172 I2174 I2176 I2178 I2180 I2182 I2184 I2186 I2188 I2190 I2192 I2194 I2196 I2198 I2200 I2202 I2204 I2206 I2208 I2210 I2212 I2214 I2216 I2218 I2220 I2222 I2224 I2226 I2228 I2230 I2232 I2234 I2236 I2238 I2240 I2242 I2244 I2246 I2248 I2250 I2252 I2254 I2256 I2258 I2260 I2262 I2264 I2266 I2268 I2270 I2272 I2274 I2276 I2278 I2280 I2282 I2284 I2286 I2288 I2290 I2292 I2294 I2296 I2298 I2300 I2302 I2304 I2306 I2308 I2310 I2312 I2314 I2316 I2318 I2320 I2322 I2324 I2326 I2328 I2330 I2332 I2334 I2336 I2338 I2340 I2342 I2344 I2346 I2348 I2350 I2352 I2354 I2356 I2358 I2360 I2362 I2364 I2366 I2368 I2370 I2372 I2374 I2376 I2378 I2380 I2382 I2384 I2386 I2388 I2390 I2392 I2394 I2396 I2398 I2400 I2402 I2404 I2406 I2408 I2410 I2412 I2414 I2416 I2418 I2420 I2422 I2424 I2426 I2428 I2430 I2432 I2434 I2436 I2438 I2440 I2442 I2444 I2446 I2448 I2450 I2452 I2454 I2456 I2458 I2460 I2462 I2464 I2466 I2468 I2470 I2472 I2474 I2476 I2478 I2480 I2482 I2484 I2486 I2488 I2490 I2492 I2494 I2496 I2498 I2500 I2502 I2504 I2506 I2508 I2510 I2512 I2514 I2516 I2518 I2520 I2522 I2524 I2526 I2528 I2530 I2532 I2534 I2536 I2538 I2540 I2542 I2544 I2546 I2548 I2550 I2552 I2554 I2556 I2558 I2560 I2562 I2564 I2566 I2568 I2570 I2572 I2574 I2576 I2578 I2580 I2582 I2584 I2586 I2588 I2590 I2592 I2594 I2596 I2598 I2600 I2602 I2604 I2606 I2608 I2610 I2612 I2614 I2616 I2618 I2620 I2622 I2624 I2626 I2628 I2630 I2632 I2634 I2636 I2638 I2640 I2642 I2644 I2646 I2648 I2650 I2652 I2654 I2656 I2658 I2660 I2662 I2664 I2666 I2668 I2670 I2672 I2674 I2676 I2678 I2680 I2682 I2684 I2686 I2688 I2690 I2692 I2694 I2696 I2698 I2700 I2702 I2704 I2706 I2708 I2710 I2712 I2714 I2716 I2718 I2720 I2722 I2724 I2726 I2728 I2730 I2732 I2734 I2736 I2738 I2740 I1039 I1081:I1083 I1152:I1156 I1162:I1166">
    <cfRule type="duplicateValues" dxfId="2473" priority="160"/>
  </conditionalFormatting>
  <conditionalFormatting sqref="H893:H894 H903:H904 G885:G904">
    <cfRule type="cellIs" dxfId="2472" priority="158" operator="lessThan">
      <formula>0</formula>
    </cfRule>
  </conditionalFormatting>
  <conditionalFormatting sqref="I893:I894 I903:I904">
    <cfRule type="duplicateValues" dxfId="2471" priority="157"/>
  </conditionalFormatting>
  <conditionalFormatting sqref="H885:H892 H895:H902">
    <cfRule type="duplicateValues" dxfId="2470" priority="159"/>
  </conditionalFormatting>
  <conditionalFormatting sqref="G946:G947 G905:G936 G938:G942">
    <cfRule type="cellIs" dxfId="2469" priority="152" operator="lessThan">
      <formula>0</formula>
    </cfRule>
  </conditionalFormatting>
  <conditionalFormatting sqref="H905:H942">
    <cfRule type="duplicateValues" dxfId="2468" priority="149"/>
    <cfRule type="duplicateValues" dxfId="2467" priority="150"/>
    <cfRule type="duplicateValues" dxfId="2466" priority="151"/>
  </conditionalFormatting>
  <conditionalFormatting sqref="H905:H942">
    <cfRule type="duplicateValues" dxfId="2465" priority="148"/>
  </conditionalFormatting>
  <conditionalFormatting sqref="H905:H942">
    <cfRule type="duplicateValues" dxfId="2464" priority="147"/>
  </conditionalFormatting>
  <conditionalFormatting sqref="H905:H942">
    <cfRule type="duplicateValues" dxfId="2463" priority="146"/>
  </conditionalFormatting>
  <conditionalFormatting sqref="H905:H942">
    <cfRule type="duplicateValues" dxfId="2462" priority="145"/>
  </conditionalFormatting>
  <conditionalFormatting sqref="Z943:Z948 H943:H948">
    <cfRule type="duplicateValues" dxfId="2461" priority="143"/>
  </conditionalFormatting>
  <conditionalFormatting sqref="Y943:Y948">
    <cfRule type="cellIs" dxfId="2460" priority="142" operator="lessThan">
      <formula>0</formula>
    </cfRule>
  </conditionalFormatting>
  <conditionalFormatting sqref="G944">
    <cfRule type="cellIs" dxfId="2459" priority="141" operator="lessThan">
      <formula>0</formula>
    </cfRule>
  </conditionalFormatting>
  <conditionalFormatting sqref="G950 G952">
    <cfRule type="cellIs" dxfId="2458" priority="140" operator="lessThan">
      <formula>0</formula>
    </cfRule>
  </conditionalFormatting>
  <conditionalFormatting sqref="H949:H953">
    <cfRule type="duplicateValues" dxfId="2457" priority="137"/>
    <cfRule type="duplicateValues" dxfId="2456" priority="138"/>
    <cfRule type="duplicateValues" dxfId="2455" priority="139"/>
  </conditionalFormatting>
  <conditionalFormatting sqref="H949:H953">
    <cfRule type="duplicateValues" dxfId="2454" priority="136"/>
  </conditionalFormatting>
  <conditionalFormatting sqref="H949:H953">
    <cfRule type="duplicateValues" dxfId="2453" priority="135"/>
  </conditionalFormatting>
  <conditionalFormatting sqref="H949:H953">
    <cfRule type="duplicateValues" dxfId="2452" priority="134"/>
  </conditionalFormatting>
  <conditionalFormatting sqref="H949:H953">
    <cfRule type="duplicateValues" dxfId="2451" priority="133"/>
  </conditionalFormatting>
  <conditionalFormatting sqref="H954:H955">
    <cfRule type="duplicateValues" dxfId="2450" priority="131"/>
  </conditionalFormatting>
  <conditionalFormatting sqref="G956 G958">
    <cfRule type="cellIs" dxfId="2449" priority="130" operator="lessThan">
      <formula>0</formula>
    </cfRule>
  </conditionalFormatting>
  <conditionalFormatting sqref="H956:H959">
    <cfRule type="duplicateValues" dxfId="2448" priority="127"/>
    <cfRule type="duplicateValues" dxfId="2447" priority="128"/>
    <cfRule type="duplicateValues" dxfId="2446" priority="129"/>
  </conditionalFormatting>
  <conditionalFormatting sqref="H956:H959">
    <cfRule type="duplicateValues" dxfId="2445" priority="126"/>
  </conditionalFormatting>
  <conditionalFormatting sqref="H956:H959">
    <cfRule type="duplicateValues" dxfId="2444" priority="125"/>
  </conditionalFormatting>
  <conditionalFormatting sqref="H956:H959">
    <cfRule type="duplicateValues" dxfId="2443" priority="124"/>
  </conditionalFormatting>
  <conditionalFormatting sqref="H956:H959">
    <cfRule type="duplicateValues" dxfId="2442" priority="123"/>
  </conditionalFormatting>
  <conditionalFormatting sqref="G961">
    <cfRule type="cellIs" dxfId="2441" priority="122" operator="lessThan">
      <formula>0</formula>
    </cfRule>
  </conditionalFormatting>
  <conditionalFormatting sqref="H960:H963 H968:H972">
    <cfRule type="duplicateValues" dxfId="2440" priority="119"/>
    <cfRule type="duplicateValues" dxfId="2439" priority="120"/>
    <cfRule type="duplicateValues" dxfId="2438" priority="121"/>
  </conditionalFormatting>
  <conditionalFormatting sqref="H960:H963 H968:H972">
    <cfRule type="duplicateValues" dxfId="2437" priority="118"/>
  </conditionalFormatting>
  <conditionalFormatting sqref="H960:H963 H968:H972">
    <cfRule type="duplicateValues" dxfId="2436" priority="117"/>
  </conditionalFormatting>
  <conditionalFormatting sqref="H960:H963 H968:H972">
    <cfRule type="duplicateValues" dxfId="2435" priority="116"/>
  </conditionalFormatting>
  <conditionalFormatting sqref="H960:H963 H968:H972">
    <cfRule type="duplicateValues" dxfId="2434" priority="115"/>
  </conditionalFormatting>
  <conditionalFormatting sqref="H964 H967">
    <cfRule type="duplicateValues" dxfId="2433" priority="114"/>
  </conditionalFormatting>
  <conditionalFormatting sqref="G965">
    <cfRule type="cellIs" dxfId="2432" priority="113" operator="lessThan">
      <formula>0</formula>
    </cfRule>
  </conditionalFormatting>
  <conditionalFormatting sqref="H965:H966">
    <cfRule type="duplicateValues" dxfId="2431" priority="110"/>
    <cfRule type="duplicateValues" dxfId="2430" priority="111"/>
    <cfRule type="duplicateValues" dxfId="2429" priority="112"/>
  </conditionalFormatting>
  <conditionalFormatting sqref="H965:H966">
    <cfRule type="duplicateValues" dxfId="2428" priority="109"/>
  </conditionalFormatting>
  <conditionalFormatting sqref="H965:H966">
    <cfRule type="duplicateValues" dxfId="2427" priority="108"/>
  </conditionalFormatting>
  <conditionalFormatting sqref="H965:H966">
    <cfRule type="duplicateValues" dxfId="2426" priority="107"/>
  </conditionalFormatting>
  <conditionalFormatting sqref="H965:H966">
    <cfRule type="duplicateValues" dxfId="2425" priority="106"/>
  </conditionalFormatting>
  <conditionalFormatting sqref="H973">
    <cfRule type="duplicateValues" dxfId="2424" priority="105"/>
  </conditionalFormatting>
  <conditionalFormatting sqref="G974">
    <cfRule type="cellIs" dxfId="2423" priority="104" operator="lessThan">
      <formula>0</formula>
    </cfRule>
  </conditionalFormatting>
  <conditionalFormatting sqref="H974:H975">
    <cfRule type="duplicateValues" dxfId="2422" priority="101"/>
    <cfRule type="duplicateValues" dxfId="2421" priority="102"/>
    <cfRule type="duplicateValues" dxfId="2420" priority="103"/>
  </conditionalFormatting>
  <conditionalFormatting sqref="H974:H975">
    <cfRule type="duplicateValues" dxfId="2419" priority="100"/>
  </conditionalFormatting>
  <conditionalFormatting sqref="H974:H975">
    <cfRule type="duplicateValues" dxfId="2418" priority="99"/>
  </conditionalFormatting>
  <conditionalFormatting sqref="H974:H975">
    <cfRule type="duplicateValues" dxfId="2417" priority="98"/>
  </conditionalFormatting>
  <conditionalFormatting sqref="H974:H975">
    <cfRule type="duplicateValues" dxfId="2416" priority="97"/>
  </conditionalFormatting>
  <conditionalFormatting sqref="G976 G978 G980">
    <cfRule type="cellIs" dxfId="2415" priority="94" operator="lessThan">
      <formula>0</formula>
    </cfRule>
  </conditionalFormatting>
  <conditionalFormatting sqref="H982">
    <cfRule type="duplicateValues" dxfId="2414" priority="84"/>
    <cfRule type="duplicateValues" dxfId="2413" priority="85"/>
    <cfRule type="duplicateValues" dxfId="2412" priority="86"/>
  </conditionalFormatting>
  <conditionalFormatting sqref="H982">
    <cfRule type="duplicateValues" dxfId="2411" priority="83"/>
  </conditionalFormatting>
  <conditionalFormatting sqref="H982">
    <cfRule type="duplicateValues" dxfId="2410" priority="82"/>
  </conditionalFormatting>
  <conditionalFormatting sqref="H982">
    <cfRule type="duplicateValues" dxfId="2409" priority="81"/>
  </conditionalFormatting>
  <conditionalFormatting sqref="H982">
    <cfRule type="duplicateValues" dxfId="2408" priority="80"/>
  </conditionalFormatting>
  <conditionalFormatting sqref="G983">
    <cfRule type="cellIs" dxfId="2407" priority="79" operator="lessThan">
      <formula>0</formula>
    </cfRule>
  </conditionalFormatting>
  <conditionalFormatting sqref="G984">
    <cfRule type="cellIs" dxfId="2406" priority="78" operator="lessThan">
      <formula>0</formula>
    </cfRule>
  </conditionalFormatting>
  <conditionalFormatting sqref="G985 G987:G988 G990:G993 G995 G997 G999 G1001:G1002 G1004 G1006 G1008:G1010 G1012:G1036">
    <cfRule type="cellIs" dxfId="2405" priority="75" operator="lessThan">
      <formula>0</formula>
    </cfRule>
  </conditionalFormatting>
  <conditionalFormatting sqref="G1010">
    <cfRule type="cellIs" dxfId="2404" priority="69" operator="lessThan">
      <formula>0</formula>
    </cfRule>
  </conditionalFormatting>
  <conditionalFormatting sqref="AW1011">
    <cfRule type="cellIs" dxfId="2403" priority="67" operator="lessThan">
      <formula>0</formula>
    </cfRule>
  </conditionalFormatting>
  <conditionalFormatting sqref="G1012:G1034">
    <cfRule type="cellIs" dxfId="2402" priority="51" operator="lessThan">
      <formula>0</formula>
    </cfRule>
  </conditionalFormatting>
  <conditionalFormatting sqref="G1035">
    <cfRule type="cellIs" dxfId="2401" priority="50" operator="lessThan">
      <formula>0</formula>
    </cfRule>
  </conditionalFormatting>
  <conditionalFormatting sqref="G1036">
    <cfRule type="cellIs" dxfId="2400" priority="49" operator="lessThan">
      <formula>0</formula>
    </cfRule>
  </conditionalFormatting>
  <conditionalFormatting sqref="G1054 G1056 G1058 G1060 G1062 G1064 G1066 G1068 G1070 G1102 G1167 G1169 G1171 G1173 G1175 G1177 G1179 G1181 G1183 G1185 G1187 G1189 G1191 G1193 G1195 G1197 G1199 G1201 G1203 G1205 G1207 G1209 G1211 G1213 G1215 G1217 G1219 G1221 G1223 G1225 G1227 G1229 G1231 G1233 G1235 G1237 G1239 G1241 G1243 G1245 G1247 G1249 G1251 G1253 G1255 G1257 G1259 G1261 G1263 G1265 G1267 G1269 G1271 G1273 G1275 G1277 G1279 G1281 G1283 G1285 G1287 G1289 G1291 G1293 G1295 G1297 G1299 G1301 G1303 G1305 G1307 G1309 G1311 G1313 G1315 G1317 G1319 G1321 G1323 G1325 G1327 G1329 G1331 G1333 G1335 G1337 G1339 G1341 G1343 G1345 G1347 G1349 G1351 G1353 G1355 G1357 G1359 G1361 G1363 G1365 G1367 G1369 G1371 G1373 G1375 G1377 G1379 G1381 G1383 G1385 G1387 G1389 G1391 G1393 G1395 G1397 G1399 G1401 G1403 G1405 G1407 G1409 G1411 G1413 G1415 G1417 G1419 G1421 G1423 G1425 G1427 G1429 G1431 G1433 G1435 G1437 G1439 G1441 G1443 G1445 G1447 G1449 G1451 G1453 G1455 G1457 G1459 G1461 G1463 G1465 G1467 G1469 G1471 G1473 G1475 G1477 G1479 G1481 G1483 G1485 G1487 G1489 G1491 G1493 G1495 G1497 G1499 G1501 G1503 G1505 G1507 G1509 G1511 G1513 G1515 G1517 G1519 G1521 G1523 G1525 G1527 G1529 G1531 G1533 G1535 G1537 G1539 G1541 G1543 G1545 G1547 G1549 G1551 G1553 G1555 G1557 G1559 G1561 G1563 G1565 G1567 G1569 G1571 G1573 G1575 G1577 G1579 G1581 G1583 G1585 G1587 G1589 G1591 G1593 G1595 G1597 G1599 G1601 G1603 G1605 G1607 G1609 G1611 G1613 G1615 G1617 G1619 G1621 G1623 G1625 G1627 G1629 G1631 G1633 G1635 G1637 G1639 G1641 G1643 G1645 G1647 G1649 G1651 G1653 G1655 G1657 G1659 G1661 G1663 G1665 G1667 G1669 G1671 G1673 G1675 G1677 G1679 G1681 G1683 G1685 G1687 G1689 G1691 G1693 G1695 G1697 G1699 G1701 G1703 G1705 G1707 G1709 G1711 G1713 G1715 G1717 G1719 G1721 G1723 G1725 G1727 G1729 G1731 G1733 G1735 G1737 G1739 G1741 G1743 G1745 G1747 G1749 G1751 G1753 G1755 G1757 G1759 G1761 G1763 G1765 G1767 G1769 G1771 G1773 G1775 G1777 G1779 G1781 G1783 G1785 G1787 G1789 G1791 G1793 G1795 G1797 G1799 G1801 G1803 G1805 G1807 G1809 G1811 G1813 G1815 G1817 G1819 G1821 G1823 G1825 G1827 G1829 G1831 G1833 G1835 G1837 G1839 G1841 G1843 G1845 G1847 G1849 G1851 G1853 G1855 G1857 G1859 G1861 G1863 G1865 G1867 G1869 G1871 G1873 G1875 G1877 G1879 G1881 G1883 G1885 G1887 G1889 G1891 G1893 G1895 G1897 G1899 G1901 G1903 G1905 G1907 G1909 G1911 G1913 G1915 G1917 G1919 G1921 G1923 G1925 G1927 G1929 G1931 G1933 G1935 G1937 G1939 G1941 G1943 G1945 G1947 G1949 G1951 G1953 G1955 G1957 G1959 G1961 G1963 G1965 G1967 G1969 G1971 G1973 G1975 G1977 G1979 G1981 G1983 G1985 G1987 G1989 G1991 G1993 G1995 G1997 G1999 G2001 G2003 G2005 G2007 G2009 G2011 G2013 G2015 G2017 G2019 G2021 G2023 G2025 G2027 G2029 G2031 G2033 G2035 G2037 G2039 G2041 G2043 G2045 G2047 G2049 G2051 G2053 G2055 G2057 G2059 G2061 G2063 G2065 G2067 G2069 G2071 G2073 G2075 G2077 G2079 G2081 G2083 G2085 G2087 G2089 G2091 G2093 G2095 G2097 G2099 G2101 G2103 G2105 G2107 G2109 G2111 G2113 G2115 G2117 G2119 G2121 G2123 G2125 G2127 G2129 G2131 G2133 G2135 G2137 G2139 G2141 G2143 G2145 G2147 G2149 G2151 G2153 G2155 G2157 G2159 G2161 G2163 G2165 G2167 G2169 G2171 G2173 G2175 G2177 G2179 G2181 G2183 G2185 G2187 G2189 G2191 G2193 G2195 G2197 G2199 G2201 G2203 G2205 G2207 G2209 G2211 G2213 G2215 G2217 G2219 G2221 G2223 G2225 G2227 G2229 G2231 G2233 G2235 G2237 G2239 G2241 G2243 G2245 G2247 G2249 G2251 G2253 G2255 G2257 G2259 G2261 G2263 G2265 G2267 G2269 G2271 G2273 G2275 G2277 G2279 G2281 G2283 G2285 G2287 G2289 G2291 G2293 G2295 G2297 G2299 G2301 G2303 G2305 G2307 G2309 G2311 G2313 G2315 G2317 G2319 G2321 G2323 G2325 G2327 G2329 G2331 G2333 G2335 G2337 G2339 G2341 G2343 G2345 G2347 G2349 G2351 G2353 G2355 G2357 G2359 G2361 G2363 G2365 G2367 G2369 G2371 G2373 G2375 G2377 G2379 G2381 G2383 G2385 G2387 G2389 G2391 G2393 G2395 G2397 G2399 G2401 G2403 G2405 G2407 G2409 G2411 G2413 G2415 G2417 G2419 G2421 G2423 G2425 G2427 G2429 G2431 G2433 G2435 G2437 G2439 G2441 G2443 G2445 G2447 G2449 G2451 G2453 G2455 G2457 G2459 G2461 G2463 G2465 G2467 G2469 G2471 G2473 G2475 G2477 G2479 G2481 G2483 G2485 G2487 G2489 G2491 G2493 G2495 G2497 G2499 G2501 G2503 G2505 G2507 G2509 G2511 G2513 G2515 G2517 G2519 G2521 G2523 G2525 G2527 G2529 G2531 G2533 G2535 G2537 G2539 G2541 G2543 G2545 G2547 G2549 G2551 G2553 G2555 G2557 G2559 G2561 G2563 G2565 G2567 G2569 G2571 G2573 G2575 G2577 G2579 G2581 G2583 G2585 G2587 G2589 G2591 G2593 G2595 G2597 G2599 G2601 G2603 G2605 G2607 G2609 G2611 G2613 G2615 G2617 G2619 G2621 G2623 G2625 G2627 G2629 G2631 G2633 G2635 G2637 G2639 G2641 G2643 G2645 G2647 G2649 G2651 G2653 G2655 G2657 G2659 G2661 G2663 G2665 G2667 G2669 G2671 G2673 G2675 G2677 G2679 G2681 G2683 G2685 G2687 G2689 G2691 G2693 G2695 G2697 G2699 G2701 G2703 G2705 G2707 G2709 G2711 G2713 G2715 G2717 G2719 G2721 G2723 G2725 G2727 G2729 G2731 G2733 G2735 G2737 G2739 G1075:G1076 G1107 G1110 G1112">
    <cfRule type="cellIs" dxfId="2399" priority="48" operator="lessThan">
      <formula>0</formula>
    </cfRule>
  </conditionalFormatting>
  <conditionalFormatting sqref="G1054 G1056 G1058 G1060 G1062 G1064 G1066 G1068 G1070 G1102 G1167 G1169 G1171 G1173 G1175 G1177 G1179 G1181 G1183 G1185 G1187 G1189 G1191 G1193 G1195 G1197 G1199 G1201 G1203 G1205 G1207 G1209 G1211 G1213 G1215 G1217 G1219 G1221 G1223 G1225 G1227 G1229 G1231 G1233 G1235 G1237 G1239 G1241 G1243 G1245 G1247 G1249 G1251 G1253 G1255 G1257 G1259 G1261 G1263 G1265 G1267 G1269 G1271 G1273 G1275 G1277 G1279 G1281 G1283 G1285 G1287 G1289 G1291 G1293 G1295 G1297 G1299 G1301 G1303 G1305 G1307 G1309 G1311 G1313 G1315 G1317 G1319 G1321 G1323 G1325 G1327 G1329 G1331 G1333 G1335 G1337 G1339 G1341 G1343 G1345 G1347 G1349 G1351 G1353 G1355 G1357 G1359 G1361 G1363 G1365 G1367 G1369 G1371 G1373 G1375 G1377 G1379 G1381 G1383 G1385 G1387 G1389 G1391 G1393 G1395 G1397 G1399 G1401 G1403 G1405 G1407 G1409 G1411 G1413 G1415 G1417 G1419 G1421 G1423 G1425 G1427 G1429 G1431 G1433 G1435 G1437 G1439 G1441 G1443 G1445 G1447 G1449 G1451 G1453 G1455 G1457 G1459 G1461 G1463 G1465 G1467 G1469 G1471 G1473 G1475 G1477 G1479 G1481 G1483 G1485 G1487 G1489 G1491 G1493 G1495 G1497 G1499 G1501 G1503 G1505 G1507 G1509 G1511 G1513 G1515 G1517 G1519 G1521 G1523 G1525 G1527 G1529 G1531 G1533 G1535 G1537 G1539 G1541 G1543 G1545 G1547 G1549 G1551 G1553 G1555 G1557 G1559 G1561 G1563 G1565 G1567 G1569 G1571 G1573 G1575 G1577 G1579 G1581 G1583 G1585 G1587 G1589 G1591 G1593 G1595 G1597 G1599 G1601 G1603 G1605 G1607 G1609 G1611 G1613 G1615 G1617 G1619 G1621 G1623 G1625 G1627 G1629 G1631 G1633 G1635 G1637 G1639 G1641 G1643 G1645 G1647 G1649 G1651 G1653 G1655 G1657 G1659 G1661 G1663 G1665 G1667 G1669 G1671 G1673 G1675 G1677 G1679 G1681 G1683 G1685 G1687 G1689 G1691 G1693 G1695 G1697 G1699 G1701 G1703 G1705 G1707 G1709 G1711 G1713 G1715 G1717 G1719 G1721 G1723 G1725 G1727 G1729 G1731 G1733 G1735 G1737 G1739 G1741 G1743 G1745 G1747 G1749 G1751 G1753 G1755 G1757 G1759 G1761 G1763 G1765 G1767 G1769 G1771 G1773 G1775 G1777 G1779 G1781 G1783 G1785 G1787 G1789 G1791 G1793 G1795 G1797 G1799 G1801 G1803 G1805 G1807 G1809 G1811 G1813 G1815 G1817 G1819 G1821 G1823 G1825 G1827 G1829 G1831 G1833 G1835 G1837 G1839 G1841 G1843 G1845 G1847 G1849 G1851 G1853 G1855 G1857 G1859 G1861 G1863 G1865 G1867 G1869 G1871 G1873 G1875 G1877 G1879 G1881 G1883 G1885 G1887 G1889 G1891 G1893 G1895 G1897 G1899 G1901 G1903 G1905 G1907 G1909 G1911 G1913 G1915 G1917 G1919 G1921 G1923 G1925 G1927 G1929 G1931 G1933 G1935 G1937 G1939 G1941 G1943 G1945 G1947 G1949 G1951 G1953 G1955 G1957 G1959 G1961 G1963 G1965 G1967 G1969 G1971 G1973 G1975 G1977 G1979 G1981 G1983 G1985 G1987 G1989 G1991 G1993 G1995 G1997 G1999 G2001 G2003 G2005 G2007 G2009 G2011 G2013 G2015 G2017 G2019 G2021 G2023 G2025 G2027 G2029 G2031 G2033 G2035 G2037 G2039 G2041 G2043 G2045 G2047 G2049 G2051 G2053 G2055 G2057 G2059 G2061 G2063 G2065 G2067 G2069 G2071 G2073 G2075 G2077 G2079 G2081 G2083 G2085 G2087 G2089 G2091 G2093 G2095 G2097 G2099 G2101 G2103 G2105 G2107 G2109 G2111 G2113 G2115 G2117 G2119 G2121 G2123 G2125 G2127 G2129 G2131 G2133 G2135 G2137 G2139 G2141 G2143 G2145 G2147 G2149 G2151 G2153 G2155 G2157 G2159 G2161 G2163 G2165 G2167 G2169 G2171 G2173 G2175 G2177 G2179 G2181 G2183 G2185 G2187 G2189 G2191 G2193 G2195 G2197 G2199 G2201 G2203 G2205 G2207 G2209 G2211 G2213 G2215 G2217 G2219 G2221 G2223 G2225 G2227 G2229 G2231 G2233 G2235 G2237 G2239 G2241 G2243 G2245 G2247 G2249 G2251 G2253 G2255 G2257 G2259 G2261 G2263 G2265 G2267 G2269 G2271 G2273 G2275 G2277 G2279 G2281 G2283 G2285 G2287 G2289 G2291 G2293 G2295 G2297 G2299 G2301 G2303 G2305 G2307 G2309 G2311 G2313 G2315 G2317 G2319 G2321 G2323 G2325 G2327 G2329 G2331 G2333 G2335 G2337 G2339 G2341 G2343 G2345 G2347 G2349 G2351 G2353 G2355 G2357 G2359 G2361 G2363 G2365 G2367 G2369 G2371 G2373 G2375 G2377 G2379 G2381 G2383 G2385 G2387 G2389 G2391 G2393 G2395 G2397 G2399 G2401 G2403 G2405 G2407 G2409 G2411 G2413 G2415 G2417 G2419 G2421 G2423 G2425 G2427 G2429 G2431 G2433 G2435 G2437 G2439 G2441 G2443 G2445 G2447 G2449 G2451 G2453 G2455 G2457 G2459 G2461 G2463 G2465 G2467 G2469 G2471 G2473 G2475 G2477 G2479 G2481 G2483 G2485 G2487 G2489 G2491 G2493 G2495 G2497 G2499 G2501 G2503 G2505 G2507 G2509 G2511 G2513 G2515 G2517 G2519 G2521 G2523 G2525 G2527 G2529 G2531 G2533 G2535 G2537 G2539 G2541 G2543 G2545 G2547 G2549 G2551 G2553 G2555 G2557 G2559 G2561 G2563 G2565 G2567 G2569 G2571 G2573 G2575 G2577 G2579 G2581 G2583 G2585 G2587 G2589 G2591 G2593 G2595 G2597 G2599 G2601 G2603 G2605 G2607 G2609 G2611 G2613 G2615 G2617 G2619 G2621 G2623 G2625 G2627 G2629 G2631 G2633 G2635 G2637 G2639 G2641 G2643 G2645 G2647 G2649 G2651 G2653 G2655 G2657 G2659 G2661 G2663 G2665 G2667 G2669 G2671 G2673 G2675 G2677 G2679 G2681 G2683 G2685 G2687 G2689 G2691 G2693 G2695 G2697 G2699 G2701 G2703 G2705 G2707 G2709 G2711 G2713 G2715 G2717 G2719 G2721 G2723 G2725 G2727 G2729 G2731 G2733 G2735 G2737 G2739 G1075:G1076 G1107 G1110 G1112">
    <cfRule type="cellIs" dxfId="2398" priority="47" operator="lessThan">
      <formula>0</formula>
    </cfRule>
  </conditionalFormatting>
  <conditionalFormatting sqref="G1054 G1056 G1058 G1060 G1062 G1064 G1066 G1068 G1070 G1102 G1167 G1169 G1171 G1173 G1175 G1177 G1179 G1181 G1183 G1185 G1187 G1189 G1191 G1193 G1195 G1197 G1199 G1201 G1203 G1205 G1207 G1209 G1211 G1213 G1215 G1217 G1219 G1221 G1223 G1225 G1227 G1229 G1231 G1233 G1235 G1237 G1239 G1241 G1243 G1245 G1247 G1249 G1251 G1253 G1255 G1257 G1259 G1261 G1263 G1265 G1267 G1269 G1271 G1273 G1275 G1277 G1279 G1281 G1283 G1285 G1287 G1289 G1291 G1293 G1295 G1297 G1299 G1301 G1303 G1305 G1307 G1309 G1311 G1313 G1315 G1317 G1319 G1321 G1323 G1325 G1327 G1329 G1331 G1333 G1335 G1337 G1339 G1341 G1343 G1345 G1347 G1349 G1351 G1353 G1355 G1357 G1359 G1361 G1363 G1365 G1367 G1369 G1371 G1373 G1375 G1377 G1379 G1381 G1383 G1385 G1387 G1389 G1391 G1393 G1395 G1397 G1399 G1401 G1403 G1405 G1407 G1409 G1411 G1413 G1415 G1417 G1419 G1421 G1423 G1425 G1427 G1429 G1431 G1433 G1435 G1437 G1439 G1441 G1443 G1445 G1447 G1449 G1451 G1453 G1455 G1457 G1459 G1461 G1463 G1465 G1467 G1469 G1471 G1473 G1475 G1477 G1479 G1481 G1483 G1485 G1487 G1489 G1491 G1493 G1495 G1497 G1499 G1501 G1503 G1505 G1507 G1509 G1511 G1513 G1515 G1517 G1519 G1521 G1523 G1525 G1527 G1529 G1531 G1533 G1535 G1537 G1539 G1541 G1543 G1545 G1547 G1549 G1551 G1553 G1555 G1557 G1559 G1561 G1563 G1565 G1567 G1569 G1571 G1573 G1575 G1577 G1579 G1581 G1583 G1585 G1587 G1589 G1591 G1593 G1595 G1597 G1599 G1601 G1603 G1605 G1607 G1609 G1611 G1613 G1615 G1617 G1619 G1621 G1623 G1625 G1627 G1629 G1631 G1633 G1635 G1637 G1639 G1641 G1643 G1645 G1647 G1649 G1651 G1653 G1655 G1657 G1659 G1661 G1663 G1665 G1667 G1669 G1671 G1673 G1675 G1677 G1679 G1681 G1683 G1685 G1687 G1689 G1691 G1693 G1695 G1697 G1699 G1701 G1703 G1705 G1707 G1709 G1711 G1713 G1715 G1717 G1719 G1721 G1723 G1725 G1727 G1729 G1731 G1733 G1735 G1737 G1739 G1741 G1743 G1745 G1747 G1749 G1751 G1753 G1755 G1757 G1759 G1761 G1763 G1765 G1767 G1769 G1771 G1773 G1775 G1777 G1779 G1781 G1783 G1785 G1787 G1789 G1791 G1793 G1795 G1797 G1799 G1801 G1803 G1805 G1807 G1809 G1811 G1813 G1815 G1817 G1819 G1821 G1823 G1825 G1827 G1829 G1831 G1833 G1835 G1837 G1839 G1841 G1843 G1845 G1847 G1849 G1851 G1853 G1855 G1857 G1859 G1861 G1863 G1865 G1867 G1869 G1871 G1873 G1875 G1877 G1879 G1881 G1883 G1885 G1887 G1889 G1891 G1893 G1895 G1897 G1899 G1901 G1903 G1905 G1907 G1909 G1911 G1913 G1915 G1917 G1919 G1921 G1923 G1925 G1927 G1929 G1931 G1933 G1935 G1937 G1939 G1941 G1943 G1945 G1947 G1949 G1951 G1953 G1955 G1957 G1959 G1961 G1963 G1965 G1967 G1969 G1971 G1973 G1975 G1977 G1979 G1981 G1983 G1985 G1987 G1989 G1991 G1993 G1995 G1997 G1999 G2001 G2003 G2005 G2007 G2009 G2011 G2013 G2015 G2017 G2019 G2021 G2023 G2025 G2027 G2029 G2031 G2033 G2035 G2037 G2039 G2041 G2043 G2045 G2047 G2049 G2051 G2053 G2055 G2057 G2059 G2061 G2063 G2065 G2067 G2069 G2071 G2073 G2075 G2077 G2079 G2081 G2083 G2085 G2087 G2089 G2091 G2093 G2095 G2097 G2099 G2101 G2103 G2105 G2107 G2109 G2111 G2113 G2115 G2117 G2119 G2121 G2123 G2125 G2127 G2129 G2131 G2133 G2135 G2137 G2139 G2141 G2143 G2145 G2147 G2149 G2151 G2153 G2155 G2157 G2159 G2161 G2163 G2165 G2167 G2169 G2171 G2173 G2175 G2177 G2179 G2181 G2183 G2185 G2187 G2189 G2191 G2193 G2195 G2197 G2199 G2201 G2203 G2205 G2207 G2209 G2211 G2213 G2215 G2217 G2219 G2221 G2223 G2225 G2227 G2229 G2231 G2233 G2235 G2237 G2239 G2241 G2243 G2245 G2247 G2249 G2251 G2253 G2255 G2257 G2259 G2261 G2263 G2265 G2267 G2269 G2271 G2273 G2275 G2277 G2279 G2281 G2283 G2285 G2287 G2289 G2291 G2293 G2295 G2297 G2299 G2301 G2303 G2305 G2307 G2309 G2311 G2313 G2315 G2317 G2319 G2321 G2323 G2325 G2327 G2329 G2331 G2333 G2335 G2337 G2339 G2341 G2343 G2345 G2347 G2349 G2351 G2353 G2355 G2357 G2359 G2361 G2363 G2365 G2367 G2369 G2371 G2373 G2375 G2377 G2379 G2381 G2383 G2385 G2387 G2389 G2391 G2393 G2395 G2397 G2399 G2401 G2403 G2405 G2407 G2409 G2411 G2413 G2415 G2417 G2419 G2421 G2423 G2425 G2427 G2429 G2431 G2433 G2435 G2437 G2439 G2441 G2443 G2445 G2447 G2449 G2451 G2453 G2455 G2457 G2459 G2461 G2463 G2465 G2467 G2469 G2471 G2473 G2475 G2477 G2479 G2481 G2483 G2485 G2487 G2489 G2491 G2493 G2495 G2497 G2499 G2501 G2503 G2505 G2507 G2509 G2511 G2513 G2515 G2517 G2519 G2521 G2523 G2525 G2527 G2529 G2531 G2533 G2535 G2537 G2539 G2541 G2543 G2545 G2547 G2549 G2551 G2553 G2555 G2557 G2559 G2561 G2563 G2565 G2567 G2569 G2571 G2573 G2575 G2577 G2579 G2581 G2583 G2585 G2587 G2589 G2591 G2593 G2595 G2597 G2599 G2601 G2603 G2605 G2607 G2609 G2611 G2613 G2615 G2617 G2619 G2621 G2623 G2625 G2627 G2629 G2631 G2633 G2635 G2637 G2639 G2641 G2643 G2645 G2647 G2649 G2651 G2653 G2655 G2657 G2659 G2661 G2663 G2665 G2667 G2669 G2671 G2673 G2675 G2677 G2679 G2681 G2683 G2685 G2687 G2689 G2691 G2693 G2695 G2697 G2699 G2701 G2703 G2705 G2707 G2709 G2711 G2713 G2715 G2717 G2719 G2721 G2723 G2725 G2727 G2729 G2731 G2733 G2735 G2737 G2739 G1075:G1076 G1107 G1110 G1112">
    <cfRule type="cellIs" dxfId="2397" priority="46" operator="lessThan">
      <formula>0</formula>
    </cfRule>
  </conditionalFormatting>
  <conditionalFormatting sqref="G1040:G1041">
    <cfRule type="cellIs" dxfId="2396" priority="45" operator="lessThan">
      <formula>0</formula>
    </cfRule>
  </conditionalFormatting>
  <conditionalFormatting sqref="G1040:G1041">
    <cfRule type="cellIs" dxfId="2395" priority="44" operator="lessThan">
      <formula>0</formula>
    </cfRule>
  </conditionalFormatting>
  <conditionalFormatting sqref="G1040:G1041">
    <cfRule type="cellIs" dxfId="2394" priority="43" operator="lessThan">
      <formula>0</formula>
    </cfRule>
  </conditionalFormatting>
  <conditionalFormatting sqref="G2741:G2759">
    <cfRule type="cellIs" dxfId="2393" priority="35" operator="lessThan">
      <formula>0</formula>
    </cfRule>
  </conditionalFormatting>
  <conditionalFormatting sqref="G2741:G2759">
    <cfRule type="cellIs" dxfId="2392" priority="34" operator="lessThan">
      <formula>0</formula>
    </cfRule>
  </conditionalFormatting>
  <conditionalFormatting sqref="G2741:G2759">
    <cfRule type="cellIs" dxfId="2391" priority="33" operator="lessThan">
      <formula>0</formula>
    </cfRule>
  </conditionalFormatting>
  <conditionalFormatting sqref="G1080">
    <cfRule type="cellIs" dxfId="2390" priority="6" operator="lessThan">
      <formula>0</formula>
    </cfRule>
  </conditionalFormatting>
  <conditionalFormatting sqref="G1080">
    <cfRule type="cellIs" dxfId="2389" priority="5" operator="lessThan">
      <formula>0</formula>
    </cfRule>
  </conditionalFormatting>
  <conditionalFormatting sqref="G1080">
    <cfRule type="cellIs" dxfId="2388" priority="4" operator="lessThan">
      <formula>0</formula>
    </cfRule>
  </conditionalFormatting>
  <conditionalFormatting sqref="G1083">
    <cfRule type="cellIs" dxfId="2387" priority="3" operator="lessThan">
      <formula>0</formula>
    </cfRule>
  </conditionalFormatting>
  <conditionalFormatting sqref="G1083">
    <cfRule type="cellIs" dxfId="2386" priority="2" operator="lessThan">
      <formula>0</formula>
    </cfRule>
  </conditionalFormatting>
  <conditionalFormatting sqref="G1083">
    <cfRule type="cellIs" dxfId="2385" priority="1" operator="lessThan">
      <formula>0</formula>
    </cfRule>
  </conditionalFormatting>
  <conditionalFormatting sqref="I1012:I1090 I1:I1010 I1092:I2759">
    <cfRule type="duplicateValues" dxfId="2384" priority="5144"/>
  </conditionalFormatting>
  <conditionalFormatting sqref="H976:H981 H983:H1010 H1012:H2759">
    <cfRule type="duplicateValues" dxfId="2383" priority="5148"/>
    <cfRule type="duplicateValues" dxfId="2382" priority="5149"/>
    <cfRule type="duplicateValues" dxfId="2381" priority="5150"/>
  </conditionalFormatting>
  <conditionalFormatting sqref="H976:H981 H983:H1010 H1012:H2759">
    <cfRule type="duplicateValues" dxfId="2380" priority="5160"/>
  </conditionalFormatting>
  <conditionalFormatting sqref="AX1011:BC1011 H1011">
    <cfRule type="duplicateValues" dxfId="2379" priority="5352"/>
  </conditionalFormatting>
  <dataValidations count="1">
    <dataValidation type="list" allowBlank="1" showInputMessage="1" showErrorMessage="1" sqref="F3:F2759" xr:uid="{68192DEB-C10C-4F92-83E6-B4CE70BC73BC}">
      <formula1>"Linha 01, Linha 02, Linha 03, Linha 04"</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CED8-619C-4301-96FE-36554CD60BC7}">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64C90-8DC3-4E57-AA00-15AD343D32F2}">
  <sheetPr codeName="Sheet12"/>
  <dimension ref="A3:G68"/>
  <sheetViews>
    <sheetView showGridLines="0" zoomScale="85" zoomScaleNormal="85" workbookViewId="0">
      <selection activeCell="N23" sqref="N23"/>
    </sheetView>
  </sheetViews>
  <sheetFormatPr defaultRowHeight="15" x14ac:dyDescent="0.25"/>
  <cols>
    <col min="1" max="1" width="16.28515625" bestFit="1" customWidth="1"/>
    <col min="2" max="2" width="16.85546875" bestFit="1" customWidth="1"/>
    <col min="3" max="3" width="9.28515625" bestFit="1" customWidth="1"/>
    <col min="4" max="4" width="11.28515625" bestFit="1" customWidth="1"/>
    <col min="5" max="5" width="9.28515625" bestFit="1" customWidth="1"/>
    <col min="6" max="6" width="21.42578125" customWidth="1"/>
    <col min="7" max="7" width="12.28515625" bestFit="1" customWidth="1"/>
    <col min="8" max="8" width="30.5703125" bestFit="1" customWidth="1"/>
    <col min="9" max="10" width="21.42578125" bestFit="1" customWidth="1"/>
    <col min="11" max="11" width="12.28515625" bestFit="1" customWidth="1"/>
    <col min="12" max="13" width="4.140625" bestFit="1" customWidth="1"/>
    <col min="14" max="14" width="12.42578125" bestFit="1" customWidth="1"/>
    <col min="15" max="15" width="4.140625" bestFit="1" customWidth="1"/>
    <col min="16" max="16" width="12.42578125" bestFit="1" customWidth="1"/>
    <col min="17" max="18" width="4.140625" bestFit="1" customWidth="1"/>
    <col min="19" max="19" width="12.42578125" bestFit="1" customWidth="1"/>
    <col min="20" max="20" width="4.140625" bestFit="1" customWidth="1"/>
    <col min="21" max="22" width="12.42578125" bestFit="1" customWidth="1"/>
    <col min="23" max="25" width="4.140625" bestFit="1" customWidth="1"/>
    <col min="26" max="26" width="5.5703125" bestFit="1" customWidth="1"/>
    <col min="27" max="28" width="4.140625" bestFit="1" customWidth="1"/>
    <col min="29" max="29" width="12.42578125" bestFit="1" customWidth="1"/>
    <col min="30" max="35" width="4.140625" bestFit="1" customWidth="1"/>
    <col min="36" max="36" width="12.42578125" bestFit="1" customWidth="1"/>
    <col min="37" max="42" width="4.140625" bestFit="1" customWidth="1"/>
    <col min="43" max="44" width="12.42578125" bestFit="1" customWidth="1"/>
    <col min="45" max="46" width="4.140625" bestFit="1" customWidth="1"/>
    <col min="47" max="47" width="12.42578125" bestFit="1" customWidth="1"/>
    <col min="48" max="52" width="4.140625" bestFit="1" customWidth="1"/>
    <col min="53" max="53" width="5.5703125" bestFit="1" customWidth="1"/>
    <col min="54" max="54" width="4.140625" bestFit="1" customWidth="1"/>
    <col min="55" max="55" width="5.5703125" bestFit="1" customWidth="1"/>
    <col min="56" max="56" width="4.140625" bestFit="1" customWidth="1"/>
    <col min="57" max="57" width="5.5703125" bestFit="1" customWidth="1"/>
    <col min="58" max="63" width="4.140625" bestFit="1" customWidth="1"/>
    <col min="64" max="64" width="5.5703125" bestFit="1" customWidth="1"/>
    <col min="65" max="65" width="12.42578125" bestFit="1" customWidth="1"/>
    <col min="66" max="66" width="4.140625" bestFit="1" customWidth="1"/>
    <col min="67" max="67" width="12.42578125" bestFit="1" customWidth="1"/>
    <col min="68" max="68" width="4.140625" bestFit="1" customWidth="1"/>
    <col min="69" max="69" width="6.140625" bestFit="1" customWidth="1"/>
    <col min="70" max="73" width="4.140625" bestFit="1" customWidth="1"/>
    <col min="74" max="75" width="12.42578125" bestFit="1" customWidth="1"/>
    <col min="76" max="78" width="4.140625" bestFit="1" customWidth="1"/>
    <col min="79" max="79" width="6.140625" bestFit="1" customWidth="1"/>
    <col min="80" max="80" width="11.42578125" bestFit="1" customWidth="1"/>
    <col min="81" max="82" width="4.140625" bestFit="1" customWidth="1"/>
    <col min="83" max="83" width="5.5703125" bestFit="1" customWidth="1"/>
    <col min="84" max="85" width="4.140625" bestFit="1" customWidth="1"/>
    <col min="86" max="87" width="5.5703125" bestFit="1" customWidth="1"/>
    <col min="88" max="89" width="4.140625" bestFit="1" customWidth="1"/>
    <col min="90" max="90" width="5.5703125" bestFit="1" customWidth="1"/>
    <col min="91" max="92" width="4.140625" bestFit="1" customWidth="1"/>
    <col min="93" max="93" width="12.42578125" bestFit="1" customWidth="1"/>
    <col min="94" max="95" width="4.140625" bestFit="1" customWidth="1"/>
    <col min="96" max="96" width="12.42578125" bestFit="1" customWidth="1"/>
    <col min="97" max="99" width="4.140625" bestFit="1" customWidth="1"/>
    <col min="100" max="100" width="12.42578125" bestFit="1" customWidth="1"/>
    <col min="101" max="101" width="4.140625" bestFit="1" customWidth="1"/>
    <col min="102" max="102" width="12.42578125" bestFit="1" customWidth="1"/>
    <col min="103" max="103" width="4.140625" bestFit="1" customWidth="1"/>
    <col min="104" max="104" width="6.5703125" bestFit="1" customWidth="1"/>
    <col min="105" max="117" width="5.5703125" bestFit="1" customWidth="1"/>
    <col min="118" max="118" width="7.140625" bestFit="1" customWidth="1"/>
    <col min="119" max="144" width="5.5703125" bestFit="1" customWidth="1"/>
    <col min="145" max="145" width="6.5703125" bestFit="1" customWidth="1"/>
    <col min="146" max="146" width="12.42578125" bestFit="1" customWidth="1"/>
    <col min="147" max="148" width="5.5703125" bestFit="1" customWidth="1"/>
    <col min="149" max="149" width="11.42578125" bestFit="1" customWidth="1"/>
    <col min="150" max="155" width="5.5703125" bestFit="1" customWidth="1"/>
    <col min="156" max="156" width="12.42578125" bestFit="1" customWidth="1"/>
    <col min="157" max="159" width="5.5703125" bestFit="1" customWidth="1"/>
    <col min="160" max="160" width="6.5703125" bestFit="1" customWidth="1"/>
    <col min="161" max="164" width="5.5703125" bestFit="1" customWidth="1"/>
    <col min="165" max="165" width="12.42578125" bestFit="1" customWidth="1"/>
    <col min="166" max="167" width="5.5703125" bestFit="1" customWidth="1"/>
    <col min="168" max="168" width="7.140625" bestFit="1" customWidth="1"/>
    <col min="169" max="169" width="5.5703125" bestFit="1" customWidth="1"/>
    <col min="170" max="170" width="12.42578125" bestFit="1" customWidth="1"/>
    <col min="171" max="172" width="5.5703125" bestFit="1" customWidth="1"/>
    <col min="173" max="173" width="6.5703125" bestFit="1" customWidth="1"/>
    <col min="174" max="174" width="5.5703125" bestFit="1" customWidth="1"/>
    <col min="175" max="175" width="7.140625" bestFit="1" customWidth="1"/>
    <col min="176" max="177" width="5.5703125" bestFit="1" customWidth="1"/>
    <col min="178" max="179" width="12.42578125" bestFit="1" customWidth="1"/>
    <col min="180" max="182" width="5.5703125" bestFit="1" customWidth="1"/>
    <col min="183" max="184" width="12.42578125" bestFit="1" customWidth="1"/>
    <col min="185" max="186" width="5.5703125" bestFit="1" customWidth="1"/>
    <col min="187" max="187" width="12.42578125" bestFit="1" customWidth="1"/>
    <col min="188" max="190" width="5.5703125" bestFit="1" customWidth="1"/>
    <col min="191" max="191" width="12.42578125" bestFit="1" customWidth="1"/>
    <col min="192" max="192" width="5.5703125" bestFit="1" customWidth="1"/>
    <col min="193" max="193" width="12.42578125" bestFit="1" customWidth="1"/>
    <col min="194" max="195" width="5.5703125" bestFit="1" customWidth="1"/>
    <col min="196" max="196" width="12.42578125" bestFit="1" customWidth="1"/>
    <col min="197" max="199" width="5.5703125" bestFit="1" customWidth="1"/>
    <col min="200" max="200" width="12.42578125" bestFit="1" customWidth="1"/>
    <col min="201" max="201" width="6.5703125" bestFit="1" customWidth="1"/>
    <col min="202" max="202" width="5.5703125" bestFit="1" customWidth="1"/>
    <col min="203" max="203" width="7.5703125" bestFit="1" customWidth="1"/>
    <col min="204" max="205" width="5.5703125" bestFit="1" customWidth="1"/>
    <col min="206" max="206" width="7.140625" bestFit="1" customWidth="1"/>
    <col min="207" max="207" width="6.5703125" bestFit="1" customWidth="1"/>
    <col min="208" max="218" width="5.5703125" bestFit="1" customWidth="1"/>
    <col min="219" max="219" width="6.5703125" bestFit="1" customWidth="1"/>
    <col min="220" max="221" width="5.5703125" bestFit="1" customWidth="1"/>
    <col min="222" max="222" width="12.42578125" bestFit="1" customWidth="1"/>
    <col min="223" max="233" width="5.5703125" bestFit="1" customWidth="1"/>
    <col min="234" max="235" width="12.42578125" bestFit="1" customWidth="1"/>
    <col min="236" max="237" width="5.5703125" bestFit="1" customWidth="1"/>
    <col min="238" max="238" width="12.42578125" bestFit="1" customWidth="1"/>
    <col min="239" max="239" width="5.5703125" bestFit="1" customWidth="1"/>
    <col min="240" max="240" width="12.42578125" bestFit="1" customWidth="1"/>
    <col min="241" max="242" width="5.5703125" bestFit="1" customWidth="1"/>
    <col min="243" max="244" width="6.5703125" bestFit="1" customWidth="1"/>
    <col min="245" max="245" width="5.5703125" bestFit="1" customWidth="1"/>
    <col min="246" max="246" width="6.5703125" bestFit="1" customWidth="1"/>
    <col min="247" max="247" width="5.5703125" bestFit="1" customWidth="1"/>
    <col min="248" max="248" width="12.42578125" bestFit="1" customWidth="1"/>
    <col min="249" max="249" width="5.5703125" bestFit="1" customWidth="1"/>
    <col min="250" max="250" width="12.42578125" bestFit="1" customWidth="1"/>
    <col min="251" max="253" width="5.5703125" bestFit="1" customWidth="1"/>
    <col min="254" max="254" width="7.5703125" bestFit="1" customWidth="1"/>
    <col min="255" max="263" width="5.5703125" bestFit="1" customWidth="1"/>
    <col min="264" max="265" width="6.5703125" bestFit="1" customWidth="1"/>
    <col min="266" max="268" width="5.5703125" bestFit="1" customWidth="1"/>
    <col min="269" max="269" width="6.5703125" bestFit="1" customWidth="1"/>
    <col min="270" max="271" width="5.5703125" bestFit="1" customWidth="1"/>
    <col min="272" max="272" width="6.5703125" bestFit="1" customWidth="1"/>
    <col min="273" max="276" width="5.5703125" bestFit="1" customWidth="1"/>
    <col min="277" max="277" width="6.5703125" bestFit="1" customWidth="1"/>
    <col min="278" max="278" width="5.5703125" bestFit="1" customWidth="1"/>
    <col min="279" max="281" width="6.5703125" bestFit="1" customWidth="1"/>
    <col min="282" max="282" width="11.42578125" bestFit="1" customWidth="1"/>
  </cols>
  <sheetData>
    <row r="3" spans="1:4" x14ac:dyDescent="0.25">
      <c r="A3" s="739" t="s">
        <v>1219</v>
      </c>
      <c r="B3" s="739" t="s">
        <v>2021</v>
      </c>
      <c r="C3" s="739"/>
      <c r="D3" s="739"/>
    </row>
    <row r="4" spans="1:4" x14ac:dyDescent="0.25">
      <c r="A4" s="740" t="s">
        <v>1203</v>
      </c>
      <c r="B4" s="740">
        <v>2025</v>
      </c>
      <c r="C4" s="740">
        <v>2026</v>
      </c>
      <c r="D4" s="740" t="s">
        <v>1204</v>
      </c>
    </row>
    <row r="5" spans="1:4" x14ac:dyDescent="0.25">
      <c r="A5" s="520">
        <v>1</v>
      </c>
      <c r="B5" s="521">
        <v>34014</v>
      </c>
      <c r="C5" s="521">
        <v>173870</v>
      </c>
      <c r="D5" s="521">
        <v>207884</v>
      </c>
    </row>
    <row r="6" spans="1:4" x14ac:dyDescent="0.25">
      <c r="A6" s="520">
        <v>2</v>
      </c>
      <c r="B6" s="521"/>
      <c r="C6" s="521">
        <v>146109</v>
      </c>
      <c r="D6" s="521">
        <v>146109</v>
      </c>
    </row>
    <row r="7" spans="1:4" x14ac:dyDescent="0.25">
      <c r="A7" s="520">
        <v>3</v>
      </c>
      <c r="B7" s="521">
        <v>80755</v>
      </c>
      <c r="C7" s="521">
        <v>197323</v>
      </c>
      <c r="D7" s="521">
        <v>278078</v>
      </c>
    </row>
    <row r="8" spans="1:4" x14ac:dyDescent="0.25">
      <c r="A8" s="520">
        <v>4</v>
      </c>
      <c r="B8" s="521">
        <v>86387</v>
      </c>
      <c r="C8" s="521">
        <v>195594</v>
      </c>
      <c r="D8" s="521">
        <v>281981</v>
      </c>
    </row>
    <row r="9" spans="1:4" x14ac:dyDescent="0.25">
      <c r="A9" s="520">
        <v>5</v>
      </c>
      <c r="B9" s="521">
        <v>104860</v>
      </c>
      <c r="C9" s="521">
        <v>197802</v>
      </c>
      <c r="D9" s="521">
        <v>302662</v>
      </c>
    </row>
    <row r="10" spans="1:4" x14ac:dyDescent="0.25">
      <c r="A10" s="520">
        <v>6</v>
      </c>
      <c r="B10" s="521">
        <v>139426</v>
      </c>
      <c r="C10" s="521">
        <v>260944</v>
      </c>
      <c r="D10" s="521">
        <v>400370</v>
      </c>
    </row>
    <row r="11" spans="1:4" x14ac:dyDescent="0.25">
      <c r="A11" s="520">
        <v>7</v>
      </c>
      <c r="B11" s="521">
        <v>201537</v>
      </c>
      <c r="C11" s="521"/>
      <c r="D11" s="521">
        <v>201537</v>
      </c>
    </row>
    <row r="12" spans="1:4" x14ac:dyDescent="0.25">
      <c r="A12" s="520">
        <v>8</v>
      </c>
      <c r="B12" s="521">
        <v>247434</v>
      </c>
      <c r="C12" s="521"/>
      <c r="D12" s="521">
        <v>247434</v>
      </c>
    </row>
    <row r="13" spans="1:4" x14ac:dyDescent="0.25">
      <c r="A13" s="520">
        <v>9</v>
      </c>
      <c r="B13" s="521">
        <v>194402</v>
      </c>
      <c r="C13" s="521"/>
      <c r="D13" s="521">
        <v>194402</v>
      </c>
    </row>
    <row r="14" spans="1:4" x14ac:dyDescent="0.25">
      <c r="A14" s="520">
        <v>10</v>
      </c>
      <c r="B14" s="521">
        <v>220840</v>
      </c>
      <c r="C14" s="521"/>
      <c r="D14" s="521">
        <v>220840</v>
      </c>
    </row>
    <row r="15" spans="1:4" x14ac:dyDescent="0.25">
      <c r="A15" s="520">
        <v>11</v>
      </c>
      <c r="B15" s="521">
        <v>128668</v>
      </c>
      <c r="C15" s="521"/>
      <c r="D15" s="521">
        <v>128668</v>
      </c>
    </row>
    <row r="16" spans="1:4" x14ac:dyDescent="0.25">
      <c r="A16" s="520">
        <v>12</v>
      </c>
      <c r="B16" s="521">
        <v>200749</v>
      </c>
      <c r="C16" s="521"/>
      <c r="D16" s="521">
        <v>200749</v>
      </c>
    </row>
    <row r="17" spans="1:7" x14ac:dyDescent="0.25">
      <c r="A17" s="741" t="s">
        <v>1204</v>
      </c>
      <c r="B17" s="742">
        <v>1639072</v>
      </c>
      <c r="C17" s="742">
        <v>1171642</v>
      </c>
      <c r="D17" s="742">
        <v>2810714</v>
      </c>
    </row>
    <row r="18" spans="1:7" x14ac:dyDescent="0.25">
      <c r="A18" s="523" t="s">
        <v>1231</v>
      </c>
      <c r="B18" s="522"/>
    </row>
    <row r="19" spans="1:7" x14ac:dyDescent="0.25">
      <c r="A19" s="732" t="s">
        <v>1219</v>
      </c>
      <c r="B19" s="732" t="s">
        <v>2021</v>
      </c>
      <c r="C19" s="732"/>
      <c r="D19" s="732"/>
    </row>
    <row r="20" spans="1:7" x14ac:dyDescent="0.25">
      <c r="A20" s="732" t="s">
        <v>1203</v>
      </c>
      <c r="B20" s="732">
        <v>2025</v>
      </c>
      <c r="C20" s="732">
        <v>2026</v>
      </c>
      <c r="D20" s="732" t="s">
        <v>1204</v>
      </c>
    </row>
    <row r="21" spans="1:7" x14ac:dyDescent="0.25">
      <c r="A21" s="519" t="s">
        <v>145</v>
      </c>
      <c r="B21" s="232"/>
      <c r="C21" s="232">
        <v>690</v>
      </c>
      <c r="D21" s="232">
        <v>690</v>
      </c>
    </row>
    <row r="22" spans="1:7" x14ac:dyDescent="0.25">
      <c r="A22" s="519" t="s">
        <v>1220</v>
      </c>
      <c r="B22" s="232">
        <v>16552</v>
      </c>
      <c r="C22" s="232">
        <v>2865</v>
      </c>
      <c r="D22" s="232">
        <v>19417</v>
      </c>
    </row>
    <row r="23" spans="1:7" x14ac:dyDescent="0.25">
      <c r="A23" s="519" t="s">
        <v>1221</v>
      </c>
      <c r="B23" s="232">
        <v>115123</v>
      </c>
      <c r="C23" s="232">
        <v>2744</v>
      </c>
      <c r="D23" s="232">
        <v>117867</v>
      </c>
    </row>
    <row r="24" spans="1:7" x14ac:dyDescent="0.25">
      <c r="A24" s="519" t="s">
        <v>1222</v>
      </c>
      <c r="B24" s="232">
        <v>366761</v>
      </c>
      <c r="C24" s="232">
        <v>76969</v>
      </c>
      <c r="D24" s="232">
        <v>443730</v>
      </c>
    </row>
    <row r="25" spans="1:7" x14ac:dyDescent="0.25">
      <c r="A25" s="519" t="s">
        <v>1223</v>
      </c>
      <c r="B25" s="232">
        <v>23577</v>
      </c>
      <c r="C25" s="232">
        <v>19975</v>
      </c>
      <c r="D25" s="232">
        <v>43552</v>
      </c>
    </row>
    <row r="26" spans="1:7" x14ac:dyDescent="0.25">
      <c r="A26" s="519" t="s">
        <v>1224</v>
      </c>
      <c r="B26" s="232">
        <v>148338</v>
      </c>
      <c r="C26" s="232">
        <v>230160</v>
      </c>
      <c r="D26" s="232">
        <v>378498</v>
      </c>
    </row>
    <row r="27" spans="1:7" x14ac:dyDescent="0.25">
      <c r="A27" s="519" t="s">
        <v>1225</v>
      </c>
      <c r="B27" s="232">
        <v>968721</v>
      </c>
      <c r="C27" s="232">
        <v>838239</v>
      </c>
      <c r="D27" s="232">
        <v>1806960</v>
      </c>
    </row>
    <row r="28" spans="1:7" x14ac:dyDescent="0.25">
      <c r="A28" s="736" t="s">
        <v>1204</v>
      </c>
      <c r="B28" s="737">
        <v>1639072</v>
      </c>
      <c r="C28" s="737">
        <v>1171642</v>
      </c>
      <c r="D28" s="737">
        <v>2810714</v>
      </c>
    </row>
    <row r="29" spans="1:7" x14ac:dyDescent="0.25">
      <c r="A29" s="523" t="s">
        <v>1233</v>
      </c>
      <c r="B29" s="522"/>
      <c r="C29" s="522"/>
    </row>
    <row r="30" spans="1:7" x14ac:dyDescent="0.25">
      <c r="A30" s="732"/>
      <c r="B30" s="732" t="s">
        <v>2021</v>
      </c>
      <c r="C30" s="732"/>
      <c r="D30" s="732"/>
      <c r="E30" s="732"/>
      <c r="F30" s="732"/>
      <c r="G30" s="732"/>
    </row>
    <row r="31" spans="1:7" x14ac:dyDescent="0.25">
      <c r="A31" s="732"/>
      <c r="B31" s="732" t="s">
        <v>1219</v>
      </c>
      <c r="C31" s="732"/>
      <c r="D31" s="743" t="s">
        <v>1232</v>
      </c>
      <c r="E31" s="743"/>
      <c r="F31" s="732" t="s">
        <v>2022</v>
      </c>
      <c r="G31" s="732" t="s">
        <v>2023</v>
      </c>
    </row>
    <row r="32" spans="1:7" x14ac:dyDescent="0.25">
      <c r="A32" s="732" t="s">
        <v>1203</v>
      </c>
      <c r="B32" s="732">
        <v>2025</v>
      </c>
      <c r="C32" s="732">
        <v>2026</v>
      </c>
      <c r="D32" s="732">
        <v>2025</v>
      </c>
      <c r="E32" s="732">
        <v>2026</v>
      </c>
      <c r="F32" s="732"/>
      <c r="G32" s="732"/>
    </row>
    <row r="33" spans="1:7" x14ac:dyDescent="0.25">
      <c r="A33" s="519" t="s">
        <v>1216</v>
      </c>
      <c r="B33" s="232">
        <v>531994</v>
      </c>
      <c r="C33" s="232">
        <v>549195</v>
      </c>
      <c r="D33" s="524">
        <v>0.32457024462622752</v>
      </c>
      <c r="E33" s="524">
        <v>0.46873959793179143</v>
      </c>
      <c r="F33" s="232">
        <v>1081189</v>
      </c>
      <c r="G33" s="524">
        <v>0.3846670276662798</v>
      </c>
    </row>
    <row r="34" spans="1:7" x14ac:dyDescent="0.25">
      <c r="A34" s="519" t="s">
        <v>1210</v>
      </c>
      <c r="B34" s="232">
        <v>436444</v>
      </c>
      <c r="C34" s="232">
        <v>27259</v>
      </c>
      <c r="D34" s="524">
        <v>0.26627506296245679</v>
      </c>
      <c r="E34" s="524">
        <v>2.3265639162815946E-2</v>
      </c>
      <c r="F34" s="232">
        <v>463703</v>
      </c>
      <c r="G34" s="524">
        <v>0.16497694180197631</v>
      </c>
    </row>
    <row r="35" spans="1:7" x14ac:dyDescent="0.25">
      <c r="A35" s="519" t="s">
        <v>1208</v>
      </c>
      <c r="B35" s="232">
        <v>90934</v>
      </c>
      <c r="C35" s="232">
        <v>187262</v>
      </c>
      <c r="D35" s="524">
        <v>5.5478953944671131E-2</v>
      </c>
      <c r="E35" s="524">
        <v>0.15982868487131735</v>
      </c>
      <c r="F35" s="232">
        <v>278196</v>
      </c>
      <c r="G35" s="524">
        <v>9.8976985918880392E-2</v>
      </c>
    </row>
    <row r="36" spans="1:7" x14ac:dyDescent="0.25">
      <c r="A36" s="519" t="s">
        <v>1212</v>
      </c>
      <c r="B36" s="232">
        <v>136459</v>
      </c>
      <c r="C36" s="232">
        <v>73293</v>
      </c>
      <c r="D36" s="524">
        <v>8.3253816793893126E-2</v>
      </c>
      <c r="E36" s="524">
        <v>6.2555797760749446E-2</v>
      </c>
      <c r="F36" s="232">
        <v>209752</v>
      </c>
      <c r="G36" s="524">
        <v>7.4625877979758878E-2</v>
      </c>
    </row>
    <row r="37" spans="1:7" x14ac:dyDescent="0.25">
      <c r="A37" s="519" t="s">
        <v>1214</v>
      </c>
      <c r="B37" s="232">
        <v>146926</v>
      </c>
      <c r="C37" s="232"/>
      <c r="D37" s="524">
        <v>8.9639747369243086E-2</v>
      </c>
      <c r="E37" s="524">
        <v>0</v>
      </c>
      <c r="F37" s="232">
        <v>146926</v>
      </c>
      <c r="G37" s="524">
        <v>5.2273550421707796E-2</v>
      </c>
    </row>
    <row r="38" spans="1:7" x14ac:dyDescent="0.25">
      <c r="A38" s="519" t="s">
        <v>2016</v>
      </c>
      <c r="B38" s="232"/>
      <c r="C38" s="232">
        <v>118847</v>
      </c>
      <c r="D38" s="524">
        <v>0</v>
      </c>
      <c r="E38" s="524">
        <v>0.10143627490308472</v>
      </c>
      <c r="F38" s="232">
        <v>118847</v>
      </c>
      <c r="G38" s="524">
        <v>4.2283562112687384E-2</v>
      </c>
    </row>
    <row r="39" spans="1:7" x14ac:dyDescent="0.25">
      <c r="A39" s="519" t="s">
        <v>1218</v>
      </c>
      <c r="B39" s="232">
        <v>59524</v>
      </c>
      <c r="C39" s="232">
        <v>33394</v>
      </c>
      <c r="D39" s="524">
        <v>3.6315671306690618E-2</v>
      </c>
      <c r="E39" s="524">
        <v>2.850188026718059E-2</v>
      </c>
      <c r="F39" s="232">
        <v>92918</v>
      </c>
      <c r="G39" s="524">
        <v>3.3058503995781856E-2</v>
      </c>
    </row>
    <row r="40" spans="1:7" x14ac:dyDescent="0.25">
      <c r="A40" s="519" t="s">
        <v>1205</v>
      </c>
      <c r="B40" s="232">
        <v>33357</v>
      </c>
      <c r="C40" s="232">
        <v>47824</v>
      </c>
      <c r="D40" s="524">
        <v>2.0351149918978545E-2</v>
      </c>
      <c r="E40" s="524">
        <v>4.0817929026101832E-2</v>
      </c>
      <c r="F40" s="232">
        <v>81181</v>
      </c>
      <c r="G40" s="524">
        <v>2.8882696709803986E-2</v>
      </c>
    </row>
    <row r="41" spans="1:7" x14ac:dyDescent="0.25">
      <c r="A41" s="519" t="s">
        <v>2017</v>
      </c>
      <c r="B41" s="232"/>
      <c r="C41" s="232">
        <v>60112</v>
      </c>
      <c r="D41" s="524">
        <v>0</v>
      </c>
      <c r="E41" s="524">
        <v>5.1305774289416052E-2</v>
      </c>
      <c r="F41" s="232">
        <v>60112</v>
      </c>
      <c r="G41" s="524">
        <v>2.1386736608562808E-2</v>
      </c>
    </row>
    <row r="42" spans="1:7" x14ac:dyDescent="0.25">
      <c r="A42" s="519" t="s">
        <v>3</v>
      </c>
      <c r="B42" s="232">
        <v>54382</v>
      </c>
      <c r="C42" s="232"/>
      <c r="D42" s="524">
        <v>3.3178530290310614E-2</v>
      </c>
      <c r="E42" s="524">
        <v>0</v>
      </c>
      <c r="F42" s="232">
        <v>54382</v>
      </c>
      <c r="G42" s="524">
        <v>1.9348108701205458E-2</v>
      </c>
    </row>
    <row r="43" spans="1:7" x14ac:dyDescent="0.25">
      <c r="A43" s="519" t="s">
        <v>1207</v>
      </c>
      <c r="B43" s="232">
        <v>45864</v>
      </c>
      <c r="C43" s="232"/>
      <c r="D43" s="524">
        <v>2.7981687198609946E-2</v>
      </c>
      <c r="E43" s="524">
        <v>0</v>
      </c>
      <c r="F43" s="232">
        <v>45864</v>
      </c>
      <c r="G43" s="524">
        <v>1.631756201449169E-2</v>
      </c>
    </row>
    <row r="44" spans="1:7" x14ac:dyDescent="0.25">
      <c r="A44" s="519" t="s">
        <v>2018</v>
      </c>
      <c r="B44" s="232"/>
      <c r="C44" s="232">
        <v>41611</v>
      </c>
      <c r="D44" s="524">
        <v>0</v>
      </c>
      <c r="E44" s="524">
        <v>3.5515114685202478E-2</v>
      </c>
      <c r="F44" s="232">
        <v>41611</v>
      </c>
      <c r="G44" s="524">
        <v>1.4804423360043036E-2</v>
      </c>
    </row>
    <row r="45" spans="1:7" x14ac:dyDescent="0.25">
      <c r="A45" s="519" t="s">
        <v>145</v>
      </c>
      <c r="B45" s="232">
        <v>31620</v>
      </c>
      <c r="C45" s="232">
        <v>690</v>
      </c>
      <c r="D45" s="524">
        <v>1.9291403916362429E-2</v>
      </c>
      <c r="E45" s="524">
        <v>5.8891709242242941E-4</v>
      </c>
      <c r="F45" s="232">
        <v>32310</v>
      </c>
      <c r="G45" s="524">
        <v>1.1495299770805567E-2</v>
      </c>
    </row>
    <row r="46" spans="1:7" x14ac:dyDescent="0.25">
      <c r="A46" s="519" t="s">
        <v>1213</v>
      </c>
      <c r="B46" s="232">
        <v>12179</v>
      </c>
      <c r="C46" s="232">
        <v>16835</v>
      </c>
      <c r="D46" s="524">
        <v>7.4304240448253645E-3</v>
      </c>
      <c r="E46" s="524">
        <v>1.436872355207478E-2</v>
      </c>
      <c r="F46" s="232">
        <v>29014</v>
      </c>
      <c r="G46" s="524">
        <v>1.0322643997219211E-2</v>
      </c>
    </row>
    <row r="47" spans="1:7" x14ac:dyDescent="0.25">
      <c r="A47" s="519" t="s">
        <v>922</v>
      </c>
      <c r="B47" s="232">
        <v>16572</v>
      </c>
      <c r="C47" s="232">
        <v>2865</v>
      </c>
      <c r="D47" s="524">
        <v>1.0110599168309873E-2</v>
      </c>
      <c r="E47" s="524">
        <v>2.4452861881018263E-3</v>
      </c>
      <c r="F47" s="232">
        <v>19437</v>
      </c>
      <c r="G47" s="524">
        <v>6.9153247182032751E-3</v>
      </c>
    </row>
    <row r="48" spans="1:7" x14ac:dyDescent="0.25">
      <c r="A48" s="519" t="s">
        <v>1217</v>
      </c>
      <c r="B48" s="232">
        <v>16160</v>
      </c>
      <c r="C48" s="232"/>
      <c r="D48" s="524">
        <v>9.8592374221510709E-3</v>
      </c>
      <c r="E48" s="524">
        <v>0</v>
      </c>
      <c r="F48" s="232">
        <v>16160</v>
      </c>
      <c r="G48" s="524">
        <v>5.7494287928263063E-3</v>
      </c>
    </row>
    <row r="49" spans="1:7" x14ac:dyDescent="0.25">
      <c r="A49" s="519" t="s">
        <v>1206</v>
      </c>
      <c r="B49" s="232">
        <v>12093</v>
      </c>
      <c r="C49" s="232"/>
      <c r="D49" s="524">
        <v>7.3779553308213428E-3</v>
      </c>
      <c r="E49" s="524">
        <v>0</v>
      </c>
      <c r="F49" s="232">
        <v>12093</v>
      </c>
      <c r="G49" s="524">
        <v>4.3024654945327057E-3</v>
      </c>
    </row>
    <row r="50" spans="1:7" x14ac:dyDescent="0.25">
      <c r="A50" s="519" t="s">
        <v>2019</v>
      </c>
      <c r="B50" s="232"/>
      <c r="C50" s="232">
        <v>8745</v>
      </c>
      <c r="D50" s="524">
        <v>0</v>
      </c>
      <c r="E50" s="524">
        <v>7.4638840191799203E-3</v>
      </c>
      <c r="F50" s="232">
        <v>8745</v>
      </c>
      <c r="G50" s="524">
        <v>3.1113090837417111E-3</v>
      </c>
    </row>
    <row r="51" spans="1:7" x14ac:dyDescent="0.25">
      <c r="A51" s="519" t="s">
        <v>1215</v>
      </c>
      <c r="B51" s="232">
        <v>7416</v>
      </c>
      <c r="C51" s="232"/>
      <c r="D51" s="524">
        <v>4.5245114308584368E-3</v>
      </c>
      <c r="E51" s="524">
        <v>0</v>
      </c>
      <c r="F51" s="232">
        <v>7416</v>
      </c>
      <c r="G51" s="524">
        <v>2.6384754905693004E-3</v>
      </c>
    </row>
    <row r="52" spans="1:7" x14ac:dyDescent="0.25">
      <c r="A52" s="519" t="s">
        <v>1211</v>
      </c>
      <c r="B52" s="232">
        <v>4929</v>
      </c>
      <c r="C52" s="232"/>
      <c r="D52" s="524">
        <v>3.0071894340212022E-3</v>
      </c>
      <c r="E52" s="524">
        <v>0</v>
      </c>
      <c r="F52" s="232">
        <v>4929</v>
      </c>
      <c r="G52" s="524">
        <v>1.7536469381089644E-3</v>
      </c>
    </row>
    <row r="53" spans="1:7" x14ac:dyDescent="0.25">
      <c r="A53" s="519" t="s">
        <v>2020</v>
      </c>
      <c r="B53" s="232"/>
      <c r="C53" s="232">
        <v>3710</v>
      </c>
      <c r="D53" s="524">
        <v>0</v>
      </c>
      <c r="E53" s="524">
        <v>3.1664962505611781E-3</v>
      </c>
      <c r="F53" s="232">
        <v>3710</v>
      </c>
      <c r="G53" s="524">
        <v>1.3199493082540594E-3</v>
      </c>
    </row>
    <row r="54" spans="1:7" x14ac:dyDescent="0.25">
      <c r="A54" s="519" t="s">
        <v>1209</v>
      </c>
      <c r="B54" s="232">
        <v>2219</v>
      </c>
      <c r="C54" s="232"/>
      <c r="D54" s="524">
        <v>1.3538148415688878E-3</v>
      </c>
      <c r="E54" s="524">
        <v>0</v>
      </c>
      <c r="F54" s="232">
        <v>2219</v>
      </c>
      <c r="G54" s="524">
        <v>7.8947911455950343E-4</v>
      </c>
    </row>
    <row r="55" spans="1:7" x14ac:dyDescent="0.25">
      <c r="A55" s="736" t="s">
        <v>1204</v>
      </c>
      <c r="B55" s="737">
        <v>1639072</v>
      </c>
      <c r="C55" s="737">
        <v>1171642</v>
      </c>
      <c r="D55" s="744">
        <v>1</v>
      </c>
      <c r="E55" s="744">
        <v>1</v>
      </c>
      <c r="F55" s="737">
        <v>2810714</v>
      </c>
      <c r="G55" s="744">
        <v>1</v>
      </c>
    </row>
    <row r="58" spans="1:7" x14ac:dyDescent="0.25">
      <c r="A58" s="732" t="s">
        <v>1234</v>
      </c>
      <c r="B58" s="732"/>
      <c r="C58" s="732"/>
      <c r="D58" s="732"/>
      <c r="E58" s="732"/>
      <c r="F58" s="732"/>
      <c r="G58" s="732"/>
    </row>
    <row r="59" spans="1:7" x14ac:dyDescent="0.25">
      <c r="A59" s="732"/>
      <c r="B59" s="732" t="s">
        <v>2021</v>
      </c>
      <c r="C59" s="732"/>
      <c r="D59" s="732"/>
      <c r="E59" s="732"/>
      <c r="F59" s="732"/>
      <c r="G59" s="732"/>
    </row>
    <row r="60" spans="1:7" x14ac:dyDescent="0.25">
      <c r="A60" s="732"/>
      <c r="B60" s="732" t="s">
        <v>1235</v>
      </c>
      <c r="C60" s="732"/>
      <c r="D60" s="732" t="s">
        <v>1219</v>
      </c>
      <c r="E60" s="732"/>
      <c r="F60" s="732" t="s">
        <v>2024</v>
      </c>
      <c r="G60" s="732" t="s">
        <v>2022</v>
      </c>
    </row>
    <row r="61" spans="1:7" x14ac:dyDescent="0.25">
      <c r="A61" s="732" t="s">
        <v>1203</v>
      </c>
      <c r="B61" s="732">
        <v>2025</v>
      </c>
      <c r="C61" s="732">
        <v>2026</v>
      </c>
      <c r="D61" s="732">
        <v>2025</v>
      </c>
      <c r="E61" s="732">
        <v>2026</v>
      </c>
      <c r="F61" s="732"/>
      <c r="G61" s="732"/>
    </row>
    <row r="62" spans="1:7" x14ac:dyDescent="0.25">
      <c r="A62" s="519" t="s">
        <v>145</v>
      </c>
      <c r="B62" s="232"/>
      <c r="C62" s="232">
        <v>179.8278996908281</v>
      </c>
      <c r="D62" s="232"/>
      <c r="E62" s="232">
        <v>690</v>
      </c>
      <c r="F62" s="232">
        <v>179.8278996908281</v>
      </c>
      <c r="G62" s="232">
        <v>690</v>
      </c>
    </row>
    <row r="63" spans="1:7" x14ac:dyDescent="0.25">
      <c r="A63" s="519" t="s">
        <v>1226</v>
      </c>
      <c r="B63" s="232">
        <v>670.60221638358655</v>
      </c>
      <c r="C63" s="232">
        <v>475.09367954863103</v>
      </c>
      <c r="D63" s="232">
        <v>324519</v>
      </c>
      <c r="E63" s="232">
        <v>83195</v>
      </c>
      <c r="F63" s="232">
        <v>610.73357352503535</v>
      </c>
      <c r="G63" s="232">
        <v>407714</v>
      </c>
    </row>
    <row r="64" spans="1:7" x14ac:dyDescent="0.25">
      <c r="A64" s="519" t="s">
        <v>1227</v>
      </c>
      <c r="B64" s="232">
        <v>533.05617529106723</v>
      </c>
      <c r="C64" s="232"/>
      <c r="D64" s="232">
        <v>15691</v>
      </c>
      <c r="E64" s="232"/>
      <c r="F64" s="232">
        <v>533.05617529106723</v>
      </c>
      <c r="G64" s="232">
        <v>15691</v>
      </c>
    </row>
    <row r="65" spans="1:7" x14ac:dyDescent="0.25">
      <c r="A65" s="519" t="s">
        <v>1228</v>
      </c>
      <c r="B65" s="232">
        <v>803.41198820329612</v>
      </c>
      <c r="C65" s="232">
        <v>788.87645672264</v>
      </c>
      <c r="D65" s="232">
        <v>958730</v>
      </c>
      <c r="E65" s="232">
        <v>994837</v>
      </c>
      <c r="F65" s="232">
        <v>797.08044195408604</v>
      </c>
      <c r="G65" s="232">
        <v>1953567</v>
      </c>
    </row>
    <row r="66" spans="1:7" x14ac:dyDescent="0.25">
      <c r="A66" s="519" t="s">
        <v>1229</v>
      </c>
      <c r="B66" s="232">
        <v>855.9907884683663</v>
      </c>
      <c r="C66" s="232">
        <v>745.65646905456845</v>
      </c>
      <c r="D66" s="232">
        <v>204716</v>
      </c>
      <c r="E66" s="232">
        <v>60089</v>
      </c>
      <c r="F66" s="232">
        <v>835.17299235255564</v>
      </c>
      <c r="G66" s="232">
        <v>264805</v>
      </c>
    </row>
    <row r="67" spans="1:7" x14ac:dyDescent="0.25">
      <c r="A67" s="519" t="s">
        <v>1230</v>
      </c>
      <c r="B67" s="232">
        <v>753.50956525215497</v>
      </c>
      <c r="C67" s="232">
        <v>547.44596004473954</v>
      </c>
      <c r="D67" s="232">
        <v>135416</v>
      </c>
      <c r="E67" s="232">
        <v>32831</v>
      </c>
      <c r="F67" s="232">
        <v>719.72864636569329</v>
      </c>
      <c r="G67" s="232">
        <v>168247</v>
      </c>
    </row>
    <row r="68" spans="1:7" x14ac:dyDescent="0.25">
      <c r="A68" s="736" t="s">
        <v>1204</v>
      </c>
      <c r="B68" s="737">
        <v>770.05574225514397</v>
      </c>
      <c r="C68" s="737">
        <v>722.68362091585254</v>
      </c>
      <c r="D68" s="737">
        <v>1639072</v>
      </c>
      <c r="E68" s="737">
        <v>1171642</v>
      </c>
      <c r="F68" s="737">
        <v>751.8856135222652</v>
      </c>
      <c r="G68" s="737">
        <v>2810714</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40D45-B10A-456F-95E2-6869F0B92BF5}">
  <sheetPr codeName="Sheet6">
    <tabColor theme="8" tint="0.39997558519241921"/>
  </sheetPr>
  <dimension ref="B2:D7"/>
  <sheetViews>
    <sheetView showGridLines="0" topLeftCell="A6" workbookViewId="0">
      <selection activeCell="D4" sqref="D4"/>
    </sheetView>
  </sheetViews>
  <sheetFormatPr defaultColWidth="9.140625" defaultRowHeight="15" x14ac:dyDescent="0.25"/>
  <cols>
    <col min="1" max="1" width="9.140625" style="3"/>
    <col min="2" max="2" width="17.42578125" style="3" bestFit="1" customWidth="1"/>
    <col min="3" max="3" width="24.5703125" style="3" customWidth="1"/>
    <col min="4" max="4" width="22.85546875" style="3" bestFit="1" customWidth="1"/>
    <col min="5" max="16384" width="9.140625" style="3"/>
  </cols>
  <sheetData>
    <row r="2" spans="2:4" x14ac:dyDescent="0.25">
      <c r="B2" s="456" t="s">
        <v>471</v>
      </c>
      <c r="C2" s="456" t="s">
        <v>476</v>
      </c>
      <c r="D2" s="456" t="s">
        <v>558</v>
      </c>
    </row>
    <row r="3" spans="2:4" x14ac:dyDescent="0.25">
      <c r="B3" s="245" t="s">
        <v>472</v>
      </c>
      <c r="C3" s="245"/>
      <c r="D3" s="246"/>
    </row>
    <row r="4" spans="2:4" x14ac:dyDescent="0.25">
      <c r="B4" s="245" t="s">
        <v>480</v>
      </c>
      <c r="C4" s="245"/>
      <c r="D4" s="246"/>
    </row>
    <row r="5" spans="2:4" x14ac:dyDescent="0.25">
      <c r="B5" s="245" t="s">
        <v>473</v>
      </c>
      <c r="C5" s="245"/>
      <c r="D5" s="246"/>
    </row>
    <row r="6" spans="2:4" ht="135" x14ac:dyDescent="0.25">
      <c r="B6" s="270" t="s">
        <v>556</v>
      </c>
      <c r="C6" s="245"/>
      <c r="D6" s="330" t="s">
        <v>559</v>
      </c>
    </row>
    <row r="7" spans="2:4" x14ac:dyDescent="0.25">
      <c r="B7" s="245" t="s">
        <v>557</v>
      </c>
      <c r="C7" s="245"/>
      <c r="D7" s="246"/>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0C2B7-E7DF-43F0-8D5B-6316FA3030E0}">
  <sheetPr codeName="Sheet2">
    <tabColor theme="9" tint="0.59999389629810485"/>
    <pageSetUpPr fitToPage="1"/>
  </sheetPr>
  <dimension ref="A1:Z297"/>
  <sheetViews>
    <sheetView showGridLines="0" zoomScaleNormal="100" workbookViewId="0">
      <selection activeCell="G149" sqref="G149"/>
    </sheetView>
  </sheetViews>
  <sheetFormatPr defaultColWidth="9.140625" defaultRowHeight="15" x14ac:dyDescent="0.25"/>
  <cols>
    <col min="1" max="1" width="2.42578125" customWidth="1"/>
    <col min="2" max="2" width="2" hidden="1" customWidth="1"/>
    <col min="3" max="3" width="9.42578125" bestFit="1" customWidth="1"/>
    <col min="4" max="4" width="8.5703125" bestFit="1" customWidth="1"/>
    <col min="5" max="5" width="14" bestFit="1" customWidth="1"/>
    <col min="6" max="7" width="41.5703125" style="68" bestFit="1" customWidth="1"/>
    <col min="8" max="8" width="3.42578125" hidden="1" customWidth="1"/>
    <col min="9" max="9" width="36.140625" hidden="1" customWidth="1"/>
    <col min="10" max="11" width="5.5703125" hidden="1" customWidth="1"/>
    <col min="12" max="12" width="7" hidden="1" customWidth="1"/>
    <col min="13" max="13" width="6.42578125" hidden="1" customWidth="1"/>
    <col min="14" max="14" width="4.5703125" hidden="1" customWidth="1"/>
    <col min="15" max="15" width="6.42578125" hidden="1" customWidth="1"/>
    <col min="16" max="16" width="4.85546875" hidden="1" customWidth="1"/>
    <col min="17" max="17" width="4.5703125" hidden="1" customWidth="1"/>
    <col min="18" max="18" width="5" hidden="1" customWidth="1"/>
    <col min="19" max="19" width="2.42578125" customWidth="1"/>
  </cols>
  <sheetData>
    <row r="1" spans="1:19" ht="24" customHeight="1" thickBot="1" x14ac:dyDescent="0.3">
      <c r="A1" s="14"/>
      <c r="B1" s="12" t="s">
        <v>175</v>
      </c>
      <c r="C1" s="13"/>
      <c r="D1" s="13"/>
      <c r="E1" s="13"/>
      <c r="F1" s="13"/>
      <c r="G1" s="13"/>
      <c r="H1" s="14"/>
      <c r="I1" s="14"/>
      <c r="J1" s="15"/>
      <c r="K1" s="15"/>
      <c r="L1" s="15"/>
      <c r="M1" s="15"/>
      <c r="N1" s="15"/>
      <c r="O1" s="15"/>
      <c r="P1" s="15"/>
      <c r="Q1" s="15"/>
      <c r="R1" s="15"/>
    </row>
    <row r="2" spans="1:19" ht="6" customHeight="1" thickBot="1" x14ac:dyDescent="0.3">
      <c r="A2" s="129" t="s">
        <v>310</v>
      </c>
      <c r="B2" s="111"/>
      <c r="C2" s="111"/>
      <c r="D2" s="111"/>
      <c r="E2" s="111"/>
      <c r="F2" s="122"/>
      <c r="G2" s="122"/>
      <c r="H2" s="111"/>
      <c r="I2" s="111"/>
      <c r="J2" s="111"/>
      <c r="K2" s="111"/>
      <c r="L2" s="111"/>
      <c r="M2" s="111"/>
      <c r="N2" s="111"/>
      <c r="O2" s="111"/>
      <c r="P2" s="111"/>
      <c r="Q2" s="111"/>
      <c r="R2" s="111"/>
      <c r="S2" s="129" t="s">
        <v>310</v>
      </c>
    </row>
    <row r="3" spans="1:19" ht="18.600000000000001" customHeight="1" thickBot="1" x14ac:dyDescent="0.35">
      <c r="A3" s="134"/>
      <c r="B3" s="23" t="s">
        <v>157</v>
      </c>
      <c r="C3" s="79" t="s">
        <v>158</v>
      </c>
      <c r="D3" s="80" t="s">
        <v>201</v>
      </c>
      <c r="E3" s="81" t="s">
        <v>159</v>
      </c>
      <c r="F3" s="82" t="s">
        <v>353</v>
      </c>
      <c r="G3" s="83" t="s">
        <v>354</v>
      </c>
      <c r="H3" s="16"/>
      <c r="I3" s="17" t="s">
        <v>160</v>
      </c>
      <c r="J3" s="18" t="s">
        <v>202</v>
      </c>
      <c r="K3" s="18" t="s">
        <v>203</v>
      </c>
      <c r="L3" s="18" t="s">
        <v>204</v>
      </c>
      <c r="M3" s="18" t="s">
        <v>205</v>
      </c>
      <c r="N3" s="18" t="s">
        <v>206</v>
      </c>
      <c r="O3" s="18" t="s">
        <v>207</v>
      </c>
      <c r="P3" s="18" t="s">
        <v>208</v>
      </c>
      <c r="Q3" s="18" t="s">
        <v>209</v>
      </c>
      <c r="R3" s="19" t="s">
        <v>210</v>
      </c>
      <c r="S3" s="111"/>
    </row>
    <row r="4" spans="1:19" ht="15.75" hidden="1" thickBot="1" x14ac:dyDescent="0.3">
      <c r="A4" s="111"/>
      <c r="B4" s="29">
        <v>4</v>
      </c>
      <c r="C4" s="97" t="s">
        <v>161</v>
      </c>
      <c r="D4" s="76">
        <v>45831</v>
      </c>
      <c r="E4" s="77" t="s">
        <v>162</v>
      </c>
      <c r="F4" s="78" t="s">
        <v>112</v>
      </c>
      <c r="G4" s="98" t="s">
        <v>309</v>
      </c>
      <c r="S4" s="111"/>
    </row>
    <row r="5" spans="1:19" ht="15.75" hidden="1" thickBot="1" x14ac:dyDescent="0.3">
      <c r="A5" s="111"/>
      <c r="B5" s="30">
        <v>4</v>
      </c>
      <c r="C5" s="43" t="s">
        <v>161</v>
      </c>
      <c r="D5" s="21">
        <f t="shared" ref="D5:D12" si="0">D4</f>
        <v>45831</v>
      </c>
      <c r="E5" s="22" t="s">
        <v>163</v>
      </c>
      <c r="F5" s="33" t="s">
        <v>112</v>
      </c>
      <c r="G5" s="44" t="s">
        <v>309</v>
      </c>
      <c r="S5" s="111"/>
    </row>
    <row r="6" spans="1:19" ht="15.75" hidden="1" thickBot="1" x14ac:dyDescent="0.3">
      <c r="A6" s="111"/>
      <c r="B6" s="30">
        <v>4</v>
      </c>
      <c r="C6" s="43" t="s">
        <v>161</v>
      </c>
      <c r="D6" s="21">
        <f t="shared" si="0"/>
        <v>45831</v>
      </c>
      <c r="E6" s="22" t="s">
        <v>164</v>
      </c>
      <c r="F6" s="33" t="s">
        <v>112</v>
      </c>
      <c r="G6" s="44" t="s">
        <v>309</v>
      </c>
      <c r="S6" s="111"/>
    </row>
    <row r="7" spans="1:19" ht="15.75" hidden="1" thickBot="1" x14ac:dyDescent="0.3">
      <c r="A7" s="111"/>
      <c r="B7" s="30">
        <v>4</v>
      </c>
      <c r="C7" s="43" t="s">
        <v>161</v>
      </c>
      <c r="D7" s="21">
        <f t="shared" si="0"/>
        <v>45831</v>
      </c>
      <c r="E7" s="22" t="s">
        <v>165</v>
      </c>
      <c r="F7" s="33" t="s">
        <v>112</v>
      </c>
      <c r="G7" s="44" t="s">
        <v>309</v>
      </c>
      <c r="S7" s="111"/>
    </row>
    <row r="8" spans="1:19" ht="15.75" hidden="1" thickBot="1" x14ac:dyDescent="0.3">
      <c r="A8" s="111"/>
      <c r="B8" s="30">
        <v>4</v>
      </c>
      <c r="C8" s="43" t="s">
        <v>161</v>
      </c>
      <c r="D8" s="21">
        <f t="shared" si="0"/>
        <v>45831</v>
      </c>
      <c r="E8" s="22" t="s">
        <v>166</v>
      </c>
      <c r="F8" s="33" t="s">
        <v>112</v>
      </c>
      <c r="G8" s="44" t="s">
        <v>146</v>
      </c>
      <c r="S8" s="111"/>
    </row>
    <row r="9" spans="1:19" ht="15.75" hidden="1" thickBot="1" x14ac:dyDescent="0.3">
      <c r="A9" s="111"/>
      <c r="B9" s="30">
        <v>4</v>
      </c>
      <c r="C9" s="43" t="s">
        <v>161</v>
      </c>
      <c r="D9" s="21">
        <f t="shared" si="0"/>
        <v>45831</v>
      </c>
      <c r="E9" s="22" t="s">
        <v>167</v>
      </c>
      <c r="F9" s="33" t="s">
        <v>295</v>
      </c>
      <c r="G9" s="44" t="s">
        <v>146</v>
      </c>
      <c r="S9" s="111"/>
    </row>
    <row r="10" spans="1:19" ht="15.75" hidden="1" thickBot="1" x14ac:dyDescent="0.3">
      <c r="A10" s="111"/>
      <c r="B10" s="30">
        <v>4</v>
      </c>
      <c r="C10" s="43" t="s">
        <v>161</v>
      </c>
      <c r="D10" s="21">
        <f t="shared" si="0"/>
        <v>45831</v>
      </c>
      <c r="E10" s="22" t="s">
        <v>167</v>
      </c>
      <c r="F10" s="33" t="s">
        <v>295</v>
      </c>
      <c r="G10" s="44" t="s">
        <v>146</v>
      </c>
      <c r="S10" s="111"/>
    </row>
    <row r="11" spans="1:19" ht="15.75" hidden="1" thickBot="1" x14ac:dyDescent="0.3">
      <c r="A11" s="111"/>
      <c r="B11" s="30">
        <v>4</v>
      </c>
      <c r="C11" s="43" t="s">
        <v>161</v>
      </c>
      <c r="D11" s="21">
        <f t="shared" si="0"/>
        <v>45831</v>
      </c>
      <c r="E11" s="22" t="s">
        <v>169</v>
      </c>
      <c r="F11" s="33" t="s">
        <v>295</v>
      </c>
      <c r="G11" s="44" t="s">
        <v>146</v>
      </c>
      <c r="S11" s="111"/>
    </row>
    <row r="12" spans="1:19" ht="15.75" hidden="1" thickBot="1" x14ac:dyDescent="0.3">
      <c r="A12" s="111"/>
      <c r="B12" s="28">
        <v>4</v>
      </c>
      <c r="C12" s="99" t="s">
        <v>161</v>
      </c>
      <c r="D12" s="26">
        <f t="shared" si="0"/>
        <v>45831</v>
      </c>
      <c r="E12" s="27" t="s">
        <v>170</v>
      </c>
      <c r="F12" s="34" t="s">
        <v>295</v>
      </c>
      <c r="G12" s="100" t="s">
        <v>147</v>
      </c>
      <c r="S12" s="111"/>
    </row>
    <row r="13" spans="1:19" ht="5.0999999999999996" hidden="1" customHeight="1" x14ac:dyDescent="0.25">
      <c r="A13" s="111"/>
      <c r="C13" s="101"/>
      <c r="F13"/>
      <c r="G13" s="102"/>
      <c r="S13" s="111"/>
    </row>
    <row r="14" spans="1:19" ht="15.75" hidden="1" thickBot="1" x14ac:dyDescent="0.3">
      <c r="A14" s="111"/>
      <c r="B14" s="29">
        <v>4</v>
      </c>
      <c r="C14" s="41" t="s">
        <v>171</v>
      </c>
      <c r="D14" s="24">
        <f>D12+1</f>
        <v>45832</v>
      </c>
      <c r="E14" s="25" t="s">
        <v>162</v>
      </c>
      <c r="F14" s="35" t="s">
        <v>295</v>
      </c>
      <c r="G14" s="103" t="s">
        <v>147</v>
      </c>
      <c r="S14" s="111"/>
    </row>
    <row r="15" spans="1:19" ht="15.75" hidden="1" thickBot="1" x14ac:dyDescent="0.3">
      <c r="A15" s="111"/>
      <c r="B15" s="30">
        <v>4</v>
      </c>
      <c r="C15" s="43" t="s">
        <v>171</v>
      </c>
      <c r="D15" s="21">
        <f t="shared" ref="D15:D22" si="1">D14</f>
        <v>45832</v>
      </c>
      <c r="E15" s="22" t="s">
        <v>163</v>
      </c>
      <c r="F15" s="33" t="s">
        <v>295</v>
      </c>
      <c r="G15" s="44" t="s">
        <v>147</v>
      </c>
      <c r="S15" s="111"/>
    </row>
    <row r="16" spans="1:19" ht="15.75" hidden="1" thickBot="1" x14ac:dyDescent="0.3">
      <c r="A16" s="111"/>
      <c r="B16" s="30">
        <v>4</v>
      </c>
      <c r="C16" s="43" t="s">
        <v>171</v>
      </c>
      <c r="D16" s="21">
        <f t="shared" si="1"/>
        <v>45832</v>
      </c>
      <c r="E16" s="22" t="s">
        <v>164</v>
      </c>
      <c r="F16" s="33" t="s">
        <v>295</v>
      </c>
      <c r="G16" s="44" t="s">
        <v>147</v>
      </c>
      <c r="S16" s="111"/>
    </row>
    <row r="17" spans="1:19" ht="15.75" hidden="1" thickBot="1" x14ac:dyDescent="0.3">
      <c r="A17" s="111"/>
      <c r="B17" s="30">
        <v>4</v>
      </c>
      <c r="C17" s="43" t="s">
        <v>171</v>
      </c>
      <c r="D17" s="21">
        <f t="shared" si="1"/>
        <v>45832</v>
      </c>
      <c r="E17" s="22" t="s">
        <v>165</v>
      </c>
      <c r="F17" s="33" t="s">
        <v>5</v>
      </c>
      <c r="G17" s="42" t="s">
        <v>148</v>
      </c>
      <c r="S17" s="111"/>
    </row>
    <row r="18" spans="1:19" ht="15.75" hidden="1" thickBot="1" x14ac:dyDescent="0.3">
      <c r="A18" s="111"/>
      <c r="B18" s="30">
        <v>4</v>
      </c>
      <c r="C18" s="43" t="s">
        <v>171</v>
      </c>
      <c r="D18" s="21">
        <f t="shared" si="1"/>
        <v>45832</v>
      </c>
      <c r="E18" s="22" t="s">
        <v>166</v>
      </c>
      <c r="F18" s="33" t="s">
        <v>5</v>
      </c>
      <c r="G18" s="44" t="s">
        <v>148</v>
      </c>
      <c r="S18" s="111"/>
    </row>
    <row r="19" spans="1:19" ht="15.75" hidden="1" thickBot="1" x14ac:dyDescent="0.3">
      <c r="A19" s="111"/>
      <c r="B19" s="30">
        <v>4</v>
      </c>
      <c r="C19" s="43" t="s">
        <v>171</v>
      </c>
      <c r="D19" s="21">
        <f t="shared" si="1"/>
        <v>45832</v>
      </c>
      <c r="E19" s="22" t="s">
        <v>167</v>
      </c>
      <c r="F19" s="33" t="s">
        <v>5</v>
      </c>
      <c r="G19" s="44" t="s">
        <v>148</v>
      </c>
      <c r="S19" s="111"/>
    </row>
    <row r="20" spans="1:19" ht="15.75" hidden="1" thickBot="1" x14ac:dyDescent="0.3">
      <c r="A20" s="111"/>
      <c r="B20" s="30">
        <v>4</v>
      </c>
      <c r="C20" s="43" t="s">
        <v>171</v>
      </c>
      <c r="D20" s="21">
        <f t="shared" si="1"/>
        <v>45832</v>
      </c>
      <c r="E20" s="22" t="s">
        <v>168</v>
      </c>
      <c r="F20" s="33" t="s">
        <v>5</v>
      </c>
      <c r="G20" s="44" t="s">
        <v>148</v>
      </c>
      <c r="S20" s="111"/>
    </row>
    <row r="21" spans="1:19" ht="15.75" hidden="1" thickBot="1" x14ac:dyDescent="0.3">
      <c r="A21" s="111"/>
      <c r="B21" s="30">
        <v>4</v>
      </c>
      <c r="C21" s="43" t="s">
        <v>171</v>
      </c>
      <c r="D21" s="21">
        <f t="shared" si="1"/>
        <v>45832</v>
      </c>
      <c r="E21" s="22" t="s">
        <v>169</v>
      </c>
      <c r="F21" s="33" t="s">
        <v>5</v>
      </c>
      <c r="G21" s="42" t="s">
        <v>149</v>
      </c>
      <c r="S21" s="111"/>
    </row>
    <row r="22" spans="1:19" ht="15.75" hidden="1" thickBot="1" x14ac:dyDescent="0.3">
      <c r="A22" s="111"/>
      <c r="B22" s="28">
        <v>4</v>
      </c>
      <c r="C22" s="99" t="s">
        <v>171</v>
      </c>
      <c r="D22" s="26">
        <f t="shared" si="1"/>
        <v>45832</v>
      </c>
      <c r="E22" s="27" t="s">
        <v>170</v>
      </c>
      <c r="F22" s="34" t="s">
        <v>5</v>
      </c>
      <c r="G22" s="104" t="s">
        <v>149</v>
      </c>
      <c r="S22" s="111"/>
    </row>
    <row r="23" spans="1:19" ht="5.0999999999999996" hidden="1" customHeight="1" x14ac:dyDescent="0.25">
      <c r="A23" s="111"/>
      <c r="C23" s="101"/>
      <c r="F23"/>
      <c r="G23" s="102"/>
      <c r="S23" s="111"/>
    </row>
    <row r="24" spans="1:19" ht="15.75" hidden="1" thickBot="1" x14ac:dyDescent="0.3">
      <c r="A24" s="111"/>
      <c r="B24" s="29">
        <v>4</v>
      </c>
      <c r="C24" s="41" t="s">
        <v>172</v>
      </c>
      <c r="D24" s="24">
        <f>D22+1</f>
        <v>45833</v>
      </c>
      <c r="E24" s="25" t="s">
        <v>162</v>
      </c>
      <c r="F24" s="35" t="s">
        <v>5</v>
      </c>
      <c r="G24" s="105" t="s">
        <v>149</v>
      </c>
      <c r="S24" s="111"/>
    </row>
    <row r="25" spans="1:19" ht="15.75" hidden="1" thickBot="1" x14ac:dyDescent="0.3">
      <c r="A25" s="111"/>
      <c r="B25" s="30">
        <v>4</v>
      </c>
      <c r="C25" s="43" t="s">
        <v>172</v>
      </c>
      <c r="D25" s="21">
        <f t="shared" ref="D25:D32" si="2">D24</f>
        <v>45833</v>
      </c>
      <c r="E25" s="22" t="s">
        <v>163</v>
      </c>
      <c r="F25" s="33" t="s">
        <v>5</v>
      </c>
      <c r="G25" s="44" t="s">
        <v>149</v>
      </c>
      <c r="S25" s="111"/>
    </row>
    <row r="26" spans="1:19" ht="15.75" hidden="1" thickBot="1" x14ac:dyDescent="0.3">
      <c r="A26" s="111"/>
      <c r="B26" s="30">
        <v>4</v>
      </c>
      <c r="C26" s="43" t="s">
        <v>172</v>
      </c>
      <c r="D26" s="21">
        <f t="shared" si="2"/>
        <v>45833</v>
      </c>
      <c r="E26" s="22" t="s">
        <v>164</v>
      </c>
      <c r="F26" s="33" t="s">
        <v>5</v>
      </c>
      <c r="G26" s="42" t="s">
        <v>150</v>
      </c>
      <c r="S26" s="111"/>
    </row>
    <row r="27" spans="1:19" ht="15.75" hidden="1" thickBot="1" x14ac:dyDescent="0.3">
      <c r="A27" s="111"/>
      <c r="B27" s="30">
        <v>4</v>
      </c>
      <c r="C27" s="43" t="s">
        <v>172</v>
      </c>
      <c r="D27" s="21">
        <f t="shared" si="2"/>
        <v>45833</v>
      </c>
      <c r="E27" s="22" t="s">
        <v>165</v>
      </c>
      <c r="F27" s="33" t="s">
        <v>5</v>
      </c>
      <c r="G27" s="44" t="s">
        <v>150</v>
      </c>
      <c r="S27" s="111"/>
    </row>
    <row r="28" spans="1:19" ht="15.75" hidden="1" thickBot="1" x14ac:dyDescent="0.3">
      <c r="A28" s="111"/>
      <c r="B28" s="30">
        <v>4</v>
      </c>
      <c r="C28" s="43" t="s">
        <v>172</v>
      </c>
      <c r="D28" s="21">
        <f t="shared" si="2"/>
        <v>45833</v>
      </c>
      <c r="E28" s="22" t="s">
        <v>166</v>
      </c>
      <c r="F28" s="33" t="s">
        <v>5</v>
      </c>
      <c r="G28" s="44" t="s">
        <v>150</v>
      </c>
      <c r="S28" s="111"/>
    </row>
    <row r="29" spans="1:19" ht="15.75" hidden="1" thickBot="1" x14ac:dyDescent="0.3">
      <c r="A29" s="111"/>
      <c r="B29" s="30">
        <v>4</v>
      </c>
      <c r="C29" s="43" t="s">
        <v>172</v>
      </c>
      <c r="D29" s="21">
        <f t="shared" si="2"/>
        <v>45833</v>
      </c>
      <c r="E29" s="22" t="s">
        <v>167</v>
      </c>
      <c r="F29" s="33" t="s">
        <v>5</v>
      </c>
      <c r="G29" s="44" t="s">
        <v>150</v>
      </c>
      <c r="S29" s="111"/>
    </row>
    <row r="30" spans="1:19" ht="15.75" hidden="1" thickBot="1" x14ac:dyDescent="0.3">
      <c r="A30" s="111"/>
      <c r="B30" s="30">
        <v>4</v>
      </c>
      <c r="C30" s="43" t="s">
        <v>172</v>
      </c>
      <c r="D30" s="21">
        <f t="shared" si="2"/>
        <v>45833</v>
      </c>
      <c r="E30" s="22" t="s">
        <v>168</v>
      </c>
      <c r="F30" s="33" t="s">
        <v>5</v>
      </c>
      <c r="G30" s="44" t="s">
        <v>151</v>
      </c>
      <c r="S30" s="111"/>
    </row>
    <row r="31" spans="1:19" ht="15.75" hidden="1" thickBot="1" x14ac:dyDescent="0.3">
      <c r="A31" s="111"/>
      <c r="B31" s="30">
        <v>4</v>
      </c>
      <c r="C31" s="43" t="s">
        <v>172</v>
      </c>
      <c r="D31" s="21">
        <f t="shared" si="2"/>
        <v>45833</v>
      </c>
      <c r="E31" s="22" t="s">
        <v>169</v>
      </c>
      <c r="F31" s="33" t="s">
        <v>5</v>
      </c>
      <c r="G31" s="44" t="s">
        <v>151</v>
      </c>
      <c r="S31" s="111"/>
    </row>
    <row r="32" spans="1:19" ht="15.75" hidden="1" thickBot="1" x14ac:dyDescent="0.3">
      <c r="A32" s="111"/>
      <c r="B32" s="28">
        <v>4</v>
      </c>
      <c r="C32" s="99" t="s">
        <v>172</v>
      </c>
      <c r="D32" s="26">
        <f t="shared" si="2"/>
        <v>45833</v>
      </c>
      <c r="E32" s="27" t="s">
        <v>170</v>
      </c>
      <c r="F32" s="34" t="s">
        <v>5</v>
      </c>
      <c r="G32" s="104" t="s">
        <v>151</v>
      </c>
      <c r="S32" s="111"/>
    </row>
    <row r="33" spans="1:19" ht="5.0999999999999996" hidden="1" customHeight="1" x14ac:dyDescent="0.25">
      <c r="A33" s="111"/>
      <c r="C33" s="101"/>
      <c r="F33"/>
      <c r="G33" s="102"/>
      <c r="S33" s="111"/>
    </row>
    <row r="34" spans="1:19" ht="15.75" hidden="1" thickBot="1" x14ac:dyDescent="0.3">
      <c r="A34" s="111"/>
      <c r="B34" s="29">
        <v>4</v>
      </c>
      <c r="C34" s="41" t="s">
        <v>173</v>
      </c>
      <c r="D34" s="24">
        <f>D32+1</f>
        <v>45834</v>
      </c>
      <c r="E34" s="25" t="s">
        <v>162</v>
      </c>
      <c r="F34" s="37" t="s">
        <v>5</v>
      </c>
      <c r="G34" s="105" t="s">
        <v>151</v>
      </c>
      <c r="S34" s="111"/>
    </row>
    <row r="35" spans="1:19" ht="15.75" hidden="1" thickBot="1" x14ac:dyDescent="0.3">
      <c r="A35" s="111"/>
      <c r="B35" s="30">
        <v>4</v>
      </c>
      <c r="C35" s="43" t="s">
        <v>173</v>
      </c>
      <c r="D35" s="21">
        <f t="shared" ref="D35:D42" si="3">D34</f>
        <v>45834</v>
      </c>
      <c r="E35" s="22" t="s">
        <v>163</v>
      </c>
      <c r="F35" s="38" t="s">
        <v>5</v>
      </c>
      <c r="G35" s="42" t="s">
        <v>152</v>
      </c>
      <c r="S35" s="111"/>
    </row>
    <row r="36" spans="1:19" ht="15.75" hidden="1" thickBot="1" x14ac:dyDescent="0.3">
      <c r="A36" s="111"/>
      <c r="B36" s="30">
        <v>4</v>
      </c>
      <c r="C36" s="43" t="s">
        <v>173</v>
      </c>
      <c r="D36" s="21">
        <f t="shared" si="3"/>
        <v>45834</v>
      </c>
      <c r="E36" s="22" t="s">
        <v>164</v>
      </c>
      <c r="F36" s="38" t="s">
        <v>5</v>
      </c>
      <c r="G36" s="44" t="s">
        <v>152</v>
      </c>
      <c r="S36" s="111"/>
    </row>
    <row r="37" spans="1:19" ht="15.75" hidden="1" thickBot="1" x14ac:dyDescent="0.3">
      <c r="A37" s="111"/>
      <c r="B37" s="30">
        <v>4</v>
      </c>
      <c r="C37" s="43" t="s">
        <v>173</v>
      </c>
      <c r="D37" s="21">
        <f t="shared" si="3"/>
        <v>45834</v>
      </c>
      <c r="E37" s="22" t="s">
        <v>165</v>
      </c>
      <c r="F37" s="38" t="s">
        <v>5</v>
      </c>
      <c r="G37" s="44" t="s">
        <v>152</v>
      </c>
      <c r="S37" s="111"/>
    </row>
    <row r="38" spans="1:19" ht="15.75" hidden="1" thickBot="1" x14ac:dyDescent="0.3">
      <c r="A38" s="111"/>
      <c r="B38" s="30">
        <v>4</v>
      </c>
      <c r="C38" s="43" t="s">
        <v>173</v>
      </c>
      <c r="D38" s="21">
        <f t="shared" si="3"/>
        <v>45834</v>
      </c>
      <c r="E38" s="22" t="s">
        <v>166</v>
      </c>
      <c r="F38" s="38" t="s">
        <v>5</v>
      </c>
      <c r="G38" s="44" t="s">
        <v>152</v>
      </c>
      <c r="S38" s="111"/>
    </row>
    <row r="39" spans="1:19" ht="15.75" hidden="1" thickBot="1" x14ac:dyDescent="0.3">
      <c r="A39" s="111"/>
      <c r="B39" s="30">
        <v>4</v>
      </c>
      <c r="C39" s="43" t="s">
        <v>173</v>
      </c>
      <c r="D39" s="21">
        <f t="shared" si="3"/>
        <v>45834</v>
      </c>
      <c r="E39" s="22" t="s">
        <v>167</v>
      </c>
      <c r="F39" s="38" t="s">
        <v>5</v>
      </c>
      <c r="G39" s="106" t="s">
        <v>153</v>
      </c>
      <c r="S39" s="111"/>
    </row>
    <row r="40" spans="1:19" ht="15.75" hidden="1" thickBot="1" x14ac:dyDescent="0.3">
      <c r="A40" s="111"/>
      <c r="B40" s="30">
        <v>4</v>
      </c>
      <c r="C40" s="43" t="s">
        <v>173</v>
      </c>
      <c r="D40" s="21">
        <f t="shared" si="3"/>
        <v>45834</v>
      </c>
      <c r="E40" s="22" t="s">
        <v>168</v>
      </c>
      <c r="F40" s="38" t="s">
        <v>5</v>
      </c>
      <c r="G40" s="106" t="s">
        <v>153</v>
      </c>
      <c r="S40" s="111"/>
    </row>
    <row r="41" spans="1:19" ht="15.75" hidden="1" thickBot="1" x14ac:dyDescent="0.3">
      <c r="A41" s="111"/>
      <c r="B41" s="30">
        <v>4</v>
      </c>
      <c r="C41" s="43" t="s">
        <v>173</v>
      </c>
      <c r="D41" s="21">
        <f t="shared" si="3"/>
        <v>45834</v>
      </c>
      <c r="E41" s="22" t="s">
        <v>169</v>
      </c>
      <c r="F41" s="38" t="s">
        <v>5</v>
      </c>
      <c r="G41" s="106" t="s">
        <v>153</v>
      </c>
      <c r="S41" s="111"/>
    </row>
    <row r="42" spans="1:19" ht="15.75" hidden="1" thickBot="1" x14ac:dyDescent="0.3">
      <c r="A42" s="111"/>
      <c r="B42" s="28">
        <v>4</v>
      </c>
      <c r="C42" s="99" t="s">
        <v>173</v>
      </c>
      <c r="D42" s="26">
        <f t="shared" si="3"/>
        <v>45834</v>
      </c>
      <c r="E42" s="27" t="s">
        <v>170</v>
      </c>
      <c r="F42" s="39" t="s">
        <v>5</v>
      </c>
      <c r="G42" s="107" t="s">
        <v>153</v>
      </c>
      <c r="S42" s="111"/>
    </row>
    <row r="43" spans="1:19" ht="5.0999999999999996" hidden="1" customHeight="1" x14ac:dyDescent="0.25">
      <c r="A43" s="111"/>
      <c r="C43" s="101"/>
      <c r="F43"/>
      <c r="G43" s="108"/>
      <c r="S43" s="111"/>
    </row>
    <row r="44" spans="1:19" ht="15.75" hidden="1" thickBot="1" x14ac:dyDescent="0.3">
      <c r="A44" s="111"/>
      <c r="B44" s="29">
        <v>4</v>
      </c>
      <c r="C44" s="41" t="s">
        <v>174</v>
      </c>
      <c r="D44" s="24">
        <f>D42+1</f>
        <v>45835</v>
      </c>
      <c r="E44" s="25" t="s">
        <v>162</v>
      </c>
      <c r="F44" s="37" t="s">
        <v>5</v>
      </c>
      <c r="G44" s="109" t="s">
        <v>154</v>
      </c>
      <c r="S44" s="111"/>
    </row>
    <row r="45" spans="1:19" ht="15.75" hidden="1" thickBot="1" x14ac:dyDescent="0.3">
      <c r="A45" s="111"/>
      <c r="B45" s="30">
        <v>4</v>
      </c>
      <c r="C45" s="43" t="s">
        <v>174</v>
      </c>
      <c r="D45" s="21">
        <f t="shared" ref="D45:D51" si="4">D44</f>
        <v>45835</v>
      </c>
      <c r="E45" s="22" t="s">
        <v>163</v>
      </c>
      <c r="F45" s="38" t="s">
        <v>5</v>
      </c>
      <c r="G45" s="106" t="s">
        <v>154</v>
      </c>
      <c r="S45" s="111"/>
    </row>
    <row r="46" spans="1:19" ht="15.75" hidden="1" thickBot="1" x14ac:dyDescent="0.3">
      <c r="A46" s="111"/>
      <c r="B46" s="30">
        <v>4</v>
      </c>
      <c r="C46" s="43" t="s">
        <v>174</v>
      </c>
      <c r="D46" s="21">
        <f t="shared" si="4"/>
        <v>45835</v>
      </c>
      <c r="E46" s="22" t="s">
        <v>164</v>
      </c>
      <c r="F46" s="38" t="s">
        <v>5</v>
      </c>
      <c r="G46" s="106" t="s">
        <v>154</v>
      </c>
      <c r="S46" s="111"/>
    </row>
    <row r="47" spans="1:19" ht="15.75" hidden="1" thickBot="1" x14ac:dyDescent="0.3">
      <c r="A47" s="111"/>
      <c r="B47" s="30">
        <v>4</v>
      </c>
      <c r="C47" s="43" t="s">
        <v>174</v>
      </c>
      <c r="D47" s="21">
        <f t="shared" si="4"/>
        <v>45835</v>
      </c>
      <c r="E47" s="22" t="s">
        <v>165</v>
      </c>
      <c r="F47" s="38" t="s">
        <v>5</v>
      </c>
      <c r="G47" s="106" t="s">
        <v>154</v>
      </c>
      <c r="S47" s="111"/>
    </row>
    <row r="48" spans="1:19" ht="15.75" hidden="1" thickBot="1" x14ac:dyDescent="0.3">
      <c r="A48" s="111"/>
      <c r="B48" s="30">
        <v>4</v>
      </c>
      <c r="C48" s="43" t="s">
        <v>174</v>
      </c>
      <c r="D48" s="21">
        <f t="shared" si="4"/>
        <v>45835</v>
      </c>
      <c r="E48" s="22" t="s">
        <v>166</v>
      </c>
      <c r="F48" s="38" t="s">
        <v>5</v>
      </c>
      <c r="G48" s="106" t="s">
        <v>155</v>
      </c>
      <c r="S48" s="111"/>
    </row>
    <row r="49" spans="1:19" ht="15.75" hidden="1" thickBot="1" x14ac:dyDescent="0.3">
      <c r="A49" s="111"/>
      <c r="B49" s="30">
        <v>4</v>
      </c>
      <c r="C49" s="43" t="s">
        <v>174</v>
      </c>
      <c r="D49" s="21">
        <f t="shared" si="4"/>
        <v>45835</v>
      </c>
      <c r="E49" s="22" t="s">
        <v>167</v>
      </c>
      <c r="F49" s="38" t="s">
        <v>5</v>
      </c>
      <c r="G49" s="106" t="s">
        <v>155</v>
      </c>
      <c r="S49" s="111"/>
    </row>
    <row r="50" spans="1:19" ht="15.75" hidden="1" thickBot="1" x14ac:dyDescent="0.3">
      <c r="A50" s="111"/>
      <c r="B50" s="30">
        <v>4</v>
      </c>
      <c r="C50" s="43" t="s">
        <v>174</v>
      </c>
      <c r="D50" s="21">
        <f t="shared" si="4"/>
        <v>45835</v>
      </c>
      <c r="E50" s="22" t="s">
        <v>168</v>
      </c>
      <c r="F50" s="38" t="s">
        <v>5</v>
      </c>
      <c r="G50" s="106" t="s">
        <v>155</v>
      </c>
      <c r="S50" s="111"/>
    </row>
    <row r="51" spans="1:19" ht="15.75" hidden="1" thickBot="1" x14ac:dyDescent="0.3">
      <c r="A51" s="111"/>
      <c r="B51" s="28">
        <v>4</v>
      </c>
      <c r="C51" s="99" t="s">
        <v>174</v>
      </c>
      <c r="D51" s="26">
        <f t="shared" si="4"/>
        <v>45835</v>
      </c>
      <c r="E51" s="27" t="s">
        <v>169</v>
      </c>
      <c r="F51" s="39" t="s">
        <v>5</v>
      </c>
      <c r="G51" s="107" t="s">
        <v>155</v>
      </c>
      <c r="S51" s="111"/>
    </row>
    <row r="52" spans="1:19" ht="12" hidden="1" customHeight="1" thickBot="1" x14ac:dyDescent="0.3">
      <c r="A52" s="129" t="s">
        <v>310</v>
      </c>
      <c r="C52" s="101"/>
      <c r="F52"/>
      <c r="G52" s="102"/>
      <c r="S52" s="129" t="s">
        <v>310</v>
      </c>
    </row>
    <row r="53" spans="1:19" ht="15.75" hidden="1" thickBot="1" x14ac:dyDescent="0.3">
      <c r="A53" s="129" t="s">
        <v>310</v>
      </c>
      <c r="C53" s="52" t="s">
        <v>161</v>
      </c>
      <c r="D53" s="53">
        <v>45838</v>
      </c>
      <c r="E53" s="54" t="s">
        <v>162</v>
      </c>
      <c r="F53" s="60" t="s">
        <v>352</v>
      </c>
      <c r="G53" s="66" t="s">
        <v>153</v>
      </c>
      <c r="S53" s="129" t="s">
        <v>310</v>
      </c>
    </row>
    <row r="54" spans="1:19" ht="15.75" hidden="1" thickBot="1" x14ac:dyDescent="0.3">
      <c r="A54" s="111"/>
      <c r="C54" s="43" t="s">
        <v>161</v>
      </c>
      <c r="D54" s="21">
        <v>45838</v>
      </c>
      <c r="E54" s="22" t="s">
        <v>163</v>
      </c>
      <c r="F54" s="32" t="s">
        <v>315</v>
      </c>
      <c r="G54" s="44" t="s">
        <v>153</v>
      </c>
      <c r="S54" s="111"/>
    </row>
    <row r="55" spans="1:19" ht="15.75" hidden="1" thickBot="1" x14ac:dyDescent="0.3">
      <c r="A55" s="111"/>
      <c r="C55" s="43" t="s">
        <v>161</v>
      </c>
      <c r="D55" s="21">
        <v>45838</v>
      </c>
      <c r="E55" s="22" t="s">
        <v>164</v>
      </c>
      <c r="F55" s="32" t="s">
        <v>315</v>
      </c>
      <c r="G55" s="44" t="s">
        <v>153</v>
      </c>
      <c r="S55" s="111"/>
    </row>
    <row r="56" spans="1:19" ht="15.75" hidden="1" thickBot="1" x14ac:dyDescent="0.3">
      <c r="A56" s="111"/>
      <c r="C56" s="43" t="s">
        <v>161</v>
      </c>
      <c r="D56" s="21">
        <v>45838</v>
      </c>
      <c r="E56" s="22" t="s">
        <v>165</v>
      </c>
      <c r="F56" s="32" t="s">
        <v>315</v>
      </c>
      <c r="G56" s="44" t="s">
        <v>153</v>
      </c>
      <c r="S56" s="111"/>
    </row>
    <row r="57" spans="1:19" ht="15.75" hidden="1" thickBot="1" x14ac:dyDescent="0.3">
      <c r="A57" s="111"/>
      <c r="C57" s="43" t="s">
        <v>161</v>
      </c>
      <c r="D57" s="21">
        <v>45838</v>
      </c>
      <c r="E57" s="22" t="s">
        <v>166</v>
      </c>
      <c r="F57" s="32" t="s">
        <v>315</v>
      </c>
      <c r="G57" s="45" t="s">
        <v>303</v>
      </c>
      <c r="S57" s="111"/>
    </row>
    <row r="58" spans="1:19" ht="15.75" hidden="1" thickBot="1" x14ac:dyDescent="0.3">
      <c r="A58" s="111"/>
      <c r="C58" s="43" t="s">
        <v>161</v>
      </c>
      <c r="D58" s="21">
        <v>45838</v>
      </c>
      <c r="E58" s="22" t="s">
        <v>167</v>
      </c>
      <c r="F58" s="32" t="s">
        <v>315</v>
      </c>
      <c r="G58" s="45" t="s">
        <v>303</v>
      </c>
      <c r="S58" s="111"/>
    </row>
    <row r="59" spans="1:19" ht="15.75" hidden="1" thickBot="1" x14ac:dyDescent="0.3">
      <c r="A59" s="111"/>
      <c r="C59" s="43" t="s">
        <v>161</v>
      </c>
      <c r="D59" s="21">
        <v>45838</v>
      </c>
      <c r="E59" s="22" t="s">
        <v>167</v>
      </c>
      <c r="F59" s="32" t="s">
        <v>315</v>
      </c>
      <c r="G59" s="45" t="s">
        <v>303</v>
      </c>
      <c r="S59" s="111"/>
    </row>
    <row r="60" spans="1:19" ht="15.75" hidden="1" thickBot="1" x14ac:dyDescent="0.3">
      <c r="A60" s="111"/>
      <c r="C60" s="43" t="s">
        <v>161</v>
      </c>
      <c r="D60" s="21">
        <v>45838</v>
      </c>
      <c r="E60" s="22" t="s">
        <v>169</v>
      </c>
      <c r="F60" s="32" t="s">
        <v>315</v>
      </c>
      <c r="G60" s="46" t="s">
        <v>303</v>
      </c>
      <c r="S60" s="111"/>
    </row>
    <row r="61" spans="1:19" ht="15.75" hidden="1" thickBot="1" x14ac:dyDescent="0.3">
      <c r="A61" s="111"/>
      <c r="C61" s="47" t="s">
        <v>161</v>
      </c>
      <c r="D61" s="48">
        <v>45838</v>
      </c>
      <c r="E61" s="49" t="s">
        <v>170</v>
      </c>
      <c r="F61" s="50" t="s">
        <v>315</v>
      </c>
      <c r="G61" s="51" t="s">
        <v>304</v>
      </c>
      <c r="S61" s="111"/>
    </row>
    <row r="62" spans="1:19" ht="15.75" hidden="1" thickBot="1" x14ac:dyDescent="0.3">
      <c r="A62" s="111"/>
      <c r="C62" s="101"/>
      <c r="F62"/>
      <c r="G62" s="102"/>
      <c r="S62" s="111"/>
    </row>
    <row r="63" spans="1:19" ht="15.75" hidden="1" thickBot="1" x14ac:dyDescent="0.3">
      <c r="A63" s="111"/>
      <c r="C63" s="52" t="s">
        <v>171</v>
      </c>
      <c r="D63" s="53">
        <f>D61+1</f>
        <v>45839</v>
      </c>
      <c r="E63" s="54" t="s">
        <v>162</v>
      </c>
      <c r="F63" s="55" t="s">
        <v>315</v>
      </c>
      <c r="G63" s="56" t="s">
        <v>304</v>
      </c>
      <c r="S63" s="111"/>
    </row>
    <row r="64" spans="1:19" ht="15.75" hidden="1" thickBot="1" x14ac:dyDescent="0.3">
      <c r="A64" s="111"/>
      <c r="C64" s="43" t="s">
        <v>171</v>
      </c>
      <c r="D64" s="21">
        <f t="shared" ref="D64:D71" si="5">D63</f>
        <v>45839</v>
      </c>
      <c r="E64" s="22" t="s">
        <v>163</v>
      </c>
      <c r="F64" s="32" t="s">
        <v>315</v>
      </c>
      <c r="G64" s="44" t="s">
        <v>304</v>
      </c>
      <c r="S64" s="111"/>
    </row>
    <row r="65" spans="1:19" ht="15.75" hidden="1" thickBot="1" x14ac:dyDescent="0.3">
      <c r="A65" s="111"/>
      <c r="C65" s="43" t="s">
        <v>171</v>
      </c>
      <c r="D65" s="21">
        <f t="shared" si="5"/>
        <v>45839</v>
      </c>
      <c r="E65" s="22" t="s">
        <v>164</v>
      </c>
      <c r="F65" s="32" t="s">
        <v>315</v>
      </c>
      <c r="G65" s="44" t="s">
        <v>304</v>
      </c>
      <c r="S65" s="111"/>
    </row>
    <row r="66" spans="1:19" ht="15.75" hidden="1" thickBot="1" x14ac:dyDescent="0.3">
      <c r="A66" s="111"/>
      <c r="C66" s="43" t="s">
        <v>171</v>
      </c>
      <c r="D66" s="21">
        <f t="shared" si="5"/>
        <v>45839</v>
      </c>
      <c r="E66" s="22" t="s">
        <v>165</v>
      </c>
      <c r="F66" s="32" t="s">
        <v>315</v>
      </c>
      <c r="G66" s="45" t="s">
        <v>305</v>
      </c>
      <c r="S66" s="111"/>
    </row>
    <row r="67" spans="1:19" ht="15.75" hidden="1" thickBot="1" x14ac:dyDescent="0.3">
      <c r="A67" s="111"/>
      <c r="C67" s="43" t="s">
        <v>171</v>
      </c>
      <c r="D67" s="21">
        <f t="shared" si="5"/>
        <v>45839</v>
      </c>
      <c r="E67" s="22" t="s">
        <v>166</v>
      </c>
      <c r="F67" s="32" t="s">
        <v>315</v>
      </c>
      <c r="G67" s="45" t="s">
        <v>305</v>
      </c>
      <c r="S67" s="111"/>
    </row>
    <row r="68" spans="1:19" ht="15.75" hidden="1" thickBot="1" x14ac:dyDescent="0.3">
      <c r="A68" s="111"/>
      <c r="C68" s="43" t="s">
        <v>171</v>
      </c>
      <c r="D68" s="21">
        <f t="shared" si="5"/>
        <v>45839</v>
      </c>
      <c r="E68" s="22" t="s">
        <v>167</v>
      </c>
      <c r="F68" s="32" t="s">
        <v>315</v>
      </c>
      <c r="G68" s="45" t="s">
        <v>305</v>
      </c>
      <c r="S68" s="111"/>
    </row>
    <row r="69" spans="1:19" ht="15.75" hidden="1" thickBot="1" x14ac:dyDescent="0.3">
      <c r="A69" s="111"/>
      <c r="C69" s="43" t="s">
        <v>171</v>
      </c>
      <c r="D69" s="21">
        <f t="shared" si="5"/>
        <v>45839</v>
      </c>
      <c r="E69" s="22" t="s">
        <v>168</v>
      </c>
      <c r="F69" s="32" t="s">
        <v>315</v>
      </c>
      <c r="G69" s="45" t="s">
        <v>305</v>
      </c>
      <c r="S69" s="111"/>
    </row>
    <row r="70" spans="1:19" ht="15.75" hidden="1" thickBot="1" x14ac:dyDescent="0.3">
      <c r="A70" s="111"/>
      <c r="C70" s="43" t="s">
        <v>171</v>
      </c>
      <c r="D70" s="21">
        <f t="shared" si="5"/>
        <v>45839</v>
      </c>
      <c r="E70" s="22" t="s">
        <v>169</v>
      </c>
      <c r="F70" s="32" t="s">
        <v>315</v>
      </c>
      <c r="G70" s="57" t="s">
        <v>306</v>
      </c>
      <c r="S70" s="111"/>
    </row>
    <row r="71" spans="1:19" ht="15.75" hidden="1" thickBot="1" x14ac:dyDescent="0.3">
      <c r="A71" s="111"/>
      <c r="C71" s="47" t="s">
        <v>171</v>
      </c>
      <c r="D71" s="48">
        <f t="shared" si="5"/>
        <v>45839</v>
      </c>
      <c r="E71" s="49" t="s">
        <v>170</v>
      </c>
      <c r="F71" s="50" t="s">
        <v>315</v>
      </c>
      <c r="G71" s="58" t="s">
        <v>306</v>
      </c>
      <c r="S71" s="111"/>
    </row>
    <row r="72" spans="1:19" ht="15.75" hidden="1" thickBot="1" x14ac:dyDescent="0.3">
      <c r="A72" s="111"/>
      <c r="C72" s="101"/>
      <c r="F72"/>
      <c r="G72" s="102"/>
      <c r="S72" s="111"/>
    </row>
    <row r="73" spans="1:19" ht="15.75" hidden="1" thickBot="1" x14ac:dyDescent="0.3">
      <c r="A73" s="111"/>
      <c r="C73" s="52" t="s">
        <v>172</v>
      </c>
      <c r="D73" s="53">
        <f>D71+1</f>
        <v>45840</v>
      </c>
      <c r="E73" s="59" t="s">
        <v>162</v>
      </c>
      <c r="F73" s="55" t="s">
        <v>315</v>
      </c>
      <c r="G73" s="63" t="s">
        <v>306</v>
      </c>
      <c r="S73" s="111"/>
    </row>
    <row r="74" spans="1:19" ht="15.75" hidden="1" thickBot="1" x14ac:dyDescent="0.3">
      <c r="A74" s="111"/>
      <c r="C74" s="43" t="s">
        <v>172</v>
      </c>
      <c r="D74" s="21">
        <f t="shared" ref="D74:D81" si="6">D73</f>
        <v>45840</v>
      </c>
      <c r="E74" s="36" t="s">
        <v>163</v>
      </c>
      <c r="F74" s="32" t="s">
        <v>315</v>
      </c>
      <c r="G74" s="64" t="s">
        <v>306</v>
      </c>
      <c r="S74" s="111"/>
    </row>
    <row r="75" spans="1:19" ht="15.75" hidden="1" thickBot="1" x14ac:dyDescent="0.3">
      <c r="A75" s="111"/>
      <c r="C75" s="43" t="s">
        <v>172</v>
      </c>
      <c r="D75" s="21">
        <f t="shared" si="6"/>
        <v>45840</v>
      </c>
      <c r="E75" s="36" t="s">
        <v>164</v>
      </c>
      <c r="F75" s="32" t="s">
        <v>315</v>
      </c>
      <c r="G75" s="64" t="s">
        <v>307</v>
      </c>
      <c r="S75" s="111"/>
    </row>
    <row r="76" spans="1:19" ht="15.75" hidden="1" thickBot="1" x14ac:dyDescent="0.3">
      <c r="A76" s="111"/>
      <c r="C76" s="43" t="s">
        <v>172</v>
      </c>
      <c r="D76" s="21">
        <f t="shared" si="6"/>
        <v>45840</v>
      </c>
      <c r="E76" s="36" t="s">
        <v>165</v>
      </c>
      <c r="F76" s="32" t="s">
        <v>315</v>
      </c>
      <c r="G76" s="64" t="s">
        <v>307</v>
      </c>
      <c r="S76" s="111"/>
    </row>
    <row r="77" spans="1:19" ht="15.75" hidden="1" thickBot="1" x14ac:dyDescent="0.3">
      <c r="A77" s="111"/>
      <c r="C77" s="43" t="s">
        <v>172</v>
      </c>
      <c r="D77" s="21">
        <f t="shared" si="6"/>
        <v>45840</v>
      </c>
      <c r="E77" s="36" t="s">
        <v>166</v>
      </c>
      <c r="F77" s="32" t="s">
        <v>315</v>
      </c>
      <c r="G77" s="64" t="s">
        <v>307</v>
      </c>
      <c r="S77" s="111"/>
    </row>
    <row r="78" spans="1:19" ht="15.75" hidden="1" thickBot="1" x14ac:dyDescent="0.3">
      <c r="A78" s="111"/>
      <c r="C78" s="43" t="s">
        <v>172</v>
      </c>
      <c r="D78" s="21">
        <f t="shared" si="6"/>
        <v>45840</v>
      </c>
      <c r="E78" s="36" t="s">
        <v>167</v>
      </c>
      <c r="F78" s="40" t="s">
        <v>315</v>
      </c>
      <c r="G78" s="64" t="s">
        <v>307</v>
      </c>
      <c r="S78" s="111"/>
    </row>
    <row r="79" spans="1:19" ht="15.75" hidden="1" thickBot="1" x14ac:dyDescent="0.3">
      <c r="A79" s="111"/>
      <c r="C79" s="43" t="s">
        <v>172</v>
      </c>
      <c r="D79" s="21">
        <f t="shared" si="6"/>
        <v>45840</v>
      </c>
      <c r="E79" s="36" t="s">
        <v>168</v>
      </c>
      <c r="F79" s="32" t="s">
        <v>315</v>
      </c>
      <c r="G79" s="64" t="s">
        <v>308</v>
      </c>
      <c r="S79" s="111"/>
    </row>
    <row r="80" spans="1:19" ht="15.75" hidden="1" thickBot="1" x14ac:dyDescent="0.3">
      <c r="A80" s="111"/>
      <c r="C80" s="43" t="s">
        <v>172</v>
      </c>
      <c r="D80" s="21">
        <f t="shared" si="6"/>
        <v>45840</v>
      </c>
      <c r="E80" s="36" t="s">
        <v>169</v>
      </c>
      <c r="F80" s="32" t="s">
        <v>315</v>
      </c>
      <c r="G80" s="64" t="s">
        <v>308</v>
      </c>
      <c r="S80" s="111"/>
    </row>
    <row r="81" spans="1:26" ht="15.75" hidden="1" thickBot="1" x14ac:dyDescent="0.3">
      <c r="A81" s="111"/>
      <c r="C81" s="47" t="s">
        <v>172</v>
      </c>
      <c r="D81" s="48">
        <f t="shared" si="6"/>
        <v>45840</v>
      </c>
      <c r="E81" s="62" t="s">
        <v>170</v>
      </c>
      <c r="F81" s="50" t="s">
        <v>315</v>
      </c>
      <c r="G81" s="65" t="s">
        <v>308</v>
      </c>
      <c r="S81" s="111"/>
    </row>
    <row r="82" spans="1:26" ht="15.75" hidden="1" thickBot="1" x14ac:dyDescent="0.3">
      <c r="A82" s="111"/>
      <c r="C82" s="101"/>
      <c r="F82"/>
      <c r="G82" s="102"/>
      <c r="S82" s="111"/>
    </row>
    <row r="83" spans="1:26" ht="15.75" hidden="1" thickBot="1" x14ac:dyDescent="0.3">
      <c r="A83" s="111"/>
      <c r="C83" s="52" t="s">
        <v>173</v>
      </c>
      <c r="D83" s="53">
        <f>D81+1</f>
        <v>45841</v>
      </c>
      <c r="E83" s="59" t="s">
        <v>162</v>
      </c>
      <c r="F83" s="55" t="s">
        <v>316</v>
      </c>
      <c r="G83" s="61" t="s">
        <v>5</v>
      </c>
      <c r="S83" s="111"/>
    </row>
    <row r="84" spans="1:26" ht="15.75" hidden="1" thickBot="1" x14ac:dyDescent="0.3">
      <c r="A84" s="111"/>
      <c r="C84" s="43" t="s">
        <v>173</v>
      </c>
      <c r="D84" s="21">
        <f t="shared" ref="D84:D91" si="7">D83</f>
        <v>45841</v>
      </c>
      <c r="E84" s="36" t="s">
        <v>163</v>
      </c>
      <c r="F84" s="32" t="s">
        <v>316</v>
      </c>
      <c r="G84" s="74" t="s">
        <v>5</v>
      </c>
      <c r="S84" s="111"/>
    </row>
    <row r="85" spans="1:26" ht="15.75" hidden="1" thickBot="1" x14ac:dyDescent="0.3">
      <c r="A85" s="111"/>
      <c r="C85" s="43" t="s">
        <v>173</v>
      </c>
      <c r="D85" s="21">
        <f t="shared" si="7"/>
        <v>45841</v>
      </c>
      <c r="E85" s="36" t="s">
        <v>164</v>
      </c>
      <c r="F85" s="32" t="s">
        <v>316</v>
      </c>
      <c r="G85" s="74" t="s">
        <v>5</v>
      </c>
      <c r="S85" s="111"/>
      <c r="U85">
        <v>1800</v>
      </c>
      <c r="W85">
        <v>6800</v>
      </c>
      <c r="Z85" t="e">
        <f>20000/Z2</f>
        <v>#DIV/0!</v>
      </c>
    </row>
    <row r="86" spans="1:26" ht="15.75" hidden="1" thickBot="1" x14ac:dyDescent="0.3">
      <c r="A86" s="111"/>
      <c r="C86" s="43" t="s">
        <v>173</v>
      </c>
      <c r="D86" s="21">
        <f t="shared" si="7"/>
        <v>45841</v>
      </c>
      <c r="E86" s="36" t="s">
        <v>165</v>
      </c>
      <c r="F86" s="32" t="s">
        <v>316</v>
      </c>
      <c r="G86" s="74" t="s">
        <v>5</v>
      </c>
      <c r="S86" s="111"/>
      <c r="U86">
        <f>U85+W85</f>
        <v>8600</v>
      </c>
    </row>
    <row r="87" spans="1:26" ht="15.75" hidden="1" thickBot="1" x14ac:dyDescent="0.3">
      <c r="A87" s="111"/>
      <c r="C87" s="43" t="s">
        <v>173</v>
      </c>
      <c r="D87" s="21">
        <f t="shared" si="7"/>
        <v>45841</v>
      </c>
      <c r="E87" s="36" t="s">
        <v>166</v>
      </c>
      <c r="F87" s="32" t="s">
        <v>316</v>
      </c>
      <c r="G87" s="74" t="s">
        <v>5</v>
      </c>
      <c r="S87" s="111"/>
    </row>
    <row r="88" spans="1:26" ht="15.75" hidden="1" thickBot="1" x14ac:dyDescent="0.3">
      <c r="A88" s="111"/>
      <c r="C88" s="43" t="s">
        <v>173</v>
      </c>
      <c r="D88" s="21">
        <f t="shared" si="7"/>
        <v>45841</v>
      </c>
      <c r="E88" s="36" t="s">
        <v>167</v>
      </c>
      <c r="F88" s="32" t="s">
        <v>316</v>
      </c>
      <c r="G88" s="74" t="s">
        <v>5</v>
      </c>
      <c r="S88" s="111"/>
      <c r="U88">
        <f>20000-U86</f>
        <v>11400</v>
      </c>
      <c r="W88" t="e">
        <f>U88/W2</f>
        <v>#DIV/0!</v>
      </c>
    </row>
    <row r="89" spans="1:26" ht="15.75" hidden="1" thickBot="1" x14ac:dyDescent="0.3">
      <c r="A89" s="111"/>
      <c r="C89" s="43" t="s">
        <v>173</v>
      </c>
      <c r="D89" s="21">
        <f t="shared" si="7"/>
        <v>45841</v>
      </c>
      <c r="E89" s="36" t="s">
        <v>168</v>
      </c>
      <c r="F89" s="32" t="s">
        <v>316</v>
      </c>
      <c r="G89" s="74" t="s">
        <v>5</v>
      </c>
      <c r="S89" s="111"/>
    </row>
    <row r="90" spans="1:26" ht="15.75" hidden="1" thickBot="1" x14ac:dyDescent="0.3">
      <c r="A90" s="111"/>
      <c r="C90" s="43" t="s">
        <v>173</v>
      </c>
      <c r="D90" s="21">
        <f t="shared" si="7"/>
        <v>45841</v>
      </c>
      <c r="E90" s="36" t="s">
        <v>169</v>
      </c>
      <c r="F90" s="32" t="s">
        <v>316</v>
      </c>
      <c r="G90" s="74" t="s">
        <v>5</v>
      </c>
      <c r="S90" s="111"/>
    </row>
    <row r="91" spans="1:26" ht="15.75" hidden="1" thickBot="1" x14ac:dyDescent="0.3">
      <c r="A91" s="111"/>
      <c r="C91" s="47" t="s">
        <v>173</v>
      </c>
      <c r="D91" s="48">
        <f t="shared" si="7"/>
        <v>45841</v>
      </c>
      <c r="E91" s="62" t="s">
        <v>170</v>
      </c>
      <c r="F91" s="50" t="s">
        <v>316</v>
      </c>
      <c r="G91" s="75" t="s">
        <v>5</v>
      </c>
      <c r="S91" s="111"/>
    </row>
    <row r="92" spans="1:26" ht="6" hidden="1" customHeight="1" thickBot="1" x14ac:dyDescent="0.3">
      <c r="A92" s="111"/>
      <c r="C92" s="101"/>
      <c r="G92" s="110"/>
      <c r="S92" s="111"/>
    </row>
    <row r="93" spans="1:26" ht="15.75" hidden="1" thickBot="1" x14ac:dyDescent="0.3">
      <c r="A93" s="111"/>
      <c r="C93" s="52" t="s">
        <v>174</v>
      </c>
      <c r="D93" s="53">
        <f>D91+1</f>
        <v>45842</v>
      </c>
      <c r="E93" s="59" t="s">
        <v>162</v>
      </c>
      <c r="F93" s="55" t="s">
        <v>316</v>
      </c>
      <c r="G93" s="56" t="s">
        <v>5</v>
      </c>
      <c r="S93" s="111"/>
    </row>
    <row r="94" spans="1:26" ht="15.75" hidden="1" thickBot="1" x14ac:dyDescent="0.3">
      <c r="A94" s="111"/>
      <c r="C94" s="43" t="s">
        <v>174</v>
      </c>
      <c r="D94" s="21">
        <f t="shared" ref="D94:D100" si="8">D93</f>
        <v>45842</v>
      </c>
      <c r="E94" s="36" t="s">
        <v>163</v>
      </c>
      <c r="F94" s="32" t="s">
        <v>316</v>
      </c>
      <c r="G94" s="45" t="s">
        <v>5</v>
      </c>
      <c r="S94" s="111"/>
    </row>
    <row r="95" spans="1:26" ht="15.75" hidden="1" thickBot="1" x14ac:dyDescent="0.3">
      <c r="A95" s="111"/>
      <c r="C95" s="43" t="s">
        <v>174</v>
      </c>
      <c r="D95" s="21">
        <f t="shared" si="8"/>
        <v>45842</v>
      </c>
      <c r="E95" s="36" t="s">
        <v>164</v>
      </c>
      <c r="F95" s="32" t="s">
        <v>316</v>
      </c>
      <c r="G95" s="45" t="s">
        <v>5</v>
      </c>
      <c r="S95" s="111"/>
    </row>
    <row r="96" spans="1:26" ht="15.75" hidden="1" thickBot="1" x14ac:dyDescent="0.3">
      <c r="A96" s="111"/>
      <c r="C96" s="43" t="s">
        <v>174</v>
      </c>
      <c r="D96" s="21">
        <f t="shared" si="8"/>
        <v>45842</v>
      </c>
      <c r="E96" s="36" t="s">
        <v>165</v>
      </c>
      <c r="F96" s="32" t="s">
        <v>316</v>
      </c>
      <c r="G96" s="45" t="s">
        <v>5</v>
      </c>
      <c r="S96" s="111"/>
    </row>
    <row r="97" spans="1:25" ht="15.75" hidden="1" thickBot="1" x14ac:dyDescent="0.3">
      <c r="A97" s="111"/>
      <c r="C97" s="43" t="s">
        <v>174</v>
      </c>
      <c r="D97" s="21">
        <f t="shared" si="8"/>
        <v>45842</v>
      </c>
      <c r="E97" s="36" t="s">
        <v>166</v>
      </c>
      <c r="F97" s="32" t="s">
        <v>316</v>
      </c>
      <c r="G97" s="45" t="s">
        <v>5</v>
      </c>
      <c r="S97" s="111"/>
    </row>
    <row r="98" spans="1:25" ht="15.75" hidden="1" thickBot="1" x14ac:dyDescent="0.3">
      <c r="A98" s="111"/>
      <c r="C98" s="43" t="s">
        <v>174</v>
      </c>
      <c r="D98" s="21">
        <f t="shared" si="8"/>
        <v>45842</v>
      </c>
      <c r="E98" s="36" t="s">
        <v>167</v>
      </c>
      <c r="F98" s="32" t="s">
        <v>316</v>
      </c>
      <c r="G98" s="45" t="s">
        <v>5</v>
      </c>
      <c r="S98" s="111"/>
      <c r="W98">
        <f>53*2*48</f>
        <v>5088</v>
      </c>
      <c r="Y98">
        <f>W98/720</f>
        <v>7.0666666666666664</v>
      </c>
    </row>
    <row r="99" spans="1:25" ht="15.75" hidden="1" thickBot="1" x14ac:dyDescent="0.3">
      <c r="A99" s="111"/>
      <c r="C99" s="43" t="s">
        <v>174</v>
      </c>
      <c r="D99" s="21">
        <f t="shared" si="8"/>
        <v>45842</v>
      </c>
      <c r="E99" s="36" t="s">
        <v>168</v>
      </c>
      <c r="F99" s="32" t="s">
        <v>316</v>
      </c>
      <c r="G99" s="45" t="s">
        <v>5</v>
      </c>
      <c r="S99" s="111"/>
      <c r="U99">
        <f>15*48</f>
        <v>720</v>
      </c>
      <c r="V99">
        <f>8*U99</f>
        <v>5760</v>
      </c>
    </row>
    <row r="100" spans="1:25" ht="15.75" hidden="1" thickBot="1" x14ac:dyDescent="0.3">
      <c r="A100" s="129"/>
      <c r="C100" s="47" t="s">
        <v>174</v>
      </c>
      <c r="D100" s="48">
        <f t="shared" si="8"/>
        <v>45842</v>
      </c>
      <c r="E100" s="62" t="s">
        <v>169</v>
      </c>
      <c r="F100" s="50" t="s">
        <v>316</v>
      </c>
      <c r="G100" s="58" t="s">
        <v>5</v>
      </c>
      <c r="S100" s="129"/>
    </row>
    <row r="101" spans="1:25" ht="6" hidden="1" customHeight="1" thickBot="1" x14ac:dyDescent="0.3">
      <c r="A101" s="129" t="s">
        <v>310</v>
      </c>
      <c r="C101" s="101"/>
      <c r="G101" s="110"/>
      <c r="S101" s="129" t="s">
        <v>310</v>
      </c>
    </row>
    <row r="102" spans="1:25" x14ac:dyDescent="0.25">
      <c r="A102" s="111"/>
      <c r="B102" s="111"/>
      <c r="C102" s="112" t="s">
        <v>161</v>
      </c>
      <c r="D102" s="113">
        <f>D100+3</f>
        <v>45845</v>
      </c>
      <c r="E102" s="114" t="s">
        <v>162</v>
      </c>
      <c r="F102" s="115" t="s">
        <v>5</v>
      </c>
      <c r="G102" s="94"/>
      <c r="S102" s="111"/>
    </row>
    <row r="103" spans="1:25" x14ac:dyDescent="0.25">
      <c r="A103" s="111"/>
      <c r="B103" s="111"/>
      <c r="C103" s="116" t="s">
        <v>161</v>
      </c>
      <c r="D103" s="117">
        <f>D102</f>
        <v>45845</v>
      </c>
      <c r="E103" s="118" t="s">
        <v>163</v>
      </c>
      <c r="F103" s="135" t="s">
        <v>5</v>
      </c>
      <c r="G103" s="95"/>
      <c r="S103" s="111"/>
    </row>
    <row r="104" spans="1:25" x14ac:dyDescent="0.25">
      <c r="A104" s="111"/>
      <c r="B104" s="111"/>
      <c r="C104" s="116" t="s">
        <v>161</v>
      </c>
      <c r="D104" s="117">
        <f t="shared" ref="D104:D110" si="9">D103</f>
        <v>45845</v>
      </c>
      <c r="E104" s="118" t="s">
        <v>164</v>
      </c>
      <c r="F104" s="135" t="s">
        <v>5</v>
      </c>
      <c r="G104" s="95"/>
      <c r="S104" s="111"/>
    </row>
    <row r="105" spans="1:25" x14ac:dyDescent="0.25">
      <c r="A105" s="111"/>
      <c r="B105" s="111"/>
      <c r="C105" s="116" t="s">
        <v>161</v>
      </c>
      <c r="D105" s="117">
        <f t="shared" si="9"/>
        <v>45845</v>
      </c>
      <c r="E105" s="118" t="s">
        <v>165</v>
      </c>
      <c r="F105" s="135" t="s">
        <v>5</v>
      </c>
      <c r="G105" s="95"/>
      <c r="S105" s="111"/>
    </row>
    <row r="106" spans="1:25" x14ac:dyDescent="0.25">
      <c r="A106" s="111"/>
      <c r="B106" s="111"/>
      <c r="C106" s="116" t="s">
        <v>161</v>
      </c>
      <c r="D106" s="117">
        <f t="shared" si="9"/>
        <v>45845</v>
      </c>
      <c r="E106" s="118" t="s">
        <v>166</v>
      </c>
      <c r="F106" s="136" t="s">
        <v>5</v>
      </c>
      <c r="G106" s="95"/>
      <c r="S106" s="111"/>
      <c r="U106">
        <f>500/75</f>
        <v>6.666666666666667</v>
      </c>
    </row>
    <row r="107" spans="1:25" x14ac:dyDescent="0.25">
      <c r="A107" s="111"/>
      <c r="B107" s="111"/>
      <c r="C107" s="116" t="s">
        <v>161</v>
      </c>
      <c r="D107" s="117">
        <f t="shared" si="9"/>
        <v>45845</v>
      </c>
      <c r="E107" s="118" t="s">
        <v>167</v>
      </c>
      <c r="F107" s="137" t="s">
        <v>5</v>
      </c>
      <c r="G107" s="95"/>
      <c r="S107" s="111"/>
      <c r="W107">
        <f>9*4</f>
        <v>36</v>
      </c>
    </row>
    <row r="108" spans="1:25" x14ac:dyDescent="0.25">
      <c r="A108" s="111"/>
      <c r="B108" s="111"/>
      <c r="C108" s="116" t="s">
        <v>161</v>
      </c>
      <c r="D108" s="117">
        <f t="shared" si="9"/>
        <v>45845</v>
      </c>
      <c r="E108" s="118" t="s">
        <v>167</v>
      </c>
      <c r="F108" s="137" t="s">
        <v>5</v>
      </c>
      <c r="G108" s="95"/>
      <c r="S108" s="111"/>
      <c r="W108">
        <f>8+W107</f>
        <v>44</v>
      </c>
      <c r="X108">
        <f>W108*940</f>
        <v>41360</v>
      </c>
    </row>
    <row r="109" spans="1:25" x14ac:dyDescent="0.25">
      <c r="A109" s="111"/>
      <c r="B109" s="111"/>
      <c r="C109" s="116" t="s">
        <v>161</v>
      </c>
      <c r="D109" s="117">
        <f t="shared" si="9"/>
        <v>45845</v>
      </c>
      <c r="E109" s="118" t="s">
        <v>169</v>
      </c>
      <c r="F109" s="137" t="s">
        <v>5</v>
      </c>
      <c r="G109" s="95"/>
      <c r="S109" s="111"/>
      <c r="U109" s="93">
        <f>82.56%*143%</f>
        <v>1.1806079999999999</v>
      </c>
    </row>
    <row r="110" spans="1:25" ht="15.75" thickBot="1" x14ac:dyDescent="0.3">
      <c r="A110" s="111"/>
      <c r="B110" s="111"/>
      <c r="C110" s="119" t="s">
        <v>161</v>
      </c>
      <c r="D110" s="120">
        <f t="shared" si="9"/>
        <v>45845</v>
      </c>
      <c r="E110" s="121" t="s">
        <v>170</v>
      </c>
      <c r="F110" s="138" t="s">
        <v>5</v>
      </c>
      <c r="G110" s="96"/>
      <c r="S110" s="111"/>
    </row>
    <row r="111" spans="1:25" ht="6" customHeight="1" thickBot="1" x14ac:dyDescent="0.3">
      <c r="A111" s="111"/>
      <c r="B111" s="111"/>
      <c r="C111" s="111"/>
      <c r="D111" s="111"/>
      <c r="E111" s="111"/>
      <c r="F111" s="122"/>
      <c r="G111" s="122"/>
      <c r="H111" s="111"/>
      <c r="I111" s="111"/>
      <c r="J111" s="111"/>
      <c r="K111" s="111"/>
      <c r="L111" s="111"/>
      <c r="M111" s="111"/>
      <c r="N111" s="111"/>
      <c r="O111" s="111"/>
      <c r="P111" s="111"/>
      <c r="Q111" s="111"/>
      <c r="R111" s="111"/>
      <c r="S111" s="111"/>
    </row>
    <row r="112" spans="1:25" ht="15.75" thickBot="1" x14ac:dyDescent="0.3">
      <c r="A112" s="111"/>
      <c r="B112" s="111"/>
      <c r="C112" s="112" t="s">
        <v>171</v>
      </c>
      <c r="D112" s="113">
        <f>D110+1</f>
        <v>45846</v>
      </c>
      <c r="E112" s="114" t="s">
        <v>162</v>
      </c>
      <c r="F112" s="174" t="s">
        <v>314</v>
      </c>
      <c r="G112" s="130" t="s">
        <v>358</v>
      </c>
      <c r="H112" s="111"/>
      <c r="I112" s="111"/>
      <c r="J112" s="111"/>
      <c r="K112" s="111"/>
      <c r="L112" s="111"/>
      <c r="M112" s="111"/>
      <c r="N112" s="111"/>
      <c r="O112" s="111"/>
      <c r="P112" s="111"/>
      <c r="Q112" s="111"/>
      <c r="R112" s="111"/>
      <c r="S112" s="111"/>
    </row>
    <row r="113" spans="1:19" ht="15.75" thickBot="1" x14ac:dyDescent="0.3">
      <c r="A113" s="111"/>
      <c r="B113" s="111"/>
      <c r="C113" s="116" t="s">
        <v>171</v>
      </c>
      <c r="D113" s="117">
        <f>D112</f>
        <v>45846</v>
      </c>
      <c r="E113" s="118" t="s">
        <v>163</v>
      </c>
      <c r="F113" s="175" t="s">
        <v>314</v>
      </c>
      <c r="G113" s="130" t="s">
        <v>176</v>
      </c>
      <c r="H113" s="111"/>
      <c r="I113" s="111"/>
      <c r="J113" s="111"/>
      <c r="K113" s="111"/>
      <c r="L113" s="111"/>
      <c r="M113" s="111"/>
      <c r="N113" s="111"/>
      <c r="O113" s="111"/>
      <c r="P113" s="111"/>
      <c r="Q113" s="111"/>
      <c r="R113" s="111"/>
      <c r="S113" s="111"/>
    </row>
    <row r="114" spans="1:19" x14ac:dyDescent="0.25">
      <c r="A114" s="111"/>
      <c r="B114" s="111"/>
      <c r="C114" s="116" t="s">
        <v>171</v>
      </c>
      <c r="D114" s="117">
        <f t="shared" ref="D114:D120" si="10">D113</f>
        <v>45846</v>
      </c>
      <c r="E114" s="118" t="s">
        <v>164</v>
      </c>
      <c r="F114" s="175" t="s">
        <v>314</v>
      </c>
      <c r="G114" s="177" t="s">
        <v>364</v>
      </c>
      <c r="H114" s="111"/>
      <c r="I114" s="111"/>
      <c r="J114" s="111"/>
      <c r="K114" s="111"/>
      <c r="L114" s="111"/>
      <c r="M114" s="111"/>
      <c r="N114" s="111"/>
      <c r="O114" s="111"/>
      <c r="P114" s="111"/>
      <c r="Q114" s="111"/>
      <c r="R114" s="111"/>
      <c r="S114" s="111"/>
    </row>
    <row r="115" spans="1:19" x14ac:dyDescent="0.25">
      <c r="A115" s="111"/>
      <c r="B115" s="111"/>
      <c r="C115" s="116" t="s">
        <v>171</v>
      </c>
      <c r="D115" s="117">
        <f t="shared" si="10"/>
        <v>45846</v>
      </c>
      <c r="E115" s="118" t="s">
        <v>165</v>
      </c>
      <c r="F115" s="175" t="s">
        <v>314</v>
      </c>
      <c r="G115" s="178" t="s">
        <v>364</v>
      </c>
      <c r="H115" s="111"/>
      <c r="I115" s="111"/>
      <c r="J115" s="111"/>
      <c r="K115" s="111"/>
      <c r="L115" s="111"/>
      <c r="M115" s="111"/>
      <c r="N115" s="111"/>
      <c r="O115" s="111"/>
      <c r="P115" s="111"/>
      <c r="Q115" s="111"/>
      <c r="R115" s="111"/>
      <c r="S115" s="111"/>
    </row>
    <row r="116" spans="1:19" x14ac:dyDescent="0.25">
      <c r="A116" s="111"/>
      <c r="B116" s="111"/>
      <c r="C116" s="116" t="s">
        <v>171</v>
      </c>
      <c r="D116" s="117">
        <f t="shared" si="10"/>
        <v>45846</v>
      </c>
      <c r="E116" s="118" t="s">
        <v>166</v>
      </c>
      <c r="F116" s="175" t="s">
        <v>314</v>
      </c>
      <c r="G116" s="178" t="s">
        <v>364</v>
      </c>
      <c r="H116" s="111"/>
      <c r="I116" s="111"/>
      <c r="J116" s="111"/>
      <c r="K116" s="111"/>
      <c r="L116" s="111"/>
      <c r="M116" s="111"/>
      <c r="N116" s="111"/>
      <c r="O116" s="111"/>
      <c r="P116" s="111"/>
      <c r="Q116" s="111"/>
      <c r="R116" s="111"/>
      <c r="S116" s="111"/>
    </row>
    <row r="117" spans="1:19" x14ac:dyDescent="0.25">
      <c r="A117" s="111"/>
      <c r="B117" s="111"/>
      <c r="C117" s="116" t="s">
        <v>171</v>
      </c>
      <c r="D117" s="117">
        <f t="shared" si="10"/>
        <v>45846</v>
      </c>
      <c r="E117" s="118" t="s">
        <v>167</v>
      </c>
      <c r="F117" s="175" t="s">
        <v>314</v>
      </c>
      <c r="G117" s="178" t="s">
        <v>364</v>
      </c>
      <c r="H117" s="111"/>
      <c r="I117" s="111"/>
      <c r="J117" s="111"/>
      <c r="K117" s="111"/>
      <c r="L117" s="111"/>
      <c r="M117" s="111"/>
      <c r="N117" s="111"/>
      <c r="O117" s="111"/>
      <c r="P117" s="111"/>
      <c r="Q117" s="111"/>
      <c r="R117" s="111"/>
      <c r="S117" s="111"/>
    </row>
    <row r="118" spans="1:19" x14ac:dyDescent="0.25">
      <c r="A118" s="111"/>
      <c r="B118" s="111"/>
      <c r="C118" s="116" t="s">
        <v>171</v>
      </c>
      <c r="D118" s="117">
        <f t="shared" si="10"/>
        <v>45846</v>
      </c>
      <c r="E118" s="118" t="s">
        <v>168</v>
      </c>
      <c r="F118" s="175" t="s">
        <v>314</v>
      </c>
      <c r="G118" s="178" t="s">
        <v>364</v>
      </c>
      <c r="H118" s="111"/>
      <c r="I118" s="111"/>
      <c r="J118" s="111"/>
      <c r="K118" s="111"/>
      <c r="L118" s="111"/>
      <c r="M118" s="111"/>
      <c r="N118" s="111"/>
      <c r="O118" s="111"/>
      <c r="P118" s="111"/>
      <c r="Q118" s="111"/>
      <c r="R118" s="111"/>
      <c r="S118" s="111"/>
    </row>
    <row r="119" spans="1:19" x14ac:dyDescent="0.25">
      <c r="A119" s="111"/>
      <c r="B119" s="111"/>
      <c r="C119" s="116" t="s">
        <v>171</v>
      </c>
      <c r="D119" s="117">
        <f t="shared" si="10"/>
        <v>45846</v>
      </c>
      <c r="E119" s="118" t="s">
        <v>169</v>
      </c>
      <c r="F119" s="175" t="s">
        <v>314</v>
      </c>
      <c r="G119" s="178" t="s">
        <v>364</v>
      </c>
      <c r="H119" s="111"/>
      <c r="I119" s="111"/>
      <c r="J119" s="111"/>
      <c r="K119" s="111"/>
      <c r="L119" s="111"/>
      <c r="M119" s="111"/>
      <c r="N119" s="111"/>
      <c r="O119" s="111"/>
      <c r="P119" s="111"/>
      <c r="Q119" s="111"/>
      <c r="R119" s="111"/>
      <c r="S119" s="111"/>
    </row>
    <row r="120" spans="1:19" ht="15.75" thickBot="1" x14ac:dyDescent="0.3">
      <c r="A120" s="111"/>
      <c r="B120" s="111"/>
      <c r="C120" s="119" t="s">
        <v>171</v>
      </c>
      <c r="D120" s="120">
        <f t="shared" si="10"/>
        <v>45846</v>
      </c>
      <c r="E120" s="121" t="s">
        <v>170</v>
      </c>
      <c r="F120" s="176" t="s">
        <v>314</v>
      </c>
      <c r="G120" s="179" t="s">
        <v>364</v>
      </c>
      <c r="H120" s="111"/>
      <c r="I120" s="111"/>
      <c r="J120" s="111"/>
      <c r="K120" s="111"/>
      <c r="L120" s="111"/>
      <c r="M120" s="111"/>
      <c r="N120" s="111"/>
      <c r="O120" s="111"/>
      <c r="P120" s="111"/>
      <c r="Q120" s="111"/>
      <c r="R120" s="111"/>
      <c r="S120" s="111"/>
    </row>
    <row r="121" spans="1:19" ht="6" customHeight="1" thickBot="1" x14ac:dyDescent="0.3">
      <c r="A121" s="111"/>
      <c r="B121" s="111"/>
      <c r="C121" s="111"/>
      <c r="D121" s="111"/>
      <c r="E121" s="111"/>
      <c r="F121" s="122"/>
      <c r="G121" s="122"/>
      <c r="H121" s="111"/>
      <c r="I121" s="111"/>
      <c r="J121" s="111"/>
      <c r="K121" s="111"/>
      <c r="L121" s="111"/>
      <c r="M121" s="111"/>
      <c r="N121" s="111"/>
      <c r="O121" s="111"/>
      <c r="P121" s="111"/>
      <c r="Q121" s="111"/>
      <c r="R121" s="111"/>
      <c r="S121" s="111"/>
    </row>
    <row r="122" spans="1:19" x14ac:dyDescent="0.25">
      <c r="A122" s="111"/>
      <c r="B122" s="111"/>
      <c r="C122" s="112" t="s">
        <v>172</v>
      </c>
      <c r="D122" s="113">
        <f>D120+1</f>
        <v>45847</v>
      </c>
      <c r="E122" s="114" t="s">
        <v>162</v>
      </c>
      <c r="F122" s="124" t="s">
        <v>314</v>
      </c>
      <c r="G122" s="131" t="s">
        <v>300</v>
      </c>
      <c r="H122" s="111"/>
      <c r="I122" s="111"/>
      <c r="J122" s="111"/>
      <c r="K122" s="111"/>
      <c r="L122" s="111"/>
      <c r="M122" s="111"/>
      <c r="N122" s="111"/>
      <c r="O122" s="111"/>
      <c r="P122" s="111"/>
      <c r="Q122" s="111"/>
      <c r="R122" s="111"/>
      <c r="S122" s="111"/>
    </row>
    <row r="123" spans="1:19" x14ac:dyDescent="0.25">
      <c r="A123" s="111"/>
      <c r="B123" s="111"/>
      <c r="C123" s="116" t="s">
        <v>172</v>
      </c>
      <c r="D123" s="117">
        <f>D122</f>
        <v>45847</v>
      </c>
      <c r="E123" s="118" t="s">
        <v>163</v>
      </c>
      <c r="F123" s="123" t="s">
        <v>314</v>
      </c>
      <c r="G123" s="132" t="s">
        <v>300</v>
      </c>
      <c r="H123" s="111"/>
      <c r="I123" s="111"/>
      <c r="J123" s="111"/>
      <c r="K123" s="111"/>
      <c r="L123" s="111"/>
      <c r="M123" s="111"/>
      <c r="N123" s="111"/>
      <c r="O123" s="111"/>
      <c r="P123" s="111"/>
      <c r="Q123" s="111"/>
      <c r="R123" s="111"/>
      <c r="S123" s="111"/>
    </row>
    <row r="124" spans="1:19" x14ac:dyDescent="0.25">
      <c r="A124" s="111"/>
      <c r="B124" s="111"/>
      <c r="C124" s="116" t="s">
        <v>172</v>
      </c>
      <c r="D124" s="117">
        <f t="shared" ref="D124:D130" si="11">D123</f>
        <v>45847</v>
      </c>
      <c r="E124" s="118" t="s">
        <v>164</v>
      </c>
      <c r="F124" s="123" t="s">
        <v>314</v>
      </c>
      <c r="G124" s="132" t="s">
        <v>300</v>
      </c>
      <c r="H124" s="111"/>
      <c r="I124" s="111"/>
      <c r="J124" s="111"/>
      <c r="K124" s="111"/>
      <c r="L124" s="111"/>
      <c r="M124" s="111"/>
      <c r="N124" s="111"/>
      <c r="O124" s="111"/>
      <c r="P124" s="111"/>
      <c r="Q124" s="111"/>
      <c r="R124" s="111"/>
      <c r="S124" s="111"/>
    </row>
    <row r="125" spans="1:19" x14ac:dyDescent="0.25">
      <c r="A125" s="111"/>
      <c r="B125" s="111"/>
      <c r="C125" s="116" t="s">
        <v>172</v>
      </c>
      <c r="D125" s="117">
        <f t="shared" si="11"/>
        <v>45847</v>
      </c>
      <c r="E125" s="118" t="s">
        <v>165</v>
      </c>
      <c r="F125" s="123" t="s">
        <v>314</v>
      </c>
      <c r="G125" s="132" t="s">
        <v>300</v>
      </c>
      <c r="H125" s="111"/>
      <c r="I125" s="111"/>
      <c r="J125" s="111"/>
      <c r="K125" s="111"/>
      <c r="L125" s="111"/>
      <c r="M125" s="111"/>
      <c r="N125" s="111"/>
      <c r="O125" s="111"/>
      <c r="P125" s="111"/>
      <c r="Q125" s="111"/>
      <c r="R125" s="111"/>
      <c r="S125" s="111"/>
    </row>
    <row r="126" spans="1:19" x14ac:dyDescent="0.25">
      <c r="A126" s="111"/>
      <c r="B126" s="111"/>
      <c r="C126" s="116" t="s">
        <v>172</v>
      </c>
      <c r="D126" s="117">
        <f t="shared" si="11"/>
        <v>45847</v>
      </c>
      <c r="E126" s="118" t="s">
        <v>166</v>
      </c>
      <c r="F126" s="123" t="s">
        <v>314</v>
      </c>
      <c r="G126" s="132" t="s">
        <v>300</v>
      </c>
      <c r="H126" s="111"/>
      <c r="I126" s="111"/>
      <c r="J126" s="111"/>
      <c r="K126" s="111"/>
      <c r="L126" s="111"/>
      <c r="M126" s="111"/>
      <c r="N126" s="111"/>
      <c r="O126" s="111"/>
      <c r="P126" s="111"/>
      <c r="Q126" s="111"/>
      <c r="R126" s="111"/>
      <c r="S126" s="111"/>
    </row>
    <row r="127" spans="1:19" x14ac:dyDescent="0.25">
      <c r="A127" s="111"/>
      <c r="B127" s="111"/>
      <c r="C127" s="116" t="s">
        <v>172</v>
      </c>
      <c r="D127" s="117">
        <f t="shared" si="11"/>
        <v>45847</v>
      </c>
      <c r="E127" s="118" t="s">
        <v>167</v>
      </c>
      <c r="F127" s="123" t="s">
        <v>314</v>
      </c>
      <c r="G127" s="132" t="s">
        <v>300</v>
      </c>
      <c r="H127" s="111"/>
      <c r="I127" s="111"/>
      <c r="J127" s="111"/>
      <c r="K127" s="111"/>
      <c r="L127" s="111"/>
      <c r="M127" s="111"/>
      <c r="N127" s="111"/>
      <c r="O127" s="111"/>
      <c r="P127" s="111"/>
      <c r="Q127" s="111"/>
      <c r="R127" s="111"/>
      <c r="S127" s="111"/>
    </row>
    <row r="128" spans="1:19" x14ac:dyDescent="0.25">
      <c r="A128" s="111"/>
      <c r="B128" s="111"/>
      <c r="C128" s="116" t="s">
        <v>172</v>
      </c>
      <c r="D128" s="117">
        <f t="shared" si="11"/>
        <v>45847</v>
      </c>
      <c r="E128" s="118" t="s">
        <v>168</v>
      </c>
      <c r="F128" s="123" t="s">
        <v>314</v>
      </c>
      <c r="G128" s="132" t="s">
        <v>300</v>
      </c>
      <c r="H128" s="111"/>
      <c r="I128" s="111"/>
      <c r="J128" s="111"/>
      <c r="K128" s="111"/>
      <c r="L128" s="111"/>
      <c r="M128" s="111"/>
      <c r="N128" s="111"/>
      <c r="O128" s="111"/>
      <c r="P128" s="111"/>
      <c r="Q128" s="111"/>
      <c r="R128" s="111"/>
      <c r="S128" s="111"/>
    </row>
    <row r="129" spans="1:19" x14ac:dyDescent="0.25">
      <c r="A129" s="111"/>
      <c r="B129" s="111"/>
      <c r="C129" s="116" t="s">
        <v>172</v>
      </c>
      <c r="D129" s="117">
        <f t="shared" si="11"/>
        <v>45847</v>
      </c>
      <c r="E129" s="118" t="s">
        <v>169</v>
      </c>
      <c r="F129" s="123" t="s">
        <v>314</v>
      </c>
      <c r="G129" s="132" t="s">
        <v>300</v>
      </c>
      <c r="H129" s="111"/>
      <c r="I129" s="111"/>
      <c r="J129" s="111"/>
      <c r="K129" s="111"/>
      <c r="L129" s="111"/>
      <c r="M129" s="111"/>
      <c r="N129" s="111"/>
      <c r="O129" s="111"/>
      <c r="P129" s="111"/>
      <c r="Q129" s="111"/>
      <c r="R129" s="111"/>
      <c r="S129" s="111"/>
    </row>
    <row r="130" spans="1:19" ht="15.75" thickBot="1" x14ac:dyDescent="0.3">
      <c r="A130" s="111"/>
      <c r="B130" s="111"/>
      <c r="C130" s="119" t="s">
        <v>172</v>
      </c>
      <c r="D130" s="120">
        <f t="shared" si="11"/>
        <v>45847</v>
      </c>
      <c r="E130" s="121" t="s">
        <v>170</v>
      </c>
      <c r="F130" s="125" t="s">
        <v>314</v>
      </c>
      <c r="G130" s="133" t="s">
        <v>300</v>
      </c>
      <c r="H130" s="111"/>
      <c r="I130" s="111"/>
      <c r="J130" s="111"/>
      <c r="K130" s="111"/>
      <c r="L130" s="111"/>
      <c r="M130" s="111"/>
      <c r="N130" s="111"/>
      <c r="O130" s="111"/>
      <c r="P130" s="111"/>
      <c r="Q130" s="111"/>
      <c r="R130" s="111"/>
      <c r="S130" s="111"/>
    </row>
    <row r="131" spans="1:19" ht="6" customHeight="1" thickBot="1" x14ac:dyDescent="0.3">
      <c r="A131" s="111"/>
      <c r="B131" s="111"/>
      <c r="C131" s="111"/>
      <c r="D131" s="111"/>
      <c r="E131" s="111"/>
      <c r="F131" s="122"/>
      <c r="G131" s="122"/>
      <c r="H131" s="111"/>
      <c r="I131" s="111"/>
      <c r="J131" s="111"/>
      <c r="K131" s="111"/>
      <c r="L131" s="111"/>
      <c r="M131" s="111"/>
      <c r="N131" s="111"/>
      <c r="O131" s="111"/>
      <c r="P131" s="111"/>
      <c r="Q131" s="111"/>
      <c r="R131" s="111"/>
      <c r="S131" s="111"/>
    </row>
    <row r="132" spans="1:19" x14ac:dyDescent="0.25">
      <c r="A132" s="111"/>
      <c r="B132" s="111"/>
      <c r="C132" s="112" t="s">
        <v>173</v>
      </c>
      <c r="D132" s="113">
        <f>D130+1</f>
        <v>45848</v>
      </c>
      <c r="E132" s="126" t="s">
        <v>162</v>
      </c>
      <c r="F132" s="124" t="s">
        <v>314</v>
      </c>
      <c r="G132" s="131" t="s">
        <v>300</v>
      </c>
      <c r="H132" s="111"/>
      <c r="I132" s="111"/>
      <c r="J132" s="111"/>
      <c r="K132" s="111"/>
      <c r="L132" s="111"/>
      <c r="M132" s="111"/>
      <c r="N132" s="111"/>
      <c r="O132" s="111"/>
      <c r="P132" s="111"/>
      <c r="Q132" s="111"/>
      <c r="R132" s="111"/>
      <c r="S132" s="111"/>
    </row>
    <row r="133" spans="1:19" x14ac:dyDescent="0.25">
      <c r="A133" s="111"/>
      <c r="B133" s="111"/>
      <c r="C133" s="116" t="s">
        <v>173</v>
      </c>
      <c r="D133" s="117">
        <f>D132</f>
        <v>45848</v>
      </c>
      <c r="E133" s="127" t="s">
        <v>163</v>
      </c>
      <c r="F133" s="128" t="s">
        <v>314</v>
      </c>
      <c r="G133" s="132" t="s">
        <v>300</v>
      </c>
      <c r="H133" s="111"/>
      <c r="I133" s="111"/>
      <c r="J133" s="111"/>
      <c r="K133" s="111"/>
      <c r="L133" s="111"/>
      <c r="M133" s="111"/>
      <c r="N133" s="111"/>
      <c r="O133" s="111"/>
      <c r="P133" s="111"/>
      <c r="Q133" s="111"/>
      <c r="R133" s="111"/>
      <c r="S133" s="111"/>
    </row>
    <row r="134" spans="1:19" x14ac:dyDescent="0.25">
      <c r="A134" s="111"/>
      <c r="B134" s="111"/>
      <c r="C134" s="116" t="s">
        <v>173</v>
      </c>
      <c r="D134" s="117">
        <f t="shared" ref="D134:D140" si="12">D133</f>
        <v>45848</v>
      </c>
      <c r="E134" s="127" t="s">
        <v>164</v>
      </c>
      <c r="F134" s="128" t="s">
        <v>314</v>
      </c>
      <c r="G134" s="132" t="s">
        <v>300</v>
      </c>
      <c r="H134" s="111"/>
      <c r="I134" s="111"/>
      <c r="J134" s="111"/>
      <c r="K134" s="111"/>
      <c r="L134" s="111"/>
      <c r="M134" s="111"/>
      <c r="N134" s="111"/>
      <c r="O134" s="111"/>
      <c r="P134" s="111"/>
      <c r="Q134" s="111"/>
      <c r="R134" s="111"/>
      <c r="S134" s="111"/>
    </row>
    <row r="135" spans="1:19" x14ac:dyDescent="0.25">
      <c r="A135" s="111"/>
      <c r="B135" s="111"/>
      <c r="C135" s="116" t="s">
        <v>173</v>
      </c>
      <c r="D135" s="117">
        <f t="shared" si="12"/>
        <v>45848</v>
      </c>
      <c r="E135" s="127" t="s">
        <v>165</v>
      </c>
      <c r="F135" s="128" t="s">
        <v>302</v>
      </c>
      <c r="G135" s="132" t="s">
        <v>300</v>
      </c>
      <c r="H135" s="111"/>
      <c r="I135" s="111"/>
      <c r="J135" s="111"/>
      <c r="K135" s="111"/>
      <c r="L135" s="111"/>
      <c r="M135" s="111"/>
      <c r="N135" s="111"/>
      <c r="O135" s="111"/>
      <c r="P135" s="111"/>
      <c r="Q135" s="111"/>
      <c r="R135" s="111"/>
      <c r="S135" s="111"/>
    </row>
    <row r="136" spans="1:19" x14ac:dyDescent="0.25">
      <c r="A136" s="111"/>
      <c r="B136" s="111"/>
      <c r="C136" s="116" t="s">
        <v>173</v>
      </c>
      <c r="D136" s="117">
        <f t="shared" si="12"/>
        <v>45848</v>
      </c>
      <c r="E136" s="127" t="s">
        <v>166</v>
      </c>
      <c r="F136" s="128" t="s">
        <v>302</v>
      </c>
      <c r="G136" s="132" t="s">
        <v>300</v>
      </c>
      <c r="H136" s="111"/>
      <c r="I136" s="111"/>
      <c r="J136" s="111"/>
      <c r="K136" s="111"/>
      <c r="L136" s="111"/>
      <c r="M136" s="111"/>
      <c r="N136" s="111"/>
      <c r="O136" s="111"/>
      <c r="P136" s="111"/>
      <c r="Q136" s="111"/>
      <c r="R136" s="111"/>
      <c r="S136" s="111"/>
    </row>
    <row r="137" spans="1:19" x14ac:dyDescent="0.25">
      <c r="A137" s="111"/>
      <c r="B137" s="111"/>
      <c r="C137" s="116" t="s">
        <v>173</v>
      </c>
      <c r="D137" s="117">
        <f t="shared" si="12"/>
        <v>45848</v>
      </c>
      <c r="E137" s="127" t="s">
        <v>167</v>
      </c>
      <c r="F137" s="128" t="s">
        <v>302</v>
      </c>
      <c r="G137" s="132" t="s">
        <v>300</v>
      </c>
      <c r="H137" s="111"/>
      <c r="I137" s="111"/>
      <c r="J137" s="111"/>
      <c r="K137" s="111"/>
      <c r="L137" s="111"/>
      <c r="M137" s="111"/>
      <c r="N137" s="111"/>
      <c r="O137" s="111"/>
      <c r="P137" s="111"/>
      <c r="Q137" s="111"/>
      <c r="R137" s="111"/>
      <c r="S137" s="111"/>
    </row>
    <row r="138" spans="1:19" x14ac:dyDescent="0.25">
      <c r="A138" s="111"/>
      <c r="B138" s="111"/>
      <c r="C138" s="116" t="s">
        <v>173</v>
      </c>
      <c r="D138" s="117">
        <f t="shared" si="12"/>
        <v>45848</v>
      </c>
      <c r="E138" s="127" t="s">
        <v>168</v>
      </c>
      <c r="F138" s="128" t="s">
        <v>302</v>
      </c>
      <c r="G138" s="132" t="s">
        <v>300</v>
      </c>
      <c r="H138" s="111"/>
      <c r="I138" s="111"/>
      <c r="J138" s="111"/>
      <c r="K138" s="111"/>
      <c r="L138" s="111"/>
      <c r="M138" s="111"/>
      <c r="N138" s="111"/>
      <c r="O138" s="111"/>
      <c r="P138" s="111"/>
      <c r="Q138" s="111"/>
      <c r="R138" s="111"/>
      <c r="S138" s="111"/>
    </row>
    <row r="139" spans="1:19" x14ac:dyDescent="0.25">
      <c r="A139" s="111"/>
      <c r="B139" s="111"/>
      <c r="C139" s="116" t="s">
        <v>173</v>
      </c>
      <c r="D139" s="117">
        <f t="shared" si="12"/>
        <v>45848</v>
      </c>
      <c r="E139" s="127" t="s">
        <v>169</v>
      </c>
      <c r="F139" s="128" t="s">
        <v>302</v>
      </c>
      <c r="G139" s="132" t="s">
        <v>300</v>
      </c>
      <c r="H139" s="111"/>
      <c r="I139" s="111"/>
      <c r="J139" s="111"/>
      <c r="K139" s="111"/>
      <c r="L139" s="111"/>
      <c r="M139" s="111"/>
      <c r="N139" s="111"/>
      <c r="O139" s="111"/>
      <c r="P139" s="111"/>
      <c r="Q139" s="111"/>
      <c r="R139" s="111"/>
      <c r="S139" s="111"/>
    </row>
    <row r="140" spans="1:19" ht="15.75" thickBot="1" x14ac:dyDescent="0.3">
      <c r="A140" s="111"/>
      <c r="B140" s="111"/>
      <c r="C140" s="169" t="s">
        <v>173</v>
      </c>
      <c r="D140" s="170">
        <f t="shared" si="12"/>
        <v>45848</v>
      </c>
      <c r="E140" s="171" t="s">
        <v>170</v>
      </c>
      <c r="F140" s="172" t="s">
        <v>302</v>
      </c>
      <c r="G140" s="173" t="s">
        <v>300</v>
      </c>
      <c r="H140" s="111"/>
      <c r="I140" s="111"/>
      <c r="J140" s="111"/>
      <c r="K140" s="111"/>
      <c r="L140" s="111"/>
      <c r="M140" s="111"/>
      <c r="N140" s="111"/>
      <c r="O140" s="111"/>
      <c r="P140" s="111"/>
      <c r="Q140" s="111"/>
      <c r="R140" s="111"/>
      <c r="S140" s="111"/>
    </row>
    <row r="141" spans="1:19" ht="6" customHeight="1" thickBot="1" x14ac:dyDescent="0.3">
      <c r="A141" s="111"/>
      <c r="B141" s="111"/>
      <c r="C141" s="111"/>
      <c r="D141" s="111"/>
      <c r="E141" s="111"/>
      <c r="F141" s="122"/>
      <c r="G141" s="122"/>
      <c r="H141" s="111"/>
      <c r="I141" s="111"/>
      <c r="J141" s="111"/>
      <c r="K141" s="111"/>
      <c r="L141" s="111"/>
      <c r="M141" s="111"/>
      <c r="N141" s="111"/>
      <c r="O141" s="111"/>
      <c r="P141" s="111"/>
      <c r="Q141" s="111"/>
      <c r="R141" s="111"/>
      <c r="S141" s="111"/>
    </row>
    <row r="142" spans="1:19" x14ac:dyDescent="0.25">
      <c r="A142" s="111"/>
      <c r="B142" s="111"/>
      <c r="C142" s="158" t="s">
        <v>174</v>
      </c>
      <c r="D142" s="159">
        <f>D140+1</f>
        <v>45849</v>
      </c>
      <c r="E142" s="160" t="s">
        <v>162</v>
      </c>
      <c r="F142" s="161" t="s">
        <v>302</v>
      </c>
      <c r="G142" s="162" t="s">
        <v>300</v>
      </c>
      <c r="H142" s="111"/>
      <c r="I142" s="111"/>
      <c r="J142" s="111"/>
      <c r="K142" s="111"/>
      <c r="L142" s="111"/>
      <c r="M142" s="111"/>
      <c r="N142" s="111"/>
      <c r="O142" s="111"/>
      <c r="P142" s="111"/>
      <c r="Q142" s="111"/>
      <c r="R142" s="111"/>
      <c r="S142" s="111"/>
    </row>
    <row r="143" spans="1:19" x14ac:dyDescent="0.25">
      <c r="A143" s="111"/>
      <c r="B143" s="111"/>
      <c r="C143" s="163" t="s">
        <v>174</v>
      </c>
      <c r="D143" s="164">
        <f>D142</f>
        <v>45849</v>
      </c>
      <c r="E143" s="165" t="s">
        <v>163</v>
      </c>
      <c r="F143" s="166" t="s">
        <v>302</v>
      </c>
      <c r="G143" s="167" t="s">
        <v>300</v>
      </c>
      <c r="H143" s="111"/>
      <c r="I143" s="111"/>
      <c r="J143" s="111"/>
      <c r="K143" s="111"/>
      <c r="L143" s="111"/>
      <c r="M143" s="111"/>
      <c r="N143" s="111"/>
      <c r="O143" s="111"/>
      <c r="P143" s="111"/>
      <c r="Q143" s="111"/>
      <c r="R143" s="111"/>
      <c r="S143" s="111"/>
    </row>
    <row r="144" spans="1:19" x14ac:dyDescent="0.25">
      <c r="A144" s="111"/>
      <c r="B144" s="111"/>
      <c r="C144" s="163" t="s">
        <v>174</v>
      </c>
      <c r="D144" s="164">
        <f t="shared" ref="D144:D149" si="13">D143</f>
        <v>45849</v>
      </c>
      <c r="E144" s="165" t="s">
        <v>164</v>
      </c>
      <c r="F144" s="166" t="s">
        <v>302</v>
      </c>
      <c r="G144" s="167" t="s">
        <v>300</v>
      </c>
      <c r="H144" s="111"/>
      <c r="I144" s="111"/>
      <c r="J144" s="111"/>
      <c r="K144" s="111"/>
      <c r="L144" s="111"/>
      <c r="M144" s="111"/>
      <c r="N144" s="111"/>
      <c r="O144" s="111"/>
      <c r="P144" s="111"/>
      <c r="Q144" s="111"/>
      <c r="R144" s="111"/>
      <c r="S144" s="111"/>
    </row>
    <row r="145" spans="1:19" x14ac:dyDescent="0.25">
      <c r="A145" s="111"/>
      <c r="B145" s="111"/>
      <c r="C145" s="163" t="s">
        <v>174</v>
      </c>
      <c r="D145" s="164">
        <f t="shared" si="13"/>
        <v>45849</v>
      </c>
      <c r="E145" s="165" t="s">
        <v>165</v>
      </c>
      <c r="F145" s="166" t="s">
        <v>302</v>
      </c>
      <c r="G145" s="167" t="s">
        <v>300</v>
      </c>
      <c r="H145" s="111"/>
      <c r="I145" s="111"/>
      <c r="J145" s="111"/>
      <c r="K145" s="111"/>
      <c r="L145" s="111"/>
      <c r="M145" s="111"/>
      <c r="N145" s="111"/>
      <c r="O145" s="111"/>
      <c r="P145" s="111"/>
      <c r="Q145" s="111"/>
      <c r="R145" s="111"/>
      <c r="S145" s="111"/>
    </row>
    <row r="146" spans="1:19" x14ac:dyDescent="0.25">
      <c r="A146" s="111"/>
      <c r="B146" s="111"/>
      <c r="C146" s="163" t="s">
        <v>174</v>
      </c>
      <c r="D146" s="164">
        <f t="shared" si="13"/>
        <v>45849</v>
      </c>
      <c r="E146" s="165" t="s">
        <v>166</v>
      </c>
      <c r="F146" s="166" t="s">
        <v>302</v>
      </c>
      <c r="G146" s="168" t="s">
        <v>301</v>
      </c>
      <c r="H146" s="111"/>
      <c r="I146" s="111"/>
      <c r="J146" s="111"/>
      <c r="K146" s="111"/>
      <c r="L146" s="111"/>
      <c r="M146" s="111"/>
      <c r="N146" s="111"/>
      <c r="O146" s="111"/>
      <c r="P146" s="111"/>
      <c r="Q146" s="111"/>
      <c r="R146" s="111"/>
      <c r="S146" s="111"/>
    </row>
    <row r="147" spans="1:19" x14ac:dyDescent="0.25">
      <c r="A147" s="111"/>
      <c r="B147" s="111"/>
      <c r="C147" s="163" t="s">
        <v>174</v>
      </c>
      <c r="D147" s="164">
        <f t="shared" si="13"/>
        <v>45849</v>
      </c>
      <c r="E147" s="165" t="s">
        <v>167</v>
      </c>
      <c r="F147" s="166" t="s">
        <v>302</v>
      </c>
      <c r="G147" s="167" t="s">
        <v>301</v>
      </c>
      <c r="H147" s="111"/>
      <c r="I147" s="111"/>
      <c r="J147" s="111"/>
      <c r="K147" s="111"/>
      <c r="L147" s="111"/>
      <c r="M147" s="111"/>
      <c r="N147" s="111"/>
      <c r="O147" s="111"/>
      <c r="P147" s="111"/>
      <c r="Q147" s="111"/>
      <c r="R147" s="111"/>
      <c r="S147" s="111"/>
    </row>
    <row r="148" spans="1:19" x14ac:dyDescent="0.25">
      <c r="A148" s="111"/>
      <c r="B148" s="111"/>
      <c r="C148" s="163" t="s">
        <v>174</v>
      </c>
      <c r="D148" s="164">
        <f t="shared" si="13"/>
        <v>45849</v>
      </c>
      <c r="E148" s="165" t="s">
        <v>168</v>
      </c>
      <c r="F148" s="166" t="s">
        <v>302</v>
      </c>
      <c r="G148" s="167" t="s">
        <v>301</v>
      </c>
      <c r="H148" s="111"/>
      <c r="I148" s="111"/>
      <c r="J148" s="111"/>
      <c r="K148" s="111"/>
      <c r="L148" s="111"/>
      <c r="M148" s="111"/>
      <c r="N148" s="111"/>
      <c r="O148" s="111"/>
      <c r="P148" s="111"/>
      <c r="Q148" s="111"/>
      <c r="R148" s="111"/>
      <c r="S148" s="111"/>
    </row>
    <row r="149" spans="1:19" ht="15.75" thickBot="1" x14ac:dyDescent="0.3">
      <c r="A149" s="111"/>
      <c r="B149" s="111"/>
      <c r="C149" s="169" t="s">
        <v>174</v>
      </c>
      <c r="D149" s="170">
        <f t="shared" si="13"/>
        <v>45849</v>
      </c>
      <c r="E149" s="171" t="s">
        <v>169</v>
      </c>
      <c r="F149" s="172" t="s">
        <v>302</v>
      </c>
      <c r="G149" s="173" t="s">
        <v>301</v>
      </c>
      <c r="H149" s="111"/>
      <c r="I149" s="111"/>
      <c r="J149" s="111"/>
      <c r="K149" s="111"/>
      <c r="L149" s="111"/>
      <c r="M149" s="111"/>
      <c r="N149" s="111"/>
      <c r="O149" s="111"/>
      <c r="P149" s="111"/>
      <c r="Q149" s="111"/>
      <c r="R149" s="111"/>
      <c r="S149" s="111"/>
    </row>
    <row r="150" spans="1:19" ht="6" customHeight="1" thickBot="1" x14ac:dyDescent="0.3">
      <c r="A150" s="129" t="s">
        <v>310</v>
      </c>
      <c r="B150" s="111"/>
      <c r="C150" s="111"/>
      <c r="D150" s="111"/>
      <c r="E150" s="111"/>
      <c r="F150" s="122"/>
      <c r="G150" s="122"/>
      <c r="H150" s="111"/>
      <c r="I150" s="111"/>
      <c r="J150" s="111"/>
      <c r="K150" s="111"/>
      <c r="L150" s="111"/>
      <c r="M150" s="111"/>
      <c r="N150" s="111"/>
      <c r="O150" s="111"/>
      <c r="P150" s="111"/>
      <c r="Q150" s="111"/>
      <c r="R150" s="111"/>
      <c r="S150" s="129" t="s">
        <v>310</v>
      </c>
    </row>
    <row r="151" spans="1:19" x14ac:dyDescent="0.25">
      <c r="C151" s="52" t="s">
        <v>161</v>
      </c>
      <c r="D151" s="53">
        <f>D149+3</f>
        <v>45852</v>
      </c>
      <c r="E151" s="87" t="s">
        <v>162</v>
      </c>
      <c r="F151" s="85"/>
      <c r="G151" s="88"/>
    </row>
    <row r="152" spans="1:19" x14ac:dyDescent="0.25">
      <c r="C152" s="43" t="s">
        <v>161</v>
      </c>
      <c r="D152" s="21">
        <f>D151</f>
        <v>45852</v>
      </c>
      <c r="E152" s="89" t="s">
        <v>163</v>
      </c>
      <c r="F152" s="86"/>
      <c r="G152" s="90"/>
    </row>
    <row r="153" spans="1:19" x14ac:dyDescent="0.25">
      <c r="C153" s="43" t="s">
        <v>161</v>
      </c>
      <c r="D153" s="21">
        <f t="shared" ref="D153:D159" si="14">D152</f>
        <v>45852</v>
      </c>
      <c r="E153" s="89" t="s">
        <v>164</v>
      </c>
      <c r="F153" s="86"/>
      <c r="G153" s="90"/>
    </row>
    <row r="154" spans="1:19" x14ac:dyDescent="0.25">
      <c r="C154" s="43" t="s">
        <v>161</v>
      </c>
      <c r="D154" s="21">
        <f t="shared" si="14"/>
        <v>45852</v>
      </c>
      <c r="E154" s="89" t="s">
        <v>165</v>
      </c>
      <c r="F154" s="86"/>
      <c r="G154" s="90"/>
    </row>
    <row r="155" spans="1:19" x14ac:dyDescent="0.25">
      <c r="C155" s="43" t="s">
        <v>161</v>
      </c>
      <c r="D155" s="21">
        <f t="shared" si="14"/>
        <v>45852</v>
      </c>
      <c r="E155" s="89" t="s">
        <v>166</v>
      </c>
      <c r="F155" s="86"/>
      <c r="G155" s="90"/>
    </row>
    <row r="156" spans="1:19" x14ac:dyDescent="0.25">
      <c r="C156" s="43" t="s">
        <v>161</v>
      </c>
      <c r="D156" s="21">
        <f t="shared" si="14"/>
        <v>45852</v>
      </c>
      <c r="E156" s="89" t="s">
        <v>167</v>
      </c>
      <c r="F156" s="86"/>
      <c r="G156" s="90"/>
    </row>
    <row r="157" spans="1:19" x14ac:dyDescent="0.25">
      <c r="C157" s="43" t="s">
        <v>161</v>
      </c>
      <c r="D157" s="21">
        <f t="shared" si="14"/>
        <v>45852</v>
      </c>
      <c r="E157" s="89" t="s">
        <v>167</v>
      </c>
      <c r="F157" s="86"/>
      <c r="G157" s="90"/>
    </row>
    <row r="158" spans="1:19" x14ac:dyDescent="0.25">
      <c r="C158" s="43" t="s">
        <v>161</v>
      </c>
      <c r="D158" s="21">
        <f t="shared" si="14"/>
        <v>45852</v>
      </c>
      <c r="E158" s="89" t="s">
        <v>169</v>
      </c>
      <c r="F158" s="86"/>
      <c r="G158" s="90"/>
    </row>
    <row r="159" spans="1:19" ht="15.75" thickBot="1" x14ac:dyDescent="0.3">
      <c r="C159" s="47" t="s">
        <v>161</v>
      </c>
      <c r="D159" s="48">
        <f t="shared" si="14"/>
        <v>45852</v>
      </c>
      <c r="E159" s="91" t="s">
        <v>170</v>
      </c>
      <c r="F159" s="84"/>
      <c r="G159" s="92"/>
    </row>
    <row r="160" spans="1:19" ht="6" customHeight="1" thickBot="1" x14ac:dyDescent="0.3"/>
    <row r="161" spans="3:7" x14ac:dyDescent="0.25">
      <c r="C161" s="52" t="s">
        <v>171</v>
      </c>
      <c r="D161" s="53">
        <f>D159+1</f>
        <v>45853</v>
      </c>
      <c r="E161" s="54" t="s">
        <v>162</v>
      </c>
      <c r="F161" s="71"/>
      <c r="G161" s="69"/>
    </row>
    <row r="162" spans="3:7" x14ac:dyDescent="0.25">
      <c r="C162" s="43" t="s">
        <v>171</v>
      </c>
      <c r="D162" s="21">
        <f>D161</f>
        <v>45853</v>
      </c>
      <c r="E162" s="22" t="s">
        <v>163</v>
      </c>
      <c r="F162" s="67"/>
      <c r="G162" s="70"/>
    </row>
    <row r="163" spans="3:7" x14ac:dyDescent="0.25">
      <c r="C163" s="43" t="s">
        <v>171</v>
      </c>
      <c r="D163" s="21">
        <f t="shared" ref="D163:D169" si="15">D162</f>
        <v>45853</v>
      </c>
      <c r="E163" s="22" t="s">
        <v>164</v>
      </c>
      <c r="F163" s="67"/>
      <c r="G163" s="70"/>
    </row>
    <row r="164" spans="3:7" x14ac:dyDescent="0.25">
      <c r="C164" s="43" t="s">
        <v>171</v>
      </c>
      <c r="D164" s="21">
        <f t="shared" si="15"/>
        <v>45853</v>
      </c>
      <c r="E164" s="22" t="s">
        <v>165</v>
      </c>
      <c r="F164" s="67"/>
      <c r="G164" s="70"/>
    </row>
    <row r="165" spans="3:7" x14ac:dyDescent="0.25">
      <c r="C165" s="43" t="s">
        <v>171</v>
      </c>
      <c r="D165" s="21">
        <f t="shared" si="15"/>
        <v>45853</v>
      </c>
      <c r="E165" s="22" t="s">
        <v>166</v>
      </c>
      <c r="F165" s="67"/>
      <c r="G165" s="70"/>
    </row>
    <row r="166" spans="3:7" x14ac:dyDescent="0.25">
      <c r="C166" s="43" t="s">
        <v>171</v>
      </c>
      <c r="D166" s="21">
        <f t="shared" si="15"/>
        <v>45853</v>
      </c>
      <c r="E166" s="22" t="s">
        <v>167</v>
      </c>
      <c r="F166" s="67"/>
      <c r="G166" s="70"/>
    </row>
    <row r="167" spans="3:7" x14ac:dyDescent="0.25">
      <c r="C167" s="43" t="s">
        <v>171</v>
      </c>
      <c r="D167" s="21">
        <f t="shared" si="15"/>
        <v>45853</v>
      </c>
      <c r="E167" s="22" t="s">
        <v>168</v>
      </c>
      <c r="F167" s="67"/>
      <c r="G167" s="70"/>
    </row>
    <row r="168" spans="3:7" x14ac:dyDescent="0.25">
      <c r="C168" s="43" t="s">
        <v>171</v>
      </c>
      <c r="D168" s="21">
        <f t="shared" si="15"/>
        <v>45853</v>
      </c>
      <c r="E168" s="22" t="s">
        <v>169</v>
      </c>
      <c r="F168" s="67"/>
      <c r="G168" s="70"/>
    </row>
    <row r="169" spans="3:7" ht="15.75" thickBot="1" x14ac:dyDescent="0.3">
      <c r="C169" s="47" t="s">
        <v>171</v>
      </c>
      <c r="D169" s="48">
        <f t="shared" si="15"/>
        <v>45853</v>
      </c>
      <c r="E169" s="49" t="s">
        <v>170</v>
      </c>
      <c r="F169" s="72"/>
      <c r="G169" s="73"/>
    </row>
    <row r="170" spans="3:7" ht="6" customHeight="1" thickBot="1" x14ac:dyDescent="0.3"/>
    <row r="171" spans="3:7" x14ac:dyDescent="0.25">
      <c r="C171" s="52" t="s">
        <v>172</v>
      </c>
      <c r="D171" s="53">
        <f>D169+1</f>
        <v>45854</v>
      </c>
      <c r="E171" s="54" t="s">
        <v>162</v>
      </c>
      <c r="F171" s="71"/>
      <c r="G171" s="69"/>
    </row>
    <row r="172" spans="3:7" x14ac:dyDescent="0.25">
      <c r="C172" s="43" t="s">
        <v>172</v>
      </c>
      <c r="D172" s="21">
        <f>D171</f>
        <v>45854</v>
      </c>
      <c r="E172" s="22" t="s">
        <v>163</v>
      </c>
      <c r="F172" s="67"/>
      <c r="G172" s="70"/>
    </row>
    <row r="173" spans="3:7" x14ac:dyDescent="0.25">
      <c r="C173" s="43" t="s">
        <v>172</v>
      </c>
      <c r="D173" s="21">
        <f t="shared" ref="D173:D179" si="16">D172</f>
        <v>45854</v>
      </c>
      <c r="E173" s="22" t="s">
        <v>164</v>
      </c>
      <c r="F173" s="67"/>
      <c r="G173" s="70"/>
    </row>
    <row r="174" spans="3:7" x14ac:dyDescent="0.25">
      <c r="C174" s="43" t="s">
        <v>172</v>
      </c>
      <c r="D174" s="21">
        <f t="shared" si="16"/>
        <v>45854</v>
      </c>
      <c r="E174" s="22" t="s">
        <v>165</v>
      </c>
      <c r="F174" s="67"/>
      <c r="G174" s="70"/>
    </row>
    <row r="175" spans="3:7" x14ac:dyDescent="0.25">
      <c r="C175" s="43" t="s">
        <v>172</v>
      </c>
      <c r="D175" s="21">
        <f t="shared" si="16"/>
        <v>45854</v>
      </c>
      <c r="E175" s="22" t="s">
        <v>166</v>
      </c>
      <c r="F175" s="67"/>
      <c r="G175" s="70"/>
    </row>
    <row r="176" spans="3:7" x14ac:dyDescent="0.25">
      <c r="C176" s="43" t="s">
        <v>172</v>
      </c>
      <c r="D176" s="21">
        <f t="shared" si="16"/>
        <v>45854</v>
      </c>
      <c r="E176" s="22" t="s">
        <v>167</v>
      </c>
      <c r="F176" s="67"/>
      <c r="G176" s="70"/>
    </row>
    <row r="177" spans="3:7" x14ac:dyDescent="0.25">
      <c r="C177" s="43" t="s">
        <v>172</v>
      </c>
      <c r="D177" s="21">
        <f t="shared" si="16"/>
        <v>45854</v>
      </c>
      <c r="E177" s="22" t="s">
        <v>168</v>
      </c>
      <c r="F177" s="67"/>
      <c r="G177" s="70"/>
    </row>
    <row r="178" spans="3:7" x14ac:dyDescent="0.25">
      <c r="C178" s="43" t="s">
        <v>172</v>
      </c>
      <c r="D178" s="21">
        <f t="shared" si="16"/>
        <v>45854</v>
      </c>
      <c r="E178" s="22" t="s">
        <v>169</v>
      </c>
      <c r="F178" s="67"/>
      <c r="G178" s="70"/>
    </row>
    <row r="179" spans="3:7" ht="15.75" thickBot="1" x14ac:dyDescent="0.3">
      <c r="C179" s="47" t="s">
        <v>172</v>
      </c>
      <c r="D179" s="48">
        <f t="shared" si="16"/>
        <v>45854</v>
      </c>
      <c r="E179" s="49" t="s">
        <v>170</v>
      </c>
      <c r="F179" s="72"/>
      <c r="G179" s="73"/>
    </row>
    <row r="180" spans="3:7" ht="6" customHeight="1" thickBot="1" x14ac:dyDescent="0.3"/>
    <row r="181" spans="3:7" x14ac:dyDescent="0.25">
      <c r="C181" s="52" t="s">
        <v>173</v>
      </c>
      <c r="D181" s="53">
        <f>D179+1</f>
        <v>45855</v>
      </c>
      <c r="E181" s="54" t="s">
        <v>162</v>
      </c>
      <c r="F181" s="71"/>
      <c r="G181" s="69"/>
    </row>
    <row r="182" spans="3:7" x14ac:dyDescent="0.25">
      <c r="C182" s="43" t="s">
        <v>173</v>
      </c>
      <c r="D182" s="21">
        <f>D181</f>
        <v>45855</v>
      </c>
      <c r="E182" s="22" t="s">
        <v>163</v>
      </c>
      <c r="F182" s="67"/>
      <c r="G182" s="70"/>
    </row>
    <row r="183" spans="3:7" x14ac:dyDescent="0.25">
      <c r="C183" s="43" t="s">
        <v>173</v>
      </c>
      <c r="D183" s="21">
        <f t="shared" ref="D183:D189" si="17">D182</f>
        <v>45855</v>
      </c>
      <c r="E183" s="22" t="s">
        <v>164</v>
      </c>
      <c r="F183" s="67"/>
      <c r="G183" s="70"/>
    </row>
    <row r="184" spans="3:7" x14ac:dyDescent="0.25">
      <c r="C184" s="43" t="s">
        <v>173</v>
      </c>
      <c r="D184" s="21">
        <f t="shared" si="17"/>
        <v>45855</v>
      </c>
      <c r="E184" s="22" t="s">
        <v>165</v>
      </c>
      <c r="F184" s="67"/>
      <c r="G184" s="70"/>
    </row>
    <row r="185" spans="3:7" x14ac:dyDescent="0.25">
      <c r="C185" s="43" t="s">
        <v>173</v>
      </c>
      <c r="D185" s="21">
        <f t="shared" si="17"/>
        <v>45855</v>
      </c>
      <c r="E185" s="22" t="s">
        <v>166</v>
      </c>
      <c r="F185" s="67"/>
      <c r="G185" s="70"/>
    </row>
    <row r="186" spans="3:7" x14ac:dyDescent="0.25">
      <c r="C186" s="43" t="s">
        <v>173</v>
      </c>
      <c r="D186" s="21">
        <f t="shared" si="17"/>
        <v>45855</v>
      </c>
      <c r="E186" s="22" t="s">
        <v>167</v>
      </c>
      <c r="F186" s="67"/>
      <c r="G186" s="70"/>
    </row>
    <row r="187" spans="3:7" x14ac:dyDescent="0.25">
      <c r="C187" s="43" t="s">
        <v>173</v>
      </c>
      <c r="D187" s="21">
        <f t="shared" si="17"/>
        <v>45855</v>
      </c>
      <c r="E187" s="22" t="s">
        <v>168</v>
      </c>
      <c r="F187" s="67"/>
      <c r="G187" s="70"/>
    </row>
    <row r="188" spans="3:7" x14ac:dyDescent="0.25">
      <c r="C188" s="43" t="s">
        <v>173</v>
      </c>
      <c r="D188" s="21">
        <f t="shared" si="17"/>
        <v>45855</v>
      </c>
      <c r="E188" s="22" t="s">
        <v>169</v>
      </c>
      <c r="F188" s="67"/>
      <c r="G188" s="70"/>
    </row>
    <row r="189" spans="3:7" ht="15.75" thickBot="1" x14ac:dyDescent="0.3">
      <c r="C189" s="47" t="s">
        <v>173</v>
      </c>
      <c r="D189" s="48">
        <f t="shared" si="17"/>
        <v>45855</v>
      </c>
      <c r="E189" s="49" t="s">
        <v>170</v>
      </c>
      <c r="F189" s="72"/>
      <c r="G189" s="73"/>
    </row>
    <row r="190" spans="3:7" ht="6" customHeight="1" thickBot="1" x14ac:dyDescent="0.3"/>
    <row r="191" spans="3:7" x14ac:dyDescent="0.25">
      <c r="C191" s="52" t="s">
        <v>174</v>
      </c>
      <c r="D191" s="53">
        <f>D189+1</f>
        <v>45856</v>
      </c>
      <c r="E191" s="54" t="s">
        <v>162</v>
      </c>
      <c r="F191" s="71"/>
      <c r="G191" s="69"/>
    </row>
    <row r="192" spans="3:7" x14ac:dyDescent="0.25">
      <c r="C192" s="43" t="s">
        <v>174</v>
      </c>
      <c r="D192" s="21">
        <f>D191</f>
        <v>45856</v>
      </c>
      <c r="E192" s="22" t="s">
        <v>163</v>
      </c>
      <c r="F192" s="67"/>
      <c r="G192" s="70"/>
    </row>
    <row r="193" spans="1:19" x14ac:dyDescent="0.25">
      <c r="C193" s="43" t="s">
        <v>174</v>
      </c>
      <c r="D193" s="21">
        <f t="shared" ref="D193:D198" si="18">D192</f>
        <v>45856</v>
      </c>
      <c r="E193" s="22" t="s">
        <v>164</v>
      </c>
      <c r="F193" s="67"/>
      <c r="G193" s="70"/>
    </row>
    <row r="194" spans="1:19" x14ac:dyDescent="0.25">
      <c r="C194" s="43" t="s">
        <v>174</v>
      </c>
      <c r="D194" s="21">
        <f t="shared" si="18"/>
        <v>45856</v>
      </c>
      <c r="E194" s="22" t="s">
        <v>165</v>
      </c>
      <c r="F194" s="67"/>
      <c r="G194" s="70"/>
    </row>
    <row r="195" spans="1:19" x14ac:dyDescent="0.25">
      <c r="C195" s="43" t="s">
        <v>174</v>
      </c>
      <c r="D195" s="21">
        <f t="shared" si="18"/>
        <v>45856</v>
      </c>
      <c r="E195" s="22" t="s">
        <v>166</v>
      </c>
      <c r="F195" s="67"/>
      <c r="G195" s="70"/>
    </row>
    <row r="196" spans="1:19" x14ac:dyDescent="0.25">
      <c r="C196" s="43" t="s">
        <v>174</v>
      </c>
      <c r="D196" s="21">
        <f t="shared" si="18"/>
        <v>45856</v>
      </c>
      <c r="E196" s="22" t="s">
        <v>167</v>
      </c>
      <c r="F196" s="67"/>
      <c r="G196" s="70"/>
    </row>
    <row r="197" spans="1:19" x14ac:dyDescent="0.25">
      <c r="C197" s="43" t="s">
        <v>174</v>
      </c>
      <c r="D197" s="21">
        <f t="shared" si="18"/>
        <v>45856</v>
      </c>
      <c r="E197" s="22" t="s">
        <v>168</v>
      </c>
      <c r="F197" s="67"/>
      <c r="G197" s="70"/>
    </row>
    <row r="198" spans="1:19" ht="15.75" thickBot="1" x14ac:dyDescent="0.3">
      <c r="C198" s="47" t="s">
        <v>174</v>
      </c>
      <c r="D198" s="48">
        <f t="shared" si="18"/>
        <v>45856</v>
      </c>
      <c r="E198" s="49" t="s">
        <v>169</v>
      </c>
      <c r="F198" s="72"/>
      <c r="G198" s="73"/>
    </row>
    <row r="199" spans="1:19" ht="6" customHeight="1" thickBot="1" x14ac:dyDescent="0.3">
      <c r="A199" s="31" t="s">
        <v>310</v>
      </c>
      <c r="S199" s="31" t="s">
        <v>310</v>
      </c>
    </row>
    <row r="200" spans="1:19" x14ac:dyDescent="0.25">
      <c r="C200" s="52" t="s">
        <v>161</v>
      </c>
      <c r="D200" s="53">
        <f>D198+3</f>
        <v>45859</v>
      </c>
      <c r="E200" s="54" t="s">
        <v>162</v>
      </c>
      <c r="F200" s="71"/>
      <c r="G200" s="69"/>
    </row>
    <row r="201" spans="1:19" x14ac:dyDescent="0.25">
      <c r="C201" s="43" t="s">
        <v>161</v>
      </c>
      <c r="D201" s="21">
        <f>D200</f>
        <v>45859</v>
      </c>
      <c r="E201" s="22" t="s">
        <v>163</v>
      </c>
      <c r="F201" s="67"/>
      <c r="G201" s="70"/>
    </row>
    <row r="202" spans="1:19" x14ac:dyDescent="0.25">
      <c r="C202" s="43" t="s">
        <v>161</v>
      </c>
      <c r="D202" s="21">
        <f t="shared" ref="D202:D208" si="19">D201</f>
        <v>45859</v>
      </c>
      <c r="E202" s="22" t="s">
        <v>164</v>
      </c>
      <c r="F202" s="67"/>
      <c r="G202" s="70"/>
    </row>
    <row r="203" spans="1:19" x14ac:dyDescent="0.25">
      <c r="C203" s="43" t="s">
        <v>161</v>
      </c>
      <c r="D203" s="21">
        <f t="shared" si="19"/>
        <v>45859</v>
      </c>
      <c r="E203" s="22" t="s">
        <v>165</v>
      </c>
      <c r="F203" s="67"/>
      <c r="G203" s="70"/>
    </row>
    <row r="204" spans="1:19" x14ac:dyDescent="0.25">
      <c r="C204" s="43" t="s">
        <v>161</v>
      </c>
      <c r="D204" s="21">
        <f t="shared" si="19"/>
        <v>45859</v>
      </c>
      <c r="E204" s="22" t="s">
        <v>166</v>
      </c>
      <c r="F204" s="67"/>
      <c r="G204" s="70"/>
    </row>
    <row r="205" spans="1:19" x14ac:dyDescent="0.25">
      <c r="C205" s="43" t="s">
        <v>161</v>
      </c>
      <c r="D205" s="21">
        <f t="shared" si="19"/>
        <v>45859</v>
      </c>
      <c r="E205" s="22" t="s">
        <v>167</v>
      </c>
      <c r="F205" s="67"/>
      <c r="G205" s="70"/>
    </row>
    <row r="206" spans="1:19" x14ac:dyDescent="0.25">
      <c r="C206" s="43" t="s">
        <v>161</v>
      </c>
      <c r="D206" s="21">
        <f t="shared" si="19"/>
        <v>45859</v>
      </c>
      <c r="E206" s="22" t="s">
        <v>167</v>
      </c>
      <c r="F206" s="67"/>
      <c r="G206" s="70"/>
    </row>
    <row r="207" spans="1:19" x14ac:dyDescent="0.25">
      <c r="C207" s="43" t="s">
        <v>161</v>
      </c>
      <c r="D207" s="21">
        <f t="shared" si="19"/>
        <v>45859</v>
      </c>
      <c r="E207" s="22" t="s">
        <v>169</v>
      </c>
      <c r="F207" s="67"/>
      <c r="G207" s="70"/>
    </row>
    <row r="208" spans="1:19" ht="15.75" thickBot="1" x14ac:dyDescent="0.3">
      <c r="C208" s="47" t="s">
        <v>161</v>
      </c>
      <c r="D208" s="48">
        <f t="shared" si="19"/>
        <v>45859</v>
      </c>
      <c r="E208" s="49" t="s">
        <v>170</v>
      </c>
      <c r="F208" s="72"/>
      <c r="G208" s="73"/>
    </row>
    <row r="209" spans="3:7" ht="6" customHeight="1" thickBot="1" x14ac:dyDescent="0.3"/>
    <row r="210" spans="3:7" x14ac:dyDescent="0.25">
      <c r="C210" s="52" t="s">
        <v>171</v>
      </c>
      <c r="D210" s="53">
        <f>D208+1</f>
        <v>45860</v>
      </c>
      <c r="E210" s="54" t="s">
        <v>162</v>
      </c>
      <c r="F210" s="71"/>
      <c r="G210" s="69"/>
    </row>
    <row r="211" spans="3:7" x14ac:dyDescent="0.25">
      <c r="C211" s="43" t="s">
        <v>171</v>
      </c>
      <c r="D211" s="21">
        <f>D210</f>
        <v>45860</v>
      </c>
      <c r="E211" s="22" t="s">
        <v>163</v>
      </c>
      <c r="F211" s="67"/>
      <c r="G211" s="70"/>
    </row>
    <row r="212" spans="3:7" x14ac:dyDescent="0.25">
      <c r="C212" s="43" t="s">
        <v>171</v>
      </c>
      <c r="D212" s="21">
        <f t="shared" ref="D212:D218" si="20">D211</f>
        <v>45860</v>
      </c>
      <c r="E212" s="22" t="s">
        <v>164</v>
      </c>
      <c r="F212" s="67"/>
      <c r="G212" s="70"/>
    </row>
    <row r="213" spans="3:7" x14ac:dyDescent="0.25">
      <c r="C213" s="43" t="s">
        <v>171</v>
      </c>
      <c r="D213" s="21">
        <f t="shared" si="20"/>
        <v>45860</v>
      </c>
      <c r="E213" s="22" t="s">
        <v>165</v>
      </c>
      <c r="F213" s="67"/>
      <c r="G213" s="70"/>
    </row>
    <row r="214" spans="3:7" x14ac:dyDescent="0.25">
      <c r="C214" s="43" t="s">
        <v>171</v>
      </c>
      <c r="D214" s="21">
        <f t="shared" si="20"/>
        <v>45860</v>
      </c>
      <c r="E214" s="22" t="s">
        <v>166</v>
      </c>
      <c r="F214" s="67"/>
      <c r="G214" s="70"/>
    </row>
    <row r="215" spans="3:7" x14ac:dyDescent="0.25">
      <c r="C215" s="43" t="s">
        <v>171</v>
      </c>
      <c r="D215" s="21">
        <f t="shared" si="20"/>
        <v>45860</v>
      </c>
      <c r="E215" s="22" t="s">
        <v>167</v>
      </c>
      <c r="F215" s="67"/>
      <c r="G215" s="70"/>
    </row>
    <row r="216" spans="3:7" x14ac:dyDescent="0.25">
      <c r="C216" s="43" t="s">
        <v>171</v>
      </c>
      <c r="D216" s="21">
        <f t="shared" si="20"/>
        <v>45860</v>
      </c>
      <c r="E216" s="22" t="s">
        <v>168</v>
      </c>
      <c r="F216" s="67"/>
      <c r="G216" s="70"/>
    </row>
    <row r="217" spans="3:7" x14ac:dyDescent="0.25">
      <c r="C217" s="43" t="s">
        <v>171</v>
      </c>
      <c r="D217" s="21">
        <f t="shared" si="20"/>
        <v>45860</v>
      </c>
      <c r="E217" s="22" t="s">
        <v>169</v>
      </c>
      <c r="F217" s="67"/>
      <c r="G217" s="70"/>
    </row>
    <row r="218" spans="3:7" ht="15.75" thickBot="1" x14ac:dyDescent="0.3">
      <c r="C218" s="47" t="s">
        <v>171</v>
      </c>
      <c r="D218" s="48">
        <f t="shared" si="20"/>
        <v>45860</v>
      </c>
      <c r="E218" s="49" t="s">
        <v>170</v>
      </c>
      <c r="F218" s="72"/>
      <c r="G218" s="73"/>
    </row>
    <row r="219" spans="3:7" ht="6" customHeight="1" thickBot="1" x14ac:dyDescent="0.3"/>
    <row r="220" spans="3:7" x14ac:dyDescent="0.25">
      <c r="C220" s="52" t="s">
        <v>172</v>
      </c>
      <c r="D220" s="53">
        <f>D218+1</f>
        <v>45861</v>
      </c>
      <c r="E220" s="54" t="s">
        <v>162</v>
      </c>
      <c r="F220" s="71"/>
      <c r="G220" s="69"/>
    </row>
    <row r="221" spans="3:7" x14ac:dyDescent="0.25">
      <c r="C221" s="43" t="s">
        <v>172</v>
      </c>
      <c r="D221" s="21">
        <f>D220</f>
        <v>45861</v>
      </c>
      <c r="E221" s="22" t="s">
        <v>163</v>
      </c>
      <c r="F221" s="67"/>
      <c r="G221" s="70"/>
    </row>
    <row r="222" spans="3:7" x14ac:dyDescent="0.25">
      <c r="C222" s="43" t="s">
        <v>172</v>
      </c>
      <c r="D222" s="21">
        <f t="shared" ref="D222:D228" si="21">D221</f>
        <v>45861</v>
      </c>
      <c r="E222" s="22" t="s">
        <v>164</v>
      </c>
      <c r="F222" s="67"/>
      <c r="G222" s="70"/>
    </row>
    <row r="223" spans="3:7" x14ac:dyDescent="0.25">
      <c r="C223" s="43" t="s">
        <v>172</v>
      </c>
      <c r="D223" s="21">
        <f t="shared" si="21"/>
        <v>45861</v>
      </c>
      <c r="E223" s="22" t="s">
        <v>165</v>
      </c>
      <c r="F223" s="67"/>
      <c r="G223" s="70"/>
    </row>
    <row r="224" spans="3:7" x14ac:dyDescent="0.25">
      <c r="C224" s="43" t="s">
        <v>172</v>
      </c>
      <c r="D224" s="21">
        <f t="shared" si="21"/>
        <v>45861</v>
      </c>
      <c r="E224" s="22" t="s">
        <v>166</v>
      </c>
      <c r="F224" s="67"/>
      <c r="G224" s="70"/>
    </row>
    <row r="225" spans="3:7" x14ac:dyDescent="0.25">
      <c r="C225" s="43" t="s">
        <v>172</v>
      </c>
      <c r="D225" s="21">
        <f t="shared" si="21"/>
        <v>45861</v>
      </c>
      <c r="E225" s="22" t="s">
        <v>167</v>
      </c>
      <c r="F225" s="67"/>
      <c r="G225" s="70"/>
    </row>
    <row r="226" spans="3:7" x14ac:dyDescent="0.25">
      <c r="C226" s="43" t="s">
        <v>172</v>
      </c>
      <c r="D226" s="21">
        <f t="shared" si="21"/>
        <v>45861</v>
      </c>
      <c r="E226" s="22" t="s">
        <v>168</v>
      </c>
      <c r="F226" s="67"/>
      <c r="G226" s="70"/>
    </row>
    <row r="227" spans="3:7" x14ac:dyDescent="0.25">
      <c r="C227" s="43" t="s">
        <v>172</v>
      </c>
      <c r="D227" s="21">
        <f t="shared" si="21"/>
        <v>45861</v>
      </c>
      <c r="E227" s="22" t="s">
        <v>169</v>
      </c>
      <c r="F227" s="67"/>
      <c r="G227" s="70"/>
    </row>
    <row r="228" spans="3:7" ht="15.75" thickBot="1" x14ac:dyDescent="0.3">
      <c r="C228" s="47" t="s">
        <v>172</v>
      </c>
      <c r="D228" s="48">
        <f t="shared" si="21"/>
        <v>45861</v>
      </c>
      <c r="E228" s="49" t="s">
        <v>170</v>
      </c>
      <c r="F228" s="72"/>
      <c r="G228" s="73"/>
    </row>
    <row r="229" spans="3:7" ht="6" customHeight="1" thickBot="1" x14ac:dyDescent="0.3"/>
    <row r="230" spans="3:7" x14ac:dyDescent="0.25">
      <c r="C230" s="52" t="s">
        <v>173</v>
      </c>
      <c r="D230" s="53">
        <f>D228+1</f>
        <v>45862</v>
      </c>
      <c r="E230" s="54" t="s">
        <v>162</v>
      </c>
      <c r="F230" s="71"/>
      <c r="G230" s="69"/>
    </row>
    <row r="231" spans="3:7" x14ac:dyDescent="0.25">
      <c r="C231" s="43" t="s">
        <v>173</v>
      </c>
      <c r="D231" s="21">
        <f>D230</f>
        <v>45862</v>
      </c>
      <c r="E231" s="22" t="s">
        <v>163</v>
      </c>
      <c r="F231" s="67"/>
      <c r="G231" s="70"/>
    </row>
    <row r="232" spans="3:7" x14ac:dyDescent="0.25">
      <c r="C232" s="43" t="s">
        <v>173</v>
      </c>
      <c r="D232" s="21">
        <f t="shared" ref="D232:D238" si="22">D231</f>
        <v>45862</v>
      </c>
      <c r="E232" s="22" t="s">
        <v>164</v>
      </c>
      <c r="F232" s="67"/>
      <c r="G232" s="70"/>
    </row>
    <row r="233" spans="3:7" x14ac:dyDescent="0.25">
      <c r="C233" s="43" t="s">
        <v>173</v>
      </c>
      <c r="D233" s="21">
        <f t="shared" si="22"/>
        <v>45862</v>
      </c>
      <c r="E233" s="22" t="s">
        <v>165</v>
      </c>
      <c r="F233" s="67"/>
      <c r="G233" s="70"/>
    </row>
    <row r="234" spans="3:7" x14ac:dyDescent="0.25">
      <c r="C234" s="43" t="s">
        <v>173</v>
      </c>
      <c r="D234" s="21">
        <f t="shared" si="22"/>
        <v>45862</v>
      </c>
      <c r="E234" s="22" t="s">
        <v>166</v>
      </c>
      <c r="F234" s="67"/>
      <c r="G234" s="70"/>
    </row>
    <row r="235" spans="3:7" x14ac:dyDescent="0.25">
      <c r="C235" s="43" t="s">
        <v>173</v>
      </c>
      <c r="D235" s="21">
        <f t="shared" si="22"/>
        <v>45862</v>
      </c>
      <c r="E235" s="22" t="s">
        <v>167</v>
      </c>
      <c r="F235" s="67"/>
      <c r="G235" s="70"/>
    </row>
    <row r="236" spans="3:7" x14ac:dyDescent="0.25">
      <c r="C236" s="43" t="s">
        <v>173</v>
      </c>
      <c r="D236" s="21">
        <f t="shared" si="22"/>
        <v>45862</v>
      </c>
      <c r="E236" s="22" t="s">
        <v>168</v>
      </c>
      <c r="F236" s="67"/>
      <c r="G236" s="70"/>
    </row>
    <row r="237" spans="3:7" x14ac:dyDescent="0.25">
      <c r="C237" s="43" t="s">
        <v>173</v>
      </c>
      <c r="D237" s="21">
        <f t="shared" si="22"/>
        <v>45862</v>
      </c>
      <c r="E237" s="22" t="s">
        <v>169</v>
      </c>
      <c r="F237" s="67"/>
      <c r="G237" s="70"/>
    </row>
    <row r="238" spans="3:7" ht="15.75" thickBot="1" x14ac:dyDescent="0.3">
      <c r="C238" s="47" t="s">
        <v>173</v>
      </c>
      <c r="D238" s="48">
        <f t="shared" si="22"/>
        <v>45862</v>
      </c>
      <c r="E238" s="49" t="s">
        <v>170</v>
      </c>
      <c r="F238" s="72"/>
      <c r="G238" s="73"/>
    </row>
    <row r="239" spans="3:7" ht="6" customHeight="1" thickBot="1" x14ac:dyDescent="0.3"/>
    <row r="240" spans="3:7" x14ac:dyDescent="0.25">
      <c r="C240" s="52" t="s">
        <v>174</v>
      </c>
      <c r="D240" s="53">
        <f>D238+1</f>
        <v>45863</v>
      </c>
      <c r="E240" s="54" t="s">
        <v>162</v>
      </c>
      <c r="F240" s="71"/>
      <c r="G240" s="69"/>
    </row>
    <row r="241" spans="1:19" x14ac:dyDescent="0.25">
      <c r="C241" s="43" t="s">
        <v>174</v>
      </c>
      <c r="D241" s="21">
        <f>D240</f>
        <v>45863</v>
      </c>
      <c r="E241" s="22" t="s">
        <v>163</v>
      </c>
      <c r="F241" s="67"/>
      <c r="G241" s="70"/>
    </row>
    <row r="242" spans="1:19" x14ac:dyDescent="0.25">
      <c r="C242" s="43" t="s">
        <v>174</v>
      </c>
      <c r="D242" s="21">
        <f t="shared" ref="D242:D247" si="23">D241</f>
        <v>45863</v>
      </c>
      <c r="E242" s="22" t="s">
        <v>164</v>
      </c>
      <c r="F242" s="67"/>
      <c r="G242" s="70"/>
    </row>
    <row r="243" spans="1:19" x14ac:dyDescent="0.25">
      <c r="C243" s="43" t="s">
        <v>174</v>
      </c>
      <c r="D243" s="21">
        <f t="shared" si="23"/>
        <v>45863</v>
      </c>
      <c r="E243" s="22" t="s">
        <v>165</v>
      </c>
      <c r="F243" s="67"/>
      <c r="G243" s="70"/>
    </row>
    <row r="244" spans="1:19" x14ac:dyDescent="0.25">
      <c r="C244" s="43" t="s">
        <v>174</v>
      </c>
      <c r="D244" s="21">
        <f t="shared" si="23"/>
        <v>45863</v>
      </c>
      <c r="E244" s="22" t="s">
        <v>166</v>
      </c>
      <c r="F244" s="67"/>
      <c r="G244" s="70"/>
    </row>
    <row r="245" spans="1:19" x14ac:dyDescent="0.25">
      <c r="C245" s="43" t="s">
        <v>174</v>
      </c>
      <c r="D245" s="21">
        <f t="shared" si="23"/>
        <v>45863</v>
      </c>
      <c r="E245" s="22" t="s">
        <v>167</v>
      </c>
      <c r="F245" s="67"/>
      <c r="G245" s="70"/>
    </row>
    <row r="246" spans="1:19" x14ac:dyDescent="0.25">
      <c r="C246" s="43" t="s">
        <v>174</v>
      </c>
      <c r="D246" s="21">
        <f t="shared" si="23"/>
        <v>45863</v>
      </c>
      <c r="E246" s="22" t="s">
        <v>168</v>
      </c>
      <c r="F246" s="67"/>
      <c r="G246" s="70"/>
    </row>
    <row r="247" spans="1:19" ht="15.75" thickBot="1" x14ac:dyDescent="0.3">
      <c r="C247" s="47" t="s">
        <v>174</v>
      </c>
      <c r="D247" s="48">
        <f t="shared" si="23"/>
        <v>45863</v>
      </c>
      <c r="E247" s="49" t="s">
        <v>169</v>
      </c>
      <c r="F247" s="72"/>
      <c r="G247" s="73"/>
    </row>
    <row r="248" spans="1:19" ht="6" customHeight="1" thickBot="1" x14ac:dyDescent="0.3">
      <c r="A248" s="31" t="s">
        <v>310</v>
      </c>
      <c r="S248" s="31" t="s">
        <v>310</v>
      </c>
    </row>
    <row r="249" spans="1:19" x14ac:dyDescent="0.25">
      <c r="C249" s="52" t="s">
        <v>161</v>
      </c>
      <c r="D249" s="53">
        <f>D247+3</f>
        <v>45866</v>
      </c>
      <c r="E249" s="54" t="s">
        <v>162</v>
      </c>
      <c r="F249" s="71"/>
      <c r="G249" s="69"/>
    </row>
    <row r="250" spans="1:19" x14ac:dyDescent="0.25">
      <c r="C250" s="43" t="s">
        <v>161</v>
      </c>
      <c r="D250" s="21">
        <f>D249</f>
        <v>45866</v>
      </c>
      <c r="E250" s="22" t="s">
        <v>163</v>
      </c>
      <c r="F250" s="67"/>
      <c r="G250" s="70"/>
    </row>
    <row r="251" spans="1:19" x14ac:dyDescent="0.25">
      <c r="C251" s="43" t="s">
        <v>161</v>
      </c>
      <c r="D251" s="21">
        <f t="shared" ref="D251:D257" si="24">D250</f>
        <v>45866</v>
      </c>
      <c r="E251" s="22" t="s">
        <v>164</v>
      </c>
      <c r="F251" s="67"/>
      <c r="G251" s="70"/>
    </row>
    <row r="252" spans="1:19" x14ac:dyDescent="0.25">
      <c r="C252" s="43" t="s">
        <v>161</v>
      </c>
      <c r="D252" s="21">
        <f t="shared" si="24"/>
        <v>45866</v>
      </c>
      <c r="E252" s="22" t="s">
        <v>165</v>
      </c>
      <c r="F252" s="67"/>
      <c r="G252" s="70"/>
    </row>
    <row r="253" spans="1:19" x14ac:dyDescent="0.25">
      <c r="C253" s="43" t="s">
        <v>161</v>
      </c>
      <c r="D253" s="21">
        <f t="shared" si="24"/>
        <v>45866</v>
      </c>
      <c r="E253" s="22" t="s">
        <v>166</v>
      </c>
      <c r="F253" s="67"/>
      <c r="G253" s="70"/>
    </row>
    <row r="254" spans="1:19" x14ac:dyDescent="0.25">
      <c r="C254" s="43" t="s">
        <v>161</v>
      </c>
      <c r="D254" s="21">
        <f t="shared" si="24"/>
        <v>45866</v>
      </c>
      <c r="E254" s="22" t="s">
        <v>167</v>
      </c>
      <c r="F254" s="67"/>
      <c r="G254" s="70"/>
    </row>
    <row r="255" spans="1:19" x14ac:dyDescent="0.25">
      <c r="C255" s="43" t="s">
        <v>161</v>
      </c>
      <c r="D255" s="21">
        <f t="shared" si="24"/>
        <v>45866</v>
      </c>
      <c r="E255" s="22" t="s">
        <v>167</v>
      </c>
      <c r="F255" s="67"/>
      <c r="G255" s="70"/>
    </row>
    <row r="256" spans="1:19" x14ac:dyDescent="0.25">
      <c r="C256" s="43" t="s">
        <v>161</v>
      </c>
      <c r="D256" s="21">
        <f t="shared" si="24"/>
        <v>45866</v>
      </c>
      <c r="E256" s="22" t="s">
        <v>169</v>
      </c>
      <c r="F256" s="67"/>
      <c r="G256" s="70"/>
    </row>
    <row r="257" spans="3:7" ht="15.75" thickBot="1" x14ac:dyDescent="0.3">
      <c r="C257" s="47" t="s">
        <v>161</v>
      </c>
      <c r="D257" s="48">
        <f t="shared" si="24"/>
        <v>45866</v>
      </c>
      <c r="E257" s="49" t="s">
        <v>170</v>
      </c>
      <c r="F257" s="72"/>
      <c r="G257" s="73"/>
    </row>
    <row r="258" spans="3:7" ht="6" customHeight="1" thickBot="1" x14ac:dyDescent="0.3"/>
    <row r="259" spans="3:7" x14ac:dyDescent="0.25">
      <c r="C259" s="52" t="s">
        <v>171</v>
      </c>
      <c r="D259" s="53">
        <f>D257+1</f>
        <v>45867</v>
      </c>
      <c r="E259" s="54" t="s">
        <v>162</v>
      </c>
      <c r="F259" s="71"/>
      <c r="G259" s="69"/>
    </row>
    <row r="260" spans="3:7" x14ac:dyDescent="0.25">
      <c r="C260" s="43" t="s">
        <v>171</v>
      </c>
      <c r="D260" s="21">
        <f>D259</f>
        <v>45867</v>
      </c>
      <c r="E260" s="22" t="s">
        <v>163</v>
      </c>
      <c r="F260" s="67"/>
      <c r="G260" s="70"/>
    </row>
    <row r="261" spans="3:7" x14ac:dyDescent="0.25">
      <c r="C261" s="43" t="s">
        <v>171</v>
      </c>
      <c r="D261" s="21">
        <f t="shared" ref="D261:D267" si="25">D260</f>
        <v>45867</v>
      </c>
      <c r="E261" s="22" t="s">
        <v>164</v>
      </c>
      <c r="F261" s="67"/>
      <c r="G261" s="70"/>
    </row>
    <row r="262" spans="3:7" x14ac:dyDescent="0.25">
      <c r="C262" s="43" t="s">
        <v>171</v>
      </c>
      <c r="D262" s="21">
        <f t="shared" si="25"/>
        <v>45867</v>
      </c>
      <c r="E262" s="22" t="s">
        <v>165</v>
      </c>
      <c r="F262" s="67"/>
      <c r="G262" s="70"/>
    </row>
    <row r="263" spans="3:7" x14ac:dyDescent="0.25">
      <c r="C263" s="43" t="s">
        <v>171</v>
      </c>
      <c r="D263" s="21">
        <f t="shared" si="25"/>
        <v>45867</v>
      </c>
      <c r="E263" s="22" t="s">
        <v>166</v>
      </c>
      <c r="F263" s="67"/>
      <c r="G263" s="70"/>
    </row>
    <row r="264" spans="3:7" x14ac:dyDescent="0.25">
      <c r="C264" s="43" t="s">
        <v>171</v>
      </c>
      <c r="D264" s="21">
        <f t="shared" si="25"/>
        <v>45867</v>
      </c>
      <c r="E264" s="22" t="s">
        <v>167</v>
      </c>
      <c r="F264" s="67"/>
      <c r="G264" s="70"/>
    </row>
    <row r="265" spans="3:7" x14ac:dyDescent="0.25">
      <c r="C265" s="43" t="s">
        <v>171</v>
      </c>
      <c r="D265" s="21">
        <f t="shared" si="25"/>
        <v>45867</v>
      </c>
      <c r="E265" s="22" t="s">
        <v>168</v>
      </c>
      <c r="F265" s="67"/>
      <c r="G265" s="70"/>
    </row>
    <row r="266" spans="3:7" x14ac:dyDescent="0.25">
      <c r="C266" s="43" t="s">
        <v>171</v>
      </c>
      <c r="D266" s="21">
        <f t="shared" si="25"/>
        <v>45867</v>
      </c>
      <c r="E266" s="22" t="s">
        <v>169</v>
      </c>
      <c r="F266" s="67"/>
      <c r="G266" s="70"/>
    </row>
    <row r="267" spans="3:7" ht="15.75" thickBot="1" x14ac:dyDescent="0.3">
      <c r="C267" s="47" t="s">
        <v>171</v>
      </c>
      <c r="D267" s="48">
        <f t="shared" si="25"/>
        <v>45867</v>
      </c>
      <c r="E267" s="49" t="s">
        <v>170</v>
      </c>
      <c r="F267" s="72"/>
      <c r="G267" s="73"/>
    </row>
    <row r="268" spans="3:7" ht="6" customHeight="1" thickBot="1" x14ac:dyDescent="0.3"/>
    <row r="269" spans="3:7" x14ac:dyDescent="0.25">
      <c r="C269" s="52" t="s">
        <v>172</v>
      </c>
      <c r="D269" s="53">
        <f>D267+1</f>
        <v>45868</v>
      </c>
      <c r="E269" s="54" t="s">
        <v>162</v>
      </c>
      <c r="F269" s="71"/>
      <c r="G269" s="69"/>
    </row>
    <row r="270" spans="3:7" x14ac:dyDescent="0.25">
      <c r="C270" s="43" t="s">
        <v>172</v>
      </c>
      <c r="D270" s="21">
        <f>D269</f>
        <v>45868</v>
      </c>
      <c r="E270" s="22" t="s">
        <v>163</v>
      </c>
      <c r="F270" s="67"/>
      <c r="G270" s="70"/>
    </row>
    <row r="271" spans="3:7" x14ac:dyDescent="0.25">
      <c r="C271" s="43" t="s">
        <v>172</v>
      </c>
      <c r="D271" s="21">
        <f t="shared" ref="D271:D277" si="26">D270</f>
        <v>45868</v>
      </c>
      <c r="E271" s="22" t="s">
        <v>164</v>
      </c>
      <c r="F271" s="67"/>
      <c r="G271" s="70"/>
    </row>
    <row r="272" spans="3:7" x14ac:dyDescent="0.25">
      <c r="C272" s="43" t="s">
        <v>172</v>
      </c>
      <c r="D272" s="21">
        <f t="shared" si="26"/>
        <v>45868</v>
      </c>
      <c r="E272" s="22" t="s">
        <v>165</v>
      </c>
      <c r="F272" s="67"/>
      <c r="G272" s="70"/>
    </row>
    <row r="273" spans="3:7" x14ac:dyDescent="0.25">
      <c r="C273" s="43" t="s">
        <v>172</v>
      </c>
      <c r="D273" s="21">
        <f t="shared" si="26"/>
        <v>45868</v>
      </c>
      <c r="E273" s="22" t="s">
        <v>166</v>
      </c>
      <c r="F273" s="67"/>
      <c r="G273" s="70"/>
    </row>
    <row r="274" spans="3:7" x14ac:dyDescent="0.25">
      <c r="C274" s="43" t="s">
        <v>172</v>
      </c>
      <c r="D274" s="21">
        <f t="shared" si="26"/>
        <v>45868</v>
      </c>
      <c r="E274" s="22" t="s">
        <v>167</v>
      </c>
      <c r="F274" s="67"/>
      <c r="G274" s="70"/>
    </row>
    <row r="275" spans="3:7" x14ac:dyDescent="0.25">
      <c r="C275" s="43" t="s">
        <v>172</v>
      </c>
      <c r="D275" s="21">
        <f t="shared" si="26"/>
        <v>45868</v>
      </c>
      <c r="E275" s="22" t="s">
        <v>168</v>
      </c>
      <c r="F275" s="67"/>
      <c r="G275" s="70"/>
    </row>
    <row r="276" spans="3:7" x14ac:dyDescent="0.25">
      <c r="C276" s="43" t="s">
        <v>172</v>
      </c>
      <c r="D276" s="21">
        <f t="shared" si="26"/>
        <v>45868</v>
      </c>
      <c r="E276" s="22" t="s">
        <v>169</v>
      </c>
      <c r="F276" s="67"/>
      <c r="G276" s="70"/>
    </row>
    <row r="277" spans="3:7" ht="15.75" thickBot="1" x14ac:dyDescent="0.3">
      <c r="C277" s="47" t="s">
        <v>172</v>
      </c>
      <c r="D277" s="48">
        <f t="shared" si="26"/>
        <v>45868</v>
      </c>
      <c r="E277" s="49" t="s">
        <v>170</v>
      </c>
      <c r="F277" s="72"/>
      <c r="G277" s="73"/>
    </row>
    <row r="278" spans="3:7" ht="6" customHeight="1" thickBot="1" x14ac:dyDescent="0.3"/>
    <row r="279" spans="3:7" x14ac:dyDescent="0.25">
      <c r="C279" s="52" t="s">
        <v>173</v>
      </c>
      <c r="D279" s="53">
        <f>D277+1</f>
        <v>45869</v>
      </c>
      <c r="E279" s="54" t="s">
        <v>162</v>
      </c>
      <c r="F279" s="71"/>
      <c r="G279" s="69"/>
    </row>
    <row r="280" spans="3:7" x14ac:dyDescent="0.25">
      <c r="C280" s="43" t="s">
        <v>173</v>
      </c>
      <c r="D280" s="21">
        <f>D279</f>
        <v>45869</v>
      </c>
      <c r="E280" s="22" t="s">
        <v>163</v>
      </c>
      <c r="F280" s="67"/>
      <c r="G280" s="70"/>
    </row>
    <row r="281" spans="3:7" x14ac:dyDescent="0.25">
      <c r="C281" s="43" t="s">
        <v>173</v>
      </c>
      <c r="D281" s="21">
        <f t="shared" ref="D281:D287" si="27">D280</f>
        <v>45869</v>
      </c>
      <c r="E281" s="22" t="s">
        <v>164</v>
      </c>
      <c r="F281" s="67"/>
      <c r="G281" s="70"/>
    </row>
    <row r="282" spans="3:7" x14ac:dyDescent="0.25">
      <c r="C282" s="43" t="s">
        <v>173</v>
      </c>
      <c r="D282" s="21">
        <f t="shared" si="27"/>
        <v>45869</v>
      </c>
      <c r="E282" s="22" t="s">
        <v>165</v>
      </c>
      <c r="F282" s="67"/>
      <c r="G282" s="70"/>
    </row>
    <row r="283" spans="3:7" x14ac:dyDescent="0.25">
      <c r="C283" s="43" t="s">
        <v>173</v>
      </c>
      <c r="D283" s="21">
        <f t="shared" si="27"/>
        <v>45869</v>
      </c>
      <c r="E283" s="22" t="s">
        <v>166</v>
      </c>
      <c r="F283" s="67"/>
      <c r="G283" s="70"/>
    </row>
    <row r="284" spans="3:7" x14ac:dyDescent="0.25">
      <c r="C284" s="43" t="s">
        <v>173</v>
      </c>
      <c r="D284" s="21">
        <f t="shared" si="27"/>
        <v>45869</v>
      </c>
      <c r="E284" s="22" t="s">
        <v>167</v>
      </c>
      <c r="F284" s="67"/>
      <c r="G284" s="70"/>
    </row>
    <row r="285" spans="3:7" x14ac:dyDescent="0.25">
      <c r="C285" s="43" t="s">
        <v>173</v>
      </c>
      <c r="D285" s="21">
        <f t="shared" si="27"/>
        <v>45869</v>
      </c>
      <c r="E285" s="22" t="s">
        <v>168</v>
      </c>
      <c r="F285" s="67"/>
      <c r="G285" s="70"/>
    </row>
    <row r="286" spans="3:7" x14ac:dyDescent="0.25">
      <c r="C286" s="43" t="s">
        <v>173</v>
      </c>
      <c r="D286" s="21">
        <f t="shared" si="27"/>
        <v>45869</v>
      </c>
      <c r="E286" s="22" t="s">
        <v>169</v>
      </c>
      <c r="F286" s="67"/>
      <c r="G286" s="70"/>
    </row>
    <row r="287" spans="3:7" ht="15.75" thickBot="1" x14ac:dyDescent="0.3">
      <c r="C287" s="47" t="s">
        <v>173</v>
      </c>
      <c r="D287" s="48">
        <f t="shared" si="27"/>
        <v>45869</v>
      </c>
      <c r="E287" s="49" t="s">
        <v>170</v>
      </c>
      <c r="F287" s="72"/>
      <c r="G287" s="73"/>
    </row>
    <row r="288" spans="3:7" ht="6" customHeight="1" thickBot="1" x14ac:dyDescent="0.3"/>
    <row r="289" spans="1:19" x14ac:dyDescent="0.25">
      <c r="C289" s="52" t="s">
        <v>174</v>
      </c>
      <c r="D289" s="53">
        <f>D287+1</f>
        <v>45870</v>
      </c>
      <c r="E289" s="54" t="s">
        <v>162</v>
      </c>
      <c r="F289" s="71"/>
      <c r="G289" s="69"/>
    </row>
    <row r="290" spans="1:19" x14ac:dyDescent="0.25">
      <c r="C290" s="43" t="s">
        <v>174</v>
      </c>
      <c r="D290" s="21">
        <f>D289</f>
        <v>45870</v>
      </c>
      <c r="E290" s="22" t="s">
        <v>163</v>
      </c>
      <c r="F290" s="67"/>
      <c r="G290" s="70"/>
    </row>
    <row r="291" spans="1:19" x14ac:dyDescent="0.25">
      <c r="C291" s="43" t="s">
        <v>174</v>
      </c>
      <c r="D291" s="21">
        <f t="shared" ref="D291:D296" si="28">D290</f>
        <v>45870</v>
      </c>
      <c r="E291" s="22" t="s">
        <v>164</v>
      </c>
      <c r="F291" s="67"/>
      <c r="G291" s="70"/>
    </row>
    <row r="292" spans="1:19" x14ac:dyDescent="0.25">
      <c r="C292" s="43" t="s">
        <v>174</v>
      </c>
      <c r="D292" s="21">
        <f t="shared" si="28"/>
        <v>45870</v>
      </c>
      <c r="E292" s="22" t="s">
        <v>165</v>
      </c>
      <c r="F292" s="67"/>
      <c r="G292" s="70"/>
    </row>
    <row r="293" spans="1:19" x14ac:dyDescent="0.25">
      <c r="C293" s="43" t="s">
        <v>174</v>
      </c>
      <c r="D293" s="21">
        <f t="shared" si="28"/>
        <v>45870</v>
      </c>
      <c r="E293" s="22" t="s">
        <v>166</v>
      </c>
      <c r="F293" s="67"/>
      <c r="G293" s="70"/>
    </row>
    <row r="294" spans="1:19" x14ac:dyDescent="0.25">
      <c r="C294" s="43" t="s">
        <v>174</v>
      </c>
      <c r="D294" s="21">
        <f t="shared" si="28"/>
        <v>45870</v>
      </c>
      <c r="E294" s="22" t="s">
        <v>167</v>
      </c>
      <c r="F294" s="67"/>
      <c r="G294" s="70"/>
    </row>
    <row r="295" spans="1:19" x14ac:dyDescent="0.25">
      <c r="C295" s="43" t="s">
        <v>174</v>
      </c>
      <c r="D295" s="21">
        <f t="shared" si="28"/>
        <v>45870</v>
      </c>
      <c r="E295" s="22" t="s">
        <v>168</v>
      </c>
      <c r="F295" s="67"/>
      <c r="G295" s="70"/>
    </row>
    <row r="296" spans="1:19" ht="15.75" thickBot="1" x14ac:dyDescent="0.3">
      <c r="C296" s="47" t="s">
        <v>174</v>
      </c>
      <c r="D296" s="48">
        <f t="shared" si="28"/>
        <v>45870</v>
      </c>
      <c r="E296" s="49" t="s">
        <v>169</v>
      </c>
      <c r="F296" s="72"/>
      <c r="G296" s="73"/>
    </row>
    <row r="297" spans="1:19" ht="6" customHeight="1" x14ac:dyDescent="0.25">
      <c r="A297" s="31" t="s">
        <v>310</v>
      </c>
      <c r="S297" s="31" t="s">
        <v>310</v>
      </c>
    </row>
  </sheetData>
  <autoFilter ref="B3:G51" xr:uid="{95F0C2B7-E7DF-43F0-8D5B-6316FA3030E0}">
    <sortState xmlns:xlrd2="http://schemas.microsoft.com/office/spreadsheetml/2017/richdata2" ref="B4:G52">
      <sortCondition ref="B3:B51"/>
    </sortState>
  </autoFilter>
  <phoneticPr fontId="1" type="noConversion"/>
  <conditionalFormatting sqref="F15:G22 F25:G32 F35:G42 F5:G12 F45:G51">
    <cfRule type="expression" dxfId="1877" priority="437" stopIfTrue="1">
      <formula>#REF!=0</formula>
    </cfRule>
    <cfRule type="expression" dxfId="1876" priority="438" stopIfTrue="1">
      <formula>AND(F5&lt;&gt;"",F5&lt;&gt;F4)</formula>
    </cfRule>
  </conditionalFormatting>
  <conditionalFormatting sqref="F14:G14 F24:G24 F34:G34 F44:G44">
    <cfRule type="expression" dxfId="1875" priority="443" stopIfTrue="1">
      <formula>#REF!=0</formula>
    </cfRule>
    <cfRule type="expression" dxfId="1874" priority="444" stopIfTrue="1">
      <formula>AND(F14&lt;&gt;"",F14&lt;&gt;F12)</formula>
    </cfRule>
  </conditionalFormatting>
  <conditionalFormatting sqref="F4:G4">
    <cfRule type="expression" dxfId="1873" priority="361" stopIfTrue="1">
      <formula>#REF!=0</formula>
    </cfRule>
    <cfRule type="expression" dxfId="1872" priority="362" stopIfTrue="1">
      <formula>AND(F4&lt;&gt;"",F4&lt;&gt;F3)</formula>
    </cfRule>
  </conditionalFormatting>
  <conditionalFormatting sqref="F74:F81 F94:F100 F53:F61 F64:F71 F83:F91">
    <cfRule type="expression" dxfId="1871" priority="325" stopIfTrue="1">
      <formula>#REF!=0</formula>
    </cfRule>
    <cfRule type="expression" dxfId="1870" priority="326" stopIfTrue="1">
      <formula>AND(F53&lt;&gt;"",F53&lt;&gt;F52)</formula>
    </cfRule>
  </conditionalFormatting>
  <conditionalFormatting sqref="F74:F81">
    <cfRule type="expression" dxfId="1869" priority="323" stopIfTrue="1">
      <formula>#REF!=0</formula>
    </cfRule>
    <cfRule type="expression" dxfId="1868" priority="324" stopIfTrue="1">
      <formula>AND(F74&lt;&gt;"",F74&lt;&gt;F73)</formula>
    </cfRule>
  </conditionalFormatting>
  <conditionalFormatting sqref="G74">
    <cfRule type="expression" dxfId="1867" priority="321" stopIfTrue="1">
      <formula>#REF!=0</formula>
    </cfRule>
    <cfRule type="expression" dxfId="1866" priority="322" stopIfTrue="1">
      <formula>AND(G74&lt;&gt;"",G74&lt;&gt;G73)</formula>
    </cfRule>
  </conditionalFormatting>
  <conditionalFormatting sqref="G74:G78">
    <cfRule type="expression" dxfId="1865" priority="319" stopIfTrue="1">
      <formula>#REF!=0</formula>
    </cfRule>
    <cfRule type="expression" dxfId="1864" priority="320" stopIfTrue="1">
      <formula>AND(G74&lt;&gt;"",G74&lt;&gt;G73)</formula>
    </cfRule>
  </conditionalFormatting>
  <conditionalFormatting sqref="G74:G81">
    <cfRule type="expression" dxfId="1863" priority="317" stopIfTrue="1">
      <formula>#REF!=0</formula>
    </cfRule>
    <cfRule type="expression" dxfId="1862" priority="318" stopIfTrue="1">
      <formula>AND(G74&lt;&gt;"",G74&lt;&gt;G73)</formula>
    </cfRule>
  </conditionalFormatting>
  <conditionalFormatting sqref="F74:F81">
    <cfRule type="expression" dxfId="1861" priority="315" stopIfTrue="1">
      <formula>#REF!=0</formula>
    </cfRule>
    <cfRule type="expression" dxfId="1860" priority="316" stopIfTrue="1">
      <formula>AND(F74&lt;&gt;"",F74&lt;&gt;F73)</formula>
    </cfRule>
  </conditionalFormatting>
  <conditionalFormatting sqref="F74:F81">
    <cfRule type="expression" dxfId="1859" priority="313" stopIfTrue="1">
      <formula>#REF!=0</formula>
    </cfRule>
    <cfRule type="expression" dxfId="1858" priority="314" stopIfTrue="1">
      <formula>AND(F74&lt;&gt;"",F74&lt;&gt;F73)</formula>
    </cfRule>
  </conditionalFormatting>
  <conditionalFormatting sqref="F74:F81">
    <cfRule type="expression" dxfId="1857" priority="311" stopIfTrue="1">
      <formula>#REF!=0</formula>
    </cfRule>
    <cfRule type="expression" dxfId="1856" priority="312" stopIfTrue="1">
      <formula>AND(F74&lt;&gt;"",F74&lt;&gt;F73)</formula>
    </cfRule>
  </conditionalFormatting>
  <conditionalFormatting sqref="G66:G69">
    <cfRule type="expression" dxfId="1855" priority="309" stopIfTrue="1">
      <formula>#REF!=0</formula>
    </cfRule>
    <cfRule type="expression" dxfId="1854" priority="310" stopIfTrue="1">
      <formula>AND(G66&lt;&gt;"",G66&lt;&gt;G65)</formula>
    </cfRule>
  </conditionalFormatting>
  <conditionalFormatting sqref="F53:F61">
    <cfRule type="expression" dxfId="1853" priority="307" stopIfTrue="1">
      <formula>#REF!=0</formula>
    </cfRule>
    <cfRule type="expression" dxfId="1852" priority="308" stopIfTrue="1">
      <formula>AND(F53&lt;&gt;"",F53&lt;&gt;F52)</formula>
    </cfRule>
  </conditionalFormatting>
  <conditionalFormatting sqref="G55">
    <cfRule type="expression" dxfId="1851" priority="305" stopIfTrue="1">
      <formula>#REF!=0</formula>
    </cfRule>
    <cfRule type="expression" dxfId="1850" priority="306" stopIfTrue="1">
      <formula>AND(G55&lt;&gt;"",G55&lt;&gt;G54)</formula>
    </cfRule>
  </conditionalFormatting>
  <conditionalFormatting sqref="G56:G60">
    <cfRule type="expression" dxfId="1849" priority="303" stopIfTrue="1">
      <formula>#REF!=0</formula>
    </cfRule>
    <cfRule type="expression" dxfId="1848" priority="304" stopIfTrue="1">
      <formula>AND(G56&lt;&gt;"",G56&lt;&gt;G55)</formula>
    </cfRule>
  </conditionalFormatting>
  <conditionalFormatting sqref="F54:F61">
    <cfRule type="expression" dxfId="1847" priority="301" stopIfTrue="1">
      <formula>#REF!=0</formula>
    </cfRule>
    <cfRule type="expression" dxfId="1846" priority="302" stopIfTrue="1">
      <formula>AND(F54&lt;&gt;"",F54&lt;&gt;F53)</formula>
    </cfRule>
  </conditionalFormatting>
  <conditionalFormatting sqref="F54:F61">
    <cfRule type="expression" dxfId="1845" priority="299" stopIfTrue="1">
      <formula>#REF!=0</formula>
    </cfRule>
    <cfRule type="expression" dxfId="1844" priority="300" stopIfTrue="1">
      <formula>AND(F54&lt;&gt;"",F54&lt;&gt;F53)</formula>
    </cfRule>
  </conditionalFormatting>
  <conditionalFormatting sqref="F54:F61">
    <cfRule type="expression" dxfId="1843" priority="297" stopIfTrue="1">
      <formula>#REF!=0</formula>
    </cfRule>
    <cfRule type="expression" dxfId="1842" priority="298" stopIfTrue="1">
      <formula>AND(F54&lt;&gt;"",F54&lt;&gt;F53)</formula>
    </cfRule>
  </conditionalFormatting>
  <conditionalFormatting sqref="F53">
    <cfRule type="expression" dxfId="1841" priority="295" stopIfTrue="1">
      <formula>#REF!=0</formula>
    </cfRule>
    <cfRule type="expression" dxfId="1840" priority="296" stopIfTrue="1">
      <formula>AND(F53&lt;&gt;"",F53&lt;&gt;F52)</formula>
    </cfRule>
  </conditionalFormatting>
  <conditionalFormatting sqref="F53">
    <cfRule type="expression" dxfId="1839" priority="293" stopIfTrue="1">
      <formula>#REF!=0</formula>
    </cfRule>
    <cfRule type="expression" dxfId="1838" priority="294" stopIfTrue="1">
      <formula>AND(F53&lt;&gt;"",F53&lt;&gt;F52)</formula>
    </cfRule>
  </conditionalFormatting>
  <conditionalFormatting sqref="F53">
    <cfRule type="expression" dxfId="1837" priority="291" stopIfTrue="1">
      <formula>#REF!=0</formula>
    </cfRule>
    <cfRule type="expression" dxfId="1836" priority="292" stopIfTrue="1">
      <formula>AND(F53&lt;&gt;"",F53&lt;&gt;F52)</formula>
    </cfRule>
  </conditionalFormatting>
  <conditionalFormatting sqref="F53">
    <cfRule type="expression" dxfId="1835" priority="289" stopIfTrue="1">
      <formula>#REF!=0</formula>
    </cfRule>
    <cfRule type="expression" dxfId="1834" priority="290" stopIfTrue="1">
      <formula>AND(F53&lt;&gt;"",F53&lt;&gt;F52)</formula>
    </cfRule>
  </conditionalFormatting>
  <conditionalFormatting sqref="F83:F91">
    <cfRule type="expression" dxfId="1833" priority="287" stopIfTrue="1">
      <formula>#REF!=0</formula>
    </cfRule>
    <cfRule type="expression" dxfId="1832" priority="288" stopIfTrue="1">
      <formula>AND(F83&lt;&gt;"",F83&lt;&gt;F82)</formula>
    </cfRule>
  </conditionalFormatting>
  <conditionalFormatting sqref="F83:F91">
    <cfRule type="expression" dxfId="1831" priority="285" stopIfTrue="1">
      <formula>#REF!=0</formula>
    </cfRule>
    <cfRule type="expression" dxfId="1830" priority="286" stopIfTrue="1">
      <formula>AND(F83&lt;&gt;"",F83&lt;&gt;F82)</formula>
    </cfRule>
  </conditionalFormatting>
  <conditionalFormatting sqref="F83:F91">
    <cfRule type="expression" dxfId="1829" priority="283" stopIfTrue="1">
      <formula>#REF!=0</formula>
    </cfRule>
    <cfRule type="expression" dxfId="1828" priority="284" stopIfTrue="1">
      <formula>AND(F83&lt;&gt;"",F83&lt;&gt;F82)</formula>
    </cfRule>
  </conditionalFormatting>
  <conditionalFormatting sqref="F83:F91">
    <cfRule type="expression" dxfId="1827" priority="281" stopIfTrue="1">
      <formula>#REF!=0</formula>
    </cfRule>
    <cfRule type="expression" dxfId="1826" priority="282" stopIfTrue="1">
      <formula>AND(F83&lt;&gt;"",F83&lt;&gt;F82)</formula>
    </cfRule>
  </conditionalFormatting>
  <conditionalFormatting sqref="F83:F91">
    <cfRule type="expression" dxfId="1825" priority="279" stopIfTrue="1">
      <formula>#REF!=0</formula>
    </cfRule>
    <cfRule type="expression" dxfId="1824" priority="280" stopIfTrue="1">
      <formula>AND(F83&lt;&gt;"",F83&lt;&gt;F82)</formula>
    </cfRule>
  </conditionalFormatting>
  <conditionalFormatting sqref="F83:F91">
    <cfRule type="expression" dxfId="1823" priority="277" stopIfTrue="1">
      <formula>#REF!=0</formula>
    </cfRule>
    <cfRule type="expression" dxfId="1822" priority="278" stopIfTrue="1">
      <formula>AND(F83&lt;&gt;"",F83&lt;&gt;F82)</formula>
    </cfRule>
  </conditionalFormatting>
  <conditionalFormatting sqref="F83:F91">
    <cfRule type="expression" dxfId="1821" priority="275" stopIfTrue="1">
      <formula>#REF!=0</formula>
    </cfRule>
    <cfRule type="expression" dxfId="1820" priority="276" stopIfTrue="1">
      <formula>AND(F83&lt;&gt;"",F83&lt;&gt;F82)</formula>
    </cfRule>
  </conditionalFormatting>
  <conditionalFormatting sqref="F83:F91">
    <cfRule type="expression" dxfId="1819" priority="273" stopIfTrue="1">
      <formula>#REF!=0</formula>
    </cfRule>
    <cfRule type="expression" dxfId="1818" priority="274" stopIfTrue="1">
      <formula>AND(F83&lt;&gt;"",F83&lt;&gt;F82)</formula>
    </cfRule>
  </conditionalFormatting>
  <conditionalFormatting sqref="F94:F100">
    <cfRule type="expression" dxfId="1817" priority="271" stopIfTrue="1">
      <formula>#REF!=0</formula>
    </cfRule>
    <cfRule type="expression" dxfId="1816" priority="272" stopIfTrue="1">
      <formula>AND(F94&lt;&gt;"",F94&lt;&gt;F93)</formula>
    </cfRule>
  </conditionalFormatting>
  <conditionalFormatting sqref="F94:F100">
    <cfRule type="expression" dxfId="1815" priority="269" stopIfTrue="1">
      <formula>#REF!=0</formula>
    </cfRule>
    <cfRule type="expression" dxfId="1814" priority="270" stopIfTrue="1">
      <formula>AND(F94&lt;&gt;"",F94&lt;&gt;F93)</formula>
    </cfRule>
  </conditionalFormatting>
  <conditionalFormatting sqref="F94:F100">
    <cfRule type="expression" dxfId="1813" priority="267" stopIfTrue="1">
      <formula>#REF!=0</formula>
    </cfRule>
    <cfRule type="expression" dxfId="1812" priority="268" stopIfTrue="1">
      <formula>AND(F94&lt;&gt;"",F94&lt;&gt;F93)</formula>
    </cfRule>
  </conditionalFormatting>
  <conditionalFormatting sqref="F94:F100">
    <cfRule type="expression" dxfId="1811" priority="265" stopIfTrue="1">
      <formula>#REF!=0</formula>
    </cfRule>
    <cfRule type="expression" dxfId="1810" priority="266" stopIfTrue="1">
      <formula>AND(F94&lt;&gt;"",F94&lt;&gt;F93)</formula>
    </cfRule>
  </conditionalFormatting>
  <conditionalFormatting sqref="G53:G57">
    <cfRule type="expression" dxfId="1809" priority="263" stopIfTrue="1">
      <formula>#REF!=0</formula>
    </cfRule>
    <cfRule type="expression" dxfId="1808" priority="264" stopIfTrue="1">
      <formula>AND(G53&lt;&gt;"",G53&lt;&gt;G52)</formula>
    </cfRule>
  </conditionalFormatting>
  <conditionalFormatting sqref="G54">
    <cfRule type="expression" dxfId="1807" priority="261" stopIfTrue="1">
      <formula>#REF!=0</formula>
    </cfRule>
    <cfRule type="expression" dxfId="1806" priority="262" stopIfTrue="1">
      <formula>AND(G54&lt;&gt;"",G54&lt;&gt;G53)</formula>
    </cfRule>
  </conditionalFormatting>
  <conditionalFormatting sqref="G64:G65">
    <cfRule type="expression" dxfId="1805" priority="259" stopIfTrue="1">
      <formula>#REF!=0</formula>
    </cfRule>
    <cfRule type="expression" dxfId="1804" priority="260" stopIfTrue="1">
      <formula>AND(G64&lt;&gt;"",G64&lt;&gt;G63)</formula>
    </cfRule>
  </conditionalFormatting>
  <conditionalFormatting sqref="G83:G91">
    <cfRule type="expression" dxfId="1803" priority="257" stopIfTrue="1">
      <formula>#REF!=0</formula>
    </cfRule>
    <cfRule type="expression" dxfId="1802" priority="258" stopIfTrue="1">
      <formula>AND(G83&lt;&gt;"",G83&lt;&gt;G82)</formula>
    </cfRule>
  </conditionalFormatting>
  <conditionalFormatting sqref="G83:G91">
    <cfRule type="expression" dxfId="1801" priority="255" stopIfTrue="1">
      <formula>#REF!=0</formula>
    </cfRule>
    <cfRule type="expression" dxfId="1800" priority="256" stopIfTrue="1">
      <formula>AND(G83&lt;&gt;"",G83&lt;&gt;G82)</formula>
    </cfRule>
  </conditionalFormatting>
  <conditionalFormatting sqref="G94:G100">
    <cfRule type="expression" dxfId="1799" priority="253" stopIfTrue="1">
      <formula>#REF!=0</formula>
    </cfRule>
    <cfRule type="expression" dxfId="1798" priority="254" stopIfTrue="1">
      <formula>AND(G94&lt;&gt;"",G94&lt;&gt;G93)</formula>
    </cfRule>
  </conditionalFormatting>
  <conditionalFormatting sqref="F53:F61">
    <cfRule type="expression" dxfId="1797" priority="251" stopIfTrue="1">
      <formula>#REF!=0</formula>
    </cfRule>
    <cfRule type="expression" dxfId="1796" priority="252" stopIfTrue="1">
      <formula>AND(F53&lt;&gt;"",F53&lt;&gt;F52)</formula>
    </cfRule>
  </conditionalFormatting>
  <conditionalFormatting sqref="F54:F61">
    <cfRule type="expression" dxfId="1795" priority="249" stopIfTrue="1">
      <formula>#REF!=0</formula>
    </cfRule>
    <cfRule type="expression" dxfId="1794" priority="250" stopIfTrue="1">
      <formula>AND(F54&lt;&gt;"",F54&lt;&gt;F53)</formula>
    </cfRule>
  </conditionalFormatting>
  <conditionalFormatting sqref="F54:F61">
    <cfRule type="expression" dxfId="1793" priority="247" stopIfTrue="1">
      <formula>#REF!=0</formula>
    </cfRule>
    <cfRule type="expression" dxfId="1792" priority="248" stopIfTrue="1">
      <formula>AND(F54&lt;&gt;"",F54&lt;&gt;F53)</formula>
    </cfRule>
  </conditionalFormatting>
  <conditionalFormatting sqref="F54:F61">
    <cfRule type="expression" dxfId="1791" priority="245" stopIfTrue="1">
      <formula>#REF!=0</formula>
    </cfRule>
    <cfRule type="expression" dxfId="1790" priority="246" stopIfTrue="1">
      <formula>AND(F54&lt;&gt;"",F54&lt;&gt;F53)</formula>
    </cfRule>
  </conditionalFormatting>
  <conditionalFormatting sqref="F53">
    <cfRule type="expression" dxfId="1789" priority="243" stopIfTrue="1">
      <formula>#REF!=0</formula>
    </cfRule>
    <cfRule type="expression" dxfId="1788" priority="244" stopIfTrue="1">
      <formula>AND(F53&lt;&gt;"",F53&lt;&gt;F52)</formula>
    </cfRule>
  </conditionalFormatting>
  <conditionalFormatting sqref="F53">
    <cfRule type="expression" dxfId="1787" priority="241" stopIfTrue="1">
      <formula>#REF!=0</formula>
    </cfRule>
    <cfRule type="expression" dxfId="1786" priority="242" stopIfTrue="1">
      <formula>AND(F53&lt;&gt;"",F53&lt;&gt;F52)</formula>
    </cfRule>
  </conditionalFormatting>
  <conditionalFormatting sqref="F53">
    <cfRule type="expression" dxfId="1785" priority="239" stopIfTrue="1">
      <formula>#REF!=0</formula>
    </cfRule>
    <cfRule type="expression" dxfId="1784" priority="240" stopIfTrue="1">
      <formula>AND(F53&lt;&gt;"",F53&lt;&gt;F52)</formula>
    </cfRule>
  </conditionalFormatting>
  <conditionalFormatting sqref="F53">
    <cfRule type="expression" dxfId="1783" priority="237" stopIfTrue="1">
      <formula>#REF!=0</formula>
    </cfRule>
    <cfRule type="expression" dxfId="1782" priority="238" stopIfTrue="1">
      <formula>AND(F53&lt;&gt;"",F53&lt;&gt;F52)</formula>
    </cfRule>
  </conditionalFormatting>
  <conditionalFormatting sqref="F64:F71">
    <cfRule type="expression" dxfId="1781" priority="235" stopIfTrue="1">
      <formula>#REF!=0</formula>
    </cfRule>
    <cfRule type="expression" dxfId="1780" priority="236" stopIfTrue="1">
      <formula>AND(F64&lt;&gt;"",F64&lt;&gt;F63)</formula>
    </cfRule>
  </conditionalFormatting>
  <conditionalFormatting sqref="F64:F71">
    <cfRule type="expression" dxfId="1779" priority="233" stopIfTrue="1">
      <formula>#REF!=0</formula>
    </cfRule>
    <cfRule type="expression" dxfId="1778" priority="234" stopIfTrue="1">
      <formula>AND(F64&lt;&gt;"",F64&lt;&gt;F63)</formula>
    </cfRule>
  </conditionalFormatting>
  <conditionalFormatting sqref="F64:F71">
    <cfRule type="expression" dxfId="1777" priority="231" stopIfTrue="1">
      <formula>#REF!=0</formula>
    </cfRule>
    <cfRule type="expression" dxfId="1776" priority="232" stopIfTrue="1">
      <formula>AND(F64&lt;&gt;"",F64&lt;&gt;F63)</formula>
    </cfRule>
  </conditionalFormatting>
  <conditionalFormatting sqref="F64:F71">
    <cfRule type="expression" dxfId="1775" priority="229" stopIfTrue="1">
      <formula>#REF!=0</formula>
    </cfRule>
    <cfRule type="expression" dxfId="1774" priority="230" stopIfTrue="1">
      <formula>AND(F64&lt;&gt;"",F64&lt;&gt;F63)</formula>
    </cfRule>
  </conditionalFormatting>
  <conditionalFormatting sqref="F64:F71">
    <cfRule type="expression" dxfId="1773" priority="227" stopIfTrue="1">
      <formula>#REF!=0</formula>
    </cfRule>
    <cfRule type="expression" dxfId="1772" priority="228" stopIfTrue="1">
      <formula>AND(F64&lt;&gt;"",F64&lt;&gt;F63)</formula>
    </cfRule>
  </conditionalFormatting>
  <conditionalFormatting sqref="F64:F71">
    <cfRule type="expression" dxfId="1771" priority="225" stopIfTrue="1">
      <formula>#REF!=0</formula>
    </cfRule>
    <cfRule type="expression" dxfId="1770" priority="226" stopIfTrue="1">
      <formula>AND(F64&lt;&gt;"",F64&lt;&gt;F63)</formula>
    </cfRule>
  </conditionalFormatting>
  <conditionalFormatting sqref="F64:F71">
    <cfRule type="expression" dxfId="1769" priority="223" stopIfTrue="1">
      <formula>#REF!=0</formula>
    </cfRule>
    <cfRule type="expression" dxfId="1768" priority="224" stopIfTrue="1">
      <formula>AND(F64&lt;&gt;"",F64&lt;&gt;F63)</formula>
    </cfRule>
  </conditionalFormatting>
  <conditionalFormatting sqref="F64:F71">
    <cfRule type="expression" dxfId="1767" priority="221" stopIfTrue="1">
      <formula>#REF!=0</formula>
    </cfRule>
    <cfRule type="expression" dxfId="1766" priority="222" stopIfTrue="1">
      <formula>AND(F64&lt;&gt;"",F64&lt;&gt;F63)</formula>
    </cfRule>
  </conditionalFormatting>
  <conditionalFormatting sqref="G61">
    <cfRule type="expression" dxfId="1765" priority="219" stopIfTrue="1">
      <formula>#REF!=0</formula>
    </cfRule>
    <cfRule type="expression" dxfId="1764" priority="220" stopIfTrue="1">
      <formula>AND(G61&lt;&gt;"",G61&lt;&gt;G60)</formula>
    </cfRule>
  </conditionalFormatting>
  <conditionalFormatting sqref="G70:G71">
    <cfRule type="expression" dxfId="1763" priority="217" stopIfTrue="1">
      <formula>#REF!=0</formula>
    </cfRule>
    <cfRule type="expression" dxfId="1762" priority="218" stopIfTrue="1">
      <formula>AND(G70&lt;&gt;"",G70&lt;&gt;G69)</formula>
    </cfRule>
  </conditionalFormatting>
  <conditionalFormatting sqref="G70:G71">
    <cfRule type="expression" dxfId="1761" priority="215" stopIfTrue="1">
      <formula>#REF!=0</formula>
    </cfRule>
    <cfRule type="expression" dxfId="1760" priority="216" stopIfTrue="1">
      <formula>AND(G70&lt;&gt;"",G70&lt;&gt;G69)</formula>
    </cfRule>
  </conditionalFormatting>
  <conditionalFormatting sqref="F113:F120 F128:G130 F133:F140 F123:F127 G122:G130 G132:G140 F143:G149">
    <cfRule type="expression" dxfId="1759" priority="211" stopIfTrue="1">
      <formula>#REF!=0</formula>
    </cfRule>
    <cfRule type="expression" dxfId="1758" priority="212" stopIfTrue="1">
      <formula>AND(F113&lt;&gt;"",F113&lt;&gt;F112)</formula>
    </cfRule>
  </conditionalFormatting>
  <conditionalFormatting sqref="F142 F112 F122 F132">
    <cfRule type="expression" dxfId="1757" priority="213" stopIfTrue="1">
      <formula>#REF!=0</formula>
    </cfRule>
    <cfRule type="expression" dxfId="1756" priority="214" stopIfTrue="1">
      <formula>AND(F112&lt;&gt;"",F112&lt;&gt;F110)</formula>
    </cfRule>
  </conditionalFormatting>
  <conditionalFormatting sqref="F182:G189 F192:G198 F172:G179 F169:G169 G162:G168">
    <cfRule type="expression" dxfId="1755" priority="83" stopIfTrue="1">
      <formula>#REF!=0</formula>
    </cfRule>
    <cfRule type="expression" dxfId="1754" priority="84" stopIfTrue="1">
      <formula>AND(F162&lt;&gt;"",F162&lt;&gt;F161)</formula>
    </cfRule>
  </conditionalFormatting>
  <conditionalFormatting sqref="F181:G181 F191:G191 F171:G171 G161">
    <cfRule type="expression" dxfId="1753" priority="85" stopIfTrue="1">
      <formula>#REF!=0</formula>
    </cfRule>
    <cfRule type="expression" dxfId="1752" priority="86" stopIfTrue="1">
      <formula>AND(F161&lt;&gt;"",F161&lt;&gt;F159)</formula>
    </cfRule>
  </conditionalFormatting>
  <conditionalFormatting sqref="F231:G238 F241:G247 F221:G228 F211:G218">
    <cfRule type="expression" dxfId="1751" priority="71" stopIfTrue="1">
      <formula>#REF!=0</formula>
    </cfRule>
    <cfRule type="expression" dxfId="1750" priority="72" stopIfTrue="1">
      <formula>AND(F211&lt;&gt;"",F211&lt;&gt;F210)</formula>
    </cfRule>
  </conditionalFormatting>
  <conditionalFormatting sqref="F230:G230 F240:G240 F220:G220 F210:G210">
    <cfRule type="expression" dxfId="1749" priority="73" stopIfTrue="1">
      <formula>#REF!=0</formula>
    </cfRule>
    <cfRule type="expression" dxfId="1748" priority="74" stopIfTrue="1">
      <formula>AND(F210&lt;&gt;"",F210&lt;&gt;F208)</formula>
    </cfRule>
  </conditionalFormatting>
  <conditionalFormatting sqref="F280:G287 F290:G296 F270:G277 F260:G267">
    <cfRule type="expression" dxfId="1747" priority="59" stopIfTrue="1">
      <formula>#REF!=0</formula>
    </cfRule>
    <cfRule type="expression" dxfId="1746" priority="60" stopIfTrue="1">
      <formula>AND(F260&lt;&gt;"",F260&lt;&gt;F259)</formula>
    </cfRule>
  </conditionalFormatting>
  <conditionalFormatting sqref="F279:G279 F289:G289 F269:G269 F259:G259">
    <cfRule type="expression" dxfId="1745" priority="61" stopIfTrue="1">
      <formula>#REF!=0</formula>
    </cfRule>
    <cfRule type="expression" dxfId="1744" priority="62" stopIfTrue="1">
      <formula>AND(F259&lt;&gt;"",F259&lt;&gt;F257)</formula>
    </cfRule>
  </conditionalFormatting>
  <conditionalFormatting sqref="G152:G159">
    <cfRule type="expression" dxfId="1743" priority="43" stopIfTrue="1">
      <formula>#REF!=0</formula>
    </cfRule>
    <cfRule type="expression" dxfId="1742" priority="44" stopIfTrue="1">
      <formula>AND(G152&lt;&gt;"",G152&lt;&gt;G151)</formula>
    </cfRule>
  </conditionalFormatting>
  <conditionalFormatting sqref="G151">
    <cfRule type="expression" dxfId="1741" priority="45" stopIfTrue="1">
      <formula>#REF!=0</formula>
    </cfRule>
    <cfRule type="expression" dxfId="1740" priority="46" stopIfTrue="1">
      <formula>AND(G151&lt;&gt;"",G151&lt;&gt;G149)</formula>
    </cfRule>
  </conditionalFormatting>
  <conditionalFormatting sqref="F201:G208">
    <cfRule type="expression" dxfId="1739" priority="39" stopIfTrue="1">
      <formula>#REF!=0</formula>
    </cfRule>
    <cfRule type="expression" dxfId="1738" priority="40" stopIfTrue="1">
      <formula>AND(F201&lt;&gt;"",F201&lt;&gt;F200)</formula>
    </cfRule>
  </conditionalFormatting>
  <conditionalFormatting sqref="F200:G200">
    <cfRule type="expression" dxfId="1737" priority="41" stopIfTrue="1">
      <formula>#REF!=0</formula>
    </cfRule>
    <cfRule type="expression" dxfId="1736" priority="42" stopIfTrue="1">
      <formula>AND(F200&lt;&gt;"",F200&lt;&gt;F198)</formula>
    </cfRule>
  </conditionalFormatting>
  <conditionalFormatting sqref="F250:G257">
    <cfRule type="expression" dxfId="1735" priority="35" stopIfTrue="1">
      <formula>#REF!=0</formula>
    </cfRule>
    <cfRule type="expression" dxfId="1734" priority="36" stopIfTrue="1">
      <formula>AND(F250&lt;&gt;"",F250&lt;&gt;F249)</formula>
    </cfRule>
  </conditionalFormatting>
  <conditionalFormatting sqref="F249:G249">
    <cfRule type="expression" dxfId="1733" priority="37" stopIfTrue="1">
      <formula>#REF!=0</formula>
    </cfRule>
    <cfRule type="expression" dxfId="1732" priority="38" stopIfTrue="1">
      <formula>AND(F249&lt;&gt;"",F249&lt;&gt;F247)</formula>
    </cfRule>
  </conditionalFormatting>
  <conditionalFormatting sqref="F152:F159">
    <cfRule type="expression" dxfId="1731" priority="31" stopIfTrue="1">
      <formula>#REF!=0</formula>
    </cfRule>
    <cfRule type="expression" dxfId="1730" priority="32" stopIfTrue="1">
      <formula>AND(F152&lt;&gt;"",F152&lt;&gt;F151)</formula>
    </cfRule>
  </conditionalFormatting>
  <conditionalFormatting sqref="F151">
    <cfRule type="expression" dxfId="1729" priority="33" stopIfTrue="1">
      <formula>#REF!=0</formula>
    </cfRule>
    <cfRule type="expression" dxfId="1728" priority="34" stopIfTrue="1">
      <formula>AND(F151&lt;&gt;"",F151&lt;&gt;F149)</formula>
    </cfRule>
  </conditionalFormatting>
  <conditionalFormatting sqref="F162:F168">
    <cfRule type="expression" dxfId="1727" priority="27" stopIfTrue="1">
      <formula>#REF!=0</formula>
    </cfRule>
    <cfRule type="expression" dxfId="1726" priority="28" stopIfTrue="1">
      <formula>AND(F162&lt;&gt;"",F162&lt;&gt;F161)</formula>
    </cfRule>
  </conditionalFormatting>
  <conditionalFormatting sqref="F161">
    <cfRule type="expression" dxfId="1725" priority="29" stopIfTrue="1">
      <formula>#REF!=0</formula>
    </cfRule>
    <cfRule type="expression" dxfId="1724" priority="30" stopIfTrue="1">
      <formula>AND(F161&lt;&gt;"",F161&lt;&gt;F159)</formula>
    </cfRule>
  </conditionalFormatting>
  <conditionalFormatting sqref="F102:F106">
    <cfRule type="expression" dxfId="1723" priority="21" stopIfTrue="1">
      <formula>#REF!=0</formula>
    </cfRule>
    <cfRule type="expression" dxfId="1722" priority="22" stopIfTrue="1">
      <formula>AND(F102&lt;&gt;"",F102&lt;&gt;F101)</formula>
    </cfRule>
  </conditionalFormatting>
  <conditionalFormatting sqref="F102:F106">
    <cfRule type="expression" dxfId="1721" priority="19" stopIfTrue="1">
      <formula>#REF!=0</formula>
    </cfRule>
    <cfRule type="expression" dxfId="1720" priority="20" stopIfTrue="1">
      <formula>AND(F102&lt;&gt;"",F102&lt;&gt;F101)</formula>
    </cfRule>
  </conditionalFormatting>
  <conditionalFormatting sqref="F110">
    <cfRule type="expression" dxfId="1719" priority="15" stopIfTrue="1">
      <formula>#REF!=0</formula>
    </cfRule>
    <cfRule type="expression" dxfId="1718" priority="16" stopIfTrue="1">
      <formula>AND(F110&lt;&gt;"",F110&lt;&gt;F109)</formula>
    </cfRule>
  </conditionalFormatting>
  <conditionalFormatting sqref="F107:F110">
    <cfRule type="expression" dxfId="1717" priority="13" stopIfTrue="1">
      <formula>#REF!=0</formula>
    </cfRule>
    <cfRule type="expression" dxfId="1716" priority="14" stopIfTrue="1">
      <formula>AND(F107&lt;&gt;"",F107&lt;&gt;F106)</formula>
    </cfRule>
  </conditionalFormatting>
  <conditionalFormatting sqref="F108:F109">
    <cfRule type="expression" dxfId="1715" priority="11" stopIfTrue="1">
      <formula>#REF!=0</formula>
    </cfRule>
    <cfRule type="expression" dxfId="1714" priority="12" stopIfTrue="1">
      <formula>AND(F108&lt;&gt;"",F108&lt;&gt;F107)</formula>
    </cfRule>
  </conditionalFormatting>
  <conditionalFormatting sqref="G113:G120">
    <cfRule type="expression" dxfId="1713" priority="7" stopIfTrue="1">
      <formula>#REF!=0</formula>
    </cfRule>
    <cfRule type="expression" dxfId="1712" priority="8" stopIfTrue="1">
      <formula>AND(G113&lt;&gt;"",G113&lt;&gt;G112)</formula>
    </cfRule>
  </conditionalFormatting>
  <conditionalFormatting sqref="G112">
    <cfRule type="expression" dxfId="1711" priority="9" stopIfTrue="1">
      <formula>#REF!=0</formula>
    </cfRule>
    <cfRule type="expression" dxfId="1710" priority="10" stopIfTrue="1">
      <formula>AND(G112&lt;&gt;"",G112&lt;&gt;F111)</formula>
    </cfRule>
  </conditionalFormatting>
  <conditionalFormatting sqref="G103:G110">
    <cfRule type="expression" dxfId="1709" priority="3" stopIfTrue="1">
      <formula>#REF!=0</formula>
    </cfRule>
    <cfRule type="expression" dxfId="1708" priority="4" stopIfTrue="1">
      <formula>AND(G103&lt;&gt;"",G103&lt;&gt;G102)</formula>
    </cfRule>
  </conditionalFormatting>
  <conditionalFormatting sqref="G102">
    <cfRule type="expression" dxfId="1707" priority="5" stopIfTrue="1">
      <formula>#REF!=0</formula>
    </cfRule>
    <cfRule type="expression" dxfId="1706" priority="6" stopIfTrue="1">
      <formula>AND(G102&lt;&gt;"",G102&lt;&gt;G100)</formula>
    </cfRule>
  </conditionalFormatting>
  <pageMargins left="0.7" right="0.7" top="0.75" bottom="0.75" header="0.3" footer="0.3"/>
  <pageSetup paperSize="9" scale="72" fitToHeight="0"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E7CE7-929D-4BB8-AC12-F4801A59EC70}">
  <sheetPr codeName="Sheet4">
    <tabColor rgb="FFFFC000"/>
    <pageSetUpPr fitToPage="1"/>
  </sheetPr>
  <dimension ref="A1:Y494"/>
  <sheetViews>
    <sheetView showGridLines="0" zoomScaleNormal="100" workbookViewId="0">
      <pane xSplit="4" ySplit="259" topLeftCell="E260" activePane="bottomRight" state="frozen"/>
      <selection pane="topRight" activeCell="E1" sqref="E1"/>
      <selection pane="bottomLeft" activeCell="A260" sqref="A260"/>
      <selection pane="bottomRight" activeCell="E275" sqref="E275"/>
    </sheetView>
  </sheetViews>
  <sheetFormatPr defaultColWidth="9.140625" defaultRowHeight="15" x14ac:dyDescent="0.25"/>
  <cols>
    <col min="1" max="1" width="2.42578125" style="111" customWidth="1"/>
    <col min="2" max="2" width="9.42578125" bestFit="1" customWidth="1"/>
    <col min="3" max="3" width="11.85546875" bestFit="1" customWidth="1"/>
    <col min="4" max="4" width="14" bestFit="1" customWidth="1"/>
    <col min="5" max="5" width="41.5703125" style="68" bestFit="1" customWidth="1"/>
    <col min="6" max="6" width="47.5703125" style="68" bestFit="1" customWidth="1"/>
    <col min="7" max="7" width="39.42578125" bestFit="1" customWidth="1"/>
    <col min="8" max="8" width="36.140625" customWidth="1"/>
    <col min="9" max="10" width="5.5703125" customWidth="1"/>
    <col min="11" max="11" width="7" customWidth="1"/>
    <col min="12" max="12" width="6.42578125" customWidth="1"/>
    <col min="13" max="13" width="4.5703125" customWidth="1"/>
    <col min="14" max="14" width="6.42578125" customWidth="1"/>
    <col min="15" max="15" width="4.85546875" customWidth="1"/>
    <col min="16" max="16" width="4.5703125" customWidth="1"/>
    <col min="17" max="17" width="5" customWidth="1"/>
    <col min="18" max="18" width="2.42578125" customWidth="1"/>
    <col min="20" max="20" width="12" bestFit="1" customWidth="1"/>
    <col min="21" max="21" width="9" bestFit="1" customWidth="1"/>
  </cols>
  <sheetData>
    <row r="1" spans="1:25" x14ac:dyDescent="0.25">
      <c r="A1" s="129" t="s">
        <v>310</v>
      </c>
      <c r="B1" s="204" t="s">
        <v>451</v>
      </c>
      <c r="C1" s="204" t="s">
        <v>452</v>
      </c>
      <c r="D1" s="204" t="s">
        <v>433</v>
      </c>
      <c r="E1" s="204" t="s">
        <v>449</v>
      </c>
      <c r="F1" s="204" t="s">
        <v>450</v>
      </c>
      <c r="G1" s="204" t="s">
        <v>437</v>
      </c>
      <c r="S1" s="129" t="s">
        <v>310</v>
      </c>
    </row>
    <row r="2" spans="1:25" x14ac:dyDescent="0.25">
      <c r="A2" s="129"/>
      <c r="B2" s="203">
        <f>INDEX([1]Produtos!$L:$L,MATCH(G2,[1]Produtos!$C:$C,0))</f>
        <v>613.39886035164977</v>
      </c>
      <c r="C2" s="235">
        <f>B2*9</f>
        <v>5520.5897431648482</v>
      </c>
      <c r="D2" s="205">
        <v>20000</v>
      </c>
      <c r="E2" s="234">
        <f>D2/(B2)</f>
        <v>32.605212191842654</v>
      </c>
      <c r="F2" s="240">
        <f>D2/(B2*9)</f>
        <v>3.6228013546491833</v>
      </c>
      <c r="G2" s="239" t="s">
        <v>371</v>
      </c>
      <c r="S2" s="129"/>
    </row>
    <row r="3" spans="1:25" ht="9.9499999999999993" customHeight="1" thickBot="1" x14ac:dyDescent="0.3">
      <c r="A3" s="129"/>
      <c r="B3" s="111"/>
      <c r="C3" s="111"/>
      <c r="D3" s="111"/>
      <c r="E3" s="122"/>
      <c r="F3" s="122"/>
      <c r="G3" s="122"/>
      <c r="S3" s="129"/>
      <c r="T3" s="204"/>
      <c r="U3" s="204"/>
      <c r="W3" s="204"/>
      <c r="X3" s="204"/>
      <c r="Y3" s="204"/>
    </row>
    <row r="4" spans="1:25" ht="18.600000000000001" customHeight="1" thickBot="1" x14ac:dyDescent="0.35">
      <c r="A4" s="134"/>
      <c r="B4" s="79" t="s">
        <v>158</v>
      </c>
      <c r="C4" s="238" t="s">
        <v>201</v>
      </c>
      <c r="D4" s="81" t="s">
        <v>159</v>
      </c>
      <c r="E4" s="82" t="s">
        <v>353</v>
      </c>
      <c r="F4" s="83" t="s">
        <v>354</v>
      </c>
      <c r="G4" s="83" t="s">
        <v>438</v>
      </c>
    </row>
    <row r="5" spans="1:25" ht="15.75" hidden="1" thickBot="1" x14ac:dyDescent="0.3">
      <c r="B5" s="97" t="s">
        <v>161</v>
      </c>
      <c r="C5" s="76">
        <v>45831</v>
      </c>
      <c r="D5" s="77" t="s">
        <v>162</v>
      </c>
      <c r="E5" s="78" t="s">
        <v>112</v>
      </c>
      <c r="F5" s="98" t="s">
        <v>309</v>
      </c>
    </row>
    <row r="6" spans="1:25" ht="15.75" hidden="1" thickBot="1" x14ac:dyDescent="0.3">
      <c r="B6" s="43" t="s">
        <v>161</v>
      </c>
      <c r="C6" s="21">
        <f t="shared" ref="C6:C13" si="0">C5</f>
        <v>45831</v>
      </c>
      <c r="D6" s="22" t="s">
        <v>163</v>
      </c>
      <c r="E6" s="33" t="s">
        <v>112</v>
      </c>
      <c r="F6" s="44" t="s">
        <v>309</v>
      </c>
    </row>
    <row r="7" spans="1:25" ht="15.75" hidden="1" thickBot="1" x14ac:dyDescent="0.3">
      <c r="B7" s="43" t="s">
        <v>161</v>
      </c>
      <c r="C7" s="21">
        <f t="shared" si="0"/>
        <v>45831</v>
      </c>
      <c r="D7" s="22" t="s">
        <v>164</v>
      </c>
      <c r="E7" s="33" t="s">
        <v>112</v>
      </c>
      <c r="F7" s="44" t="s">
        <v>309</v>
      </c>
    </row>
    <row r="8" spans="1:25" ht="15.75" hidden="1" thickBot="1" x14ac:dyDescent="0.3">
      <c r="B8" s="43" t="s">
        <v>161</v>
      </c>
      <c r="C8" s="21">
        <f t="shared" si="0"/>
        <v>45831</v>
      </c>
      <c r="D8" s="22" t="s">
        <v>165</v>
      </c>
      <c r="E8" s="33" t="s">
        <v>112</v>
      </c>
      <c r="F8" s="44" t="s">
        <v>309</v>
      </c>
    </row>
    <row r="9" spans="1:25" ht="15.75" hidden="1" thickBot="1" x14ac:dyDescent="0.3">
      <c r="B9" s="43" t="s">
        <v>161</v>
      </c>
      <c r="C9" s="21">
        <f t="shared" si="0"/>
        <v>45831</v>
      </c>
      <c r="D9" s="22" t="s">
        <v>166</v>
      </c>
      <c r="E9" s="33" t="s">
        <v>112</v>
      </c>
      <c r="F9" s="44" t="s">
        <v>146</v>
      </c>
    </row>
    <row r="10" spans="1:25" ht="15.75" hidden="1" thickBot="1" x14ac:dyDescent="0.3">
      <c r="B10" s="43" t="s">
        <v>161</v>
      </c>
      <c r="C10" s="21">
        <f t="shared" si="0"/>
        <v>45831</v>
      </c>
      <c r="D10" s="22" t="s">
        <v>167</v>
      </c>
      <c r="E10" s="33" t="s">
        <v>295</v>
      </c>
      <c r="F10" s="44" t="s">
        <v>146</v>
      </c>
    </row>
    <row r="11" spans="1:25" ht="15.75" hidden="1" thickBot="1" x14ac:dyDescent="0.3">
      <c r="B11" s="43" t="s">
        <v>161</v>
      </c>
      <c r="C11" s="21">
        <f t="shared" si="0"/>
        <v>45831</v>
      </c>
      <c r="D11" s="22" t="s">
        <v>167</v>
      </c>
      <c r="E11" s="33" t="s">
        <v>295</v>
      </c>
      <c r="F11" s="44" t="s">
        <v>146</v>
      </c>
    </row>
    <row r="12" spans="1:25" ht="15.75" hidden="1" thickBot="1" x14ac:dyDescent="0.3">
      <c r="B12" s="43" t="s">
        <v>161</v>
      </c>
      <c r="C12" s="21">
        <f t="shared" si="0"/>
        <v>45831</v>
      </c>
      <c r="D12" s="22" t="s">
        <v>169</v>
      </c>
      <c r="E12" s="33" t="s">
        <v>295</v>
      </c>
      <c r="F12" s="44" t="s">
        <v>146</v>
      </c>
    </row>
    <row r="13" spans="1:25" ht="15.75" hidden="1" thickBot="1" x14ac:dyDescent="0.3">
      <c r="B13" s="99" t="s">
        <v>161</v>
      </c>
      <c r="C13" s="26">
        <f t="shared" si="0"/>
        <v>45831</v>
      </c>
      <c r="D13" s="27" t="s">
        <v>170</v>
      </c>
      <c r="E13" s="34" t="s">
        <v>295</v>
      </c>
      <c r="F13" s="100" t="s">
        <v>147</v>
      </c>
    </row>
    <row r="14" spans="1:25" ht="5.0999999999999996" hidden="1" customHeight="1" x14ac:dyDescent="0.25">
      <c r="B14" s="101"/>
      <c r="E14"/>
      <c r="F14" s="102"/>
    </row>
    <row r="15" spans="1:25" ht="15.75" hidden="1" thickBot="1" x14ac:dyDescent="0.3">
      <c r="B15" s="41" t="s">
        <v>171</v>
      </c>
      <c r="C15" s="24">
        <f>C13+1</f>
        <v>45832</v>
      </c>
      <c r="D15" s="25" t="s">
        <v>162</v>
      </c>
      <c r="E15" s="35" t="s">
        <v>295</v>
      </c>
      <c r="F15" s="103" t="s">
        <v>147</v>
      </c>
    </row>
    <row r="16" spans="1:25" ht="15.75" hidden="1" thickBot="1" x14ac:dyDescent="0.3">
      <c r="B16" s="43" t="s">
        <v>171</v>
      </c>
      <c r="C16" s="21">
        <f t="shared" ref="C16:C23" si="1">C15</f>
        <v>45832</v>
      </c>
      <c r="D16" s="22" t="s">
        <v>163</v>
      </c>
      <c r="E16" s="33" t="s">
        <v>295</v>
      </c>
      <c r="F16" s="44" t="s">
        <v>147</v>
      </c>
    </row>
    <row r="17" spans="2:6" ht="15.75" hidden="1" thickBot="1" x14ac:dyDescent="0.3">
      <c r="B17" s="43" t="s">
        <v>171</v>
      </c>
      <c r="C17" s="21">
        <f t="shared" si="1"/>
        <v>45832</v>
      </c>
      <c r="D17" s="22" t="s">
        <v>164</v>
      </c>
      <c r="E17" s="33" t="s">
        <v>295</v>
      </c>
      <c r="F17" s="44" t="s">
        <v>147</v>
      </c>
    </row>
    <row r="18" spans="2:6" ht="15.75" hidden="1" thickBot="1" x14ac:dyDescent="0.3">
      <c r="B18" s="43" t="s">
        <v>171</v>
      </c>
      <c r="C18" s="21">
        <f t="shared" si="1"/>
        <v>45832</v>
      </c>
      <c r="D18" s="22" t="s">
        <v>165</v>
      </c>
      <c r="E18" s="33" t="s">
        <v>5</v>
      </c>
      <c r="F18" s="42" t="s">
        <v>148</v>
      </c>
    </row>
    <row r="19" spans="2:6" ht="15.75" hidden="1" thickBot="1" x14ac:dyDescent="0.3">
      <c r="B19" s="43" t="s">
        <v>171</v>
      </c>
      <c r="C19" s="21">
        <f t="shared" si="1"/>
        <v>45832</v>
      </c>
      <c r="D19" s="22" t="s">
        <v>166</v>
      </c>
      <c r="E19" s="33" t="s">
        <v>5</v>
      </c>
      <c r="F19" s="44" t="s">
        <v>148</v>
      </c>
    </row>
    <row r="20" spans="2:6" ht="15.75" hidden="1" thickBot="1" x14ac:dyDescent="0.3">
      <c r="B20" s="43" t="s">
        <v>171</v>
      </c>
      <c r="C20" s="21">
        <f t="shared" si="1"/>
        <v>45832</v>
      </c>
      <c r="D20" s="22" t="s">
        <v>167</v>
      </c>
      <c r="E20" s="33" t="s">
        <v>5</v>
      </c>
      <c r="F20" s="44" t="s">
        <v>148</v>
      </c>
    </row>
    <row r="21" spans="2:6" ht="15.75" hidden="1" thickBot="1" x14ac:dyDescent="0.3">
      <c r="B21" s="43" t="s">
        <v>171</v>
      </c>
      <c r="C21" s="21">
        <f t="shared" si="1"/>
        <v>45832</v>
      </c>
      <c r="D21" s="22" t="s">
        <v>168</v>
      </c>
      <c r="E21" s="33" t="s">
        <v>5</v>
      </c>
      <c r="F21" s="44" t="s">
        <v>148</v>
      </c>
    </row>
    <row r="22" spans="2:6" ht="15.75" hidden="1" thickBot="1" x14ac:dyDescent="0.3">
      <c r="B22" s="43" t="s">
        <v>171</v>
      </c>
      <c r="C22" s="21">
        <f t="shared" si="1"/>
        <v>45832</v>
      </c>
      <c r="D22" s="22" t="s">
        <v>169</v>
      </c>
      <c r="E22" s="33" t="s">
        <v>5</v>
      </c>
      <c r="F22" s="42" t="s">
        <v>149</v>
      </c>
    </row>
    <row r="23" spans="2:6" ht="15.75" hidden="1" thickBot="1" x14ac:dyDescent="0.3">
      <c r="B23" s="99" t="s">
        <v>171</v>
      </c>
      <c r="C23" s="26">
        <f t="shared" si="1"/>
        <v>45832</v>
      </c>
      <c r="D23" s="27" t="s">
        <v>170</v>
      </c>
      <c r="E23" s="34" t="s">
        <v>5</v>
      </c>
      <c r="F23" s="104" t="s">
        <v>149</v>
      </c>
    </row>
    <row r="24" spans="2:6" ht="5.0999999999999996" hidden="1" customHeight="1" x14ac:dyDescent="0.25">
      <c r="B24" s="101"/>
      <c r="E24"/>
      <c r="F24" s="102"/>
    </row>
    <row r="25" spans="2:6" ht="15.75" hidden="1" thickBot="1" x14ac:dyDescent="0.3">
      <c r="B25" s="41" t="s">
        <v>172</v>
      </c>
      <c r="C25" s="24">
        <f>C23+1</f>
        <v>45833</v>
      </c>
      <c r="D25" s="25" t="s">
        <v>162</v>
      </c>
      <c r="E25" s="35" t="s">
        <v>5</v>
      </c>
      <c r="F25" s="105" t="s">
        <v>149</v>
      </c>
    </row>
    <row r="26" spans="2:6" ht="15.75" hidden="1" thickBot="1" x14ac:dyDescent="0.3">
      <c r="B26" s="43" t="s">
        <v>172</v>
      </c>
      <c r="C26" s="21">
        <f t="shared" ref="C26:C33" si="2">C25</f>
        <v>45833</v>
      </c>
      <c r="D26" s="22" t="s">
        <v>163</v>
      </c>
      <c r="E26" s="33" t="s">
        <v>5</v>
      </c>
      <c r="F26" s="44" t="s">
        <v>149</v>
      </c>
    </row>
    <row r="27" spans="2:6" ht="15.75" hidden="1" thickBot="1" x14ac:dyDescent="0.3">
      <c r="B27" s="43" t="s">
        <v>172</v>
      </c>
      <c r="C27" s="21">
        <f t="shared" si="2"/>
        <v>45833</v>
      </c>
      <c r="D27" s="22" t="s">
        <v>164</v>
      </c>
      <c r="E27" s="33" t="s">
        <v>5</v>
      </c>
      <c r="F27" s="42" t="s">
        <v>150</v>
      </c>
    </row>
    <row r="28" spans="2:6" ht="15.75" hidden="1" thickBot="1" x14ac:dyDescent="0.3">
      <c r="B28" s="43" t="s">
        <v>172</v>
      </c>
      <c r="C28" s="21">
        <f t="shared" si="2"/>
        <v>45833</v>
      </c>
      <c r="D28" s="22" t="s">
        <v>165</v>
      </c>
      <c r="E28" s="33" t="s">
        <v>5</v>
      </c>
      <c r="F28" s="44" t="s">
        <v>150</v>
      </c>
    </row>
    <row r="29" spans="2:6" ht="15.75" hidden="1" thickBot="1" x14ac:dyDescent="0.3">
      <c r="B29" s="43" t="s">
        <v>172</v>
      </c>
      <c r="C29" s="21">
        <f t="shared" si="2"/>
        <v>45833</v>
      </c>
      <c r="D29" s="22" t="s">
        <v>166</v>
      </c>
      <c r="E29" s="33" t="s">
        <v>5</v>
      </c>
      <c r="F29" s="44" t="s">
        <v>150</v>
      </c>
    </row>
    <row r="30" spans="2:6" ht="15.75" hidden="1" thickBot="1" x14ac:dyDescent="0.3">
      <c r="B30" s="43" t="s">
        <v>172</v>
      </c>
      <c r="C30" s="21">
        <f t="shared" si="2"/>
        <v>45833</v>
      </c>
      <c r="D30" s="22" t="s">
        <v>167</v>
      </c>
      <c r="E30" s="33" t="s">
        <v>5</v>
      </c>
      <c r="F30" s="44" t="s">
        <v>150</v>
      </c>
    </row>
    <row r="31" spans="2:6" ht="15.75" hidden="1" thickBot="1" x14ac:dyDescent="0.3">
      <c r="B31" s="43" t="s">
        <v>172</v>
      </c>
      <c r="C31" s="21">
        <f t="shared" si="2"/>
        <v>45833</v>
      </c>
      <c r="D31" s="22" t="s">
        <v>168</v>
      </c>
      <c r="E31" s="33" t="s">
        <v>5</v>
      </c>
      <c r="F31" s="44" t="s">
        <v>151</v>
      </c>
    </row>
    <row r="32" spans="2:6" ht="15.75" hidden="1" thickBot="1" x14ac:dyDescent="0.3">
      <c r="B32" s="43" t="s">
        <v>172</v>
      </c>
      <c r="C32" s="21">
        <f t="shared" si="2"/>
        <v>45833</v>
      </c>
      <c r="D32" s="22" t="s">
        <v>169</v>
      </c>
      <c r="E32" s="33" t="s">
        <v>5</v>
      </c>
      <c r="F32" s="44" t="s">
        <v>151</v>
      </c>
    </row>
    <row r="33" spans="2:6" ht="15.75" hidden="1" thickBot="1" x14ac:dyDescent="0.3">
      <c r="B33" s="99" t="s">
        <v>172</v>
      </c>
      <c r="C33" s="26">
        <f t="shared" si="2"/>
        <v>45833</v>
      </c>
      <c r="D33" s="27" t="s">
        <v>170</v>
      </c>
      <c r="E33" s="34" t="s">
        <v>5</v>
      </c>
      <c r="F33" s="104" t="s">
        <v>151</v>
      </c>
    </row>
    <row r="34" spans="2:6" ht="5.0999999999999996" hidden="1" customHeight="1" x14ac:dyDescent="0.25">
      <c r="B34" s="101"/>
      <c r="E34"/>
      <c r="F34" s="102"/>
    </row>
    <row r="35" spans="2:6" ht="15.75" hidden="1" thickBot="1" x14ac:dyDescent="0.3">
      <c r="B35" s="41" t="s">
        <v>173</v>
      </c>
      <c r="C35" s="24">
        <f>C33+1</f>
        <v>45834</v>
      </c>
      <c r="D35" s="25" t="s">
        <v>162</v>
      </c>
      <c r="E35" s="37" t="s">
        <v>5</v>
      </c>
      <c r="F35" s="105" t="s">
        <v>151</v>
      </c>
    </row>
    <row r="36" spans="2:6" ht="15.75" hidden="1" thickBot="1" x14ac:dyDescent="0.3">
      <c r="B36" s="43" t="s">
        <v>173</v>
      </c>
      <c r="C36" s="21">
        <f t="shared" ref="C36:C43" si="3">C35</f>
        <v>45834</v>
      </c>
      <c r="D36" s="22" t="s">
        <v>163</v>
      </c>
      <c r="E36" s="38" t="s">
        <v>5</v>
      </c>
      <c r="F36" s="42" t="s">
        <v>152</v>
      </c>
    </row>
    <row r="37" spans="2:6" ht="15.75" hidden="1" thickBot="1" x14ac:dyDescent="0.3">
      <c r="B37" s="43" t="s">
        <v>173</v>
      </c>
      <c r="C37" s="21">
        <f t="shared" si="3"/>
        <v>45834</v>
      </c>
      <c r="D37" s="22" t="s">
        <v>164</v>
      </c>
      <c r="E37" s="38" t="s">
        <v>5</v>
      </c>
      <c r="F37" s="44" t="s">
        <v>152</v>
      </c>
    </row>
    <row r="38" spans="2:6" ht="15.75" hidden="1" thickBot="1" x14ac:dyDescent="0.3">
      <c r="B38" s="43" t="s">
        <v>173</v>
      </c>
      <c r="C38" s="21">
        <f t="shared" si="3"/>
        <v>45834</v>
      </c>
      <c r="D38" s="22" t="s">
        <v>165</v>
      </c>
      <c r="E38" s="38" t="s">
        <v>5</v>
      </c>
      <c r="F38" s="44" t="s">
        <v>152</v>
      </c>
    </row>
    <row r="39" spans="2:6" ht="15.75" hidden="1" thickBot="1" x14ac:dyDescent="0.3">
      <c r="B39" s="43" t="s">
        <v>173</v>
      </c>
      <c r="C39" s="21">
        <f t="shared" si="3"/>
        <v>45834</v>
      </c>
      <c r="D39" s="22" t="s">
        <v>166</v>
      </c>
      <c r="E39" s="38" t="s">
        <v>5</v>
      </c>
      <c r="F39" s="44" t="s">
        <v>152</v>
      </c>
    </row>
    <row r="40" spans="2:6" ht="15.75" hidden="1" thickBot="1" x14ac:dyDescent="0.3">
      <c r="B40" s="43" t="s">
        <v>173</v>
      </c>
      <c r="C40" s="21">
        <f t="shared" si="3"/>
        <v>45834</v>
      </c>
      <c r="D40" s="22" t="s">
        <v>167</v>
      </c>
      <c r="E40" s="38" t="s">
        <v>5</v>
      </c>
      <c r="F40" s="106" t="s">
        <v>153</v>
      </c>
    </row>
    <row r="41" spans="2:6" ht="15.75" hidden="1" thickBot="1" x14ac:dyDescent="0.3">
      <c r="B41" s="43" t="s">
        <v>173</v>
      </c>
      <c r="C41" s="21">
        <f t="shared" si="3"/>
        <v>45834</v>
      </c>
      <c r="D41" s="22" t="s">
        <v>168</v>
      </c>
      <c r="E41" s="38" t="s">
        <v>5</v>
      </c>
      <c r="F41" s="106" t="s">
        <v>153</v>
      </c>
    </row>
    <row r="42" spans="2:6" ht="15.75" hidden="1" thickBot="1" x14ac:dyDescent="0.3">
      <c r="B42" s="43" t="s">
        <v>173</v>
      </c>
      <c r="C42" s="21">
        <f t="shared" si="3"/>
        <v>45834</v>
      </c>
      <c r="D42" s="22" t="s">
        <v>169</v>
      </c>
      <c r="E42" s="38" t="s">
        <v>5</v>
      </c>
      <c r="F42" s="106" t="s">
        <v>153</v>
      </c>
    </row>
    <row r="43" spans="2:6" ht="15.75" hidden="1" thickBot="1" x14ac:dyDescent="0.3">
      <c r="B43" s="99" t="s">
        <v>173</v>
      </c>
      <c r="C43" s="26">
        <f t="shared" si="3"/>
        <v>45834</v>
      </c>
      <c r="D43" s="27" t="s">
        <v>170</v>
      </c>
      <c r="E43" s="39" t="s">
        <v>5</v>
      </c>
      <c r="F43" s="107" t="s">
        <v>153</v>
      </c>
    </row>
    <row r="44" spans="2:6" ht="5.0999999999999996" hidden="1" customHeight="1" x14ac:dyDescent="0.25">
      <c r="B44" s="101"/>
      <c r="E44"/>
      <c r="F44" s="108"/>
    </row>
    <row r="45" spans="2:6" ht="15.75" hidden="1" thickBot="1" x14ac:dyDescent="0.3">
      <c r="B45" s="41" t="s">
        <v>174</v>
      </c>
      <c r="C45" s="24">
        <f>C43+1</f>
        <v>45835</v>
      </c>
      <c r="D45" s="25" t="s">
        <v>162</v>
      </c>
      <c r="E45" s="37" t="s">
        <v>5</v>
      </c>
      <c r="F45" s="109" t="s">
        <v>154</v>
      </c>
    </row>
    <row r="46" spans="2:6" ht="15.75" hidden="1" thickBot="1" x14ac:dyDescent="0.3">
      <c r="B46" s="43" t="s">
        <v>174</v>
      </c>
      <c r="C46" s="21">
        <f t="shared" ref="C46:C52" si="4">C45</f>
        <v>45835</v>
      </c>
      <c r="D46" s="22" t="s">
        <v>163</v>
      </c>
      <c r="E46" s="38" t="s">
        <v>5</v>
      </c>
      <c r="F46" s="106" t="s">
        <v>154</v>
      </c>
    </row>
    <row r="47" spans="2:6" ht="15.75" hidden="1" thickBot="1" x14ac:dyDescent="0.3">
      <c r="B47" s="43" t="s">
        <v>174</v>
      </c>
      <c r="C47" s="21">
        <f t="shared" si="4"/>
        <v>45835</v>
      </c>
      <c r="D47" s="22" t="s">
        <v>164</v>
      </c>
      <c r="E47" s="38" t="s">
        <v>5</v>
      </c>
      <c r="F47" s="106" t="s">
        <v>154</v>
      </c>
    </row>
    <row r="48" spans="2:6" ht="15.75" hidden="1" thickBot="1" x14ac:dyDescent="0.3">
      <c r="B48" s="43" t="s">
        <v>174</v>
      </c>
      <c r="C48" s="21">
        <f t="shared" si="4"/>
        <v>45835</v>
      </c>
      <c r="D48" s="22" t="s">
        <v>165</v>
      </c>
      <c r="E48" s="38" t="s">
        <v>5</v>
      </c>
      <c r="F48" s="106" t="s">
        <v>154</v>
      </c>
    </row>
    <row r="49" spans="1:6" ht="15.75" hidden="1" thickBot="1" x14ac:dyDescent="0.3">
      <c r="B49" s="43" t="s">
        <v>174</v>
      </c>
      <c r="C49" s="21">
        <f t="shared" si="4"/>
        <v>45835</v>
      </c>
      <c r="D49" s="22" t="s">
        <v>166</v>
      </c>
      <c r="E49" s="38" t="s">
        <v>5</v>
      </c>
      <c r="F49" s="106" t="s">
        <v>155</v>
      </c>
    </row>
    <row r="50" spans="1:6" ht="15.75" hidden="1" thickBot="1" x14ac:dyDescent="0.3">
      <c r="B50" s="43" t="s">
        <v>174</v>
      </c>
      <c r="C50" s="21">
        <f t="shared" si="4"/>
        <v>45835</v>
      </c>
      <c r="D50" s="22" t="s">
        <v>167</v>
      </c>
      <c r="E50" s="38" t="s">
        <v>5</v>
      </c>
      <c r="F50" s="106" t="s">
        <v>155</v>
      </c>
    </row>
    <row r="51" spans="1:6" ht="15.75" hidden="1" thickBot="1" x14ac:dyDescent="0.3">
      <c r="B51" s="43" t="s">
        <v>174</v>
      </c>
      <c r="C51" s="21">
        <f t="shared" si="4"/>
        <v>45835</v>
      </c>
      <c r="D51" s="22" t="s">
        <v>168</v>
      </c>
      <c r="E51" s="38" t="s">
        <v>5</v>
      </c>
      <c r="F51" s="106" t="s">
        <v>155</v>
      </c>
    </row>
    <row r="52" spans="1:6" ht="15.75" hidden="1" thickBot="1" x14ac:dyDescent="0.3">
      <c r="B52" s="99" t="s">
        <v>174</v>
      </c>
      <c r="C52" s="26">
        <f t="shared" si="4"/>
        <v>45835</v>
      </c>
      <c r="D52" s="27" t="s">
        <v>169</v>
      </c>
      <c r="E52" s="39" t="s">
        <v>5</v>
      </c>
      <c r="F52" s="107" t="s">
        <v>155</v>
      </c>
    </row>
    <row r="53" spans="1:6" ht="12" hidden="1" customHeight="1" thickBot="1" x14ac:dyDescent="0.3">
      <c r="A53" s="129" t="s">
        <v>310</v>
      </c>
      <c r="B53" s="101"/>
      <c r="E53"/>
      <c r="F53" s="102"/>
    </row>
    <row r="54" spans="1:6" ht="15.75" hidden="1" thickBot="1" x14ac:dyDescent="0.3">
      <c r="A54" s="129" t="s">
        <v>310</v>
      </c>
      <c r="B54" s="52" t="s">
        <v>161</v>
      </c>
      <c r="C54" s="53">
        <v>45838</v>
      </c>
      <c r="D54" s="54" t="s">
        <v>162</v>
      </c>
      <c r="E54" s="60" t="s">
        <v>352</v>
      </c>
      <c r="F54" s="66" t="s">
        <v>153</v>
      </c>
    </row>
    <row r="55" spans="1:6" ht="15.75" hidden="1" thickBot="1" x14ac:dyDescent="0.3">
      <c r="B55" s="43" t="s">
        <v>161</v>
      </c>
      <c r="C55" s="21">
        <v>45838</v>
      </c>
      <c r="D55" s="22" t="s">
        <v>163</v>
      </c>
      <c r="E55" s="32" t="s">
        <v>315</v>
      </c>
      <c r="F55" s="44" t="s">
        <v>153</v>
      </c>
    </row>
    <row r="56" spans="1:6" ht="15.75" hidden="1" thickBot="1" x14ac:dyDescent="0.3">
      <c r="B56" s="43" t="s">
        <v>161</v>
      </c>
      <c r="C56" s="21">
        <v>45838</v>
      </c>
      <c r="D56" s="22" t="s">
        <v>164</v>
      </c>
      <c r="E56" s="32" t="s">
        <v>315</v>
      </c>
      <c r="F56" s="44" t="s">
        <v>153</v>
      </c>
    </row>
    <row r="57" spans="1:6" ht="15.75" hidden="1" thickBot="1" x14ac:dyDescent="0.3">
      <c r="B57" s="43" t="s">
        <v>161</v>
      </c>
      <c r="C57" s="21">
        <v>45838</v>
      </c>
      <c r="D57" s="22" t="s">
        <v>165</v>
      </c>
      <c r="E57" s="32" t="s">
        <v>315</v>
      </c>
      <c r="F57" s="44" t="s">
        <v>153</v>
      </c>
    </row>
    <row r="58" spans="1:6" ht="15.75" hidden="1" thickBot="1" x14ac:dyDescent="0.3">
      <c r="B58" s="43" t="s">
        <v>161</v>
      </c>
      <c r="C58" s="21">
        <v>45838</v>
      </c>
      <c r="D58" s="22" t="s">
        <v>166</v>
      </c>
      <c r="E58" s="32" t="s">
        <v>315</v>
      </c>
      <c r="F58" s="45" t="s">
        <v>303</v>
      </c>
    </row>
    <row r="59" spans="1:6" ht="15.75" hidden="1" thickBot="1" x14ac:dyDescent="0.3">
      <c r="B59" s="43" t="s">
        <v>161</v>
      </c>
      <c r="C59" s="21">
        <v>45838</v>
      </c>
      <c r="D59" s="22" t="s">
        <v>167</v>
      </c>
      <c r="E59" s="32" t="s">
        <v>315</v>
      </c>
      <c r="F59" s="45" t="s">
        <v>303</v>
      </c>
    </row>
    <row r="60" spans="1:6" ht="15.75" hidden="1" thickBot="1" x14ac:dyDescent="0.3">
      <c r="B60" s="43" t="s">
        <v>161</v>
      </c>
      <c r="C60" s="21">
        <v>45838</v>
      </c>
      <c r="D60" s="22" t="s">
        <v>167</v>
      </c>
      <c r="E60" s="32" t="s">
        <v>315</v>
      </c>
      <c r="F60" s="45" t="s">
        <v>303</v>
      </c>
    </row>
    <row r="61" spans="1:6" ht="15.75" hidden="1" thickBot="1" x14ac:dyDescent="0.3">
      <c r="B61" s="43" t="s">
        <v>161</v>
      </c>
      <c r="C61" s="21">
        <v>45838</v>
      </c>
      <c r="D61" s="22" t="s">
        <v>169</v>
      </c>
      <c r="E61" s="32" t="s">
        <v>315</v>
      </c>
      <c r="F61" s="46" t="s">
        <v>303</v>
      </c>
    </row>
    <row r="62" spans="1:6" ht="15.75" hidden="1" thickBot="1" x14ac:dyDescent="0.3">
      <c r="B62" s="47" t="s">
        <v>161</v>
      </c>
      <c r="C62" s="48">
        <v>45838</v>
      </c>
      <c r="D62" s="49" t="s">
        <v>170</v>
      </c>
      <c r="E62" s="50" t="s">
        <v>315</v>
      </c>
      <c r="F62" s="51" t="s">
        <v>304</v>
      </c>
    </row>
    <row r="63" spans="1:6" ht="15.75" hidden="1" thickBot="1" x14ac:dyDescent="0.3">
      <c r="B63" s="101"/>
      <c r="E63"/>
      <c r="F63" s="102"/>
    </row>
    <row r="64" spans="1:6" ht="15.75" hidden="1" thickBot="1" x14ac:dyDescent="0.3">
      <c r="B64" s="52" t="s">
        <v>171</v>
      </c>
      <c r="C64" s="53">
        <f>C62+1</f>
        <v>45839</v>
      </c>
      <c r="D64" s="54" t="s">
        <v>162</v>
      </c>
      <c r="E64" s="55" t="s">
        <v>315</v>
      </c>
      <c r="F64" s="56" t="s">
        <v>304</v>
      </c>
    </row>
    <row r="65" spans="2:6" ht="15.75" hidden="1" thickBot="1" x14ac:dyDescent="0.3">
      <c r="B65" s="43" t="s">
        <v>171</v>
      </c>
      <c r="C65" s="21">
        <f t="shared" ref="C65:C72" si="5">C64</f>
        <v>45839</v>
      </c>
      <c r="D65" s="22" t="s">
        <v>163</v>
      </c>
      <c r="E65" s="32" t="s">
        <v>315</v>
      </c>
      <c r="F65" s="44" t="s">
        <v>304</v>
      </c>
    </row>
    <row r="66" spans="2:6" ht="15.75" hidden="1" thickBot="1" x14ac:dyDescent="0.3">
      <c r="B66" s="43" t="s">
        <v>171</v>
      </c>
      <c r="C66" s="21">
        <f t="shared" si="5"/>
        <v>45839</v>
      </c>
      <c r="D66" s="22" t="s">
        <v>164</v>
      </c>
      <c r="E66" s="32" t="s">
        <v>315</v>
      </c>
      <c r="F66" s="44" t="s">
        <v>304</v>
      </c>
    </row>
    <row r="67" spans="2:6" ht="15.75" hidden="1" thickBot="1" x14ac:dyDescent="0.3">
      <c r="B67" s="43" t="s">
        <v>171</v>
      </c>
      <c r="C67" s="21">
        <f t="shared" si="5"/>
        <v>45839</v>
      </c>
      <c r="D67" s="22" t="s">
        <v>165</v>
      </c>
      <c r="E67" s="32" t="s">
        <v>315</v>
      </c>
      <c r="F67" s="45" t="s">
        <v>305</v>
      </c>
    </row>
    <row r="68" spans="2:6" ht="15.75" hidden="1" thickBot="1" x14ac:dyDescent="0.3">
      <c r="B68" s="43" t="s">
        <v>171</v>
      </c>
      <c r="C68" s="21">
        <f t="shared" si="5"/>
        <v>45839</v>
      </c>
      <c r="D68" s="22" t="s">
        <v>166</v>
      </c>
      <c r="E68" s="32" t="s">
        <v>315</v>
      </c>
      <c r="F68" s="45" t="s">
        <v>305</v>
      </c>
    </row>
    <row r="69" spans="2:6" ht="15.75" hidden="1" thickBot="1" x14ac:dyDescent="0.3">
      <c r="B69" s="43" t="s">
        <v>171</v>
      </c>
      <c r="C69" s="21">
        <f t="shared" si="5"/>
        <v>45839</v>
      </c>
      <c r="D69" s="22" t="s">
        <v>167</v>
      </c>
      <c r="E69" s="32" t="s">
        <v>315</v>
      </c>
      <c r="F69" s="45" t="s">
        <v>305</v>
      </c>
    </row>
    <row r="70" spans="2:6" ht="15.75" hidden="1" thickBot="1" x14ac:dyDescent="0.3">
      <c r="B70" s="43" t="s">
        <v>171</v>
      </c>
      <c r="C70" s="21">
        <f t="shared" si="5"/>
        <v>45839</v>
      </c>
      <c r="D70" s="22" t="s">
        <v>168</v>
      </c>
      <c r="E70" s="32" t="s">
        <v>315</v>
      </c>
      <c r="F70" s="45" t="s">
        <v>305</v>
      </c>
    </row>
    <row r="71" spans="2:6" ht="15.75" hidden="1" thickBot="1" x14ac:dyDescent="0.3">
      <c r="B71" s="43" t="s">
        <v>171</v>
      </c>
      <c r="C71" s="21">
        <f t="shared" si="5"/>
        <v>45839</v>
      </c>
      <c r="D71" s="22" t="s">
        <v>169</v>
      </c>
      <c r="E71" s="32" t="s">
        <v>315</v>
      </c>
      <c r="F71" s="57" t="s">
        <v>306</v>
      </c>
    </row>
    <row r="72" spans="2:6" ht="15.75" hidden="1" thickBot="1" x14ac:dyDescent="0.3">
      <c r="B72" s="47" t="s">
        <v>171</v>
      </c>
      <c r="C72" s="48">
        <f t="shared" si="5"/>
        <v>45839</v>
      </c>
      <c r="D72" s="49" t="s">
        <v>170</v>
      </c>
      <c r="E72" s="50" t="s">
        <v>315</v>
      </c>
      <c r="F72" s="58" t="s">
        <v>306</v>
      </c>
    </row>
    <row r="73" spans="2:6" ht="15.75" hidden="1" thickBot="1" x14ac:dyDescent="0.3">
      <c r="B73" s="101"/>
      <c r="E73"/>
      <c r="F73" s="102"/>
    </row>
    <row r="74" spans="2:6" ht="15.75" hidden="1" thickBot="1" x14ac:dyDescent="0.3">
      <c r="B74" s="52" t="s">
        <v>172</v>
      </c>
      <c r="C74" s="53">
        <f>C72+1</f>
        <v>45840</v>
      </c>
      <c r="D74" s="59" t="s">
        <v>162</v>
      </c>
      <c r="E74" s="55" t="s">
        <v>315</v>
      </c>
      <c r="F74" s="63" t="s">
        <v>306</v>
      </c>
    </row>
    <row r="75" spans="2:6" ht="15.75" hidden="1" thickBot="1" x14ac:dyDescent="0.3">
      <c r="B75" s="43" t="s">
        <v>172</v>
      </c>
      <c r="C75" s="21">
        <f t="shared" ref="C75:C82" si="6">C74</f>
        <v>45840</v>
      </c>
      <c r="D75" s="36" t="s">
        <v>163</v>
      </c>
      <c r="E75" s="32" t="s">
        <v>315</v>
      </c>
      <c r="F75" s="64" t="s">
        <v>306</v>
      </c>
    </row>
    <row r="76" spans="2:6" ht="15.75" hidden="1" thickBot="1" x14ac:dyDescent="0.3">
      <c r="B76" s="43" t="s">
        <v>172</v>
      </c>
      <c r="C76" s="21">
        <f t="shared" si="6"/>
        <v>45840</v>
      </c>
      <c r="D76" s="36" t="s">
        <v>164</v>
      </c>
      <c r="E76" s="32" t="s">
        <v>315</v>
      </c>
      <c r="F76" s="64" t="s">
        <v>307</v>
      </c>
    </row>
    <row r="77" spans="2:6" ht="15.75" hidden="1" thickBot="1" x14ac:dyDescent="0.3">
      <c r="B77" s="43" t="s">
        <v>172</v>
      </c>
      <c r="C77" s="21">
        <f t="shared" si="6"/>
        <v>45840</v>
      </c>
      <c r="D77" s="36" t="s">
        <v>165</v>
      </c>
      <c r="E77" s="32" t="s">
        <v>315</v>
      </c>
      <c r="F77" s="64" t="s">
        <v>307</v>
      </c>
    </row>
    <row r="78" spans="2:6" ht="15.75" hidden="1" thickBot="1" x14ac:dyDescent="0.3">
      <c r="B78" s="43" t="s">
        <v>172</v>
      </c>
      <c r="C78" s="21">
        <f t="shared" si="6"/>
        <v>45840</v>
      </c>
      <c r="D78" s="36" t="s">
        <v>166</v>
      </c>
      <c r="E78" s="32" t="s">
        <v>315</v>
      </c>
      <c r="F78" s="64" t="s">
        <v>307</v>
      </c>
    </row>
    <row r="79" spans="2:6" ht="15.75" hidden="1" thickBot="1" x14ac:dyDescent="0.3">
      <c r="B79" s="43" t="s">
        <v>172</v>
      </c>
      <c r="C79" s="21">
        <f t="shared" si="6"/>
        <v>45840</v>
      </c>
      <c r="D79" s="36" t="s">
        <v>167</v>
      </c>
      <c r="E79" s="40" t="s">
        <v>315</v>
      </c>
      <c r="F79" s="64" t="s">
        <v>307</v>
      </c>
    </row>
    <row r="80" spans="2:6" ht="15.75" hidden="1" thickBot="1" x14ac:dyDescent="0.3">
      <c r="B80" s="43" t="s">
        <v>172</v>
      </c>
      <c r="C80" s="21">
        <f t="shared" si="6"/>
        <v>45840</v>
      </c>
      <c r="D80" s="36" t="s">
        <v>168</v>
      </c>
      <c r="E80" s="32" t="s">
        <v>315</v>
      </c>
      <c r="F80" s="64" t="s">
        <v>308</v>
      </c>
    </row>
    <row r="81" spans="2:6" ht="15.75" hidden="1" thickBot="1" x14ac:dyDescent="0.3">
      <c r="B81" s="43" t="s">
        <v>172</v>
      </c>
      <c r="C81" s="21">
        <f t="shared" si="6"/>
        <v>45840</v>
      </c>
      <c r="D81" s="36" t="s">
        <v>169</v>
      </c>
      <c r="E81" s="32" t="s">
        <v>315</v>
      </c>
      <c r="F81" s="64" t="s">
        <v>308</v>
      </c>
    </row>
    <row r="82" spans="2:6" ht="15.75" hidden="1" thickBot="1" x14ac:dyDescent="0.3">
      <c r="B82" s="47" t="s">
        <v>172</v>
      </c>
      <c r="C82" s="48">
        <f t="shared" si="6"/>
        <v>45840</v>
      </c>
      <c r="D82" s="62" t="s">
        <v>170</v>
      </c>
      <c r="E82" s="50" t="s">
        <v>315</v>
      </c>
      <c r="F82" s="65" t="s">
        <v>308</v>
      </c>
    </row>
    <row r="83" spans="2:6" ht="15.75" hidden="1" thickBot="1" x14ac:dyDescent="0.3">
      <c r="B83" s="101"/>
      <c r="E83"/>
      <c r="F83" s="102"/>
    </row>
    <row r="84" spans="2:6" ht="15.75" hidden="1" thickBot="1" x14ac:dyDescent="0.3">
      <c r="B84" s="52" t="s">
        <v>173</v>
      </c>
      <c r="C84" s="53">
        <f>C82+1</f>
        <v>45841</v>
      </c>
      <c r="D84" s="59" t="s">
        <v>162</v>
      </c>
      <c r="E84" s="55" t="s">
        <v>316</v>
      </c>
      <c r="F84" s="61" t="s">
        <v>5</v>
      </c>
    </row>
    <row r="85" spans="2:6" ht="15.75" hidden="1" thickBot="1" x14ac:dyDescent="0.3">
      <c r="B85" s="43" t="s">
        <v>173</v>
      </c>
      <c r="C85" s="21">
        <f t="shared" ref="C85:C92" si="7">C84</f>
        <v>45841</v>
      </c>
      <c r="D85" s="36" t="s">
        <v>163</v>
      </c>
      <c r="E85" s="32" t="s">
        <v>316</v>
      </c>
      <c r="F85" s="74" t="s">
        <v>5</v>
      </c>
    </row>
    <row r="86" spans="2:6" ht="15.75" hidden="1" thickBot="1" x14ac:dyDescent="0.3">
      <c r="B86" s="43" t="s">
        <v>173</v>
      </c>
      <c r="C86" s="21">
        <f t="shared" si="7"/>
        <v>45841</v>
      </c>
      <c r="D86" s="36" t="s">
        <v>164</v>
      </c>
      <c r="E86" s="32" t="s">
        <v>316</v>
      </c>
      <c r="F86" s="74" t="s">
        <v>5</v>
      </c>
    </row>
    <row r="87" spans="2:6" ht="15.75" hidden="1" thickBot="1" x14ac:dyDescent="0.3">
      <c r="B87" s="43" t="s">
        <v>173</v>
      </c>
      <c r="C87" s="21">
        <f t="shared" si="7"/>
        <v>45841</v>
      </c>
      <c r="D87" s="36" t="s">
        <v>165</v>
      </c>
      <c r="E87" s="32" t="s">
        <v>316</v>
      </c>
      <c r="F87" s="74" t="s">
        <v>5</v>
      </c>
    </row>
    <row r="88" spans="2:6" ht="15.75" hidden="1" thickBot="1" x14ac:dyDescent="0.3">
      <c r="B88" s="43" t="s">
        <v>173</v>
      </c>
      <c r="C88" s="21">
        <f t="shared" si="7"/>
        <v>45841</v>
      </c>
      <c r="D88" s="36" t="s">
        <v>166</v>
      </c>
      <c r="E88" s="32" t="s">
        <v>316</v>
      </c>
      <c r="F88" s="74" t="s">
        <v>5</v>
      </c>
    </row>
    <row r="89" spans="2:6" ht="15.75" hidden="1" thickBot="1" x14ac:dyDescent="0.3">
      <c r="B89" s="43" t="s">
        <v>173</v>
      </c>
      <c r="C89" s="21">
        <f t="shared" si="7"/>
        <v>45841</v>
      </c>
      <c r="D89" s="36" t="s">
        <v>167</v>
      </c>
      <c r="E89" s="32" t="s">
        <v>316</v>
      </c>
      <c r="F89" s="74" t="s">
        <v>5</v>
      </c>
    </row>
    <row r="90" spans="2:6" ht="15.75" hidden="1" thickBot="1" x14ac:dyDescent="0.3">
      <c r="B90" s="43" t="s">
        <v>173</v>
      </c>
      <c r="C90" s="21">
        <f t="shared" si="7"/>
        <v>45841</v>
      </c>
      <c r="D90" s="36" t="s">
        <v>168</v>
      </c>
      <c r="E90" s="32" t="s">
        <v>316</v>
      </c>
      <c r="F90" s="74" t="s">
        <v>5</v>
      </c>
    </row>
    <row r="91" spans="2:6" ht="15.75" hidden="1" thickBot="1" x14ac:dyDescent="0.3">
      <c r="B91" s="43" t="s">
        <v>173</v>
      </c>
      <c r="C91" s="21">
        <f t="shared" si="7"/>
        <v>45841</v>
      </c>
      <c r="D91" s="36" t="s">
        <v>169</v>
      </c>
      <c r="E91" s="32" t="s">
        <v>316</v>
      </c>
      <c r="F91" s="74" t="s">
        <v>5</v>
      </c>
    </row>
    <row r="92" spans="2:6" ht="15.75" hidden="1" thickBot="1" x14ac:dyDescent="0.3">
      <c r="B92" s="47" t="s">
        <v>173</v>
      </c>
      <c r="C92" s="48">
        <f t="shared" si="7"/>
        <v>45841</v>
      </c>
      <c r="D92" s="62" t="s">
        <v>170</v>
      </c>
      <c r="E92" s="50" t="s">
        <v>316</v>
      </c>
      <c r="F92" s="75" t="s">
        <v>5</v>
      </c>
    </row>
    <row r="93" spans="2:6" ht="6" hidden="1" customHeight="1" thickBot="1" x14ac:dyDescent="0.3">
      <c r="B93" s="101"/>
      <c r="F93" s="110"/>
    </row>
    <row r="94" spans="2:6" ht="15.75" hidden="1" thickBot="1" x14ac:dyDescent="0.3">
      <c r="B94" s="52" t="s">
        <v>174</v>
      </c>
      <c r="C94" s="53">
        <f>C92+1</f>
        <v>45842</v>
      </c>
      <c r="D94" s="59" t="s">
        <v>162</v>
      </c>
      <c r="E94" s="55" t="s">
        <v>316</v>
      </c>
      <c r="F94" s="56" t="s">
        <v>5</v>
      </c>
    </row>
    <row r="95" spans="2:6" ht="15.75" hidden="1" thickBot="1" x14ac:dyDescent="0.3">
      <c r="B95" s="43" t="s">
        <v>174</v>
      </c>
      <c r="C95" s="21">
        <f t="shared" ref="C95:C101" si="8">C94</f>
        <v>45842</v>
      </c>
      <c r="D95" s="36" t="s">
        <v>163</v>
      </c>
      <c r="E95" s="32" t="s">
        <v>316</v>
      </c>
      <c r="F95" s="45" t="s">
        <v>5</v>
      </c>
    </row>
    <row r="96" spans="2:6" ht="15.75" hidden="1" thickBot="1" x14ac:dyDescent="0.3">
      <c r="B96" s="43" t="s">
        <v>174</v>
      </c>
      <c r="C96" s="21">
        <f t="shared" si="8"/>
        <v>45842</v>
      </c>
      <c r="D96" s="36" t="s">
        <v>164</v>
      </c>
      <c r="E96" s="32" t="s">
        <v>316</v>
      </c>
      <c r="F96" s="45" t="s">
        <v>5</v>
      </c>
    </row>
    <row r="97" spans="1:7" ht="15.75" hidden="1" thickBot="1" x14ac:dyDescent="0.3">
      <c r="B97" s="43" t="s">
        <v>174</v>
      </c>
      <c r="C97" s="21">
        <f t="shared" si="8"/>
        <v>45842</v>
      </c>
      <c r="D97" s="36" t="s">
        <v>165</v>
      </c>
      <c r="E97" s="32" t="s">
        <v>316</v>
      </c>
      <c r="F97" s="45" t="s">
        <v>5</v>
      </c>
    </row>
    <row r="98" spans="1:7" ht="15.75" hidden="1" thickBot="1" x14ac:dyDescent="0.3">
      <c r="B98" s="43" t="s">
        <v>174</v>
      </c>
      <c r="C98" s="21">
        <f t="shared" si="8"/>
        <v>45842</v>
      </c>
      <c r="D98" s="36" t="s">
        <v>166</v>
      </c>
      <c r="E98" s="32" t="s">
        <v>316</v>
      </c>
      <c r="F98" s="45" t="s">
        <v>5</v>
      </c>
    </row>
    <row r="99" spans="1:7" ht="15.75" hidden="1" thickBot="1" x14ac:dyDescent="0.3">
      <c r="B99" s="43" t="s">
        <v>174</v>
      </c>
      <c r="C99" s="21">
        <f t="shared" si="8"/>
        <v>45842</v>
      </c>
      <c r="D99" s="36" t="s">
        <v>167</v>
      </c>
      <c r="E99" s="32" t="s">
        <v>316</v>
      </c>
      <c r="F99" s="45" t="s">
        <v>5</v>
      </c>
    </row>
    <row r="100" spans="1:7" ht="15.75" hidden="1" thickBot="1" x14ac:dyDescent="0.3">
      <c r="B100" s="43" t="s">
        <v>174</v>
      </c>
      <c r="C100" s="21">
        <f t="shared" si="8"/>
        <v>45842</v>
      </c>
      <c r="D100" s="36" t="s">
        <v>168</v>
      </c>
      <c r="E100" s="32" t="s">
        <v>316</v>
      </c>
      <c r="F100" s="45" t="s">
        <v>5</v>
      </c>
    </row>
    <row r="101" spans="1:7" ht="15.75" hidden="1" thickBot="1" x14ac:dyDescent="0.3">
      <c r="A101" s="129"/>
      <c r="B101" s="47" t="s">
        <v>174</v>
      </c>
      <c r="C101" s="48">
        <f t="shared" si="8"/>
        <v>45842</v>
      </c>
      <c r="D101" s="62" t="s">
        <v>169</v>
      </c>
      <c r="E101" s="50" t="s">
        <v>316</v>
      </c>
      <c r="F101" s="58" t="s">
        <v>5</v>
      </c>
    </row>
    <row r="102" spans="1:7" ht="6" hidden="1" customHeight="1" thickBot="1" x14ac:dyDescent="0.3">
      <c r="A102" s="129" t="s">
        <v>310</v>
      </c>
      <c r="B102" s="101"/>
      <c r="F102" s="110"/>
    </row>
    <row r="103" spans="1:7" ht="15.75" hidden="1" thickBot="1" x14ac:dyDescent="0.3">
      <c r="B103" s="112" t="s">
        <v>161</v>
      </c>
      <c r="C103" s="113">
        <f>C101+3</f>
        <v>45845</v>
      </c>
      <c r="D103" s="114" t="s">
        <v>162</v>
      </c>
      <c r="E103" s="189" t="s">
        <v>5</v>
      </c>
      <c r="F103" s="180"/>
    </row>
    <row r="104" spans="1:7" ht="15.75" hidden="1" thickBot="1" x14ac:dyDescent="0.3">
      <c r="B104" s="116" t="s">
        <v>161</v>
      </c>
      <c r="C104" s="117">
        <f t="shared" ref="C104:C111" si="9">C103</f>
        <v>45845</v>
      </c>
      <c r="D104" s="118" t="s">
        <v>163</v>
      </c>
      <c r="E104" s="190" t="s">
        <v>5</v>
      </c>
      <c r="F104" s="181"/>
    </row>
    <row r="105" spans="1:7" ht="15.75" hidden="1" thickBot="1" x14ac:dyDescent="0.3">
      <c r="B105" s="116" t="s">
        <v>161</v>
      </c>
      <c r="C105" s="117">
        <f t="shared" si="9"/>
        <v>45845</v>
      </c>
      <c r="D105" s="118" t="s">
        <v>164</v>
      </c>
      <c r="E105" s="190" t="s">
        <v>5</v>
      </c>
      <c r="F105" s="181"/>
    </row>
    <row r="106" spans="1:7" ht="15.75" hidden="1" thickBot="1" x14ac:dyDescent="0.3">
      <c r="B106" s="116" t="s">
        <v>161</v>
      </c>
      <c r="C106" s="117">
        <f t="shared" si="9"/>
        <v>45845</v>
      </c>
      <c r="D106" s="118" t="s">
        <v>165</v>
      </c>
      <c r="E106" s="190" t="s">
        <v>5</v>
      </c>
      <c r="F106" s="181"/>
    </row>
    <row r="107" spans="1:7" ht="15.75" hidden="1" thickBot="1" x14ac:dyDescent="0.3">
      <c r="B107" s="116" t="s">
        <v>161</v>
      </c>
      <c r="C107" s="117">
        <f t="shared" si="9"/>
        <v>45845</v>
      </c>
      <c r="D107" s="118" t="s">
        <v>166</v>
      </c>
      <c r="E107" s="190" t="s">
        <v>5</v>
      </c>
      <c r="F107" s="181"/>
    </row>
    <row r="108" spans="1:7" ht="15.75" hidden="1" thickBot="1" x14ac:dyDescent="0.3">
      <c r="B108" s="116" t="s">
        <v>161</v>
      </c>
      <c r="C108" s="117">
        <f t="shared" si="9"/>
        <v>45845</v>
      </c>
      <c r="D108" s="118" t="s">
        <v>167</v>
      </c>
      <c r="E108" s="191" t="s">
        <v>314</v>
      </c>
      <c r="F108" s="181"/>
    </row>
    <row r="109" spans="1:7" ht="15.75" hidden="1" thickBot="1" x14ac:dyDescent="0.3">
      <c r="B109" s="116" t="s">
        <v>161</v>
      </c>
      <c r="C109" s="117">
        <f t="shared" si="9"/>
        <v>45845</v>
      </c>
      <c r="D109" s="118" t="s">
        <v>167</v>
      </c>
      <c r="E109" s="147" t="s">
        <v>314</v>
      </c>
      <c r="F109" s="181"/>
    </row>
    <row r="110" spans="1:7" ht="15.75" hidden="1" thickBot="1" x14ac:dyDescent="0.3">
      <c r="B110" s="116" t="s">
        <v>161</v>
      </c>
      <c r="C110" s="117">
        <f t="shared" si="9"/>
        <v>45845</v>
      </c>
      <c r="D110" s="118" t="s">
        <v>169</v>
      </c>
      <c r="E110" s="147" t="s">
        <v>314</v>
      </c>
      <c r="F110" s="181"/>
    </row>
    <row r="111" spans="1:7" ht="15.75" hidden="1" thickBot="1" x14ac:dyDescent="0.3">
      <c r="B111" s="119" t="s">
        <v>161</v>
      </c>
      <c r="C111" s="120">
        <f t="shared" si="9"/>
        <v>45845</v>
      </c>
      <c r="D111" s="121" t="s">
        <v>170</v>
      </c>
      <c r="E111" s="148" t="s">
        <v>314</v>
      </c>
      <c r="F111" s="182"/>
    </row>
    <row r="112" spans="1:7" ht="6" hidden="1" customHeight="1" thickBot="1" x14ac:dyDescent="0.3">
      <c r="B112" s="111"/>
      <c r="C112" s="111"/>
      <c r="D112" s="111"/>
      <c r="G112" s="111"/>
    </row>
    <row r="113" spans="2:19" ht="15.75" hidden="1" thickBot="1" x14ac:dyDescent="0.3">
      <c r="B113" s="112" t="s">
        <v>171</v>
      </c>
      <c r="C113" s="113">
        <f>C111+1</f>
        <v>45846</v>
      </c>
      <c r="D113" s="114" t="s">
        <v>162</v>
      </c>
      <c r="E113" s="149" t="s">
        <v>314</v>
      </c>
      <c r="F113" s="150" t="s">
        <v>364</v>
      </c>
      <c r="G113" s="111"/>
    </row>
    <row r="114" spans="2:19" ht="15.75" hidden="1" thickBot="1" x14ac:dyDescent="0.3">
      <c r="B114" s="116" t="s">
        <v>171</v>
      </c>
      <c r="C114" s="117">
        <f t="shared" ref="C114:C121" si="10">C113</f>
        <v>45846</v>
      </c>
      <c r="D114" s="118" t="s">
        <v>163</v>
      </c>
      <c r="E114" s="147" t="s">
        <v>314</v>
      </c>
      <c r="F114" s="151" t="s">
        <v>364</v>
      </c>
      <c r="G114" s="111"/>
    </row>
    <row r="115" spans="2:19" ht="15.75" hidden="1" thickBot="1" x14ac:dyDescent="0.3">
      <c r="B115" s="116" t="s">
        <v>171</v>
      </c>
      <c r="C115" s="117">
        <f t="shared" si="10"/>
        <v>45846</v>
      </c>
      <c r="D115" s="118" t="s">
        <v>164</v>
      </c>
      <c r="E115" s="147" t="s">
        <v>314</v>
      </c>
      <c r="F115" s="151" t="s">
        <v>364</v>
      </c>
      <c r="G115" s="111"/>
    </row>
    <row r="116" spans="2:19" ht="15.75" hidden="1" thickBot="1" x14ac:dyDescent="0.3">
      <c r="B116" s="116" t="s">
        <v>171</v>
      </c>
      <c r="C116" s="117">
        <f t="shared" si="10"/>
        <v>45846</v>
      </c>
      <c r="D116" s="118" t="s">
        <v>165</v>
      </c>
      <c r="E116" s="147" t="s">
        <v>314</v>
      </c>
      <c r="F116" s="151" t="s">
        <v>364</v>
      </c>
      <c r="G116" s="111"/>
    </row>
    <row r="117" spans="2:19" ht="15.75" hidden="1" thickBot="1" x14ac:dyDescent="0.3">
      <c r="B117" s="116" t="s">
        <v>171</v>
      </c>
      <c r="C117" s="117">
        <f t="shared" si="10"/>
        <v>45846</v>
      </c>
      <c r="D117" s="118" t="s">
        <v>166</v>
      </c>
      <c r="E117" s="147" t="s">
        <v>314</v>
      </c>
      <c r="F117" s="151" t="s">
        <v>145</v>
      </c>
      <c r="G117" s="111"/>
    </row>
    <row r="118" spans="2:19" ht="15.75" hidden="1" thickBot="1" x14ac:dyDescent="0.3">
      <c r="B118" s="116" t="s">
        <v>171</v>
      </c>
      <c r="C118" s="117">
        <f t="shared" si="10"/>
        <v>45846</v>
      </c>
      <c r="D118" s="118" t="s">
        <v>167</v>
      </c>
      <c r="E118" s="147" t="s">
        <v>314</v>
      </c>
      <c r="F118" s="151" t="s">
        <v>145</v>
      </c>
      <c r="G118" s="111"/>
    </row>
    <row r="119" spans="2:19" ht="15.75" hidden="1" thickBot="1" x14ac:dyDescent="0.3">
      <c r="B119" s="116" t="s">
        <v>171</v>
      </c>
      <c r="C119" s="117">
        <f t="shared" si="10"/>
        <v>45846</v>
      </c>
      <c r="D119" s="118" t="s">
        <v>168</v>
      </c>
      <c r="E119" s="147" t="s">
        <v>314</v>
      </c>
      <c r="F119" s="151" t="s">
        <v>145</v>
      </c>
      <c r="G119" s="111"/>
    </row>
    <row r="120" spans="2:19" ht="15.75" hidden="1" thickBot="1" x14ac:dyDescent="0.3">
      <c r="B120" s="116" t="s">
        <v>171</v>
      </c>
      <c r="C120" s="117">
        <f t="shared" si="10"/>
        <v>45846</v>
      </c>
      <c r="D120" s="118" t="s">
        <v>169</v>
      </c>
      <c r="E120" s="147" t="s">
        <v>314</v>
      </c>
      <c r="F120" s="151" t="s">
        <v>145</v>
      </c>
      <c r="G120" s="111"/>
    </row>
    <row r="121" spans="2:19" ht="15.75" hidden="1" thickBot="1" x14ac:dyDescent="0.3">
      <c r="B121" s="119" t="s">
        <v>171</v>
      </c>
      <c r="C121" s="120">
        <f t="shared" si="10"/>
        <v>45846</v>
      </c>
      <c r="D121" s="121" t="s">
        <v>170</v>
      </c>
      <c r="E121" s="148" t="s">
        <v>314</v>
      </c>
      <c r="F121" s="152" t="s">
        <v>145</v>
      </c>
      <c r="G121" s="111"/>
    </row>
    <row r="122" spans="2:19" ht="6" hidden="1" customHeight="1" thickBot="1" x14ac:dyDescent="0.3">
      <c r="B122" s="111"/>
      <c r="C122" s="111"/>
      <c r="D122" s="111"/>
      <c r="G122" s="111"/>
    </row>
    <row r="123" spans="2:19" ht="15.75" hidden="1" thickBot="1" x14ac:dyDescent="0.3">
      <c r="B123" s="112" t="s">
        <v>172</v>
      </c>
      <c r="C123" s="113">
        <f>C121+1</f>
        <v>45847</v>
      </c>
      <c r="D123" s="114" t="s">
        <v>162</v>
      </c>
      <c r="E123" s="149" t="s">
        <v>314</v>
      </c>
      <c r="F123" s="150" t="s">
        <v>5</v>
      </c>
      <c r="G123" s="111"/>
      <c r="S123">
        <f>750*9</f>
        <v>6750</v>
      </c>
    </row>
    <row r="124" spans="2:19" ht="15.75" hidden="1" thickBot="1" x14ac:dyDescent="0.3">
      <c r="B124" s="116" t="s">
        <v>172</v>
      </c>
      <c r="C124" s="117">
        <f t="shared" ref="C124:C131" si="11">C123</f>
        <v>45847</v>
      </c>
      <c r="D124" s="118" t="s">
        <v>163</v>
      </c>
      <c r="E124" s="147" t="s">
        <v>314</v>
      </c>
      <c r="F124" s="151" t="s">
        <v>5</v>
      </c>
      <c r="G124" s="111"/>
    </row>
    <row r="125" spans="2:19" ht="15.75" hidden="1" thickBot="1" x14ac:dyDescent="0.3">
      <c r="B125" s="116" t="s">
        <v>172</v>
      </c>
      <c r="C125" s="117">
        <f t="shared" si="11"/>
        <v>45847</v>
      </c>
      <c r="D125" s="118" t="s">
        <v>164</v>
      </c>
      <c r="E125" s="147" t="s">
        <v>314</v>
      </c>
      <c r="F125" s="151" t="s">
        <v>5</v>
      </c>
      <c r="G125" s="111"/>
    </row>
    <row r="126" spans="2:19" ht="15.75" hidden="1" thickBot="1" x14ac:dyDescent="0.3">
      <c r="B126" s="116" t="s">
        <v>172</v>
      </c>
      <c r="C126" s="117">
        <f t="shared" si="11"/>
        <v>45847</v>
      </c>
      <c r="D126" s="118" t="s">
        <v>165</v>
      </c>
      <c r="E126" s="147" t="s">
        <v>314</v>
      </c>
      <c r="F126" s="151" t="s">
        <v>5</v>
      </c>
      <c r="G126" s="111"/>
    </row>
    <row r="127" spans="2:19" ht="15.75" hidden="1" thickBot="1" x14ac:dyDescent="0.3">
      <c r="B127" s="116" t="s">
        <v>172</v>
      </c>
      <c r="C127" s="117">
        <f t="shared" si="11"/>
        <v>45847</v>
      </c>
      <c r="D127" s="118" t="s">
        <v>166</v>
      </c>
      <c r="E127" s="147" t="s">
        <v>314</v>
      </c>
      <c r="F127" s="151" t="s">
        <v>5</v>
      </c>
      <c r="G127" s="111"/>
    </row>
    <row r="128" spans="2:19" ht="15.75" hidden="1" thickBot="1" x14ac:dyDescent="0.3">
      <c r="B128" s="116" t="s">
        <v>172</v>
      </c>
      <c r="C128" s="117">
        <f t="shared" si="11"/>
        <v>45847</v>
      </c>
      <c r="D128" s="118" t="s">
        <v>167</v>
      </c>
      <c r="E128" s="147" t="s">
        <v>314</v>
      </c>
      <c r="F128" s="151" t="s">
        <v>5</v>
      </c>
      <c r="G128" s="111"/>
    </row>
    <row r="129" spans="2:7" ht="15.75" hidden="1" thickBot="1" x14ac:dyDescent="0.3">
      <c r="B129" s="116" t="s">
        <v>172</v>
      </c>
      <c r="C129" s="117">
        <f t="shared" si="11"/>
        <v>45847</v>
      </c>
      <c r="D129" s="118" t="s">
        <v>168</v>
      </c>
      <c r="E129" s="147" t="s">
        <v>314</v>
      </c>
      <c r="F129" s="151" t="s">
        <v>5</v>
      </c>
      <c r="G129" s="111"/>
    </row>
    <row r="130" spans="2:7" ht="15.75" hidden="1" thickBot="1" x14ac:dyDescent="0.3">
      <c r="B130" s="116" t="s">
        <v>172</v>
      </c>
      <c r="C130" s="117">
        <f t="shared" si="11"/>
        <v>45847</v>
      </c>
      <c r="D130" s="118" t="s">
        <v>169</v>
      </c>
      <c r="E130" s="147" t="s">
        <v>314</v>
      </c>
      <c r="F130" s="151" t="s">
        <v>5</v>
      </c>
      <c r="G130" s="111"/>
    </row>
    <row r="131" spans="2:7" ht="15.75" hidden="1" thickBot="1" x14ac:dyDescent="0.3">
      <c r="B131" s="119" t="s">
        <v>172</v>
      </c>
      <c r="C131" s="120">
        <f t="shared" si="11"/>
        <v>45847</v>
      </c>
      <c r="D131" s="121" t="s">
        <v>170</v>
      </c>
      <c r="E131" s="148" t="s">
        <v>314</v>
      </c>
      <c r="F131" s="152" t="s">
        <v>5</v>
      </c>
      <c r="G131" s="111"/>
    </row>
    <row r="132" spans="2:7" ht="6" hidden="1" customHeight="1" thickBot="1" x14ac:dyDescent="0.3">
      <c r="B132" s="111"/>
      <c r="C132" s="111"/>
      <c r="D132" s="111"/>
      <c r="G132" s="111"/>
    </row>
    <row r="133" spans="2:7" ht="15.75" hidden="1" thickBot="1" x14ac:dyDescent="0.3">
      <c r="B133" s="112" t="s">
        <v>173</v>
      </c>
      <c r="C133" s="113">
        <f>C131+1</f>
        <v>45848</v>
      </c>
      <c r="D133" s="114" t="s">
        <v>162</v>
      </c>
      <c r="E133" s="197" t="s">
        <v>380</v>
      </c>
      <c r="F133" s="149" t="s">
        <v>379</v>
      </c>
      <c r="G133" s="111"/>
    </row>
    <row r="134" spans="2:7" ht="15.75" hidden="1" thickBot="1" x14ac:dyDescent="0.3">
      <c r="B134" s="116" t="s">
        <v>173</v>
      </c>
      <c r="C134" s="117">
        <f t="shared" ref="C134:C141" si="12">C133</f>
        <v>45848</v>
      </c>
      <c r="D134" s="118" t="s">
        <v>163</v>
      </c>
      <c r="E134" s="198" t="s">
        <v>380</v>
      </c>
      <c r="F134" s="156" t="s">
        <v>379</v>
      </c>
      <c r="G134" s="111"/>
    </row>
    <row r="135" spans="2:7" ht="15.75" hidden="1" thickBot="1" x14ac:dyDescent="0.3">
      <c r="B135" s="116" t="s">
        <v>173</v>
      </c>
      <c r="C135" s="117">
        <f t="shared" si="12"/>
        <v>45848</v>
      </c>
      <c r="D135" s="118" t="s">
        <v>164</v>
      </c>
      <c r="E135" s="198" t="s">
        <v>380</v>
      </c>
      <c r="F135" s="156" t="s">
        <v>379</v>
      </c>
      <c r="G135" s="111"/>
    </row>
    <row r="136" spans="2:7" ht="15.75" hidden="1" thickBot="1" x14ac:dyDescent="0.3">
      <c r="B136" s="116" t="s">
        <v>173</v>
      </c>
      <c r="C136" s="117">
        <f t="shared" si="12"/>
        <v>45848</v>
      </c>
      <c r="D136" s="118" t="s">
        <v>165</v>
      </c>
      <c r="E136" s="198" t="s">
        <v>380</v>
      </c>
      <c r="F136" s="156" t="s">
        <v>379</v>
      </c>
      <c r="G136" s="111"/>
    </row>
    <row r="137" spans="2:7" ht="15.75" hidden="1" thickBot="1" x14ac:dyDescent="0.3">
      <c r="B137" s="116" t="s">
        <v>173</v>
      </c>
      <c r="C137" s="117">
        <f t="shared" si="12"/>
        <v>45848</v>
      </c>
      <c r="D137" s="118" t="s">
        <v>166</v>
      </c>
      <c r="E137" s="198" t="s">
        <v>380</v>
      </c>
      <c r="F137" s="156" t="s">
        <v>379</v>
      </c>
      <c r="G137" s="111"/>
    </row>
    <row r="138" spans="2:7" ht="15.75" hidden="1" thickBot="1" x14ac:dyDescent="0.3">
      <c r="B138" s="116" t="s">
        <v>173</v>
      </c>
      <c r="C138" s="117">
        <f t="shared" si="12"/>
        <v>45848</v>
      </c>
      <c r="D138" s="118" t="s">
        <v>167</v>
      </c>
      <c r="E138" s="198" t="s">
        <v>380</v>
      </c>
      <c r="F138" s="156" t="s">
        <v>385</v>
      </c>
      <c r="G138" s="111"/>
    </row>
    <row r="139" spans="2:7" ht="15.75" hidden="1" thickBot="1" x14ac:dyDescent="0.3">
      <c r="B139" s="116" t="s">
        <v>173</v>
      </c>
      <c r="C139" s="117">
        <f t="shared" si="12"/>
        <v>45848</v>
      </c>
      <c r="D139" s="118" t="s">
        <v>168</v>
      </c>
      <c r="E139" s="198" t="s">
        <v>380</v>
      </c>
      <c r="F139" s="156" t="s">
        <v>176</v>
      </c>
      <c r="G139" s="111"/>
    </row>
    <row r="140" spans="2:7" ht="15.75" hidden="1" thickBot="1" x14ac:dyDescent="0.3">
      <c r="B140" s="116" t="s">
        <v>173</v>
      </c>
      <c r="C140" s="117">
        <f t="shared" si="12"/>
        <v>45848</v>
      </c>
      <c r="D140" s="118" t="s">
        <v>169</v>
      </c>
      <c r="E140" s="198" t="s">
        <v>380</v>
      </c>
      <c r="F140" s="156" t="s">
        <v>176</v>
      </c>
      <c r="G140" s="111"/>
    </row>
    <row r="141" spans="2:7" ht="15.75" hidden="1" thickBot="1" x14ac:dyDescent="0.3">
      <c r="B141" s="139" t="s">
        <v>173</v>
      </c>
      <c r="C141" s="140">
        <f t="shared" si="12"/>
        <v>45848</v>
      </c>
      <c r="D141" s="192" t="s">
        <v>170</v>
      </c>
      <c r="E141" s="141"/>
      <c r="F141" s="142"/>
      <c r="G141" s="111"/>
    </row>
    <row r="142" spans="2:7" ht="6" hidden="1" customHeight="1" thickBot="1" x14ac:dyDescent="0.3">
      <c r="B142" s="111"/>
      <c r="C142" s="111"/>
      <c r="D142" s="111"/>
      <c r="G142" s="111"/>
    </row>
    <row r="143" spans="2:7" ht="15" hidden="1" customHeight="1" x14ac:dyDescent="0.25">
      <c r="B143" s="143" t="s">
        <v>174</v>
      </c>
      <c r="C143" s="144">
        <f>C141+1</f>
        <v>45849</v>
      </c>
      <c r="D143" s="193" t="s">
        <v>162</v>
      </c>
      <c r="E143" s="180"/>
      <c r="F143" s="180"/>
      <c r="G143" s="111"/>
    </row>
    <row r="144" spans="2:7" ht="15" hidden="1" customHeight="1" x14ac:dyDescent="0.25">
      <c r="B144" s="145" t="s">
        <v>174</v>
      </c>
      <c r="C144" s="146">
        <f t="shared" ref="C144:C150" si="13">C143</f>
        <v>45849</v>
      </c>
      <c r="D144" s="194" t="s">
        <v>163</v>
      </c>
      <c r="E144" s="181"/>
      <c r="F144" s="181"/>
      <c r="G144" s="111"/>
    </row>
    <row r="145" spans="1:21" ht="15" hidden="1" customHeight="1" x14ac:dyDescent="0.25">
      <c r="B145" s="145" t="s">
        <v>174</v>
      </c>
      <c r="C145" s="146">
        <f t="shared" si="13"/>
        <v>45849</v>
      </c>
      <c r="D145" s="194" t="s">
        <v>164</v>
      </c>
      <c r="E145" s="181"/>
      <c r="F145" s="181"/>
      <c r="G145" s="111"/>
    </row>
    <row r="146" spans="1:21" ht="15" hidden="1" customHeight="1" x14ac:dyDescent="0.25">
      <c r="B146" s="145" t="s">
        <v>174</v>
      </c>
      <c r="C146" s="146">
        <f t="shared" si="13"/>
        <v>45849</v>
      </c>
      <c r="D146" s="194" t="s">
        <v>165</v>
      </c>
      <c r="E146" s="181"/>
      <c r="F146" s="181"/>
      <c r="G146" s="111"/>
    </row>
    <row r="147" spans="1:21" ht="15" hidden="1" customHeight="1" x14ac:dyDescent="0.25">
      <c r="B147" s="145" t="s">
        <v>174</v>
      </c>
      <c r="C147" s="146">
        <f t="shared" si="13"/>
        <v>45849</v>
      </c>
      <c r="D147" s="194" t="s">
        <v>166</v>
      </c>
      <c r="E147" s="181"/>
      <c r="F147" s="181"/>
      <c r="G147" s="111"/>
    </row>
    <row r="148" spans="1:21" ht="15" hidden="1" customHeight="1" x14ac:dyDescent="0.25">
      <c r="B148" s="145" t="s">
        <v>174</v>
      </c>
      <c r="C148" s="146">
        <f t="shared" si="13"/>
        <v>45849</v>
      </c>
      <c r="D148" s="194" t="s">
        <v>167</v>
      </c>
      <c r="E148" s="181"/>
      <c r="F148" s="181"/>
      <c r="G148" s="111"/>
    </row>
    <row r="149" spans="1:21" ht="15" hidden="1" customHeight="1" x14ac:dyDescent="0.25">
      <c r="B149" s="145" t="s">
        <v>174</v>
      </c>
      <c r="C149" s="146">
        <f t="shared" si="13"/>
        <v>45849</v>
      </c>
      <c r="D149" s="194" t="s">
        <v>168</v>
      </c>
      <c r="E149" s="181"/>
      <c r="F149" s="181"/>
      <c r="G149" s="111"/>
    </row>
    <row r="150" spans="1:21" ht="15.75" hidden="1" customHeight="1" thickBot="1" x14ac:dyDescent="0.3">
      <c r="B150" s="139" t="s">
        <v>174</v>
      </c>
      <c r="C150" s="140">
        <f t="shared" si="13"/>
        <v>45849</v>
      </c>
      <c r="D150" s="195" t="s">
        <v>169</v>
      </c>
      <c r="E150" s="182"/>
      <c r="F150" s="182"/>
      <c r="G150" s="111"/>
    </row>
    <row r="151" spans="1:21" ht="6" hidden="1" customHeight="1" thickBot="1" x14ac:dyDescent="0.3">
      <c r="A151" s="129" t="s">
        <v>310</v>
      </c>
      <c r="B151" s="111"/>
      <c r="C151" s="111"/>
      <c r="D151" s="111"/>
      <c r="G151" s="111"/>
    </row>
    <row r="152" spans="1:21" ht="15.75" hidden="1" thickBot="1" x14ac:dyDescent="0.3">
      <c r="B152" s="52" t="s">
        <v>161</v>
      </c>
      <c r="C152" s="53">
        <f>C150+3</f>
        <v>45852</v>
      </c>
      <c r="D152" s="59" t="s">
        <v>162</v>
      </c>
      <c r="E152" s="150" t="s">
        <v>300</v>
      </c>
      <c r="F152" s="150" t="s">
        <v>381</v>
      </c>
      <c r="T152" t="s">
        <v>415</v>
      </c>
      <c r="U152" t="s">
        <v>420</v>
      </c>
    </row>
    <row r="153" spans="1:21" ht="15.75" hidden="1" thickBot="1" x14ac:dyDescent="0.3">
      <c r="B153" s="43" t="s">
        <v>161</v>
      </c>
      <c r="C153" s="21">
        <f t="shared" ref="C153:C160" si="14">C152</f>
        <v>45852</v>
      </c>
      <c r="D153" s="36" t="s">
        <v>163</v>
      </c>
      <c r="E153" s="151" t="s">
        <v>300</v>
      </c>
      <c r="F153" s="151" t="s">
        <v>381</v>
      </c>
      <c r="T153" t="s">
        <v>416</v>
      </c>
      <c r="U153" t="s">
        <v>417</v>
      </c>
    </row>
    <row r="154" spans="1:21" ht="15.75" hidden="1" thickBot="1" x14ac:dyDescent="0.3">
      <c r="B154" s="43" t="s">
        <v>161</v>
      </c>
      <c r="C154" s="21">
        <f t="shared" si="14"/>
        <v>45852</v>
      </c>
      <c r="D154" s="36" t="s">
        <v>164</v>
      </c>
      <c r="E154" s="151" t="s">
        <v>300</v>
      </c>
      <c r="F154" s="151" t="s">
        <v>381</v>
      </c>
      <c r="T154" t="s">
        <v>418</v>
      </c>
      <c r="U154" t="s">
        <v>419</v>
      </c>
    </row>
    <row r="155" spans="1:21" ht="15.75" hidden="1" thickBot="1" x14ac:dyDescent="0.3">
      <c r="B155" s="43" t="s">
        <v>161</v>
      </c>
      <c r="C155" s="21">
        <f t="shared" si="14"/>
        <v>45852</v>
      </c>
      <c r="D155" s="36" t="s">
        <v>165</v>
      </c>
      <c r="E155" s="151" t="s">
        <v>300</v>
      </c>
      <c r="F155" s="151" t="s">
        <v>381</v>
      </c>
    </row>
    <row r="156" spans="1:21" ht="15.75" hidden="1" thickBot="1" x14ac:dyDescent="0.3">
      <c r="B156" s="43" t="s">
        <v>161</v>
      </c>
      <c r="C156" s="21">
        <f t="shared" si="14"/>
        <v>45852</v>
      </c>
      <c r="D156" s="36" t="s">
        <v>166</v>
      </c>
      <c r="E156" s="151" t="s">
        <v>300</v>
      </c>
      <c r="F156" s="151" t="s">
        <v>381</v>
      </c>
    </row>
    <row r="157" spans="1:21" ht="15.75" hidden="1" thickBot="1" x14ac:dyDescent="0.3">
      <c r="B157" s="43" t="s">
        <v>161</v>
      </c>
      <c r="C157" s="21">
        <f t="shared" si="14"/>
        <v>45852</v>
      </c>
      <c r="D157" s="36" t="s">
        <v>167</v>
      </c>
      <c r="E157" s="151" t="s">
        <v>300</v>
      </c>
      <c r="F157" s="151" t="s">
        <v>381</v>
      </c>
    </row>
    <row r="158" spans="1:21" ht="15.75" hidden="1" thickBot="1" x14ac:dyDescent="0.3">
      <c r="B158" s="43" t="s">
        <v>161</v>
      </c>
      <c r="C158" s="21">
        <f t="shared" si="14"/>
        <v>45852</v>
      </c>
      <c r="D158" s="36" t="s">
        <v>167</v>
      </c>
      <c r="E158" s="151" t="s">
        <v>300</v>
      </c>
      <c r="F158" s="151" t="s">
        <v>381</v>
      </c>
    </row>
    <row r="159" spans="1:21" ht="15.75" hidden="1" thickBot="1" x14ac:dyDescent="0.3">
      <c r="B159" s="43" t="s">
        <v>161</v>
      </c>
      <c r="C159" s="21">
        <f t="shared" si="14"/>
        <v>45852</v>
      </c>
      <c r="D159" s="36" t="s">
        <v>169</v>
      </c>
      <c r="E159" s="151" t="s">
        <v>300</v>
      </c>
      <c r="F159" s="151" t="s">
        <v>381</v>
      </c>
    </row>
    <row r="160" spans="1:21" ht="15.75" hidden="1" thickBot="1" x14ac:dyDescent="0.3">
      <c r="B160" s="47" t="s">
        <v>161</v>
      </c>
      <c r="C160" s="48">
        <f t="shared" si="14"/>
        <v>45852</v>
      </c>
      <c r="D160" s="62" t="s">
        <v>170</v>
      </c>
      <c r="E160" s="152" t="s">
        <v>300</v>
      </c>
      <c r="F160" s="152" t="s">
        <v>381</v>
      </c>
    </row>
    <row r="161" spans="2:6" ht="6" hidden="1" customHeight="1" thickBot="1" x14ac:dyDescent="0.3"/>
    <row r="162" spans="2:6" ht="15.75" hidden="1" thickBot="1" x14ac:dyDescent="0.3">
      <c r="B162" s="52" t="s">
        <v>171</v>
      </c>
      <c r="C162" s="53">
        <f>C160+1</f>
        <v>45853</v>
      </c>
      <c r="D162" s="59" t="s">
        <v>162</v>
      </c>
      <c r="E162" s="150" t="s">
        <v>300</v>
      </c>
      <c r="F162" s="150" t="s">
        <v>381</v>
      </c>
    </row>
    <row r="163" spans="2:6" ht="15.75" hidden="1" thickBot="1" x14ac:dyDescent="0.3">
      <c r="B163" s="43" t="s">
        <v>171</v>
      </c>
      <c r="C163" s="21">
        <f t="shared" ref="C163:C170" si="15">C162</f>
        <v>45853</v>
      </c>
      <c r="D163" s="36" t="s">
        <v>163</v>
      </c>
      <c r="E163" s="151" t="s">
        <v>300</v>
      </c>
      <c r="F163" s="151" t="s">
        <v>381</v>
      </c>
    </row>
    <row r="164" spans="2:6" ht="15.75" hidden="1" thickBot="1" x14ac:dyDescent="0.3">
      <c r="B164" s="43" t="s">
        <v>171</v>
      </c>
      <c r="C164" s="21">
        <f t="shared" si="15"/>
        <v>45853</v>
      </c>
      <c r="D164" s="36" t="s">
        <v>164</v>
      </c>
      <c r="E164" s="151" t="s">
        <v>300</v>
      </c>
      <c r="F164" s="151" t="s">
        <v>381</v>
      </c>
    </row>
    <row r="165" spans="2:6" ht="15.75" hidden="1" thickBot="1" x14ac:dyDescent="0.3">
      <c r="B165" s="43" t="s">
        <v>171</v>
      </c>
      <c r="C165" s="21">
        <f t="shared" si="15"/>
        <v>45853</v>
      </c>
      <c r="D165" s="36" t="s">
        <v>165</v>
      </c>
      <c r="E165" s="151" t="s">
        <v>300</v>
      </c>
      <c r="F165" s="151" t="s">
        <v>381</v>
      </c>
    </row>
    <row r="166" spans="2:6" ht="15.75" hidden="1" thickBot="1" x14ac:dyDescent="0.3">
      <c r="B166" s="43" t="s">
        <v>171</v>
      </c>
      <c r="C166" s="21">
        <f t="shared" si="15"/>
        <v>45853</v>
      </c>
      <c r="D166" s="36" t="s">
        <v>166</v>
      </c>
      <c r="E166" s="151" t="s">
        <v>300</v>
      </c>
      <c r="F166" s="151" t="s">
        <v>381</v>
      </c>
    </row>
    <row r="167" spans="2:6" ht="15.75" hidden="1" thickBot="1" x14ac:dyDescent="0.3">
      <c r="B167" s="43" t="s">
        <v>171</v>
      </c>
      <c r="C167" s="21">
        <f t="shared" si="15"/>
        <v>45853</v>
      </c>
      <c r="D167" s="36" t="s">
        <v>167</v>
      </c>
      <c r="E167" s="151" t="s">
        <v>300</v>
      </c>
      <c r="F167" s="151" t="s">
        <v>381</v>
      </c>
    </row>
    <row r="168" spans="2:6" ht="15.75" hidden="1" thickBot="1" x14ac:dyDescent="0.3">
      <c r="B168" s="43" t="s">
        <v>171</v>
      </c>
      <c r="C168" s="21">
        <f t="shared" si="15"/>
        <v>45853</v>
      </c>
      <c r="D168" s="36" t="s">
        <v>168</v>
      </c>
      <c r="E168" s="151" t="s">
        <v>300</v>
      </c>
      <c r="F168" s="151" t="s">
        <v>381</v>
      </c>
    </row>
    <row r="169" spans="2:6" ht="15.75" hidden="1" thickBot="1" x14ac:dyDescent="0.3">
      <c r="B169" s="43" t="s">
        <v>171</v>
      </c>
      <c r="C169" s="21">
        <f t="shared" si="15"/>
        <v>45853</v>
      </c>
      <c r="D169" s="36" t="s">
        <v>169</v>
      </c>
      <c r="E169" s="151" t="s">
        <v>300</v>
      </c>
      <c r="F169" s="151" t="s">
        <v>381</v>
      </c>
    </row>
    <row r="170" spans="2:6" ht="15.75" hidden="1" thickBot="1" x14ac:dyDescent="0.3">
      <c r="B170" s="47" t="s">
        <v>171</v>
      </c>
      <c r="C170" s="48">
        <f t="shared" si="15"/>
        <v>45853</v>
      </c>
      <c r="D170" s="62" t="s">
        <v>170</v>
      </c>
      <c r="E170" s="152" t="s">
        <v>300</v>
      </c>
      <c r="F170" s="152" t="s">
        <v>381</v>
      </c>
    </row>
    <row r="171" spans="2:6" ht="6" hidden="1" customHeight="1" thickBot="1" x14ac:dyDescent="0.3"/>
    <row r="172" spans="2:6" ht="15.75" hidden="1" thickBot="1" x14ac:dyDescent="0.3">
      <c r="B172" s="52" t="s">
        <v>172</v>
      </c>
      <c r="C172" s="53">
        <f>C170+1</f>
        <v>45854</v>
      </c>
      <c r="D172" s="59" t="s">
        <v>162</v>
      </c>
      <c r="E172" s="149" t="s">
        <v>302</v>
      </c>
      <c r="F172" s="155" t="s">
        <v>410</v>
      </c>
    </row>
    <row r="173" spans="2:6" ht="15.75" hidden="1" thickBot="1" x14ac:dyDescent="0.3">
      <c r="B173" s="43" t="s">
        <v>172</v>
      </c>
      <c r="C173" s="21">
        <f t="shared" ref="C173:C180" si="16">C172</f>
        <v>45854</v>
      </c>
      <c r="D173" s="36" t="s">
        <v>163</v>
      </c>
      <c r="E173" s="147" t="s">
        <v>302</v>
      </c>
      <c r="F173" s="156" t="s">
        <v>410</v>
      </c>
    </row>
    <row r="174" spans="2:6" ht="15.75" hidden="1" thickBot="1" x14ac:dyDescent="0.3">
      <c r="B174" s="43" t="s">
        <v>172</v>
      </c>
      <c r="C174" s="21">
        <f t="shared" si="16"/>
        <v>45854</v>
      </c>
      <c r="D174" s="36" t="s">
        <v>164</v>
      </c>
      <c r="E174" s="147" t="s">
        <v>302</v>
      </c>
      <c r="F174" s="156" t="s">
        <v>410</v>
      </c>
    </row>
    <row r="175" spans="2:6" ht="15.75" hidden="1" thickBot="1" x14ac:dyDescent="0.3">
      <c r="B175" s="43" t="s">
        <v>172</v>
      </c>
      <c r="C175" s="21">
        <f t="shared" si="16"/>
        <v>45854</v>
      </c>
      <c r="D175" s="36" t="s">
        <v>165</v>
      </c>
      <c r="E175" s="147" t="s">
        <v>302</v>
      </c>
      <c r="F175" s="156" t="s">
        <v>410</v>
      </c>
    </row>
    <row r="176" spans="2:6" ht="15.75" hidden="1" thickBot="1" x14ac:dyDescent="0.3">
      <c r="B176" s="43" t="s">
        <v>172</v>
      </c>
      <c r="C176" s="21">
        <f t="shared" si="16"/>
        <v>45854</v>
      </c>
      <c r="D176" s="36" t="s">
        <v>166</v>
      </c>
      <c r="E176" s="147" t="s">
        <v>302</v>
      </c>
      <c r="F176" s="156" t="s">
        <v>410</v>
      </c>
    </row>
    <row r="177" spans="2:6" ht="15.75" hidden="1" thickBot="1" x14ac:dyDescent="0.3">
      <c r="B177" s="43" t="s">
        <v>172</v>
      </c>
      <c r="C177" s="21">
        <f t="shared" si="16"/>
        <v>45854</v>
      </c>
      <c r="D177" s="36" t="s">
        <v>167</v>
      </c>
      <c r="E177" s="147" t="s">
        <v>302</v>
      </c>
      <c r="F177" s="156" t="s">
        <v>410</v>
      </c>
    </row>
    <row r="178" spans="2:6" ht="15.75" hidden="1" thickBot="1" x14ac:dyDescent="0.3">
      <c r="B178" s="43" t="s">
        <v>172</v>
      </c>
      <c r="C178" s="21">
        <f t="shared" si="16"/>
        <v>45854</v>
      </c>
      <c r="D178" s="36" t="s">
        <v>168</v>
      </c>
      <c r="E178" s="147" t="s">
        <v>302</v>
      </c>
      <c r="F178" s="156" t="s">
        <v>410</v>
      </c>
    </row>
    <row r="179" spans="2:6" ht="15.75" hidden="1" thickBot="1" x14ac:dyDescent="0.3">
      <c r="B179" s="43" t="s">
        <v>172</v>
      </c>
      <c r="C179" s="21">
        <f t="shared" si="16"/>
        <v>45854</v>
      </c>
      <c r="D179" s="36" t="s">
        <v>169</v>
      </c>
      <c r="E179" s="147" t="s">
        <v>302</v>
      </c>
      <c r="F179" s="156" t="s">
        <v>410</v>
      </c>
    </row>
    <row r="180" spans="2:6" ht="15.75" hidden="1" thickBot="1" x14ac:dyDescent="0.3">
      <c r="B180" s="47" t="s">
        <v>172</v>
      </c>
      <c r="C180" s="48">
        <f t="shared" si="16"/>
        <v>45854</v>
      </c>
      <c r="D180" s="62" t="s">
        <v>170</v>
      </c>
      <c r="E180" s="148" t="s">
        <v>302</v>
      </c>
      <c r="F180" s="157" t="s">
        <v>410</v>
      </c>
    </row>
    <row r="181" spans="2:6" ht="6" hidden="1" customHeight="1" thickBot="1" x14ac:dyDescent="0.3"/>
    <row r="182" spans="2:6" ht="15.75" hidden="1" thickBot="1" x14ac:dyDescent="0.3">
      <c r="B182" s="52" t="s">
        <v>173</v>
      </c>
      <c r="C182" s="53">
        <f>C180+1</f>
        <v>45855</v>
      </c>
      <c r="D182" s="59" t="s">
        <v>162</v>
      </c>
      <c r="E182" s="150" t="s">
        <v>302</v>
      </c>
      <c r="F182" s="150" t="s">
        <v>408</v>
      </c>
    </row>
    <row r="183" spans="2:6" ht="15.75" hidden="1" thickBot="1" x14ac:dyDescent="0.3">
      <c r="B183" s="43" t="s">
        <v>173</v>
      </c>
      <c r="C183" s="21">
        <f t="shared" ref="C183:C190" si="17">C182</f>
        <v>45855</v>
      </c>
      <c r="D183" s="36" t="s">
        <v>163</v>
      </c>
      <c r="E183" s="153" t="s">
        <v>302</v>
      </c>
      <c r="F183" s="151" t="s">
        <v>408</v>
      </c>
    </row>
    <row r="184" spans="2:6" ht="15.75" hidden="1" thickBot="1" x14ac:dyDescent="0.3">
      <c r="B184" s="43" t="s">
        <v>173</v>
      </c>
      <c r="C184" s="21">
        <f t="shared" si="17"/>
        <v>45855</v>
      </c>
      <c r="D184" s="36" t="s">
        <v>164</v>
      </c>
      <c r="E184" s="153" t="s">
        <v>302</v>
      </c>
      <c r="F184" s="151" t="s">
        <v>408</v>
      </c>
    </row>
    <row r="185" spans="2:6" ht="15.75" hidden="1" thickBot="1" x14ac:dyDescent="0.3">
      <c r="B185" s="43" t="s">
        <v>173</v>
      </c>
      <c r="C185" s="21">
        <f t="shared" si="17"/>
        <v>45855</v>
      </c>
      <c r="D185" s="36" t="s">
        <v>165</v>
      </c>
      <c r="E185" s="153" t="s">
        <v>302</v>
      </c>
      <c r="F185" s="151" t="s">
        <v>408</v>
      </c>
    </row>
    <row r="186" spans="2:6" ht="15.75" hidden="1" thickBot="1" x14ac:dyDescent="0.3">
      <c r="B186" s="43" t="s">
        <v>173</v>
      </c>
      <c r="C186" s="21">
        <f t="shared" si="17"/>
        <v>45855</v>
      </c>
      <c r="D186" s="36" t="s">
        <v>166</v>
      </c>
      <c r="E186" s="153" t="s">
        <v>302</v>
      </c>
      <c r="F186" s="151" t="s">
        <v>408</v>
      </c>
    </row>
    <row r="187" spans="2:6" ht="15.75" hidden="1" thickBot="1" x14ac:dyDescent="0.3">
      <c r="B187" s="43" t="s">
        <v>173</v>
      </c>
      <c r="C187" s="21">
        <f t="shared" si="17"/>
        <v>45855</v>
      </c>
      <c r="D187" s="36" t="s">
        <v>167</v>
      </c>
      <c r="E187" s="153" t="s">
        <v>302</v>
      </c>
      <c r="F187" s="151" t="s">
        <v>408</v>
      </c>
    </row>
    <row r="188" spans="2:6" ht="15.75" hidden="1" thickBot="1" x14ac:dyDescent="0.3">
      <c r="B188" s="43" t="s">
        <v>173</v>
      </c>
      <c r="C188" s="21">
        <f t="shared" si="17"/>
        <v>45855</v>
      </c>
      <c r="D188" s="36" t="s">
        <v>168</v>
      </c>
      <c r="E188" s="153" t="s">
        <v>302</v>
      </c>
      <c r="F188" s="151" t="s">
        <v>408</v>
      </c>
    </row>
    <row r="189" spans="2:6" ht="15.75" hidden="1" thickBot="1" x14ac:dyDescent="0.3">
      <c r="B189" s="43" t="s">
        <v>173</v>
      </c>
      <c r="C189" s="21">
        <f t="shared" si="17"/>
        <v>45855</v>
      </c>
      <c r="D189" s="36" t="s">
        <v>169</v>
      </c>
      <c r="E189" s="153" t="s">
        <v>302</v>
      </c>
      <c r="F189" s="151" t="s">
        <v>408</v>
      </c>
    </row>
    <row r="190" spans="2:6" ht="15.75" hidden="1" thickBot="1" x14ac:dyDescent="0.3">
      <c r="B190" s="47" t="s">
        <v>173</v>
      </c>
      <c r="C190" s="48">
        <f t="shared" si="17"/>
        <v>45855</v>
      </c>
      <c r="D190" s="62" t="s">
        <v>170</v>
      </c>
      <c r="E190" s="154" t="s">
        <v>302</v>
      </c>
      <c r="F190" s="152" t="s">
        <v>408</v>
      </c>
    </row>
    <row r="191" spans="2:6" ht="6" hidden="1" customHeight="1" thickBot="1" x14ac:dyDescent="0.3"/>
    <row r="192" spans="2:6" ht="15.75" hidden="1" thickBot="1" x14ac:dyDescent="0.3">
      <c r="B192" s="52" t="s">
        <v>174</v>
      </c>
      <c r="C192" s="53">
        <f>C190+1</f>
        <v>45856</v>
      </c>
      <c r="D192" s="59" t="s">
        <v>162</v>
      </c>
      <c r="E192" s="149" t="s">
        <v>386</v>
      </c>
      <c r="F192" s="150" t="s">
        <v>301</v>
      </c>
    </row>
    <row r="193" spans="1:6" ht="15.75" hidden="1" thickBot="1" x14ac:dyDescent="0.3">
      <c r="B193" s="43" t="s">
        <v>174</v>
      </c>
      <c r="C193" s="21">
        <f t="shared" ref="C193:C199" si="18">C192</f>
        <v>45856</v>
      </c>
      <c r="D193" s="36" t="s">
        <v>163</v>
      </c>
      <c r="E193" s="147" t="s">
        <v>386</v>
      </c>
      <c r="F193" s="151" t="s">
        <v>301</v>
      </c>
    </row>
    <row r="194" spans="1:6" ht="15.75" hidden="1" thickBot="1" x14ac:dyDescent="0.3">
      <c r="B194" s="43" t="s">
        <v>174</v>
      </c>
      <c r="C194" s="21">
        <f t="shared" si="18"/>
        <v>45856</v>
      </c>
      <c r="D194" s="36" t="s">
        <v>164</v>
      </c>
      <c r="E194" s="147" t="s">
        <v>405</v>
      </c>
      <c r="F194" s="151" t="s">
        <v>301</v>
      </c>
    </row>
    <row r="195" spans="1:6" ht="15.75" hidden="1" thickBot="1" x14ac:dyDescent="0.3">
      <c r="B195" s="43" t="s">
        <v>174</v>
      </c>
      <c r="C195" s="21">
        <f t="shared" si="18"/>
        <v>45856</v>
      </c>
      <c r="D195" s="36" t="s">
        <v>165</v>
      </c>
      <c r="E195" s="147" t="s">
        <v>405</v>
      </c>
      <c r="F195" s="151" t="s">
        <v>301</v>
      </c>
    </row>
    <row r="196" spans="1:6" ht="15.75" hidden="1" thickBot="1" x14ac:dyDescent="0.3">
      <c r="B196" s="43" t="s">
        <v>174</v>
      </c>
      <c r="C196" s="21">
        <f t="shared" si="18"/>
        <v>45856</v>
      </c>
      <c r="D196" s="36" t="s">
        <v>166</v>
      </c>
      <c r="E196" s="147" t="s">
        <v>387</v>
      </c>
      <c r="F196" s="151" t="s">
        <v>301</v>
      </c>
    </row>
    <row r="197" spans="1:6" ht="15.75" hidden="1" thickBot="1" x14ac:dyDescent="0.3">
      <c r="B197" s="43" t="s">
        <v>174</v>
      </c>
      <c r="C197" s="21">
        <f t="shared" si="18"/>
        <v>45856</v>
      </c>
      <c r="D197" s="36" t="s">
        <v>167</v>
      </c>
      <c r="E197" s="147" t="s">
        <v>387</v>
      </c>
      <c r="F197" s="151" t="s">
        <v>301</v>
      </c>
    </row>
    <row r="198" spans="1:6" ht="15.75" hidden="1" thickBot="1" x14ac:dyDescent="0.3">
      <c r="B198" s="43" t="s">
        <v>174</v>
      </c>
      <c r="C198" s="21">
        <f t="shared" si="18"/>
        <v>45856</v>
      </c>
      <c r="D198" s="36" t="s">
        <v>168</v>
      </c>
      <c r="E198" s="147" t="s">
        <v>406</v>
      </c>
      <c r="F198" s="151" t="s">
        <v>301</v>
      </c>
    </row>
    <row r="199" spans="1:6" ht="15.75" hidden="1" thickBot="1" x14ac:dyDescent="0.3">
      <c r="B199" s="47" t="s">
        <v>174</v>
      </c>
      <c r="C199" s="48">
        <f t="shared" si="18"/>
        <v>45856</v>
      </c>
      <c r="D199" s="62" t="s">
        <v>169</v>
      </c>
      <c r="E199" s="148" t="s">
        <v>406</v>
      </c>
      <c r="F199" s="152" t="s">
        <v>301</v>
      </c>
    </row>
    <row r="200" spans="1:6" ht="6" hidden="1" customHeight="1" thickBot="1" x14ac:dyDescent="0.3">
      <c r="A200" s="129" t="s">
        <v>310</v>
      </c>
    </row>
    <row r="201" spans="1:6" ht="15.75" hidden="1" thickBot="1" x14ac:dyDescent="0.3">
      <c r="B201" s="52" t="s">
        <v>161</v>
      </c>
      <c r="C201" s="53">
        <f>C199+3</f>
        <v>45859</v>
      </c>
      <c r="D201" s="59" t="s">
        <v>162</v>
      </c>
      <c r="E201" s="149" t="s">
        <v>421</v>
      </c>
      <c r="F201" s="155" t="s">
        <v>301</v>
      </c>
    </row>
    <row r="202" spans="1:6" ht="15.75" hidden="1" thickBot="1" x14ac:dyDescent="0.3">
      <c r="B202" s="43" t="s">
        <v>161</v>
      </c>
      <c r="C202" s="21">
        <f t="shared" ref="C202:C209" si="19">C201</f>
        <v>45859</v>
      </c>
      <c r="D202" s="36" t="s">
        <v>163</v>
      </c>
      <c r="E202" s="147" t="s">
        <v>421</v>
      </c>
      <c r="F202" s="156" t="s">
        <v>301</v>
      </c>
    </row>
    <row r="203" spans="1:6" ht="15.75" hidden="1" thickBot="1" x14ac:dyDescent="0.3">
      <c r="B203" s="43" t="s">
        <v>161</v>
      </c>
      <c r="C203" s="21">
        <f t="shared" si="19"/>
        <v>45859</v>
      </c>
      <c r="D203" s="36" t="s">
        <v>164</v>
      </c>
      <c r="E203" s="147" t="s">
        <v>421</v>
      </c>
      <c r="F203" s="156" t="s">
        <v>301</v>
      </c>
    </row>
    <row r="204" spans="1:6" ht="15.75" hidden="1" thickBot="1" x14ac:dyDescent="0.3">
      <c r="B204" s="43" t="s">
        <v>161</v>
      </c>
      <c r="C204" s="21">
        <f t="shared" si="19"/>
        <v>45859</v>
      </c>
      <c r="D204" s="36" t="s">
        <v>165</v>
      </c>
      <c r="E204" s="147" t="s">
        <v>421</v>
      </c>
      <c r="F204" s="156" t="s">
        <v>301</v>
      </c>
    </row>
    <row r="205" spans="1:6" ht="15.75" hidden="1" thickBot="1" x14ac:dyDescent="0.3">
      <c r="B205" s="43" t="s">
        <v>161</v>
      </c>
      <c r="C205" s="21">
        <f t="shared" si="19"/>
        <v>45859</v>
      </c>
      <c r="D205" s="36" t="s">
        <v>166</v>
      </c>
      <c r="E205" s="147" t="s">
        <v>388</v>
      </c>
      <c r="F205" s="156" t="s">
        <v>301</v>
      </c>
    </row>
    <row r="206" spans="1:6" ht="15.75" hidden="1" thickBot="1" x14ac:dyDescent="0.3">
      <c r="B206" s="43" t="s">
        <v>161</v>
      </c>
      <c r="C206" s="21">
        <f t="shared" si="19"/>
        <v>45859</v>
      </c>
      <c r="D206" s="36" t="s">
        <v>167</v>
      </c>
      <c r="E206" s="147" t="s">
        <v>388</v>
      </c>
      <c r="F206" s="156" t="s">
        <v>301</v>
      </c>
    </row>
    <row r="207" spans="1:6" ht="15.75" hidden="1" thickBot="1" x14ac:dyDescent="0.3">
      <c r="B207" s="43" t="s">
        <v>161</v>
      </c>
      <c r="C207" s="21">
        <f t="shared" si="19"/>
        <v>45859</v>
      </c>
      <c r="D207" s="36" t="s">
        <v>167</v>
      </c>
      <c r="E207" s="147" t="s">
        <v>388</v>
      </c>
      <c r="F207" s="156" t="s">
        <v>301</v>
      </c>
    </row>
    <row r="208" spans="1:6" ht="15.75" hidden="1" thickBot="1" x14ac:dyDescent="0.3">
      <c r="B208" s="43" t="s">
        <v>161</v>
      </c>
      <c r="C208" s="21">
        <f t="shared" si="19"/>
        <v>45859</v>
      </c>
      <c r="D208" s="36" t="s">
        <v>169</v>
      </c>
      <c r="E208" s="147" t="s">
        <v>388</v>
      </c>
      <c r="F208" s="156" t="s">
        <v>301</v>
      </c>
    </row>
    <row r="209" spans="1:22" ht="15.75" hidden="1" thickBot="1" x14ac:dyDescent="0.3">
      <c r="B209" s="47" t="s">
        <v>161</v>
      </c>
      <c r="C209" s="48">
        <f t="shared" si="19"/>
        <v>45859</v>
      </c>
      <c r="D209" s="62" t="s">
        <v>170</v>
      </c>
      <c r="E209" s="148" t="s">
        <v>388</v>
      </c>
      <c r="F209" s="157" t="s">
        <v>301</v>
      </c>
    </row>
    <row r="210" spans="1:22" ht="6" hidden="1" customHeight="1" thickBot="1" x14ac:dyDescent="0.3">
      <c r="E210" s="68" t="s">
        <v>384</v>
      </c>
    </row>
    <row r="211" spans="1:22" ht="15.75" hidden="1" thickBot="1" x14ac:dyDescent="0.3">
      <c r="B211" s="52" t="s">
        <v>171</v>
      </c>
      <c r="C211" s="53">
        <f>C209+1</f>
        <v>45860</v>
      </c>
      <c r="D211" s="59" t="s">
        <v>162</v>
      </c>
      <c r="E211" s="149" t="s">
        <v>370</v>
      </c>
      <c r="F211" s="155" t="s">
        <v>374</v>
      </c>
      <c r="U211">
        <f>18000/7500</f>
        <v>2.4</v>
      </c>
    </row>
    <row r="212" spans="1:22" ht="15.75" hidden="1" thickBot="1" x14ac:dyDescent="0.3">
      <c r="B212" s="43" t="s">
        <v>171</v>
      </c>
      <c r="C212" s="21">
        <f t="shared" ref="C212:C219" si="20">C211</f>
        <v>45860</v>
      </c>
      <c r="D212" s="36" t="s">
        <v>163</v>
      </c>
      <c r="E212" s="147" t="s">
        <v>370</v>
      </c>
      <c r="F212" s="156" t="s">
        <v>374</v>
      </c>
      <c r="U212" s="199" t="s">
        <v>412</v>
      </c>
      <c r="V212" s="200" t="s">
        <v>411</v>
      </c>
    </row>
    <row r="213" spans="1:22" ht="15.75" hidden="1" thickBot="1" x14ac:dyDescent="0.3">
      <c r="B213" s="43" t="s">
        <v>171</v>
      </c>
      <c r="C213" s="21">
        <f t="shared" si="20"/>
        <v>45860</v>
      </c>
      <c r="D213" s="36" t="s">
        <v>164</v>
      </c>
      <c r="E213" s="147" t="s">
        <v>370</v>
      </c>
      <c r="F213" s="156" t="s">
        <v>374</v>
      </c>
    </row>
    <row r="214" spans="1:22" ht="15.75" hidden="1" thickBot="1" x14ac:dyDescent="0.3">
      <c r="B214" s="43" t="s">
        <v>171</v>
      </c>
      <c r="C214" s="21">
        <f t="shared" si="20"/>
        <v>45860</v>
      </c>
      <c r="D214" s="36" t="s">
        <v>165</v>
      </c>
      <c r="E214" s="147" t="s">
        <v>370</v>
      </c>
      <c r="F214" s="156" t="s">
        <v>374</v>
      </c>
      <c r="U214" s="68">
        <f>10000/7500</f>
        <v>1.3333333333333333</v>
      </c>
    </row>
    <row r="215" spans="1:22" ht="15.75" hidden="1" thickBot="1" x14ac:dyDescent="0.3">
      <c r="B215" s="43" t="s">
        <v>171</v>
      </c>
      <c r="C215" s="21">
        <f t="shared" si="20"/>
        <v>45860</v>
      </c>
      <c r="D215" s="36" t="s">
        <v>166</v>
      </c>
      <c r="E215" s="147" t="s">
        <v>370</v>
      </c>
      <c r="F215" s="156" t="s">
        <v>374</v>
      </c>
      <c r="U215" s="199" t="s">
        <v>414</v>
      </c>
      <c r="V215" s="200" t="s">
        <v>413</v>
      </c>
    </row>
    <row r="216" spans="1:22" ht="15.75" hidden="1" thickBot="1" x14ac:dyDescent="0.3">
      <c r="B216" s="43" t="s">
        <v>171</v>
      </c>
      <c r="C216" s="21">
        <f t="shared" si="20"/>
        <v>45860</v>
      </c>
      <c r="D216" s="36" t="s">
        <v>167</v>
      </c>
      <c r="E216" s="147" t="s">
        <v>370</v>
      </c>
      <c r="F216" s="156" t="s">
        <v>374</v>
      </c>
    </row>
    <row r="217" spans="1:22" ht="15.75" hidden="1" thickBot="1" x14ac:dyDescent="0.3">
      <c r="B217" s="43" t="s">
        <v>171</v>
      </c>
      <c r="C217" s="21">
        <f t="shared" si="20"/>
        <v>45860</v>
      </c>
      <c r="D217" s="36" t="s">
        <v>168</v>
      </c>
      <c r="E217" s="147" t="s">
        <v>370</v>
      </c>
      <c r="F217" s="156" t="s">
        <v>374</v>
      </c>
    </row>
    <row r="218" spans="1:22" ht="15.75" hidden="1" thickBot="1" x14ac:dyDescent="0.3">
      <c r="B218" s="43" t="s">
        <v>171</v>
      </c>
      <c r="C218" s="21">
        <f t="shared" si="20"/>
        <v>45860</v>
      </c>
      <c r="D218" s="36" t="s">
        <v>169</v>
      </c>
      <c r="E218" s="147" t="s">
        <v>370</v>
      </c>
      <c r="F218" s="156" t="s">
        <v>374</v>
      </c>
    </row>
    <row r="219" spans="1:22" ht="15.75" hidden="1" thickBot="1" x14ac:dyDescent="0.3">
      <c r="B219" s="47" t="s">
        <v>171</v>
      </c>
      <c r="C219" s="48">
        <f t="shared" si="20"/>
        <v>45860</v>
      </c>
      <c r="D219" s="62" t="s">
        <v>170</v>
      </c>
      <c r="E219" s="148" t="s">
        <v>370</v>
      </c>
      <c r="F219" s="157" t="s">
        <v>374</v>
      </c>
    </row>
    <row r="220" spans="1:22" ht="6" hidden="1" customHeight="1" thickBot="1" x14ac:dyDescent="0.3">
      <c r="A220" s="201"/>
    </row>
    <row r="221" spans="1:22" ht="15.75" hidden="1" thickBot="1" x14ac:dyDescent="0.3">
      <c r="B221" s="206" t="s">
        <v>172</v>
      </c>
      <c r="C221" s="207">
        <f>C219+1</f>
        <v>45861</v>
      </c>
      <c r="D221" s="208" t="s">
        <v>162</v>
      </c>
      <c r="E221" s="209" t="s">
        <v>370</v>
      </c>
      <c r="F221" s="210" t="s">
        <v>374</v>
      </c>
    </row>
    <row r="222" spans="1:22" ht="15.75" hidden="1" thickBot="1" x14ac:dyDescent="0.3">
      <c r="B222" s="43" t="s">
        <v>172</v>
      </c>
      <c r="C222" s="21">
        <f t="shared" ref="C222:C229" si="21">C221</f>
        <v>45861</v>
      </c>
      <c r="D222" s="36" t="s">
        <v>163</v>
      </c>
      <c r="E222" s="147" t="s">
        <v>370</v>
      </c>
      <c r="F222" s="156" t="s">
        <v>374</v>
      </c>
    </row>
    <row r="223" spans="1:22" ht="15.75" hidden="1" thickBot="1" x14ac:dyDescent="0.3">
      <c r="B223" s="43" t="s">
        <v>172</v>
      </c>
      <c r="C223" s="21">
        <f t="shared" si="21"/>
        <v>45861</v>
      </c>
      <c r="D223" s="36" t="s">
        <v>164</v>
      </c>
      <c r="E223" s="147" t="s">
        <v>370</v>
      </c>
      <c r="F223" s="156" t="s">
        <v>374</v>
      </c>
    </row>
    <row r="224" spans="1:22" ht="15.75" hidden="1" thickBot="1" x14ac:dyDescent="0.3">
      <c r="B224" s="211" t="s">
        <v>172</v>
      </c>
      <c r="C224" s="212">
        <f t="shared" si="21"/>
        <v>45861</v>
      </c>
      <c r="D224" s="213" t="s">
        <v>165</v>
      </c>
      <c r="E224" s="214" t="s">
        <v>370</v>
      </c>
      <c r="F224" s="215" t="s">
        <v>382</v>
      </c>
    </row>
    <row r="225" spans="2:6" ht="15.75" hidden="1" thickBot="1" x14ac:dyDescent="0.3">
      <c r="B225" s="211" t="s">
        <v>172</v>
      </c>
      <c r="C225" s="212">
        <f t="shared" si="21"/>
        <v>45861</v>
      </c>
      <c r="D225" s="213" t="s">
        <v>166</v>
      </c>
      <c r="E225" s="214" t="s">
        <v>370</v>
      </c>
      <c r="F225" s="215" t="s">
        <v>382</v>
      </c>
    </row>
    <row r="226" spans="2:6" ht="15.75" hidden="1" thickBot="1" x14ac:dyDescent="0.3">
      <c r="B226" s="211" t="s">
        <v>172</v>
      </c>
      <c r="C226" s="212">
        <f t="shared" si="21"/>
        <v>45861</v>
      </c>
      <c r="D226" s="213" t="s">
        <v>167</v>
      </c>
      <c r="E226" s="214" t="s">
        <v>370</v>
      </c>
      <c r="F226" s="215" t="s">
        <v>382</v>
      </c>
    </row>
    <row r="227" spans="2:6" ht="15.75" hidden="1" thickBot="1" x14ac:dyDescent="0.3">
      <c r="B227" s="43" t="s">
        <v>172</v>
      </c>
      <c r="C227" s="21">
        <f t="shared" si="21"/>
        <v>45861</v>
      </c>
      <c r="D227" s="36" t="s">
        <v>168</v>
      </c>
      <c r="E227" s="147" t="s">
        <v>370</v>
      </c>
      <c r="F227" s="156" t="s">
        <v>382</v>
      </c>
    </row>
    <row r="228" spans="2:6" ht="15.75" hidden="1" thickBot="1" x14ac:dyDescent="0.3">
      <c r="B228" s="43" t="s">
        <v>172</v>
      </c>
      <c r="C228" s="21">
        <f t="shared" si="21"/>
        <v>45861</v>
      </c>
      <c r="D228" s="36" t="s">
        <v>169</v>
      </c>
      <c r="E228" s="147" t="s">
        <v>370</v>
      </c>
      <c r="F228" s="156" t="s">
        <v>382</v>
      </c>
    </row>
    <row r="229" spans="2:6" ht="15.75" hidden="1" thickBot="1" x14ac:dyDescent="0.3">
      <c r="B229" s="216" t="s">
        <v>172</v>
      </c>
      <c r="C229" s="217">
        <f t="shared" si="21"/>
        <v>45861</v>
      </c>
      <c r="D229" s="218" t="s">
        <v>170</v>
      </c>
      <c r="E229" s="219" t="s">
        <v>370</v>
      </c>
      <c r="F229" s="220" t="s">
        <v>382</v>
      </c>
    </row>
    <row r="230" spans="2:6" ht="6" hidden="1" customHeight="1" thickBot="1" x14ac:dyDescent="0.3"/>
    <row r="231" spans="2:6" ht="15.75" hidden="1" thickBot="1" x14ac:dyDescent="0.3">
      <c r="B231" s="206" t="s">
        <v>173</v>
      </c>
      <c r="C231" s="207">
        <f>C229+1</f>
        <v>45862</v>
      </c>
      <c r="D231" s="208" t="s">
        <v>162</v>
      </c>
      <c r="E231" s="209" t="s">
        <v>370</v>
      </c>
      <c r="F231" s="210" t="s">
        <v>382</v>
      </c>
    </row>
    <row r="232" spans="2:6" ht="15.75" hidden="1" thickBot="1" x14ac:dyDescent="0.3">
      <c r="B232" s="43" t="s">
        <v>173</v>
      </c>
      <c r="C232" s="21">
        <f t="shared" ref="C232:C239" si="22">C231</f>
        <v>45862</v>
      </c>
      <c r="D232" s="36" t="s">
        <v>163</v>
      </c>
      <c r="E232" s="147" t="s">
        <v>370</v>
      </c>
      <c r="F232" s="156" t="s">
        <v>382</v>
      </c>
    </row>
    <row r="233" spans="2:6" ht="15.75" hidden="1" thickBot="1" x14ac:dyDescent="0.3">
      <c r="B233" s="43" t="s">
        <v>173</v>
      </c>
      <c r="C233" s="21">
        <f t="shared" si="22"/>
        <v>45862</v>
      </c>
      <c r="D233" s="36" t="s">
        <v>164</v>
      </c>
      <c r="E233" s="147" t="s">
        <v>370</v>
      </c>
      <c r="F233" s="156" t="s">
        <v>382</v>
      </c>
    </row>
    <row r="234" spans="2:6" ht="15.75" hidden="1" thickBot="1" x14ac:dyDescent="0.3">
      <c r="B234" s="211" t="s">
        <v>173</v>
      </c>
      <c r="C234" s="212">
        <f t="shared" si="22"/>
        <v>45862</v>
      </c>
      <c r="D234" s="213" t="s">
        <v>165</v>
      </c>
      <c r="E234" s="214" t="s">
        <v>370</v>
      </c>
      <c r="F234" s="221" t="s">
        <v>382</v>
      </c>
    </row>
    <row r="235" spans="2:6" ht="15.75" hidden="1" thickBot="1" x14ac:dyDescent="0.3">
      <c r="B235" s="211" t="s">
        <v>173</v>
      </c>
      <c r="C235" s="212">
        <f t="shared" si="22"/>
        <v>45862</v>
      </c>
      <c r="D235" s="213" t="s">
        <v>166</v>
      </c>
      <c r="E235" s="214" t="s">
        <v>370</v>
      </c>
      <c r="F235" s="215" t="s">
        <v>382</v>
      </c>
    </row>
    <row r="236" spans="2:6" ht="15.75" hidden="1" thickBot="1" x14ac:dyDescent="0.3">
      <c r="B236" s="211" t="s">
        <v>173</v>
      </c>
      <c r="C236" s="212">
        <f t="shared" si="22"/>
        <v>45862</v>
      </c>
      <c r="D236" s="213" t="s">
        <v>167</v>
      </c>
      <c r="E236" s="214" t="s">
        <v>5</v>
      </c>
      <c r="F236" s="215" t="s">
        <v>382</v>
      </c>
    </row>
    <row r="237" spans="2:6" ht="15.75" hidden="1" thickBot="1" x14ac:dyDescent="0.3">
      <c r="B237" s="43" t="s">
        <v>173</v>
      </c>
      <c r="C237" s="21">
        <f t="shared" si="22"/>
        <v>45862</v>
      </c>
      <c r="D237" s="36" t="s">
        <v>168</v>
      </c>
      <c r="E237" s="147" t="s">
        <v>5</v>
      </c>
      <c r="F237" s="156" t="s">
        <v>375</v>
      </c>
    </row>
    <row r="238" spans="2:6" ht="15.75" hidden="1" thickBot="1" x14ac:dyDescent="0.3">
      <c r="B238" s="43" t="s">
        <v>173</v>
      </c>
      <c r="C238" s="21">
        <f t="shared" si="22"/>
        <v>45862</v>
      </c>
      <c r="D238" s="36" t="s">
        <v>169</v>
      </c>
      <c r="E238" s="147" t="s">
        <v>5</v>
      </c>
      <c r="F238" s="156" t="s">
        <v>375</v>
      </c>
    </row>
    <row r="239" spans="2:6" ht="15.75" hidden="1" thickBot="1" x14ac:dyDescent="0.3">
      <c r="B239" s="216" t="s">
        <v>173</v>
      </c>
      <c r="C239" s="217">
        <f t="shared" si="22"/>
        <v>45862</v>
      </c>
      <c r="D239" s="218" t="s">
        <v>170</v>
      </c>
      <c r="E239" s="219" t="s">
        <v>5</v>
      </c>
      <c r="F239" s="220" t="s">
        <v>375</v>
      </c>
    </row>
    <row r="240" spans="2:6" ht="6" hidden="1" customHeight="1" thickBot="1" x14ac:dyDescent="0.3"/>
    <row r="241" spans="1:6" ht="15.75" hidden="1" thickBot="1" x14ac:dyDescent="0.3">
      <c r="B241" s="206" t="s">
        <v>174</v>
      </c>
      <c r="C241" s="207">
        <f>C239+1</f>
        <v>45863</v>
      </c>
      <c r="D241" s="208" t="s">
        <v>162</v>
      </c>
      <c r="E241" s="209" t="s">
        <v>5</v>
      </c>
      <c r="F241" s="210" t="s">
        <v>375</v>
      </c>
    </row>
    <row r="242" spans="1:6" ht="15.75" hidden="1" thickBot="1" x14ac:dyDescent="0.3">
      <c r="B242" s="43" t="s">
        <v>174</v>
      </c>
      <c r="C242" s="21">
        <f t="shared" ref="C242:C248" si="23">C241</f>
        <v>45863</v>
      </c>
      <c r="D242" s="36" t="s">
        <v>163</v>
      </c>
      <c r="E242" s="147" t="s">
        <v>5</v>
      </c>
      <c r="F242" s="156" t="s">
        <v>375</v>
      </c>
    </row>
    <row r="243" spans="1:6" ht="15.75" hidden="1" thickBot="1" x14ac:dyDescent="0.3">
      <c r="B243" s="211" t="s">
        <v>174</v>
      </c>
      <c r="C243" s="212">
        <f t="shared" si="23"/>
        <v>45863</v>
      </c>
      <c r="D243" s="213" t="s">
        <v>164</v>
      </c>
      <c r="E243" s="214" t="s">
        <v>5</v>
      </c>
      <c r="F243" s="215" t="s">
        <v>375</v>
      </c>
    </row>
    <row r="244" spans="1:6" ht="15.75" hidden="1" thickBot="1" x14ac:dyDescent="0.3">
      <c r="B244" s="211" t="s">
        <v>174</v>
      </c>
      <c r="C244" s="212">
        <f t="shared" si="23"/>
        <v>45863</v>
      </c>
      <c r="D244" s="213" t="s">
        <v>165</v>
      </c>
      <c r="E244" s="214" t="s">
        <v>5</v>
      </c>
      <c r="F244" s="215" t="s">
        <v>375</v>
      </c>
    </row>
    <row r="245" spans="1:6" ht="15.75" hidden="1" thickBot="1" x14ac:dyDescent="0.3">
      <c r="B245" s="211" t="s">
        <v>174</v>
      </c>
      <c r="C245" s="212">
        <f t="shared" si="23"/>
        <v>45863</v>
      </c>
      <c r="D245" s="213" t="s">
        <v>166</v>
      </c>
      <c r="E245" s="214" t="s">
        <v>5</v>
      </c>
      <c r="F245" s="215" t="s">
        <v>375</v>
      </c>
    </row>
    <row r="246" spans="1:6" ht="15.75" hidden="1" thickBot="1" x14ac:dyDescent="0.3">
      <c r="B246" s="43" t="s">
        <v>174</v>
      </c>
      <c r="C246" s="21">
        <f t="shared" si="23"/>
        <v>45863</v>
      </c>
      <c r="D246" s="213" t="s">
        <v>167</v>
      </c>
      <c r="E246" s="214" t="s">
        <v>5</v>
      </c>
      <c r="F246" s="215" t="s">
        <v>375</v>
      </c>
    </row>
    <row r="247" spans="1:6" ht="15.75" hidden="1" thickBot="1" x14ac:dyDescent="0.3">
      <c r="B247" s="43" t="s">
        <v>174</v>
      </c>
      <c r="C247" s="21">
        <f t="shared" si="23"/>
        <v>45863</v>
      </c>
      <c r="D247" s="213" t="s">
        <v>168</v>
      </c>
      <c r="E247" s="214" t="s">
        <v>5</v>
      </c>
      <c r="F247" s="215" t="s">
        <v>375</v>
      </c>
    </row>
    <row r="248" spans="1:6" ht="15.75" hidden="1" thickBot="1" x14ac:dyDescent="0.3">
      <c r="B248" s="216" t="s">
        <v>174</v>
      </c>
      <c r="C248" s="217">
        <f t="shared" si="23"/>
        <v>45863</v>
      </c>
      <c r="D248" s="218" t="s">
        <v>169</v>
      </c>
      <c r="E248" s="219" t="s">
        <v>5</v>
      </c>
      <c r="F248" s="220" t="s">
        <v>375</v>
      </c>
    </row>
    <row r="249" spans="1:6" ht="6" hidden="1" customHeight="1" thickBot="1" x14ac:dyDescent="0.3">
      <c r="A249" s="196" t="s">
        <v>310</v>
      </c>
    </row>
    <row r="250" spans="1:6" ht="15.75" hidden="1" thickBot="1" x14ac:dyDescent="0.3">
      <c r="B250" s="206" t="s">
        <v>161</v>
      </c>
      <c r="C250" s="207">
        <f>C248+3</f>
        <v>45866</v>
      </c>
      <c r="D250" s="222" t="s">
        <v>162</v>
      </c>
      <c r="E250" s="223" t="s">
        <v>112</v>
      </c>
      <c r="F250" s="224" t="s">
        <v>376</v>
      </c>
    </row>
    <row r="251" spans="1:6" ht="15.75" hidden="1" thickBot="1" x14ac:dyDescent="0.3">
      <c r="B251" s="43" t="s">
        <v>161</v>
      </c>
      <c r="C251" s="21">
        <f t="shared" ref="C251:C258" si="24">C250</f>
        <v>45866</v>
      </c>
      <c r="D251" s="186" t="s">
        <v>163</v>
      </c>
      <c r="E251" s="184" t="s">
        <v>112</v>
      </c>
      <c r="F251" s="151" t="s">
        <v>376</v>
      </c>
    </row>
    <row r="252" spans="1:6" ht="15.75" hidden="1" thickBot="1" x14ac:dyDescent="0.3">
      <c r="B252" s="43" t="s">
        <v>161</v>
      </c>
      <c r="C252" s="21">
        <f t="shared" si="24"/>
        <v>45866</v>
      </c>
      <c r="D252" s="186" t="s">
        <v>164</v>
      </c>
      <c r="E252" s="184" t="s">
        <v>112</v>
      </c>
      <c r="F252" s="151" t="s">
        <v>376</v>
      </c>
    </row>
    <row r="253" spans="1:6" ht="15.75" hidden="1" thickBot="1" x14ac:dyDescent="0.3">
      <c r="B253" s="211" t="s">
        <v>161</v>
      </c>
      <c r="C253" s="212">
        <f t="shared" si="24"/>
        <v>45866</v>
      </c>
      <c r="D253" s="225" t="s">
        <v>165</v>
      </c>
      <c r="E253" s="226" t="s">
        <v>112</v>
      </c>
      <c r="F253" s="221" t="s">
        <v>376</v>
      </c>
    </row>
    <row r="254" spans="1:6" ht="15.75" hidden="1" thickBot="1" x14ac:dyDescent="0.3">
      <c r="B254" s="211" t="s">
        <v>161</v>
      </c>
      <c r="C254" s="212">
        <f t="shared" si="24"/>
        <v>45866</v>
      </c>
      <c r="D254" s="225" t="s">
        <v>166</v>
      </c>
      <c r="E254" s="226" t="s">
        <v>112</v>
      </c>
      <c r="F254" s="221" t="s">
        <v>376</v>
      </c>
    </row>
    <row r="255" spans="1:6" ht="15.75" hidden="1" thickBot="1" x14ac:dyDescent="0.3">
      <c r="B255" s="211" t="s">
        <v>161</v>
      </c>
      <c r="C255" s="212">
        <f t="shared" si="24"/>
        <v>45866</v>
      </c>
      <c r="D255" s="225" t="s">
        <v>167</v>
      </c>
      <c r="E255" s="226" t="s">
        <v>112</v>
      </c>
      <c r="F255" s="221" t="s">
        <v>376</v>
      </c>
    </row>
    <row r="256" spans="1:6" ht="15.75" hidden="1" thickBot="1" x14ac:dyDescent="0.3">
      <c r="B256" s="43" t="s">
        <v>161</v>
      </c>
      <c r="C256" s="21">
        <f t="shared" si="24"/>
        <v>45866</v>
      </c>
      <c r="D256" s="186" t="s">
        <v>167</v>
      </c>
      <c r="E256" s="184" t="s">
        <v>112</v>
      </c>
      <c r="F256" s="151" t="s">
        <v>376</v>
      </c>
    </row>
    <row r="257" spans="2:6" ht="15.75" hidden="1" thickBot="1" x14ac:dyDescent="0.3">
      <c r="B257" s="43" t="s">
        <v>161</v>
      </c>
      <c r="C257" s="21">
        <f t="shared" si="24"/>
        <v>45866</v>
      </c>
      <c r="D257" s="186" t="s">
        <v>169</v>
      </c>
      <c r="E257" s="184" t="s">
        <v>112</v>
      </c>
      <c r="F257" s="151" t="s">
        <v>376</v>
      </c>
    </row>
    <row r="258" spans="2:6" ht="15.75" hidden="1" thickBot="1" x14ac:dyDescent="0.3">
      <c r="B258" s="216" t="s">
        <v>161</v>
      </c>
      <c r="C258" s="217">
        <f t="shared" si="24"/>
        <v>45866</v>
      </c>
      <c r="D258" s="227" t="s">
        <v>170</v>
      </c>
      <c r="E258" s="228" t="s">
        <v>112</v>
      </c>
      <c r="F258" s="229" t="s">
        <v>376</v>
      </c>
    </row>
    <row r="259" spans="2:6" ht="6" hidden="1" customHeight="1" thickBot="1" x14ac:dyDescent="0.3"/>
    <row r="260" spans="2:6" x14ac:dyDescent="0.25">
      <c r="B260" s="206" t="s">
        <v>171</v>
      </c>
      <c r="C260" s="207">
        <f>C258+1</f>
        <v>45867</v>
      </c>
      <c r="D260" s="222" t="s">
        <v>162</v>
      </c>
      <c r="E260" s="223" t="s">
        <v>427</v>
      </c>
      <c r="F260" s="224" t="s">
        <v>375</v>
      </c>
    </row>
    <row r="261" spans="2:6" x14ac:dyDescent="0.25">
      <c r="B261" s="43" t="s">
        <v>171</v>
      </c>
      <c r="C261" s="21">
        <f t="shared" ref="C261:C268" si="25">C260</f>
        <v>45867</v>
      </c>
      <c r="D261" s="186" t="s">
        <v>163</v>
      </c>
      <c r="E261" s="184" t="s">
        <v>427</v>
      </c>
      <c r="F261" s="151" t="s">
        <v>375</v>
      </c>
    </row>
    <row r="262" spans="2:6" x14ac:dyDescent="0.25">
      <c r="B262" s="43" t="s">
        <v>171</v>
      </c>
      <c r="C262" s="21">
        <f t="shared" si="25"/>
        <v>45867</v>
      </c>
      <c r="D262" s="186" t="s">
        <v>164</v>
      </c>
      <c r="E262" s="184" t="s">
        <v>427</v>
      </c>
      <c r="F262" s="151" t="s">
        <v>375</v>
      </c>
    </row>
    <row r="263" spans="2:6" x14ac:dyDescent="0.25">
      <c r="B263" s="211" t="s">
        <v>171</v>
      </c>
      <c r="C263" s="212">
        <f t="shared" si="25"/>
        <v>45867</v>
      </c>
      <c r="D263" s="225" t="s">
        <v>165</v>
      </c>
      <c r="E263" s="226" t="s">
        <v>427</v>
      </c>
      <c r="F263" s="221" t="s">
        <v>375</v>
      </c>
    </row>
    <row r="264" spans="2:6" x14ac:dyDescent="0.25">
      <c r="B264" s="211" t="s">
        <v>171</v>
      </c>
      <c r="C264" s="212">
        <f t="shared" si="25"/>
        <v>45867</v>
      </c>
      <c r="D264" s="225" t="s">
        <v>166</v>
      </c>
      <c r="E264" s="226" t="s">
        <v>427</v>
      </c>
      <c r="F264" s="221" t="s">
        <v>375</v>
      </c>
    </row>
    <row r="265" spans="2:6" x14ac:dyDescent="0.25">
      <c r="B265" s="211" t="s">
        <v>171</v>
      </c>
      <c r="C265" s="212">
        <f t="shared" si="25"/>
        <v>45867</v>
      </c>
      <c r="D265" s="225" t="s">
        <v>167</v>
      </c>
      <c r="E265" s="226" t="s">
        <v>427</v>
      </c>
      <c r="F265" s="221" t="s">
        <v>375</v>
      </c>
    </row>
    <row r="266" spans="2:6" x14ac:dyDescent="0.25">
      <c r="B266" s="43" t="s">
        <v>171</v>
      </c>
      <c r="C266" s="21">
        <f t="shared" si="25"/>
        <v>45867</v>
      </c>
      <c r="D266" s="186" t="s">
        <v>168</v>
      </c>
      <c r="E266" s="184" t="s">
        <v>427</v>
      </c>
      <c r="F266" s="151" t="s">
        <v>375</v>
      </c>
    </row>
    <row r="267" spans="2:6" x14ac:dyDescent="0.25">
      <c r="B267" s="43" t="s">
        <v>171</v>
      </c>
      <c r="C267" s="21">
        <f t="shared" si="25"/>
        <v>45867</v>
      </c>
      <c r="D267" s="186" t="s">
        <v>169</v>
      </c>
      <c r="E267" s="184" t="s">
        <v>427</v>
      </c>
      <c r="F267" s="151" t="s">
        <v>376</v>
      </c>
    </row>
    <row r="268" spans="2:6" ht="15.75" thickBot="1" x14ac:dyDescent="0.3">
      <c r="B268" s="216" t="s">
        <v>171</v>
      </c>
      <c r="C268" s="217">
        <f t="shared" si="25"/>
        <v>45867</v>
      </c>
      <c r="D268" s="227" t="s">
        <v>170</v>
      </c>
      <c r="E268" s="228" t="s">
        <v>427</v>
      </c>
      <c r="F268" s="229" t="s">
        <v>376</v>
      </c>
    </row>
    <row r="269" spans="2:6" ht="6" customHeight="1" thickBot="1" x14ac:dyDescent="0.3"/>
    <row r="270" spans="2:6" x14ac:dyDescent="0.25">
      <c r="B270" s="206" t="s">
        <v>172</v>
      </c>
      <c r="C270" s="207">
        <f>C268+1</f>
        <v>45868</v>
      </c>
      <c r="D270" s="222" t="s">
        <v>162</v>
      </c>
      <c r="E270" s="223" t="s">
        <v>427</v>
      </c>
      <c r="F270" s="224" t="s">
        <v>376</v>
      </c>
    </row>
    <row r="271" spans="2:6" x14ac:dyDescent="0.25">
      <c r="B271" s="43" t="s">
        <v>172</v>
      </c>
      <c r="C271" s="21">
        <f t="shared" ref="C271:C278" si="26">C270</f>
        <v>45868</v>
      </c>
      <c r="D271" s="186" t="s">
        <v>163</v>
      </c>
      <c r="E271" s="184" t="s">
        <v>427</v>
      </c>
      <c r="F271" s="151" t="s">
        <v>376</v>
      </c>
    </row>
    <row r="272" spans="2:6" x14ac:dyDescent="0.25">
      <c r="B272" s="43" t="s">
        <v>172</v>
      </c>
      <c r="C272" s="21">
        <f t="shared" si="26"/>
        <v>45868</v>
      </c>
      <c r="D272" s="186" t="s">
        <v>164</v>
      </c>
      <c r="E272" s="184" t="s">
        <v>427</v>
      </c>
      <c r="F272" s="151" t="s">
        <v>376</v>
      </c>
    </row>
    <row r="273" spans="2:6" x14ac:dyDescent="0.25">
      <c r="B273" s="211" t="s">
        <v>172</v>
      </c>
      <c r="C273" s="212">
        <f t="shared" si="26"/>
        <v>45868</v>
      </c>
      <c r="D273" s="225" t="s">
        <v>165</v>
      </c>
      <c r="E273" s="226" t="s">
        <v>427</v>
      </c>
      <c r="F273" s="221" t="s">
        <v>376</v>
      </c>
    </row>
    <row r="274" spans="2:6" x14ac:dyDescent="0.25">
      <c r="B274" s="211" t="s">
        <v>172</v>
      </c>
      <c r="C274" s="212">
        <f t="shared" si="26"/>
        <v>45868</v>
      </c>
      <c r="D274" s="225" t="s">
        <v>166</v>
      </c>
      <c r="E274" s="226" t="s">
        <v>427</v>
      </c>
      <c r="F274" s="221" t="s">
        <v>376</v>
      </c>
    </row>
    <row r="275" spans="2:6" x14ac:dyDescent="0.25">
      <c r="B275" s="211" t="s">
        <v>172</v>
      </c>
      <c r="C275" s="212">
        <f t="shared" si="26"/>
        <v>45868</v>
      </c>
      <c r="D275" s="225" t="s">
        <v>167</v>
      </c>
      <c r="E275" s="226" t="s">
        <v>427</v>
      </c>
      <c r="F275" s="221" t="s">
        <v>376</v>
      </c>
    </row>
    <row r="276" spans="2:6" x14ac:dyDescent="0.25">
      <c r="B276" s="43" t="s">
        <v>172</v>
      </c>
      <c r="C276" s="21">
        <f t="shared" si="26"/>
        <v>45868</v>
      </c>
      <c r="D276" s="186" t="s">
        <v>168</v>
      </c>
      <c r="E276" s="184" t="s">
        <v>427</v>
      </c>
      <c r="F276" s="151" t="s">
        <v>376</v>
      </c>
    </row>
    <row r="277" spans="2:6" x14ac:dyDescent="0.25">
      <c r="B277" s="43" t="s">
        <v>172</v>
      </c>
      <c r="C277" s="21">
        <f t="shared" si="26"/>
        <v>45868</v>
      </c>
      <c r="D277" s="186" t="s">
        <v>169</v>
      </c>
      <c r="E277" s="184" t="s">
        <v>427</v>
      </c>
      <c r="F277" s="151" t="s">
        <v>425</v>
      </c>
    </row>
    <row r="278" spans="2:6" ht="15.75" thickBot="1" x14ac:dyDescent="0.3">
      <c r="B278" s="216" t="s">
        <v>172</v>
      </c>
      <c r="C278" s="217">
        <f t="shared" si="26"/>
        <v>45868</v>
      </c>
      <c r="D278" s="227" t="s">
        <v>170</v>
      </c>
      <c r="E278" s="228" t="s">
        <v>427</v>
      </c>
      <c r="F278" s="229" t="s">
        <v>425</v>
      </c>
    </row>
    <row r="279" spans="2:6" ht="6" customHeight="1" thickBot="1" x14ac:dyDescent="0.3"/>
    <row r="280" spans="2:6" ht="15" customHeight="1" x14ac:dyDescent="0.25">
      <c r="B280" s="206" t="s">
        <v>173</v>
      </c>
      <c r="C280" s="207">
        <f>C278+1</f>
        <v>45869</v>
      </c>
      <c r="D280" s="222" t="s">
        <v>162</v>
      </c>
      <c r="E280" s="223" t="s">
        <v>427</v>
      </c>
      <c r="F280" s="224" t="s">
        <v>425</v>
      </c>
    </row>
    <row r="281" spans="2:6" x14ac:dyDescent="0.25">
      <c r="B281" s="43" t="s">
        <v>173</v>
      </c>
      <c r="C281" s="21">
        <f t="shared" ref="C281:C288" si="27">C280</f>
        <v>45869</v>
      </c>
      <c r="D281" s="186" t="s">
        <v>163</v>
      </c>
      <c r="E281" s="184" t="s">
        <v>427</v>
      </c>
      <c r="F281" s="151" t="s">
        <v>425</v>
      </c>
    </row>
    <row r="282" spans="2:6" x14ac:dyDescent="0.25">
      <c r="B282" s="43" t="s">
        <v>173</v>
      </c>
      <c r="C282" s="21">
        <f t="shared" si="27"/>
        <v>45869</v>
      </c>
      <c r="D282" s="186" t="s">
        <v>164</v>
      </c>
      <c r="E282" s="184" t="s">
        <v>427</v>
      </c>
      <c r="F282" s="151" t="s">
        <v>425</v>
      </c>
    </row>
    <row r="283" spans="2:6" x14ac:dyDescent="0.25">
      <c r="B283" s="211" t="s">
        <v>173</v>
      </c>
      <c r="C283" s="212">
        <f t="shared" si="27"/>
        <v>45869</v>
      </c>
      <c r="D283" s="225" t="s">
        <v>165</v>
      </c>
      <c r="E283" s="226" t="s">
        <v>427</v>
      </c>
      <c r="F283" s="221" t="s">
        <v>425</v>
      </c>
    </row>
    <row r="284" spans="2:6" x14ac:dyDescent="0.25">
      <c r="B284" s="211" t="s">
        <v>173</v>
      </c>
      <c r="C284" s="212">
        <f t="shared" si="27"/>
        <v>45869</v>
      </c>
      <c r="D284" s="225" t="s">
        <v>166</v>
      </c>
      <c r="E284" s="226" t="s">
        <v>427</v>
      </c>
      <c r="F284" s="221" t="s">
        <v>425</v>
      </c>
    </row>
    <row r="285" spans="2:6" x14ac:dyDescent="0.25">
      <c r="B285" s="211" t="s">
        <v>173</v>
      </c>
      <c r="C285" s="212">
        <f t="shared" si="27"/>
        <v>45869</v>
      </c>
      <c r="D285" s="225" t="s">
        <v>167</v>
      </c>
      <c r="E285" s="226" t="s">
        <v>427</v>
      </c>
      <c r="F285" s="221" t="s">
        <v>425</v>
      </c>
    </row>
    <row r="286" spans="2:6" x14ac:dyDescent="0.25">
      <c r="B286" s="43" t="s">
        <v>173</v>
      </c>
      <c r="C286" s="21">
        <f t="shared" si="27"/>
        <v>45869</v>
      </c>
      <c r="D286" s="186" t="s">
        <v>168</v>
      </c>
      <c r="E286" s="184" t="s">
        <v>427</v>
      </c>
      <c r="F286" s="151" t="s">
        <v>425</v>
      </c>
    </row>
    <row r="287" spans="2:6" x14ac:dyDescent="0.25">
      <c r="B287" s="43" t="s">
        <v>173</v>
      </c>
      <c r="C287" s="21">
        <f t="shared" si="27"/>
        <v>45869</v>
      </c>
      <c r="D287" s="186" t="s">
        <v>169</v>
      </c>
      <c r="E287" s="184" t="s">
        <v>427</v>
      </c>
      <c r="F287" s="151" t="s">
        <v>426</v>
      </c>
    </row>
    <row r="288" spans="2:6" ht="15.75" thickBot="1" x14ac:dyDescent="0.3">
      <c r="B288" s="216" t="s">
        <v>173</v>
      </c>
      <c r="C288" s="217">
        <f t="shared" si="27"/>
        <v>45869</v>
      </c>
      <c r="D288" s="227" t="s">
        <v>170</v>
      </c>
      <c r="E288" s="228" t="s">
        <v>427</v>
      </c>
      <c r="F288" s="229" t="s">
        <v>426</v>
      </c>
    </row>
    <row r="289" spans="1:7" ht="6" customHeight="1" thickBot="1" x14ac:dyDescent="0.3"/>
    <row r="290" spans="1:7" x14ac:dyDescent="0.25">
      <c r="B290" s="206" t="s">
        <v>174</v>
      </c>
      <c r="C290" s="207">
        <f>C288+1</f>
        <v>45870</v>
      </c>
      <c r="D290" s="222" t="s">
        <v>162</v>
      </c>
      <c r="E290" s="223" t="s">
        <v>427</v>
      </c>
      <c r="F290" s="224" t="s">
        <v>426</v>
      </c>
    </row>
    <row r="291" spans="1:7" x14ac:dyDescent="0.25">
      <c r="B291" s="43" t="s">
        <v>174</v>
      </c>
      <c r="C291" s="21">
        <f>C290</f>
        <v>45870</v>
      </c>
      <c r="D291" s="186" t="s">
        <v>163</v>
      </c>
      <c r="E291" s="184" t="s">
        <v>427</v>
      </c>
      <c r="F291" s="151" t="s">
        <v>426</v>
      </c>
    </row>
    <row r="292" spans="1:7" x14ac:dyDescent="0.25">
      <c r="B292" s="211" t="s">
        <v>174</v>
      </c>
      <c r="C292" s="212">
        <f>C291</f>
        <v>45870</v>
      </c>
      <c r="D292" s="225" t="s">
        <v>164</v>
      </c>
      <c r="E292" s="226" t="s">
        <v>427</v>
      </c>
      <c r="F292" s="221" t="s">
        <v>426</v>
      </c>
    </row>
    <row r="293" spans="1:7" x14ac:dyDescent="0.25">
      <c r="B293" s="211" t="s">
        <v>174</v>
      </c>
      <c r="C293" s="212">
        <f>C292</f>
        <v>45870</v>
      </c>
      <c r="D293" s="225" t="s">
        <v>165</v>
      </c>
      <c r="E293" s="226" t="s">
        <v>427</v>
      </c>
      <c r="F293" s="221" t="s">
        <v>426</v>
      </c>
    </row>
    <row r="294" spans="1:7" x14ac:dyDescent="0.25">
      <c r="B294" s="43" t="s">
        <v>174</v>
      </c>
      <c r="C294" s="21">
        <f t="shared" ref="C294:C297" si="28">C293</f>
        <v>45870</v>
      </c>
      <c r="D294" s="186" t="s">
        <v>166</v>
      </c>
      <c r="E294" s="184" t="s">
        <v>427</v>
      </c>
      <c r="F294" s="151" t="s">
        <v>426</v>
      </c>
    </row>
    <row r="295" spans="1:7" x14ac:dyDescent="0.25">
      <c r="B295" s="43" t="s">
        <v>174</v>
      </c>
      <c r="C295" s="21">
        <f t="shared" si="28"/>
        <v>45870</v>
      </c>
      <c r="D295" s="186" t="s">
        <v>167</v>
      </c>
      <c r="E295" s="184" t="s">
        <v>427</v>
      </c>
      <c r="F295" s="151" t="s">
        <v>426</v>
      </c>
    </row>
    <row r="296" spans="1:7" x14ac:dyDescent="0.25">
      <c r="B296" s="43" t="s">
        <v>174</v>
      </c>
      <c r="C296" s="21">
        <f t="shared" si="28"/>
        <v>45870</v>
      </c>
      <c r="D296" s="186" t="s">
        <v>168</v>
      </c>
      <c r="E296" s="184" t="s">
        <v>427</v>
      </c>
      <c r="F296" s="151" t="s">
        <v>426</v>
      </c>
    </row>
    <row r="297" spans="1:7" ht="15.75" thickBot="1" x14ac:dyDescent="0.3">
      <c r="B297" s="47" t="s">
        <v>174</v>
      </c>
      <c r="C297" s="48">
        <f t="shared" si="28"/>
        <v>45870</v>
      </c>
      <c r="D297" s="188" t="s">
        <v>169</v>
      </c>
      <c r="E297" s="185" t="s">
        <v>427</v>
      </c>
      <c r="F297" s="152" t="s">
        <v>426</v>
      </c>
    </row>
    <row r="298" spans="1:7" ht="6" customHeight="1" thickBot="1" x14ac:dyDescent="0.3">
      <c r="A298" s="129" t="s">
        <v>310</v>
      </c>
      <c r="B298" s="111"/>
      <c r="C298" s="111"/>
      <c r="D298" s="111"/>
      <c r="E298" s="122"/>
      <c r="F298" s="122"/>
      <c r="G298" s="111"/>
    </row>
    <row r="299" spans="1:7" x14ac:dyDescent="0.25">
      <c r="B299" s="52" t="s">
        <v>161</v>
      </c>
      <c r="C299" s="53">
        <f>C297+3</f>
        <v>45873</v>
      </c>
      <c r="D299" s="187" t="s">
        <v>162</v>
      </c>
      <c r="E299" s="183" t="s">
        <v>427</v>
      </c>
      <c r="F299" s="150" t="s">
        <v>371</v>
      </c>
    </row>
    <row r="300" spans="1:7" x14ac:dyDescent="0.25">
      <c r="B300" s="43" t="s">
        <v>161</v>
      </c>
      <c r="C300" s="21">
        <f t="shared" ref="C300:C307" si="29">C299</f>
        <v>45873</v>
      </c>
      <c r="D300" s="186" t="s">
        <v>163</v>
      </c>
      <c r="E300" s="184" t="s">
        <v>427</v>
      </c>
      <c r="F300" s="151" t="s">
        <v>371</v>
      </c>
    </row>
    <row r="301" spans="1:7" x14ac:dyDescent="0.25">
      <c r="B301" s="43" t="s">
        <v>161</v>
      </c>
      <c r="C301" s="21">
        <f t="shared" si="29"/>
        <v>45873</v>
      </c>
      <c r="D301" s="186" t="s">
        <v>164</v>
      </c>
      <c r="E301" s="184" t="s">
        <v>427</v>
      </c>
      <c r="F301" s="151" t="s">
        <v>371</v>
      </c>
    </row>
    <row r="302" spans="1:7" x14ac:dyDescent="0.25">
      <c r="B302" s="43" t="s">
        <v>161</v>
      </c>
      <c r="C302" s="21">
        <f t="shared" si="29"/>
        <v>45873</v>
      </c>
      <c r="D302" s="186" t="s">
        <v>165</v>
      </c>
      <c r="E302" s="184" t="s">
        <v>427</v>
      </c>
      <c r="F302" s="151" t="s">
        <v>371</v>
      </c>
    </row>
    <row r="303" spans="1:7" x14ac:dyDescent="0.25">
      <c r="B303" s="43" t="s">
        <v>161</v>
      </c>
      <c r="C303" s="21">
        <f t="shared" si="29"/>
        <v>45873</v>
      </c>
      <c r="D303" s="186" t="s">
        <v>166</v>
      </c>
      <c r="E303" s="184" t="s">
        <v>427</v>
      </c>
      <c r="F303" s="151" t="s">
        <v>371</v>
      </c>
    </row>
    <row r="304" spans="1:7" x14ac:dyDescent="0.25">
      <c r="B304" s="43" t="s">
        <v>161</v>
      </c>
      <c r="C304" s="21">
        <f t="shared" si="29"/>
        <v>45873</v>
      </c>
      <c r="D304" s="186" t="s">
        <v>167</v>
      </c>
      <c r="E304" s="184" t="s">
        <v>427</v>
      </c>
      <c r="F304" s="151" t="s">
        <v>371</v>
      </c>
    </row>
    <row r="305" spans="1:7" x14ac:dyDescent="0.25">
      <c r="B305" s="43" t="s">
        <v>161</v>
      </c>
      <c r="C305" s="21">
        <f t="shared" si="29"/>
        <v>45873</v>
      </c>
      <c r="D305" s="186" t="s">
        <v>167</v>
      </c>
      <c r="E305" s="184" t="s">
        <v>427</v>
      </c>
      <c r="F305" s="151" t="s">
        <v>371</v>
      </c>
    </row>
    <row r="306" spans="1:7" x14ac:dyDescent="0.25">
      <c r="B306" s="43" t="s">
        <v>161</v>
      </c>
      <c r="C306" s="21">
        <f t="shared" si="29"/>
        <v>45873</v>
      </c>
      <c r="D306" s="186" t="s">
        <v>169</v>
      </c>
      <c r="E306" s="184" t="s">
        <v>427</v>
      </c>
      <c r="F306" s="151" t="s">
        <v>371</v>
      </c>
    </row>
    <row r="307" spans="1:7" ht="15.75" thickBot="1" x14ac:dyDescent="0.3">
      <c r="B307" s="47" t="s">
        <v>161</v>
      </c>
      <c r="C307" s="48">
        <f t="shared" si="29"/>
        <v>45873</v>
      </c>
      <c r="D307" s="188" t="s">
        <v>170</v>
      </c>
      <c r="E307" s="185" t="s">
        <v>427</v>
      </c>
      <c r="F307" s="152" t="s">
        <v>371</v>
      </c>
    </row>
    <row r="308" spans="1:7" ht="6" customHeight="1" thickBot="1" x14ac:dyDescent="0.3">
      <c r="A308" s="129" t="s">
        <v>310</v>
      </c>
      <c r="B308" s="111"/>
      <c r="C308" s="111"/>
      <c r="D308" s="111"/>
      <c r="E308" s="122"/>
      <c r="F308" s="122"/>
      <c r="G308" s="111"/>
    </row>
    <row r="309" spans="1:7" x14ac:dyDescent="0.25">
      <c r="B309" s="206" t="s">
        <v>171</v>
      </c>
      <c r="C309" s="207">
        <f>C307+1</f>
        <v>45874</v>
      </c>
      <c r="D309" s="222" t="s">
        <v>162</v>
      </c>
      <c r="E309" s="223" t="s">
        <v>427</v>
      </c>
      <c r="F309" s="224" t="s">
        <v>371</v>
      </c>
    </row>
    <row r="310" spans="1:7" x14ac:dyDescent="0.25">
      <c r="B310" s="43" t="s">
        <v>171</v>
      </c>
      <c r="C310" s="21">
        <f t="shared" ref="C310:C317" si="30">C309</f>
        <v>45874</v>
      </c>
      <c r="D310" s="186" t="s">
        <v>163</v>
      </c>
      <c r="E310" s="184" t="s">
        <v>427</v>
      </c>
      <c r="F310" s="151" t="s">
        <v>371</v>
      </c>
    </row>
    <row r="311" spans="1:7" x14ac:dyDescent="0.25">
      <c r="B311" s="43" t="s">
        <v>171</v>
      </c>
      <c r="C311" s="21">
        <f t="shared" si="30"/>
        <v>45874</v>
      </c>
      <c r="D311" s="186" t="s">
        <v>164</v>
      </c>
      <c r="E311" s="184" t="s">
        <v>427</v>
      </c>
      <c r="F311" s="151" t="s">
        <v>371</v>
      </c>
    </row>
    <row r="312" spans="1:7" x14ac:dyDescent="0.25">
      <c r="B312" s="211" t="s">
        <v>171</v>
      </c>
      <c r="C312" s="212">
        <f t="shared" si="30"/>
        <v>45874</v>
      </c>
      <c r="D312" s="225" t="s">
        <v>165</v>
      </c>
      <c r="E312" s="226" t="s">
        <v>427</v>
      </c>
      <c r="F312" s="221" t="s">
        <v>371</v>
      </c>
    </row>
    <row r="313" spans="1:7" x14ac:dyDescent="0.25">
      <c r="B313" s="211" t="s">
        <v>171</v>
      </c>
      <c r="C313" s="212">
        <f t="shared" si="30"/>
        <v>45874</v>
      </c>
      <c r="D313" s="225" t="s">
        <v>166</v>
      </c>
      <c r="E313" s="226" t="s">
        <v>427</v>
      </c>
      <c r="F313" s="221" t="s">
        <v>371</v>
      </c>
    </row>
    <row r="314" spans="1:7" x14ac:dyDescent="0.25">
      <c r="B314" s="211" t="s">
        <v>171</v>
      </c>
      <c r="C314" s="212">
        <f t="shared" si="30"/>
        <v>45874</v>
      </c>
      <c r="D314" s="225" t="s">
        <v>167</v>
      </c>
      <c r="E314" s="226" t="s">
        <v>427</v>
      </c>
      <c r="F314" s="221" t="s">
        <v>371</v>
      </c>
    </row>
    <row r="315" spans="1:7" x14ac:dyDescent="0.25">
      <c r="B315" s="43" t="s">
        <v>171</v>
      </c>
      <c r="C315" s="21">
        <f t="shared" si="30"/>
        <v>45874</v>
      </c>
      <c r="D315" s="186" t="s">
        <v>168</v>
      </c>
      <c r="E315" s="184" t="s">
        <v>427</v>
      </c>
      <c r="F315" s="151" t="s">
        <v>371</v>
      </c>
    </row>
    <row r="316" spans="1:7" x14ac:dyDescent="0.25">
      <c r="B316" s="43" t="s">
        <v>171</v>
      </c>
      <c r="C316" s="21">
        <f t="shared" si="30"/>
        <v>45874</v>
      </c>
      <c r="D316" s="186" t="s">
        <v>169</v>
      </c>
      <c r="E316" s="184" t="s">
        <v>427</v>
      </c>
      <c r="F316" s="151" t="s">
        <v>371</v>
      </c>
    </row>
    <row r="317" spans="1:7" ht="15.75" thickBot="1" x14ac:dyDescent="0.3">
      <c r="B317" s="216" t="s">
        <v>171</v>
      </c>
      <c r="C317" s="217">
        <f t="shared" si="30"/>
        <v>45874</v>
      </c>
      <c r="D317" s="227" t="s">
        <v>170</v>
      </c>
      <c r="E317" s="228" t="s">
        <v>427</v>
      </c>
      <c r="F317" s="229" t="s">
        <v>371</v>
      </c>
    </row>
    <row r="318" spans="1:7" ht="6" customHeight="1" thickBot="1" x14ac:dyDescent="0.3">
      <c r="A318" s="129" t="s">
        <v>310</v>
      </c>
      <c r="B318" s="111"/>
      <c r="C318" s="111"/>
      <c r="D318" s="111"/>
      <c r="E318" s="122"/>
      <c r="F318" s="122"/>
      <c r="G318" s="111"/>
    </row>
    <row r="319" spans="1:7" x14ac:dyDescent="0.25">
      <c r="B319" s="206" t="s">
        <v>172</v>
      </c>
      <c r="C319" s="207">
        <f>C317+1</f>
        <v>45875</v>
      </c>
      <c r="D319" s="222" t="s">
        <v>162</v>
      </c>
      <c r="E319" s="223" t="s">
        <v>427</v>
      </c>
      <c r="F319" s="224" t="s">
        <v>371</v>
      </c>
    </row>
    <row r="320" spans="1:7" x14ac:dyDescent="0.25">
      <c r="B320" s="43" t="s">
        <v>172</v>
      </c>
      <c r="C320" s="21">
        <f t="shared" ref="C320:C327" si="31">C319</f>
        <v>45875</v>
      </c>
      <c r="D320" s="186" t="s">
        <v>163</v>
      </c>
      <c r="E320" s="184" t="s">
        <v>427</v>
      </c>
      <c r="F320" s="151" t="s">
        <v>371</v>
      </c>
    </row>
    <row r="321" spans="1:7" x14ac:dyDescent="0.25">
      <c r="B321" s="43" t="s">
        <v>172</v>
      </c>
      <c r="C321" s="21">
        <f t="shared" si="31"/>
        <v>45875</v>
      </c>
      <c r="D321" s="186" t="s">
        <v>164</v>
      </c>
      <c r="E321" s="184" t="s">
        <v>427</v>
      </c>
      <c r="F321" s="151" t="s">
        <v>371</v>
      </c>
    </row>
    <row r="322" spans="1:7" x14ac:dyDescent="0.25">
      <c r="B322" s="211" t="s">
        <v>172</v>
      </c>
      <c r="C322" s="212">
        <f t="shared" si="31"/>
        <v>45875</v>
      </c>
      <c r="D322" s="225" t="s">
        <v>165</v>
      </c>
      <c r="E322" s="226" t="s">
        <v>427</v>
      </c>
      <c r="F322" s="221" t="s">
        <v>371</v>
      </c>
    </row>
    <row r="323" spans="1:7" x14ac:dyDescent="0.25">
      <c r="B323" s="211" t="s">
        <v>172</v>
      </c>
      <c r="C323" s="212">
        <f t="shared" si="31"/>
        <v>45875</v>
      </c>
      <c r="D323" s="225" t="s">
        <v>166</v>
      </c>
      <c r="E323" s="226" t="s">
        <v>427</v>
      </c>
      <c r="F323" s="221" t="s">
        <v>371</v>
      </c>
    </row>
    <row r="324" spans="1:7" x14ac:dyDescent="0.25">
      <c r="B324" s="211" t="s">
        <v>172</v>
      </c>
      <c r="C324" s="212">
        <f t="shared" si="31"/>
        <v>45875</v>
      </c>
      <c r="D324" s="225" t="s">
        <v>167</v>
      </c>
      <c r="E324" s="226" t="s">
        <v>427</v>
      </c>
      <c r="F324" s="221" t="s">
        <v>371</v>
      </c>
    </row>
    <row r="325" spans="1:7" x14ac:dyDescent="0.25">
      <c r="B325" s="43" t="s">
        <v>172</v>
      </c>
      <c r="C325" s="21">
        <f t="shared" si="31"/>
        <v>45875</v>
      </c>
      <c r="D325" s="186" t="s">
        <v>168</v>
      </c>
      <c r="E325" s="184" t="s">
        <v>112</v>
      </c>
      <c r="F325" s="151" t="s">
        <v>371</v>
      </c>
    </row>
    <row r="326" spans="1:7" x14ac:dyDescent="0.25">
      <c r="B326" s="43" t="s">
        <v>172</v>
      </c>
      <c r="C326" s="21">
        <f t="shared" si="31"/>
        <v>45875</v>
      </c>
      <c r="D326" s="186" t="s">
        <v>169</v>
      </c>
      <c r="E326" s="184" t="s">
        <v>112</v>
      </c>
      <c r="F326" s="151" t="s">
        <v>371</v>
      </c>
    </row>
    <row r="327" spans="1:7" ht="15.75" thickBot="1" x14ac:dyDescent="0.3">
      <c r="B327" s="216" t="s">
        <v>172</v>
      </c>
      <c r="C327" s="217">
        <f t="shared" si="31"/>
        <v>45875</v>
      </c>
      <c r="D327" s="227" t="s">
        <v>170</v>
      </c>
      <c r="E327" s="228" t="s">
        <v>112</v>
      </c>
      <c r="F327" s="229" t="s">
        <v>371</v>
      </c>
    </row>
    <row r="328" spans="1:7" ht="6" customHeight="1" thickBot="1" x14ac:dyDescent="0.3">
      <c r="A328" s="129" t="s">
        <v>310</v>
      </c>
      <c r="B328" s="111"/>
      <c r="C328" s="111"/>
      <c r="D328" s="111"/>
      <c r="E328" s="122"/>
      <c r="F328" s="122"/>
      <c r="G328" s="111"/>
    </row>
    <row r="329" spans="1:7" x14ac:dyDescent="0.25">
      <c r="B329" s="206" t="s">
        <v>173</v>
      </c>
      <c r="C329" s="207">
        <f>C327+1</f>
        <v>45876</v>
      </c>
      <c r="D329" s="222" t="s">
        <v>162</v>
      </c>
      <c r="E329" s="223" t="s">
        <v>112</v>
      </c>
      <c r="F329" s="224" t="s">
        <v>458</v>
      </c>
    </row>
    <row r="330" spans="1:7" x14ac:dyDescent="0.25">
      <c r="B330" s="43" t="s">
        <v>173</v>
      </c>
      <c r="C330" s="21">
        <f t="shared" ref="C330:C337" si="32">C329</f>
        <v>45876</v>
      </c>
      <c r="D330" s="186" t="s">
        <v>163</v>
      </c>
      <c r="E330" s="184" t="s">
        <v>112</v>
      </c>
      <c r="F330" s="151" t="s">
        <v>458</v>
      </c>
    </row>
    <row r="331" spans="1:7" x14ac:dyDescent="0.25">
      <c r="B331" s="43" t="s">
        <v>173</v>
      </c>
      <c r="C331" s="21">
        <f t="shared" si="32"/>
        <v>45876</v>
      </c>
      <c r="D331" s="186" t="s">
        <v>164</v>
      </c>
      <c r="E331" s="184" t="s">
        <v>112</v>
      </c>
      <c r="F331" s="151" t="s">
        <v>458</v>
      </c>
    </row>
    <row r="332" spans="1:7" x14ac:dyDescent="0.25">
      <c r="B332" s="211" t="s">
        <v>173</v>
      </c>
      <c r="C332" s="212">
        <f t="shared" si="32"/>
        <v>45876</v>
      </c>
      <c r="D332" s="225" t="s">
        <v>165</v>
      </c>
      <c r="E332" s="226" t="s">
        <v>112</v>
      </c>
      <c r="F332" s="221" t="s">
        <v>458</v>
      </c>
    </row>
    <row r="333" spans="1:7" x14ac:dyDescent="0.25">
      <c r="B333" s="211" t="s">
        <v>173</v>
      </c>
      <c r="C333" s="212">
        <f t="shared" si="32"/>
        <v>45876</v>
      </c>
      <c r="D333" s="225" t="s">
        <v>166</v>
      </c>
      <c r="E333" s="226" t="s">
        <v>112</v>
      </c>
      <c r="F333" s="221" t="s">
        <v>458</v>
      </c>
    </row>
    <row r="334" spans="1:7" x14ac:dyDescent="0.25">
      <c r="B334" s="211" t="s">
        <v>173</v>
      </c>
      <c r="C334" s="212">
        <f t="shared" si="32"/>
        <v>45876</v>
      </c>
      <c r="D334" s="225" t="s">
        <v>167</v>
      </c>
      <c r="E334" s="226" t="s">
        <v>112</v>
      </c>
      <c r="F334" s="221" t="s">
        <v>458</v>
      </c>
    </row>
    <row r="335" spans="1:7" x14ac:dyDescent="0.25">
      <c r="B335" s="43" t="s">
        <v>173</v>
      </c>
      <c r="C335" s="21">
        <f t="shared" si="32"/>
        <v>45876</v>
      </c>
      <c r="D335" s="186" t="s">
        <v>168</v>
      </c>
      <c r="E335" s="184" t="s">
        <v>112</v>
      </c>
      <c r="F335" s="151" t="s">
        <v>458</v>
      </c>
    </row>
    <row r="336" spans="1:7" x14ac:dyDescent="0.25">
      <c r="B336" s="43" t="s">
        <v>173</v>
      </c>
      <c r="C336" s="21">
        <f t="shared" si="32"/>
        <v>45876</v>
      </c>
      <c r="D336" s="186" t="s">
        <v>169</v>
      </c>
      <c r="E336" s="184" t="s">
        <v>112</v>
      </c>
      <c r="F336" s="151" t="s">
        <v>458</v>
      </c>
    </row>
    <row r="337" spans="1:7" ht="15.75" thickBot="1" x14ac:dyDescent="0.3">
      <c r="B337" s="216" t="s">
        <v>173</v>
      </c>
      <c r="C337" s="217">
        <f t="shared" si="32"/>
        <v>45876</v>
      </c>
      <c r="D337" s="227" t="s">
        <v>170</v>
      </c>
      <c r="E337" s="228" t="s">
        <v>112</v>
      </c>
      <c r="F337" s="229" t="s">
        <v>458</v>
      </c>
    </row>
    <row r="338" spans="1:7" ht="6" customHeight="1" thickBot="1" x14ac:dyDescent="0.3"/>
    <row r="339" spans="1:7" x14ac:dyDescent="0.25">
      <c r="B339" s="206" t="s">
        <v>174</v>
      </c>
      <c r="C339" s="207">
        <f>C337+1</f>
        <v>45877</v>
      </c>
      <c r="D339" s="222" t="s">
        <v>162</v>
      </c>
      <c r="E339" s="223" t="s">
        <v>409</v>
      </c>
      <c r="F339" s="224" t="s">
        <v>458</v>
      </c>
    </row>
    <row r="340" spans="1:7" x14ac:dyDescent="0.25">
      <c r="B340" s="43" t="s">
        <v>174</v>
      </c>
      <c r="C340" s="21">
        <f>C339</f>
        <v>45877</v>
      </c>
      <c r="D340" s="186" t="s">
        <v>163</v>
      </c>
      <c r="E340" s="184" t="s">
        <v>409</v>
      </c>
      <c r="F340" s="151" t="s">
        <v>458</v>
      </c>
    </row>
    <row r="341" spans="1:7" x14ac:dyDescent="0.25">
      <c r="B341" s="211" t="s">
        <v>174</v>
      </c>
      <c r="C341" s="212">
        <f>C340</f>
        <v>45877</v>
      </c>
      <c r="D341" s="225" t="s">
        <v>164</v>
      </c>
      <c r="E341" s="226" t="s">
        <v>409</v>
      </c>
      <c r="F341" s="221" t="s">
        <v>458</v>
      </c>
    </row>
    <row r="342" spans="1:7" x14ac:dyDescent="0.25">
      <c r="B342" s="211" t="s">
        <v>174</v>
      </c>
      <c r="C342" s="212">
        <f>C341</f>
        <v>45877</v>
      </c>
      <c r="D342" s="225" t="s">
        <v>165</v>
      </c>
      <c r="E342" s="226" t="s">
        <v>409</v>
      </c>
      <c r="F342" s="221" t="s">
        <v>458</v>
      </c>
    </row>
    <row r="343" spans="1:7" x14ac:dyDescent="0.25">
      <c r="B343" s="43" t="s">
        <v>174</v>
      </c>
      <c r="C343" s="21">
        <f t="shared" ref="C343:C346" si="33">C342</f>
        <v>45877</v>
      </c>
      <c r="D343" s="186" t="s">
        <v>166</v>
      </c>
      <c r="E343" s="184" t="s">
        <v>409</v>
      </c>
      <c r="F343" s="151" t="s">
        <v>458</v>
      </c>
    </row>
    <row r="344" spans="1:7" x14ac:dyDescent="0.25">
      <c r="B344" s="43" t="s">
        <v>174</v>
      </c>
      <c r="C344" s="21">
        <f t="shared" si="33"/>
        <v>45877</v>
      </c>
      <c r="D344" s="186" t="s">
        <v>167</v>
      </c>
      <c r="E344" s="184" t="s">
        <v>409</v>
      </c>
      <c r="F344" s="151" t="s">
        <v>458</v>
      </c>
    </row>
    <row r="345" spans="1:7" x14ac:dyDescent="0.25">
      <c r="B345" s="43" t="s">
        <v>174</v>
      </c>
      <c r="C345" s="21">
        <f t="shared" si="33"/>
        <v>45877</v>
      </c>
      <c r="D345" s="186" t="s">
        <v>168</v>
      </c>
      <c r="E345" s="184" t="s">
        <v>409</v>
      </c>
      <c r="F345" s="151" t="s">
        <v>458</v>
      </c>
    </row>
    <row r="346" spans="1:7" ht="15.75" thickBot="1" x14ac:dyDescent="0.3">
      <c r="B346" s="47" t="s">
        <v>174</v>
      </c>
      <c r="C346" s="48">
        <f t="shared" si="33"/>
        <v>45877</v>
      </c>
      <c r="D346" s="188" t="s">
        <v>169</v>
      </c>
      <c r="E346" s="185" t="s">
        <v>409</v>
      </c>
      <c r="F346" s="152" t="s">
        <v>458</v>
      </c>
    </row>
    <row r="347" spans="1:7" ht="6" customHeight="1" thickBot="1" x14ac:dyDescent="0.3">
      <c r="A347" s="129" t="s">
        <v>310</v>
      </c>
      <c r="B347" s="111"/>
      <c r="C347" s="111"/>
      <c r="D347" s="111"/>
      <c r="E347" s="122"/>
      <c r="F347" s="122"/>
      <c r="G347" s="111"/>
    </row>
    <row r="348" spans="1:7" x14ac:dyDescent="0.25">
      <c r="B348" s="52" t="s">
        <v>161</v>
      </c>
      <c r="C348" s="53">
        <f>C346+3</f>
        <v>45880</v>
      </c>
      <c r="D348" s="187" t="s">
        <v>162</v>
      </c>
      <c r="E348" s="183" t="s">
        <v>409</v>
      </c>
      <c r="F348" s="150" t="s">
        <v>458</v>
      </c>
    </row>
    <row r="349" spans="1:7" x14ac:dyDescent="0.25">
      <c r="B349" s="43" t="s">
        <v>161</v>
      </c>
      <c r="C349" s="21">
        <f t="shared" ref="C349:C356" si="34">C348</f>
        <v>45880</v>
      </c>
      <c r="D349" s="186" t="s">
        <v>163</v>
      </c>
      <c r="E349" s="184" t="s">
        <v>409</v>
      </c>
      <c r="F349" s="151" t="s">
        <v>458</v>
      </c>
    </row>
    <row r="350" spans="1:7" x14ac:dyDescent="0.25">
      <c r="B350" s="43" t="s">
        <v>161</v>
      </c>
      <c r="C350" s="21">
        <f t="shared" si="34"/>
        <v>45880</v>
      </c>
      <c r="D350" s="186" t="s">
        <v>164</v>
      </c>
      <c r="E350" s="184" t="s">
        <v>409</v>
      </c>
      <c r="F350" s="151" t="s">
        <v>458</v>
      </c>
    </row>
    <row r="351" spans="1:7" x14ac:dyDescent="0.25">
      <c r="B351" s="43" t="s">
        <v>161</v>
      </c>
      <c r="C351" s="21">
        <f t="shared" si="34"/>
        <v>45880</v>
      </c>
      <c r="D351" s="186" t="s">
        <v>165</v>
      </c>
      <c r="E351" s="184" t="s">
        <v>295</v>
      </c>
      <c r="F351" s="151" t="s">
        <v>458</v>
      </c>
    </row>
    <row r="352" spans="1:7" x14ac:dyDescent="0.25">
      <c r="B352" s="43" t="s">
        <v>161</v>
      </c>
      <c r="C352" s="21">
        <f t="shared" si="34"/>
        <v>45880</v>
      </c>
      <c r="D352" s="186" t="s">
        <v>166</v>
      </c>
      <c r="E352" s="184" t="s">
        <v>295</v>
      </c>
      <c r="F352" s="151" t="s">
        <v>458</v>
      </c>
    </row>
    <row r="353" spans="1:7" x14ac:dyDescent="0.25">
      <c r="B353" s="43" t="s">
        <v>161</v>
      </c>
      <c r="C353" s="21">
        <f t="shared" si="34"/>
        <v>45880</v>
      </c>
      <c r="D353" s="186" t="s">
        <v>167</v>
      </c>
      <c r="E353" s="184" t="s">
        <v>295</v>
      </c>
      <c r="F353" s="151" t="s">
        <v>458</v>
      </c>
    </row>
    <row r="354" spans="1:7" x14ac:dyDescent="0.25">
      <c r="B354" s="43" t="s">
        <v>161</v>
      </c>
      <c r="C354" s="21">
        <f t="shared" si="34"/>
        <v>45880</v>
      </c>
      <c r="D354" s="186" t="s">
        <v>167</v>
      </c>
      <c r="E354" s="184" t="s">
        <v>295</v>
      </c>
      <c r="F354" s="151" t="s">
        <v>458</v>
      </c>
    </row>
    <row r="355" spans="1:7" x14ac:dyDescent="0.25">
      <c r="B355" s="43" t="s">
        <v>161</v>
      </c>
      <c r="C355" s="21">
        <f t="shared" si="34"/>
        <v>45880</v>
      </c>
      <c r="D355" s="186" t="s">
        <v>169</v>
      </c>
      <c r="E355" s="184" t="s">
        <v>295</v>
      </c>
      <c r="F355" s="151" t="s">
        <v>458</v>
      </c>
    </row>
    <row r="356" spans="1:7" ht="15.75" thickBot="1" x14ac:dyDescent="0.3">
      <c r="B356" s="47" t="s">
        <v>161</v>
      </c>
      <c r="C356" s="48">
        <f t="shared" si="34"/>
        <v>45880</v>
      </c>
      <c r="D356" s="188" t="s">
        <v>170</v>
      </c>
      <c r="E356" s="185" t="s">
        <v>295</v>
      </c>
      <c r="F356" s="152" t="s">
        <v>458</v>
      </c>
    </row>
    <row r="357" spans="1:7" ht="6" customHeight="1" thickBot="1" x14ac:dyDescent="0.3">
      <c r="A357" s="129" t="s">
        <v>310</v>
      </c>
      <c r="B357" s="111"/>
      <c r="C357" s="111"/>
      <c r="D357" s="111"/>
      <c r="E357" s="122"/>
      <c r="F357" s="122"/>
      <c r="G357" s="111"/>
    </row>
    <row r="358" spans="1:7" x14ac:dyDescent="0.25">
      <c r="B358" s="206" t="s">
        <v>171</v>
      </c>
      <c r="C358" s="207">
        <f>C356+1</f>
        <v>45881</v>
      </c>
      <c r="D358" s="222" t="s">
        <v>162</v>
      </c>
      <c r="E358" s="223" t="s">
        <v>295</v>
      </c>
      <c r="F358" s="224" t="s">
        <v>459</v>
      </c>
    </row>
    <row r="359" spans="1:7" x14ac:dyDescent="0.25">
      <c r="B359" s="43" t="s">
        <v>171</v>
      </c>
      <c r="C359" s="21">
        <f t="shared" ref="C359:C366" si="35">C358</f>
        <v>45881</v>
      </c>
      <c r="D359" s="186" t="s">
        <v>163</v>
      </c>
      <c r="E359" s="184" t="s">
        <v>295</v>
      </c>
      <c r="F359" s="151" t="s">
        <v>459</v>
      </c>
    </row>
    <row r="360" spans="1:7" x14ac:dyDescent="0.25">
      <c r="B360" s="43" t="s">
        <v>171</v>
      </c>
      <c r="C360" s="21">
        <f t="shared" si="35"/>
        <v>45881</v>
      </c>
      <c r="D360" s="186" t="s">
        <v>164</v>
      </c>
      <c r="E360" s="184" t="s">
        <v>295</v>
      </c>
      <c r="F360" s="151" t="s">
        <v>459</v>
      </c>
    </row>
    <row r="361" spans="1:7" x14ac:dyDescent="0.25">
      <c r="B361" s="211" t="s">
        <v>171</v>
      </c>
      <c r="C361" s="212">
        <f t="shared" si="35"/>
        <v>45881</v>
      </c>
      <c r="D361" s="225" t="s">
        <v>165</v>
      </c>
      <c r="E361" s="226" t="s">
        <v>295</v>
      </c>
      <c r="F361" s="221" t="s">
        <v>459</v>
      </c>
    </row>
    <row r="362" spans="1:7" x14ac:dyDescent="0.25">
      <c r="B362" s="211" t="s">
        <v>171</v>
      </c>
      <c r="C362" s="212">
        <f t="shared" si="35"/>
        <v>45881</v>
      </c>
      <c r="D362" s="225" t="s">
        <v>166</v>
      </c>
      <c r="E362" s="226" t="s">
        <v>295</v>
      </c>
      <c r="F362" s="221" t="s">
        <v>459</v>
      </c>
    </row>
    <row r="363" spans="1:7" x14ac:dyDescent="0.25">
      <c r="B363" s="211" t="s">
        <v>171</v>
      </c>
      <c r="C363" s="212">
        <f t="shared" si="35"/>
        <v>45881</v>
      </c>
      <c r="D363" s="225" t="s">
        <v>167</v>
      </c>
      <c r="E363" s="226" t="s">
        <v>448</v>
      </c>
      <c r="F363" s="221" t="s">
        <v>459</v>
      </c>
    </row>
    <row r="364" spans="1:7" x14ac:dyDescent="0.25">
      <c r="B364" s="43" t="s">
        <v>171</v>
      </c>
      <c r="C364" s="21">
        <f t="shared" si="35"/>
        <v>45881</v>
      </c>
      <c r="D364" s="186" t="s">
        <v>168</v>
      </c>
      <c r="E364" s="184" t="s">
        <v>448</v>
      </c>
      <c r="F364" s="151" t="s">
        <v>459</v>
      </c>
    </row>
    <row r="365" spans="1:7" x14ac:dyDescent="0.25">
      <c r="B365" s="43" t="s">
        <v>171</v>
      </c>
      <c r="C365" s="21">
        <f t="shared" si="35"/>
        <v>45881</v>
      </c>
      <c r="D365" s="186" t="s">
        <v>169</v>
      </c>
      <c r="E365" s="184" t="s">
        <v>448</v>
      </c>
      <c r="F365" s="151" t="s">
        <v>459</v>
      </c>
    </row>
    <row r="366" spans="1:7" ht="15.75" thickBot="1" x14ac:dyDescent="0.3">
      <c r="B366" s="216" t="s">
        <v>171</v>
      </c>
      <c r="C366" s="217">
        <f t="shared" si="35"/>
        <v>45881</v>
      </c>
      <c r="D366" s="227" t="s">
        <v>170</v>
      </c>
      <c r="E366" s="228" t="s">
        <v>448</v>
      </c>
      <c r="F366" s="229" t="s">
        <v>459</v>
      </c>
    </row>
    <row r="367" spans="1:7" ht="6" customHeight="1" thickBot="1" x14ac:dyDescent="0.3">
      <c r="A367" s="129" t="s">
        <v>310</v>
      </c>
      <c r="B367" s="111"/>
      <c r="C367" s="111"/>
      <c r="D367" s="111"/>
      <c r="E367" s="122"/>
      <c r="F367" s="122"/>
      <c r="G367" s="111"/>
    </row>
    <row r="368" spans="1:7" x14ac:dyDescent="0.25">
      <c r="B368" s="206" t="s">
        <v>172</v>
      </c>
      <c r="C368" s="207">
        <f>C366+1</f>
        <v>45882</v>
      </c>
      <c r="D368" s="222" t="s">
        <v>162</v>
      </c>
      <c r="E368" s="223" t="s">
        <v>448</v>
      </c>
      <c r="F368" s="224" t="s">
        <v>459</v>
      </c>
    </row>
    <row r="369" spans="1:7" x14ac:dyDescent="0.25">
      <c r="B369" s="43" t="s">
        <v>172</v>
      </c>
      <c r="C369" s="21">
        <f t="shared" ref="C369:C376" si="36">C368</f>
        <v>45882</v>
      </c>
      <c r="D369" s="186" t="s">
        <v>163</v>
      </c>
      <c r="E369" s="184" t="s">
        <v>448</v>
      </c>
      <c r="F369" s="151" t="s">
        <v>459</v>
      </c>
    </row>
    <row r="370" spans="1:7" x14ac:dyDescent="0.25">
      <c r="B370" s="43" t="s">
        <v>172</v>
      </c>
      <c r="C370" s="21">
        <f t="shared" si="36"/>
        <v>45882</v>
      </c>
      <c r="D370" s="186" t="s">
        <v>164</v>
      </c>
      <c r="E370" s="184" t="s">
        <v>448</v>
      </c>
      <c r="F370" s="151" t="s">
        <v>459</v>
      </c>
    </row>
    <row r="371" spans="1:7" x14ac:dyDescent="0.25">
      <c r="B371" s="211" t="s">
        <v>172</v>
      </c>
      <c r="C371" s="212">
        <f t="shared" si="36"/>
        <v>45882</v>
      </c>
      <c r="D371" s="225" t="s">
        <v>165</v>
      </c>
      <c r="E371" s="226" t="s">
        <v>448</v>
      </c>
      <c r="F371" s="221" t="s">
        <v>459</v>
      </c>
    </row>
    <row r="372" spans="1:7" x14ac:dyDescent="0.25">
      <c r="B372" s="211" t="s">
        <v>172</v>
      </c>
      <c r="C372" s="212">
        <f t="shared" si="36"/>
        <v>45882</v>
      </c>
      <c r="D372" s="225" t="s">
        <v>166</v>
      </c>
      <c r="E372" s="226" t="s">
        <v>448</v>
      </c>
      <c r="F372" s="221" t="s">
        <v>459</v>
      </c>
    </row>
    <row r="373" spans="1:7" x14ac:dyDescent="0.25">
      <c r="B373" s="211" t="s">
        <v>172</v>
      </c>
      <c r="C373" s="212">
        <f t="shared" si="36"/>
        <v>45882</v>
      </c>
      <c r="D373" s="225" t="s">
        <v>167</v>
      </c>
      <c r="E373" s="226" t="s">
        <v>448</v>
      </c>
      <c r="F373" s="221" t="s">
        <v>459</v>
      </c>
    </row>
    <row r="374" spans="1:7" x14ac:dyDescent="0.25">
      <c r="B374" s="43" t="s">
        <v>172</v>
      </c>
      <c r="C374" s="21">
        <f t="shared" si="36"/>
        <v>45882</v>
      </c>
      <c r="D374" s="186" t="s">
        <v>168</v>
      </c>
      <c r="E374" s="184" t="s">
        <v>448</v>
      </c>
      <c r="F374" s="151" t="s">
        <v>459</v>
      </c>
    </row>
    <row r="375" spans="1:7" x14ac:dyDescent="0.25">
      <c r="B375" s="43" t="s">
        <v>172</v>
      </c>
      <c r="C375" s="21">
        <f t="shared" si="36"/>
        <v>45882</v>
      </c>
      <c r="D375" s="186" t="s">
        <v>169</v>
      </c>
      <c r="E375" s="184" t="s">
        <v>432</v>
      </c>
      <c r="F375" s="151" t="s">
        <v>459</v>
      </c>
    </row>
    <row r="376" spans="1:7" ht="15.75" thickBot="1" x14ac:dyDescent="0.3">
      <c r="B376" s="216" t="s">
        <v>172</v>
      </c>
      <c r="C376" s="217">
        <f t="shared" si="36"/>
        <v>45882</v>
      </c>
      <c r="D376" s="227" t="s">
        <v>170</v>
      </c>
      <c r="E376" s="228" t="s">
        <v>432</v>
      </c>
      <c r="F376" s="229" t="s">
        <v>459</v>
      </c>
    </row>
    <row r="377" spans="1:7" ht="6" customHeight="1" thickBot="1" x14ac:dyDescent="0.3">
      <c r="A377" s="129" t="s">
        <v>310</v>
      </c>
      <c r="B377" s="111"/>
      <c r="C377" s="111"/>
      <c r="D377" s="111"/>
      <c r="E377" s="122"/>
      <c r="F377" s="122"/>
      <c r="G377" s="111"/>
    </row>
    <row r="378" spans="1:7" x14ac:dyDescent="0.25">
      <c r="B378" s="206" t="s">
        <v>173</v>
      </c>
      <c r="C378" s="207">
        <f>C376+1</f>
        <v>45883</v>
      </c>
      <c r="D378" s="222" t="s">
        <v>162</v>
      </c>
      <c r="E378" s="223" t="s">
        <v>432</v>
      </c>
      <c r="F378" s="224" t="s">
        <v>459</v>
      </c>
    </row>
    <row r="379" spans="1:7" x14ac:dyDescent="0.25">
      <c r="B379" s="43" t="s">
        <v>173</v>
      </c>
      <c r="C379" s="21">
        <f t="shared" ref="C379:C386" si="37">C378</f>
        <v>45883</v>
      </c>
      <c r="D379" s="186" t="s">
        <v>163</v>
      </c>
      <c r="E379" s="184" t="s">
        <v>432</v>
      </c>
      <c r="F379" s="151" t="s">
        <v>459</v>
      </c>
    </row>
    <row r="380" spans="1:7" x14ac:dyDescent="0.25">
      <c r="B380" s="43" t="s">
        <v>173</v>
      </c>
      <c r="C380" s="21">
        <f t="shared" si="37"/>
        <v>45883</v>
      </c>
      <c r="D380" s="186" t="s">
        <v>164</v>
      </c>
      <c r="E380" s="184" t="s">
        <v>432</v>
      </c>
      <c r="F380" s="151" t="s">
        <v>459</v>
      </c>
    </row>
    <row r="381" spans="1:7" x14ac:dyDescent="0.25">
      <c r="B381" s="211" t="s">
        <v>173</v>
      </c>
      <c r="C381" s="212">
        <f t="shared" si="37"/>
        <v>45883</v>
      </c>
      <c r="D381" s="225" t="s">
        <v>165</v>
      </c>
      <c r="E381" s="226" t="s">
        <v>432</v>
      </c>
      <c r="F381" s="221" t="s">
        <v>459</v>
      </c>
    </row>
    <row r="382" spans="1:7" x14ac:dyDescent="0.25">
      <c r="B382" s="211" t="s">
        <v>173</v>
      </c>
      <c r="C382" s="212">
        <f t="shared" si="37"/>
        <v>45883</v>
      </c>
      <c r="D382" s="225" t="s">
        <v>166</v>
      </c>
      <c r="E382" s="226" t="s">
        <v>432</v>
      </c>
      <c r="F382" s="221" t="s">
        <v>459</v>
      </c>
    </row>
    <row r="383" spans="1:7" x14ac:dyDescent="0.25">
      <c r="B383" s="211" t="s">
        <v>173</v>
      </c>
      <c r="C383" s="212">
        <f t="shared" si="37"/>
        <v>45883</v>
      </c>
      <c r="D383" s="225" t="s">
        <v>167</v>
      </c>
      <c r="E383" s="226" t="s">
        <v>432</v>
      </c>
      <c r="F383" s="221" t="s">
        <v>459</v>
      </c>
    </row>
    <row r="384" spans="1:7" x14ac:dyDescent="0.25">
      <c r="B384" s="43" t="s">
        <v>173</v>
      </c>
      <c r="C384" s="21">
        <f t="shared" si="37"/>
        <v>45883</v>
      </c>
      <c r="D384" s="186" t="s">
        <v>168</v>
      </c>
      <c r="E384" s="184" t="s">
        <v>432</v>
      </c>
      <c r="F384" s="151" t="s">
        <v>459</v>
      </c>
    </row>
    <row r="385" spans="1:7" x14ac:dyDescent="0.25">
      <c r="B385" s="43" t="s">
        <v>173</v>
      </c>
      <c r="C385" s="21">
        <f t="shared" si="37"/>
        <v>45883</v>
      </c>
      <c r="D385" s="186" t="s">
        <v>169</v>
      </c>
      <c r="E385" s="184" t="s">
        <v>443</v>
      </c>
      <c r="F385" s="151" t="s">
        <v>459</v>
      </c>
    </row>
    <row r="386" spans="1:7" ht="15.75" thickBot="1" x14ac:dyDescent="0.3">
      <c r="B386" s="216" t="s">
        <v>173</v>
      </c>
      <c r="C386" s="217">
        <f t="shared" si="37"/>
        <v>45883</v>
      </c>
      <c r="D386" s="227" t="s">
        <v>170</v>
      </c>
      <c r="E386" s="228" t="s">
        <v>443</v>
      </c>
      <c r="F386" s="229" t="s">
        <v>459</v>
      </c>
    </row>
    <row r="387" spans="1:7" ht="6" customHeight="1" thickBot="1" x14ac:dyDescent="0.3"/>
    <row r="388" spans="1:7" x14ac:dyDescent="0.25">
      <c r="B388" s="206" t="s">
        <v>174</v>
      </c>
      <c r="C388" s="207">
        <f>C386+1</f>
        <v>45884</v>
      </c>
      <c r="D388" s="222" t="s">
        <v>162</v>
      </c>
      <c r="E388" s="223" t="s">
        <v>443</v>
      </c>
      <c r="F388" s="155" t="s">
        <v>460</v>
      </c>
    </row>
    <row r="389" spans="1:7" x14ac:dyDescent="0.25">
      <c r="B389" s="43" t="s">
        <v>174</v>
      </c>
      <c r="C389" s="21">
        <f>C388</f>
        <v>45884</v>
      </c>
      <c r="D389" s="186" t="s">
        <v>163</v>
      </c>
      <c r="E389" s="184" t="s">
        <v>443</v>
      </c>
      <c r="F389" s="151" t="s">
        <v>460</v>
      </c>
    </row>
    <row r="390" spans="1:7" x14ac:dyDescent="0.25">
      <c r="B390" s="211" t="s">
        <v>174</v>
      </c>
      <c r="C390" s="212">
        <f>C389</f>
        <v>45884</v>
      </c>
      <c r="D390" s="225" t="s">
        <v>164</v>
      </c>
      <c r="E390" s="226" t="s">
        <v>443</v>
      </c>
      <c r="F390" s="221" t="s">
        <v>460</v>
      </c>
    </row>
    <row r="391" spans="1:7" x14ac:dyDescent="0.25">
      <c r="B391" s="211" t="s">
        <v>174</v>
      </c>
      <c r="C391" s="212">
        <f>C390</f>
        <v>45884</v>
      </c>
      <c r="D391" s="225" t="s">
        <v>165</v>
      </c>
      <c r="E391" s="226" t="s">
        <v>443</v>
      </c>
      <c r="F391" s="221" t="s">
        <v>460</v>
      </c>
    </row>
    <row r="392" spans="1:7" x14ac:dyDescent="0.25">
      <c r="B392" s="43" t="s">
        <v>174</v>
      </c>
      <c r="C392" s="21">
        <f t="shared" ref="C392:C395" si="38">C391</f>
        <v>45884</v>
      </c>
      <c r="D392" s="186" t="s">
        <v>166</v>
      </c>
      <c r="E392" s="184" t="s">
        <v>443</v>
      </c>
      <c r="F392" s="151" t="s">
        <v>460</v>
      </c>
    </row>
    <row r="393" spans="1:7" x14ac:dyDescent="0.25">
      <c r="B393" s="43" t="s">
        <v>174</v>
      </c>
      <c r="C393" s="21">
        <f t="shared" si="38"/>
        <v>45884</v>
      </c>
      <c r="D393" s="186" t="s">
        <v>167</v>
      </c>
      <c r="E393" s="184" t="s">
        <v>443</v>
      </c>
      <c r="F393" s="151" t="s">
        <v>460</v>
      </c>
    </row>
    <row r="394" spans="1:7" x14ac:dyDescent="0.25">
      <c r="B394" s="43" t="s">
        <v>174</v>
      </c>
      <c r="C394" s="21">
        <f t="shared" si="38"/>
        <v>45884</v>
      </c>
      <c r="D394" s="186" t="s">
        <v>168</v>
      </c>
      <c r="E394" s="184" t="s">
        <v>443</v>
      </c>
      <c r="F394" s="151" t="s">
        <v>460</v>
      </c>
    </row>
    <row r="395" spans="1:7" ht="15.75" thickBot="1" x14ac:dyDescent="0.3">
      <c r="B395" s="47" t="s">
        <v>174</v>
      </c>
      <c r="C395" s="48">
        <f t="shared" si="38"/>
        <v>45884</v>
      </c>
      <c r="D395" s="188" t="s">
        <v>169</v>
      </c>
      <c r="E395" s="185" t="s">
        <v>443</v>
      </c>
      <c r="F395" s="152" t="s">
        <v>460</v>
      </c>
    </row>
    <row r="396" spans="1:7" ht="6" customHeight="1" thickBot="1" x14ac:dyDescent="0.3">
      <c r="A396" s="129" t="s">
        <v>310</v>
      </c>
      <c r="B396" s="111"/>
      <c r="C396" s="111"/>
      <c r="D396" s="111"/>
      <c r="E396" s="122"/>
      <c r="F396" s="122"/>
      <c r="G396" s="111"/>
    </row>
    <row r="397" spans="1:7" x14ac:dyDescent="0.25">
      <c r="B397" s="52" t="s">
        <v>161</v>
      </c>
      <c r="C397" s="53">
        <f>C395+3</f>
        <v>45887</v>
      </c>
      <c r="D397" s="187" t="s">
        <v>162</v>
      </c>
      <c r="E397" s="183" t="s">
        <v>444</v>
      </c>
      <c r="F397" s="150" t="s">
        <v>460</v>
      </c>
    </row>
    <row r="398" spans="1:7" x14ac:dyDescent="0.25">
      <c r="B398" s="43" t="s">
        <v>161</v>
      </c>
      <c r="C398" s="21">
        <f t="shared" ref="C398:C405" si="39">C397</f>
        <v>45887</v>
      </c>
      <c r="D398" s="186" t="s">
        <v>163</v>
      </c>
      <c r="E398" s="184" t="s">
        <v>444</v>
      </c>
      <c r="F398" s="151" t="s">
        <v>460</v>
      </c>
    </row>
    <row r="399" spans="1:7" x14ac:dyDescent="0.25">
      <c r="B399" s="43" t="s">
        <v>161</v>
      </c>
      <c r="C399" s="21">
        <f t="shared" si="39"/>
        <v>45887</v>
      </c>
      <c r="D399" s="186" t="s">
        <v>164</v>
      </c>
      <c r="E399" s="184" t="s">
        <v>444</v>
      </c>
      <c r="F399" s="151" t="s">
        <v>460</v>
      </c>
    </row>
    <row r="400" spans="1:7" x14ac:dyDescent="0.25">
      <c r="B400" s="43" t="s">
        <v>161</v>
      </c>
      <c r="C400" s="21">
        <f t="shared" si="39"/>
        <v>45887</v>
      </c>
      <c r="D400" s="186" t="s">
        <v>165</v>
      </c>
      <c r="E400" s="184" t="s">
        <v>444</v>
      </c>
      <c r="F400" s="151" t="s">
        <v>460</v>
      </c>
    </row>
    <row r="401" spans="1:7" x14ac:dyDescent="0.25">
      <c r="B401" s="43" t="s">
        <v>161</v>
      </c>
      <c r="C401" s="21">
        <f t="shared" si="39"/>
        <v>45887</v>
      </c>
      <c r="D401" s="186" t="s">
        <v>166</v>
      </c>
      <c r="E401" s="184" t="s">
        <v>444</v>
      </c>
      <c r="F401" s="151" t="s">
        <v>460</v>
      </c>
    </row>
    <row r="402" spans="1:7" x14ac:dyDescent="0.25">
      <c r="B402" s="43" t="s">
        <v>161</v>
      </c>
      <c r="C402" s="21">
        <f t="shared" si="39"/>
        <v>45887</v>
      </c>
      <c r="D402" s="186" t="s">
        <v>167</v>
      </c>
      <c r="E402" s="184" t="s">
        <v>444</v>
      </c>
      <c r="F402" s="151" t="s">
        <v>460</v>
      </c>
    </row>
    <row r="403" spans="1:7" x14ac:dyDescent="0.25">
      <c r="B403" s="43" t="s">
        <v>161</v>
      </c>
      <c r="C403" s="21">
        <f t="shared" si="39"/>
        <v>45887</v>
      </c>
      <c r="D403" s="186" t="s">
        <v>167</v>
      </c>
      <c r="E403" s="184" t="s">
        <v>444</v>
      </c>
      <c r="F403" s="151" t="s">
        <v>460</v>
      </c>
    </row>
    <row r="404" spans="1:7" x14ac:dyDescent="0.25">
      <c r="B404" s="43" t="s">
        <v>161</v>
      </c>
      <c r="C404" s="21">
        <f t="shared" si="39"/>
        <v>45887</v>
      </c>
      <c r="D404" s="186" t="s">
        <v>169</v>
      </c>
      <c r="E404" s="184" t="s">
        <v>444</v>
      </c>
      <c r="F404" s="151" t="s">
        <v>460</v>
      </c>
    </row>
    <row r="405" spans="1:7" ht="15.75" thickBot="1" x14ac:dyDescent="0.3">
      <c r="B405" s="47" t="s">
        <v>161</v>
      </c>
      <c r="C405" s="48">
        <f t="shared" si="39"/>
        <v>45887</v>
      </c>
      <c r="D405" s="188" t="s">
        <v>170</v>
      </c>
      <c r="E405" s="185" t="s">
        <v>444</v>
      </c>
      <c r="F405" s="152" t="s">
        <v>460</v>
      </c>
    </row>
    <row r="406" spans="1:7" ht="6" customHeight="1" thickBot="1" x14ac:dyDescent="0.3">
      <c r="A406" s="129" t="s">
        <v>310</v>
      </c>
      <c r="B406" s="111"/>
      <c r="C406" s="111"/>
      <c r="D406" s="111"/>
      <c r="E406" s="122"/>
      <c r="F406" s="122"/>
      <c r="G406" s="111"/>
    </row>
    <row r="407" spans="1:7" x14ac:dyDescent="0.25">
      <c r="B407" s="206" t="s">
        <v>171</v>
      </c>
      <c r="C407" s="207">
        <f>C405+1</f>
        <v>45888</v>
      </c>
      <c r="D407" s="222" t="s">
        <v>162</v>
      </c>
      <c r="E407" s="149" t="s">
        <v>445</v>
      </c>
      <c r="F407" s="224" t="s">
        <v>460</v>
      </c>
    </row>
    <row r="408" spans="1:7" x14ac:dyDescent="0.25">
      <c r="B408" s="43" t="s">
        <v>171</v>
      </c>
      <c r="C408" s="21">
        <f t="shared" ref="C408:C415" si="40">C407</f>
        <v>45888</v>
      </c>
      <c r="D408" s="186" t="s">
        <v>163</v>
      </c>
      <c r="E408" s="184" t="s">
        <v>445</v>
      </c>
      <c r="F408" s="151" t="s">
        <v>460</v>
      </c>
    </row>
    <row r="409" spans="1:7" x14ac:dyDescent="0.25">
      <c r="B409" s="43" t="s">
        <v>171</v>
      </c>
      <c r="C409" s="21">
        <f t="shared" si="40"/>
        <v>45888</v>
      </c>
      <c r="D409" s="186" t="s">
        <v>164</v>
      </c>
      <c r="E409" s="184" t="s">
        <v>445</v>
      </c>
      <c r="F409" s="151" t="s">
        <v>460</v>
      </c>
    </row>
    <row r="410" spans="1:7" x14ac:dyDescent="0.25">
      <c r="B410" s="211" t="s">
        <v>171</v>
      </c>
      <c r="C410" s="212">
        <f t="shared" si="40"/>
        <v>45888</v>
      </c>
      <c r="D410" s="225" t="s">
        <v>165</v>
      </c>
      <c r="E410" s="226" t="s">
        <v>445</v>
      </c>
      <c r="F410" s="221" t="s">
        <v>460</v>
      </c>
    </row>
    <row r="411" spans="1:7" x14ac:dyDescent="0.25">
      <c r="B411" s="211" t="s">
        <v>171</v>
      </c>
      <c r="C411" s="212">
        <f t="shared" si="40"/>
        <v>45888</v>
      </c>
      <c r="D411" s="225" t="s">
        <v>166</v>
      </c>
      <c r="E411" s="226" t="s">
        <v>445</v>
      </c>
      <c r="F411" s="221" t="s">
        <v>460</v>
      </c>
    </row>
    <row r="412" spans="1:7" x14ac:dyDescent="0.25">
      <c r="B412" s="211" t="s">
        <v>171</v>
      </c>
      <c r="C412" s="212">
        <f t="shared" si="40"/>
        <v>45888</v>
      </c>
      <c r="D412" s="225" t="s">
        <v>167</v>
      </c>
      <c r="E412" s="226" t="s">
        <v>445</v>
      </c>
      <c r="F412" s="221" t="s">
        <v>460</v>
      </c>
    </row>
    <row r="413" spans="1:7" x14ac:dyDescent="0.25">
      <c r="B413" s="43" t="s">
        <v>171</v>
      </c>
      <c r="C413" s="21">
        <f t="shared" si="40"/>
        <v>45888</v>
      </c>
      <c r="D413" s="186" t="s">
        <v>168</v>
      </c>
      <c r="E413" s="184" t="s">
        <v>445</v>
      </c>
      <c r="F413" s="151" t="s">
        <v>460</v>
      </c>
    </row>
    <row r="414" spans="1:7" x14ac:dyDescent="0.25">
      <c r="B414" s="43" t="s">
        <v>171</v>
      </c>
      <c r="C414" s="21">
        <f t="shared" si="40"/>
        <v>45888</v>
      </c>
      <c r="D414" s="186" t="s">
        <v>169</v>
      </c>
      <c r="E414" s="184" t="s">
        <v>445</v>
      </c>
      <c r="F414" s="151" t="s">
        <v>460</v>
      </c>
    </row>
    <row r="415" spans="1:7" ht="15.75" thickBot="1" x14ac:dyDescent="0.3">
      <c r="B415" s="216" t="s">
        <v>171</v>
      </c>
      <c r="C415" s="217">
        <f t="shared" si="40"/>
        <v>45888</v>
      </c>
      <c r="D415" s="227" t="s">
        <v>170</v>
      </c>
      <c r="E415" s="228" t="s">
        <v>445</v>
      </c>
      <c r="F415" s="229" t="s">
        <v>460</v>
      </c>
    </row>
    <row r="416" spans="1:7" ht="6" customHeight="1" thickBot="1" x14ac:dyDescent="0.3">
      <c r="A416" s="129" t="s">
        <v>310</v>
      </c>
      <c r="B416" s="111"/>
      <c r="C416" s="111"/>
      <c r="D416" s="111"/>
      <c r="E416" s="122"/>
      <c r="F416" s="122"/>
      <c r="G416" s="111"/>
    </row>
    <row r="417" spans="1:7" x14ac:dyDescent="0.25">
      <c r="B417" s="206" t="s">
        <v>172</v>
      </c>
      <c r="C417" s="207">
        <f>C415+1</f>
        <v>45889</v>
      </c>
      <c r="D417" s="222" t="s">
        <v>162</v>
      </c>
      <c r="E417" s="223" t="s">
        <v>446</v>
      </c>
      <c r="F417" s="224" t="s">
        <v>461</v>
      </c>
    </row>
    <row r="418" spans="1:7" x14ac:dyDescent="0.25">
      <c r="B418" s="43" t="s">
        <v>172</v>
      </c>
      <c r="C418" s="21">
        <f t="shared" ref="C418:C425" si="41">C417</f>
        <v>45889</v>
      </c>
      <c r="D418" s="186" t="s">
        <v>163</v>
      </c>
      <c r="E418" s="184" t="s">
        <v>446</v>
      </c>
      <c r="F418" s="151" t="s">
        <v>461</v>
      </c>
    </row>
    <row r="419" spans="1:7" x14ac:dyDescent="0.25">
      <c r="B419" s="43" t="s">
        <v>172</v>
      </c>
      <c r="C419" s="21">
        <f t="shared" si="41"/>
        <v>45889</v>
      </c>
      <c r="D419" s="186" t="s">
        <v>164</v>
      </c>
      <c r="E419" s="184" t="s">
        <v>446</v>
      </c>
      <c r="F419" s="151" t="s">
        <v>461</v>
      </c>
    </row>
    <row r="420" spans="1:7" x14ac:dyDescent="0.25">
      <c r="B420" s="211" t="s">
        <v>172</v>
      </c>
      <c r="C420" s="212">
        <f t="shared" si="41"/>
        <v>45889</v>
      </c>
      <c r="D420" s="225" t="s">
        <v>165</v>
      </c>
      <c r="E420" s="226" t="s">
        <v>446</v>
      </c>
      <c r="F420" s="221" t="s">
        <v>461</v>
      </c>
    </row>
    <row r="421" spans="1:7" x14ac:dyDescent="0.25">
      <c r="B421" s="211" t="s">
        <v>172</v>
      </c>
      <c r="C421" s="212">
        <f t="shared" si="41"/>
        <v>45889</v>
      </c>
      <c r="D421" s="225" t="s">
        <v>166</v>
      </c>
      <c r="E421" s="226" t="s">
        <v>446</v>
      </c>
      <c r="F421" s="221" t="s">
        <v>461</v>
      </c>
    </row>
    <row r="422" spans="1:7" x14ac:dyDescent="0.25">
      <c r="B422" s="211" t="s">
        <v>172</v>
      </c>
      <c r="C422" s="212">
        <f t="shared" si="41"/>
        <v>45889</v>
      </c>
      <c r="D422" s="225" t="s">
        <v>167</v>
      </c>
      <c r="E422" s="226" t="s">
        <v>446</v>
      </c>
      <c r="F422" s="221" t="s">
        <v>461</v>
      </c>
    </row>
    <row r="423" spans="1:7" x14ac:dyDescent="0.25">
      <c r="B423" s="43" t="s">
        <v>172</v>
      </c>
      <c r="C423" s="21">
        <f t="shared" si="41"/>
        <v>45889</v>
      </c>
      <c r="D423" s="186" t="s">
        <v>168</v>
      </c>
      <c r="E423" s="184" t="s">
        <v>446</v>
      </c>
      <c r="F423" s="151" t="s">
        <v>461</v>
      </c>
    </row>
    <row r="424" spans="1:7" x14ac:dyDescent="0.25">
      <c r="B424" s="43" t="s">
        <v>172</v>
      </c>
      <c r="C424" s="21">
        <f t="shared" si="41"/>
        <v>45889</v>
      </c>
      <c r="D424" s="186" t="s">
        <v>169</v>
      </c>
      <c r="E424" s="184" t="s">
        <v>446</v>
      </c>
      <c r="F424" s="151" t="s">
        <v>461</v>
      </c>
    </row>
    <row r="425" spans="1:7" ht="15.75" thickBot="1" x14ac:dyDescent="0.3">
      <c r="B425" s="216" t="s">
        <v>172</v>
      </c>
      <c r="C425" s="217">
        <f t="shared" si="41"/>
        <v>45889</v>
      </c>
      <c r="D425" s="227" t="s">
        <v>170</v>
      </c>
      <c r="E425" s="228" t="s">
        <v>446</v>
      </c>
      <c r="F425" s="229" t="s">
        <v>461</v>
      </c>
    </row>
    <row r="426" spans="1:7" ht="6" customHeight="1" thickBot="1" x14ac:dyDescent="0.3">
      <c r="A426" s="129" t="s">
        <v>310</v>
      </c>
      <c r="B426" s="111"/>
      <c r="C426" s="111"/>
      <c r="D426" s="111"/>
      <c r="E426" s="122"/>
      <c r="F426" s="122"/>
      <c r="G426" s="111"/>
    </row>
    <row r="427" spans="1:7" x14ac:dyDescent="0.25">
      <c r="B427" s="206" t="s">
        <v>173</v>
      </c>
      <c r="C427" s="207">
        <f>C425+1</f>
        <v>45890</v>
      </c>
      <c r="D427" s="222" t="s">
        <v>162</v>
      </c>
      <c r="E427" s="223" t="s">
        <v>431</v>
      </c>
      <c r="F427" s="224" t="s">
        <v>461</v>
      </c>
    </row>
    <row r="428" spans="1:7" x14ac:dyDescent="0.25">
      <c r="B428" s="43" t="s">
        <v>173</v>
      </c>
      <c r="C428" s="21">
        <f t="shared" ref="C428:C435" si="42">C427</f>
        <v>45890</v>
      </c>
      <c r="D428" s="186" t="s">
        <v>163</v>
      </c>
      <c r="E428" s="184" t="s">
        <v>431</v>
      </c>
      <c r="F428" s="151" t="s">
        <v>461</v>
      </c>
    </row>
    <row r="429" spans="1:7" x14ac:dyDescent="0.25">
      <c r="B429" s="43" t="s">
        <v>173</v>
      </c>
      <c r="C429" s="21">
        <f t="shared" si="42"/>
        <v>45890</v>
      </c>
      <c r="D429" s="186" t="s">
        <v>164</v>
      </c>
      <c r="E429" s="184" t="s">
        <v>431</v>
      </c>
      <c r="F429" s="151" t="s">
        <v>461</v>
      </c>
    </row>
    <row r="430" spans="1:7" x14ac:dyDescent="0.25">
      <c r="B430" s="211" t="s">
        <v>173</v>
      </c>
      <c r="C430" s="212">
        <f t="shared" si="42"/>
        <v>45890</v>
      </c>
      <c r="D430" s="225" t="s">
        <v>165</v>
      </c>
      <c r="E430" s="226" t="s">
        <v>431</v>
      </c>
      <c r="F430" s="221" t="s">
        <v>461</v>
      </c>
    </row>
    <row r="431" spans="1:7" x14ac:dyDescent="0.25">
      <c r="B431" s="211" t="s">
        <v>173</v>
      </c>
      <c r="C431" s="212">
        <f t="shared" si="42"/>
        <v>45890</v>
      </c>
      <c r="D431" s="225" t="s">
        <v>166</v>
      </c>
      <c r="E431" s="226" t="s">
        <v>431</v>
      </c>
      <c r="F431" s="221" t="s">
        <v>461</v>
      </c>
    </row>
    <row r="432" spans="1:7" x14ac:dyDescent="0.25">
      <c r="B432" s="211" t="s">
        <v>173</v>
      </c>
      <c r="C432" s="212">
        <f t="shared" si="42"/>
        <v>45890</v>
      </c>
      <c r="D432" s="225" t="s">
        <v>167</v>
      </c>
      <c r="E432" s="226" t="s">
        <v>431</v>
      </c>
      <c r="F432" s="221" t="s">
        <v>461</v>
      </c>
    </row>
    <row r="433" spans="2:6" x14ac:dyDescent="0.25">
      <c r="B433" s="43" t="s">
        <v>173</v>
      </c>
      <c r="C433" s="21">
        <f t="shared" si="42"/>
        <v>45890</v>
      </c>
      <c r="D433" s="186" t="s">
        <v>168</v>
      </c>
      <c r="E433" s="184" t="s">
        <v>431</v>
      </c>
      <c r="F433" s="151" t="s">
        <v>461</v>
      </c>
    </row>
    <row r="434" spans="2:6" x14ac:dyDescent="0.25">
      <c r="B434" s="43" t="s">
        <v>173</v>
      </c>
      <c r="C434" s="21">
        <f t="shared" si="42"/>
        <v>45890</v>
      </c>
      <c r="D434" s="186" t="s">
        <v>169</v>
      </c>
      <c r="E434" s="184" t="s">
        <v>431</v>
      </c>
      <c r="F434" s="151" t="s">
        <v>461</v>
      </c>
    </row>
    <row r="435" spans="2:6" ht="15.75" thickBot="1" x14ac:dyDescent="0.3">
      <c r="B435" s="216" t="s">
        <v>173</v>
      </c>
      <c r="C435" s="217">
        <f t="shared" si="42"/>
        <v>45890</v>
      </c>
      <c r="D435" s="227" t="s">
        <v>170</v>
      </c>
      <c r="E435" s="228" t="s">
        <v>431</v>
      </c>
      <c r="F435" s="229" t="s">
        <v>461</v>
      </c>
    </row>
    <row r="436" spans="2:6" ht="6" customHeight="1" thickBot="1" x14ac:dyDescent="0.3"/>
    <row r="437" spans="2:6" x14ac:dyDescent="0.25">
      <c r="B437" s="206" t="s">
        <v>174</v>
      </c>
      <c r="C437" s="207">
        <f>C435+1</f>
        <v>45891</v>
      </c>
      <c r="D437" s="222" t="s">
        <v>162</v>
      </c>
      <c r="E437" s="223"/>
      <c r="F437" s="224" t="s">
        <v>461</v>
      </c>
    </row>
    <row r="438" spans="2:6" x14ac:dyDescent="0.25">
      <c r="B438" s="43" t="s">
        <v>174</v>
      </c>
      <c r="C438" s="21">
        <f>C437</f>
        <v>45891</v>
      </c>
      <c r="D438" s="186" t="s">
        <v>163</v>
      </c>
      <c r="E438" s="184"/>
      <c r="F438" s="151" t="s">
        <v>461</v>
      </c>
    </row>
    <row r="439" spans="2:6" x14ac:dyDescent="0.25">
      <c r="B439" s="211" t="s">
        <v>174</v>
      </c>
      <c r="C439" s="212">
        <f>C438</f>
        <v>45891</v>
      </c>
      <c r="D439" s="225" t="s">
        <v>164</v>
      </c>
      <c r="E439" s="226"/>
      <c r="F439" s="221" t="s">
        <v>461</v>
      </c>
    </row>
    <row r="440" spans="2:6" x14ac:dyDescent="0.25">
      <c r="B440" s="211" t="s">
        <v>174</v>
      </c>
      <c r="C440" s="212">
        <f>C439</f>
        <v>45891</v>
      </c>
      <c r="D440" s="225" t="s">
        <v>165</v>
      </c>
      <c r="E440" s="226"/>
      <c r="F440" s="221" t="s">
        <v>461</v>
      </c>
    </row>
    <row r="441" spans="2:6" x14ac:dyDescent="0.25">
      <c r="B441" s="43" t="s">
        <v>174</v>
      </c>
      <c r="C441" s="21">
        <f t="shared" ref="C441:C444" si="43">C440</f>
        <v>45891</v>
      </c>
      <c r="D441" s="186" t="s">
        <v>166</v>
      </c>
      <c r="E441" s="184"/>
      <c r="F441" s="151" t="s">
        <v>461</v>
      </c>
    </row>
    <row r="442" spans="2:6" x14ac:dyDescent="0.25">
      <c r="B442" s="43" t="s">
        <v>174</v>
      </c>
      <c r="C442" s="21">
        <f t="shared" si="43"/>
        <v>45891</v>
      </c>
      <c r="D442" s="186" t="s">
        <v>167</v>
      </c>
      <c r="E442" s="184"/>
      <c r="F442" s="151" t="s">
        <v>461</v>
      </c>
    </row>
    <row r="443" spans="2:6" x14ac:dyDescent="0.25">
      <c r="B443" s="43" t="s">
        <v>174</v>
      </c>
      <c r="C443" s="21">
        <f t="shared" si="43"/>
        <v>45891</v>
      </c>
      <c r="D443" s="186" t="s">
        <v>168</v>
      </c>
      <c r="E443" s="184"/>
      <c r="F443" s="151" t="s">
        <v>461</v>
      </c>
    </row>
    <row r="444" spans="2:6" ht="15.75" thickBot="1" x14ac:dyDescent="0.3">
      <c r="B444" s="47" t="s">
        <v>174</v>
      </c>
      <c r="C444" s="48">
        <f t="shared" si="43"/>
        <v>45891</v>
      </c>
      <c r="D444" s="188" t="s">
        <v>169</v>
      </c>
      <c r="E444" s="185"/>
      <c r="F444" s="152" t="s">
        <v>461</v>
      </c>
    </row>
    <row r="445" spans="2:6" ht="6" customHeight="1" thickBot="1" x14ac:dyDescent="0.3"/>
    <row r="446" spans="2:6" x14ac:dyDescent="0.25">
      <c r="B446" s="52" t="s">
        <v>161</v>
      </c>
      <c r="C446" s="53">
        <f>C444+3</f>
        <v>45894</v>
      </c>
      <c r="D446" s="187" t="s">
        <v>162</v>
      </c>
      <c r="E446" s="183"/>
      <c r="F446" s="150" t="s">
        <v>462</v>
      </c>
    </row>
    <row r="447" spans="2:6" x14ac:dyDescent="0.25">
      <c r="B447" s="43" t="s">
        <v>161</v>
      </c>
      <c r="C447" s="21">
        <f t="shared" ref="C447:C454" si="44">C446</f>
        <v>45894</v>
      </c>
      <c r="D447" s="186" t="s">
        <v>163</v>
      </c>
      <c r="E447" s="184"/>
      <c r="F447" s="151" t="s">
        <v>462</v>
      </c>
    </row>
    <row r="448" spans="2:6" x14ac:dyDescent="0.25">
      <c r="B448" s="43" t="s">
        <v>161</v>
      </c>
      <c r="C448" s="21">
        <f t="shared" si="44"/>
        <v>45894</v>
      </c>
      <c r="D448" s="186" t="s">
        <v>164</v>
      </c>
      <c r="E448" s="184"/>
      <c r="F448" s="151" t="s">
        <v>462</v>
      </c>
    </row>
    <row r="449" spans="1:7" x14ac:dyDescent="0.25">
      <c r="B449" s="43" t="s">
        <v>161</v>
      </c>
      <c r="C449" s="21">
        <f t="shared" si="44"/>
        <v>45894</v>
      </c>
      <c r="D449" s="186" t="s">
        <v>165</v>
      </c>
      <c r="E449" s="184"/>
      <c r="F449" s="151" t="s">
        <v>462</v>
      </c>
    </row>
    <row r="450" spans="1:7" x14ac:dyDescent="0.25">
      <c r="B450" s="43" t="s">
        <v>161</v>
      </c>
      <c r="C450" s="21">
        <f t="shared" si="44"/>
        <v>45894</v>
      </c>
      <c r="D450" s="186" t="s">
        <v>166</v>
      </c>
      <c r="E450" s="184"/>
      <c r="F450" s="151" t="s">
        <v>462</v>
      </c>
    </row>
    <row r="451" spans="1:7" x14ac:dyDescent="0.25">
      <c r="B451" s="43" t="s">
        <v>161</v>
      </c>
      <c r="C451" s="21">
        <f t="shared" si="44"/>
        <v>45894</v>
      </c>
      <c r="D451" s="186" t="s">
        <v>167</v>
      </c>
      <c r="E451" s="184"/>
      <c r="F451" s="151" t="s">
        <v>462</v>
      </c>
    </row>
    <row r="452" spans="1:7" x14ac:dyDescent="0.25">
      <c r="B452" s="43" t="s">
        <v>161</v>
      </c>
      <c r="C452" s="21">
        <f t="shared" si="44"/>
        <v>45894</v>
      </c>
      <c r="D452" s="186" t="s">
        <v>167</v>
      </c>
      <c r="E452" s="184"/>
      <c r="F452" s="151" t="s">
        <v>462</v>
      </c>
    </row>
    <row r="453" spans="1:7" x14ac:dyDescent="0.25">
      <c r="B453" s="43" t="s">
        <v>161</v>
      </c>
      <c r="C453" s="21">
        <f t="shared" si="44"/>
        <v>45894</v>
      </c>
      <c r="D453" s="186" t="s">
        <v>169</v>
      </c>
      <c r="E453" s="184"/>
      <c r="F453" s="151" t="s">
        <v>462</v>
      </c>
    </row>
    <row r="454" spans="1:7" ht="15.75" thickBot="1" x14ac:dyDescent="0.3">
      <c r="B454" s="47" t="s">
        <v>161</v>
      </c>
      <c r="C454" s="48">
        <f t="shared" si="44"/>
        <v>45894</v>
      </c>
      <c r="D454" s="188" t="s">
        <v>170</v>
      </c>
      <c r="E454" s="185"/>
      <c r="F454" s="152" t="s">
        <v>462</v>
      </c>
    </row>
    <row r="455" spans="1:7" ht="6" customHeight="1" thickBot="1" x14ac:dyDescent="0.3">
      <c r="A455" s="129" t="s">
        <v>310</v>
      </c>
      <c r="B455" s="111"/>
      <c r="C455" s="111"/>
      <c r="D455" s="111"/>
      <c r="E455" s="122"/>
      <c r="F455" s="122"/>
      <c r="G455" s="111"/>
    </row>
    <row r="456" spans="1:7" x14ac:dyDescent="0.25">
      <c r="B456" s="206" t="s">
        <v>171</v>
      </c>
      <c r="C456" s="207">
        <f>C454+1</f>
        <v>45895</v>
      </c>
      <c r="D456" s="222" t="s">
        <v>162</v>
      </c>
      <c r="E456" s="223"/>
      <c r="F456" s="224" t="s">
        <v>462</v>
      </c>
    </row>
    <row r="457" spans="1:7" x14ac:dyDescent="0.25">
      <c r="B457" s="43" t="s">
        <v>171</v>
      </c>
      <c r="C457" s="21">
        <f t="shared" ref="C457:C464" si="45">C456</f>
        <v>45895</v>
      </c>
      <c r="D457" s="186" t="s">
        <v>163</v>
      </c>
      <c r="E457" s="184"/>
      <c r="F457" s="151" t="s">
        <v>462</v>
      </c>
    </row>
    <row r="458" spans="1:7" x14ac:dyDescent="0.25">
      <c r="B458" s="43" t="s">
        <v>171</v>
      </c>
      <c r="C458" s="21">
        <f t="shared" si="45"/>
        <v>45895</v>
      </c>
      <c r="D458" s="186" t="s">
        <v>164</v>
      </c>
      <c r="E458" s="184"/>
      <c r="F458" s="151" t="s">
        <v>462</v>
      </c>
    </row>
    <row r="459" spans="1:7" x14ac:dyDescent="0.25">
      <c r="B459" s="211" t="s">
        <v>171</v>
      </c>
      <c r="C459" s="212">
        <f t="shared" si="45"/>
        <v>45895</v>
      </c>
      <c r="D459" s="225" t="s">
        <v>165</v>
      </c>
      <c r="E459" s="226"/>
      <c r="F459" s="221" t="s">
        <v>462</v>
      </c>
    </row>
    <row r="460" spans="1:7" x14ac:dyDescent="0.25">
      <c r="B460" s="211" t="s">
        <v>171</v>
      </c>
      <c r="C460" s="212">
        <f t="shared" si="45"/>
        <v>45895</v>
      </c>
      <c r="D460" s="225" t="s">
        <v>166</v>
      </c>
      <c r="E460" s="226"/>
      <c r="F460" s="221" t="s">
        <v>462</v>
      </c>
    </row>
    <row r="461" spans="1:7" x14ac:dyDescent="0.25">
      <c r="B461" s="211" t="s">
        <v>171</v>
      </c>
      <c r="C461" s="212">
        <f t="shared" si="45"/>
        <v>45895</v>
      </c>
      <c r="D461" s="225" t="s">
        <v>167</v>
      </c>
      <c r="E461" s="226"/>
      <c r="F461" s="221" t="s">
        <v>462</v>
      </c>
    </row>
    <row r="462" spans="1:7" x14ac:dyDescent="0.25">
      <c r="B462" s="43" t="s">
        <v>171</v>
      </c>
      <c r="C462" s="21">
        <f t="shared" si="45"/>
        <v>45895</v>
      </c>
      <c r="D462" s="186" t="s">
        <v>168</v>
      </c>
      <c r="E462" s="184"/>
      <c r="F462" s="151" t="s">
        <v>462</v>
      </c>
    </row>
    <row r="463" spans="1:7" x14ac:dyDescent="0.25">
      <c r="B463" s="43" t="s">
        <v>171</v>
      </c>
      <c r="C463" s="21">
        <f t="shared" si="45"/>
        <v>45895</v>
      </c>
      <c r="D463" s="186" t="s">
        <v>169</v>
      </c>
      <c r="E463" s="184"/>
      <c r="F463" s="151" t="s">
        <v>462</v>
      </c>
    </row>
    <row r="464" spans="1:7" ht="15.75" thickBot="1" x14ac:dyDescent="0.3">
      <c r="B464" s="216" t="s">
        <v>171</v>
      </c>
      <c r="C464" s="217">
        <f t="shared" si="45"/>
        <v>45895</v>
      </c>
      <c r="D464" s="227" t="s">
        <v>170</v>
      </c>
      <c r="E464" s="228"/>
      <c r="F464" s="229" t="s">
        <v>462</v>
      </c>
    </row>
    <row r="465" spans="1:7" ht="6" customHeight="1" thickBot="1" x14ac:dyDescent="0.3">
      <c r="A465" s="129" t="s">
        <v>310</v>
      </c>
      <c r="B465" s="111"/>
      <c r="C465" s="111"/>
      <c r="D465" s="111"/>
      <c r="E465" s="122"/>
      <c r="F465" s="122"/>
      <c r="G465" s="111"/>
    </row>
    <row r="466" spans="1:7" x14ac:dyDescent="0.25">
      <c r="B466" s="206" t="s">
        <v>172</v>
      </c>
      <c r="C466" s="207">
        <f>C464+1</f>
        <v>45896</v>
      </c>
      <c r="D466" s="222" t="s">
        <v>162</v>
      </c>
      <c r="E466" s="223"/>
      <c r="F466" s="224" t="s">
        <v>462</v>
      </c>
    </row>
    <row r="467" spans="1:7" x14ac:dyDescent="0.25">
      <c r="B467" s="43" t="s">
        <v>172</v>
      </c>
      <c r="C467" s="21">
        <f t="shared" ref="C467:C474" si="46">C466</f>
        <v>45896</v>
      </c>
      <c r="D467" s="186" t="s">
        <v>163</v>
      </c>
      <c r="E467" s="184"/>
      <c r="F467" s="151" t="s">
        <v>462</v>
      </c>
    </row>
    <row r="468" spans="1:7" x14ac:dyDescent="0.25">
      <c r="B468" s="43" t="s">
        <v>172</v>
      </c>
      <c r="C468" s="21">
        <f t="shared" si="46"/>
        <v>45896</v>
      </c>
      <c r="D468" s="186" t="s">
        <v>164</v>
      </c>
      <c r="E468" s="184"/>
      <c r="F468" s="151" t="s">
        <v>462</v>
      </c>
    </row>
    <row r="469" spans="1:7" x14ac:dyDescent="0.25">
      <c r="B469" s="211" t="s">
        <v>172</v>
      </c>
      <c r="C469" s="212">
        <f t="shared" si="46"/>
        <v>45896</v>
      </c>
      <c r="D469" s="225" t="s">
        <v>165</v>
      </c>
      <c r="E469" s="226"/>
      <c r="F469" s="221" t="s">
        <v>462</v>
      </c>
    </row>
    <row r="470" spans="1:7" x14ac:dyDescent="0.25">
      <c r="B470" s="211" t="s">
        <v>172</v>
      </c>
      <c r="C470" s="212">
        <f t="shared" si="46"/>
        <v>45896</v>
      </c>
      <c r="D470" s="225" t="s">
        <v>166</v>
      </c>
      <c r="E470" s="226"/>
      <c r="F470" s="221" t="s">
        <v>462</v>
      </c>
    </row>
    <row r="471" spans="1:7" x14ac:dyDescent="0.25">
      <c r="B471" s="211" t="s">
        <v>172</v>
      </c>
      <c r="C471" s="212">
        <f t="shared" si="46"/>
        <v>45896</v>
      </c>
      <c r="D471" s="225" t="s">
        <v>167</v>
      </c>
      <c r="E471" s="226"/>
      <c r="F471" s="221" t="s">
        <v>462</v>
      </c>
    </row>
    <row r="472" spans="1:7" x14ac:dyDescent="0.25">
      <c r="B472" s="43" t="s">
        <v>172</v>
      </c>
      <c r="C472" s="21">
        <f t="shared" si="46"/>
        <v>45896</v>
      </c>
      <c r="D472" s="186" t="s">
        <v>168</v>
      </c>
      <c r="E472" s="184"/>
      <c r="F472" s="151" t="s">
        <v>462</v>
      </c>
    </row>
    <row r="473" spans="1:7" x14ac:dyDescent="0.25">
      <c r="B473" s="43" t="s">
        <v>172</v>
      </c>
      <c r="C473" s="21">
        <f t="shared" si="46"/>
        <v>45896</v>
      </c>
      <c r="D473" s="186" t="s">
        <v>169</v>
      </c>
      <c r="E473" s="184"/>
      <c r="F473" s="151" t="s">
        <v>462</v>
      </c>
    </row>
    <row r="474" spans="1:7" ht="15.75" thickBot="1" x14ac:dyDescent="0.3">
      <c r="B474" s="216" t="s">
        <v>172</v>
      </c>
      <c r="C474" s="217">
        <f t="shared" si="46"/>
        <v>45896</v>
      </c>
      <c r="D474" s="227" t="s">
        <v>170</v>
      </c>
      <c r="E474" s="228"/>
      <c r="F474" s="229" t="s">
        <v>462</v>
      </c>
    </row>
    <row r="475" spans="1:7" ht="6" customHeight="1" thickBot="1" x14ac:dyDescent="0.3">
      <c r="A475" s="129" t="s">
        <v>310</v>
      </c>
      <c r="B475" s="111"/>
      <c r="C475" s="111"/>
      <c r="D475" s="111"/>
      <c r="E475" s="122"/>
      <c r="F475" s="122"/>
      <c r="G475" s="111"/>
    </row>
    <row r="476" spans="1:7" x14ac:dyDescent="0.25">
      <c r="B476" s="206" t="s">
        <v>173</v>
      </c>
      <c r="C476" s="207">
        <f>C474+1</f>
        <v>45897</v>
      </c>
      <c r="D476" s="222" t="s">
        <v>162</v>
      </c>
      <c r="E476" s="223"/>
      <c r="F476" s="224"/>
    </row>
    <row r="477" spans="1:7" x14ac:dyDescent="0.25">
      <c r="B477" s="43" t="s">
        <v>173</v>
      </c>
      <c r="C477" s="21">
        <f t="shared" ref="C477:C484" si="47">C476</f>
        <v>45897</v>
      </c>
      <c r="D477" s="186" t="s">
        <v>163</v>
      </c>
      <c r="E477" s="184"/>
      <c r="F477" s="151"/>
    </row>
    <row r="478" spans="1:7" x14ac:dyDescent="0.25">
      <c r="B478" s="43" t="s">
        <v>173</v>
      </c>
      <c r="C478" s="21">
        <f t="shared" si="47"/>
        <v>45897</v>
      </c>
      <c r="D478" s="186" t="s">
        <v>164</v>
      </c>
      <c r="E478" s="184"/>
      <c r="F478" s="151"/>
    </row>
    <row r="479" spans="1:7" x14ac:dyDescent="0.25">
      <c r="B479" s="211" t="s">
        <v>173</v>
      </c>
      <c r="C479" s="212">
        <f t="shared" si="47"/>
        <v>45897</v>
      </c>
      <c r="D479" s="225" t="s">
        <v>165</v>
      </c>
      <c r="E479" s="226"/>
      <c r="F479" s="221"/>
    </row>
    <row r="480" spans="1:7" x14ac:dyDescent="0.25">
      <c r="B480" s="211" t="s">
        <v>173</v>
      </c>
      <c r="C480" s="212">
        <f t="shared" si="47"/>
        <v>45897</v>
      </c>
      <c r="D480" s="225" t="s">
        <v>166</v>
      </c>
      <c r="E480" s="226"/>
      <c r="F480" s="221"/>
    </row>
    <row r="481" spans="1:7" x14ac:dyDescent="0.25">
      <c r="B481" s="211" t="s">
        <v>173</v>
      </c>
      <c r="C481" s="212">
        <f t="shared" si="47"/>
        <v>45897</v>
      </c>
      <c r="D481" s="225" t="s">
        <v>167</v>
      </c>
      <c r="E481" s="226"/>
      <c r="F481" s="221"/>
    </row>
    <row r="482" spans="1:7" x14ac:dyDescent="0.25">
      <c r="B482" s="43" t="s">
        <v>173</v>
      </c>
      <c r="C482" s="21">
        <f t="shared" si="47"/>
        <v>45897</v>
      </c>
      <c r="D482" s="186" t="s">
        <v>168</v>
      </c>
      <c r="E482" s="184"/>
      <c r="F482" s="151"/>
    </row>
    <row r="483" spans="1:7" x14ac:dyDescent="0.25">
      <c r="B483" s="43" t="s">
        <v>173</v>
      </c>
      <c r="C483" s="21">
        <f t="shared" si="47"/>
        <v>45897</v>
      </c>
      <c r="D483" s="186" t="s">
        <v>169</v>
      </c>
      <c r="E483" s="184"/>
      <c r="F483" s="151"/>
    </row>
    <row r="484" spans="1:7" ht="15.75" thickBot="1" x14ac:dyDescent="0.3">
      <c r="B484" s="216" t="s">
        <v>173</v>
      </c>
      <c r="C484" s="217">
        <f t="shared" si="47"/>
        <v>45897</v>
      </c>
      <c r="D484" s="227" t="s">
        <v>170</v>
      </c>
      <c r="E484" s="228"/>
      <c r="F484" s="229"/>
    </row>
    <row r="485" spans="1:7" ht="6" customHeight="1" thickBot="1" x14ac:dyDescent="0.3"/>
    <row r="486" spans="1:7" x14ac:dyDescent="0.25">
      <c r="B486" s="206" t="s">
        <v>174</v>
      </c>
      <c r="C486" s="207">
        <f>C484+1</f>
        <v>45898</v>
      </c>
      <c r="D486" s="222" t="s">
        <v>162</v>
      </c>
      <c r="E486" s="223"/>
      <c r="F486" s="224"/>
    </row>
    <row r="487" spans="1:7" x14ac:dyDescent="0.25">
      <c r="B487" s="43" t="s">
        <v>174</v>
      </c>
      <c r="C487" s="21">
        <f>C486</f>
        <v>45898</v>
      </c>
      <c r="D487" s="186" t="s">
        <v>163</v>
      </c>
      <c r="E487" s="184"/>
      <c r="F487" s="151"/>
    </row>
    <row r="488" spans="1:7" x14ac:dyDescent="0.25">
      <c r="B488" s="211" t="s">
        <v>174</v>
      </c>
      <c r="C488" s="212">
        <f>C487</f>
        <v>45898</v>
      </c>
      <c r="D488" s="225" t="s">
        <v>164</v>
      </c>
      <c r="E488" s="226"/>
      <c r="F488" s="221"/>
    </row>
    <row r="489" spans="1:7" x14ac:dyDescent="0.25">
      <c r="B489" s="211" t="s">
        <v>174</v>
      </c>
      <c r="C489" s="212">
        <f>C488</f>
        <v>45898</v>
      </c>
      <c r="D489" s="225" t="s">
        <v>165</v>
      </c>
      <c r="E489" s="226"/>
      <c r="F489" s="221"/>
    </row>
    <row r="490" spans="1:7" x14ac:dyDescent="0.25">
      <c r="B490" s="43" t="s">
        <v>174</v>
      </c>
      <c r="C490" s="21">
        <f t="shared" ref="C490:C493" si="48">C489</f>
        <v>45898</v>
      </c>
      <c r="D490" s="186" t="s">
        <v>166</v>
      </c>
      <c r="E490" s="184"/>
      <c r="F490" s="151"/>
    </row>
    <row r="491" spans="1:7" x14ac:dyDescent="0.25">
      <c r="B491" s="43" t="s">
        <v>174</v>
      </c>
      <c r="C491" s="21">
        <f t="shared" si="48"/>
        <v>45898</v>
      </c>
      <c r="D491" s="186" t="s">
        <v>167</v>
      </c>
      <c r="E491" s="184"/>
      <c r="F491" s="151"/>
    </row>
    <row r="492" spans="1:7" x14ac:dyDescent="0.25">
      <c r="B492" s="43" t="s">
        <v>174</v>
      </c>
      <c r="C492" s="21">
        <f t="shared" si="48"/>
        <v>45898</v>
      </c>
      <c r="D492" s="186" t="s">
        <v>168</v>
      </c>
      <c r="E492" s="184"/>
      <c r="F492" s="151"/>
    </row>
    <row r="493" spans="1:7" ht="15.75" thickBot="1" x14ac:dyDescent="0.3">
      <c r="B493" s="47" t="s">
        <v>174</v>
      </c>
      <c r="C493" s="48">
        <f t="shared" si="48"/>
        <v>45898</v>
      </c>
      <c r="D493" s="188" t="s">
        <v>169</v>
      </c>
      <c r="E493" s="185"/>
      <c r="F493" s="152"/>
    </row>
    <row r="494" spans="1:7" ht="6" customHeight="1" x14ac:dyDescent="0.25">
      <c r="A494" s="129" t="s">
        <v>310</v>
      </c>
      <c r="B494" s="111"/>
      <c r="C494" s="111"/>
      <c r="D494" s="111"/>
      <c r="E494" s="122"/>
      <c r="F494" s="122"/>
      <c r="G494" s="111"/>
    </row>
  </sheetData>
  <autoFilter ref="B5:F53" xr:uid="{95F0C2B7-E7DF-43F0-8D5B-6316FA3030E0}"/>
  <conditionalFormatting sqref="E16:F23 E26:F33 E36:F43 E6:F13 E46:F52 E173:F180 E163:F170 E153:F160 E212:F219 E222:F229 E242:E248 E232:F239">
    <cfRule type="expression" dxfId="1705" priority="265" stopIfTrue="1">
      <formula>#REF!=0</formula>
    </cfRule>
    <cfRule type="expression" dxfId="1704" priority="266" stopIfTrue="1">
      <formula>AND(E6&lt;&gt;"",E6&lt;&gt;E5)</formula>
    </cfRule>
  </conditionalFormatting>
  <conditionalFormatting sqref="E15:F15 E25:F25 E35:F35 E45:F45 E172:F172 E162:F162 E250 E241 E231:F231">
    <cfRule type="expression" dxfId="1703" priority="267" stopIfTrue="1">
      <formula>#REF!=0</formula>
    </cfRule>
    <cfRule type="expression" dxfId="1702" priority="268" stopIfTrue="1">
      <formula>AND(E15&lt;&gt;"",E15&lt;&gt;E13)</formula>
    </cfRule>
  </conditionalFormatting>
  <conditionalFormatting sqref="E5:F5">
    <cfRule type="expression" dxfId="1701" priority="263" stopIfTrue="1">
      <formula>#REF!=0</formula>
    </cfRule>
    <cfRule type="expression" dxfId="1700" priority="264" stopIfTrue="1">
      <formula>AND(E5&lt;&gt;"",E5&lt;&gt;E4)</formula>
    </cfRule>
  </conditionalFormatting>
  <conditionalFormatting sqref="E75:E82 E95:E101 E54:E62 E65:E72 E84:E92">
    <cfRule type="expression" dxfId="1699" priority="261" stopIfTrue="1">
      <formula>#REF!=0</formula>
    </cfRule>
    <cfRule type="expression" dxfId="1698" priority="262" stopIfTrue="1">
      <formula>AND(E54&lt;&gt;"",E54&lt;&gt;E53)</formula>
    </cfRule>
  </conditionalFormatting>
  <conditionalFormatting sqref="E75:E82">
    <cfRule type="expression" dxfId="1697" priority="259" stopIfTrue="1">
      <formula>#REF!=0</formula>
    </cfRule>
    <cfRule type="expression" dxfId="1696" priority="260" stopIfTrue="1">
      <formula>AND(E75&lt;&gt;"",E75&lt;&gt;E74)</formula>
    </cfRule>
  </conditionalFormatting>
  <conditionalFormatting sqref="F75">
    <cfRule type="expression" dxfId="1695" priority="257" stopIfTrue="1">
      <formula>#REF!=0</formula>
    </cfRule>
    <cfRule type="expression" dxfId="1694" priority="258" stopIfTrue="1">
      <formula>AND(F75&lt;&gt;"",F75&lt;&gt;F74)</formula>
    </cfRule>
  </conditionalFormatting>
  <conditionalFormatting sqref="F75:F79">
    <cfRule type="expression" dxfId="1693" priority="255" stopIfTrue="1">
      <formula>#REF!=0</formula>
    </cfRule>
    <cfRule type="expression" dxfId="1692" priority="256" stopIfTrue="1">
      <formula>AND(F75&lt;&gt;"",F75&lt;&gt;F74)</formula>
    </cfRule>
  </conditionalFormatting>
  <conditionalFormatting sqref="F75:F82">
    <cfRule type="expression" dxfId="1691" priority="253" stopIfTrue="1">
      <formula>#REF!=0</formula>
    </cfRule>
    <cfRule type="expression" dxfId="1690" priority="254" stopIfTrue="1">
      <formula>AND(F75&lt;&gt;"",F75&lt;&gt;F74)</formula>
    </cfRule>
  </conditionalFormatting>
  <conditionalFormatting sqref="E75:E82">
    <cfRule type="expression" dxfId="1689" priority="251" stopIfTrue="1">
      <formula>#REF!=0</formula>
    </cfRule>
    <cfRule type="expression" dxfId="1688" priority="252" stopIfTrue="1">
      <formula>AND(E75&lt;&gt;"",E75&lt;&gt;E74)</formula>
    </cfRule>
  </conditionalFormatting>
  <conditionalFormatting sqref="E75:E82">
    <cfRule type="expression" dxfId="1687" priority="249" stopIfTrue="1">
      <formula>#REF!=0</formula>
    </cfRule>
    <cfRule type="expression" dxfId="1686" priority="250" stopIfTrue="1">
      <formula>AND(E75&lt;&gt;"",E75&lt;&gt;E74)</formula>
    </cfRule>
  </conditionalFormatting>
  <conditionalFormatting sqref="E75:E82">
    <cfRule type="expression" dxfId="1685" priority="247" stopIfTrue="1">
      <formula>#REF!=0</formula>
    </cfRule>
    <cfRule type="expression" dxfId="1684" priority="248" stopIfTrue="1">
      <formula>AND(E75&lt;&gt;"",E75&lt;&gt;E74)</formula>
    </cfRule>
  </conditionalFormatting>
  <conditionalFormatting sqref="F67:F70">
    <cfRule type="expression" dxfId="1683" priority="245" stopIfTrue="1">
      <formula>#REF!=0</formula>
    </cfRule>
    <cfRule type="expression" dxfId="1682" priority="246" stopIfTrue="1">
      <formula>AND(F67&lt;&gt;"",F67&lt;&gt;F66)</formula>
    </cfRule>
  </conditionalFormatting>
  <conditionalFormatting sqref="E54:E62">
    <cfRule type="expression" dxfId="1681" priority="243" stopIfTrue="1">
      <formula>#REF!=0</formula>
    </cfRule>
    <cfRule type="expression" dxfId="1680" priority="244" stopIfTrue="1">
      <formula>AND(E54&lt;&gt;"",E54&lt;&gt;E53)</formula>
    </cfRule>
  </conditionalFormatting>
  <conditionalFormatting sqref="F56">
    <cfRule type="expression" dxfId="1679" priority="241" stopIfTrue="1">
      <formula>#REF!=0</formula>
    </cfRule>
    <cfRule type="expression" dxfId="1678" priority="242" stopIfTrue="1">
      <formula>AND(F56&lt;&gt;"",F56&lt;&gt;F55)</formula>
    </cfRule>
  </conditionalFormatting>
  <conditionalFormatting sqref="F57:F61">
    <cfRule type="expression" dxfId="1677" priority="239" stopIfTrue="1">
      <formula>#REF!=0</formula>
    </cfRule>
    <cfRule type="expression" dxfId="1676" priority="240" stopIfTrue="1">
      <formula>AND(F57&lt;&gt;"",F57&lt;&gt;F56)</formula>
    </cfRule>
  </conditionalFormatting>
  <conditionalFormatting sqref="E55:E62">
    <cfRule type="expression" dxfId="1675" priority="237" stopIfTrue="1">
      <formula>#REF!=0</formula>
    </cfRule>
    <cfRule type="expression" dxfId="1674" priority="238" stopIfTrue="1">
      <formula>AND(E55&lt;&gt;"",E55&lt;&gt;E54)</formula>
    </cfRule>
  </conditionalFormatting>
  <conditionalFormatting sqref="E55:E62">
    <cfRule type="expression" dxfId="1673" priority="235" stopIfTrue="1">
      <formula>#REF!=0</formula>
    </cfRule>
    <cfRule type="expression" dxfId="1672" priority="236" stopIfTrue="1">
      <formula>AND(E55&lt;&gt;"",E55&lt;&gt;E54)</formula>
    </cfRule>
  </conditionalFormatting>
  <conditionalFormatting sqref="E55:E62">
    <cfRule type="expression" dxfId="1671" priority="233" stopIfTrue="1">
      <formula>#REF!=0</formula>
    </cfRule>
    <cfRule type="expression" dxfId="1670" priority="234" stopIfTrue="1">
      <formula>AND(E55&lt;&gt;"",E55&lt;&gt;E54)</formula>
    </cfRule>
  </conditionalFormatting>
  <conditionalFormatting sqref="E54">
    <cfRule type="expression" dxfId="1669" priority="231" stopIfTrue="1">
      <formula>#REF!=0</formula>
    </cfRule>
    <cfRule type="expression" dxfId="1668" priority="232" stopIfTrue="1">
      <formula>AND(E54&lt;&gt;"",E54&lt;&gt;E53)</formula>
    </cfRule>
  </conditionalFormatting>
  <conditionalFormatting sqref="E54">
    <cfRule type="expression" dxfId="1667" priority="229" stopIfTrue="1">
      <formula>#REF!=0</formula>
    </cfRule>
    <cfRule type="expression" dxfId="1666" priority="230" stopIfTrue="1">
      <formula>AND(E54&lt;&gt;"",E54&lt;&gt;E53)</formula>
    </cfRule>
  </conditionalFormatting>
  <conditionalFormatting sqref="E54">
    <cfRule type="expression" dxfId="1665" priority="227" stopIfTrue="1">
      <formula>#REF!=0</formula>
    </cfRule>
    <cfRule type="expression" dxfId="1664" priority="228" stopIfTrue="1">
      <formula>AND(E54&lt;&gt;"",E54&lt;&gt;E53)</formula>
    </cfRule>
  </conditionalFormatting>
  <conditionalFormatting sqref="E54">
    <cfRule type="expression" dxfId="1663" priority="225" stopIfTrue="1">
      <formula>#REF!=0</formula>
    </cfRule>
    <cfRule type="expression" dxfId="1662" priority="226" stopIfTrue="1">
      <formula>AND(E54&lt;&gt;"",E54&lt;&gt;E53)</formula>
    </cfRule>
  </conditionalFormatting>
  <conditionalFormatting sqref="E84:E92">
    <cfRule type="expression" dxfId="1661" priority="223" stopIfTrue="1">
      <formula>#REF!=0</formula>
    </cfRule>
    <cfRule type="expression" dxfId="1660" priority="224" stopIfTrue="1">
      <formula>AND(E84&lt;&gt;"",E84&lt;&gt;E83)</formula>
    </cfRule>
  </conditionalFormatting>
  <conditionalFormatting sqref="E84:E92">
    <cfRule type="expression" dxfId="1659" priority="221" stopIfTrue="1">
      <formula>#REF!=0</formula>
    </cfRule>
    <cfRule type="expression" dxfId="1658" priority="222" stopIfTrue="1">
      <formula>AND(E84&lt;&gt;"",E84&lt;&gt;E83)</formula>
    </cfRule>
  </conditionalFormatting>
  <conditionalFormatting sqref="E84:E92">
    <cfRule type="expression" dxfId="1657" priority="219" stopIfTrue="1">
      <formula>#REF!=0</formula>
    </cfRule>
    <cfRule type="expression" dxfId="1656" priority="220" stopIfTrue="1">
      <formula>AND(E84&lt;&gt;"",E84&lt;&gt;E83)</formula>
    </cfRule>
  </conditionalFormatting>
  <conditionalFormatting sqref="E84:E92">
    <cfRule type="expression" dxfId="1655" priority="217" stopIfTrue="1">
      <formula>#REF!=0</formula>
    </cfRule>
    <cfRule type="expression" dxfId="1654" priority="218" stopIfTrue="1">
      <formula>AND(E84&lt;&gt;"",E84&lt;&gt;E83)</formula>
    </cfRule>
  </conditionalFormatting>
  <conditionalFormatting sqref="E84:E92">
    <cfRule type="expression" dxfId="1653" priority="215" stopIfTrue="1">
      <formula>#REF!=0</formula>
    </cfRule>
    <cfRule type="expression" dxfId="1652" priority="216" stopIfTrue="1">
      <formula>AND(E84&lt;&gt;"",E84&lt;&gt;E83)</formula>
    </cfRule>
  </conditionalFormatting>
  <conditionalFormatting sqref="E84:E92">
    <cfRule type="expression" dxfId="1651" priority="213" stopIfTrue="1">
      <formula>#REF!=0</formula>
    </cfRule>
    <cfRule type="expression" dxfId="1650" priority="214" stopIfTrue="1">
      <formula>AND(E84&lt;&gt;"",E84&lt;&gt;E83)</formula>
    </cfRule>
  </conditionalFormatting>
  <conditionalFormatting sqref="E84:E92">
    <cfRule type="expression" dxfId="1649" priority="211" stopIfTrue="1">
      <formula>#REF!=0</formula>
    </cfRule>
    <cfRule type="expression" dxfId="1648" priority="212" stopIfTrue="1">
      <formula>AND(E84&lt;&gt;"",E84&lt;&gt;E83)</formula>
    </cfRule>
  </conditionalFormatting>
  <conditionalFormatting sqref="E84:E92">
    <cfRule type="expression" dxfId="1647" priority="209" stopIfTrue="1">
      <formula>#REF!=0</formula>
    </cfRule>
    <cfRule type="expression" dxfId="1646" priority="210" stopIfTrue="1">
      <formula>AND(E84&lt;&gt;"",E84&lt;&gt;E83)</formula>
    </cfRule>
  </conditionalFormatting>
  <conditionalFormatting sqref="E95:E101">
    <cfRule type="expression" dxfId="1645" priority="207" stopIfTrue="1">
      <formula>#REF!=0</formula>
    </cfRule>
    <cfRule type="expression" dxfId="1644" priority="208" stopIfTrue="1">
      <formula>AND(E95&lt;&gt;"",E95&lt;&gt;E94)</formula>
    </cfRule>
  </conditionalFormatting>
  <conditionalFormatting sqref="E95:E101">
    <cfRule type="expression" dxfId="1643" priority="205" stopIfTrue="1">
      <formula>#REF!=0</formula>
    </cfRule>
    <cfRule type="expression" dxfId="1642" priority="206" stopIfTrue="1">
      <formula>AND(E95&lt;&gt;"",E95&lt;&gt;E94)</formula>
    </cfRule>
  </conditionalFormatting>
  <conditionalFormatting sqref="E95:E101">
    <cfRule type="expression" dxfId="1641" priority="203" stopIfTrue="1">
      <formula>#REF!=0</formula>
    </cfRule>
    <cfRule type="expression" dxfId="1640" priority="204" stopIfTrue="1">
      <formula>AND(E95&lt;&gt;"",E95&lt;&gt;E94)</formula>
    </cfRule>
  </conditionalFormatting>
  <conditionalFormatting sqref="E95:E101">
    <cfRule type="expression" dxfId="1639" priority="201" stopIfTrue="1">
      <formula>#REF!=0</formula>
    </cfRule>
    <cfRule type="expression" dxfId="1638" priority="202" stopIfTrue="1">
      <formula>AND(E95&lt;&gt;"",E95&lt;&gt;E94)</formula>
    </cfRule>
  </conditionalFormatting>
  <conditionalFormatting sqref="F54:F58">
    <cfRule type="expression" dxfId="1637" priority="199" stopIfTrue="1">
      <formula>#REF!=0</formula>
    </cfRule>
    <cfRule type="expression" dxfId="1636" priority="200" stopIfTrue="1">
      <formula>AND(F54&lt;&gt;"",F54&lt;&gt;F53)</formula>
    </cfRule>
  </conditionalFormatting>
  <conditionalFormatting sqref="F55">
    <cfRule type="expression" dxfId="1635" priority="197" stopIfTrue="1">
      <formula>#REF!=0</formula>
    </cfRule>
    <cfRule type="expression" dxfId="1634" priority="198" stopIfTrue="1">
      <formula>AND(F55&lt;&gt;"",F55&lt;&gt;F54)</formula>
    </cfRule>
  </conditionalFormatting>
  <conditionalFormatting sqref="F65:F66">
    <cfRule type="expression" dxfId="1633" priority="195" stopIfTrue="1">
      <formula>#REF!=0</formula>
    </cfRule>
    <cfRule type="expression" dxfId="1632" priority="196" stopIfTrue="1">
      <formula>AND(F65&lt;&gt;"",F65&lt;&gt;F64)</formula>
    </cfRule>
  </conditionalFormatting>
  <conditionalFormatting sqref="F84:F92">
    <cfRule type="expression" dxfId="1631" priority="193" stopIfTrue="1">
      <formula>#REF!=0</formula>
    </cfRule>
    <cfRule type="expression" dxfId="1630" priority="194" stopIfTrue="1">
      <formula>AND(F84&lt;&gt;"",F84&lt;&gt;F83)</formula>
    </cfRule>
  </conditionalFormatting>
  <conditionalFormatting sqref="F84:F92">
    <cfRule type="expression" dxfId="1629" priority="191" stopIfTrue="1">
      <formula>#REF!=0</formula>
    </cfRule>
    <cfRule type="expression" dxfId="1628" priority="192" stopIfTrue="1">
      <formula>AND(F84&lt;&gt;"",F84&lt;&gt;F83)</formula>
    </cfRule>
  </conditionalFormatting>
  <conditionalFormatting sqref="F95:F101">
    <cfRule type="expression" dxfId="1627" priority="189" stopIfTrue="1">
      <formula>#REF!=0</formula>
    </cfRule>
    <cfRule type="expression" dxfId="1626" priority="190" stopIfTrue="1">
      <formula>AND(F95&lt;&gt;"",F95&lt;&gt;F94)</formula>
    </cfRule>
  </conditionalFormatting>
  <conditionalFormatting sqref="E54:E62">
    <cfRule type="expression" dxfId="1625" priority="187" stopIfTrue="1">
      <formula>#REF!=0</formula>
    </cfRule>
    <cfRule type="expression" dxfId="1624" priority="188" stopIfTrue="1">
      <formula>AND(E54&lt;&gt;"",E54&lt;&gt;E53)</formula>
    </cfRule>
  </conditionalFormatting>
  <conditionalFormatting sqref="E55:E62">
    <cfRule type="expression" dxfId="1623" priority="185" stopIfTrue="1">
      <formula>#REF!=0</formula>
    </cfRule>
    <cfRule type="expression" dxfId="1622" priority="186" stopIfTrue="1">
      <formula>AND(E55&lt;&gt;"",E55&lt;&gt;E54)</formula>
    </cfRule>
  </conditionalFormatting>
  <conditionalFormatting sqref="E55:E62">
    <cfRule type="expression" dxfId="1621" priority="183" stopIfTrue="1">
      <formula>#REF!=0</formula>
    </cfRule>
    <cfRule type="expression" dxfId="1620" priority="184" stopIfTrue="1">
      <formula>AND(E55&lt;&gt;"",E55&lt;&gt;E54)</formula>
    </cfRule>
  </conditionalFormatting>
  <conditionalFormatting sqref="E55:E62">
    <cfRule type="expression" dxfId="1619" priority="181" stopIfTrue="1">
      <formula>#REF!=0</formula>
    </cfRule>
    <cfRule type="expression" dxfId="1618" priority="182" stopIfTrue="1">
      <formula>AND(E55&lt;&gt;"",E55&lt;&gt;E54)</formula>
    </cfRule>
  </conditionalFormatting>
  <conditionalFormatting sqref="E54">
    <cfRule type="expression" dxfId="1617" priority="179" stopIfTrue="1">
      <formula>#REF!=0</formula>
    </cfRule>
    <cfRule type="expression" dxfId="1616" priority="180" stopIfTrue="1">
      <formula>AND(E54&lt;&gt;"",E54&lt;&gt;E53)</formula>
    </cfRule>
  </conditionalFormatting>
  <conditionalFormatting sqref="E54">
    <cfRule type="expression" dxfId="1615" priority="177" stopIfTrue="1">
      <formula>#REF!=0</formula>
    </cfRule>
    <cfRule type="expression" dxfId="1614" priority="178" stopIfTrue="1">
      <formula>AND(E54&lt;&gt;"",E54&lt;&gt;E53)</formula>
    </cfRule>
  </conditionalFormatting>
  <conditionalFormatting sqref="E54">
    <cfRule type="expression" dxfId="1613" priority="175" stopIfTrue="1">
      <formula>#REF!=0</formula>
    </cfRule>
    <cfRule type="expression" dxfId="1612" priority="176" stopIfTrue="1">
      <formula>AND(E54&lt;&gt;"",E54&lt;&gt;E53)</formula>
    </cfRule>
  </conditionalFormatting>
  <conditionalFormatting sqref="E54">
    <cfRule type="expression" dxfId="1611" priority="173" stopIfTrue="1">
      <formula>#REF!=0</formula>
    </cfRule>
    <cfRule type="expression" dxfId="1610" priority="174" stopIfTrue="1">
      <formula>AND(E54&lt;&gt;"",E54&lt;&gt;E53)</formula>
    </cfRule>
  </conditionalFormatting>
  <conditionalFormatting sqref="E65:E72">
    <cfRule type="expression" dxfId="1609" priority="171" stopIfTrue="1">
      <formula>#REF!=0</formula>
    </cfRule>
    <cfRule type="expression" dxfId="1608" priority="172" stopIfTrue="1">
      <formula>AND(E65&lt;&gt;"",E65&lt;&gt;E64)</formula>
    </cfRule>
  </conditionalFormatting>
  <conditionalFormatting sqref="E65:E72">
    <cfRule type="expression" dxfId="1607" priority="169" stopIfTrue="1">
      <formula>#REF!=0</formula>
    </cfRule>
    <cfRule type="expression" dxfId="1606" priority="170" stopIfTrue="1">
      <formula>AND(E65&lt;&gt;"",E65&lt;&gt;E64)</formula>
    </cfRule>
  </conditionalFormatting>
  <conditionalFormatting sqref="E65:E72">
    <cfRule type="expression" dxfId="1605" priority="167" stopIfTrue="1">
      <formula>#REF!=0</formula>
    </cfRule>
    <cfRule type="expression" dxfId="1604" priority="168" stopIfTrue="1">
      <formula>AND(E65&lt;&gt;"",E65&lt;&gt;E64)</formula>
    </cfRule>
  </conditionalFormatting>
  <conditionalFormatting sqref="E65:E72">
    <cfRule type="expression" dxfId="1603" priority="165" stopIfTrue="1">
      <formula>#REF!=0</formula>
    </cfRule>
    <cfRule type="expression" dxfId="1602" priority="166" stopIfTrue="1">
      <formula>AND(E65&lt;&gt;"",E65&lt;&gt;E64)</formula>
    </cfRule>
  </conditionalFormatting>
  <conditionalFormatting sqref="E65:E72">
    <cfRule type="expression" dxfId="1601" priority="163" stopIfTrue="1">
      <formula>#REF!=0</formula>
    </cfRule>
    <cfRule type="expression" dxfId="1600" priority="164" stopIfTrue="1">
      <formula>AND(E65&lt;&gt;"",E65&lt;&gt;E64)</formula>
    </cfRule>
  </conditionalFormatting>
  <conditionalFormatting sqref="E65:E72">
    <cfRule type="expression" dxfId="1599" priority="161" stopIfTrue="1">
      <formula>#REF!=0</formula>
    </cfRule>
    <cfRule type="expression" dxfId="1598" priority="162" stopIfTrue="1">
      <formula>AND(E65&lt;&gt;"",E65&lt;&gt;E64)</formula>
    </cfRule>
  </conditionalFormatting>
  <conditionalFormatting sqref="E65:E72">
    <cfRule type="expression" dxfId="1597" priority="159" stopIfTrue="1">
      <formula>#REF!=0</formula>
    </cfRule>
    <cfRule type="expression" dxfId="1596" priority="160" stopIfTrue="1">
      <formula>AND(E65&lt;&gt;"",E65&lt;&gt;E64)</formula>
    </cfRule>
  </conditionalFormatting>
  <conditionalFormatting sqref="E65:E72">
    <cfRule type="expression" dxfId="1595" priority="157" stopIfTrue="1">
      <formula>#REF!=0</formula>
    </cfRule>
    <cfRule type="expression" dxfId="1594" priority="158" stopIfTrue="1">
      <formula>AND(E65&lt;&gt;"",E65&lt;&gt;E64)</formula>
    </cfRule>
  </conditionalFormatting>
  <conditionalFormatting sqref="F62">
    <cfRule type="expression" dxfId="1593" priority="155" stopIfTrue="1">
      <formula>#REF!=0</formula>
    </cfRule>
    <cfRule type="expression" dxfId="1592" priority="156" stopIfTrue="1">
      <formula>AND(F62&lt;&gt;"",F62&lt;&gt;F61)</formula>
    </cfRule>
  </conditionalFormatting>
  <conditionalFormatting sqref="F71:F72">
    <cfRule type="expression" dxfId="1591" priority="153" stopIfTrue="1">
      <formula>#REF!=0</formula>
    </cfRule>
    <cfRule type="expression" dxfId="1590" priority="154" stopIfTrue="1">
      <formula>AND(F71&lt;&gt;"",F71&lt;&gt;F70)</formula>
    </cfRule>
  </conditionalFormatting>
  <conditionalFormatting sqref="F71:F72">
    <cfRule type="expression" dxfId="1589" priority="151" stopIfTrue="1">
      <formula>#REF!=0</formula>
    </cfRule>
    <cfRule type="expression" dxfId="1588" priority="152" stopIfTrue="1">
      <formula>AND(F71&lt;&gt;"",F71&lt;&gt;F70)</formula>
    </cfRule>
  </conditionalFormatting>
  <conditionalFormatting sqref="E114:E121 E129:F131 E124:E128 F123:F128 E134:F140">
    <cfRule type="expression" dxfId="1587" priority="147" stopIfTrue="1">
      <formula>#REF!=0</formula>
    </cfRule>
    <cfRule type="expression" dxfId="1586" priority="148" stopIfTrue="1">
      <formula>AND(E114&lt;&gt;"",E114&lt;&gt;E113)</formula>
    </cfRule>
  </conditionalFormatting>
  <conditionalFormatting sqref="E123 E113:F113 E133:F133">
    <cfRule type="expression" dxfId="1585" priority="149" stopIfTrue="1">
      <formula>#REF!=0</formula>
    </cfRule>
    <cfRule type="expression" dxfId="1584" priority="150" stopIfTrue="1">
      <formula>AND(E113&lt;&gt;"",E113&lt;&gt;E111)</formula>
    </cfRule>
  </conditionalFormatting>
  <conditionalFormatting sqref="E183:F190 E193:F199">
    <cfRule type="expression" dxfId="1583" priority="143" stopIfTrue="1">
      <formula>#REF!=0</formula>
    </cfRule>
    <cfRule type="expression" dxfId="1582" priority="144" stopIfTrue="1">
      <formula>AND(E183&lt;&gt;"",E183&lt;&gt;E182)</formula>
    </cfRule>
  </conditionalFormatting>
  <conditionalFormatting sqref="E192:F192">
    <cfRule type="expression" dxfId="1581" priority="145" stopIfTrue="1">
      <formula>#REF!=0</formula>
    </cfRule>
    <cfRule type="expression" dxfId="1580" priority="146" stopIfTrue="1">
      <formula>AND(E192&lt;&gt;"",E192&lt;&gt;E190)</formula>
    </cfRule>
  </conditionalFormatting>
  <conditionalFormatting sqref="E281:F288 E291:F297 E271:E278 E261:E268">
    <cfRule type="expression" dxfId="1579" priority="139" stopIfTrue="1">
      <formula>#REF!=0</formula>
    </cfRule>
    <cfRule type="expression" dxfId="1578" priority="140" stopIfTrue="1">
      <formula>AND(E261&lt;&gt;"",E261&lt;&gt;E260)</formula>
    </cfRule>
  </conditionalFormatting>
  <conditionalFormatting sqref="E280:F280 E290:F290 E260">
    <cfRule type="expression" dxfId="1577" priority="141" stopIfTrue="1">
      <formula>#REF!=0</formula>
    </cfRule>
    <cfRule type="expression" dxfId="1576" priority="142" stopIfTrue="1">
      <formula>AND(E260&lt;&gt;"",E260&lt;&gt;E258)</formula>
    </cfRule>
  </conditionalFormatting>
  <conditionalFormatting sqref="E202:F209">
    <cfRule type="expression" dxfId="1575" priority="135" stopIfTrue="1">
      <formula>#REF!=0</formula>
    </cfRule>
    <cfRule type="expression" dxfId="1574" priority="136" stopIfTrue="1">
      <formula>AND(E202&lt;&gt;"",E202&lt;&gt;E201)</formula>
    </cfRule>
  </conditionalFormatting>
  <conditionalFormatting sqref="E201:F201">
    <cfRule type="expression" dxfId="1573" priority="137" stopIfTrue="1">
      <formula>#REF!=0</formula>
    </cfRule>
    <cfRule type="expression" dxfId="1572" priority="138" stopIfTrue="1">
      <formula>AND(E201&lt;&gt;"",E201&lt;&gt;E199)</formula>
    </cfRule>
  </conditionalFormatting>
  <conditionalFormatting sqref="E251:E258">
    <cfRule type="expression" dxfId="1571" priority="133" stopIfTrue="1">
      <formula>#REF!=0</formula>
    </cfRule>
    <cfRule type="expression" dxfId="1570" priority="134" stopIfTrue="1">
      <formula>AND(E251&lt;&gt;"",E251&lt;&gt;E250)</formula>
    </cfRule>
  </conditionalFormatting>
  <conditionalFormatting sqref="E103:E107">
    <cfRule type="expression" dxfId="1569" priority="131" stopIfTrue="1">
      <formula>#REF!=0</formula>
    </cfRule>
    <cfRule type="expression" dxfId="1568" priority="132" stopIfTrue="1">
      <formula>AND(E103&lt;&gt;"",E103&lt;&gt;E102)</formula>
    </cfRule>
  </conditionalFormatting>
  <conditionalFormatting sqref="E103:E107">
    <cfRule type="expression" dxfId="1567" priority="129" stopIfTrue="1">
      <formula>#REF!=0</formula>
    </cfRule>
    <cfRule type="expression" dxfId="1566" priority="130" stopIfTrue="1">
      <formula>AND(E103&lt;&gt;"",E103&lt;&gt;E102)</formula>
    </cfRule>
  </conditionalFormatting>
  <conditionalFormatting sqref="E108">
    <cfRule type="expression" dxfId="1565" priority="127" stopIfTrue="1">
      <formula>#REF!=0</formula>
    </cfRule>
    <cfRule type="expression" dxfId="1564" priority="128" stopIfTrue="1">
      <formula>AND(E108&lt;&gt;"",E108&lt;&gt;E107)</formula>
    </cfRule>
  </conditionalFormatting>
  <conditionalFormatting sqref="F104:F111">
    <cfRule type="expression" dxfId="1563" priority="123" stopIfTrue="1">
      <formula>#REF!=0</formula>
    </cfRule>
    <cfRule type="expression" dxfId="1562" priority="124" stopIfTrue="1">
      <formula>AND(F104&lt;&gt;"",F104&lt;&gt;F103)</formula>
    </cfRule>
  </conditionalFormatting>
  <conditionalFormatting sqref="F103">
    <cfRule type="expression" dxfId="1561" priority="125" stopIfTrue="1">
      <formula>#REF!=0</formula>
    </cfRule>
    <cfRule type="expression" dxfId="1560" priority="126" stopIfTrue="1">
      <formula>AND(F103&lt;&gt;"",F103&lt;&gt;F101)</formula>
    </cfRule>
  </conditionalFormatting>
  <conditionalFormatting sqref="E109:E110">
    <cfRule type="expression" dxfId="1559" priority="121" stopIfTrue="1">
      <formula>#REF!=0</formula>
    </cfRule>
    <cfRule type="expression" dxfId="1558" priority="122" stopIfTrue="1">
      <formula>AND(E109&lt;&gt;"",E109&lt;&gt;E108)</formula>
    </cfRule>
  </conditionalFormatting>
  <conditionalFormatting sqref="E111">
    <cfRule type="expression" dxfId="1557" priority="119" stopIfTrue="1">
      <formula>#REF!=0</formula>
    </cfRule>
    <cfRule type="expression" dxfId="1556" priority="120" stopIfTrue="1">
      <formula>AND(E111&lt;&gt;"",E111&lt;&gt;E110)</formula>
    </cfRule>
  </conditionalFormatting>
  <conditionalFormatting sqref="E211:F211">
    <cfRule type="expression" dxfId="1555" priority="117" stopIfTrue="1">
      <formula>#REF!=0</formula>
    </cfRule>
    <cfRule type="expression" dxfId="1554" priority="118" stopIfTrue="1">
      <formula>AND(E211&lt;&gt;"",E211&lt;&gt;E209)</formula>
    </cfRule>
  </conditionalFormatting>
  <conditionalFormatting sqref="E182:F182">
    <cfRule type="expression" dxfId="1553" priority="269" stopIfTrue="1">
      <formula>#REF!=0</formula>
    </cfRule>
    <cfRule type="expression" dxfId="1552" priority="270" stopIfTrue="1">
      <formula>AND(E182&lt;&gt;"",E182&lt;&gt;D180)</formula>
    </cfRule>
  </conditionalFormatting>
  <conditionalFormatting sqref="F114:F121">
    <cfRule type="expression" dxfId="1551" priority="115" stopIfTrue="1">
      <formula>#REF!=0</formula>
    </cfRule>
    <cfRule type="expression" dxfId="1550" priority="116" stopIfTrue="1">
      <formula>AND(F114&lt;&gt;"",F114&lt;&gt;F113)</formula>
    </cfRule>
  </conditionalFormatting>
  <conditionalFormatting sqref="E143:F150">
    <cfRule type="expression" dxfId="1549" priority="113" stopIfTrue="1">
      <formula>#REF!=0</formula>
    </cfRule>
    <cfRule type="expression" dxfId="1548" priority="114" stopIfTrue="1">
      <formula>AND(E143&lt;&gt;"",E143&lt;&gt;E142)</formula>
    </cfRule>
  </conditionalFormatting>
  <conditionalFormatting sqref="F211">
    <cfRule type="expression" dxfId="1547" priority="271" stopIfTrue="1">
      <formula>#REF!=0</formula>
    </cfRule>
    <cfRule type="expression" dxfId="1546" priority="272" stopIfTrue="1">
      <formula>AND(F211&lt;&gt;"",F211&lt;&gt;#REF!)</formula>
    </cfRule>
  </conditionalFormatting>
  <conditionalFormatting sqref="F241:F248">
    <cfRule type="expression" dxfId="1545" priority="111" stopIfTrue="1">
      <formula>#REF!=0</formula>
    </cfRule>
    <cfRule type="expression" dxfId="1544" priority="112" stopIfTrue="1">
      <formula>AND(F241&lt;&gt;"",F241&lt;&gt;F240)</formula>
    </cfRule>
  </conditionalFormatting>
  <conditionalFormatting sqref="F251:F258 F261:F268 F271:F278">
    <cfRule type="expression" dxfId="1543" priority="105" stopIfTrue="1">
      <formula>#REF!=0</formula>
    </cfRule>
    <cfRule type="expression" dxfId="1542" priority="106" stopIfTrue="1">
      <formula>AND(F251&lt;&gt;"",F251&lt;&gt;F250)</formula>
    </cfRule>
  </conditionalFormatting>
  <conditionalFormatting sqref="F260 F270">
    <cfRule type="expression" dxfId="1541" priority="107" stopIfTrue="1">
      <formula>#REF!=0</formula>
    </cfRule>
    <cfRule type="expression" dxfId="1540" priority="108" stopIfTrue="1">
      <formula>AND(F260&lt;&gt;"",F260&lt;&gt;F258)</formula>
    </cfRule>
  </conditionalFormatting>
  <conditionalFormatting sqref="F250">
    <cfRule type="expression" dxfId="1539" priority="103" stopIfTrue="1">
      <formula>#REF!=0</formula>
    </cfRule>
    <cfRule type="expression" dxfId="1538" priority="104" stopIfTrue="1">
      <formula>AND(F250&lt;&gt;"",F250&lt;&gt;F248)</formula>
    </cfRule>
  </conditionalFormatting>
  <conditionalFormatting sqref="F250">
    <cfRule type="expression" dxfId="1537" priority="109" stopIfTrue="1">
      <formula>#REF!=0</formula>
    </cfRule>
    <cfRule type="expression" dxfId="1536" priority="110" stopIfTrue="1">
      <formula>AND(F250&lt;&gt;"",F250&lt;&gt;#REF!)</formula>
    </cfRule>
  </conditionalFormatting>
  <conditionalFormatting sqref="E152:F152">
    <cfRule type="expression" dxfId="1535" priority="101" stopIfTrue="1">
      <formula>#REF!=0</formula>
    </cfRule>
    <cfRule type="expression" dxfId="1534" priority="102" stopIfTrue="1">
      <formula>AND(E152&lt;&gt;"",E152&lt;&gt;E150)</formula>
    </cfRule>
  </conditionalFormatting>
  <conditionalFormatting sqref="E221:F221">
    <cfRule type="expression" dxfId="1533" priority="273" stopIfTrue="1">
      <formula>#REF!=0</formula>
    </cfRule>
    <cfRule type="expression" dxfId="1532" priority="274" stopIfTrue="1">
      <formula>AND(E221&lt;&gt;"",E221&lt;&gt;E219)</formula>
    </cfRule>
  </conditionalFormatting>
  <conditionalFormatting sqref="E299">
    <cfRule type="expression" dxfId="1531" priority="99" stopIfTrue="1">
      <formula>#REF!=0</formula>
    </cfRule>
    <cfRule type="expression" dxfId="1530" priority="100" stopIfTrue="1">
      <formula>AND(E299&lt;&gt;"",E299&lt;&gt;E297)</formula>
    </cfRule>
  </conditionalFormatting>
  <conditionalFormatting sqref="E300:E307">
    <cfRule type="expression" dxfId="1529" priority="97" stopIfTrue="1">
      <formula>#REF!=0</formula>
    </cfRule>
    <cfRule type="expression" dxfId="1528" priority="98" stopIfTrue="1">
      <formula>AND(E300&lt;&gt;"",E300&lt;&gt;E299)</formula>
    </cfRule>
  </conditionalFormatting>
  <conditionalFormatting sqref="F300:F307">
    <cfRule type="expression" dxfId="1527" priority="93" stopIfTrue="1">
      <formula>#REF!=0</formula>
    </cfRule>
    <cfRule type="expression" dxfId="1526" priority="94" stopIfTrue="1">
      <formula>AND(F300&lt;&gt;"",F300&lt;&gt;F299)</formula>
    </cfRule>
  </conditionalFormatting>
  <conditionalFormatting sqref="F299">
    <cfRule type="expression" dxfId="1525" priority="91" stopIfTrue="1">
      <formula>#REF!=0</formula>
    </cfRule>
    <cfRule type="expression" dxfId="1524" priority="92" stopIfTrue="1">
      <formula>AND(F299&lt;&gt;"",F299&lt;&gt;F297)</formula>
    </cfRule>
  </conditionalFormatting>
  <conditionalFormatting sqref="F299">
    <cfRule type="expression" dxfId="1523" priority="95" stopIfTrue="1">
      <formula>#REF!=0</formula>
    </cfRule>
    <cfRule type="expression" dxfId="1522" priority="96" stopIfTrue="1">
      <formula>AND(F299&lt;&gt;"",F299&lt;&gt;#REF!)</formula>
    </cfRule>
  </conditionalFormatting>
  <conditionalFormatting sqref="E320:F327 E310:E317 E330:F337">
    <cfRule type="expression" dxfId="1521" priority="87" stopIfTrue="1">
      <formula>#REF!=0</formula>
    </cfRule>
    <cfRule type="expression" dxfId="1520" priority="88" stopIfTrue="1">
      <formula>AND(E310&lt;&gt;"",E310&lt;&gt;E309)</formula>
    </cfRule>
  </conditionalFormatting>
  <conditionalFormatting sqref="E319:F319">
    <cfRule type="expression" dxfId="1519" priority="89" stopIfTrue="1">
      <formula>#REF!=0</formula>
    </cfRule>
    <cfRule type="expression" dxfId="1518" priority="90" stopIfTrue="1">
      <formula>AND(E319&lt;&gt;"",E319&lt;&gt;E317)</formula>
    </cfRule>
  </conditionalFormatting>
  <conditionalFormatting sqref="F310:F317">
    <cfRule type="expression" dxfId="1517" priority="83" stopIfTrue="1">
      <formula>#REF!=0</formula>
    </cfRule>
    <cfRule type="expression" dxfId="1516" priority="84" stopIfTrue="1">
      <formula>AND(F310&lt;&gt;"",F310&lt;&gt;F309)</formula>
    </cfRule>
  </conditionalFormatting>
  <conditionalFormatting sqref="F309">
    <cfRule type="expression" dxfId="1515" priority="85" stopIfTrue="1">
      <formula>#REF!=0</formula>
    </cfRule>
    <cfRule type="expression" dxfId="1514" priority="86" stopIfTrue="1">
      <formula>AND(F309&lt;&gt;"",F309&lt;&gt;F307)</formula>
    </cfRule>
  </conditionalFormatting>
  <conditionalFormatting sqref="E340:F346">
    <cfRule type="expression" dxfId="1513" priority="79" stopIfTrue="1">
      <formula>#REF!=0</formula>
    </cfRule>
    <cfRule type="expression" dxfId="1512" priority="80" stopIfTrue="1">
      <formula>AND(E340&lt;&gt;"",E340&lt;&gt;E339)</formula>
    </cfRule>
  </conditionalFormatting>
  <conditionalFormatting sqref="E339">
    <cfRule type="expression" dxfId="1511" priority="81" stopIfTrue="1">
      <formula>#REF!=0</formula>
    </cfRule>
    <cfRule type="expression" dxfId="1510" priority="82" stopIfTrue="1">
      <formula>AND(E339&lt;&gt;"",E339&lt;&gt;E327)</formula>
    </cfRule>
  </conditionalFormatting>
  <conditionalFormatting sqref="E329:F329">
    <cfRule type="expression" dxfId="1509" priority="77" stopIfTrue="1">
      <formula>#REF!=0</formula>
    </cfRule>
    <cfRule type="expression" dxfId="1508" priority="78" stopIfTrue="1">
      <formula>AND(E329&lt;&gt;"",E329&lt;&gt;E327)</formula>
    </cfRule>
  </conditionalFormatting>
  <conditionalFormatting sqref="E348">
    <cfRule type="expression" dxfId="1507" priority="75" stopIfTrue="1">
      <formula>#REF!=0</formula>
    </cfRule>
    <cfRule type="expression" dxfId="1506" priority="76" stopIfTrue="1">
      <formula>AND(E348&lt;&gt;"",E348&lt;&gt;E346)</formula>
    </cfRule>
  </conditionalFormatting>
  <conditionalFormatting sqref="E349:E356">
    <cfRule type="expression" dxfId="1505" priority="73" stopIfTrue="1">
      <formula>#REF!=0</formula>
    </cfRule>
    <cfRule type="expression" dxfId="1504" priority="74" stopIfTrue="1">
      <formula>AND(E349&lt;&gt;"",E349&lt;&gt;E348)</formula>
    </cfRule>
  </conditionalFormatting>
  <conditionalFormatting sqref="F349:F356">
    <cfRule type="expression" dxfId="1503" priority="69" stopIfTrue="1">
      <formula>#REF!=0</formula>
    </cfRule>
    <cfRule type="expression" dxfId="1502" priority="70" stopIfTrue="1">
      <formula>AND(F349&lt;&gt;"",F349&lt;&gt;F348)</formula>
    </cfRule>
  </conditionalFormatting>
  <conditionalFormatting sqref="F348">
    <cfRule type="expression" dxfId="1501" priority="67" stopIfTrue="1">
      <formula>#REF!=0</formula>
    </cfRule>
    <cfRule type="expression" dxfId="1500" priority="68" stopIfTrue="1">
      <formula>AND(F348&lt;&gt;"",F348&lt;&gt;F346)</formula>
    </cfRule>
  </conditionalFormatting>
  <conditionalFormatting sqref="F348">
    <cfRule type="expression" dxfId="1499" priority="71" stopIfTrue="1">
      <formula>#REF!=0</formula>
    </cfRule>
    <cfRule type="expression" dxfId="1498" priority="72" stopIfTrue="1">
      <formula>AND(F348&lt;&gt;"",F348&lt;&gt;#REF!)</formula>
    </cfRule>
  </conditionalFormatting>
  <conditionalFormatting sqref="E369:F376 E359:E366 E379:F386">
    <cfRule type="expression" dxfId="1497" priority="63" stopIfTrue="1">
      <formula>#REF!=0</formula>
    </cfRule>
    <cfRule type="expression" dxfId="1496" priority="64" stopIfTrue="1">
      <formula>AND(E359&lt;&gt;"",E359&lt;&gt;E358)</formula>
    </cfRule>
  </conditionalFormatting>
  <conditionalFormatting sqref="E368:F368">
    <cfRule type="expression" dxfId="1495" priority="65" stopIfTrue="1">
      <formula>#REF!=0</formula>
    </cfRule>
    <cfRule type="expression" dxfId="1494" priority="66" stopIfTrue="1">
      <formula>AND(E368&lt;&gt;"",E368&lt;&gt;E366)</formula>
    </cfRule>
  </conditionalFormatting>
  <conditionalFormatting sqref="F359:F366">
    <cfRule type="expression" dxfId="1493" priority="59" stopIfTrue="1">
      <formula>#REF!=0</formula>
    </cfRule>
    <cfRule type="expression" dxfId="1492" priority="60" stopIfTrue="1">
      <formula>AND(F359&lt;&gt;"",F359&lt;&gt;F358)</formula>
    </cfRule>
  </conditionalFormatting>
  <conditionalFormatting sqref="F358">
    <cfRule type="expression" dxfId="1491" priority="61" stopIfTrue="1">
      <formula>#REF!=0</formula>
    </cfRule>
    <cfRule type="expression" dxfId="1490" priority="62" stopIfTrue="1">
      <formula>AND(F358&lt;&gt;"",F358&lt;&gt;F356)</formula>
    </cfRule>
  </conditionalFormatting>
  <conditionalFormatting sqref="E389:F395">
    <cfRule type="expression" dxfId="1489" priority="55" stopIfTrue="1">
      <formula>#REF!=0</formula>
    </cfRule>
    <cfRule type="expression" dxfId="1488" priority="56" stopIfTrue="1">
      <formula>AND(E389&lt;&gt;"",E389&lt;&gt;E388)</formula>
    </cfRule>
  </conditionalFormatting>
  <conditionalFormatting sqref="E388">
    <cfRule type="expression" dxfId="1487" priority="57" stopIfTrue="1">
      <formula>#REF!=0</formula>
    </cfRule>
    <cfRule type="expression" dxfId="1486" priority="58" stopIfTrue="1">
      <formula>AND(E388&lt;&gt;"",E388&lt;&gt;E376)</formula>
    </cfRule>
  </conditionalFormatting>
  <conditionalFormatting sqref="E378:F378">
    <cfRule type="expression" dxfId="1485" priority="53" stopIfTrue="1">
      <formula>#REF!=0</formula>
    </cfRule>
    <cfRule type="expression" dxfId="1484" priority="54" stopIfTrue="1">
      <formula>AND(E378&lt;&gt;"",E378&lt;&gt;E376)</formula>
    </cfRule>
  </conditionalFormatting>
  <conditionalFormatting sqref="E397">
    <cfRule type="expression" dxfId="1483" priority="51" stopIfTrue="1">
      <formula>#REF!=0</formula>
    </cfRule>
    <cfRule type="expression" dxfId="1482" priority="52" stopIfTrue="1">
      <formula>AND(E397&lt;&gt;"",E397&lt;&gt;E395)</formula>
    </cfRule>
  </conditionalFormatting>
  <conditionalFormatting sqref="E398:E405">
    <cfRule type="expression" dxfId="1481" priority="49" stopIfTrue="1">
      <formula>#REF!=0</formula>
    </cfRule>
    <cfRule type="expression" dxfId="1480" priority="50" stopIfTrue="1">
      <formula>AND(E398&lt;&gt;"",E398&lt;&gt;E397)</formula>
    </cfRule>
  </conditionalFormatting>
  <conditionalFormatting sqref="F398:F405">
    <cfRule type="expression" dxfId="1479" priority="45" stopIfTrue="1">
      <formula>#REF!=0</formula>
    </cfRule>
    <cfRule type="expression" dxfId="1478" priority="46" stopIfTrue="1">
      <formula>AND(F398&lt;&gt;"",F398&lt;&gt;F397)</formula>
    </cfRule>
  </conditionalFormatting>
  <conditionalFormatting sqref="F397">
    <cfRule type="expression" dxfId="1477" priority="43" stopIfTrue="1">
      <formula>#REF!=0</formula>
    </cfRule>
    <cfRule type="expression" dxfId="1476" priority="44" stopIfTrue="1">
      <formula>AND(F397&lt;&gt;"",F397&lt;&gt;F395)</formula>
    </cfRule>
  </conditionalFormatting>
  <conditionalFormatting sqref="F397">
    <cfRule type="expression" dxfId="1475" priority="47" stopIfTrue="1">
      <formula>#REF!=0</formula>
    </cfRule>
    <cfRule type="expression" dxfId="1474" priority="48" stopIfTrue="1">
      <formula>AND(F397&lt;&gt;"",F397&lt;&gt;#REF!)</formula>
    </cfRule>
  </conditionalFormatting>
  <conditionalFormatting sqref="E418:F425 E408:E415 E428:F435">
    <cfRule type="expression" dxfId="1473" priority="39" stopIfTrue="1">
      <formula>#REF!=0</formula>
    </cfRule>
    <cfRule type="expression" dxfId="1472" priority="40" stopIfTrue="1">
      <formula>AND(E408&lt;&gt;"",E408&lt;&gt;E407)</formula>
    </cfRule>
  </conditionalFormatting>
  <conditionalFormatting sqref="E417:F417">
    <cfRule type="expression" dxfId="1471" priority="41" stopIfTrue="1">
      <formula>#REF!=0</formula>
    </cfRule>
    <cfRule type="expression" dxfId="1470" priority="42" stopIfTrue="1">
      <formula>AND(E417&lt;&gt;"",E417&lt;&gt;E415)</formula>
    </cfRule>
  </conditionalFormatting>
  <conditionalFormatting sqref="F408:F415">
    <cfRule type="expression" dxfId="1469" priority="35" stopIfTrue="1">
      <formula>#REF!=0</formula>
    </cfRule>
    <cfRule type="expression" dxfId="1468" priority="36" stopIfTrue="1">
      <formula>AND(F408&lt;&gt;"",F408&lt;&gt;F407)</formula>
    </cfRule>
  </conditionalFormatting>
  <conditionalFormatting sqref="F407">
    <cfRule type="expression" dxfId="1467" priority="37" stopIfTrue="1">
      <formula>#REF!=0</formula>
    </cfRule>
    <cfRule type="expression" dxfId="1466" priority="38" stopIfTrue="1">
      <formula>AND(F407&lt;&gt;"",F407&lt;&gt;F405)</formula>
    </cfRule>
  </conditionalFormatting>
  <conditionalFormatting sqref="E438:F444">
    <cfRule type="expression" dxfId="1465" priority="31" stopIfTrue="1">
      <formula>#REF!=0</formula>
    </cfRule>
    <cfRule type="expression" dxfId="1464" priority="32" stopIfTrue="1">
      <formula>AND(E438&lt;&gt;"",E438&lt;&gt;E437)</formula>
    </cfRule>
  </conditionalFormatting>
  <conditionalFormatting sqref="E437">
    <cfRule type="expression" dxfId="1463" priority="33" stopIfTrue="1">
      <formula>#REF!=0</formula>
    </cfRule>
    <cfRule type="expression" dxfId="1462" priority="34" stopIfTrue="1">
      <formula>AND(E437&lt;&gt;"",E437&lt;&gt;E425)</formula>
    </cfRule>
  </conditionalFormatting>
  <conditionalFormatting sqref="E427:F427">
    <cfRule type="expression" dxfId="1461" priority="29" stopIfTrue="1">
      <formula>#REF!=0</formula>
    </cfRule>
    <cfRule type="expression" dxfId="1460" priority="30" stopIfTrue="1">
      <formula>AND(E427&lt;&gt;"",E427&lt;&gt;E425)</formula>
    </cfRule>
  </conditionalFormatting>
  <conditionalFormatting sqref="E407">
    <cfRule type="expression" dxfId="1459" priority="27" stopIfTrue="1">
      <formula>#REF!=0</formula>
    </cfRule>
    <cfRule type="expression" dxfId="1458" priority="28" stopIfTrue="1">
      <formula>AND(E407&lt;&gt;"",E407&lt;&gt;E406)</formula>
    </cfRule>
  </conditionalFormatting>
  <conditionalFormatting sqref="F388">
    <cfRule type="expression" dxfId="1457" priority="25" stopIfTrue="1">
      <formula>#REF!=0</formula>
    </cfRule>
    <cfRule type="expression" dxfId="1456" priority="26" stopIfTrue="1">
      <formula>AND(F388&lt;&gt;"",F388&lt;&gt;F387)</formula>
    </cfRule>
  </conditionalFormatting>
  <conditionalFormatting sqref="E446">
    <cfRule type="expression" dxfId="1455" priority="23" stopIfTrue="1">
      <formula>#REF!=0</formula>
    </cfRule>
    <cfRule type="expression" dxfId="1454" priority="24" stopIfTrue="1">
      <formula>AND(E446&lt;&gt;"",E446&lt;&gt;E444)</formula>
    </cfRule>
  </conditionalFormatting>
  <conditionalFormatting sqref="E447:E454">
    <cfRule type="expression" dxfId="1453" priority="21" stopIfTrue="1">
      <formula>#REF!=0</formula>
    </cfRule>
    <cfRule type="expression" dxfId="1452" priority="22" stopIfTrue="1">
      <formula>AND(E447&lt;&gt;"",E447&lt;&gt;E446)</formula>
    </cfRule>
  </conditionalFormatting>
  <conditionalFormatting sqref="F447:F454">
    <cfRule type="expression" dxfId="1451" priority="17" stopIfTrue="1">
      <formula>#REF!=0</formula>
    </cfRule>
    <cfRule type="expression" dxfId="1450" priority="18" stopIfTrue="1">
      <formula>AND(F447&lt;&gt;"",F447&lt;&gt;F446)</formula>
    </cfRule>
  </conditionalFormatting>
  <conditionalFormatting sqref="F446">
    <cfRule type="expression" dxfId="1449" priority="15" stopIfTrue="1">
      <formula>#REF!=0</formula>
    </cfRule>
    <cfRule type="expression" dxfId="1448" priority="16" stopIfTrue="1">
      <formula>AND(F446&lt;&gt;"",F446&lt;&gt;F444)</formula>
    </cfRule>
  </conditionalFormatting>
  <conditionalFormatting sqref="F446">
    <cfRule type="expression" dxfId="1447" priority="19" stopIfTrue="1">
      <formula>#REF!=0</formula>
    </cfRule>
    <cfRule type="expression" dxfId="1446" priority="20" stopIfTrue="1">
      <formula>AND(F446&lt;&gt;"",F446&lt;&gt;#REF!)</formula>
    </cfRule>
  </conditionalFormatting>
  <conditionalFormatting sqref="E467:F474 E457:E464 E477:F484">
    <cfRule type="expression" dxfId="1445" priority="11" stopIfTrue="1">
      <formula>#REF!=0</formula>
    </cfRule>
    <cfRule type="expression" dxfId="1444" priority="12" stopIfTrue="1">
      <formula>AND(E457&lt;&gt;"",E457&lt;&gt;E456)</formula>
    </cfRule>
  </conditionalFormatting>
  <conditionalFormatting sqref="E466:F466">
    <cfRule type="expression" dxfId="1443" priority="13" stopIfTrue="1">
      <formula>#REF!=0</formula>
    </cfRule>
    <cfRule type="expression" dxfId="1442" priority="14" stopIfTrue="1">
      <formula>AND(E466&lt;&gt;"",E466&lt;&gt;E464)</formula>
    </cfRule>
  </conditionalFormatting>
  <conditionalFormatting sqref="F457:F464">
    <cfRule type="expression" dxfId="1441" priority="7" stopIfTrue="1">
      <formula>#REF!=0</formula>
    </cfRule>
    <cfRule type="expression" dxfId="1440" priority="8" stopIfTrue="1">
      <formula>AND(F457&lt;&gt;"",F457&lt;&gt;F456)</formula>
    </cfRule>
  </conditionalFormatting>
  <conditionalFormatting sqref="F456">
    <cfRule type="expression" dxfId="1439" priority="9" stopIfTrue="1">
      <formula>#REF!=0</formula>
    </cfRule>
    <cfRule type="expression" dxfId="1438" priority="10" stopIfTrue="1">
      <formula>AND(F456&lt;&gt;"",F456&lt;&gt;F454)</formula>
    </cfRule>
  </conditionalFormatting>
  <conditionalFormatting sqref="E487:F493">
    <cfRule type="expression" dxfId="1437" priority="3" stopIfTrue="1">
      <formula>#REF!=0</formula>
    </cfRule>
    <cfRule type="expression" dxfId="1436" priority="4" stopIfTrue="1">
      <formula>AND(E487&lt;&gt;"",E487&lt;&gt;E486)</formula>
    </cfRule>
  </conditionalFormatting>
  <conditionalFormatting sqref="E486">
    <cfRule type="expression" dxfId="1435" priority="5" stopIfTrue="1">
      <formula>#REF!=0</formula>
    </cfRule>
    <cfRule type="expression" dxfId="1434" priority="6" stopIfTrue="1">
      <formula>AND(E486&lt;&gt;"",E486&lt;&gt;E474)</formula>
    </cfRule>
  </conditionalFormatting>
  <conditionalFormatting sqref="E476:F476">
    <cfRule type="expression" dxfId="1433" priority="1" stopIfTrue="1">
      <formula>#REF!=0</formula>
    </cfRule>
    <cfRule type="expression" dxfId="1432" priority="2" stopIfTrue="1">
      <formula>AND(E476&lt;&gt;"",E476&lt;&gt;E474)</formula>
    </cfRule>
  </conditionalFormatting>
  <pageMargins left="0.7" right="0.7" top="0.75" bottom="0.75" header="0.3" footer="0.3"/>
  <pageSetup paperSize="9" scale="34" fitToHeight="0"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FDEFB-AFFE-41C9-BF8D-BF8A65728C6B}">
  <sheetPr codeName="Sheet9">
    <tabColor theme="7" tint="0.39997558519241921"/>
    <pageSetUpPr fitToPage="1"/>
  </sheetPr>
  <dimension ref="A1:AD653"/>
  <sheetViews>
    <sheetView showGridLines="0" zoomScaleNormal="100" zoomScaleSheetLayoutView="100" workbookViewId="0">
      <pane xSplit="5" ySplit="4" topLeftCell="F474" activePane="bottomRight" state="frozen"/>
      <selection pane="topRight" activeCell="F1" sqref="F1"/>
      <selection pane="bottomLeft" activeCell="A5" sqref="A5"/>
      <selection pane="bottomRight" activeCell="F481" sqref="A1:XFD1048576"/>
    </sheetView>
  </sheetViews>
  <sheetFormatPr defaultColWidth="9.140625" defaultRowHeight="15" x14ac:dyDescent="0.25"/>
  <cols>
    <col min="1" max="1" width="3.85546875" style="111" customWidth="1"/>
    <col min="2" max="2" width="2" hidden="1" customWidth="1"/>
    <col min="3" max="3" width="9.42578125" style="111" bestFit="1" customWidth="1"/>
    <col min="4" max="4" width="11" style="111" bestFit="1" customWidth="1"/>
    <col min="5" max="5" width="14" style="111" bestFit="1" customWidth="1"/>
    <col min="6" max="6" width="35.42578125" style="122" bestFit="1" customWidth="1"/>
    <col min="7" max="7" width="47.5703125" style="122" bestFit="1" customWidth="1"/>
    <col min="8" max="8" width="47.5703125" customWidth="1"/>
    <col min="9" max="9" width="3.42578125" hidden="1" customWidth="1"/>
    <col min="10" max="10" width="36.140625" hidden="1" customWidth="1"/>
    <col min="11" max="12" width="5.5703125" hidden="1" customWidth="1"/>
    <col min="13" max="13" width="7" hidden="1" customWidth="1"/>
    <col min="14" max="14" width="6.42578125" hidden="1" customWidth="1"/>
    <col min="15" max="15" width="4.5703125" hidden="1" customWidth="1"/>
    <col min="16" max="16" width="6.42578125" hidden="1" customWidth="1"/>
    <col min="17" max="17" width="4.85546875" hidden="1" customWidth="1"/>
    <col min="18" max="18" width="4.5703125" hidden="1" customWidth="1"/>
    <col min="19" max="19" width="5" hidden="1" customWidth="1"/>
    <col min="20" max="20" width="2.42578125" customWidth="1"/>
    <col min="21" max="21" width="10.85546875" bestFit="1" customWidth="1"/>
    <col min="22" max="22" width="10.85546875" customWidth="1"/>
    <col min="23" max="23" width="10.5703125" customWidth="1"/>
    <col min="24" max="24" width="11.5703125" bestFit="1" customWidth="1"/>
    <col min="25" max="25" width="10.5703125" customWidth="1"/>
    <col min="26" max="26" width="36.42578125" bestFit="1" customWidth="1"/>
    <col min="27" max="27" width="10.5703125" bestFit="1" customWidth="1"/>
    <col min="28" max="31" width="10.42578125" bestFit="1" customWidth="1"/>
  </cols>
  <sheetData>
    <row r="1" spans="1:26" x14ac:dyDescent="0.25">
      <c r="A1" s="129" t="s">
        <v>310</v>
      </c>
      <c r="B1" s="111"/>
      <c r="C1" s="204" t="s">
        <v>451</v>
      </c>
      <c r="D1" s="204" t="s">
        <v>452</v>
      </c>
      <c r="E1" s="204" t="s">
        <v>433</v>
      </c>
      <c r="F1" s="204" t="s">
        <v>449</v>
      </c>
      <c r="G1" s="204" t="s">
        <v>450</v>
      </c>
      <c r="H1" s="204" t="s">
        <v>437</v>
      </c>
      <c r="I1" s="111"/>
      <c r="J1" s="111"/>
      <c r="K1" s="111"/>
      <c r="L1" s="111"/>
      <c r="M1" s="111"/>
      <c r="N1" s="111"/>
      <c r="O1" s="111"/>
      <c r="P1" s="111"/>
      <c r="Q1" s="111"/>
      <c r="R1" s="111"/>
      <c r="S1" s="111"/>
      <c r="U1" s="204" t="s">
        <v>580</v>
      </c>
    </row>
    <row r="2" spans="1:26" x14ac:dyDescent="0.25">
      <c r="A2" s="129"/>
      <c r="B2" s="111"/>
      <c r="C2" s="203" t="e">
        <f>INDEX([1]Produtos!$L:$L,MATCH(IFERROR(IF(SEARCH("- ",H2)&gt;1,MID(H2,1,SEARCH("- ",H2)-2),H2),H2),[1]Produtos!$C:$C,0))</f>
        <v>#N/A</v>
      </c>
      <c r="D2" s="235" t="e">
        <f>C2*9</f>
        <v>#N/A</v>
      </c>
      <c r="E2" s="205">
        <v>5000</v>
      </c>
      <c r="F2" s="234" t="e">
        <f>E2/(C2)</f>
        <v>#N/A</v>
      </c>
      <c r="G2" s="240" t="e">
        <f>E2/(C2*9)</f>
        <v>#N/A</v>
      </c>
      <c r="H2" s="239" t="s">
        <v>607</v>
      </c>
      <c r="I2" s="111"/>
      <c r="J2" s="111"/>
      <c r="K2" s="111"/>
      <c r="L2" s="111"/>
      <c r="M2" s="111"/>
      <c r="N2" s="111"/>
      <c r="O2" s="111"/>
      <c r="P2" s="111"/>
      <c r="Q2" s="111"/>
      <c r="R2" s="111"/>
      <c r="S2" s="111"/>
      <c r="U2" s="234">
        <f>COUNTIF(F:G,"="&amp;H2)</f>
        <v>6</v>
      </c>
    </row>
    <row r="3" spans="1:26" ht="9.9499999999999993" customHeight="1" thickBot="1" x14ac:dyDescent="0.3">
      <c r="A3" s="129"/>
      <c r="B3" s="111"/>
      <c r="H3" s="122"/>
      <c r="I3" s="111"/>
      <c r="J3" s="111"/>
      <c r="K3" s="111"/>
      <c r="L3" s="111"/>
      <c r="M3" s="111"/>
      <c r="N3" s="111"/>
      <c r="O3" s="111"/>
      <c r="P3" s="111"/>
      <c r="Q3" s="111"/>
      <c r="R3" s="111"/>
      <c r="S3" s="111"/>
      <c r="U3" s="204"/>
      <c r="V3" s="204"/>
      <c r="X3" s="204"/>
      <c r="Y3" s="204"/>
      <c r="Z3" s="204"/>
    </row>
    <row r="4" spans="1:26" ht="18.600000000000001" customHeight="1" thickBot="1" x14ac:dyDescent="0.35">
      <c r="A4" s="134"/>
      <c r="B4" s="23" t="s">
        <v>157</v>
      </c>
      <c r="C4" s="79" t="s">
        <v>158</v>
      </c>
      <c r="D4" s="238" t="s">
        <v>201</v>
      </c>
      <c r="E4" s="81" t="s">
        <v>159</v>
      </c>
      <c r="F4" s="82" t="s">
        <v>353</v>
      </c>
      <c r="G4" s="83" t="s">
        <v>354</v>
      </c>
      <c r="H4" s="83" t="s">
        <v>438</v>
      </c>
      <c r="I4" s="16"/>
      <c r="J4" s="17" t="s">
        <v>160</v>
      </c>
      <c r="K4" s="18" t="s">
        <v>202</v>
      </c>
      <c r="L4" s="18" t="s">
        <v>203</v>
      </c>
      <c r="M4" s="18" t="s">
        <v>204</v>
      </c>
      <c r="N4" s="18" t="s">
        <v>205</v>
      </c>
      <c r="O4" s="18" t="s">
        <v>206</v>
      </c>
      <c r="P4" s="18" t="s">
        <v>207</v>
      </c>
      <c r="Q4" s="18" t="s">
        <v>208</v>
      </c>
      <c r="R4" s="18" t="s">
        <v>209</v>
      </c>
      <c r="S4" s="19" t="s">
        <v>210</v>
      </c>
    </row>
    <row r="5" spans="1:26" ht="15.75" hidden="1" thickBot="1" x14ac:dyDescent="0.3">
      <c r="C5" s="52" t="s">
        <v>161</v>
      </c>
      <c r="D5" s="202">
        <v>45852</v>
      </c>
      <c r="E5" s="59" t="s">
        <v>162</v>
      </c>
      <c r="F5" s="150" t="s">
        <v>300</v>
      </c>
      <c r="G5" s="150" t="s">
        <v>381</v>
      </c>
      <c r="H5" s="233"/>
    </row>
    <row r="6" spans="1:26" ht="15.75" hidden="1" thickBot="1" x14ac:dyDescent="0.3">
      <c r="C6" s="43" t="s">
        <v>161</v>
      </c>
      <c r="D6" s="21">
        <f t="shared" ref="D6:D13" si="0">D5</f>
        <v>45852</v>
      </c>
      <c r="E6" s="36" t="s">
        <v>163</v>
      </c>
      <c r="F6" s="151" t="s">
        <v>300</v>
      </c>
      <c r="G6" s="151" t="s">
        <v>381</v>
      </c>
      <c r="H6" s="233"/>
    </row>
    <row r="7" spans="1:26" ht="15.75" hidden="1" thickBot="1" x14ac:dyDescent="0.3">
      <c r="C7" s="43" t="s">
        <v>161</v>
      </c>
      <c r="D7" s="21">
        <f t="shared" si="0"/>
        <v>45852</v>
      </c>
      <c r="E7" s="36" t="s">
        <v>164</v>
      </c>
      <c r="F7" s="151" t="s">
        <v>300</v>
      </c>
      <c r="G7" s="151" t="s">
        <v>381</v>
      </c>
      <c r="H7" s="233"/>
    </row>
    <row r="8" spans="1:26" ht="15.75" hidden="1" thickBot="1" x14ac:dyDescent="0.3">
      <c r="C8" s="43" t="s">
        <v>161</v>
      </c>
      <c r="D8" s="21">
        <f t="shared" si="0"/>
        <v>45852</v>
      </c>
      <c r="E8" s="36" t="s">
        <v>165</v>
      </c>
      <c r="F8" s="151" t="s">
        <v>300</v>
      </c>
      <c r="G8" s="151" t="s">
        <v>381</v>
      </c>
      <c r="H8" s="233"/>
    </row>
    <row r="9" spans="1:26" ht="15.75" hidden="1" thickBot="1" x14ac:dyDescent="0.3">
      <c r="C9" s="43" t="s">
        <v>161</v>
      </c>
      <c r="D9" s="21">
        <f t="shared" si="0"/>
        <v>45852</v>
      </c>
      <c r="E9" s="36" t="s">
        <v>166</v>
      </c>
      <c r="F9" s="151" t="s">
        <v>300</v>
      </c>
      <c r="G9" s="151" t="s">
        <v>381</v>
      </c>
      <c r="H9" s="233"/>
    </row>
    <row r="10" spans="1:26" ht="15.75" hidden="1" thickBot="1" x14ac:dyDescent="0.3">
      <c r="C10" s="43" t="s">
        <v>161</v>
      </c>
      <c r="D10" s="21">
        <f t="shared" si="0"/>
        <v>45852</v>
      </c>
      <c r="E10" s="36" t="s">
        <v>167</v>
      </c>
      <c r="F10" s="151" t="s">
        <v>300</v>
      </c>
      <c r="G10" s="151" t="s">
        <v>381</v>
      </c>
      <c r="H10" s="233"/>
    </row>
    <row r="11" spans="1:26" ht="15.75" hidden="1" thickBot="1" x14ac:dyDescent="0.3">
      <c r="C11" s="43" t="s">
        <v>161</v>
      </c>
      <c r="D11" s="21">
        <f t="shared" si="0"/>
        <v>45852</v>
      </c>
      <c r="E11" s="36" t="s">
        <v>167</v>
      </c>
      <c r="F11" s="151" t="s">
        <v>300</v>
      </c>
      <c r="G11" s="151" t="s">
        <v>381</v>
      </c>
      <c r="H11" s="233"/>
    </row>
    <row r="12" spans="1:26" ht="15.75" hidden="1" thickBot="1" x14ac:dyDescent="0.3">
      <c r="C12" s="43" t="s">
        <v>161</v>
      </c>
      <c r="D12" s="21">
        <f t="shared" si="0"/>
        <v>45852</v>
      </c>
      <c r="E12" s="36" t="s">
        <v>169</v>
      </c>
      <c r="F12" s="151" t="s">
        <v>300</v>
      </c>
      <c r="G12" s="151" t="s">
        <v>381</v>
      </c>
      <c r="H12" s="233"/>
    </row>
    <row r="13" spans="1:26" ht="15.75" hidden="1" thickBot="1" x14ac:dyDescent="0.3">
      <c r="C13" s="47" t="s">
        <v>161</v>
      </c>
      <c r="D13" s="48">
        <f t="shared" si="0"/>
        <v>45852</v>
      </c>
      <c r="E13" s="62" t="s">
        <v>170</v>
      </c>
      <c r="F13" s="152" t="s">
        <v>300</v>
      </c>
      <c r="G13" s="152" t="s">
        <v>381</v>
      </c>
      <c r="H13" s="233"/>
    </row>
    <row r="14" spans="1:26" ht="6" hidden="1" customHeight="1" thickBot="1" x14ac:dyDescent="0.3">
      <c r="C14"/>
      <c r="D14"/>
      <c r="E14"/>
      <c r="F14" s="68"/>
      <c r="G14" s="68"/>
      <c r="H14" s="68"/>
    </row>
    <row r="15" spans="1:26" ht="15.75" hidden="1" thickBot="1" x14ac:dyDescent="0.3">
      <c r="C15" s="52" t="s">
        <v>171</v>
      </c>
      <c r="D15" s="53">
        <f>D13+1</f>
        <v>45853</v>
      </c>
      <c r="E15" s="59" t="s">
        <v>162</v>
      </c>
      <c r="F15" s="150" t="s">
        <v>300</v>
      </c>
      <c r="G15" s="150" t="s">
        <v>381</v>
      </c>
      <c r="H15" s="233"/>
    </row>
    <row r="16" spans="1:26" ht="15.75" hidden="1" thickBot="1" x14ac:dyDescent="0.3">
      <c r="C16" s="43" t="s">
        <v>171</v>
      </c>
      <c r="D16" s="21">
        <f t="shared" ref="D16:D23" si="1">D15</f>
        <v>45853</v>
      </c>
      <c r="E16" s="36" t="s">
        <v>163</v>
      </c>
      <c r="F16" s="151" t="s">
        <v>300</v>
      </c>
      <c r="G16" s="151" t="s">
        <v>381</v>
      </c>
      <c r="H16" s="233"/>
    </row>
    <row r="17" spans="3:8" ht="15.75" hidden="1" thickBot="1" x14ac:dyDescent="0.3">
      <c r="C17" s="43" t="s">
        <v>171</v>
      </c>
      <c r="D17" s="21">
        <f t="shared" si="1"/>
        <v>45853</v>
      </c>
      <c r="E17" s="36" t="s">
        <v>164</v>
      </c>
      <c r="F17" s="151" t="s">
        <v>300</v>
      </c>
      <c r="G17" s="151" t="s">
        <v>381</v>
      </c>
      <c r="H17" s="233"/>
    </row>
    <row r="18" spans="3:8" ht="15.75" hidden="1" thickBot="1" x14ac:dyDescent="0.3">
      <c r="C18" s="43" t="s">
        <v>171</v>
      </c>
      <c r="D18" s="21">
        <f t="shared" si="1"/>
        <v>45853</v>
      </c>
      <c r="E18" s="36" t="s">
        <v>165</v>
      </c>
      <c r="F18" s="151" t="s">
        <v>300</v>
      </c>
      <c r="G18" s="151" t="s">
        <v>381</v>
      </c>
      <c r="H18" s="233"/>
    </row>
    <row r="19" spans="3:8" ht="15.75" hidden="1" thickBot="1" x14ac:dyDescent="0.3">
      <c r="C19" s="43" t="s">
        <v>171</v>
      </c>
      <c r="D19" s="21">
        <f t="shared" si="1"/>
        <v>45853</v>
      </c>
      <c r="E19" s="36" t="s">
        <v>166</v>
      </c>
      <c r="F19" s="151" t="s">
        <v>300</v>
      </c>
      <c r="G19" s="151" t="s">
        <v>381</v>
      </c>
      <c r="H19" s="233"/>
    </row>
    <row r="20" spans="3:8" ht="15.75" hidden="1" thickBot="1" x14ac:dyDescent="0.3">
      <c r="C20" s="43" t="s">
        <v>171</v>
      </c>
      <c r="D20" s="21">
        <f t="shared" si="1"/>
        <v>45853</v>
      </c>
      <c r="E20" s="36" t="s">
        <v>167</v>
      </c>
      <c r="F20" s="151" t="s">
        <v>300</v>
      </c>
      <c r="G20" s="151" t="s">
        <v>381</v>
      </c>
      <c r="H20" s="233"/>
    </row>
    <row r="21" spans="3:8" ht="15.75" hidden="1" thickBot="1" x14ac:dyDescent="0.3">
      <c r="C21" s="43" t="s">
        <v>171</v>
      </c>
      <c r="D21" s="21">
        <f t="shared" si="1"/>
        <v>45853</v>
      </c>
      <c r="E21" s="36" t="s">
        <v>168</v>
      </c>
      <c r="F21" s="151" t="s">
        <v>300</v>
      </c>
      <c r="G21" s="151" t="s">
        <v>381</v>
      </c>
      <c r="H21" s="233"/>
    </row>
    <row r="22" spans="3:8" ht="15.75" hidden="1" thickBot="1" x14ac:dyDescent="0.3">
      <c r="C22" s="43" t="s">
        <v>171</v>
      </c>
      <c r="D22" s="21">
        <f t="shared" si="1"/>
        <v>45853</v>
      </c>
      <c r="E22" s="36" t="s">
        <v>169</v>
      </c>
      <c r="F22" s="151" t="s">
        <v>300</v>
      </c>
      <c r="G22" s="151" t="s">
        <v>381</v>
      </c>
      <c r="H22" s="233"/>
    </row>
    <row r="23" spans="3:8" ht="15.75" hidden="1" thickBot="1" x14ac:dyDescent="0.3">
      <c r="C23" s="47" t="s">
        <v>171</v>
      </c>
      <c r="D23" s="48">
        <f t="shared" si="1"/>
        <v>45853</v>
      </c>
      <c r="E23" s="62" t="s">
        <v>170</v>
      </c>
      <c r="F23" s="152" t="s">
        <v>300</v>
      </c>
      <c r="G23" s="152" t="s">
        <v>381</v>
      </c>
      <c r="H23" s="233"/>
    </row>
    <row r="24" spans="3:8" ht="6" hidden="1" customHeight="1" thickBot="1" x14ac:dyDescent="0.3">
      <c r="C24"/>
      <c r="D24"/>
      <c r="E24"/>
      <c r="F24" s="68"/>
      <c r="G24" s="68"/>
      <c r="H24" s="68"/>
    </row>
    <row r="25" spans="3:8" ht="15.75" hidden="1" thickBot="1" x14ac:dyDescent="0.3">
      <c r="C25" s="52" t="s">
        <v>172</v>
      </c>
      <c r="D25" s="53">
        <f>D23+1</f>
        <v>45854</v>
      </c>
      <c r="E25" s="59" t="s">
        <v>162</v>
      </c>
      <c r="F25" s="149" t="s">
        <v>302</v>
      </c>
      <c r="G25" s="155" t="s">
        <v>410</v>
      </c>
      <c r="H25" s="233"/>
    </row>
    <row r="26" spans="3:8" ht="15.75" hidden="1" thickBot="1" x14ac:dyDescent="0.3">
      <c r="C26" s="43" t="s">
        <v>172</v>
      </c>
      <c r="D26" s="21">
        <f t="shared" ref="D26:D33" si="2">D25</f>
        <v>45854</v>
      </c>
      <c r="E26" s="36" t="s">
        <v>163</v>
      </c>
      <c r="F26" s="147" t="s">
        <v>302</v>
      </c>
      <c r="G26" s="156" t="s">
        <v>410</v>
      </c>
      <c r="H26" s="233"/>
    </row>
    <row r="27" spans="3:8" ht="15.75" hidden="1" thickBot="1" x14ac:dyDescent="0.3">
      <c r="C27" s="43" t="s">
        <v>172</v>
      </c>
      <c r="D27" s="21">
        <f t="shared" si="2"/>
        <v>45854</v>
      </c>
      <c r="E27" s="36" t="s">
        <v>164</v>
      </c>
      <c r="F27" s="147" t="s">
        <v>302</v>
      </c>
      <c r="G27" s="156" t="s">
        <v>410</v>
      </c>
      <c r="H27" s="233"/>
    </row>
    <row r="28" spans="3:8" ht="15.75" hidden="1" thickBot="1" x14ac:dyDescent="0.3">
      <c r="C28" s="43" t="s">
        <v>172</v>
      </c>
      <c r="D28" s="21">
        <f t="shared" si="2"/>
        <v>45854</v>
      </c>
      <c r="E28" s="36" t="s">
        <v>165</v>
      </c>
      <c r="F28" s="147" t="s">
        <v>302</v>
      </c>
      <c r="G28" s="156" t="s">
        <v>410</v>
      </c>
      <c r="H28" s="233"/>
    </row>
    <row r="29" spans="3:8" ht="15.75" hidden="1" thickBot="1" x14ac:dyDescent="0.3">
      <c r="C29" s="43" t="s">
        <v>172</v>
      </c>
      <c r="D29" s="21">
        <f t="shared" si="2"/>
        <v>45854</v>
      </c>
      <c r="E29" s="36" t="s">
        <v>166</v>
      </c>
      <c r="F29" s="147" t="s">
        <v>302</v>
      </c>
      <c r="G29" s="156" t="s">
        <v>410</v>
      </c>
      <c r="H29" s="233"/>
    </row>
    <row r="30" spans="3:8" ht="15.75" hidden="1" thickBot="1" x14ac:dyDescent="0.3">
      <c r="C30" s="43" t="s">
        <v>172</v>
      </c>
      <c r="D30" s="21">
        <f t="shared" si="2"/>
        <v>45854</v>
      </c>
      <c r="E30" s="36" t="s">
        <v>167</v>
      </c>
      <c r="F30" s="147" t="s">
        <v>302</v>
      </c>
      <c r="G30" s="156" t="s">
        <v>410</v>
      </c>
      <c r="H30" s="233"/>
    </row>
    <row r="31" spans="3:8" ht="15.75" hidden="1" thickBot="1" x14ac:dyDescent="0.3">
      <c r="C31" s="43" t="s">
        <v>172</v>
      </c>
      <c r="D31" s="21">
        <f t="shared" si="2"/>
        <v>45854</v>
      </c>
      <c r="E31" s="36" t="s">
        <v>168</v>
      </c>
      <c r="F31" s="147" t="s">
        <v>302</v>
      </c>
      <c r="G31" s="156" t="s">
        <v>410</v>
      </c>
      <c r="H31" s="233"/>
    </row>
    <row r="32" spans="3:8" ht="15.75" hidden="1" thickBot="1" x14ac:dyDescent="0.3">
      <c r="C32" s="43" t="s">
        <v>172</v>
      </c>
      <c r="D32" s="21">
        <f t="shared" si="2"/>
        <v>45854</v>
      </c>
      <c r="E32" s="36" t="s">
        <v>169</v>
      </c>
      <c r="F32" s="147" t="s">
        <v>302</v>
      </c>
      <c r="G32" s="156" t="s">
        <v>410</v>
      </c>
      <c r="H32" s="233"/>
    </row>
    <row r="33" spans="3:8" ht="15.75" hidden="1" thickBot="1" x14ac:dyDescent="0.3">
      <c r="C33" s="47" t="s">
        <v>172</v>
      </c>
      <c r="D33" s="48">
        <f t="shared" si="2"/>
        <v>45854</v>
      </c>
      <c r="E33" s="62" t="s">
        <v>170</v>
      </c>
      <c r="F33" s="148" t="s">
        <v>302</v>
      </c>
      <c r="G33" s="157" t="s">
        <v>410</v>
      </c>
      <c r="H33" s="233"/>
    </row>
    <row r="34" spans="3:8" ht="6" hidden="1" customHeight="1" thickBot="1" x14ac:dyDescent="0.3">
      <c r="C34"/>
      <c r="D34"/>
      <c r="E34"/>
      <c r="F34" s="68"/>
      <c r="G34" s="68"/>
      <c r="H34" s="68"/>
    </row>
    <row r="35" spans="3:8" ht="15.75" hidden="1" thickBot="1" x14ac:dyDescent="0.3">
      <c r="C35" s="52" t="s">
        <v>173</v>
      </c>
      <c r="D35" s="53">
        <f>D33+1</f>
        <v>45855</v>
      </c>
      <c r="E35" s="59" t="s">
        <v>162</v>
      </c>
      <c r="F35" s="150" t="s">
        <v>302</v>
      </c>
      <c r="G35" s="150" t="s">
        <v>408</v>
      </c>
      <c r="H35" s="233"/>
    </row>
    <row r="36" spans="3:8" ht="15.75" hidden="1" thickBot="1" x14ac:dyDescent="0.3">
      <c r="C36" s="43" t="s">
        <v>173</v>
      </c>
      <c r="D36" s="21">
        <f t="shared" ref="D36:D43" si="3">D35</f>
        <v>45855</v>
      </c>
      <c r="E36" s="36" t="s">
        <v>163</v>
      </c>
      <c r="F36" s="153" t="s">
        <v>302</v>
      </c>
      <c r="G36" s="151" t="s">
        <v>408</v>
      </c>
      <c r="H36" s="233"/>
    </row>
    <row r="37" spans="3:8" ht="15.75" hidden="1" thickBot="1" x14ac:dyDescent="0.3">
      <c r="C37" s="43" t="s">
        <v>173</v>
      </c>
      <c r="D37" s="21">
        <f t="shared" si="3"/>
        <v>45855</v>
      </c>
      <c r="E37" s="36" t="s">
        <v>164</v>
      </c>
      <c r="F37" s="153" t="s">
        <v>302</v>
      </c>
      <c r="G37" s="151" t="s">
        <v>408</v>
      </c>
      <c r="H37" s="233"/>
    </row>
    <row r="38" spans="3:8" ht="15.75" hidden="1" thickBot="1" x14ac:dyDescent="0.3">
      <c r="C38" s="43" t="s">
        <v>173</v>
      </c>
      <c r="D38" s="21">
        <f t="shared" si="3"/>
        <v>45855</v>
      </c>
      <c r="E38" s="36" t="s">
        <v>165</v>
      </c>
      <c r="F38" s="153" t="s">
        <v>302</v>
      </c>
      <c r="G38" s="151" t="s">
        <v>408</v>
      </c>
      <c r="H38" s="233"/>
    </row>
    <row r="39" spans="3:8" ht="15.75" hidden="1" thickBot="1" x14ac:dyDescent="0.3">
      <c r="C39" s="43" t="s">
        <v>173</v>
      </c>
      <c r="D39" s="21">
        <f t="shared" si="3"/>
        <v>45855</v>
      </c>
      <c r="E39" s="36" t="s">
        <v>166</v>
      </c>
      <c r="F39" s="153" t="s">
        <v>302</v>
      </c>
      <c r="G39" s="151" t="s">
        <v>408</v>
      </c>
      <c r="H39" s="233"/>
    </row>
    <row r="40" spans="3:8" ht="15.75" hidden="1" thickBot="1" x14ac:dyDescent="0.3">
      <c r="C40" s="43" t="s">
        <v>173</v>
      </c>
      <c r="D40" s="21">
        <f t="shared" si="3"/>
        <v>45855</v>
      </c>
      <c r="E40" s="36" t="s">
        <v>167</v>
      </c>
      <c r="F40" s="153" t="s">
        <v>302</v>
      </c>
      <c r="G40" s="151" t="s">
        <v>408</v>
      </c>
      <c r="H40" s="233"/>
    </row>
    <row r="41" spans="3:8" ht="15.75" hidden="1" thickBot="1" x14ac:dyDescent="0.3">
      <c r="C41" s="43" t="s">
        <v>173</v>
      </c>
      <c r="D41" s="21">
        <f t="shared" si="3"/>
        <v>45855</v>
      </c>
      <c r="E41" s="36" t="s">
        <v>168</v>
      </c>
      <c r="F41" s="153" t="s">
        <v>302</v>
      </c>
      <c r="G41" s="151" t="s">
        <v>408</v>
      </c>
      <c r="H41" s="233"/>
    </row>
    <row r="42" spans="3:8" ht="15.75" hidden="1" thickBot="1" x14ac:dyDescent="0.3">
      <c r="C42" s="43" t="s">
        <v>173</v>
      </c>
      <c r="D42" s="21">
        <f t="shared" si="3"/>
        <v>45855</v>
      </c>
      <c r="E42" s="36" t="s">
        <v>169</v>
      </c>
      <c r="F42" s="153" t="s">
        <v>302</v>
      </c>
      <c r="G42" s="151" t="s">
        <v>408</v>
      </c>
      <c r="H42" s="233"/>
    </row>
    <row r="43" spans="3:8" ht="15.75" hidden="1" thickBot="1" x14ac:dyDescent="0.3">
      <c r="C43" s="47" t="s">
        <v>173</v>
      </c>
      <c r="D43" s="48">
        <f t="shared" si="3"/>
        <v>45855</v>
      </c>
      <c r="E43" s="62" t="s">
        <v>170</v>
      </c>
      <c r="F43" s="154" t="s">
        <v>302</v>
      </c>
      <c r="G43" s="152" t="s">
        <v>408</v>
      </c>
      <c r="H43" s="233"/>
    </row>
    <row r="44" spans="3:8" ht="6" hidden="1" customHeight="1" thickBot="1" x14ac:dyDescent="0.3">
      <c r="C44"/>
      <c r="D44"/>
      <c r="E44"/>
      <c r="F44" s="68"/>
      <c r="G44" s="68"/>
      <c r="H44" s="68"/>
    </row>
    <row r="45" spans="3:8" ht="15.75" hidden="1" thickBot="1" x14ac:dyDescent="0.3">
      <c r="C45" s="52" t="s">
        <v>174</v>
      </c>
      <c r="D45" s="53">
        <f>D43+1</f>
        <v>45856</v>
      </c>
      <c r="E45" s="59" t="s">
        <v>162</v>
      </c>
      <c r="F45" s="149" t="s">
        <v>387</v>
      </c>
      <c r="G45" s="150" t="s">
        <v>301</v>
      </c>
      <c r="H45" s="233"/>
    </row>
    <row r="46" spans="3:8" ht="15.75" hidden="1" thickBot="1" x14ac:dyDescent="0.3">
      <c r="C46" s="43" t="s">
        <v>174</v>
      </c>
      <c r="D46" s="21">
        <f t="shared" ref="D46:D52" si="4">D45</f>
        <v>45856</v>
      </c>
      <c r="E46" s="36" t="s">
        <v>163</v>
      </c>
      <c r="F46" s="147" t="s">
        <v>387</v>
      </c>
      <c r="G46" s="151" t="s">
        <v>301</v>
      </c>
      <c r="H46" s="233"/>
    </row>
    <row r="47" spans="3:8" ht="15.75" hidden="1" thickBot="1" x14ac:dyDescent="0.3">
      <c r="C47" s="43" t="s">
        <v>174</v>
      </c>
      <c r="D47" s="21">
        <f t="shared" si="4"/>
        <v>45856</v>
      </c>
      <c r="E47" s="36" t="s">
        <v>164</v>
      </c>
      <c r="F47" s="147" t="s">
        <v>386</v>
      </c>
      <c r="G47" s="151" t="s">
        <v>301</v>
      </c>
      <c r="H47" s="233"/>
    </row>
    <row r="48" spans="3:8" ht="15.75" hidden="1" thickBot="1" x14ac:dyDescent="0.3">
      <c r="C48" s="43" t="s">
        <v>174</v>
      </c>
      <c r="D48" s="21">
        <f t="shared" si="4"/>
        <v>45856</v>
      </c>
      <c r="E48" s="36" t="s">
        <v>165</v>
      </c>
      <c r="F48" s="147" t="s">
        <v>386</v>
      </c>
      <c r="G48" s="151" t="s">
        <v>301</v>
      </c>
      <c r="H48" s="233"/>
    </row>
    <row r="49" spans="1:30" ht="15.75" hidden="1" thickBot="1" x14ac:dyDescent="0.3">
      <c r="C49" s="43" t="s">
        <v>174</v>
      </c>
      <c r="D49" s="21">
        <f t="shared" si="4"/>
        <v>45856</v>
      </c>
      <c r="E49" s="36" t="s">
        <v>166</v>
      </c>
      <c r="F49" s="147" t="s">
        <v>405</v>
      </c>
      <c r="G49" s="151" t="s">
        <v>301</v>
      </c>
      <c r="H49" s="233"/>
    </row>
    <row r="50" spans="1:30" ht="15.75" hidden="1" thickBot="1" x14ac:dyDescent="0.3">
      <c r="C50" s="43" t="s">
        <v>174</v>
      </c>
      <c r="D50" s="21">
        <f t="shared" si="4"/>
        <v>45856</v>
      </c>
      <c r="E50" s="36" t="s">
        <v>167</v>
      </c>
      <c r="F50" s="147" t="s">
        <v>405</v>
      </c>
      <c r="G50" s="151" t="s">
        <v>301</v>
      </c>
      <c r="H50" s="233"/>
    </row>
    <row r="51" spans="1:30" ht="15.75" hidden="1" thickBot="1" x14ac:dyDescent="0.3">
      <c r="C51" s="43" t="s">
        <v>174</v>
      </c>
      <c r="D51" s="21">
        <f t="shared" si="4"/>
        <v>45856</v>
      </c>
      <c r="E51" s="36" t="s">
        <v>168</v>
      </c>
      <c r="F51" s="147" t="s">
        <v>405</v>
      </c>
      <c r="G51" s="151" t="s">
        <v>301</v>
      </c>
      <c r="H51" s="233"/>
    </row>
    <row r="52" spans="1:30" ht="15.75" hidden="1" thickBot="1" x14ac:dyDescent="0.3">
      <c r="C52" s="47" t="s">
        <v>174</v>
      </c>
      <c r="D52" s="48">
        <f t="shared" si="4"/>
        <v>45856</v>
      </c>
      <c r="E52" s="62" t="s">
        <v>169</v>
      </c>
      <c r="F52" s="148" t="s">
        <v>405</v>
      </c>
      <c r="G52" s="152" t="s">
        <v>301</v>
      </c>
      <c r="H52" s="233"/>
    </row>
    <row r="53" spans="1:30" ht="6" hidden="1" customHeight="1" thickBot="1" x14ac:dyDescent="0.3">
      <c r="A53" s="129" t="s">
        <v>310</v>
      </c>
      <c r="C53"/>
      <c r="D53"/>
      <c r="E53"/>
      <c r="F53" s="68"/>
      <c r="G53" s="68"/>
      <c r="H53" s="68"/>
    </row>
    <row r="54" spans="1:30" ht="15.75" hidden="1" thickBot="1" x14ac:dyDescent="0.3">
      <c r="C54" s="52" t="s">
        <v>161</v>
      </c>
      <c r="D54" s="53">
        <f>D52+3</f>
        <v>45859</v>
      </c>
      <c r="E54" s="59" t="s">
        <v>162</v>
      </c>
      <c r="F54" s="149" t="s">
        <v>406</v>
      </c>
      <c r="G54" s="155" t="s">
        <v>380</v>
      </c>
      <c r="H54" s="233"/>
    </row>
    <row r="55" spans="1:30" ht="15.75" hidden="1" thickBot="1" x14ac:dyDescent="0.3">
      <c r="C55" s="43" t="s">
        <v>161</v>
      </c>
      <c r="D55" s="21">
        <f t="shared" ref="D55:D62" si="5">D54</f>
        <v>45859</v>
      </c>
      <c r="E55" s="36" t="s">
        <v>163</v>
      </c>
      <c r="F55" s="236" t="s">
        <v>406</v>
      </c>
      <c r="G55" s="156" t="s">
        <v>380</v>
      </c>
      <c r="H55" s="233"/>
    </row>
    <row r="56" spans="1:30" ht="15.75" hidden="1" thickBot="1" x14ac:dyDescent="0.3">
      <c r="C56" s="43" t="s">
        <v>161</v>
      </c>
      <c r="D56" s="21">
        <f t="shared" si="5"/>
        <v>45859</v>
      </c>
      <c r="E56" s="36" t="s">
        <v>164</v>
      </c>
      <c r="F56" s="236" t="s">
        <v>421</v>
      </c>
      <c r="G56" s="156" t="s">
        <v>301</v>
      </c>
      <c r="H56" s="233"/>
    </row>
    <row r="57" spans="1:30" ht="15.75" hidden="1" thickBot="1" x14ac:dyDescent="0.3">
      <c r="C57" s="43" t="s">
        <v>161</v>
      </c>
      <c r="D57" s="21">
        <f t="shared" si="5"/>
        <v>45859</v>
      </c>
      <c r="E57" s="36" t="s">
        <v>165</v>
      </c>
      <c r="F57" s="236" t="s">
        <v>421</v>
      </c>
      <c r="G57" s="156" t="s">
        <v>301</v>
      </c>
      <c r="H57" s="233"/>
      <c r="AA57" s="232"/>
    </row>
    <row r="58" spans="1:30" ht="15.75" hidden="1" thickBot="1" x14ac:dyDescent="0.3">
      <c r="C58" s="43" t="s">
        <v>161</v>
      </c>
      <c r="D58" s="21">
        <f t="shared" si="5"/>
        <v>45859</v>
      </c>
      <c r="E58" s="36" t="s">
        <v>166</v>
      </c>
      <c r="F58" s="236" t="s">
        <v>421</v>
      </c>
      <c r="G58" s="156" t="s">
        <v>301</v>
      </c>
      <c r="H58" s="233"/>
    </row>
    <row r="59" spans="1:30" ht="15.75" hidden="1" thickBot="1" x14ac:dyDescent="0.3">
      <c r="C59" s="43" t="s">
        <v>161</v>
      </c>
      <c r="D59" s="21">
        <f t="shared" si="5"/>
        <v>45859</v>
      </c>
      <c r="E59" s="36" t="s">
        <v>167</v>
      </c>
      <c r="F59" s="236" t="s">
        <v>421</v>
      </c>
      <c r="G59" s="156" t="s">
        <v>301</v>
      </c>
      <c r="H59" s="233"/>
      <c r="AB59" s="230"/>
      <c r="AC59" s="230"/>
      <c r="AD59" s="230"/>
    </row>
    <row r="60" spans="1:30" ht="15.75" hidden="1" thickBot="1" x14ac:dyDescent="0.3">
      <c r="C60" s="43" t="s">
        <v>161</v>
      </c>
      <c r="D60" s="21">
        <f t="shared" si="5"/>
        <v>45859</v>
      </c>
      <c r="E60" s="36" t="s">
        <v>167</v>
      </c>
      <c r="F60" s="236" t="s">
        <v>388</v>
      </c>
      <c r="G60" s="156" t="s">
        <v>301</v>
      </c>
      <c r="H60" s="233"/>
      <c r="AB60" s="230"/>
    </row>
    <row r="61" spans="1:30" ht="15.75" hidden="1" thickBot="1" x14ac:dyDescent="0.3">
      <c r="C61" s="43" t="s">
        <v>161</v>
      </c>
      <c r="D61" s="21">
        <f t="shared" si="5"/>
        <v>45859</v>
      </c>
      <c r="E61" s="36" t="s">
        <v>169</v>
      </c>
      <c r="F61" s="236" t="s">
        <v>388</v>
      </c>
      <c r="G61" s="156" t="s">
        <v>301</v>
      </c>
      <c r="H61" s="233"/>
      <c r="AB61" s="3"/>
      <c r="AC61" s="3"/>
      <c r="AD61" s="3"/>
    </row>
    <row r="62" spans="1:30" ht="15.75" hidden="1" thickBot="1" x14ac:dyDescent="0.3">
      <c r="C62" s="47" t="s">
        <v>161</v>
      </c>
      <c r="D62" s="48">
        <f t="shared" si="5"/>
        <v>45859</v>
      </c>
      <c r="E62" s="62" t="s">
        <v>170</v>
      </c>
      <c r="F62" s="237" t="s">
        <v>388</v>
      </c>
      <c r="G62" s="157" t="s">
        <v>301</v>
      </c>
      <c r="H62" s="233"/>
      <c r="AA62" s="232"/>
    </row>
    <row r="63" spans="1:30" ht="6" hidden="1" customHeight="1" thickBot="1" x14ac:dyDescent="0.3">
      <c r="C63"/>
      <c r="D63"/>
      <c r="E63"/>
      <c r="F63" s="68"/>
      <c r="G63" s="68"/>
      <c r="H63" s="68"/>
    </row>
    <row r="64" spans="1:30" ht="15.75" hidden="1" thickBot="1" x14ac:dyDescent="0.3">
      <c r="C64" s="52" t="s">
        <v>171</v>
      </c>
      <c r="D64" s="53">
        <f>D62+1</f>
        <v>45860</v>
      </c>
      <c r="E64" s="59" t="s">
        <v>162</v>
      </c>
      <c r="F64" s="241" t="s">
        <v>561</v>
      </c>
      <c r="G64" s="242" t="s">
        <v>301</v>
      </c>
      <c r="H64" s="233"/>
    </row>
    <row r="65" spans="1:8" ht="15.75" hidden="1" thickBot="1" x14ac:dyDescent="0.3">
      <c r="C65" s="43" t="s">
        <v>171</v>
      </c>
      <c r="D65" s="21">
        <f t="shared" ref="D65:D72" si="6">D64</f>
        <v>45860</v>
      </c>
      <c r="E65" s="36" t="s">
        <v>163</v>
      </c>
      <c r="F65" s="236" t="s">
        <v>561</v>
      </c>
      <c r="G65" s="243" t="s">
        <v>301</v>
      </c>
      <c r="H65" s="233"/>
    </row>
    <row r="66" spans="1:8" ht="15.75" hidden="1" thickBot="1" x14ac:dyDescent="0.3">
      <c r="C66" s="43" t="s">
        <v>171</v>
      </c>
      <c r="D66" s="21">
        <f t="shared" si="6"/>
        <v>45860</v>
      </c>
      <c r="E66" s="36" t="s">
        <v>164</v>
      </c>
      <c r="F66" s="236" t="s">
        <v>561</v>
      </c>
      <c r="G66" s="243" t="s">
        <v>301</v>
      </c>
      <c r="H66" s="233"/>
    </row>
    <row r="67" spans="1:8" ht="15.75" hidden="1" thickBot="1" x14ac:dyDescent="0.3">
      <c r="C67" s="43" t="s">
        <v>171</v>
      </c>
      <c r="D67" s="21">
        <f t="shared" si="6"/>
        <v>45860</v>
      </c>
      <c r="E67" s="36" t="s">
        <v>165</v>
      </c>
      <c r="F67" s="236" t="s">
        <v>561</v>
      </c>
      <c r="G67" s="243" t="s">
        <v>301</v>
      </c>
      <c r="H67" s="233"/>
    </row>
    <row r="68" spans="1:8" ht="15.75" hidden="1" thickBot="1" x14ac:dyDescent="0.3">
      <c r="C68" s="43" t="s">
        <v>171</v>
      </c>
      <c r="D68" s="21">
        <f t="shared" si="6"/>
        <v>45860</v>
      </c>
      <c r="E68" s="36" t="s">
        <v>166</v>
      </c>
      <c r="F68" s="236" t="s">
        <v>561</v>
      </c>
      <c r="G68" s="243" t="s">
        <v>301</v>
      </c>
      <c r="H68" s="233"/>
    </row>
    <row r="69" spans="1:8" ht="15.75" hidden="1" thickBot="1" x14ac:dyDescent="0.3">
      <c r="C69" s="43" t="s">
        <v>171</v>
      </c>
      <c r="D69" s="21">
        <f t="shared" si="6"/>
        <v>45860</v>
      </c>
      <c r="E69" s="36" t="s">
        <v>167</v>
      </c>
      <c r="F69" s="236" t="s">
        <v>561</v>
      </c>
      <c r="G69" s="243" t="s">
        <v>301</v>
      </c>
      <c r="H69" s="233"/>
    </row>
    <row r="70" spans="1:8" ht="15.75" hidden="1" thickBot="1" x14ac:dyDescent="0.3">
      <c r="C70" s="43" t="s">
        <v>171</v>
      </c>
      <c r="D70" s="21">
        <f t="shared" si="6"/>
        <v>45860</v>
      </c>
      <c r="E70" s="36" t="s">
        <v>168</v>
      </c>
      <c r="F70" s="236" t="s">
        <v>561</v>
      </c>
      <c r="G70" s="243" t="s">
        <v>301</v>
      </c>
      <c r="H70" s="233"/>
    </row>
    <row r="71" spans="1:8" ht="15.75" hidden="1" thickBot="1" x14ac:dyDescent="0.3">
      <c r="C71" s="43" t="s">
        <v>171</v>
      </c>
      <c r="D71" s="21">
        <f t="shared" si="6"/>
        <v>45860</v>
      </c>
      <c r="E71" s="36" t="s">
        <v>169</v>
      </c>
      <c r="F71" s="236" t="s">
        <v>561</v>
      </c>
      <c r="G71" s="243" t="s">
        <v>301</v>
      </c>
      <c r="H71" s="233"/>
    </row>
    <row r="72" spans="1:8" ht="15.75" hidden="1" thickBot="1" x14ac:dyDescent="0.3">
      <c r="C72" s="47" t="s">
        <v>171</v>
      </c>
      <c r="D72" s="48">
        <f t="shared" si="6"/>
        <v>45860</v>
      </c>
      <c r="E72" s="62" t="s">
        <v>170</v>
      </c>
      <c r="F72" s="237" t="s">
        <v>561</v>
      </c>
      <c r="G72" s="244" t="s">
        <v>301</v>
      </c>
      <c r="H72" s="233"/>
    </row>
    <row r="73" spans="1:8" ht="6" hidden="1" customHeight="1" thickBot="1" x14ac:dyDescent="0.3">
      <c r="A73" s="201"/>
      <c r="C73"/>
      <c r="D73"/>
      <c r="E73"/>
      <c r="F73" s="68"/>
      <c r="G73" s="68"/>
      <c r="H73" s="68"/>
    </row>
    <row r="74" spans="1:8" ht="15.75" hidden="1" thickBot="1" x14ac:dyDescent="0.3">
      <c r="C74" s="52" t="s">
        <v>172</v>
      </c>
      <c r="D74" s="53">
        <f>D72+1</f>
        <v>45861</v>
      </c>
      <c r="E74" s="59" t="s">
        <v>162</v>
      </c>
      <c r="F74" s="241" t="s">
        <v>561</v>
      </c>
      <c r="G74" s="155" t="s">
        <v>301</v>
      </c>
      <c r="H74" s="233"/>
    </row>
    <row r="75" spans="1:8" ht="15.75" hidden="1" thickBot="1" x14ac:dyDescent="0.3">
      <c r="C75" s="43" t="s">
        <v>172</v>
      </c>
      <c r="D75" s="21">
        <f t="shared" ref="D75:D82" si="7">D74</f>
        <v>45861</v>
      </c>
      <c r="E75" s="36" t="s">
        <v>163</v>
      </c>
      <c r="F75" s="236" t="s">
        <v>561</v>
      </c>
      <c r="G75" s="156" t="s">
        <v>301</v>
      </c>
      <c r="H75" s="233"/>
    </row>
    <row r="76" spans="1:8" ht="15.75" hidden="1" thickBot="1" x14ac:dyDescent="0.3">
      <c r="C76" s="43" t="s">
        <v>172</v>
      </c>
      <c r="D76" s="21">
        <f t="shared" si="7"/>
        <v>45861</v>
      </c>
      <c r="E76" s="36" t="s">
        <v>164</v>
      </c>
      <c r="F76" s="236" t="s">
        <v>561</v>
      </c>
      <c r="G76" s="156" t="s">
        <v>301</v>
      </c>
      <c r="H76" s="233"/>
    </row>
    <row r="77" spans="1:8" ht="15.75" hidden="1" thickBot="1" x14ac:dyDescent="0.3">
      <c r="C77" s="43" t="s">
        <v>172</v>
      </c>
      <c r="D77" s="21">
        <f t="shared" si="7"/>
        <v>45861</v>
      </c>
      <c r="E77" s="36" t="s">
        <v>165</v>
      </c>
      <c r="F77" s="236" t="s">
        <v>561</v>
      </c>
      <c r="G77" s="156" t="s">
        <v>301</v>
      </c>
      <c r="H77" s="233"/>
    </row>
    <row r="78" spans="1:8" ht="15.75" hidden="1" thickBot="1" x14ac:dyDescent="0.3">
      <c r="C78" s="43" t="s">
        <v>172</v>
      </c>
      <c r="D78" s="21">
        <f t="shared" si="7"/>
        <v>45861</v>
      </c>
      <c r="E78" s="36" t="s">
        <v>166</v>
      </c>
      <c r="F78" s="236" t="s">
        <v>561</v>
      </c>
      <c r="G78" s="243" t="s">
        <v>502</v>
      </c>
      <c r="H78" s="233"/>
    </row>
    <row r="79" spans="1:8" ht="15.75" hidden="1" thickBot="1" x14ac:dyDescent="0.3">
      <c r="C79" s="43" t="s">
        <v>172</v>
      </c>
      <c r="D79" s="21">
        <f t="shared" si="7"/>
        <v>45861</v>
      </c>
      <c r="E79" s="36" t="s">
        <v>167</v>
      </c>
      <c r="F79" s="236" t="s">
        <v>561</v>
      </c>
      <c r="G79" s="243" t="s">
        <v>502</v>
      </c>
      <c r="H79" s="233"/>
    </row>
    <row r="80" spans="1:8" ht="15.75" hidden="1" thickBot="1" x14ac:dyDescent="0.3">
      <c r="C80" s="43" t="s">
        <v>172</v>
      </c>
      <c r="D80" s="21">
        <f t="shared" si="7"/>
        <v>45861</v>
      </c>
      <c r="E80" s="36" t="s">
        <v>168</v>
      </c>
      <c r="F80" s="236" t="s">
        <v>561</v>
      </c>
      <c r="G80" s="243" t="s">
        <v>502</v>
      </c>
      <c r="H80" s="233"/>
    </row>
    <row r="81" spans="3:8" ht="15.75" hidden="1" thickBot="1" x14ac:dyDescent="0.3">
      <c r="C81" s="43" t="s">
        <v>172</v>
      </c>
      <c r="D81" s="21">
        <f t="shared" si="7"/>
        <v>45861</v>
      </c>
      <c r="E81" s="36" t="s">
        <v>169</v>
      </c>
      <c r="F81" s="236" t="s">
        <v>561</v>
      </c>
      <c r="G81" s="243" t="s">
        <v>502</v>
      </c>
      <c r="H81" s="233"/>
    </row>
    <row r="82" spans="3:8" ht="15.75" hidden="1" thickBot="1" x14ac:dyDescent="0.3">
      <c r="C82" s="47" t="s">
        <v>172</v>
      </c>
      <c r="D82" s="48">
        <f t="shared" si="7"/>
        <v>45861</v>
      </c>
      <c r="E82" s="62" t="s">
        <v>170</v>
      </c>
      <c r="F82" s="237" t="s">
        <v>561</v>
      </c>
      <c r="G82" s="244" t="s">
        <v>502</v>
      </c>
      <c r="H82" s="233"/>
    </row>
    <row r="83" spans="3:8" ht="6" hidden="1" customHeight="1" thickBot="1" x14ac:dyDescent="0.3">
      <c r="C83"/>
      <c r="D83"/>
      <c r="E83"/>
      <c r="F83" s="68"/>
      <c r="G83" s="68"/>
      <c r="H83" s="68"/>
    </row>
    <row r="84" spans="3:8" ht="15.75" hidden="1" thickBot="1" x14ac:dyDescent="0.3">
      <c r="C84" s="52" t="s">
        <v>173</v>
      </c>
      <c r="D84" s="53">
        <f>D82+1</f>
        <v>45862</v>
      </c>
      <c r="E84" s="59" t="s">
        <v>162</v>
      </c>
      <c r="F84" s="241" t="s">
        <v>561</v>
      </c>
      <c r="G84" s="242" t="s">
        <v>502</v>
      </c>
      <c r="H84" s="233"/>
    </row>
    <row r="85" spans="3:8" ht="15.75" hidden="1" thickBot="1" x14ac:dyDescent="0.3">
      <c r="C85" s="43" t="s">
        <v>173</v>
      </c>
      <c r="D85" s="21">
        <f t="shared" ref="D85:D92" si="8">D84</f>
        <v>45862</v>
      </c>
      <c r="E85" s="36" t="s">
        <v>163</v>
      </c>
      <c r="F85" s="236" t="s">
        <v>561</v>
      </c>
      <c r="G85" s="243" t="s">
        <v>502</v>
      </c>
      <c r="H85" s="233"/>
    </row>
    <row r="86" spans="3:8" ht="15.75" hidden="1" thickBot="1" x14ac:dyDescent="0.3">
      <c r="C86" s="43" t="s">
        <v>173</v>
      </c>
      <c r="D86" s="21">
        <f t="shared" si="8"/>
        <v>45862</v>
      </c>
      <c r="E86" s="36" t="s">
        <v>164</v>
      </c>
      <c r="F86" s="236" t="s">
        <v>561</v>
      </c>
      <c r="G86" s="243" t="s">
        <v>502</v>
      </c>
      <c r="H86" s="233"/>
    </row>
    <row r="87" spans="3:8" ht="15.75" hidden="1" thickBot="1" x14ac:dyDescent="0.3">
      <c r="C87" s="43" t="s">
        <v>173</v>
      </c>
      <c r="D87" s="21">
        <f t="shared" si="8"/>
        <v>45862</v>
      </c>
      <c r="E87" s="36" t="s">
        <v>165</v>
      </c>
      <c r="F87" s="236" t="s">
        <v>561</v>
      </c>
      <c r="G87" s="257" t="s">
        <v>502</v>
      </c>
      <c r="H87" s="233"/>
    </row>
    <row r="88" spans="3:8" ht="15.75" hidden="1" thickBot="1" x14ac:dyDescent="0.3">
      <c r="C88" s="43" t="s">
        <v>173</v>
      </c>
      <c r="D88" s="21">
        <f t="shared" si="8"/>
        <v>45862</v>
      </c>
      <c r="E88" s="36" t="s">
        <v>166</v>
      </c>
      <c r="F88" s="236" t="s">
        <v>561</v>
      </c>
      <c r="G88" s="243" t="s">
        <v>502</v>
      </c>
      <c r="H88" s="233"/>
    </row>
    <row r="89" spans="3:8" ht="15.75" hidden="1" thickBot="1" x14ac:dyDescent="0.3">
      <c r="C89" s="43" t="s">
        <v>173</v>
      </c>
      <c r="D89" s="21">
        <f t="shared" si="8"/>
        <v>45862</v>
      </c>
      <c r="E89" s="36" t="s">
        <v>167</v>
      </c>
      <c r="F89" s="147" t="s">
        <v>427</v>
      </c>
      <c r="G89" s="243" t="s">
        <v>490</v>
      </c>
      <c r="H89" s="233"/>
    </row>
    <row r="90" spans="3:8" ht="15.75" hidden="1" thickBot="1" x14ac:dyDescent="0.3">
      <c r="C90" s="43" t="s">
        <v>173</v>
      </c>
      <c r="D90" s="21">
        <f t="shared" si="8"/>
        <v>45862</v>
      </c>
      <c r="E90" s="36" t="s">
        <v>168</v>
      </c>
      <c r="F90" s="147" t="s">
        <v>427</v>
      </c>
      <c r="G90" s="243" t="s">
        <v>490</v>
      </c>
      <c r="H90" s="233"/>
    </row>
    <row r="91" spans="3:8" ht="15.75" hidden="1" thickBot="1" x14ac:dyDescent="0.3">
      <c r="C91" s="43" t="s">
        <v>173</v>
      </c>
      <c r="D91" s="21">
        <f t="shared" si="8"/>
        <v>45862</v>
      </c>
      <c r="E91" s="36" t="s">
        <v>169</v>
      </c>
      <c r="F91" s="147" t="s">
        <v>427</v>
      </c>
      <c r="G91" s="243" t="s">
        <v>490</v>
      </c>
      <c r="H91" s="233"/>
    </row>
    <row r="92" spans="3:8" ht="15.75" hidden="1" thickBot="1" x14ac:dyDescent="0.3">
      <c r="C92" s="47" t="s">
        <v>173</v>
      </c>
      <c r="D92" s="48">
        <f t="shared" si="8"/>
        <v>45862</v>
      </c>
      <c r="E92" s="62" t="s">
        <v>170</v>
      </c>
      <c r="F92" s="148" t="s">
        <v>427</v>
      </c>
      <c r="G92" s="244" t="s">
        <v>490</v>
      </c>
      <c r="H92" s="233"/>
    </row>
    <row r="93" spans="3:8" ht="6" hidden="1" customHeight="1" thickBot="1" x14ac:dyDescent="0.3">
      <c r="C93"/>
      <c r="D93"/>
      <c r="E93"/>
      <c r="F93" s="68"/>
      <c r="G93" s="68"/>
      <c r="H93" s="68"/>
    </row>
    <row r="94" spans="3:8" ht="15.75" hidden="1" thickBot="1" x14ac:dyDescent="0.3">
      <c r="C94" s="52" t="s">
        <v>174</v>
      </c>
      <c r="D94" s="53">
        <f>D92+1</f>
        <v>45863</v>
      </c>
      <c r="E94" s="59" t="s">
        <v>162</v>
      </c>
      <c r="F94" s="149" t="s">
        <v>427</v>
      </c>
      <c r="G94" s="242" t="s">
        <v>490</v>
      </c>
      <c r="H94" s="233"/>
    </row>
    <row r="95" spans="3:8" ht="15.75" hidden="1" thickBot="1" x14ac:dyDescent="0.3">
      <c r="C95" s="43" t="s">
        <v>174</v>
      </c>
      <c r="D95" s="21">
        <f t="shared" ref="D95:D101" si="9">D94</f>
        <v>45863</v>
      </c>
      <c r="E95" s="36" t="s">
        <v>163</v>
      </c>
      <c r="F95" s="147" t="s">
        <v>427</v>
      </c>
      <c r="G95" s="243" t="s">
        <v>490</v>
      </c>
      <c r="H95" s="233"/>
    </row>
    <row r="96" spans="3:8" ht="15.75" hidden="1" thickBot="1" x14ac:dyDescent="0.3">
      <c r="C96" s="43" t="s">
        <v>174</v>
      </c>
      <c r="D96" s="21">
        <f t="shared" si="9"/>
        <v>45863</v>
      </c>
      <c r="E96" s="36" t="s">
        <v>164</v>
      </c>
      <c r="F96" s="147" t="s">
        <v>427</v>
      </c>
      <c r="G96" s="243" t="s">
        <v>490</v>
      </c>
      <c r="H96" s="233"/>
    </row>
    <row r="97" spans="1:8" ht="15.75" hidden="1" thickBot="1" x14ac:dyDescent="0.3">
      <c r="C97" s="43" t="s">
        <v>174</v>
      </c>
      <c r="D97" s="21">
        <f t="shared" si="9"/>
        <v>45863</v>
      </c>
      <c r="E97" s="36" t="s">
        <v>165</v>
      </c>
      <c r="F97" s="147" t="s">
        <v>427</v>
      </c>
      <c r="G97" s="243" t="s">
        <v>490</v>
      </c>
      <c r="H97" s="233"/>
    </row>
    <row r="98" spans="1:8" ht="15.75" hidden="1" thickBot="1" x14ac:dyDescent="0.3">
      <c r="C98" s="43" t="s">
        <v>174</v>
      </c>
      <c r="D98" s="21">
        <f t="shared" si="9"/>
        <v>45863</v>
      </c>
      <c r="E98" s="36" t="s">
        <v>166</v>
      </c>
      <c r="F98" s="147" t="s">
        <v>427</v>
      </c>
      <c r="G98" s="243" t="s">
        <v>490</v>
      </c>
      <c r="H98" s="233"/>
    </row>
    <row r="99" spans="1:8" ht="15.75" hidden="1" thickBot="1" x14ac:dyDescent="0.3">
      <c r="C99" s="43" t="s">
        <v>174</v>
      </c>
      <c r="D99" s="21">
        <f t="shared" si="9"/>
        <v>45863</v>
      </c>
      <c r="E99" s="36" t="s">
        <v>167</v>
      </c>
      <c r="F99" s="147" t="s">
        <v>427</v>
      </c>
      <c r="G99" s="243" t="s">
        <v>490</v>
      </c>
      <c r="H99" s="233"/>
    </row>
    <row r="100" spans="1:8" ht="15.75" hidden="1" thickBot="1" x14ac:dyDescent="0.3">
      <c r="C100" s="43" t="s">
        <v>174</v>
      </c>
      <c r="D100" s="21">
        <f t="shared" si="9"/>
        <v>45863</v>
      </c>
      <c r="E100" s="36" t="s">
        <v>168</v>
      </c>
      <c r="F100" s="147" t="s">
        <v>427</v>
      </c>
      <c r="G100" s="243" t="s">
        <v>490</v>
      </c>
      <c r="H100" s="233"/>
    </row>
    <row r="101" spans="1:8" ht="15.75" hidden="1" thickBot="1" x14ac:dyDescent="0.3">
      <c r="C101" s="47" t="s">
        <v>174</v>
      </c>
      <c r="D101" s="48">
        <f t="shared" si="9"/>
        <v>45863</v>
      </c>
      <c r="E101" s="62" t="s">
        <v>169</v>
      </c>
      <c r="F101" s="148" t="s">
        <v>427</v>
      </c>
      <c r="G101" s="244" t="s">
        <v>490</v>
      </c>
      <c r="H101" s="233"/>
    </row>
    <row r="102" spans="1:8" ht="6" hidden="1" customHeight="1" thickBot="1" x14ac:dyDescent="0.3">
      <c r="A102" s="129" t="s">
        <v>310</v>
      </c>
      <c r="C102" s="247" t="s">
        <v>489</v>
      </c>
      <c r="D102"/>
      <c r="E102"/>
      <c r="F102" s="68"/>
      <c r="G102" s="68"/>
      <c r="H102" s="68"/>
    </row>
    <row r="103" spans="1:8" ht="15.75" hidden="1" thickBot="1" x14ac:dyDescent="0.3">
      <c r="C103" s="52" t="s">
        <v>161</v>
      </c>
      <c r="D103" s="53">
        <f>D101+3</f>
        <v>45866</v>
      </c>
      <c r="E103" s="187" t="s">
        <v>162</v>
      </c>
      <c r="F103" s="248" t="s">
        <v>427</v>
      </c>
      <c r="G103" s="256" t="s">
        <v>423</v>
      </c>
      <c r="H103" s="233"/>
    </row>
    <row r="104" spans="1:8" ht="15.75" hidden="1" thickBot="1" x14ac:dyDescent="0.3">
      <c r="C104" s="43" t="s">
        <v>161</v>
      </c>
      <c r="D104" s="21">
        <f t="shared" ref="D104:D111" si="10">D103</f>
        <v>45866</v>
      </c>
      <c r="E104" s="186" t="s">
        <v>163</v>
      </c>
      <c r="F104" s="249" t="s">
        <v>427</v>
      </c>
      <c r="G104" s="257" t="s">
        <v>423</v>
      </c>
      <c r="H104" s="233"/>
    </row>
    <row r="105" spans="1:8" ht="15.75" hidden="1" thickBot="1" x14ac:dyDescent="0.3">
      <c r="C105" s="43" t="s">
        <v>161</v>
      </c>
      <c r="D105" s="21">
        <f t="shared" si="10"/>
        <v>45866</v>
      </c>
      <c r="E105" s="186" t="s">
        <v>164</v>
      </c>
      <c r="F105" s="249" t="s">
        <v>427</v>
      </c>
      <c r="G105" s="257" t="s">
        <v>423</v>
      </c>
      <c r="H105" s="233"/>
    </row>
    <row r="106" spans="1:8" ht="15.75" hidden="1" thickBot="1" x14ac:dyDescent="0.3">
      <c r="C106" s="43" t="s">
        <v>161</v>
      </c>
      <c r="D106" s="21">
        <f t="shared" si="10"/>
        <v>45866</v>
      </c>
      <c r="E106" s="186" t="s">
        <v>165</v>
      </c>
      <c r="F106" s="249" t="s">
        <v>427</v>
      </c>
      <c r="G106" s="257" t="s">
        <v>423</v>
      </c>
      <c r="H106" s="233"/>
    </row>
    <row r="107" spans="1:8" ht="15.75" hidden="1" thickBot="1" x14ac:dyDescent="0.3">
      <c r="C107" s="43" t="s">
        <v>161</v>
      </c>
      <c r="D107" s="21">
        <f t="shared" si="10"/>
        <v>45866</v>
      </c>
      <c r="E107" s="186" t="s">
        <v>166</v>
      </c>
      <c r="F107" s="249" t="s">
        <v>427</v>
      </c>
      <c r="G107" s="257" t="s">
        <v>423</v>
      </c>
      <c r="H107" s="233"/>
    </row>
    <row r="108" spans="1:8" ht="15.75" hidden="1" thickBot="1" x14ac:dyDescent="0.3">
      <c r="C108" s="43" t="s">
        <v>161</v>
      </c>
      <c r="D108" s="21">
        <f t="shared" si="10"/>
        <v>45866</v>
      </c>
      <c r="E108" s="186" t="s">
        <v>167</v>
      </c>
      <c r="F108" s="249" t="s">
        <v>427</v>
      </c>
      <c r="G108" s="257" t="s">
        <v>423</v>
      </c>
      <c r="H108" s="233"/>
    </row>
    <row r="109" spans="1:8" ht="15.75" hidden="1" thickBot="1" x14ac:dyDescent="0.3">
      <c r="C109" s="43" t="s">
        <v>161</v>
      </c>
      <c r="D109" s="21">
        <f t="shared" si="10"/>
        <v>45866</v>
      </c>
      <c r="E109" s="186" t="s">
        <v>167</v>
      </c>
      <c r="F109" s="249" t="s">
        <v>427</v>
      </c>
      <c r="G109" s="257" t="s">
        <v>423</v>
      </c>
      <c r="H109" s="233"/>
    </row>
    <row r="110" spans="1:8" ht="15.75" hidden="1" thickBot="1" x14ac:dyDescent="0.3">
      <c r="C110" s="43" t="s">
        <v>161</v>
      </c>
      <c r="D110" s="21">
        <f t="shared" si="10"/>
        <v>45866</v>
      </c>
      <c r="E110" s="186" t="s">
        <v>169</v>
      </c>
      <c r="F110" s="249" t="s">
        <v>427</v>
      </c>
      <c r="G110" s="257" t="s">
        <v>423</v>
      </c>
      <c r="H110" s="68"/>
    </row>
    <row r="111" spans="1:8" ht="15.75" hidden="1" thickBot="1" x14ac:dyDescent="0.3">
      <c r="C111" s="47" t="s">
        <v>161</v>
      </c>
      <c r="D111" s="48">
        <f t="shared" si="10"/>
        <v>45866</v>
      </c>
      <c r="E111" s="188" t="s">
        <v>170</v>
      </c>
      <c r="F111" s="250" t="s">
        <v>427</v>
      </c>
      <c r="G111" s="258" t="s">
        <v>423</v>
      </c>
      <c r="H111" s="233"/>
    </row>
    <row r="112" spans="1:8" ht="6" hidden="1" customHeight="1" thickBot="1" x14ac:dyDescent="0.3">
      <c r="C112"/>
      <c r="D112"/>
      <c r="E112"/>
      <c r="F112" s="68"/>
      <c r="G112" s="68"/>
      <c r="H112" s="68"/>
    </row>
    <row r="113" spans="3:24" ht="15.75" hidden="1" thickBot="1" x14ac:dyDescent="0.3">
      <c r="C113" s="206" t="s">
        <v>171</v>
      </c>
      <c r="D113" s="207">
        <f>D111+1</f>
        <v>45867</v>
      </c>
      <c r="E113" s="222" t="s">
        <v>162</v>
      </c>
      <c r="F113" s="251" t="s">
        <v>427</v>
      </c>
      <c r="G113" s="257" t="s">
        <v>423</v>
      </c>
      <c r="H113" s="233"/>
    </row>
    <row r="114" spans="3:24" ht="15.75" hidden="1" thickBot="1" x14ac:dyDescent="0.3">
      <c r="C114" s="43" t="s">
        <v>171</v>
      </c>
      <c r="D114" s="21">
        <f t="shared" ref="D114:D121" si="11">D113</f>
        <v>45867</v>
      </c>
      <c r="E114" s="186" t="s">
        <v>163</v>
      </c>
      <c r="F114" s="249" t="s">
        <v>427</v>
      </c>
      <c r="G114" s="257" t="s">
        <v>423</v>
      </c>
      <c r="H114" s="233"/>
    </row>
    <row r="115" spans="3:24" ht="15.75" hidden="1" thickBot="1" x14ac:dyDescent="0.3">
      <c r="C115" s="43" t="s">
        <v>171</v>
      </c>
      <c r="D115" s="21">
        <f t="shared" si="11"/>
        <v>45867</v>
      </c>
      <c r="E115" s="186" t="s">
        <v>164</v>
      </c>
      <c r="F115" s="249" t="s">
        <v>427</v>
      </c>
      <c r="G115" s="257" t="s">
        <v>423</v>
      </c>
      <c r="H115" s="233"/>
    </row>
    <row r="116" spans="3:24" ht="15.75" hidden="1" thickBot="1" x14ac:dyDescent="0.3">
      <c r="C116" s="211" t="s">
        <v>171</v>
      </c>
      <c r="D116" s="212">
        <f t="shared" si="11"/>
        <v>45867</v>
      </c>
      <c r="E116" s="225" t="s">
        <v>165</v>
      </c>
      <c r="F116" s="252" t="s">
        <v>427</v>
      </c>
      <c r="G116" s="259" t="s">
        <v>424</v>
      </c>
      <c r="H116" s="233"/>
    </row>
    <row r="117" spans="3:24" ht="15.75" hidden="1" thickBot="1" x14ac:dyDescent="0.3">
      <c r="C117" s="211" t="s">
        <v>171</v>
      </c>
      <c r="D117" s="212">
        <f t="shared" si="11"/>
        <v>45867</v>
      </c>
      <c r="E117" s="225" t="s">
        <v>166</v>
      </c>
      <c r="F117" s="252" t="s">
        <v>427</v>
      </c>
      <c r="G117" s="259" t="s">
        <v>424</v>
      </c>
      <c r="H117" s="233"/>
    </row>
    <row r="118" spans="3:24" ht="15.75" hidden="1" thickBot="1" x14ac:dyDescent="0.3">
      <c r="C118" s="211" t="s">
        <v>171</v>
      </c>
      <c r="D118" s="212">
        <f t="shared" si="11"/>
        <v>45867</v>
      </c>
      <c r="E118" s="225" t="s">
        <v>167</v>
      </c>
      <c r="F118" s="252" t="s">
        <v>427</v>
      </c>
      <c r="G118" s="259" t="s">
        <v>424</v>
      </c>
      <c r="H118" s="233"/>
    </row>
    <row r="119" spans="3:24" ht="15.75" hidden="1" thickBot="1" x14ac:dyDescent="0.3">
      <c r="C119" s="43" t="s">
        <v>171</v>
      </c>
      <c r="D119" s="21">
        <f t="shared" si="11"/>
        <v>45867</v>
      </c>
      <c r="E119" s="186" t="s">
        <v>168</v>
      </c>
      <c r="F119" s="249" t="s">
        <v>427</v>
      </c>
      <c r="G119" s="257" t="s">
        <v>424</v>
      </c>
      <c r="H119" s="233"/>
    </row>
    <row r="120" spans="3:24" ht="15.75" hidden="1" thickBot="1" x14ac:dyDescent="0.3">
      <c r="C120" s="43" t="s">
        <v>171</v>
      </c>
      <c r="D120" s="21">
        <f t="shared" si="11"/>
        <v>45867</v>
      </c>
      <c r="E120" s="186" t="s">
        <v>169</v>
      </c>
      <c r="F120" s="249" t="s">
        <v>427</v>
      </c>
      <c r="G120" s="257" t="s">
        <v>424</v>
      </c>
      <c r="H120" s="233"/>
    </row>
    <row r="121" spans="3:24" ht="15.75" hidden="1" thickBot="1" x14ac:dyDescent="0.3">
      <c r="C121" s="216" t="s">
        <v>171</v>
      </c>
      <c r="D121" s="217">
        <f t="shared" si="11"/>
        <v>45867</v>
      </c>
      <c r="E121" s="227" t="s">
        <v>170</v>
      </c>
      <c r="F121" s="253" t="s">
        <v>427</v>
      </c>
      <c r="G121" s="260" t="s">
        <v>424</v>
      </c>
      <c r="H121" s="233"/>
    </row>
    <row r="122" spans="3:24" ht="6" hidden="1" customHeight="1" thickBot="1" x14ac:dyDescent="0.3">
      <c r="C122"/>
      <c r="D122"/>
      <c r="E122"/>
      <c r="F122" s="68"/>
      <c r="G122" s="68"/>
      <c r="H122" s="68"/>
    </row>
    <row r="123" spans="3:24" ht="15.75" hidden="1" thickBot="1" x14ac:dyDescent="0.3">
      <c r="C123" s="206" t="s">
        <v>172</v>
      </c>
      <c r="D123" s="207">
        <f>D121+1</f>
        <v>45868</v>
      </c>
      <c r="E123" s="222" t="s">
        <v>162</v>
      </c>
      <c r="F123" s="248" t="s">
        <v>427</v>
      </c>
      <c r="G123" s="261" t="s">
        <v>424</v>
      </c>
      <c r="H123" s="233"/>
    </row>
    <row r="124" spans="3:24" ht="15.75" hidden="1" thickBot="1" x14ac:dyDescent="0.3">
      <c r="C124" s="43" t="s">
        <v>172</v>
      </c>
      <c r="D124" s="21">
        <f t="shared" ref="D124:D131" si="12">D123</f>
        <v>45868</v>
      </c>
      <c r="E124" s="186" t="s">
        <v>163</v>
      </c>
      <c r="F124" s="249" t="s">
        <v>427</v>
      </c>
      <c r="G124" s="257" t="s">
        <v>424</v>
      </c>
      <c r="H124" s="233"/>
    </row>
    <row r="125" spans="3:24" ht="15.75" hidden="1" thickBot="1" x14ac:dyDescent="0.3">
      <c r="C125" s="43" t="s">
        <v>172</v>
      </c>
      <c r="D125" s="21">
        <f t="shared" si="12"/>
        <v>45868</v>
      </c>
      <c r="E125" s="186" t="s">
        <v>164</v>
      </c>
      <c r="F125" s="249" t="s">
        <v>427</v>
      </c>
      <c r="G125" s="257" t="s">
        <v>424</v>
      </c>
      <c r="H125" s="233"/>
    </row>
    <row r="126" spans="3:24" ht="15.75" hidden="1" thickBot="1" x14ac:dyDescent="0.3">
      <c r="C126" s="211" t="s">
        <v>172</v>
      </c>
      <c r="D126" s="212">
        <f t="shared" si="12"/>
        <v>45868</v>
      </c>
      <c r="E126" s="225" t="s">
        <v>165</v>
      </c>
      <c r="F126" s="249" t="s">
        <v>427</v>
      </c>
      <c r="G126" s="259" t="s">
        <v>424</v>
      </c>
      <c r="H126" s="233"/>
    </row>
    <row r="127" spans="3:24" ht="15.75" hidden="1" thickBot="1" x14ac:dyDescent="0.3">
      <c r="C127" s="211" t="s">
        <v>172</v>
      </c>
      <c r="D127" s="212">
        <f t="shared" si="12"/>
        <v>45868</v>
      </c>
      <c r="E127" s="225" t="s">
        <v>166</v>
      </c>
      <c r="F127" s="249" t="s">
        <v>427</v>
      </c>
      <c r="G127" s="259" t="s">
        <v>424</v>
      </c>
      <c r="H127" s="233"/>
      <c r="X127" s="231"/>
    </row>
    <row r="128" spans="3:24" ht="15.75" hidden="1" thickBot="1" x14ac:dyDescent="0.3">
      <c r="C128" s="211" t="s">
        <v>172</v>
      </c>
      <c r="D128" s="212">
        <f t="shared" si="12"/>
        <v>45868</v>
      </c>
      <c r="E128" s="225" t="s">
        <v>167</v>
      </c>
      <c r="F128" s="249" t="s">
        <v>427</v>
      </c>
      <c r="G128" s="259" t="s">
        <v>424</v>
      </c>
      <c r="H128" s="233"/>
    </row>
    <row r="129" spans="3:8" ht="15.75" hidden="1" thickBot="1" x14ac:dyDescent="0.3">
      <c r="C129" s="43" t="s">
        <v>172</v>
      </c>
      <c r="D129" s="21">
        <f t="shared" si="12"/>
        <v>45868</v>
      </c>
      <c r="E129" s="186" t="s">
        <v>168</v>
      </c>
      <c r="F129" s="249" t="s">
        <v>427</v>
      </c>
      <c r="G129" s="257" t="s">
        <v>425</v>
      </c>
      <c r="H129" s="233"/>
    </row>
    <row r="130" spans="3:8" ht="15.75" hidden="1" thickBot="1" x14ac:dyDescent="0.3">
      <c r="C130" s="43" t="s">
        <v>172</v>
      </c>
      <c r="D130" s="21">
        <f t="shared" si="12"/>
        <v>45868</v>
      </c>
      <c r="E130" s="186" t="s">
        <v>169</v>
      </c>
      <c r="F130" s="249" t="s">
        <v>427</v>
      </c>
      <c r="G130" s="257" t="s">
        <v>425</v>
      </c>
      <c r="H130" s="233"/>
    </row>
    <row r="131" spans="3:8" ht="15.75" hidden="1" thickBot="1" x14ac:dyDescent="0.3">
      <c r="C131" s="216" t="s">
        <v>172</v>
      </c>
      <c r="D131" s="217">
        <f t="shared" si="12"/>
        <v>45868</v>
      </c>
      <c r="E131" s="227" t="s">
        <v>170</v>
      </c>
      <c r="F131" s="250" t="s">
        <v>427</v>
      </c>
      <c r="G131" s="260" t="s">
        <v>425</v>
      </c>
      <c r="H131" s="233"/>
    </row>
    <row r="132" spans="3:8" ht="6" hidden="1" customHeight="1" thickBot="1" x14ac:dyDescent="0.3">
      <c r="C132"/>
      <c r="D132"/>
      <c r="E132"/>
      <c r="F132" s="68"/>
      <c r="G132" s="68"/>
      <c r="H132" s="68"/>
    </row>
    <row r="133" spans="3:8" ht="15" hidden="1" customHeight="1" x14ac:dyDescent="0.25">
      <c r="C133" s="206" t="s">
        <v>173</v>
      </c>
      <c r="D133" s="207">
        <f>D131+1</f>
        <v>45869</v>
      </c>
      <c r="E133" s="222" t="s">
        <v>162</v>
      </c>
      <c r="F133" s="255" t="s">
        <v>427</v>
      </c>
      <c r="G133" s="261" t="s">
        <v>425</v>
      </c>
      <c r="H133" s="233"/>
    </row>
    <row r="134" spans="3:8" ht="15.75" hidden="1" thickBot="1" x14ac:dyDescent="0.3">
      <c r="C134" s="43" t="s">
        <v>173</v>
      </c>
      <c r="D134" s="21">
        <f t="shared" ref="D134:D141" si="13">D133</f>
        <v>45869</v>
      </c>
      <c r="E134" s="186" t="s">
        <v>163</v>
      </c>
      <c r="F134" s="254" t="s">
        <v>427</v>
      </c>
      <c r="G134" s="257" t="s">
        <v>425</v>
      </c>
      <c r="H134" s="233"/>
    </row>
    <row r="135" spans="3:8" ht="15.75" hidden="1" thickBot="1" x14ac:dyDescent="0.3">
      <c r="C135" s="43" t="s">
        <v>173</v>
      </c>
      <c r="D135" s="21">
        <f t="shared" si="13"/>
        <v>45869</v>
      </c>
      <c r="E135" s="186" t="s">
        <v>164</v>
      </c>
      <c r="F135" s="254" t="s">
        <v>427</v>
      </c>
      <c r="G135" s="257" t="s">
        <v>425</v>
      </c>
      <c r="H135" s="233"/>
    </row>
    <row r="136" spans="3:8" ht="15.75" hidden="1" thickBot="1" x14ac:dyDescent="0.3">
      <c r="C136" s="211" t="s">
        <v>173</v>
      </c>
      <c r="D136" s="212">
        <f t="shared" si="13"/>
        <v>45869</v>
      </c>
      <c r="E136" s="225" t="s">
        <v>165</v>
      </c>
      <c r="F136" s="184" t="s">
        <v>560</v>
      </c>
      <c r="G136" s="259" t="s">
        <v>425</v>
      </c>
      <c r="H136" s="233"/>
    </row>
    <row r="137" spans="3:8" ht="15.75" hidden="1" thickBot="1" x14ac:dyDescent="0.3">
      <c r="C137" s="211" t="s">
        <v>173</v>
      </c>
      <c r="D137" s="212">
        <f t="shared" si="13"/>
        <v>45869</v>
      </c>
      <c r="E137" s="225" t="s">
        <v>166</v>
      </c>
      <c r="F137" s="184" t="s">
        <v>560</v>
      </c>
      <c r="G137" s="259" t="s">
        <v>425</v>
      </c>
      <c r="H137" s="233"/>
    </row>
    <row r="138" spans="3:8" ht="15.75" hidden="1" thickBot="1" x14ac:dyDescent="0.3">
      <c r="C138" s="211" t="s">
        <v>173</v>
      </c>
      <c r="D138" s="212">
        <f t="shared" si="13"/>
        <v>45869</v>
      </c>
      <c r="E138" s="225" t="s">
        <v>167</v>
      </c>
      <c r="F138" s="184" t="s">
        <v>560</v>
      </c>
      <c r="G138" s="259" t="s">
        <v>425</v>
      </c>
      <c r="H138" s="233"/>
    </row>
    <row r="139" spans="3:8" ht="15.75" hidden="1" thickBot="1" x14ac:dyDescent="0.3">
      <c r="C139" s="43" t="s">
        <v>173</v>
      </c>
      <c r="D139" s="21">
        <f t="shared" si="13"/>
        <v>45869</v>
      </c>
      <c r="E139" s="186" t="s">
        <v>168</v>
      </c>
      <c r="F139" s="184" t="s">
        <v>560</v>
      </c>
      <c r="G139" s="257" t="s">
        <v>425</v>
      </c>
      <c r="H139" s="233"/>
    </row>
    <row r="140" spans="3:8" ht="15.75" hidden="1" thickBot="1" x14ac:dyDescent="0.3">
      <c r="C140" s="43" t="s">
        <v>173</v>
      </c>
      <c r="D140" s="21">
        <f t="shared" si="13"/>
        <v>45869</v>
      </c>
      <c r="E140" s="186" t="s">
        <v>169</v>
      </c>
      <c r="F140" s="184" t="s">
        <v>560</v>
      </c>
      <c r="G140" s="151" t="s">
        <v>426</v>
      </c>
      <c r="H140" s="233"/>
    </row>
    <row r="141" spans="3:8" ht="15.75" hidden="1" thickBot="1" x14ac:dyDescent="0.3">
      <c r="C141" s="216" t="s">
        <v>173</v>
      </c>
      <c r="D141" s="217">
        <f t="shared" si="13"/>
        <v>45869</v>
      </c>
      <c r="E141" s="227" t="s">
        <v>170</v>
      </c>
      <c r="F141" s="185" t="s">
        <v>560</v>
      </c>
      <c r="G141" s="260" t="s">
        <v>426</v>
      </c>
      <c r="H141" s="233"/>
    </row>
    <row r="142" spans="3:8" ht="6" hidden="1" customHeight="1" thickBot="1" x14ac:dyDescent="0.3">
      <c r="C142"/>
      <c r="D142"/>
      <c r="E142"/>
      <c r="F142" s="68"/>
      <c r="G142" s="68"/>
      <c r="H142" s="68"/>
    </row>
    <row r="143" spans="3:8" ht="15.75" hidden="1" thickBot="1" x14ac:dyDescent="0.3">
      <c r="C143" s="272" t="s">
        <v>174</v>
      </c>
      <c r="D143" s="273">
        <f>D141+1</f>
        <v>45870</v>
      </c>
      <c r="E143" s="274" t="s">
        <v>162</v>
      </c>
      <c r="F143" s="183" t="s">
        <v>560</v>
      </c>
      <c r="G143" s="261" t="s">
        <v>426</v>
      </c>
      <c r="H143" s="68"/>
    </row>
    <row r="144" spans="3:8" ht="15.75" hidden="1" thickBot="1" x14ac:dyDescent="0.3">
      <c r="C144" s="275" t="s">
        <v>174</v>
      </c>
      <c r="D144" s="276">
        <f>D143</f>
        <v>45870</v>
      </c>
      <c r="E144" s="277" t="s">
        <v>163</v>
      </c>
      <c r="F144" s="184" t="s">
        <v>560</v>
      </c>
      <c r="G144" s="257" t="s">
        <v>426</v>
      </c>
      <c r="H144" s="68"/>
    </row>
    <row r="145" spans="1:19" ht="15.75" hidden="1" thickBot="1" x14ac:dyDescent="0.3">
      <c r="C145" s="278" t="s">
        <v>174</v>
      </c>
      <c r="D145" s="279">
        <f>D144</f>
        <v>45870</v>
      </c>
      <c r="E145" s="280" t="s">
        <v>164</v>
      </c>
      <c r="F145" s="184" t="s">
        <v>560</v>
      </c>
      <c r="G145" s="259" t="s">
        <v>426</v>
      </c>
      <c r="H145" s="68"/>
    </row>
    <row r="146" spans="1:19" ht="15.75" hidden="1" thickBot="1" x14ac:dyDescent="0.3">
      <c r="C146" s="278" t="s">
        <v>174</v>
      </c>
      <c r="D146" s="279">
        <f>D145</f>
        <v>45870</v>
      </c>
      <c r="E146" s="280" t="s">
        <v>165</v>
      </c>
      <c r="F146" s="184" t="s">
        <v>560</v>
      </c>
      <c r="G146" s="259" t="s">
        <v>426</v>
      </c>
      <c r="H146" s="68"/>
    </row>
    <row r="147" spans="1:19" ht="15.75" hidden="1" thickBot="1" x14ac:dyDescent="0.3">
      <c r="C147" s="275" t="s">
        <v>174</v>
      </c>
      <c r="D147" s="276">
        <f t="shared" ref="D147:D150" si="14">D146</f>
        <v>45870</v>
      </c>
      <c r="E147" s="277" t="s">
        <v>166</v>
      </c>
      <c r="F147" s="184" t="s">
        <v>560</v>
      </c>
      <c r="G147" s="257" t="s">
        <v>426</v>
      </c>
      <c r="H147" s="68"/>
    </row>
    <row r="148" spans="1:19" ht="15.75" hidden="1" thickBot="1" x14ac:dyDescent="0.3">
      <c r="C148" s="275" t="s">
        <v>174</v>
      </c>
      <c r="D148" s="276">
        <f t="shared" si="14"/>
        <v>45870</v>
      </c>
      <c r="E148" s="277" t="s">
        <v>167</v>
      </c>
      <c r="F148" s="184" t="s">
        <v>560</v>
      </c>
      <c r="G148" s="257" t="s">
        <v>426</v>
      </c>
      <c r="H148" s="68"/>
    </row>
    <row r="149" spans="1:19" ht="15.75" hidden="1" thickBot="1" x14ac:dyDescent="0.3">
      <c r="C149" s="275" t="s">
        <v>174</v>
      </c>
      <c r="D149" s="276">
        <f t="shared" si="14"/>
        <v>45870</v>
      </c>
      <c r="E149" s="277" t="s">
        <v>168</v>
      </c>
      <c r="F149" s="249" t="s">
        <v>409</v>
      </c>
      <c r="G149" s="257" t="s">
        <v>426</v>
      </c>
      <c r="H149" s="68"/>
    </row>
    <row r="150" spans="1:19" ht="15.75" hidden="1" thickBot="1" x14ac:dyDescent="0.3">
      <c r="C150" s="281" t="s">
        <v>174</v>
      </c>
      <c r="D150" s="282">
        <f t="shared" si="14"/>
        <v>45870</v>
      </c>
      <c r="E150" s="283" t="s">
        <v>169</v>
      </c>
      <c r="F150" s="250" t="s">
        <v>409</v>
      </c>
      <c r="G150" s="258" t="s">
        <v>426</v>
      </c>
      <c r="H150" s="68"/>
    </row>
    <row r="151" spans="1:19" ht="6" hidden="1" customHeight="1" thickBot="1" x14ac:dyDescent="0.3">
      <c r="A151" s="129" t="s">
        <v>310</v>
      </c>
      <c r="B151" s="111"/>
      <c r="H151" s="68"/>
      <c r="I151" s="111"/>
      <c r="J151" s="111"/>
      <c r="K151" s="111"/>
      <c r="L151" s="111"/>
      <c r="M151" s="111"/>
      <c r="N151" s="111"/>
      <c r="O151" s="111"/>
      <c r="P151" s="111"/>
      <c r="Q151" s="111"/>
      <c r="R151" s="111"/>
      <c r="S151" s="111"/>
    </row>
    <row r="152" spans="1:19" ht="15" hidden="1" customHeight="1" x14ac:dyDescent="0.25">
      <c r="A152" s="746" t="s">
        <v>534</v>
      </c>
      <c r="C152" s="112" t="s">
        <v>161</v>
      </c>
      <c r="D152" s="113">
        <f>D150+3</f>
        <v>45873</v>
      </c>
      <c r="E152" s="284" t="s">
        <v>162</v>
      </c>
      <c r="F152" s="302" t="s">
        <v>409</v>
      </c>
      <c r="G152" s="150" t="s">
        <v>458</v>
      </c>
      <c r="H152" s="68"/>
    </row>
    <row r="153" spans="1:19" ht="15.75" hidden="1" thickBot="1" x14ac:dyDescent="0.3">
      <c r="A153" s="746"/>
      <c r="C153" s="116" t="s">
        <v>161</v>
      </c>
      <c r="D153" s="117">
        <f t="shared" ref="D153:D160" si="15">D152</f>
        <v>45873</v>
      </c>
      <c r="E153" s="286" t="s">
        <v>163</v>
      </c>
      <c r="F153" s="303" t="s">
        <v>409</v>
      </c>
      <c r="G153" s="257" t="s">
        <v>458</v>
      </c>
      <c r="H153" s="68"/>
    </row>
    <row r="154" spans="1:19" ht="15.75" hidden="1" thickBot="1" x14ac:dyDescent="0.3">
      <c r="A154" s="746"/>
      <c r="C154" s="116" t="s">
        <v>161</v>
      </c>
      <c r="D154" s="117">
        <f t="shared" si="15"/>
        <v>45873</v>
      </c>
      <c r="E154" s="286" t="s">
        <v>164</v>
      </c>
      <c r="F154" s="303" t="s">
        <v>409</v>
      </c>
      <c r="G154" s="257" t="s">
        <v>458</v>
      </c>
      <c r="H154" s="68"/>
    </row>
    <row r="155" spans="1:19" ht="15.75" hidden="1" thickBot="1" x14ac:dyDescent="0.3">
      <c r="A155" s="746"/>
      <c r="C155" s="116" t="s">
        <v>161</v>
      </c>
      <c r="D155" s="117">
        <f t="shared" si="15"/>
        <v>45873</v>
      </c>
      <c r="E155" s="286" t="s">
        <v>165</v>
      </c>
      <c r="F155" s="303" t="s">
        <v>409</v>
      </c>
      <c r="G155" s="257" t="s">
        <v>458</v>
      </c>
      <c r="H155" s="68"/>
    </row>
    <row r="156" spans="1:19" ht="15.75" hidden="1" thickBot="1" x14ac:dyDescent="0.3">
      <c r="A156" s="746"/>
      <c r="C156" s="116" t="s">
        <v>161</v>
      </c>
      <c r="D156" s="117">
        <f t="shared" si="15"/>
        <v>45873</v>
      </c>
      <c r="E156" s="286" t="s">
        <v>166</v>
      </c>
      <c r="F156" s="249" t="s">
        <v>409</v>
      </c>
      <c r="G156" s="257" t="s">
        <v>458</v>
      </c>
      <c r="H156" s="68"/>
    </row>
    <row r="157" spans="1:19" ht="15.75" hidden="1" thickBot="1" x14ac:dyDescent="0.3">
      <c r="A157" s="746"/>
      <c r="C157" s="116" t="s">
        <v>161</v>
      </c>
      <c r="D157" s="117">
        <f t="shared" si="15"/>
        <v>45873</v>
      </c>
      <c r="E157" s="286" t="s">
        <v>167</v>
      </c>
      <c r="F157" s="254" t="s">
        <v>409</v>
      </c>
      <c r="G157" s="257" t="s">
        <v>458</v>
      </c>
      <c r="H157" s="68"/>
    </row>
    <row r="158" spans="1:19" ht="15.75" hidden="1" thickBot="1" x14ac:dyDescent="0.3">
      <c r="A158" s="746"/>
      <c r="C158" s="116" t="s">
        <v>161</v>
      </c>
      <c r="D158" s="117">
        <f t="shared" si="15"/>
        <v>45873</v>
      </c>
      <c r="E158" s="286" t="s">
        <v>167</v>
      </c>
      <c r="F158" s="249" t="s">
        <v>409</v>
      </c>
      <c r="G158" s="257" t="s">
        <v>458</v>
      </c>
      <c r="H158" s="68"/>
    </row>
    <row r="159" spans="1:19" ht="15.75" hidden="1" thickBot="1" x14ac:dyDescent="0.3">
      <c r="A159" s="746"/>
      <c r="C159" s="116" t="s">
        <v>161</v>
      </c>
      <c r="D159" s="117">
        <f t="shared" si="15"/>
        <v>45873</v>
      </c>
      <c r="E159" s="286" t="s">
        <v>169</v>
      </c>
      <c r="F159" s="249" t="s">
        <v>409</v>
      </c>
      <c r="G159" s="257" t="s">
        <v>458</v>
      </c>
      <c r="H159" s="68"/>
    </row>
    <row r="160" spans="1:19" ht="15.75" hidden="1" thickBot="1" x14ac:dyDescent="0.3">
      <c r="A160" s="746"/>
      <c r="C160" s="119" t="s">
        <v>161</v>
      </c>
      <c r="D160" s="120">
        <f t="shared" si="15"/>
        <v>45873</v>
      </c>
      <c r="E160" s="288" t="s">
        <v>170</v>
      </c>
      <c r="F160" s="250" t="s">
        <v>409</v>
      </c>
      <c r="G160" s="258" t="s">
        <v>458</v>
      </c>
      <c r="H160" s="68"/>
    </row>
    <row r="161" spans="1:23" ht="6" hidden="1" customHeight="1" thickBot="1" x14ac:dyDescent="0.3">
      <c r="A161" s="746"/>
      <c r="H161" s="68"/>
    </row>
    <row r="162" spans="1:23" ht="15" hidden="1" customHeight="1" x14ac:dyDescent="0.25">
      <c r="A162" s="746"/>
      <c r="C162" s="290" t="s">
        <v>171</v>
      </c>
      <c r="D162" s="291">
        <f>D160+1</f>
        <v>45874</v>
      </c>
      <c r="E162" s="292" t="s">
        <v>162</v>
      </c>
      <c r="F162" s="285" t="s">
        <v>112</v>
      </c>
      <c r="G162" s="261" t="s">
        <v>458</v>
      </c>
      <c r="H162" s="68"/>
    </row>
    <row r="163" spans="1:23" ht="15.75" hidden="1" thickBot="1" x14ac:dyDescent="0.3">
      <c r="A163" s="746"/>
      <c r="C163" s="116" t="s">
        <v>171</v>
      </c>
      <c r="D163" s="117">
        <f t="shared" ref="D163:D170" si="16">D162</f>
        <v>45874</v>
      </c>
      <c r="E163" s="286" t="s">
        <v>163</v>
      </c>
      <c r="F163" s="303" t="s">
        <v>112</v>
      </c>
      <c r="G163" s="257" t="s">
        <v>458</v>
      </c>
      <c r="H163" s="68"/>
    </row>
    <row r="164" spans="1:23" ht="15.75" hidden="1" thickBot="1" x14ac:dyDescent="0.3">
      <c r="A164" s="746"/>
      <c r="C164" s="116" t="s">
        <v>171</v>
      </c>
      <c r="D164" s="117">
        <f t="shared" si="16"/>
        <v>45874</v>
      </c>
      <c r="E164" s="286" t="s">
        <v>164</v>
      </c>
      <c r="F164" s="303" t="s">
        <v>112</v>
      </c>
      <c r="G164" s="257" t="s">
        <v>458</v>
      </c>
      <c r="H164" s="68"/>
    </row>
    <row r="165" spans="1:23" ht="15.75" hidden="1" thickBot="1" x14ac:dyDescent="0.3">
      <c r="A165" s="746"/>
      <c r="C165" s="294" t="s">
        <v>171</v>
      </c>
      <c r="D165" s="295">
        <f t="shared" si="16"/>
        <v>45874</v>
      </c>
      <c r="E165" s="296" t="s">
        <v>165</v>
      </c>
      <c r="F165" s="304" t="s">
        <v>112</v>
      </c>
      <c r="G165" s="259" t="s">
        <v>458</v>
      </c>
      <c r="H165" s="68"/>
    </row>
    <row r="166" spans="1:23" ht="15.75" hidden="1" thickBot="1" x14ac:dyDescent="0.3">
      <c r="A166" s="746"/>
      <c r="C166" s="294" t="s">
        <v>171</v>
      </c>
      <c r="D166" s="295">
        <f t="shared" si="16"/>
        <v>45874</v>
      </c>
      <c r="E166" s="296" t="s">
        <v>166</v>
      </c>
      <c r="F166" s="305" t="s">
        <v>112</v>
      </c>
      <c r="G166" s="259" t="s">
        <v>458</v>
      </c>
      <c r="H166" s="68"/>
    </row>
    <row r="167" spans="1:23" ht="15.75" hidden="1" thickBot="1" x14ac:dyDescent="0.3">
      <c r="A167" s="746"/>
      <c r="C167" s="294" t="s">
        <v>171</v>
      </c>
      <c r="D167" s="295">
        <f t="shared" si="16"/>
        <v>45874</v>
      </c>
      <c r="E167" s="296" t="s">
        <v>167</v>
      </c>
      <c r="F167" s="305" t="s">
        <v>112</v>
      </c>
      <c r="G167" s="259" t="s">
        <v>458</v>
      </c>
      <c r="H167" s="68"/>
      <c r="W167" s="93"/>
    </row>
    <row r="168" spans="1:23" ht="15.75" hidden="1" thickBot="1" x14ac:dyDescent="0.3">
      <c r="A168" s="746"/>
      <c r="C168" s="116" t="s">
        <v>171</v>
      </c>
      <c r="D168" s="117">
        <f t="shared" si="16"/>
        <v>45874</v>
      </c>
      <c r="E168" s="286" t="s">
        <v>168</v>
      </c>
      <c r="F168" s="249" t="s">
        <v>112</v>
      </c>
      <c r="G168" s="257" t="s">
        <v>458</v>
      </c>
      <c r="H168" s="68"/>
    </row>
    <row r="169" spans="1:23" ht="15.75" hidden="1" thickBot="1" x14ac:dyDescent="0.3">
      <c r="A169" s="746"/>
      <c r="C169" s="116" t="s">
        <v>171</v>
      </c>
      <c r="D169" s="117">
        <f t="shared" si="16"/>
        <v>45874</v>
      </c>
      <c r="E169" s="286" t="s">
        <v>169</v>
      </c>
      <c r="F169" s="249" t="s">
        <v>112</v>
      </c>
      <c r="G169" s="257" t="s">
        <v>458</v>
      </c>
      <c r="H169" s="68"/>
    </row>
    <row r="170" spans="1:23" ht="15.75" hidden="1" thickBot="1" x14ac:dyDescent="0.3">
      <c r="A170" s="746"/>
      <c r="C170" s="298" t="s">
        <v>171</v>
      </c>
      <c r="D170" s="299">
        <f t="shared" si="16"/>
        <v>45874</v>
      </c>
      <c r="E170" s="300" t="s">
        <v>170</v>
      </c>
      <c r="F170" s="253" t="s">
        <v>112</v>
      </c>
      <c r="G170" s="260" t="s">
        <v>458</v>
      </c>
      <c r="H170" s="68"/>
    </row>
    <row r="171" spans="1:23" ht="6" hidden="1" customHeight="1" thickBot="1" x14ac:dyDescent="0.3">
      <c r="A171" s="746"/>
      <c r="H171" s="68"/>
    </row>
    <row r="172" spans="1:23" ht="15" hidden="1" customHeight="1" x14ac:dyDescent="0.25">
      <c r="A172" s="746"/>
      <c r="C172" s="290" t="s">
        <v>172</v>
      </c>
      <c r="D172" s="291">
        <f>D170+1</f>
        <v>45875</v>
      </c>
      <c r="E172" s="292" t="s">
        <v>162</v>
      </c>
      <c r="F172" s="251" t="s">
        <v>112</v>
      </c>
      <c r="G172" s="261" t="s">
        <v>458</v>
      </c>
      <c r="H172" s="68"/>
    </row>
    <row r="173" spans="1:23" ht="15.75" hidden="1" thickBot="1" x14ac:dyDescent="0.3">
      <c r="A173" s="746"/>
      <c r="C173" s="116" t="s">
        <v>172</v>
      </c>
      <c r="D173" s="117">
        <f t="shared" ref="D173:D180" si="17">D172</f>
        <v>45875</v>
      </c>
      <c r="E173" s="286" t="s">
        <v>163</v>
      </c>
      <c r="F173" s="249" t="s">
        <v>112</v>
      </c>
      <c r="G173" s="257" t="s">
        <v>458</v>
      </c>
      <c r="H173" s="68"/>
    </row>
    <row r="174" spans="1:23" ht="15.75" hidden="1" thickBot="1" x14ac:dyDescent="0.3">
      <c r="A174" s="746"/>
      <c r="C174" s="116" t="s">
        <v>172</v>
      </c>
      <c r="D174" s="117">
        <f t="shared" si="17"/>
        <v>45875</v>
      </c>
      <c r="E174" s="286" t="s">
        <v>164</v>
      </c>
      <c r="F174" s="249" t="s">
        <v>112</v>
      </c>
      <c r="G174" s="257" t="s">
        <v>458</v>
      </c>
      <c r="H174" s="68"/>
    </row>
    <row r="175" spans="1:23" ht="15.75" hidden="1" thickBot="1" x14ac:dyDescent="0.3">
      <c r="A175" s="746"/>
      <c r="C175" s="294" t="s">
        <v>172</v>
      </c>
      <c r="D175" s="295">
        <f t="shared" si="17"/>
        <v>45875</v>
      </c>
      <c r="E175" s="296" t="s">
        <v>165</v>
      </c>
      <c r="F175" s="304" t="s">
        <v>385</v>
      </c>
      <c r="G175" s="259" t="s">
        <v>458</v>
      </c>
      <c r="H175" s="68"/>
    </row>
    <row r="176" spans="1:23" ht="15.75" hidden="1" thickBot="1" x14ac:dyDescent="0.3">
      <c r="A176" s="746"/>
      <c r="C176" s="294" t="s">
        <v>172</v>
      </c>
      <c r="D176" s="295">
        <f t="shared" si="17"/>
        <v>45875</v>
      </c>
      <c r="E176" s="296" t="s">
        <v>166</v>
      </c>
      <c r="F176" s="304" t="s">
        <v>385</v>
      </c>
      <c r="G176" s="259" t="s">
        <v>458</v>
      </c>
      <c r="H176" s="68"/>
    </row>
    <row r="177" spans="1:8" ht="15.75" hidden="1" thickBot="1" x14ac:dyDescent="0.3">
      <c r="A177" s="746"/>
      <c r="C177" s="294" t="s">
        <v>172</v>
      </c>
      <c r="D177" s="295">
        <f t="shared" si="17"/>
        <v>45875</v>
      </c>
      <c r="E177" s="296" t="s">
        <v>167</v>
      </c>
      <c r="F177" s="304" t="s">
        <v>385</v>
      </c>
      <c r="G177" s="259" t="s">
        <v>458</v>
      </c>
      <c r="H177" s="68"/>
    </row>
    <row r="178" spans="1:8" ht="15.75" hidden="1" thickBot="1" x14ac:dyDescent="0.3">
      <c r="A178" s="746"/>
      <c r="C178" s="116" t="s">
        <v>172</v>
      </c>
      <c r="D178" s="117">
        <f t="shared" si="17"/>
        <v>45875</v>
      </c>
      <c r="E178" s="286" t="s">
        <v>168</v>
      </c>
      <c r="F178" s="303" t="s">
        <v>385</v>
      </c>
      <c r="G178" s="257" t="s">
        <v>458</v>
      </c>
      <c r="H178" s="68"/>
    </row>
    <row r="179" spans="1:8" ht="15.75" hidden="1" thickBot="1" x14ac:dyDescent="0.3">
      <c r="A179" s="746"/>
      <c r="C179" s="116" t="s">
        <v>172</v>
      </c>
      <c r="D179" s="117">
        <f t="shared" si="17"/>
        <v>45875</v>
      </c>
      <c r="E179" s="286" t="s">
        <v>169</v>
      </c>
      <c r="F179" s="303" t="s">
        <v>385</v>
      </c>
      <c r="G179" s="257" t="s">
        <v>458</v>
      </c>
      <c r="H179" s="68"/>
    </row>
    <row r="180" spans="1:8" ht="15.75" hidden="1" thickBot="1" x14ac:dyDescent="0.3">
      <c r="A180" s="746"/>
      <c r="C180" s="298" t="s">
        <v>172</v>
      </c>
      <c r="D180" s="299">
        <f t="shared" si="17"/>
        <v>45875</v>
      </c>
      <c r="E180" s="300" t="s">
        <v>170</v>
      </c>
      <c r="F180" s="306" t="s">
        <v>385</v>
      </c>
      <c r="G180" s="260" t="s">
        <v>458</v>
      </c>
      <c r="H180" s="68"/>
    </row>
    <row r="181" spans="1:8" ht="6" hidden="1" customHeight="1" thickBot="1" x14ac:dyDescent="0.3">
      <c r="A181" s="746"/>
      <c r="H181" s="68"/>
    </row>
    <row r="182" spans="1:8" ht="15" hidden="1" customHeight="1" x14ac:dyDescent="0.25">
      <c r="A182" s="746"/>
      <c r="C182" s="290" t="s">
        <v>173</v>
      </c>
      <c r="D182" s="291">
        <f>D180+1</f>
        <v>45876</v>
      </c>
      <c r="E182" s="292" t="s">
        <v>162</v>
      </c>
      <c r="F182" s="251" t="s">
        <v>385</v>
      </c>
      <c r="G182" s="293" t="s">
        <v>371</v>
      </c>
      <c r="H182" s="68"/>
    </row>
    <row r="183" spans="1:8" ht="15.75" hidden="1" thickBot="1" x14ac:dyDescent="0.3">
      <c r="A183" s="746"/>
      <c r="C183" s="116" t="s">
        <v>173</v>
      </c>
      <c r="D183" s="117">
        <f t="shared" ref="D183:D190" si="18">D182</f>
        <v>45876</v>
      </c>
      <c r="E183" s="286" t="s">
        <v>163</v>
      </c>
      <c r="F183" s="249" t="s">
        <v>385</v>
      </c>
      <c r="G183" s="307" t="s">
        <v>371</v>
      </c>
      <c r="H183" s="68"/>
    </row>
    <row r="184" spans="1:8" ht="15.75" hidden="1" thickBot="1" x14ac:dyDescent="0.3">
      <c r="A184" s="746"/>
      <c r="C184" s="116" t="s">
        <v>173</v>
      </c>
      <c r="D184" s="117">
        <f t="shared" si="18"/>
        <v>45876</v>
      </c>
      <c r="E184" s="286" t="s">
        <v>164</v>
      </c>
      <c r="F184" s="249" t="s">
        <v>385</v>
      </c>
      <c r="G184" s="307" t="s">
        <v>371</v>
      </c>
      <c r="H184" s="68"/>
    </row>
    <row r="185" spans="1:8" ht="15.75" hidden="1" thickBot="1" x14ac:dyDescent="0.3">
      <c r="A185" s="746"/>
      <c r="C185" s="294" t="s">
        <v>173</v>
      </c>
      <c r="D185" s="295">
        <f t="shared" si="18"/>
        <v>45876</v>
      </c>
      <c r="E185" s="296" t="s">
        <v>165</v>
      </c>
      <c r="F185" s="252" t="s">
        <v>385</v>
      </c>
      <c r="G185" s="308" t="s">
        <v>371</v>
      </c>
      <c r="H185" s="68"/>
    </row>
    <row r="186" spans="1:8" ht="15.75" hidden="1" thickBot="1" x14ac:dyDescent="0.3">
      <c r="A186" s="746"/>
      <c r="C186" s="294" t="s">
        <v>173</v>
      </c>
      <c r="D186" s="295">
        <f t="shared" si="18"/>
        <v>45876</v>
      </c>
      <c r="E186" s="296" t="s">
        <v>166</v>
      </c>
      <c r="F186" s="297" t="s">
        <v>487</v>
      </c>
      <c r="G186" s="308" t="s">
        <v>371</v>
      </c>
      <c r="H186" s="68"/>
    </row>
    <row r="187" spans="1:8" ht="15.75" hidden="1" thickBot="1" x14ac:dyDescent="0.3">
      <c r="A187" s="746"/>
      <c r="C187" s="294" t="s">
        <v>173</v>
      </c>
      <c r="D187" s="295">
        <f t="shared" si="18"/>
        <v>45876</v>
      </c>
      <c r="E187" s="296" t="s">
        <v>167</v>
      </c>
      <c r="F187" s="304" t="s">
        <v>487</v>
      </c>
      <c r="G187" s="308" t="s">
        <v>371</v>
      </c>
      <c r="H187" s="68"/>
    </row>
    <row r="188" spans="1:8" ht="15.75" hidden="1" thickBot="1" x14ac:dyDescent="0.3">
      <c r="A188" s="746"/>
      <c r="C188" s="116" t="s">
        <v>173</v>
      </c>
      <c r="D188" s="117">
        <f t="shared" si="18"/>
        <v>45876</v>
      </c>
      <c r="E188" s="286" t="s">
        <v>168</v>
      </c>
      <c r="F188" s="303" t="s">
        <v>487</v>
      </c>
      <c r="G188" s="307" t="s">
        <v>371</v>
      </c>
      <c r="H188" s="68"/>
    </row>
    <row r="189" spans="1:8" ht="15.75" hidden="1" thickBot="1" x14ac:dyDescent="0.3">
      <c r="A189" s="746"/>
      <c r="C189" s="116" t="s">
        <v>173</v>
      </c>
      <c r="D189" s="117">
        <f t="shared" si="18"/>
        <v>45876</v>
      </c>
      <c r="E189" s="286" t="s">
        <v>169</v>
      </c>
      <c r="F189" s="303" t="s">
        <v>487</v>
      </c>
      <c r="G189" s="257" t="s">
        <v>371</v>
      </c>
      <c r="H189" s="68"/>
    </row>
    <row r="190" spans="1:8" ht="15.75" hidden="1" thickBot="1" x14ac:dyDescent="0.3">
      <c r="A190" s="746"/>
      <c r="C190" s="298" t="s">
        <v>173</v>
      </c>
      <c r="D190" s="299">
        <f t="shared" si="18"/>
        <v>45876</v>
      </c>
      <c r="E190" s="300" t="s">
        <v>170</v>
      </c>
      <c r="F190" s="306" t="s">
        <v>487</v>
      </c>
      <c r="G190" s="260" t="s">
        <v>371</v>
      </c>
      <c r="H190" s="68"/>
    </row>
    <row r="191" spans="1:8" ht="6" hidden="1" customHeight="1" thickBot="1" x14ac:dyDescent="0.3">
      <c r="A191" s="746"/>
      <c r="H191" s="68"/>
    </row>
    <row r="192" spans="1:8" ht="15" hidden="1" customHeight="1" x14ac:dyDescent="0.25">
      <c r="A192" s="746"/>
      <c r="C192" s="290" t="s">
        <v>174</v>
      </c>
      <c r="D192" s="291">
        <f>D190+1</f>
        <v>45877</v>
      </c>
      <c r="E192" s="292" t="s">
        <v>162</v>
      </c>
      <c r="F192" s="251" t="s">
        <v>487</v>
      </c>
      <c r="G192" s="261" t="s">
        <v>371</v>
      </c>
      <c r="H192" s="68"/>
    </row>
    <row r="193" spans="1:24" ht="15.75" hidden="1" thickBot="1" x14ac:dyDescent="0.3">
      <c r="A193" s="746"/>
      <c r="C193" s="116" t="s">
        <v>174</v>
      </c>
      <c r="D193" s="117">
        <f>D192</f>
        <v>45877</v>
      </c>
      <c r="E193" s="286" t="s">
        <v>163</v>
      </c>
      <c r="F193" s="249" t="s">
        <v>487</v>
      </c>
      <c r="G193" s="257" t="s">
        <v>371</v>
      </c>
      <c r="H193" s="68"/>
    </row>
    <row r="194" spans="1:24" ht="15.75" hidden="1" thickBot="1" x14ac:dyDescent="0.3">
      <c r="A194" s="746"/>
      <c r="C194" s="294" t="s">
        <v>174</v>
      </c>
      <c r="D194" s="295">
        <f>D193</f>
        <v>45877</v>
      </c>
      <c r="E194" s="296" t="s">
        <v>164</v>
      </c>
      <c r="F194" s="252" t="s">
        <v>487</v>
      </c>
      <c r="G194" s="259" t="s">
        <v>371</v>
      </c>
      <c r="H194" s="68"/>
    </row>
    <row r="195" spans="1:24" ht="15.75" hidden="1" thickBot="1" x14ac:dyDescent="0.3">
      <c r="A195" s="746"/>
      <c r="C195" s="294" t="s">
        <v>174</v>
      </c>
      <c r="D195" s="295">
        <f>D194</f>
        <v>45877</v>
      </c>
      <c r="E195" s="296" t="s">
        <v>165</v>
      </c>
      <c r="F195" s="252" t="s">
        <v>487</v>
      </c>
      <c r="G195" s="259" t="s">
        <v>371</v>
      </c>
      <c r="H195" s="68"/>
    </row>
    <row r="196" spans="1:24" ht="15.75" hidden="1" thickBot="1" x14ac:dyDescent="0.3">
      <c r="A196" s="746"/>
      <c r="C196" s="116" t="s">
        <v>174</v>
      </c>
      <c r="D196" s="117">
        <f t="shared" ref="D196:D199" si="19">D195</f>
        <v>45877</v>
      </c>
      <c r="E196" s="286" t="s">
        <v>166</v>
      </c>
      <c r="F196" s="249" t="s">
        <v>487</v>
      </c>
      <c r="G196" s="257" t="s">
        <v>371</v>
      </c>
      <c r="H196" s="68"/>
    </row>
    <row r="197" spans="1:24" ht="15.75" hidden="1" thickBot="1" x14ac:dyDescent="0.3">
      <c r="A197" s="746"/>
      <c r="C197" s="116" t="s">
        <v>174</v>
      </c>
      <c r="D197" s="117">
        <f t="shared" si="19"/>
        <v>45877</v>
      </c>
      <c r="E197" s="286" t="s">
        <v>167</v>
      </c>
      <c r="F197" s="249" t="s">
        <v>487</v>
      </c>
      <c r="G197" s="257" t="s">
        <v>371</v>
      </c>
      <c r="H197" s="68"/>
    </row>
    <row r="198" spans="1:24" ht="15.75" hidden="1" thickBot="1" x14ac:dyDescent="0.3">
      <c r="A198" s="746"/>
      <c r="C198" s="116" t="s">
        <v>174</v>
      </c>
      <c r="D198" s="117">
        <f t="shared" si="19"/>
        <v>45877</v>
      </c>
      <c r="E198" s="286" t="s">
        <v>168</v>
      </c>
      <c r="F198" s="249" t="s">
        <v>487</v>
      </c>
      <c r="G198" s="257" t="s">
        <v>371</v>
      </c>
      <c r="H198" s="68"/>
    </row>
    <row r="199" spans="1:24" ht="15.75" hidden="1" thickBot="1" x14ac:dyDescent="0.3">
      <c r="A199" s="746"/>
      <c r="C199" s="119" t="s">
        <v>174</v>
      </c>
      <c r="D199" s="120">
        <f t="shared" si="19"/>
        <v>45877</v>
      </c>
      <c r="E199" s="288" t="s">
        <v>169</v>
      </c>
      <c r="F199" s="250" t="s">
        <v>487</v>
      </c>
      <c r="G199" s="258" t="s">
        <v>371</v>
      </c>
      <c r="H199" s="68"/>
    </row>
    <row r="200" spans="1:24" ht="6" hidden="1" customHeight="1" thickBot="1" x14ac:dyDescent="0.3">
      <c r="A200" s="129" t="s">
        <v>310</v>
      </c>
      <c r="B200" s="111"/>
      <c r="H200" s="68"/>
      <c r="I200" s="111"/>
      <c r="J200" s="111"/>
      <c r="K200" s="111"/>
      <c r="L200" s="111"/>
      <c r="M200" s="111"/>
      <c r="N200" s="111"/>
      <c r="O200" s="111"/>
      <c r="P200" s="111"/>
      <c r="Q200" s="111"/>
      <c r="R200" s="111"/>
      <c r="S200" s="111"/>
    </row>
    <row r="201" spans="1:24" ht="15.75" hidden="1" thickBot="1" x14ac:dyDescent="0.3">
      <c r="A201" s="746" t="s">
        <v>533</v>
      </c>
      <c r="C201" s="112" t="s">
        <v>161</v>
      </c>
      <c r="D201" s="113">
        <f>D199+3</f>
        <v>45880</v>
      </c>
      <c r="E201" s="284" t="s">
        <v>162</v>
      </c>
      <c r="F201" s="248" t="s">
        <v>112</v>
      </c>
      <c r="G201" s="248" t="s">
        <v>371</v>
      </c>
      <c r="H201" s="149"/>
    </row>
    <row r="202" spans="1:24" ht="15.75" hidden="1" thickBot="1" x14ac:dyDescent="0.3">
      <c r="A202" s="746"/>
      <c r="C202" s="116" t="s">
        <v>161</v>
      </c>
      <c r="D202" s="117">
        <f t="shared" ref="D202:D209" si="20">D201</f>
        <v>45880</v>
      </c>
      <c r="E202" s="286" t="s">
        <v>163</v>
      </c>
      <c r="F202" s="249" t="s">
        <v>112</v>
      </c>
      <c r="G202" s="236" t="s">
        <v>371</v>
      </c>
      <c r="H202" s="147"/>
    </row>
    <row r="203" spans="1:24" ht="15.75" hidden="1" thickBot="1" x14ac:dyDescent="0.3">
      <c r="A203" s="746"/>
      <c r="C203" s="116" t="s">
        <v>161</v>
      </c>
      <c r="D203" s="117">
        <f t="shared" si="20"/>
        <v>45880</v>
      </c>
      <c r="E203" s="286" t="s">
        <v>164</v>
      </c>
      <c r="F203" s="249" t="s">
        <v>112</v>
      </c>
      <c r="G203" s="236" t="s">
        <v>371</v>
      </c>
      <c r="H203" s="147"/>
      <c r="W203" s="232"/>
      <c r="X203" s="232"/>
    </row>
    <row r="204" spans="1:24" ht="15.75" hidden="1" thickBot="1" x14ac:dyDescent="0.3">
      <c r="A204" s="746"/>
      <c r="C204" s="116" t="s">
        <v>161</v>
      </c>
      <c r="D204" s="117">
        <f t="shared" si="20"/>
        <v>45880</v>
      </c>
      <c r="E204" s="286" t="s">
        <v>165</v>
      </c>
      <c r="F204" s="249" t="s">
        <v>112</v>
      </c>
      <c r="G204" s="236" t="s">
        <v>371</v>
      </c>
      <c r="H204" s="147"/>
      <c r="W204" s="232"/>
    </row>
    <row r="205" spans="1:24" ht="15.75" hidden="1" thickBot="1" x14ac:dyDescent="0.3">
      <c r="A205" s="746"/>
      <c r="C205" s="116" t="s">
        <v>161</v>
      </c>
      <c r="D205" s="117">
        <f t="shared" si="20"/>
        <v>45880</v>
      </c>
      <c r="E205" s="286" t="s">
        <v>166</v>
      </c>
      <c r="F205" s="249" t="s">
        <v>112</v>
      </c>
      <c r="G205" s="236" t="s">
        <v>371</v>
      </c>
      <c r="H205" s="147"/>
    </row>
    <row r="206" spans="1:24" ht="15.75" hidden="1" thickBot="1" x14ac:dyDescent="0.3">
      <c r="A206" s="746"/>
      <c r="C206" s="116" t="s">
        <v>161</v>
      </c>
      <c r="D206" s="117">
        <f t="shared" si="20"/>
        <v>45880</v>
      </c>
      <c r="E206" s="286" t="s">
        <v>167</v>
      </c>
      <c r="F206" s="249" t="s">
        <v>548</v>
      </c>
      <c r="G206" s="236" t="s">
        <v>371</v>
      </c>
      <c r="H206" s="147"/>
    </row>
    <row r="207" spans="1:24" ht="15.75" hidden="1" thickBot="1" x14ac:dyDescent="0.3">
      <c r="A207" s="746"/>
      <c r="C207" s="116" t="s">
        <v>161</v>
      </c>
      <c r="D207" s="117">
        <f t="shared" si="20"/>
        <v>45880</v>
      </c>
      <c r="E207" s="286" t="s">
        <v>167</v>
      </c>
      <c r="F207" s="249" t="s">
        <v>548</v>
      </c>
      <c r="G207" s="236" t="s">
        <v>371</v>
      </c>
      <c r="H207" s="147"/>
    </row>
    <row r="208" spans="1:24" ht="15.75" hidden="1" thickBot="1" x14ac:dyDescent="0.3">
      <c r="A208" s="746"/>
      <c r="C208" s="116" t="s">
        <v>161</v>
      </c>
      <c r="D208" s="117">
        <f t="shared" si="20"/>
        <v>45880</v>
      </c>
      <c r="E208" s="286" t="s">
        <v>169</v>
      </c>
      <c r="F208" s="249" t="s">
        <v>548</v>
      </c>
      <c r="G208" s="236" t="s">
        <v>371</v>
      </c>
      <c r="H208" s="147"/>
    </row>
    <row r="209" spans="1:8" ht="15.75" hidden="1" thickBot="1" x14ac:dyDescent="0.3">
      <c r="A209" s="746"/>
      <c r="C209" s="119" t="s">
        <v>161</v>
      </c>
      <c r="D209" s="120">
        <f t="shared" si="20"/>
        <v>45880</v>
      </c>
      <c r="E209" s="288" t="s">
        <v>170</v>
      </c>
      <c r="F209" s="250" t="s">
        <v>548</v>
      </c>
      <c r="G209" s="237" t="s">
        <v>371</v>
      </c>
      <c r="H209" s="148"/>
    </row>
    <row r="210" spans="1:8" ht="6" hidden="1" customHeight="1" thickBot="1" x14ac:dyDescent="0.3">
      <c r="A210" s="746"/>
      <c r="H210" s="68"/>
    </row>
    <row r="211" spans="1:8" ht="15.75" hidden="1" thickBot="1" x14ac:dyDescent="0.3">
      <c r="A211" s="746"/>
      <c r="C211" s="290" t="s">
        <v>171</v>
      </c>
      <c r="D211" s="291">
        <f>D209+1</f>
        <v>45881</v>
      </c>
      <c r="E211" s="292" t="s">
        <v>162</v>
      </c>
      <c r="F211" s="322" t="s">
        <v>548</v>
      </c>
      <c r="G211" s="318" t="s">
        <v>371</v>
      </c>
      <c r="H211" s="150"/>
    </row>
    <row r="212" spans="1:8" ht="15.75" hidden="1" thickBot="1" x14ac:dyDescent="0.3">
      <c r="A212" s="746"/>
      <c r="C212" s="116" t="s">
        <v>171</v>
      </c>
      <c r="D212" s="117">
        <f t="shared" ref="D212:D219" si="21">D211</f>
        <v>45881</v>
      </c>
      <c r="E212" s="286" t="s">
        <v>163</v>
      </c>
      <c r="F212" s="323" t="s">
        <v>548</v>
      </c>
      <c r="G212" s="319" t="s">
        <v>371</v>
      </c>
      <c r="H212" s="151"/>
    </row>
    <row r="213" spans="1:8" ht="15.75" hidden="1" thickBot="1" x14ac:dyDescent="0.3">
      <c r="A213" s="746"/>
      <c r="C213" s="116" t="s">
        <v>171</v>
      </c>
      <c r="D213" s="117">
        <f t="shared" si="21"/>
        <v>45881</v>
      </c>
      <c r="E213" s="286" t="s">
        <v>164</v>
      </c>
      <c r="F213" s="323" t="s">
        <v>548</v>
      </c>
      <c r="G213" s="319" t="s">
        <v>371</v>
      </c>
      <c r="H213" s="151"/>
    </row>
    <row r="214" spans="1:8" ht="15.75" hidden="1" thickBot="1" x14ac:dyDescent="0.3">
      <c r="A214" s="746"/>
      <c r="C214" s="294" t="s">
        <v>171</v>
      </c>
      <c r="D214" s="295">
        <f t="shared" si="21"/>
        <v>45881</v>
      </c>
      <c r="E214" s="296" t="s">
        <v>165</v>
      </c>
      <c r="F214" s="324" t="s">
        <v>548</v>
      </c>
      <c r="G214" s="320" t="s">
        <v>371</v>
      </c>
      <c r="H214" s="151"/>
    </row>
    <row r="215" spans="1:8" ht="15.75" hidden="1" thickBot="1" x14ac:dyDescent="0.3">
      <c r="A215" s="746"/>
      <c r="C215" s="294" t="s">
        <v>171</v>
      </c>
      <c r="D215" s="295">
        <f t="shared" si="21"/>
        <v>45881</v>
      </c>
      <c r="E215" s="296" t="s">
        <v>166</v>
      </c>
      <c r="F215" s="324" t="s">
        <v>548</v>
      </c>
      <c r="G215" s="320" t="s">
        <v>371</v>
      </c>
      <c r="H215" s="151"/>
    </row>
    <row r="216" spans="1:8" ht="15.75" hidden="1" thickBot="1" x14ac:dyDescent="0.3">
      <c r="A216" s="746"/>
      <c r="C216" s="294" t="s">
        <v>171</v>
      </c>
      <c r="D216" s="295">
        <f t="shared" si="21"/>
        <v>45881</v>
      </c>
      <c r="E216" s="296" t="s">
        <v>167</v>
      </c>
      <c r="F216" s="324" t="s">
        <v>548</v>
      </c>
      <c r="G216" s="320" t="s">
        <v>371</v>
      </c>
      <c r="H216" s="151"/>
    </row>
    <row r="217" spans="1:8" ht="15.75" hidden="1" thickBot="1" x14ac:dyDescent="0.3">
      <c r="A217" s="746"/>
      <c r="C217" s="116" t="s">
        <v>171</v>
      </c>
      <c r="D217" s="117">
        <f t="shared" si="21"/>
        <v>45881</v>
      </c>
      <c r="E217" s="286" t="s">
        <v>168</v>
      </c>
      <c r="F217" s="323" t="s">
        <v>548</v>
      </c>
      <c r="G217" s="319" t="s">
        <v>371</v>
      </c>
      <c r="H217" s="151"/>
    </row>
    <row r="218" spans="1:8" ht="15.75" hidden="1" thickBot="1" x14ac:dyDescent="0.3">
      <c r="A218" s="746"/>
      <c r="C218" s="116" t="s">
        <v>171</v>
      </c>
      <c r="D218" s="117">
        <f t="shared" si="21"/>
        <v>45881</v>
      </c>
      <c r="E218" s="286" t="s">
        <v>169</v>
      </c>
      <c r="F218" s="323" t="s">
        <v>548</v>
      </c>
      <c r="G218" s="319" t="s">
        <v>371</v>
      </c>
      <c r="H218" s="151"/>
    </row>
    <row r="219" spans="1:8" ht="15.75" hidden="1" thickBot="1" x14ac:dyDescent="0.3">
      <c r="A219" s="746"/>
      <c r="C219" s="298" t="s">
        <v>171</v>
      </c>
      <c r="D219" s="299">
        <f t="shared" si="21"/>
        <v>45881</v>
      </c>
      <c r="E219" s="300" t="s">
        <v>170</v>
      </c>
      <c r="F219" s="325" t="s">
        <v>548</v>
      </c>
      <c r="G219" s="321" t="s">
        <v>371</v>
      </c>
      <c r="H219" s="152"/>
    </row>
    <row r="220" spans="1:8" ht="6" hidden="1" customHeight="1" thickBot="1" x14ac:dyDescent="0.3">
      <c r="A220" s="746"/>
      <c r="H220" s="68"/>
    </row>
    <row r="221" spans="1:8" ht="15.75" hidden="1" thickBot="1" x14ac:dyDescent="0.3">
      <c r="A221" s="746"/>
      <c r="C221" s="290" t="s">
        <v>172</v>
      </c>
      <c r="D221" s="291">
        <f>D219+1</f>
        <v>45882</v>
      </c>
      <c r="E221" s="292" t="s">
        <v>162</v>
      </c>
      <c r="F221" s="251" t="s">
        <v>431</v>
      </c>
      <c r="G221" s="326" t="s">
        <v>459</v>
      </c>
      <c r="H221" s="150"/>
    </row>
    <row r="222" spans="1:8" ht="15.75" hidden="1" thickBot="1" x14ac:dyDescent="0.3">
      <c r="A222" s="746"/>
      <c r="C222" s="116" t="s">
        <v>172</v>
      </c>
      <c r="D222" s="117">
        <f t="shared" ref="D222:D229" si="22">D221</f>
        <v>45882</v>
      </c>
      <c r="E222" s="286" t="s">
        <v>163</v>
      </c>
      <c r="F222" s="249" t="s">
        <v>431</v>
      </c>
      <c r="G222" s="327" t="s">
        <v>459</v>
      </c>
      <c r="H222" s="151"/>
    </row>
    <row r="223" spans="1:8" ht="15.75" hidden="1" thickBot="1" x14ac:dyDescent="0.3">
      <c r="A223" s="746"/>
      <c r="C223" s="116" t="s">
        <v>172</v>
      </c>
      <c r="D223" s="117">
        <f t="shared" si="22"/>
        <v>45882</v>
      </c>
      <c r="E223" s="286" t="s">
        <v>164</v>
      </c>
      <c r="F223" s="249" t="s">
        <v>431</v>
      </c>
      <c r="G223" s="327" t="s">
        <v>459</v>
      </c>
      <c r="H223" s="151"/>
    </row>
    <row r="224" spans="1:8" ht="15.75" hidden="1" thickBot="1" x14ac:dyDescent="0.3">
      <c r="A224" s="746"/>
      <c r="C224" s="294" t="s">
        <v>172</v>
      </c>
      <c r="D224" s="295">
        <f t="shared" si="22"/>
        <v>45882</v>
      </c>
      <c r="E224" s="296" t="s">
        <v>165</v>
      </c>
      <c r="F224" s="252" t="s">
        <v>431</v>
      </c>
      <c r="G224" s="328" t="s">
        <v>459</v>
      </c>
      <c r="H224" s="151"/>
    </row>
    <row r="225" spans="1:8" ht="15.75" hidden="1" thickBot="1" x14ac:dyDescent="0.3">
      <c r="A225" s="746"/>
      <c r="C225" s="294" t="s">
        <v>172</v>
      </c>
      <c r="D225" s="295">
        <f t="shared" si="22"/>
        <v>45882</v>
      </c>
      <c r="E225" s="296" t="s">
        <v>166</v>
      </c>
      <c r="F225" s="252" t="s">
        <v>431</v>
      </c>
      <c r="G225" s="328" t="s">
        <v>459</v>
      </c>
      <c r="H225" s="151"/>
    </row>
    <row r="226" spans="1:8" ht="15.75" hidden="1" thickBot="1" x14ac:dyDescent="0.3">
      <c r="A226" s="746"/>
      <c r="C226" s="294" t="s">
        <v>172</v>
      </c>
      <c r="D226" s="295">
        <f t="shared" si="22"/>
        <v>45882</v>
      </c>
      <c r="E226" s="296" t="s">
        <v>167</v>
      </c>
      <c r="F226" s="252" t="s">
        <v>431</v>
      </c>
      <c r="G226" s="328" t="s">
        <v>459</v>
      </c>
      <c r="H226" s="151"/>
    </row>
    <row r="227" spans="1:8" ht="15.75" hidden="1" thickBot="1" x14ac:dyDescent="0.3">
      <c r="A227" s="746"/>
      <c r="C227" s="116" t="s">
        <v>172</v>
      </c>
      <c r="D227" s="117">
        <f t="shared" si="22"/>
        <v>45882</v>
      </c>
      <c r="E227" s="286" t="s">
        <v>168</v>
      </c>
      <c r="F227" s="249" t="s">
        <v>431</v>
      </c>
      <c r="G227" s="327" t="s">
        <v>459</v>
      </c>
      <c r="H227" s="151"/>
    </row>
    <row r="228" spans="1:8" ht="15.75" hidden="1" thickBot="1" x14ac:dyDescent="0.3">
      <c r="A228" s="746"/>
      <c r="C228" s="116" t="s">
        <v>172</v>
      </c>
      <c r="D228" s="117">
        <f t="shared" si="22"/>
        <v>45882</v>
      </c>
      <c r="E228" s="286" t="s">
        <v>169</v>
      </c>
      <c r="F228" s="249" t="s">
        <v>431</v>
      </c>
      <c r="G228" s="327" t="s">
        <v>459</v>
      </c>
      <c r="H228" s="151"/>
    </row>
    <row r="229" spans="1:8" ht="15.75" hidden="1" thickBot="1" x14ac:dyDescent="0.3">
      <c r="A229" s="746"/>
      <c r="C229" s="298" t="s">
        <v>172</v>
      </c>
      <c r="D229" s="299">
        <f t="shared" si="22"/>
        <v>45882</v>
      </c>
      <c r="E229" s="300" t="s">
        <v>170</v>
      </c>
      <c r="F229" s="253" t="s">
        <v>431</v>
      </c>
      <c r="G229" s="329" t="s">
        <v>459</v>
      </c>
      <c r="H229" s="152"/>
    </row>
    <row r="230" spans="1:8" ht="6" hidden="1" customHeight="1" thickBot="1" x14ac:dyDescent="0.3">
      <c r="A230" s="746"/>
      <c r="H230" s="68"/>
    </row>
    <row r="231" spans="1:8" ht="15.75" hidden="1" thickBot="1" x14ac:dyDescent="0.3">
      <c r="A231" s="746"/>
      <c r="C231" s="290" t="s">
        <v>173</v>
      </c>
      <c r="D231" s="291">
        <f>D229+1</f>
        <v>45883</v>
      </c>
      <c r="E231" s="292" t="s">
        <v>162</v>
      </c>
      <c r="F231" s="251" t="s">
        <v>432</v>
      </c>
      <c r="G231" s="326" t="s">
        <v>459</v>
      </c>
      <c r="H231" s="150"/>
    </row>
    <row r="232" spans="1:8" ht="15.75" hidden="1" thickBot="1" x14ac:dyDescent="0.3">
      <c r="A232" s="746"/>
      <c r="C232" s="116" t="s">
        <v>173</v>
      </c>
      <c r="D232" s="117">
        <f t="shared" ref="D232:D239" si="23">D231</f>
        <v>45883</v>
      </c>
      <c r="E232" s="286" t="s">
        <v>163</v>
      </c>
      <c r="F232" s="249" t="s">
        <v>432</v>
      </c>
      <c r="G232" s="327" t="s">
        <v>459</v>
      </c>
      <c r="H232" s="151"/>
    </row>
    <row r="233" spans="1:8" ht="15.75" hidden="1" thickBot="1" x14ac:dyDescent="0.3">
      <c r="A233" s="746"/>
      <c r="C233" s="116" t="s">
        <v>173</v>
      </c>
      <c r="D233" s="117">
        <f t="shared" si="23"/>
        <v>45883</v>
      </c>
      <c r="E233" s="286" t="s">
        <v>164</v>
      </c>
      <c r="F233" s="249" t="s">
        <v>432</v>
      </c>
      <c r="G233" s="327" t="s">
        <v>459</v>
      </c>
      <c r="H233" s="151"/>
    </row>
    <row r="234" spans="1:8" ht="15.75" hidden="1" thickBot="1" x14ac:dyDescent="0.3">
      <c r="A234" s="746"/>
      <c r="C234" s="294" t="s">
        <v>173</v>
      </c>
      <c r="D234" s="295">
        <f t="shared" si="23"/>
        <v>45883</v>
      </c>
      <c r="E234" s="296" t="s">
        <v>165</v>
      </c>
      <c r="F234" s="252" t="s">
        <v>432</v>
      </c>
      <c r="G234" s="328" t="s">
        <v>459</v>
      </c>
      <c r="H234" s="151"/>
    </row>
    <row r="235" spans="1:8" ht="15.75" hidden="1" thickBot="1" x14ac:dyDescent="0.3">
      <c r="A235" s="746"/>
      <c r="C235" s="294" t="s">
        <v>173</v>
      </c>
      <c r="D235" s="295">
        <f t="shared" si="23"/>
        <v>45883</v>
      </c>
      <c r="E235" s="296" t="s">
        <v>166</v>
      </c>
      <c r="F235" s="252" t="s">
        <v>432</v>
      </c>
      <c r="G235" s="328" t="s">
        <v>459</v>
      </c>
      <c r="H235" s="151"/>
    </row>
    <row r="236" spans="1:8" ht="15.75" hidden="1" thickBot="1" x14ac:dyDescent="0.3">
      <c r="A236" s="746"/>
      <c r="C236" s="294" t="s">
        <v>173</v>
      </c>
      <c r="D236" s="295">
        <f t="shared" si="23"/>
        <v>45883</v>
      </c>
      <c r="E236" s="296" t="s">
        <v>167</v>
      </c>
      <c r="F236" s="252" t="s">
        <v>432</v>
      </c>
      <c r="G236" s="328" t="s">
        <v>459</v>
      </c>
      <c r="H236" s="151"/>
    </row>
    <row r="237" spans="1:8" ht="15.75" hidden="1" thickBot="1" x14ac:dyDescent="0.3">
      <c r="A237" s="746"/>
      <c r="C237" s="116" t="s">
        <v>173</v>
      </c>
      <c r="D237" s="117">
        <f t="shared" si="23"/>
        <v>45883</v>
      </c>
      <c r="E237" s="286" t="s">
        <v>168</v>
      </c>
      <c r="F237" s="249" t="s">
        <v>432</v>
      </c>
      <c r="G237" s="327" t="s">
        <v>459</v>
      </c>
      <c r="H237" s="151"/>
    </row>
    <row r="238" spans="1:8" ht="15.75" hidden="1" thickBot="1" x14ac:dyDescent="0.3">
      <c r="A238" s="746"/>
      <c r="C238" s="116" t="s">
        <v>173</v>
      </c>
      <c r="D238" s="117">
        <f t="shared" si="23"/>
        <v>45883</v>
      </c>
      <c r="E238" s="286" t="s">
        <v>169</v>
      </c>
      <c r="F238" s="249" t="s">
        <v>432</v>
      </c>
      <c r="G238" s="327" t="s">
        <v>459</v>
      </c>
      <c r="H238" s="151"/>
    </row>
    <row r="239" spans="1:8" ht="15.75" hidden="1" thickBot="1" x14ac:dyDescent="0.3">
      <c r="A239" s="746"/>
      <c r="C239" s="298" t="s">
        <v>173</v>
      </c>
      <c r="D239" s="299">
        <f t="shared" si="23"/>
        <v>45883</v>
      </c>
      <c r="E239" s="300" t="s">
        <v>170</v>
      </c>
      <c r="F239" s="253" t="s">
        <v>432</v>
      </c>
      <c r="G239" s="329" t="s">
        <v>459</v>
      </c>
      <c r="H239" s="152"/>
    </row>
    <row r="240" spans="1:8" ht="6" hidden="1" customHeight="1" thickBot="1" x14ac:dyDescent="0.3">
      <c r="A240" s="746"/>
      <c r="H240" s="68"/>
    </row>
    <row r="241" spans="1:8" ht="15.75" hidden="1" thickBot="1" x14ac:dyDescent="0.3">
      <c r="A241" s="746"/>
      <c r="C241" s="290" t="s">
        <v>174</v>
      </c>
      <c r="D241" s="291">
        <f>D239+1</f>
        <v>45884</v>
      </c>
      <c r="E241" s="292" t="s">
        <v>162</v>
      </c>
      <c r="F241" s="315" t="s">
        <v>444</v>
      </c>
      <c r="G241" s="331" t="s">
        <v>459</v>
      </c>
      <c r="H241" s="150"/>
    </row>
    <row r="242" spans="1:8" ht="15.75" hidden="1" thickBot="1" x14ac:dyDescent="0.3">
      <c r="A242" s="746"/>
      <c r="C242" s="116" t="s">
        <v>174</v>
      </c>
      <c r="D242" s="117">
        <f>D241</f>
        <v>45884</v>
      </c>
      <c r="E242" s="286" t="s">
        <v>163</v>
      </c>
      <c r="F242" s="249" t="s">
        <v>444</v>
      </c>
      <c r="G242" s="327" t="s">
        <v>459</v>
      </c>
      <c r="H242" s="151"/>
    </row>
    <row r="243" spans="1:8" ht="15.75" hidden="1" thickBot="1" x14ac:dyDescent="0.3">
      <c r="A243" s="746"/>
      <c r="C243" s="294" t="s">
        <v>174</v>
      </c>
      <c r="D243" s="295">
        <f>D242</f>
        <v>45884</v>
      </c>
      <c r="E243" s="296" t="s">
        <v>164</v>
      </c>
      <c r="F243" s="252" t="s">
        <v>444</v>
      </c>
      <c r="G243" s="328" t="s">
        <v>459</v>
      </c>
      <c r="H243" s="151"/>
    </row>
    <row r="244" spans="1:8" ht="15.75" hidden="1" thickBot="1" x14ac:dyDescent="0.3">
      <c r="A244" s="746"/>
      <c r="C244" s="294" t="s">
        <v>174</v>
      </c>
      <c r="D244" s="295">
        <f>D243</f>
        <v>45884</v>
      </c>
      <c r="E244" s="296" t="s">
        <v>165</v>
      </c>
      <c r="F244" s="252" t="s">
        <v>444</v>
      </c>
      <c r="G244" s="328" t="s">
        <v>459</v>
      </c>
      <c r="H244" s="151"/>
    </row>
    <row r="245" spans="1:8" ht="15.75" hidden="1" thickBot="1" x14ac:dyDescent="0.3">
      <c r="A245" s="746"/>
      <c r="C245" s="116" t="s">
        <v>174</v>
      </c>
      <c r="D245" s="117">
        <f t="shared" ref="D245:D248" si="24">D244</f>
        <v>45884</v>
      </c>
      <c r="E245" s="286" t="s">
        <v>166</v>
      </c>
      <c r="F245" s="249" t="s">
        <v>444</v>
      </c>
      <c r="G245" s="327" t="s">
        <v>459</v>
      </c>
      <c r="H245" s="151"/>
    </row>
    <row r="246" spans="1:8" ht="15.75" hidden="1" thickBot="1" x14ac:dyDescent="0.3">
      <c r="A246" s="746"/>
      <c r="C246" s="116" t="s">
        <v>174</v>
      </c>
      <c r="D246" s="117">
        <f t="shared" si="24"/>
        <v>45884</v>
      </c>
      <c r="E246" s="286" t="s">
        <v>167</v>
      </c>
      <c r="F246" s="249" t="s">
        <v>444</v>
      </c>
      <c r="G246" s="327" t="s">
        <v>459</v>
      </c>
      <c r="H246" s="151"/>
    </row>
    <row r="247" spans="1:8" ht="15.75" hidden="1" thickBot="1" x14ac:dyDescent="0.3">
      <c r="A247" s="746"/>
      <c r="C247" s="116" t="s">
        <v>174</v>
      </c>
      <c r="D247" s="117">
        <f t="shared" si="24"/>
        <v>45884</v>
      </c>
      <c r="E247" s="286" t="s">
        <v>168</v>
      </c>
      <c r="F247" s="249" t="s">
        <v>444</v>
      </c>
      <c r="G247" s="327" t="s">
        <v>459</v>
      </c>
      <c r="H247" s="151"/>
    </row>
    <row r="248" spans="1:8" ht="15.75" hidden="1" thickBot="1" x14ac:dyDescent="0.3">
      <c r="A248" s="746"/>
      <c r="C248" s="119" t="s">
        <v>174</v>
      </c>
      <c r="D248" s="120">
        <f t="shared" si="24"/>
        <v>45884</v>
      </c>
      <c r="E248" s="288" t="s">
        <v>169</v>
      </c>
      <c r="F248" s="250" t="s">
        <v>444</v>
      </c>
      <c r="G248" s="332"/>
      <c r="H248" s="152"/>
    </row>
    <row r="249" spans="1:8" ht="6" hidden="1" customHeight="1" thickBot="1" x14ac:dyDescent="0.3">
      <c r="A249"/>
      <c r="F249" s="111"/>
      <c r="G249" s="111"/>
    </row>
    <row r="250" spans="1:8" ht="15" hidden="1" customHeight="1" x14ac:dyDescent="0.25">
      <c r="A250" s="747" t="s">
        <v>535</v>
      </c>
      <c r="C250" s="112" t="s">
        <v>161</v>
      </c>
      <c r="D250" s="113">
        <f>D248+3</f>
        <v>45887</v>
      </c>
      <c r="E250" s="284" t="s">
        <v>162</v>
      </c>
      <c r="F250" s="248" t="s">
        <v>444</v>
      </c>
      <c r="G250" s="242" t="s">
        <v>459</v>
      </c>
      <c r="H250" s="155"/>
    </row>
    <row r="251" spans="1:8" ht="15.75" hidden="1" thickBot="1" x14ac:dyDescent="0.3">
      <c r="A251" s="747"/>
      <c r="C251" s="116" t="s">
        <v>161</v>
      </c>
      <c r="D251" s="117">
        <f t="shared" ref="D251:D258" si="25">D250</f>
        <v>45887</v>
      </c>
      <c r="E251" s="286" t="s">
        <v>163</v>
      </c>
      <c r="F251" s="249" t="s">
        <v>444</v>
      </c>
      <c r="G251" s="257" t="s">
        <v>459</v>
      </c>
      <c r="H251" s="156"/>
    </row>
    <row r="252" spans="1:8" ht="15.75" hidden="1" thickBot="1" x14ac:dyDescent="0.3">
      <c r="A252" s="747"/>
      <c r="C252" s="116" t="s">
        <v>161</v>
      </c>
      <c r="D252" s="117">
        <f t="shared" si="25"/>
        <v>45887</v>
      </c>
      <c r="E252" s="286" t="s">
        <v>164</v>
      </c>
      <c r="F252" s="249" t="s">
        <v>444</v>
      </c>
      <c r="G252" s="257" t="s">
        <v>459</v>
      </c>
      <c r="H252" s="156"/>
    </row>
    <row r="253" spans="1:8" ht="15.75" hidden="1" thickBot="1" x14ac:dyDescent="0.3">
      <c r="A253" s="747"/>
      <c r="C253" s="116" t="s">
        <v>161</v>
      </c>
      <c r="D253" s="117">
        <f t="shared" si="25"/>
        <v>45887</v>
      </c>
      <c r="E253" s="286" t="s">
        <v>165</v>
      </c>
      <c r="F253" s="249" t="s">
        <v>444</v>
      </c>
      <c r="G253" s="257" t="s">
        <v>459</v>
      </c>
      <c r="H253" s="156"/>
    </row>
    <row r="254" spans="1:8" ht="15.75" hidden="1" thickBot="1" x14ac:dyDescent="0.3">
      <c r="A254" s="747"/>
      <c r="C254" s="116" t="s">
        <v>161</v>
      </c>
      <c r="D254" s="117">
        <f t="shared" si="25"/>
        <v>45887</v>
      </c>
      <c r="E254" s="286" t="s">
        <v>166</v>
      </c>
      <c r="F254" s="249" t="s">
        <v>444</v>
      </c>
      <c r="G254" s="257" t="s">
        <v>459</v>
      </c>
      <c r="H254" s="156"/>
    </row>
    <row r="255" spans="1:8" ht="15.75" hidden="1" thickBot="1" x14ac:dyDescent="0.3">
      <c r="A255" s="747"/>
      <c r="C255" s="116" t="s">
        <v>161</v>
      </c>
      <c r="D255" s="117">
        <f t="shared" si="25"/>
        <v>45887</v>
      </c>
      <c r="E255" s="286" t="s">
        <v>167</v>
      </c>
      <c r="F255" s="249" t="s">
        <v>445</v>
      </c>
      <c r="G255" s="257" t="s">
        <v>459</v>
      </c>
      <c r="H255" s="156"/>
    </row>
    <row r="256" spans="1:8" ht="15.75" hidden="1" thickBot="1" x14ac:dyDescent="0.3">
      <c r="A256" s="747"/>
      <c r="C256" s="116" t="s">
        <v>161</v>
      </c>
      <c r="D256" s="117">
        <f t="shared" si="25"/>
        <v>45887</v>
      </c>
      <c r="E256" s="286" t="s">
        <v>167</v>
      </c>
      <c r="F256" s="249" t="s">
        <v>445</v>
      </c>
      <c r="G256" s="257" t="s">
        <v>459</v>
      </c>
      <c r="H256" s="156"/>
    </row>
    <row r="257" spans="1:8" ht="15.75" hidden="1" thickBot="1" x14ac:dyDescent="0.3">
      <c r="A257" s="747"/>
      <c r="C257" s="116" t="s">
        <v>161</v>
      </c>
      <c r="D257" s="117">
        <f t="shared" si="25"/>
        <v>45887</v>
      </c>
      <c r="E257" s="286" t="s">
        <v>169</v>
      </c>
      <c r="F257" s="249" t="s">
        <v>445</v>
      </c>
      <c r="G257" s="257" t="s">
        <v>459</v>
      </c>
      <c r="H257" s="156"/>
    </row>
    <row r="258" spans="1:8" ht="15.75" hidden="1" thickBot="1" x14ac:dyDescent="0.3">
      <c r="A258" s="747"/>
      <c r="C258" s="119" t="s">
        <v>161</v>
      </c>
      <c r="D258" s="120">
        <f t="shared" si="25"/>
        <v>45887</v>
      </c>
      <c r="E258" s="288" t="s">
        <v>170</v>
      </c>
      <c r="F258" s="250" t="s">
        <v>445</v>
      </c>
      <c r="G258" s="258" t="s">
        <v>459</v>
      </c>
      <c r="H258" s="157"/>
    </row>
    <row r="259" spans="1:8" ht="6" hidden="1" customHeight="1" thickBot="1" x14ac:dyDescent="0.3">
      <c r="A259" s="747"/>
      <c r="H259" s="68"/>
    </row>
    <row r="260" spans="1:8" ht="15.75" hidden="1" thickBot="1" x14ac:dyDescent="0.3">
      <c r="A260" s="747"/>
      <c r="C260" s="290" t="s">
        <v>171</v>
      </c>
      <c r="D260" s="291">
        <f>D258+1</f>
        <v>45888</v>
      </c>
      <c r="E260" s="292" t="s">
        <v>162</v>
      </c>
      <c r="F260" s="386" t="s">
        <v>445</v>
      </c>
      <c r="G260" s="261" t="s">
        <v>459</v>
      </c>
      <c r="H260" s="155"/>
    </row>
    <row r="261" spans="1:8" ht="15.75" hidden="1" thickBot="1" x14ac:dyDescent="0.3">
      <c r="A261" s="747"/>
      <c r="C261" s="116" t="s">
        <v>171</v>
      </c>
      <c r="D261" s="117">
        <f t="shared" ref="D261:D268" si="26">D260</f>
        <v>45888</v>
      </c>
      <c r="E261" s="286" t="s">
        <v>163</v>
      </c>
      <c r="F261" s="249" t="s">
        <v>445</v>
      </c>
      <c r="G261" s="257" t="s">
        <v>459</v>
      </c>
      <c r="H261" s="156"/>
    </row>
    <row r="262" spans="1:8" ht="15.75" hidden="1" thickBot="1" x14ac:dyDescent="0.3">
      <c r="A262" s="747"/>
      <c r="C262" s="116" t="s">
        <v>171</v>
      </c>
      <c r="D262" s="117">
        <f t="shared" si="26"/>
        <v>45888</v>
      </c>
      <c r="E262" s="286" t="s">
        <v>164</v>
      </c>
      <c r="F262" s="249" t="s">
        <v>445</v>
      </c>
      <c r="G262" s="257" t="s">
        <v>459</v>
      </c>
      <c r="H262" s="156"/>
    </row>
    <row r="263" spans="1:8" ht="15.75" hidden="1" thickBot="1" x14ac:dyDescent="0.3">
      <c r="A263" s="747"/>
      <c r="C263" s="294" t="s">
        <v>171</v>
      </c>
      <c r="D263" s="295">
        <f t="shared" si="26"/>
        <v>45888</v>
      </c>
      <c r="E263" s="296" t="s">
        <v>165</v>
      </c>
      <c r="F263" s="252" t="s">
        <v>445</v>
      </c>
      <c r="G263" s="259" t="s">
        <v>459</v>
      </c>
      <c r="H263" s="156"/>
    </row>
    <row r="264" spans="1:8" ht="15.75" hidden="1" thickBot="1" x14ac:dyDescent="0.3">
      <c r="A264" s="747"/>
      <c r="C264" s="294" t="s">
        <v>171</v>
      </c>
      <c r="D264" s="295">
        <f t="shared" si="26"/>
        <v>45888</v>
      </c>
      <c r="E264" s="296" t="s">
        <v>166</v>
      </c>
      <c r="F264" s="252" t="s">
        <v>445</v>
      </c>
      <c r="G264" s="259" t="s">
        <v>459</v>
      </c>
      <c r="H264" s="156"/>
    </row>
    <row r="265" spans="1:8" ht="15.75" hidden="1" thickBot="1" x14ac:dyDescent="0.3">
      <c r="A265" s="747"/>
      <c r="C265" s="294" t="s">
        <v>171</v>
      </c>
      <c r="D265" s="295">
        <f t="shared" si="26"/>
        <v>45888</v>
      </c>
      <c r="E265" s="296" t="s">
        <v>167</v>
      </c>
      <c r="F265" s="252" t="s">
        <v>445</v>
      </c>
      <c r="G265" s="259" t="s">
        <v>459</v>
      </c>
      <c r="H265" s="156"/>
    </row>
    <row r="266" spans="1:8" ht="15.75" hidden="1" thickBot="1" x14ac:dyDescent="0.3">
      <c r="A266" s="747"/>
      <c r="C266" s="116" t="s">
        <v>171</v>
      </c>
      <c r="D266" s="117">
        <f t="shared" si="26"/>
        <v>45888</v>
      </c>
      <c r="E266" s="286" t="s">
        <v>168</v>
      </c>
      <c r="F266" s="249" t="s">
        <v>445</v>
      </c>
      <c r="G266" s="257" t="s">
        <v>459</v>
      </c>
      <c r="H266" s="156"/>
    </row>
    <row r="267" spans="1:8" ht="15.75" hidden="1" thickBot="1" x14ac:dyDescent="0.3">
      <c r="A267" s="747"/>
      <c r="C267" s="116" t="s">
        <v>171</v>
      </c>
      <c r="D267" s="117">
        <f t="shared" si="26"/>
        <v>45888</v>
      </c>
      <c r="E267" s="286" t="s">
        <v>169</v>
      </c>
      <c r="F267" s="249" t="s">
        <v>446</v>
      </c>
      <c r="G267" s="257" t="s">
        <v>459</v>
      </c>
      <c r="H267" s="156"/>
    </row>
    <row r="268" spans="1:8" ht="15.75" hidden="1" thickBot="1" x14ac:dyDescent="0.3">
      <c r="A268" s="747"/>
      <c r="C268" s="298" t="s">
        <v>171</v>
      </c>
      <c r="D268" s="299">
        <f t="shared" si="26"/>
        <v>45888</v>
      </c>
      <c r="E268" s="300" t="s">
        <v>170</v>
      </c>
      <c r="F268" s="253" t="s">
        <v>446</v>
      </c>
      <c r="G268" s="260" t="s">
        <v>459</v>
      </c>
      <c r="H268" s="157"/>
    </row>
    <row r="269" spans="1:8" ht="6" hidden="1" customHeight="1" thickBot="1" x14ac:dyDescent="0.3">
      <c r="A269" s="747"/>
      <c r="H269" s="68"/>
    </row>
    <row r="270" spans="1:8" ht="15" hidden="1" customHeight="1" x14ac:dyDescent="0.25">
      <c r="A270" s="747"/>
      <c r="B270" s="346"/>
      <c r="C270" s="347" t="s">
        <v>172</v>
      </c>
      <c r="D270" s="348">
        <f>D267+1</f>
        <v>45889</v>
      </c>
      <c r="E270" s="349" t="s">
        <v>573</v>
      </c>
      <c r="F270" s="350" t="s">
        <v>446</v>
      </c>
      <c r="G270" s="351" t="s">
        <v>145</v>
      </c>
    </row>
    <row r="271" spans="1:8" ht="15.75" hidden="1" thickBot="1" x14ac:dyDescent="0.3">
      <c r="A271" s="747"/>
      <c r="B271" s="346"/>
      <c r="C271" s="333" t="s">
        <v>172</v>
      </c>
      <c r="D271" s="334">
        <f>D268+1</f>
        <v>45889</v>
      </c>
      <c r="E271" s="335" t="s">
        <v>162</v>
      </c>
      <c r="F271" s="336" t="s">
        <v>443</v>
      </c>
      <c r="G271" s="385" t="s">
        <v>459</v>
      </c>
    </row>
    <row r="272" spans="1:8" ht="15.75" hidden="1" thickBot="1" x14ac:dyDescent="0.3">
      <c r="A272" s="747"/>
      <c r="B272" s="346"/>
      <c r="C272" s="116" t="s">
        <v>172</v>
      </c>
      <c r="D272" s="117">
        <f t="shared" ref="D272:D275" si="27">D271</f>
        <v>45889</v>
      </c>
      <c r="E272" s="286" t="s">
        <v>163</v>
      </c>
      <c r="F272" s="249" t="s">
        <v>443</v>
      </c>
      <c r="G272" s="257" t="s">
        <v>459</v>
      </c>
    </row>
    <row r="273" spans="1:7" ht="15.75" hidden="1" thickBot="1" x14ac:dyDescent="0.3">
      <c r="A273" s="747"/>
      <c r="B273" s="346"/>
      <c r="C273" s="116" t="s">
        <v>172</v>
      </c>
      <c r="D273" s="117">
        <f t="shared" si="27"/>
        <v>45889</v>
      </c>
      <c r="E273" s="286" t="s">
        <v>164</v>
      </c>
      <c r="F273" s="249" t="s">
        <v>443</v>
      </c>
      <c r="G273" s="257" t="s">
        <v>459</v>
      </c>
    </row>
    <row r="274" spans="1:7" ht="15.75" hidden="1" thickBot="1" x14ac:dyDescent="0.3">
      <c r="A274" s="747"/>
      <c r="B274" s="346"/>
      <c r="C274" s="294" t="s">
        <v>172</v>
      </c>
      <c r="D274" s="295">
        <f t="shared" si="27"/>
        <v>45889</v>
      </c>
      <c r="E274" s="296" t="s">
        <v>165</v>
      </c>
      <c r="F274" s="252" t="s">
        <v>443</v>
      </c>
      <c r="G274" s="259" t="s">
        <v>459</v>
      </c>
    </row>
    <row r="275" spans="1:7" ht="15.75" hidden="1" thickBot="1" x14ac:dyDescent="0.3">
      <c r="A275" s="747"/>
      <c r="B275" s="346"/>
      <c r="C275" s="294" t="s">
        <v>172</v>
      </c>
      <c r="D275" s="295">
        <f t="shared" si="27"/>
        <v>45889</v>
      </c>
      <c r="E275" s="296" t="s">
        <v>166</v>
      </c>
      <c r="F275" s="252" t="s">
        <v>443</v>
      </c>
      <c r="G275" s="259" t="s">
        <v>459</v>
      </c>
    </row>
    <row r="276" spans="1:7" ht="15.75" hidden="1" thickBot="1" x14ac:dyDescent="0.3">
      <c r="A276" s="747"/>
      <c r="B276" s="346"/>
      <c r="C276" s="294" t="s">
        <v>172</v>
      </c>
      <c r="D276" s="295">
        <f>D275</f>
        <v>45889</v>
      </c>
      <c r="E276" s="296" t="s">
        <v>576</v>
      </c>
      <c r="F276" s="252" t="s">
        <v>443</v>
      </c>
      <c r="G276" s="384" t="s">
        <v>145</v>
      </c>
    </row>
    <row r="277" spans="1:7" ht="15.75" hidden="1" thickBot="1" x14ac:dyDescent="0.3">
      <c r="A277" s="747"/>
      <c r="B277" s="346"/>
      <c r="C277" s="341" t="s">
        <v>172</v>
      </c>
      <c r="D277" s="342">
        <f>D274</f>
        <v>45889</v>
      </c>
      <c r="E277" s="343" t="s">
        <v>167</v>
      </c>
      <c r="F277" s="387" t="s">
        <v>427</v>
      </c>
      <c r="G277" s="384" t="s">
        <v>459</v>
      </c>
    </row>
    <row r="278" spans="1:7" ht="15.75" hidden="1" thickBot="1" x14ac:dyDescent="0.3">
      <c r="A278" s="747"/>
      <c r="B278" s="346"/>
      <c r="C278" s="341" t="s">
        <v>172</v>
      </c>
      <c r="D278" s="342">
        <f>D274</f>
        <v>45889</v>
      </c>
      <c r="E278" s="343" t="s">
        <v>168</v>
      </c>
      <c r="F278" s="387" t="s">
        <v>427</v>
      </c>
      <c r="G278" s="384" t="s">
        <v>459</v>
      </c>
    </row>
    <row r="279" spans="1:7" ht="15.75" hidden="1" thickBot="1" x14ac:dyDescent="0.3">
      <c r="A279" s="747"/>
      <c r="B279" s="346"/>
      <c r="C279" s="341" t="s">
        <v>172</v>
      </c>
      <c r="D279" s="342">
        <f>D274</f>
        <v>45889</v>
      </c>
      <c r="E279" s="343" t="s">
        <v>169</v>
      </c>
      <c r="F279" s="387" t="s">
        <v>427</v>
      </c>
      <c r="G279" s="384" t="s">
        <v>459</v>
      </c>
    </row>
    <row r="280" spans="1:7" ht="15.75" hidden="1" thickBot="1" x14ac:dyDescent="0.3">
      <c r="A280" s="747"/>
      <c r="B280" s="346"/>
      <c r="C280" s="294" t="s">
        <v>172</v>
      </c>
      <c r="D280" s="295">
        <f>D275</f>
        <v>45889</v>
      </c>
      <c r="E280" s="343" t="s">
        <v>170</v>
      </c>
      <c r="F280" s="252" t="s">
        <v>427</v>
      </c>
      <c r="G280" s="259" t="s">
        <v>459</v>
      </c>
    </row>
    <row r="281" spans="1:7" ht="15.75" hidden="1" thickBot="1" x14ac:dyDescent="0.3">
      <c r="A281" s="747"/>
      <c r="B281" s="346"/>
      <c r="C281" s="352" t="s">
        <v>172</v>
      </c>
      <c r="D281" s="363">
        <f>D276</f>
        <v>45889</v>
      </c>
      <c r="E281" s="353" t="s">
        <v>574</v>
      </c>
      <c r="F281" s="365"/>
      <c r="G281" s="345" t="s">
        <v>145</v>
      </c>
    </row>
    <row r="282" spans="1:7" ht="15.75" hidden="1" thickBot="1" x14ac:dyDescent="0.3">
      <c r="A282" s="747"/>
      <c r="B282" s="346"/>
      <c r="C282" s="354" t="s">
        <v>172</v>
      </c>
      <c r="D282" s="368">
        <f>D277</f>
        <v>45889</v>
      </c>
      <c r="E282" s="355" t="s">
        <v>575</v>
      </c>
      <c r="F282" s="369"/>
      <c r="G282" s="356" t="s">
        <v>145</v>
      </c>
    </row>
    <row r="283" spans="1:7" ht="6" hidden="1" customHeight="1" thickBot="1" x14ac:dyDescent="0.3">
      <c r="A283" s="747"/>
      <c r="C283"/>
      <c r="D283"/>
      <c r="E283"/>
      <c r="F283"/>
      <c r="G283"/>
    </row>
    <row r="284" spans="1:7" ht="15.75" hidden="1" thickBot="1" x14ac:dyDescent="0.3">
      <c r="A284" s="747"/>
      <c r="B284" s="346"/>
      <c r="C284" s="357" t="s">
        <v>173</v>
      </c>
      <c r="D284" s="358">
        <f>D282+1</f>
        <v>45890</v>
      </c>
      <c r="E284" s="359" t="s">
        <v>573</v>
      </c>
      <c r="F284" s="360" t="s">
        <v>427</v>
      </c>
      <c r="G284" s="345" t="s">
        <v>145</v>
      </c>
    </row>
    <row r="285" spans="1:7" ht="15.75" hidden="1" thickBot="1" x14ac:dyDescent="0.3">
      <c r="A285" s="747"/>
      <c r="B285" s="346"/>
      <c r="C285" s="341" t="s">
        <v>173</v>
      </c>
      <c r="D285" s="342">
        <f t="shared" ref="D285:D296" si="28">D284</f>
        <v>45890</v>
      </c>
      <c r="E285" s="343" t="s">
        <v>162</v>
      </c>
      <c r="F285" s="387" t="s">
        <v>427</v>
      </c>
      <c r="G285" s="384" t="s">
        <v>459</v>
      </c>
    </row>
    <row r="286" spans="1:7" ht="15.75" hidden="1" thickBot="1" x14ac:dyDescent="0.3">
      <c r="A286" s="747"/>
      <c r="B286" s="346"/>
      <c r="C286" s="116" t="s">
        <v>173</v>
      </c>
      <c r="D286" s="117">
        <f t="shared" si="28"/>
        <v>45890</v>
      </c>
      <c r="E286" s="286" t="s">
        <v>163</v>
      </c>
      <c r="F286" s="249" t="s">
        <v>427</v>
      </c>
      <c r="G286" s="257" t="s">
        <v>459</v>
      </c>
    </row>
    <row r="287" spans="1:7" ht="15.75" hidden="1" thickBot="1" x14ac:dyDescent="0.3">
      <c r="A287" s="747"/>
      <c r="B287" s="346"/>
      <c r="C287" s="116" t="s">
        <v>173</v>
      </c>
      <c r="D287" s="117">
        <f t="shared" si="28"/>
        <v>45890</v>
      </c>
      <c r="E287" s="286" t="s">
        <v>164</v>
      </c>
      <c r="F287" s="249" t="s">
        <v>427</v>
      </c>
      <c r="G287" s="257" t="s">
        <v>459</v>
      </c>
    </row>
    <row r="288" spans="1:7" ht="15.75" hidden="1" thickBot="1" x14ac:dyDescent="0.3">
      <c r="A288" s="747"/>
      <c r="B288" s="346"/>
      <c r="C288" s="294" t="s">
        <v>173</v>
      </c>
      <c r="D288" s="342">
        <f t="shared" si="28"/>
        <v>45890</v>
      </c>
      <c r="E288" s="296" t="s">
        <v>165</v>
      </c>
      <c r="F288" s="252" t="s">
        <v>427</v>
      </c>
      <c r="G288" s="259" t="s">
        <v>459</v>
      </c>
    </row>
    <row r="289" spans="1:7" ht="15.75" hidden="1" thickBot="1" x14ac:dyDescent="0.3">
      <c r="A289" s="747"/>
      <c r="B289" s="346"/>
      <c r="C289" s="294" t="s">
        <v>173</v>
      </c>
      <c r="D289" s="342">
        <f t="shared" si="28"/>
        <v>45890</v>
      </c>
      <c r="E289" s="296" t="s">
        <v>166</v>
      </c>
      <c r="F289" s="252" t="s">
        <v>427</v>
      </c>
      <c r="G289" s="259" t="s">
        <v>459</v>
      </c>
    </row>
    <row r="290" spans="1:7" ht="15.75" hidden="1" thickBot="1" x14ac:dyDescent="0.3">
      <c r="A290" s="747"/>
      <c r="B290" s="346"/>
      <c r="C290" s="294" t="s">
        <v>173</v>
      </c>
      <c r="D290" s="342">
        <f t="shared" si="28"/>
        <v>45890</v>
      </c>
      <c r="E290" s="296" t="s">
        <v>576</v>
      </c>
      <c r="F290" s="388" t="s">
        <v>427</v>
      </c>
      <c r="G290" s="317" t="s">
        <v>145</v>
      </c>
    </row>
    <row r="291" spans="1:7" ht="15.75" hidden="1" thickBot="1" x14ac:dyDescent="0.3">
      <c r="A291" s="747"/>
      <c r="B291" s="346"/>
      <c r="C291" s="294" t="s">
        <v>173</v>
      </c>
      <c r="D291" s="342">
        <f t="shared" si="28"/>
        <v>45890</v>
      </c>
      <c r="E291" s="296" t="s">
        <v>167</v>
      </c>
      <c r="F291" s="388" t="s">
        <v>427</v>
      </c>
      <c r="G291" s="259" t="s">
        <v>460</v>
      </c>
    </row>
    <row r="292" spans="1:7" ht="15.75" hidden="1" thickBot="1" x14ac:dyDescent="0.3">
      <c r="A292" s="747"/>
      <c r="B292" s="346"/>
      <c r="C292" s="116" t="s">
        <v>173</v>
      </c>
      <c r="D292" s="117">
        <f t="shared" si="28"/>
        <v>45890</v>
      </c>
      <c r="E292" s="286" t="s">
        <v>168</v>
      </c>
      <c r="F292" s="389" t="s">
        <v>427</v>
      </c>
      <c r="G292" s="257" t="s">
        <v>460</v>
      </c>
    </row>
    <row r="293" spans="1:7" ht="15.75" hidden="1" thickBot="1" x14ac:dyDescent="0.3">
      <c r="A293" s="747"/>
      <c r="B293" s="346"/>
      <c r="C293" s="116" t="s">
        <v>173</v>
      </c>
      <c r="D293" s="117">
        <f t="shared" si="28"/>
        <v>45890</v>
      </c>
      <c r="E293" s="286" t="s">
        <v>169</v>
      </c>
      <c r="F293" s="389" t="s">
        <v>427</v>
      </c>
      <c r="G293" s="257" t="s">
        <v>460</v>
      </c>
    </row>
    <row r="294" spans="1:7" ht="15.75" hidden="1" thickBot="1" x14ac:dyDescent="0.3">
      <c r="A294" s="747"/>
      <c r="B294" s="346"/>
      <c r="C294" s="116" t="s">
        <v>173</v>
      </c>
      <c r="D294" s="117">
        <f t="shared" si="28"/>
        <v>45890</v>
      </c>
      <c r="E294" s="286" t="s">
        <v>170</v>
      </c>
      <c r="F294" s="389" t="s">
        <v>427</v>
      </c>
      <c r="G294" s="257" t="s">
        <v>460</v>
      </c>
    </row>
    <row r="295" spans="1:7" ht="15.75" hidden="1" thickBot="1" x14ac:dyDescent="0.3">
      <c r="A295" s="747"/>
      <c r="B295" s="346"/>
      <c r="C295" s="352" t="s">
        <v>173</v>
      </c>
      <c r="D295" s="363">
        <f t="shared" si="28"/>
        <v>45890</v>
      </c>
      <c r="E295" s="353" t="s">
        <v>574</v>
      </c>
      <c r="F295" s="303"/>
      <c r="G295" s="307"/>
    </row>
    <row r="296" spans="1:7" ht="15.75" hidden="1" thickBot="1" x14ac:dyDescent="0.3">
      <c r="A296" s="747"/>
      <c r="B296" s="346"/>
      <c r="C296" s="367" t="s">
        <v>173</v>
      </c>
      <c r="D296" s="368">
        <f t="shared" si="28"/>
        <v>45890</v>
      </c>
      <c r="E296" s="355" t="s">
        <v>575</v>
      </c>
      <c r="F296" s="313"/>
      <c r="G296" s="370"/>
    </row>
    <row r="297" spans="1:7" ht="6" hidden="1" customHeight="1" thickBot="1" x14ac:dyDescent="0.3">
      <c r="A297" s="747"/>
      <c r="B297" s="346"/>
      <c r="C297"/>
      <c r="D297"/>
      <c r="E297"/>
      <c r="F297"/>
      <c r="G297"/>
    </row>
    <row r="298" spans="1:7" ht="15.75" hidden="1" thickBot="1" x14ac:dyDescent="0.3">
      <c r="A298" s="747"/>
      <c r="B298" s="346"/>
      <c r="C298" s="357" t="s">
        <v>174</v>
      </c>
      <c r="D298" s="348">
        <f>D296+1</f>
        <v>45891</v>
      </c>
      <c r="E298" s="359" t="s">
        <v>573</v>
      </c>
      <c r="F298" s="350"/>
      <c r="G298" s="361"/>
    </row>
    <row r="299" spans="1:7" ht="15.75" hidden="1" thickBot="1" x14ac:dyDescent="0.3">
      <c r="A299" s="747"/>
      <c r="B299" s="346"/>
      <c r="C299" s="337" t="s">
        <v>174</v>
      </c>
      <c r="D299" s="342">
        <f t="shared" ref="D299:D310" si="29">D298</f>
        <v>45891</v>
      </c>
      <c r="E299" s="335" t="s">
        <v>162</v>
      </c>
      <c r="F299" s="418" t="s">
        <v>427</v>
      </c>
      <c r="G299" s="424" t="s">
        <v>460</v>
      </c>
    </row>
    <row r="300" spans="1:7" ht="15.75" hidden="1" thickBot="1" x14ac:dyDescent="0.3">
      <c r="A300" s="747"/>
      <c r="B300" s="346"/>
      <c r="C300" s="337" t="s">
        <v>174</v>
      </c>
      <c r="D300" s="342">
        <f t="shared" si="29"/>
        <v>45891</v>
      </c>
      <c r="E300" s="335" t="s">
        <v>163</v>
      </c>
      <c r="F300" s="418" t="s">
        <v>427</v>
      </c>
      <c r="G300" s="424" t="s">
        <v>460</v>
      </c>
    </row>
    <row r="301" spans="1:7" ht="15.75" hidden="1" thickBot="1" x14ac:dyDescent="0.3">
      <c r="A301" s="747"/>
      <c r="B301" s="346"/>
      <c r="C301" s="337" t="s">
        <v>174</v>
      </c>
      <c r="D301" s="342">
        <f t="shared" si="29"/>
        <v>45891</v>
      </c>
      <c r="E301" s="335" t="s">
        <v>164</v>
      </c>
      <c r="F301" s="418" t="s">
        <v>427</v>
      </c>
      <c r="G301" s="424" t="s">
        <v>460</v>
      </c>
    </row>
    <row r="302" spans="1:7" ht="15.75" hidden="1" thickBot="1" x14ac:dyDescent="0.3">
      <c r="A302" s="747"/>
      <c r="B302" s="346"/>
      <c r="C302" s="337" t="s">
        <v>174</v>
      </c>
      <c r="D302" s="342">
        <f t="shared" si="29"/>
        <v>45891</v>
      </c>
      <c r="E302" s="335" t="s">
        <v>165</v>
      </c>
      <c r="F302" s="418" t="s">
        <v>427</v>
      </c>
      <c r="G302" s="384" t="s">
        <v>460</v>
      </c>
    </row>
    <row r="303" spans="1:7" ht="15.75" hidden="1" thickBot="1" x14ac:dyDescent="0.3">
      <c r="A303" s="747"/>
      <c r="B303" s="346"/>
      <c r="C303" s="337" t="s">
        <v>174</v>
      </c>
      <c r="D303" s="342">
        <f t="shared" si="29"/>
        <v>45891</v>
      </c>
      <c r="E303" s="335" t="s">
        <v>166</v>
      </c>
      <c r="F303" s="418" t="s">
        <v>427</v>
      </c>
      <c r="G303" s="384" t="s">
        <v>460</v>
      </c>
    </row>
    <row r="304" spans="1:7" ht="15.75" hidden="1" thickBot="1" x14ac:dyDescent="0.3">
      <c r="A304" s="747"/>
      <c r="B304" s="346"/>
      <c r="C304" s="337" t="s">
        <v>174</v>
      </c>
      <c r="D304" s="342">
        <f t="shared" si="29"/>
        <v>45891</v>
      </c>
      <c r="E304" s="335" t="s">
        <v>576</v>
      </c>
      <c r="F304" s="418" t="s">
        <v>427</v>
      </c>
      <c r="G304" s="384" t="s">
        <v>145</v>
      </c>
    </row>
    <row r="305" spans="1:21" ht="15.75" hidden="1" thickBot="1" x14ac:dyDescent="0.3">
      <c r="A305" s="747"/>
      <c r="B305" s="346"/>
      <c r="C305" s="116" t="s">
        <v>174</v>
      </c>
      <c r="D305" s="342">
        <f t="shared" si="29"/>
        <v>45891</v>
      </c>
      <c r="E305" s="286" t="s">
        <v>167</v>
      </c>
      <c r="F305" s="236" t="s">
        <v>427</v>
      </c>
      <c r="G305" s="257" t="s">
        <v>460</v>
      </c>
    </row>
    <row r="306" spans="1:21" ht="15.75" hidden="1" thickBot="1" x14ac:dyDescent="0.3">
      <c r="A306" s="747"/>
      <c r="B306" s="346"/>
      <c r="C306" s="294" t="s">
        <v>174</v>
      </c>
      <c r="D306" s="342">
        <f t="shared" si="29"/>
        <v>45891</v>
      </c>
      <c r="E306" s="296" t="s">
        <v>168</v>
      </c>
      <c r="F306" s="419" t="s">
        <v>427</v>
      </c>
      <c r="G306" s="257" t="s">
        <v>460</v>
      </c>
    </row>
    <row r="307" spans="1:21" ht="15.75" hidden="1" thickBot="1" x14ac:dyDescent="0.3">
      <c r="A307" s="747"/>
      <c r="B307" s="346"/>
      <c r="C307" s="294" t="s">
        <v>174</v>
      </c>
      <c r="D307" s="342">
        <f t="shared" si="29"/>
        <v>45891</v>
      </c>
      <c r="E307" s="296" t="s">
        <v>169</v>
      </c>
      <c r="F307" s="419" t="s">
        <v>427</v>
      </c>
      <c r="G307" s="257" t="s">
        <v>460</v>
      </c>
    </row>
    <row r="308" spans="1:21" ht="15.75" hidden="1" thickBot="1" x14ac:dyDescent="0.3">
      <c r="A308" s="747"/>
      <c r="B308" s="346"/>
      <c r="C308" s="362" t="s">
        <v>174</v>
      </c>
      <c r="D308" s="363">
        <f t="shared" si="29"/>
        <v>45891</v>
      </c>
      <c r="E308" s="364" t="s">
        <v>170</v>
      </c>
      <c r="F308" s="390"/>
      <c r="G308" s="366"/>
    </row>
    <row r="309" spans="1:21" ht="15.75" hidden="1" thickBot="1" x14ac:dyDescent="0.3">
      <c r="A309" s="747"/>
      <c r="B309" s="346"/>
      <c r="C309" s="352" t="s">
        <v>174</v>
      </c>
      <c r="D309" s="363">
        <f t="shared" si="29"/>
        <v>45891</v>
      </c>
      <c r="E309" s="353" t="s">
        <v>574</v>
      </c>
      <c r="F309" s="371"/>
      <c r="G309" s="366"/>
    </row>
    <row r="310" spans="1:21" ht="15.75" hidden="1" thickBot="1" x14ac:dyDescent="0.3">
      <c r="A310" s="747"/>
      <c r="B310" s="346"/>
      <c r="C310" s="372" t="s">
        <v>174</v>
      </c>
      <c r="D310" s="368">
        <f t="shared" si="29"/>
        <v>45891</v>
      </c>
      <c r="E310" s="373" t="s">
        <v>575</v>
      </c>
      <c r="F310" s="374"/>
      <c r="G310" s="370"/>
    </row>
    <row r="311" spans="1:21" ht="6" hidden="1" customHeight="1" thickBot="1" x14ac:dyDescent="0.3">
      <c r="A311"/>
      <c r="C311"/>
      <c r="D311"/>
      <c r="E311"/>
      <c r="F311"/>
      <c r="G311"/>
    </row>
    <row r="312" spans="1:21" ht="15" customHeight="1" x14ac:dyDescent="0.25">
      <c r="A312" s="748" t="s">
        <v>536</v>
      </c>
      <c r="B312" s="380"/>
      <c r="C312" s="414" t="s">
        <v>161</v>
      </c>
      <c r="D312" s="348">
        <f>D310+3</f>
        <v>45894</v>
      </c>
      <c r="E312" s="415" t="s">
        <v>573</v>
      </c>
      <c r="F312" s="350"/>
      <c r="G312" s="378"/>
    </row>
    <row r="313" spans="1:21" ht="15" customHeight="1" x14ac:dyDescent="0.25">
      <c r="A313" s="749"/>
      <c r="B313" s="346"/>
      <c r="C313" s="376" t="s">
        <v>161</v>
      </c>
      <c r="D313" s="342">
        <f t="shared" ref="D313:D324" si="30">D312</f>
        <v>45894</v>
      </c>
      <c r="E313" s="377" t="s">
        <v>162</v>
      </c>
      <c r="F313" s="438" t="s">
        <v>427</v>
      </c>
      <c r="G313" s="257" t="s">
        <v>460</v>
      </c>
    </row>
    <row r="314" spans="1:21" ht="15" customHeight="1" x14ac:dyDescent="0.25">
      <c r="A314" s="749"/>
      <c r="B314" s="346"/>
      <c r="C314" s="376" t="s">
        <v>161</v>
      </c>
      <c r="D314" s="342">
        <f t="shared" si="30"/>
        <v>45894</v>
      </c>
      <c r="E314" s="377" t="s">
        <v>163</v>
      </c>
      <c r="F314" s="438" t="s">
        <v>427</v>
      </c>
      <c r="G314" s="437" t="s">
        <v>460</v>
      </c>
    </row>
    <row r="315" spans="1:21" ht="15" customHeight="1" x14ac:dyDescent="0.25">
      <c r="A315" s="749"/>
      <c r="B315" s="346"/>
      <c r="C315" s="376" t="s">
        <v>161</v>
      </c>
      <c r="D315" s="342">
        <f t="shared" si="30"/>
        <v>45894</v>
      </c>
      <c r="E315" s="377" t="s">
        <v>164</v>
      </c>
      <c r="F315" s="436" t="s">
        <v>427</v>
      </c>
      <c r="G315" s="437" t="s">
        <v>460</v>
      </c>
    </row>
    <row r="316" spans="1:21" ht="15" customHeight="1" x14ac:dyDescent="0.25">
      <c r="A316" s="749"/>
      <c r="B316" s="346"/>
      <c r="C316" s="376" t="s">
        <v>161</v>
      </c>
      <c r="D316" s="342">
        <f t="shared" si="30"/>
        <v>45894</v>
      </c>
      <c r="E316" s="377" t="s">
        <v>165</v>
      </c>
      <c r="F316" s="436" t="s">
        <v>427</v>
      </c>
      <c r="G316" s="437" t="s">
        <v>460</v>
      </c>
      <c r="U316" s="3"/>
    </row>
    <row r="317" spans="1:21" ht="15" customHeight="1" x14ac:dyDescent="0.25">
      <c r="A317" s="749"/>
      <c r="B317" s="346"/>
      <c r="C317" s="376" t="s">
        <v>161</v>
      </c>
      <c r="D317" s="342">
        <f t="shared" si="30"/>
        <v>45894</v>
      </c>
      <c r="E317" s="377" t="s">
        <v>166</v>
      </c>
      <c r="F317" s="436" t="s">
        <v>581</v>
      </c>
      <c r="G317" s="437" t="s">
        <v>460</v>
      </c>
      <c r="U317" s="420"/>
    </row>
    <row r="318" spans="1:21" ht="15" customHeight="1" x14ac:dyDescent="0.25">
      <c r="A318" s="749"/>
      <c r="B318" s="346"/>
      <c r="C318" s="376" t="s">
        <v>161</v>
      </c>
      <c r="D318" s="342">
        <f t="shared" si="30"/>
        <v>45894</v>
      </c>
      <c r="E318" s="377" t="s">
        <v>576</v>
      </c>
      <c r="F318" s="384" t="s">
        <v>581</v>
      </c>
      <c r="G318" s="345" t="s">
        <v>145</v>
      </c>
    </row>
    <row r="319" spans="1:21" x14ac:dyDescent="0.25">
      <c r="A319" s="749"/>
      <c r="B319" s="346"/>
      <c r="C319" s="116" t="s">
        <v>161</v>
      </c>
      <c r="D319" s="342">
        <f t="shared" si="30"/>
        <v>45894</v>
      </c>
      <c r="E319" s="286" t="s">
        <v>167</v>
      </c>
      <c r="F319" s="339" t="s">
        <v>581</v>
      </c>
      <c r="G319" s="151" t="s">
        <v>460</v>
      </c>
    </row>
    <row r="320" spans="1:21" x14ac:dyDescent="0.25">
      <c r="A320" s="749"/>
      <c r="B320" s="346"/>
      <c r="C320" s="116" t="s">
        <v>161</v>
      </c>
      <c r="D320" s="342">
        <f t="shared" si="30"/>
        <v>45894</v>
      </c>
      <c r="E320" s="286" t="s">
        <v>168</v>
      </c>
      <c r="F320" s="287" t="s">
        <v>581</v>
      </c>
      <c r="G320" s="151" t="s">
        <v>460</v>
      </c>
    </row>
    <row r="321" spans="1:7" x14ac:dyDescent="0.25">
      <c r="A321" s="749"/>
      <c r="B321" s="346"/>
      <c r="C321" s="116" t="s">
        <v>161</v>
      </c>
      <c r="D321" s="342">
        <f t="shared" si="30"/>
        <v>45894</v>
      </c>
      <c r="E321" s="286" t="s">
        <v>169</v>
      </c>
      <c r="F321" s="287" t="s">
        <v>581</v>
      </c>
      <c r="G321" s="151" t="s">
        <v>460</v>
      </c>
    </row>
    <row r="322" spans="1:7" x14ac:dyDescent="0.25">
      <c r="A322" s="749"/>
      <c r="B322" s="346"/>
      <c r="C322" s="116" t="s">
        <v>161</v>
      </c>
      <c r="D322" s="342">
        <f t="shared" si="30"/>
        <v>45894</v>
      </c>
      <c r="E322" s="286" t="s">
        <v>170</v>
      </c>
      <c r="F322" s="287" t="s">
        <v>581</v>
      </c>
      <c r="G322" s="151" t="s">
        <v>460</v>
      </c>
    </row>
    <row r="323" spans="1:7" x14ac:dyDescent="0.25">
      <c r="A323" s="749"/>
      <c r="B323" s="346"/>
      <c r="C323" s="352" t="s">
        <v>161</v>
      </c>
      <c r="D323" s="363">
        <f t="shared" si="30"/>
        <v>45894</v>
      </c>
      <c r="E323" s="353" t="s">
        <v>574</v>
      </c>
      <c r="F323" s="303"/>
      <c r="G323" s="307"/>
    </row>
    <row r="324" spans="1:7" ht="15.75" thickBot="1" x14ac:dyDescent="0.3">
      <c r="A324" s="749"/>
      <c r="B324" s="381"/>
      <c r="C324" s="372" t="s">
        <v>161</v>
      </c>
      <c r="D324" s="368">
        <f t="shared" si="30"/>
        <v>45894</v>
      </c>
      <c r="E324" s="373" t="s">
        <v>575</v>
      </c>
      <c r="F324" s="313"/>
      <c r="G324" s="375"/>
    </row>
    <row r="325" spans="1:7" ht="6" customHeight="1" thickBot="1" x14ac:dyDescent="0.3">
      <c r="A325" s="749"/>
      <c r="C325"/>
      <c r="D325"/>
      <c r="E325"/>
      <c r="F325"/>
      <c r="G325"/>
    </row>
    <row r="326" spans="1:7" ht="15" customHeight="1" x14ac:dyDescent="0.25">
      <c r="A326" s="749"/>
      <c r="C326" s="347" t="s">
        <v>171</v>
      </c>
      <c r="D326" s="348">
        <f>D324+1</f>
        <v>45895</v>
      </c>
      <c r="E326" s="349" t="s">
        <v>573</v>
      </c>
      <c r="F326" s="350"/>
      <c r="G326" s="150" t="s">
        <v>460</v>
      </c>
    </row>
    <row r="327" spans="1:7" x14ac:dyDescent="0.25">
      <c r="A327" s="749"/>
      <c r="C327" s="337" t="s">
        <v>171</v>
      </c>
      <c r="D327" s="342">
        <f t="shared" ref="D327:D338" si="31">D326</f>
        <v>45895</v>
      </c>
      <c r="E327" s="338" t="s">
        <v>162</v>
      </c>
      <c r="F327" s="339" t="s">
        <v>581</v>
      </c>
      <c r="G327" s="340" t="s">
        <v>460</v>
      </c>
    </row>
    <row r="328" spans="1:7" x14ac:dyDescent="0.25">
      <c r="A328" s="749"/>
      <c r="C328" s="337" t="s">
        <v>171</v>
      </c>
      <c r="D328" s="342">
        <f t="shared" si="31"/>
        <v>45895</v>
      </c>
      <c r="E328" s="338" t="s">
        <v>163</v>
      </c>
      <c r="F328" s="421" t="s">
        <v>581</v>
      </c>
      <c r="G328" s="402" t="s">
        <v>460</v>
      </c>
    </row>
    <row r="329" spans="1:7" x14ac:dyDescent="0.25">
      <c r="A329" s="749"/>
      <c r="C329" s="337" t="s">
        <v>171</v>
      </c>
      <c r="D329" s="342">
        <f t="shared" si="31"/>
        <v>45895</v>
      </c>
      <c r="E329" s="338" t="s">
        <v>164</v>
      </c>
      <c r="F329" s="416" t="s">
        <v>581</v>
      </c>
      <c r="G329" s="345" t="s">
        <v>461</v>
      </c>
    </row>
    <row r="330" spans="1:7" x14ac:dyDescent="0.25">
      <c r="A330" s="749"/>
      <c r="C330" s="337" t="s">
        <v>171</v>
      </c>
      <c r="D330" s="342">
        <f t="shared" si="31"/>
        <v>45895</v>
      </c>
      <c r="E330" s="338" t="s">
        <v>165</v>
      </c>
      <c r="F330" s="339" t="s">
        <v>581</v>
      </c>
      <c r="G330" s="316" t="s">
        <v>461</v>
      </c>
    </row>
    <row r="331" spans="1:7" x14ac:dyDescent="0.25">
      <c r="A331" s="749"/>
      <c r="C331" s="337" t="s">
        <v>171</v>
      </c>
      <c r="D331" s="342">
        <f t="shared" si="31"/>
        <v>45895</v>
      </c>
      <c r="E331" s="338" t="s">
        <v>166</v>
      </c>
      <c r="F331" s="339" t="s">
        <v>581</v>
      </c>
      <c r="G331" s="316" t="s">
        <v>461</v>
      </c>
    </row>
    <row r="332" spans="1:7" x14ac:dyDescent="0.25">
      <c r="A332" s="749"/>
      <c r="C332" s="337" t="s">
        <v>171</v>
      </c>
      <c r="D332" s="342">
        <f t="shared" si="31"/>
        <v>45895</v>
      </c>
      <c r="E332" s="338" t="s">
        <v>576</v>
      </c>
      <c r="F332" s="345" t="s">
        <v>145</v>
      </c>
      <c r="G332" s="316" t="s">
        <v>461</v>
      </c>
    </row>
    <row r="333" spans="1:7" x14ac:dyDescent="0.25">
      <c r="A333" s="749"/>
      <c r="C333" s="341" t="s">
        <v>171</v>
      </c>
      <c r="D333" s="342">
        <f t="shared" si="31"/>
        <v>45895</v>
      </c>
      <c r="E333" s="343" t="s">
        <v>167</v>
      </c>
      <c r="F333" s="344" t="s">
        <v>581</v>
      </c>
      <c r="G333" s="345" t="s">
        <v>461</v>
      </c>
    </row>
    <row r="334" spans="1:7" x14ac:dyDescent="0.25">
      <c r="A334" s="749"/>
      <c r="C334" s="341" t="s">
        <v>171</v>
      </c>
      <c r="D334" s="342">
        <f t="shared" si="31"/>
        <v>45895</v>
      </c>
      <c r="E334" s="343" t="s">
        <v>168</v>
      </c>
      <c r="F334" s="344" t="s">
        <v>582</v>
      </c>
      <c r="G334" s="345" t="s">
        <v>462</v>
      </c>
    </row>
    <row r="335" spans="1:7" x14ac:dyDescent="0.25">
      <c r="A335" s="749"/>
      <c r="C335" s="341" t="s">
        <v>171</v>
      </c>
      <c r="D335" s="342">
        <f t="shared" si="31"/>
        <v>45895</v>
      </c>
      <c r="E335" s="343" t="s">
        <v>169</v>
      </c>
      <c r="F335" s="344" t="s">
        <v>582</v>
      </c>
      <c r="G335" s="345" t="s">
        <v>462</v>
      </c>
    </row>
    <row r="336" spans="1:7" ht="15" customHeight="1" x14ac:dyDescent="0.25">
      <c r="A336" s="749"/>
      <c r="C336" s="341" t="s">
        <v>171</v>
      </c>
      <c r="D336" s="342">
        <f t="shared" si="31"/>
        <v>45895</v>
      </c>
      <c r="E336" s="343" t="s">
        <v>170</v>
      </c>
      <c r="F336" s="344" t="s">
        <v>582</v>
      </c>
      <c r="G336" s="345" t="s">
        <v>462</v>
      </c>
    </row>
    <row r="337" spans="1:7" x14ac:dyDescent="0.25">
      <c r="A337" s="749"/>
      <c r="C337" s="362" t="s">
        <v>171</v>
      </c>
      <c r="D337" s="363">
        <f t="shared" si="31"/>
        <v>45895</v>
      </c>
      <c r="E337" s="364" t="s">
        <v>574</v>
      </c>
      <c r="F337" s="365"/>
      <c r="G337" s="366" t="s">
        <v>462</v>
      </c>
    </row>
    <row r="338" spans="1:7" ht="15.75" thickBot="1" x14ac:dyDescent="0.3">
      <c r="A338" s="749"/>
      <c r="C338" s="367" t="s">
        <v>171</v>
      </c>
      <c r="D338" s="368">
        <f t="shared" si="31"/>
        <v>45895</v>
      </c>
      <c r="E338" s="355" t="s">
        <v>575</v>
      </c>
      <c r="F338" s="369"/>
      <c r="G338" s="370" t="s">
        <v>462</v>
      </c>
    </row>
    <row r="339" spans="1:7" ht="6" customHeight="1" thickBot="1" x14ac:dyDescent="0.3">
      <c r="A339" s="749"/>
      <c r="C339"/>
      <c r="D339"/>
      <c r="E339"/>
      <c r="F339"/>
      <c r="G339"/>
    </row>
    <row r="340" spans="1:7" x14ac:dyDescent="0.25">
      <c r="A340" s="749"/>
      <c r="C340" s="347" t="s">
        <v>172</v>
      </c>
      <c r="D340" s="348">
        <f>D338+1</f>
        <v>45896</v>
      </c>
      <c r="E340" s="349" t="s">
        <v>573</v>
      </c>
      <c r="F340" s="422" t="s">
        <v>483</v>
      </c>
      <c r="G340" s="422" t="s">
        <v>577</v>
      </c>
    </row>
    <row r="341" spans="1:7" x14ac:dyDescent="0.25">
      <c r="A341" s="749"/>
      <c r="C341" s="337" t="s">
        <v>172</v>
      </c>
      <c r="D341" s="342">
        <f t="shared" ref="D341:D350" si="32">D340</f>
        <v>45896</v>
      </c>
      <c r="E341" s="338" t="s">
        <v>162</v>
      </c>
      <c r="F341" s="421" t="s">
        <v>483</v>
      </c>
      <c r="G341" s="402" t="s">
        <v>577</v>
      </c>
    </row>
    <row r="342" spans="1:7" x14ac:dyDescent="0.25">
      <c r="A342" s="749"/>
      <c r="C342" s="337" t="s">
        <v>172</v>
      </c>
      <c r="D342" s="342">
        <f t="shared" si="32"/>
        <v>45896</v>
      </c>
      <c r="E342" s="338" t="s">
        <v>163</v>
      </c>
      <c r="F342" s="339" t="s">
        <v>483</v>
      </c>
      <c r="G342" s="340" t="s">
        <v>577</v>
      </c>
    </row>
    <row r="343" spans="1:7" x14ac:dyDescent="0.25">
      <c r="A343" s="749"/>
      <c r="C343" s="337" t="s">
        <v>172</v>
      </c>
      <c r="D343" s="342">
        <f t="shared" si="32"/>
        <v>45896</v>
      </c>
      <c r="E343" s="338" t="s">
        <v>164</v>
      </c>
      <c r="F343" s="339" t="s">
        <v>483</v>
      </c>
      <c r="G343" s="340" t="s">
        <v>577</v>
      </c>
    </row>
    <row r="344" spans="1:7" x14ac:dyDescent="0.25">
      <c r="A344" s="749"/>
      <c r="C344" s="337" t="s">
        <v>172</v>
      </c>
      <c r="D344" s="342">
        <f t="shared" si="32"/>
        <v>45896</v>
      </c>
      <c r="E344" s="338" t="s">
        <v>165</v>
      </c>
      <c r="F344" s="339" t="s">
        <v>483</v>
      </c>
      <c r="G344" s="340" t="s">
        <v>577</v>
      </c>
    </row>
    <row r="345" spans="1:7" ht="15" customHeight="1" x14ac:dyDescent="0.25">
      <c r="A345" s="749"/>
      <c r="C345" s="337" t="s">
        <v>172</v>
      </c>
      <c r="D345" s="342">
        <f t="shared" si="32"/>
        <v>45896</v>
      </c>
      <c r="E345" s="338" t="s">
        <v>166</v>
      </c>
      <c r="F345" s="344" t="s">
        <v>483</v>
      </c>
      <c r="G345" s="345" t="s">
        <v>577</v>
      </c>
    </row>
    <row r="346" spans="1:7" x14ac:dyDescent="0.25">
      <c r="A346" s="749"/>
      <c r="C346" s="337" t="s">
        <v>172</v>
      </c>
      <c r="D346" s="342">
        <f t="shared" si="32"/>
        <v>45896</v>
      </c>
      <c r="E346" s="338" t="s">
        <v>576</v>
      </c>
      <c r="F346" s="421" t="s">
        <v>145</v>
      </c>
      <c r="G346" s="345" t="s">
        <v>577</v>
      </c>
    </row>
    <row r="347" spans="1:7" x14ac:dyDescent="0.25">
      <c r="A347" s="749"/>
      <c r="C347" s="341" t="s">
        <v>172</v>
      </c>
      <c r="D347" s="342">
        <f t="shared" si="32"/>
        <v>45896</v>
      </c>
      <c r="E347" s="343" t="s">
        <v>167</v>
      </c>
      <c r="F347" s="344" t="s">
        <v>483</v>
      </c>
      <c r="G347" s="421" t="s">
        <v>578</v>
      </c>
    </row>
    <row r="348" spans="1:7" x14ac:dyDescent="0.25">
      <c r="A348" s="749"/>
      <c r="C348" s="341" t="s">
        <v>172</v>
      </c>
      <c r="D348" s="342">
        <f t="shared" si="32"/>
        <v>45896</v>
      </c>
      <c r="E348" s="343" t="s">
        <v>168</v>
      </c>
      <c r="F348" s="344" t="s">
        <v>483</v>
      </c>
      <c r="G348" s="345" t="s">
        <v>578</v>
      </c>
    </row>
    <row r="349" spans="1:7" x14ac:dyDescent="0.25">
      <c r="A349" s="749"/>
      <c r="C349" s="341" t="s">
        <v>172</v>
      </c>
      <c r="D349" s="342">
        <f t="shared" si="32"/>
        <v>45896</v>
      </c>
      <c r="E349" s="343" t="s">
        <v>169</v>
      </c>
      <c r="F349" s="344" t="s">
        <v>481</v>
      </c>
      <c r="G349" s="345" t="s">
        <v>578</v>
      </c>
    </row>
    <row r="350" spans="1:7" x14ac:dyDescent="0.25">
      <c r="A350" s="749"/>
      <c r="C350" s="341" t="s">
        <v>172</v>
      </c>
      <c r="D350" s="342">
        <f t="shared" si="32"/>
        <v>45896</v>
      </c>
      <c r="E350" s="343" t="s">
        <v>170</v>
      </c>
      <c r="F350" s="344" t="s">
        <v>481</v>
      </c>
      <c r="G350" s="345" t="s">
        <v>578</v>
      </c>
    </row>
    <row r="351" spans="1:7" x14ac:dyDescent="0.25">
      <c r="A351" s="749"/>
      <c r="C351" s="362" t="s">
        <v>172</v>
      </c>
      <c r="D351" s="363">
        <f>D349</f>
        <v>45896</v>
      </c>
      <c r="E351" s="353" t="s">
        <v>585</v>
      </c>
      <c r="F351" s="365" t="s">
        <v>481</v>
      </c>
      <c r="G351" s="366" t="s">
        <v>578</v>
      </c>
    </row>
    <row r="352" spans="1:7" x14ac:dyDescent="0.25">
      <c r="A352" s="749"/>
      <c r="C352" s="362" t="s">
        <v>172</v>
      </c>
      <c r="D352" s="363">
        <f>D350</f>
        <v>45896</v>
      </c>
      <c r="E352" s="364" t="s">
        <v>574</v>
      </c>
      <c r="F352" s="365" t="s">
        <v>481</v>
      </c>
      <c r="G352" s="366" t="s">
        <v>578</v>
      </c>
    </row>
    <row r="353" spans="1:7" x14ac:dyDescent="0.25">
      <c r="A353" s="749"/>
      <c r="C353" s="391" t="s">
        <v>172</v>
      </c>
      <c r="D353" s="392">
        <v>45896</v>
      </c>
      <c r="E353" s="393" t="s">
        <v>575</v>
      </c>
      <c r="F353" s="394" t="s">
        <v>481</v>
      </c>
      <c r="G353" s="366" t="s">
        <v>578</v>
      </c>
    </row>
    <row r="354" spans="1:7" x14ac:dyDescent="0.25">
      <c r="A354" s="749"/>
      <c r="C354" s="391" t="s">
        <v>172</v>
      </c>
      <c r="D354" s="392">
        <v>45896</v>
      </c>
      <c r="E354" s="409" t="s">
        <v>583</v>
      </c>
      <c r="F354" s="412" t="s">
        <v>481</v>
      </c>
      <c r="G354" s="345" t="s">
        <v>579</v>
      </c>
    </row>
    <row r="355" spans="1:7" ht="15.75" thickBot="1" x14ac:dyDescent="0.3">
      <c r="A355" s="749"/>
      <c r="C355" s="367" t="s">
        <v>172</v>
      </c>
      <c r="D355" s="368">
        <f>D352</f>
        <v>45896</v>
      </c>
      <c r="E355" s="355" t="s">
        <v>584</v>
      </c>
      <c r="F355" s="411" t="s">
        <v>481</v>
      </c>
      <c r="G355" s="370" t="s">
        <v>579</v>
      </c>
    </row>
    <row r="356" spans="1:7" ht="6" customHeight="1" thickBot="1" x14ac:dyDescent="0.3">
      <c r="A356" s="749"/>
      <c r="C356"/>
      <c r="D356"/>
      <c r="E356"/>
      <c r="F356"/>
      <c r="G356"/>
    </row>
    <row r="357" spans="1:7" ht="15" customHeight="1" x14ac:dyDescent="0.25">
      <c r="A357" s="749"/>
      <c r="C357" s="398" t="s">
        <v>173</v>
      </c>
      <c r="D357" s="399">
        <f>D355+1</f>
        <v>45897</v>
      </c>
      <c r="E357" s="400" t="s">
        <v>573</v>
      </c>
      <c r="F357" s="345" t="s">
        <v>482</v>
      </c>
      <c r="G357" s="401" t="s">
        <v>579</v>
      </c>
    </row>
    <row r="358" spans="1:7" ht="15" customHeight="1" x14ac:dyDescent="0.25">
      <c r="A358" s="749"/>
      <c r="C358" s="337" t="s">
        <v>173</v>
      </c>
      <c r="D358" s="397">
        <f t="shared" ref="D358:D371" si="33">D357</f>
        <v>45897</v>
      </c>
      <c r="E358" s="338" t="s">
        <v>162</v>
      </c>
      <c r="F358" s="405" t="s">
        <v>482</v>
      </c>
      <c r="G358" s="402" t="s">
        <v>579</v>
      </c>
    </row>
    <row r="359" spans="1:7" ht="15" customHeight="1" x14ac:dyDescent="0.25">
      <c r="A359" s="749"/>
      <c r="C359" s="337" t="s">
        <v>173</v>
      </c>
      <c r="D359" s="342">
        <f t="shared" si="33"/>
        <v>45897</v>
      </c>
      <c r="E359" s="338" t="s">
        <v>163</v>
      </c>
      <c r="F359" s="405" t="s">
        <v>482</v>
      </c>
      <c r="G359" s="402" t="s">
        <v>579</v>
      </c>
    </row>
    <row r="360" spans="1:7" ht="15" customHeight="1" x14ac:dyDescent="0.25">
      <c r="A360" s="749"/>
      <c r="C360" s="337" t="s">
        <v>173</v>
      </c>
      <c r="D360" s="342">
        <f t="shared" si="33"/>
        <v>45897</v>
      </c>
      <c r="E360" s="338" t="s">
        <v>164</v>
      </c>
      <c r="F360" s="405" t="s">
        <v>482</v>
      </c>
      <c r="G360" s="345" t="s">
        <v>579</v>
      </c>
    </row>
    <row r="361" spans="1:7" ht="15" customHeight="1" x14ac:dyDescent="0.25">
      <c r="A361" s="749"/>
      <c r="C361" s="337" t="s">
        <v>173</v>
      </c>
      <c r="D361" s="342">
        <f t="shared" si="33"/>
        <v>45897</v>
      </c>
      <c r="E361" s="338" t="s">
        <v>165</v>
      </c>
      <c r="F361" s="405" t="s">
        <v>482</v>
      </c>
      <c r="G361" s="345" t="s">
        <v>579</v>
      </c>
    </row>
    <row r="362" spans="1:7" ht="15" customHeight="1" x14ac:dyDescent="0.25">
      <c r="A362" s="749"/>
      <c r="C362" s="337" t="s">
        <v>173</v>
      </c>
      <c r="D362" s="342">
        <f t="shared" si="33"/>
        <v>45897</v>
      </c>
      <c r="E362" s="338" t="s">
        <v>166</v>
      </c>
      <c r="F362" s="405" t="s">
        <v>482</v>
      </c>
      <c r="G362" s="421" t="s">
        <v>604</v>
      </c>
    </row>
    <row r="363" spans="1:7" ht="15" customHeight="1" x14ac:dyDescent="0.25">
      <c r="A363" s="749"/>
      <c r="C363" s="337" t="s">
        <v>173</v>
      </c>
      <c r="D363" s="342">
        <f t="shared" si="33"/>
        <v>45897</v>
      </c>
      <c r="E363" s="338" t="s">
        <v>576</v>
      </c>
      <c r="F363" s="421" t="s">
        <v>145</v>
      </c>
      <c r="G363" s="403" t="s">
        <v>604</v>
      </c>
    </row>
    <row r="364" spans="1:7" ht="15" customHeight="1" x14ac:dyDescent="0.25">
      <c r="A364" s="749"/>
      <c r="C364" s="341" t="s">
        <v>173</v>
      </c>
      <c r="D364" s="342">
        <f t="shared" si="33"/>
        <v>45897</v>
      </c>
      <c r="E364" s="343" t="s">
        <v>167</v>
      </c>
      <c r="F364" s="406" t="s">
        <v>482</v>
      </c>
      <c r="G364" s="396" t="s">
        <v>604</v>
      </c>
    </row>
    <row r="365" spans="1:7" ht="15" customHeight="1" x14ac:dyDescent="0.25">
      <c r="A365" s="749"/>
      <c r="C365" s="341" t="s">
        <v>173</v>
      </c>
      <c r="D365" s="342">
        <f t="shared" si="33"/>
        <v>45897</v>
      </c>
      <c r="E365" s="343" t="s">
        <v>168</v>
      </c>
      <c r="F365" s="406" t="s">
        <v>482</v>
      </c>
      <c r="G365" s="396" t="s">
        <v>604</v>
      </c>
    </row>
    <row r="366" spans="1:7" ht="15" customHeight="1" x14ac:dyDescent="0.25">
      <c r="A366" s="749"/>
      <c r="C366" s="341" t="s">
        <v>173</v>
      </c>
      <c r="D366" s="342">
        <f t="shared" si="33"/>
        <v>45897</v>
      </c>
      <c r="E366" s="343" t="s">
        <v>169</v>
      </c>
      <c r="F366" s="406" t="s">
        <v>484</v>
      </c>
      <c r="G366" s="396" t="s">
        <v>604</v>
      </c>
    </row>
    <row r="367" spans="1:7" ht="15" customHeight="1" x14ac:dyDescent="0.25">
      <c r="A367" s="749"/>
      <c r="C367" s="341" t="s">
        <v>173</v>
      </c>
      <c r="D367" s="342">
        <f t="shared" si="33"/>
        <v>45897</v>
      </c>
      <c r="E367" s="343" t="s">
        <v>170</v>
      </c>
      <c r="F367" s="406" t="s">
        <v>484</v>
      </c>
      <c r="G367" s="396" t="s">
        <v>604</v>
      </c>
    </row>
    <row r="368" spans="1:7" x14ac:dyDescent="0.25">
      <c r="A368" s="749"/>
      <c r="C368" s="362" t="s">
        <v>173</v>
      </c>
      <c r="D368" s="363">
        <f>D366</f>
        <v>45897</v>
      </c>
      <c r="E368" s="353" t="s">
        <v>585</v>
      </c>
      <c r="F368" s="407" t="s">
        <v>484</v>
      </c>
      <c r="G368" s="316" t="s">
        <v>605</v>
      </c>
    </row>
    <row r="369" spans="1:7" ht="15" customHeight="1" x14ac:dyDescent="0.25">
      <c r="A369" s="749"/>
      <c r="C369" s="362" t="s">
        <v>173</v>
      </c>
      <c r="D369" s="363">
        <f>D367</f>
        <v>45897</v>
      </c>
      <c r="E369" s="364" t="s">
        <v>574</v>
      </c>
      <c r="F369" s="407" t="s">
        <v>484</v>
      </c>
      <c r="G369" s="345" t="s">
        <v>605</v>
      </c>
    </row>
    <row r="370" spans="1:7" ht="15" customHeight="1" x14ac:dyDescent="0.25">
      <c r="A370" s="749"/>
      <c r="C370" s="362" t="s">
        <v>173</v>
      </c>
      <c r="D370" s="363">
        <f t="shared" si="33"/>
        <v>45897</v>
      </c>
      <c r="E370" s="393" t="s">
        <v>575</v>
      </c>
      <c r="F370" s="412" t="s">
        <v>484</v>
      </c>
      <c r="G370" s="410" t="s">
        <v>605</v>
      </c>
    </row>
    <row r="371" spans="1:7" ht="15" customHeight="1" x14ac:dyDescent="0.25">
      <c r="A371" s="749"/>
      <c r="C371" s="362" t="s">
        <v>173</v>
      </c>
      <c r="D371" s="363">
        <f t="shared" si="33"/>
        <v>45897</v>
      </c>
      <c r="E371" s="409" t="s">
        <v>583</v>
      </c>
      <c r="F371" s="412" t="s">
        <v>484</v>
      </c>
      <c r="G371" s="410" t="s">
        <v>605</v>
      </c>
    </row>
    <row r="372" spans="1:7" ht="15" customHeight="1" thickBot="1" x14ac:dyDescent="0.3">
      <c r="A372" s="749"/>
      <c r="C372" s="367" t="s">
        <v>173</v>
      </c>
      <c r="D372" s="368">
        <f>D369</f>
        <v>45897</v>
      </c>
      <c r="E372" s="355" t="s">
        <v>584</v>
      </c>
      <c r="F372" s="408" t="s">
        <v>484</v>
      </c>
      <c r="G372" s="404" t="s">
        <v>605</v>
      </c>
    </row>
    <row r="373" spans="1:7" ht="6" customHeight="1" thickBot="1" x14ac:dyDescent="0.3">
      <c r="A373" s="749"/>
      <c r="C373"/>
      <c r="D373"/>
      <c r="E373"/>
      <c r="F373"/>
      <c r="G373"/>
    </row>
    <row r="374" spans="1:7" ht="15" customHeight="1" x14ac:dyDescent="0.25">
      <c r="A374" s="749"/>
      <c r="C374" s="347" t="s">
        <v>174</v>
      </c>
      <c r="D374" s="348">
        <f>D372+1</f>
        <v>45898</v>
      </c>
      <c r="E374" s="349" t="s">
        <v>573</v>
      </c>
      <c r="F374" s="426" t="s">
        <v>484</v>
      </c>
      <c r="G374" s="351" t="s">
        <v>605</v>
      </c>
    </row>
    <row r="375" spans="1:7" ht="15" customHeight="1" x14ac:dyDescent="0.25">
      <c r="A375" s="749"/>
      <c r="C375" s="337" t="s">
        <v>174</v>
      </c>
      <c r="D375" s="342">
        <f t="shared" ref="D375:D384" si="34">D374</f>
        <v>45898</v>
      </c>
      <c r="E375" s="425" t="s">
        <v>162</v>
      </c>
      <c r="F375" s="427" t="s">
        <v>485</v>
      </c>
      <c r="G375" s="316" t="s">
        <v>606</v>
      </c>
    </row>
    <row r="376" spans="1:7" ht="15" customHeight="1" x14ac:dyDescent="0.25">
      <c r="A376" s="749"/>
      <c r="C376" s="337" t="s">
        <v>174</v>
      </c>
      <c r="D376" s="342">
        <f t="shared" si="34"/>
        <v>45898</v>
      </c>
      <c r="E376" s="338" t="s">
        <v>163</v>
      </c>
      <c r="F376" s="339" t="s">
        <v>485</v>
      </c>
      <c r="G376" s="316" t="s">
        <v>606</v>
      </c>
    </row>
    <row r="377" spans="1:7" ht="15" customHeight="1" x14ac:dyDescent="0.25">
      <c r="A377" s="749"/>
      <c r="C377" s="337" t="s">
        <v>174</v>
      </c>
      <c r="D377" s="342">
        <f t="shared" si="34"/>
        <v>45898</v>
      </c>
      <c r="E377" s="338" t="s">
        <v>164</v>
      </c>
      <c r="F377" s="339" t="s">
        <v>485</v>
      </c>
      <c r="G377" s="316" t="s">
        <v>606</v>
      </c>
    </row>
    <row r="378" spans="1:7" ht="15" customHeight="1" x14ac:dyDescent="0.25">
      <c r="A378" s="749"/>
      <c r="C378" s="337" t="s">
        <v>174</v>
      </c>
      <c r="D378" s="342">
        <f t="shared" si="34"/>
        <v>45898</v>
      </c>
      <c r="E378" s="338" t="s">
        <v>165</v>
      </c>
      <c r="F378" s="339" t="s">
        <v>485</v>
      </c>
      <c r="G378" s="316" t="s">
        <v>606</v>
      </c>
    </row>
    <row r="379" spans="1:7" ht="15" customHeight="1" x14ac:dyDescent="0.25">
      <c r="A379" s="749"/>
      <c r="C379" s="337" t="s">
        <v>174</v>
      </c>
      <c r="D379" s="342">
        <f t="shared" si="34"/>
        <v>45898</v>
      </c>
      <c r="E379" s="338" t="s">
        <v>166</v>
      </c>
      <c r="F379" s="339" t="s">
        <v>485</v>
      </c>
      <c r="G379" s="340" t="s">
        <v>606</v>
      </c>
    </row>
    <row r="380" spans="1:7" ht="15" customHeight="1" x14ac:dyDescent="0.25">
      <c r="A380" s="749"/>
      <c r="C380" s="337" t="s">
        <v>174</v>
      </c>
      <c r="D380" s="342">
        <f t="shared" si="34"/>
        <v>45898</v>
      </c>
      <c r="E380" s="338" t="s">
        <v>576</v>
      </c>
      <c r="F380" s="421" t="s">
        <v>145</v>
      </c>
      <c r="G380" s="345" t="s">
        <v>606</v>
      </c>
    </row>
    <row r="381" spans="1:7" ht="15" customHeight="1" x14ac:dyDescent="0.25">
      <c r="A381" s="749"/>
      <c r="C381" s="341" t="s">
        <v>174</v>
      </c>
      <c r="D381" s="342">
        <f t="shared" si="34"/>
        <v>45898</v>
      </c>
      <c r="E381" s="343" t="s">
        <v>167</v>
      </c>
      <c r="F381" s="339" t="s">
        <v>485</v>
      </c>
      <c r="G381" s="434" t="s">
        <v>607</v>
      </c>
    </row>
    <row r="382" spans="1:7" ht="15" customHeight="1" x14ac:dyDescent="0.25">
      <c r="A382" s="749"/>
      <c r="C382" s="341" t="s">
        <v>174</v>
      </c>
      <c r="D382" s="342">
        <f t="shared" si="34"/>
        <v>45898</v>
      </c>
      <c r="E382" s="343" t="s">
        <v>168</v>
      </c>
      <c r="F382" s="421" t="s">
        <v>485</v>
      </c>
      <c r="G382" s="396" t="s">
        <v>607</v>
      </c>
    </row>
    <row r="383" spans="1:7" ht="15" customHeight="1" x14ac:dyDescent="0.25">
      <c r="A383" s="749"/>
      <c r="C383" s="341" t="s">
        <v>174</v>
      </c>
      <c r="D383" s="342">
        <f t="shared" si="34"/>
        <v>45898</v>
      </c>
      <c r="E383" s="343" t="s">
        <v>169</v>
      </c>
      <c r="F383" s="344" t="s">
        <v>485</v>
      </c>
      <c r="G383" s="345" t="s">
        <v>607</v>
      </c>
    </row>
    <row r="384" spans="1:7" ht="15" customHeight="1" x14ac:dyDescent="0.25">
      <c r="A384" s="749"/>
      <c r="C384" s="341" t="s">
        <v>174</v>
      </c>
      <c r="D384" s="342">
        <f t="shared" si="34"/>
        <v>45898</v>
      </c>
      <c r="E384" s="343" t="s">
        <v>170</v>
      </c>
      <c r="F384" s="345" t="s">
        <v>486</v>
      </c>
      <c r="G384" s="345" t="s">
        <v>607</v>
      </c>
    </row>
    <row r="385" spans="1:7" x14ac:dyDescent="0.25">
      <c r="A385" s="749"/>
      <c r="C385" s="362" t="s">
        <v>174</v>
      </c>
      <c r="D385" s="363">
        <f>D383</f>
        <v>45898</v>
      </c>
      <c r="E385" s="353" t="s">
        <v>585</v>
      </c>
      <c r="F385" s="407" t="s">
        <v>486</v>
      </c>
      <c r="G385" s="345" t="s">
        <v>607</v>
      </c>
    </row>
    <row r="386" spans="1:7" ht="15" customHeight="1" x14ac:dyDescent="0.25">
      <c r="A386" s="749"/>
      <c r="C386" s="362" t="s">
        <v>174</v>
      </c>
      <c r="D386" s="363">
        <f>D384</f>
        <v>45898</v>
      </c>
      <c r="E386" s="364" t="s">
        <v>574</v>
      </c>
      <c r="F386" s="365" t="s">
        <v>486</v>
      </c>
      <c r="G386" s="395" t="s">
        <v>607</v>
      </c>
    </row>
    <row r="387" spans="1:7" ht="15" customHeight="1" x14ac:dyDescent="0.25">
      <c r="A387" s="749"/>
      <c r="C387" s="391" t="s">
        <v>174</v>
      </c>
      <c r="D387" s="392">
        <v>45898</v>
      </c>
      <c r="E387" s="364" t="s">
        <v>575</v>
      </c>
      <c r="F387" s="394" t="s">
        <v>486</v>
      </c>
      <c r="G387" s="434" t="s">
        <v>608</v>
      </c>
    </row>
    <row r="388" spans="1:7" ht="15" customHeight="1" x14ac:dyDescent="0.25">
      <c r="A388" s="749"/>
      <c r="C388" s="391" t="s">
        <v>174</v>
      </c>
      <c r="D388" s="392">
        <v>45898</v>
      </c>
      <c r="E388" s="413" t="s">
        <v>583</v>
      </c>
      <c r="F388" s="394" t="s">
        <v>486</v>
      </c>
      <c r="G388" s="433" t="s">
        <v>608</v>
      </c>
    </row>
    <row r="389" spans="1:7" ht="15" customHeight="1" thickBot="1" x14ac:dyDescent="0.3">
      <c r="A389" s="749"/>
      <c r="C389" s="367" t="s">
        <v>174</v>
      </c>
      <c r="D389" s="368">
        <f>D386</f>
        <v>45898</v>
      </c>
      <c r="E389" s="355" t="s">
        <v>584</v>
      </c>
      <c r="F389" s="369" t="s">
        <v>486</v>
      </c>
      <c r="G389" s="370" t="s">
        <v>608</v>
      </c>
    </row>
    <row r="390" spans="1:7" ht="6" customHeight="1" thickBot="1" x14ac:dyDescent="0.3">
      <c r="A390"/>
      <c r="C390"/>
      <c r="D390"/>
      <c r="E390"/>
      <c r="F390"/>
      <c r="G390"/>
    </row>
    <row r="391" spans="1:7" ht="15" customHeight="1" x14ac:dyDescent="0.25">
      <c r="A391" s="382" t="s">
        <v>534</v>
      </c>
      <c r="B391" s="380"/>
      <c r="C391" s="347" t="s">
        <v>161</v>
      </c>
      <c r="D391" s="348">
        <f>D389+3</f>
        <v>45901</v>
      </c>
      <c r="E391" s="349" t="s">
        <v>573</v>
      </c>
      <c r="F391" s="350" t="s">
        <v>592</v>
      </c>
      <c r="G391" s="351" t="s">
        <v>608</v>
      </c>
    </row>
    <row r="392" spans="1:7" ht="15" customHeight="1" x14ac:dyDescent="0.25">
      <c r="A392" s="383"/>
      <c r="B392" s="346"/>
      <c r="C392" s="337" t="s">
        <v>161</v>
      </c>
      <c r="D392" s="342">
        <f t="shared" ref="D392:D405" si="35">D391</f>
        <v>45901</v>
      </c>
      <c r="E392" s="338" t="s">
        <v>162</v>
      </c>
      <c r="F392" s="339" t="s">
        <v>592</v>
      </c>
      <c r="G392" s="340" t="s">
        <v>608</v>
      </c>
    </row>
    <row r="393" spans="1:7" ht="15" customHeight="1" x14ac:dyDescent="0.25">
      <c r="A393" s="383"/>
      <c r="B393" s="346"/>
      <c r="C393" s="337" t="s">
        <v>161</v>
      </c>
      <c r="D393" s="342">
        <f t="shared" si="35"/>
        <v>45901</v>
      </c>
      <c r="E393" s="338" t="s">
        <v>163</v>
      </c>
      <c r="F393" s="339" t="s">
        <v>592</v>
      </c>
      <c r="G393" s="345" t="s">
        <v>608</v>
      </c>
    </row>
    <row r="394" spans="1:7" ht="15" customHeight="1" x14ac:dyDescent="0.25">
      <c r="A394" s="383"/>
      <c r="B394" s="346"/>
      <c r="C394" s="337" t="s">
        <v>161</v>
      </c>
      <c r="D394" s="342">
        <f t="shared" si="35"/>
        <v>45901</v>
      </c>
      <c r="E394" s="338" t="s">
        <v>164</v>
      </c>
      <c r="F394" s="345" t="s">
        <v>593</v>
      </c>
      <c r="G394" s="345" t="s">
        <v>609</v>
      </c>
    </row>
    <row r="395" spans="1:7" ht="15" customHeight="1" x14ac:dyDescent="0.25">
      <c r="A395" s="383"/>
      <c r="B395" s="346"/>
      <c r="C395" s="337" t="s">
        <v>161</v>
      </c>
      <c r="D395" s="342">
        <f t="shared" si="35"/>
        <v>45901</v>
      </c>
      <c r="E395" s="338" t="s">
        <v>165</v>
      </c>
      <c r="F395" s="339" t="s">
        <v>593</v>
      </c>
      <c r="G395" s="379" t="s">
        <v>609</v>
      </c>
    </row>
    <row r="396" spans="1:7" ht="15" customHeight="1" x14ac:dyDescent="0.25">
      <c r="A396" s="383"/>
      <c r="B396" s="346"/>
      <c r="C396" s="337" t="s">
        <v>161</v>
      </c>
      <c r="D396" s="342">
        <f t="shared" si="35"/>
        <v>45901</v>
      </c>
      <c r="E396" s="338" t="s">
        <v>166</v>
      </c>
      <c r="F396" s="339" t="s">
        <v>593</v>
      </c>
      <c r="G396" s="340" t="s">
        <v>609</v>
      </c>
    </row>
    <row r="397" spans="1:7" ht="15" customHeight="1" x14ac:dyDescent="0.25">
      <c r="A397" s="383"/>
      <c r="B397" s="346"/>
      <c r="C397" s="337" t="s">
        <v>161</v>
      </c>
      <c r="D397" s="342">
        <f t="shared" si="35"/>
        <v>45901</v>
      </c>
      <c r="E397" s="338" t="s">
        <v>576</v>
      </c>
      <c r="F397" s="421" t="s">
        <v>145</v>
      </c>
      <c r="G397" s="345" t="s">
        <v>609</v>
      </c>
    </row>
    <row r="398" spans="1:7" ht="15" customHeight="1" x14ac:dyDescent="0.25">
      <c r="A398" s="383"/>
      <c r="B398" s="346"/>
      <c r="C398" s="341" t="s">
        <v>161</v>
      </c>
      <c r="D398" s="342">
        <f t="shared" si="35"/>
        <v>45901</v>
      </c>
      <c r="E398" s="343" t="s">
        <v>167</v>
      </c>
      <c r="F398" s="421" t="s">
        <v>594</v>
      </c>
      <c r="G398" s="345" t="s">
        <v>609</v>
      </c>
    </row>
    <row r="399" spans="1:7" ht="15" customHeight="1" x14ac:dyDescent="0.25">
      <c r="A399" s="383"/>
      <c r="B399" s="346"/>
      <c r="C399" s="341" t="s">
        <v>161</v>
      </c>
      <c r="D399" s="342">
        <f t="shared" si="35"/>
        <v>45901</v>
      </c>
      <c r="E399" s="343" t="s">
        <v>168</v>
      </c>
      <c r="F399" s="344" t="s">
        <v>594</v>
      </c>
      <c r="G399" s="345" t="s">
        <v>609</v>
      </c>
    </row>
    <row r="400" spans="1:7" ht="15" customHeight="1" x14ac:dyDescent="0.25">
      <c r="A400" s="383"/>
      <c r="B400" s="346"/>
      <c r="C400" s="341" t="s">
        <v>161</v>
      </c>
      <c r="D400" s="342">
        <f t="shared" si="35"/>
        <v>45901</v>
      </c>
      <c r="E400" s="343" t="s">
        <v>169</v>
      </c>
      <c r="F400" s="344" t="s">
        <v>594</v>
      </c>
      <c r="G400" s="345" t="s">
        <v>610</v>
      </c>
    </row>
    <row r="401" spans="1:7" ht="15" customHeight="1" x14ac:dyDescent="0.25">
      <c r="A401" s="383"/>
      <c r="B401" s="346"/>
      <c r="C401" s="341" t="s">
        <v>161</v>
      </c>
      <c r="D401" s="342">
        <f t="shared" si="35"/>
        <v>45901</v>
      </c>
      <c r="E401" s="343" t="s">
        <v>170</v>
      </c>
      <c r="F401" s="344" t="s">
        <v>595</v>
      </c>
      <c r="G401" s="345" t="s">
        <v>610</v>
      </c>
    </row>
    <row r="402" spans="1:7" ht="15" customHeight="1" x14ac:dyDescent="0.25">
      <c r="A402" s="383"/>
      <c r="B402" s="346"/>
      <c r="C402" s="362" t="s">
        <v>161</v>
      </c>
      <c r="D402" s="363">
        <f t="shared" si="35"/>
        <v>45901</v>
      </c>
      <c r="E402" s="353" t="s">
        <v>585</v>
      </c>
      <c r="F402" s="365" t="s">
        <v>595</v>
      </c>
      <c r="G402" s="366" t="s">
        <v>610</v>
      </c>
    </row>
    <row r="403" spans="1:7" ht="15" customHeight="1" x14ac:dyDescent="0.25">
      <c r="A403" s="383"/>
      <c r="B403" s="346"/>
      <c r="C403" s="362" t="s">
        <v>161</v>
      </c>
      <c r="D403" s="363">
        <f t="shared" si="35"/>
        <v>45901</v>
      </c>
      <c r="E403" s="364" t="s">
        <v>574</v>
      </c>
      <c r="F403" s="394" t="s">
        <v>595</v>
      </c>
      <c r="G403" s="395" t="s">
        <v>610</v>
      </c>
    </row>
    <row r="404" spans="1:7" ht="15" customHeight="1" x14ac:dyDescent="0.25">
      <c r="A404" s="383"/>
      <c r="B404" s="346"/>
      <c r="C404" s="362" t="s">
        <v>161</v>
      </c>
      <c r="D404" s="363">
        <f t="shared" si="35"/>
        <v>45901</v>
      </c>
      <c r="E404" s="364" t="s">
        <v>575</v>
      </c>
      <c r="F404" s="344" t="s">
        <v>596</v>
      </c>
      <c r="G404" s="395" t="s">
        <v>610</v>
      </c>
    </row>
    <row r="405" spans="1:7" ht="15" customHeight="1" x14ac:dyDescent="0.25">
      <c r="A405" s="383"/>
      <c r="B405" s="346"/>
      <c r="C405" s="362" t="s">
        <v>161</v>
      </c>
      <c r="D405" s="363">
        <f t="shared" si="35"/>
        <v>45901</v>
      </c>
      <c r="E405" s="413" t="s">
        <v>583</v>
      </c>
      <c r="F405" s="394" t="s">
        <v>596</v>
      </c>
      <c r="G405" s="395" t="s">
        <v>610</v>
      </c>
    </row>
    <row r="406" spans="1:7" ht="15" customHeight="1" thickBot="1" x14ac:dyDescent="0.3">
      <c r="A406" s="383"/>
      <c r="B406" s="381"/>
      <c r="C406" s="367" t="s">
        <v>161</v>
      </c>
      <c r="D406" s="368">
        <f>D402</f>
        <v>45901</v>
      </c>
      <c r="E406" s="355" t="s">
        <v>584</v>
      </c>
      <c r="F406" s="369" t="s">
        <v>596</v>
      </c>
      <c r="G406" s="370" t="s">
        <v>611</v>
      </c>
    </row>
    <row r="407" spans="1:7" ht="6" customHeight="1" thickBot="1" x14ac:dyDescent="0.3">
      <c r="A407"/>
      <c r="C407"/>
      <c r="D407"/>
      <c r="E407"/>
      <c r="F407"/>
      <c r="G407"/>
    </row>
    <row r="408" spans="1:7" ht="15" customHeight="1" x14ac:dyDescent="0.25">
      <c r="A408" s="383"/>
      <c r="C408" s="347" t="s">
        <v>171</v>
      </c>
      <c r="D408" s="348">
        <f>D406+1</f>
        <v>45902</v>
      </c>
      <c r="E408" s="349" t="s">
        <v>573</v>
      </c>
      <c r="F408" s="351" t="s">
        <v>597</v>
      </c>
      <c r="G408" s="351" t="s">
        <v>611</v>
      </c>
    </row>
    <row r="409" spans="1:7" ht="15" customHeight="1" x14ac:dyDescent="0.25">
      <c r="A409" s="383"/>
      <c r="C409" s="337" t="s">
        <v>171</v>
      </c>
      <c r="D409" s="342">
        <f t="shared" ref="D409:D422" si="36">D408</f>
        <v>45902</v>
      </c>
      <c r="E409" s="338" t="s">
        <v>162</v>
      </c>
      <c r="F409" s="339" t="s">
        <v>597</v>
      </c>
      <c r="G409" s="340" t="s">
        <v>611</v>
      </c>
    </row>
    <row r="410" spans="1:7" ht="15" customHeight="1" x14ac:dyDescent="0.25">
      <c r="A410" s="383"/>
      <c r="C410" s="337" t="s">
        <v>171</v>
      </c>
      <c r="D410" s="342">
        <f t="shared" si="36"/>
        <v>45902</v>
      </c>
      <c r="E410" s="338" t="s">
        <v>163</v>
      </c>
      <c r="F410" s="428" t="s">
        <v>597</v>
      </c>
      <c r="G410" s="340" t="s">
        <v>611</v>
      </c>
    </row>
    <row r="411" spans="1:7" ht="15" customHeight="1" x14ac:dyDescent="0.25">
      <c r="A411" s="383"/>
      <c r="C411" s="337" t="s">
        <v>171</v>
      </c>
      <c r="D411" s="342">
        <f t="shared" si="36"/>
        <v>45902</v>
      </c>
      <c r="E411" s="425" t="s">
        <v>164</v>
      </c>
      <c r="F411" s="427" t="s">
        <v>637</v>
      </c>
      <c r="G411" s="402" t="s">
        <v>611</v>
      </c>
    </row>
    <row r="412" spans="1:7" ht="15" customHeight="1" x14ac:dyDescent="0.25">
      <c r="A412" s="383"/>
      <c r="C412" s="337" t="s">
        <v>171</v>
      </c>
      <c r="D412" s="342">
        <f t="shared" si="36"/>
        <v>45902</v>
      </c>
      <c r="E412" s="338" t="s">
        <v>165</v>
      </c>
      <c r="F412" s="339" t="s">
        <v>637</v>
      </c>
      <c r="G412" s="340" t="s">
        <v>611</v>
      </c>
    </row>
    <row r="413" spans="1:7" ht="15" customHeight="1" x14ac:dyDescent="0.25">
      <c r="A413" s="383"/>
      <c r="C413" s="337" t="s">
        <v>171</v>
      </c>
      <c r="D413" s="342">
        <f t="shared" si="36"/>
        <v>45902</v>
      </c>
      <c r="E413" s="338" t="s">
        <v>166</v>
      </c>
      <c r="F413" s="339" t="s">
        <v>637</v>
      </c>
      <c r="G413" s="316" t="s">
        <v>612</v>
      </c>
    </row>
    <row r="414" spans="1:7" ht="15" customHeight="1" x14ac:dyDescent="0.25">
      <c r="A414" s="383"/>
      <c r="C414" s="337" t="s">
        <v>171</v>
      </c>
      <c r="D414" s="342">
        <f t="shared" si="36"/>
        <v>45902</v>
      </c>
      <c r="E414" s="338" t="s">
        <v>576</v>
      </c>
      <c r="F414" s="421" t="s">
        <v>145</v>
      </c>
      <c r="G414" s="345" t="s">
        <v>612</v>
      </c>
    </row>
    <row r="415" spans="1:7" ht="15" customHeight="1" x14ac:dyDescent="0.25">
      <c r="A415" s="383"/>
      <c r="C415" s="341" t="s">
        <v>171</v>
      </c>
      <c r="D415" s="342">
        <f t="shared" si="36"/>
        <v>45902</v>
      </c>
      <c r="E415" s="343" t="s">
        <v>167</v>
      </c>
      <c r="F415" s="344" t="s">
        <v>637</v>
      </c>
      <c r="G415" s="345" t="s">
        <v>612</v>
      </c>
    </row>
    <row r="416" spans="1:7" ht="15" customHeight="1" x14ac:dyDescent="0.25">
      <c r="A416" s="383"/>
      <c r="C416" s="341" t="s">
        <v>171</v>
      </c>
      <c r="D416" s="342">
        <f t="shared" si="36"/>
        <v>45902</v>
      </c>
      <c r="E416" s="343" t="s">
        <v>168</v>
      </c>
      <c r="F416" s="344" t="s">
        <v>637</v>
      </c>
      <c r="G416" s="345" t="s">
        <v>612</v>
      </c>
    </row>
    <row r="417" spans="1:8" ht="15" customHeight="1" x14ac:dyDescent="0.25">
      <c r="A417" s="383"/>
      <c r="C417" s="341" t="s">
        <v>171</v>
      </c>
      <c r="D417" s="342">
        <f t="shared" si="36"/>
        <v>45902</v>
      </c>
      <c r="E417" s="343" t="s">
        <v>169</v>
      </c>
      <c r="F417" s="344" t="s">
        <v>637</v>
      </c>
      <c r="G417" s="345" t="s">
        <v>612</v>
      </c>
    </row>
    <row r="418" spans="1:8" ht="15" customHeight="1" x14ac:dyDescent="0.25">
      <c r="A418" s="383"/>
      <c r="C418" s="341" t="s">
        <v>171</v>
      </c>
      <c r="D418" s="342">
        <f t="shared" si="36"/>
        <v>45902</v>
      </c>
      <c r="E418" s="343" t="s">
        <v>170</v>
      </c>
      <c r="F418" s="344" t="s">
        <v>639</v>
      </c>
      <c r="G418" s="345" t="s">
        <v>612</v>
      </c>
    </row>
    <row r="419" spans="1:8" ht="15" customHeight="1" x14ac:dyDescent="0.25">
      <c r="A419" s="383"/>
      <c r="C419" s="362" t="s">
        <v>171</v>
      </c>
      <c r="D419" s="363">
        <f t="shared" si="36"/>
        <v>45902</v>
      </c>
      <c r="E419" s="353" t="s">
        <v>585</v>
      </c>
      <c r="F419" s="365" t="s">
        <v>639</v>
      </c>
      <c r="G419" s="344" t="s">
        <v>598</v>
      </c>
    </row>
    <row r="420" spans="1:8" ht="15" customHeight="1" x14ac:dyDescent="0.25">
      <c r="A420" s="383"/>
      <c r="C420" s="362" t="s">
        <v>171</v>
      </c>
      <c r="D420" s="363">
        <f t="shared" si="36"/>
        <v>45902</v>
      </c>
      <c r="E420" s="364" t="s">
        <v>574</v>
      </c>
      <c r="F420" s="394" t="s">
        <v>639</v>
      </c>
      <c r="G420" s="435" t="s">
        <v>598</v>
      </c>
    </row>
    <row r="421" spans="1:8" ht="15" customHeight="1" x14ac:dyDescent="0.25">
      <c r="A421" s="383"/>
      <c r="C421" s="362" t="s">
        <v>171</v>
      </c>
      <c r="D421" s="363">
        <f t="shared" si="36"/>
        <v>45902</v>
      </c>
      <c r="E421" s="364" t="s">
        <v>575</v>
      </c>
      <c r="F421" s="394" t="s">
        <v>639</v>
      </c>
      <c r="G421" s="435" t="s">
        <v>598</v>
      </c>
    </row>
    <row r="422" spans="1:8" ht="15" customHeight="1" x14ac:dyDescent="0.25">
      <c r="A422" s="383"/>
      <c r="C422" s="362" t="s">
        <v>171</v>
      </c>
      <c r="D422" s="363">
        <f t="shared" si="36"/>
        <v>45902</v>
      </c>
      <c r="E422" s="413" t="s">
        <v>583</v>
      </c>
      <c r="F422" s="394" t="s">
        <v>639</v>
      </c>
      <c r="G422" s="435" t="s">
        <v>598</v>
      </c>
    </row>
    <row r="423" spans="1:8" ht="15" customHeight="1" thickBot="1" x14ac:dyDescent="0.3">
      <c r="A423" s="383"/>
      <c r="C423" s="367" t="s">
        <v>171</v>
      </c>
      <c r="D423" s="368">
        <f>D419</f>
        <v>45902</v>
      </c>
      <c r="E423" s="355" t="s">
        <v>584</v>
      </c>
      <c r="F423" s="369" t="s">
        <v>639</v>
      </c>
      <c r="G423" s="344" t="s">
        <v>599</v>
      </c>
    </row>
    <row r="424" spans="1:8" ht="6" customHeight="1" thickBot="1" x14ac:dyDescent="0.3">
      <c r="A424"/>
      <c r="C424"/>
      <c r="D424"/>
      <c r="E424"/>
      <c r="F424"/>
      <c r="G424"/>
    </row>
    <row r="425" spans="1:8" ht="15" customHeight="1" x14ac:dyDescent="0.25">
      <c r="A425" s="383"/>
      <c r="C425" s="347" t="s">
        <v>172</v>
      </c>
      <c r="D425" s="348">
        <f>D423+1</f>
        <v>45903</v>
      </c>
      <c r="E425" s="349" t="s">
        <v>573</v>
      </c>
      <c r="F425" s="344" t="s">
        <v>638</v>
      </c>
      <c r="G425" s="378" t="s">
        <v>599</v>
      </c>
    </row>
    <row r="426" spans="1:8" ht="15" customHeight="1" x14ac:dyDescent="0.25">
      <c r="A426" s="383"/>
      <c r="C426" s="337" t="s">
        <v>172</v>
      </c>
      <c r="D426" s="342">
        <f t="shared" ref="D426:D439" si="37">D425</f>
        <v>45903</v>
      </c>
      <c r="E426" s="338" t="s">
        <v>162</v>
      </c>
      <c r="F426" s="339" t="s">
        <v>638</v>
      </c>
      <c r="G426" s="379" t="s">
        <v>599</v>
      </c>
      <c r="H426" s="339" t="s">
        <v>586</v>
      </c>
    </row>
    <row r="427" spans="1:8" ht="15" customHeight="1" x14ac:dyDescent="0.25">
      <c r="A427" s="383"/>
      <c r="C427" s="337" t="s">
        <v>172</v>
      </c>
      <c r="D427" s="342">
        <f t="shared" si="37"/>
        <v>45903</v>
      </c>
      <c r="E427" s="338" t="s">
        <v>163</v>
      </c>
      <c r="F427" s="339" t="s">
        <v>638</v>
      </c>
      <c r="G427" s="379" t="s">
        <v>599</v>
      </c>
      <c r="H427" s="339" t="s">
        <v>588</v>
      </c>
    </row>
    <row r="428" spans="1:8" ht="15" customHeight="1" x14ac:dyDescent="0.25">
      <c r="A428" s="383"/>
      <c r="C428" s="337" t="s">
        <v>172</v>
      </c>
      <c r="D428" s="342">
        <f t="shared" si="37"/>
        <v>45903</v>
      </c>
      <c r="E428" s="338" t="s">
        <v>164</v>
      </c>
      <c r="F428" s="339" t="s">
        <v>638</v>
      </c>
      <c r="G428" s="345" t="s">
        <v>600</v>
      </c>
      <c r="H428" s="339" t="s">
        <v>589</v>
      </c>
    </row>
    <row r="429" spans="1:8" ht="15" customHeight="1" x14ac:dyDescent="0.25">
      <c r="A429" s="383"/>
      <c r="C429" s="337" t="s">
        <v>172</v>
      </c>
      <c r="D429" s="342">
        <f t="shared" si="37"/>
        <v>45903</v>
      </c>
      <c r="E429" s="338" t="s">
        <v>165</v>
      </c>
      <c r="F429" s="339" t="s">
        <v>638</v>
      </c>
      <c r="G429" s="379" t="s">
        <v>600</v>
      </c>
      <c r="H429" s="339" t="s">
        <v>587</v>
      </c>
    </row>
    <row r="430" spans="1:8" ht="15" customHeight="1" x14ac:dyDescent="0.25">
      <c r="A430" s="383"/>
      <c r="C430" s="337" t="s">
        <v>172</v>
      </c>
      <c r="D430" s="342">
        <f t="shared" si="37"/>
        <v>45903</v>
      </c>
      <c r="E430" s="338" t="s">
        <v>166</v>
      </c>
      <c r="F430" s="339" t="s">
        <v>638</v>
      </c>
      <c r="G430" s="379" t="s">
        <v>600</v>
      </c>
      <c r="H430" s="339" t="s">
        <v>590</v>
      </c>
    </row>
    <row r="431" spans="1:8" ht="15" customHeight="1" x14ac:dyDescent="0.25">
      <c r="A431" s="383"/>
      <c r="C431" s="337" t="s">
        <v>172</v>
      </c>
      <c r="D431" s="342">
        <f t="shared" si="37"/>
        <v>45903</v>
      </c>
      <c r="E431" s="338" t="s">
        <v>576</v>
      </c>
      <c r="F431" s="421" t="s">
        <v>145</v>
      </c>
      <c r="G431" s="316" t="s">
        <v>600</v>
      </c>
      <c r="H431" s="339" t="s">
        <v>591</v>
      </c>
    </row>
    <row r="432" spans="1:8" ht="15" customHeight="1" x14ac:dyDescent="0.25">
      <c r="A432" s="383"/>
      <c r="C432" s="341" t="s">
        <v>172</v>
      </c>
      <c r="D432" s="342">
        <f t="shared" si="37"/>
        <v>45903</v>
      </c>
      <c r="E432" s="343" t="s">
        <v>167</v>
      </c>
      <c r="F432" s="344" t="s">
        <v>640</v>
      </c>
      <c r="G432" s="344" t="s">
        <v>601</v>
      </c>
    </row>
    <row r="433" spans="1:7" ht="15" customHeight="1" x14ac:dyDescent="0.25">
      <c r="A433" s="383"/>
      <c r="C433" s="341" t="s">
        <v>172</v>
      </c>
      <c r="D433" s="342">
        <f t="shared" si="37"/>
        <v>45903</v>
      </c>
      <c r="E433" s="343" t="s">
        <v>168</v>
      </c>
      <c r="F433" s="344" t="s">
        <v>640</v>
      </c>
      <c r="G433" s="316" t="s">
        <v>601</v>
      </c>
    </row>
    <row r="434" spans="1:7" ht="15" customHeight="1" x14ac:dyDescent="0.25">
      <c r="A434" s="383"/>
      <c r="C434" s="341" t="s">
        <v>172</v>
      </c>
      <c r="D434" s="342">
        <f t="shared" si="37"/>
        <v>45903</v>
      </c>
      <c r="E434" s="343" t="s">
        <v>169</v>
      </c>
      <c r="F434" s="344" t="s">
        <v>640</v>
      </c>
      <c r="G434" s="316" t="s">
        <v>601</v>
      </c>
    </row>
    <row r="435" spans="1:7" ht="15" customHeight="1" x14ac:dyDescent="0.25">
      <c r="A435" s="383"/>
      <c r="C435" s="341" t="s">
        <v>172</v>
      </c>
      <c r="D435" s="342">
        <f t="shared" si="37"/>
        <v>45903</v>
      </c>
      <c r="E435" s="343" t="s">
        <v>170</v>
      </c>
      <c r="F435" s="344" t="s">
        <v>640</v>
      </c>
      <c r="G435" s="316" t="s">
        <v>601</v>
      </c>
    </row>
    <row r="436" spans="1:7" ht="15" customHeight="1" x14ac:dyDescent="0.25">
      <c r="A436" s="383"/>
      <c r="C436" s="362" t="s">
        <v>172</v>
      </c>
      <c r="D436" s="363">
        <f t="shared" si="37"/>
        <v>45903</v>
      </c>
      <c r="E436" s="353" t="s">
        <v>585</v>
      </c>
      <c r="F436" s="390" t="s">
        <v>640</v>
      </c>
      <c r="G436" s="344" t="s">
        <v>602</v>
      </c>
    </row>
    <row r="437" spans="1:7" ht="15" customHeight="1" x14ac:dyDescent="0.25">
      <c r="A437" s="383"/>
      <c r="C437" s="362" t="s">
        <v>172</v>
      </c>
      <c r="D437" s="363">
        <f t="shared" si="37"/>
        <v>45903</v>
      </c>
      <c r="E437" s="364" t="s">
        <v>574</v>
      </c>
      <c r="F437" s="394" t="s">
        <v>640</v>
      </c>
      <c r="G437" s="435" t="s">
        <v>602</v>
      </c>
    </row>
    <row r="438" spans="1:7" ht="15" customHeight="1" x14ac:dyDescent="0.25">
      <c r="A438" s="383"/>
      <c r="C438" s="362" t="s">
        <v>172</v>
      </c>
      <c r="D438" s="363">
        <f t="shared" si="37"/>
        <v>45903</v>
      </c>
      <c r="E438" s="364" t="s">
        <v>575</v>
      </c>
      <c r="F438" s="344" t="s">
        <v>641</v>
      </c>
      <c r="G438" s="435" t="s">
        <v>602</v>
      </c>
    </row>
    <row r="439" spans="1:7" ht="15" customHeight="1" x14ac:dyDescent="0.25">
      <c r="A439" s="383"/>
      <c r="C439" s="362" t="s">
        <v>172</v>
      </c>
      <c r="D439" s="363">
        <f t="shared" si="37"/>
        <v>45903</v>
      </c>
      <c r="E439" s="413" t="s">
        <v>583</v>
      </c>
      <c r="F439" s="423" t="s">
        <v>641</v>
      </c>
      <c r="G439" s="435" t="s">
        <v>602</v>
      </c>
    </row>
    <row r="440" spans="1:7" ht="15" customHeight="1" thickBot="1" x14ac:dyDescent="0.3">
      <c r="A440" s="383"/>
      <c r="C440" s="367" t="s">
        <v>172</v>
      </c>
      <c r="D440" s="368">
        <f>D436</f>
        <v>45903</v>
      </c>
      <c r="E440" s="355" t="s">
        <v>584</v>
      </c>
      <c r="F440" s="369" t="s">
        <v>641</v>
      </c>
      <c r="G440" s="375" t="s">
        <v>603</v>
      </c>
    </row>
    <row r="441" spans="1:7" ht="6" customHeight="1" thickBot="1" x14ac:dyDescent="0.3">
      <c r="A441"/>
      <c r="C441"/>
      <c r="D441"/>
      <c r="E441"/>
      <c r="F441"/>
      <c r="G441"/>
    </row>
    <row r="442" spans="1:7" ht="15" customHeight="1" x14ac:dyDescent="0.25">
      <c r="A442" s="383"/>
      <c r="C442" s="347" t="s">
        <v>173</v>
      </c>
      <c r="D442" s="348">
        <f>D440+1</f>
        <v>45904</v>
      </c>
      <c r="E442" s="349" t="s">
        <v>573</v>
      </c>
      <c r="F442" s="350" t="s">
        <v>641</v>
      </c>
      <c r="G442" s="378" t="s">
        <v>603</v>
      </c>
    </row>
    <row r="443" spans="1:7" ht="15" customHeight="1" x14ac:dyDescent="0.25">
      <c r="A443" s="383"/>
      <c r="C443" s="337" t="s">
        <v>173</v>
      </c>
      <c r="D443" s="342">
        <f t="shared" ref="D443:D456" si="38">D442</f>
        <v>45904</v>
      </c>
      <c r="E443" s="338" t="s">
        <v>162</v>
      </c>
      <c r="F443" s="339" t="s">
        <v>641</v>
      </c>
      <c r="G443" s="379" t="s">
        <v>603</v>
      </c>
    </row>
    <row r="444" spans="1:7" ht="15" customHeight="1" x14ac:dyDescent="0.25">
      <c r="A444" s="383"/>
      <c r="C444" s="337" t="s">
        <v>173</v>
      </c>
      <c r="D444" s="342">
        <f t="shared" si="38"/>
        <v>45904</v>
      </c>
      <c r="E444" s="338" t="s">
        <v>163</v>
      </c>
      <c r="F444" s="344" t="s">
        <v>641</v>
      </c>
      <c r="G444" s="379" t="s">
        <v>603</v>
      </c>
    </row>
    <row r="445" spans="1:7" ht="15" customHeight="1" x14ac:dyDescent="0.25">
      <c r="A445" s="383"/>
      <c r="C445" s="337" t="s">
        <v>173</v>
      </c>
      <c r="D445" s="342">
        <f t="shared" si="38"/>
        <v>45904</v>
      </c>
      <c r="E445" s="338" t="s">
        <v>164</v>
      </c>
      <c r="F445" s="421" t="s">
        <v>641</v>
      </c>
      <c r="G445" s="379"/>
    </row>
    <row r="446" spans="1:7" ht="15" customHeight="1" x14ac:dyDescent="0.25">
      <c r="A446" s="383"/>
      <c r="C446" s="337" t="s">
        <v>173</v>
      </c>
      <c r="D446" s="342">
        <f t="shared" si="38"/>
        <v>45904</v>
      </c>
      <c r="E446" s="338" t="s">
        <v>165</v>
      </c>
      <c r="F446" s="339" t="s">
        <v>641</v>
      </c>
      <c r="G446" s="340"/>
    </row>
    <row r="447" spans="1:7" ht="15" customHeight="1" x14ac:dyDescent="0.25">
      <c r="A447" s="383"/>
      <c r="C447" s="337" t="s">
        <v>173</v>
      </c>
      <c r="D447" s="342">
        <f t="shared" si="38"/>
        <v>45904</v>
      </c>
      <c r="E447" s="338" t="s">
        <v>166</v>
      </c>
      <c r="F447" s="339" t="s">
        <v>641</v>
      </c>
      <c r="G447" s="340"/>
    </row>
    <row r="448" spans="1:7" ht="15" customHeight="1" x14ac:dyDescent="0.25">
      <c r="A448" s="383"/>
      <c r="C448" s="337" t="s">
        <v>173</v>
      </c>
      <c r="D448" s="342">
        <f t="shared" si="38"/>
        <v>45904</v>
      </c>
      <c r="E448" s="338" t="s">
        <v>576</v>
      </c>
      <c r="F448" s="421" t="s">
        <v>145</v>
      </c>
      <c r="G448" s="345"/>
    </row>
    <row r="449" spans="1:7" ht="15" customHeight="1" x14ac:dyDescent="0.25">
      <c r="A449" s="383"/>
      <c r="C449" s="341" t="s">
        <v>173</v>
      </c>
      <c r="D449" s="342">
        <f t="shared" si="38"/>
        <v>45904</v>
      </c>
      <c r="E449" s="343" t="s">
        <v>167</v>
      </c>
      <c r="F449" s="344"/>
      <c r="G449" s="345"/>
    </row>
    <row r="450" spans="1:7" ht="15" customHeight="1" x14ac:dyDescent="0.25">
      <c r="A450" s="383"/>
      <c r="C450" s="341" t="s">
        <v>173</v>
      </c>
      <c r="D450" s="342">
        <f t="shared" si="38"/>
        <v>45904</v>
      </c>
      <c r="E450" s="343" t="s">
        <v>168</v>
      </c>
      <c r="F450" s="344"/>
      <c r="G450" s="345"/>
    </row>
    <row r="451" spans="1:7" ht="15" customHeight="1" x14ac:dyDescent="0.25">
      <c r="A451" s="383"/>
      <c r="C451" s="341" t="s">
        <v>173</v>
      </c>
      <c r="D451" s="342">
        <f t="shared" si="38"/>
        <v>45904</v>
      </c>
      <c r="E451" s="343" t="s">
        <v>169</v>
      </c>
      <c r="F451" s="344"/>
      <c r="G451" s="345"/>
    </row>
    <row r="452" spans="1:7" ht="15" customHeight="1" x14ac:dyDescent="0.25">
      <c r="A452" s="383"/>
      <c r="C452" s="341" t="s">
        <v>173</v>
      </c>
      <c r="D452" s="342">
        <f t="shared" si="38"/>
        <v>45904</v>
      </c>
      <c r="E452" s="343" t="s">
        <v>170</v>
      </c>
      <c r="F452" s="344"/>
      <c r="G452" s="345"/>
    </row>
    <row r="453" spans="1:7" ht="15" customHeight="1" x14ac:dyDescent="0.25">
      <c r="A453" s="383"/>
      <c r="C453" s="362" t="s">
        <v>173</v>
      </c>
      <c r="D453" s="363">
        <f t="shared" si="38"/>
        <v>45904</v>
      </c>
      <c r="E453" s="353" t="s">
        <v>585</v>
      </c>
      <c r="F453" s="365"/>
      <c r="G453" s="366"/>
    </row>
    <row r="454" spans="1:7" ht="15" customHeight="1" x14ac:dyDescent="0.25">
      <c r="A454" s="383"/>
      <c r="C454" s="362" t="s">
        <v>173</v>
      </c>
      <c r="D454" s="363">
        <f t="shared" si="38"/>
        <v>45904</v>
      </c>
      <c r="E454" s="364" t="s">
        <v>574</v>
      </c>
      <c r="F454" s="365"/>
      <c r="G454" s="395"/>
    </row>
    <row r="455" spans="1:7" ht="15" customHeight="1" x14ac:dyDescent="0.25">
      <c r="A455" s="383"/>
      <c r="C455" s="362" t="s">
        <v>173</v>
      </c>
      <c r="D455" s="363">
        <f t="shared" si="38"/>
        <v>45904</v>
      </c>
      <c r="E455" s="364" t="s">
        <v>575</v>
      </c>
      <c r="F455" s="394"/>
      <c r="G455" s="395"/>
    </row>
    <row r="456" spans="1:7" ht="15" customHeight="1" x14ac:dyDescent="0.25">
      <c r="A456" s="383"/>
      <c r="C456" s="362" t="s">
        <v>173</v>
      </c>
      <c r="D456" s="363">
        <f t="shared" si="38"/>
        <v>45904</v>
      </c>
      <c r="E456" s="413" t="s">
        <v>583</v>
      </c>
      <c r="F456" s="394"/>
      <c r="G456" s="395"/>
    </row>
    <row r="457" spans="1:7" ht="15" customHeight="1" thickBot="1" x14ac:dyDescent="0.3">
      <c r="A457" s="383"/>
      <c r="C457" s="367" t="s">
        <v>173</v>
      </c>
      <c r="D457" s="368">
        <f>D453</f>
        <v>45904</v>
      </c>
      <c r="E457" s="355" t="s">
        <v>584</v>
      </c>
      <c r="F457" s="369"/>
      <c r="G457" s="370"/>
    </row>
    <row r="458" spans="1:7" ht="6" customHeight="1" thickBot="1" x14ac:dyDescent="0.3">
      <c r="A458"/>
      <c r="C458"/>
      <c r="D458"/>
      <c r="E458"/>
      <c r="F458"/>
      <c r="G458"/>
    </row>
    <row r="459" spans="1:7" ht="15" customHeight="1" x14ac:dyDescent="0.25">
      <c r="A459" s="383"/>
      <c r="C459" s="347" t="s">
        <v>174</v>
      </c>
      <c r="D459" s="348">
        <f>D457+1</f>
        <v>45905</v>
      </c>
      <c r="E459" s="349" t="s">
        <v>573</v>
      </c>
      <c r="F459" s="417"/>
      <c r="G459" s="429"/>
    </row>
    <row r="460" spans="1:7" ht="15" customHeight="1" x14ac:dyDescent="0.25">
      <c r="A460" s="383"/>
      <c r="C460" s="337" t="s">
        <v>174</v>
      </c>
      <c r="D460" s="342">
        <f t="shared" ref="D460:D473" si="39">D459</f>
        <v>45905</v>
      </c>
      <c r="E460" s="338" t="s">
        <v>162</v>
      </c>
      <c r="F460" s="339"/>
      <c r="G460" s="340"/>
    </row>
    <row r="461" spans="1:7" ht="15" customHeight="1" x14ac:dyDescent="0.25">
      <c r="A461" s="383"/>
      <c r="C461" s="337" t="s">
        <v>174</v>
      </c>
      <c r="D461" s="342">
        <f t="shared" si="39"/>
        <v>45905</v>
      </c>
      <c r="E461" s="338" t="s">
        <v>163</v>
      </c>
      <c r="F461" s="344"/>
      <c r="G461" s="340"/>
    </row>
    <row r="462" spans="1:7" ht="15" customHeight="1" x14ac:dyDescent="0.25">
      <c r="A462" s="383"/>
      <c r="C462" s="337" t="s">
        <v>174</v>
      </c>
      <c r="D462" s="342">
        <f t="shared" si="39"/>
        <v>45905</v>
      </c>
      <c r="E462" s="338" t="s">
        <v>164</v>
      </c>
      <c r="F462" s="339"/>
      <c r="G462" s="340"/>
    </row>
    <row r="463" spans="1:7" ht="15" customHeight="1" x14ac:dyDescent="0.25">
      <c r="A463" s="383"/>
      <c r="C463" s="337" t="s">
        <v>174</v>
      </c>
      <c r="D463" s="342">
        <f t="shared" si="39"/>
        <v>45905</v>
      </c>
      <c r="E463" s="338" t="s">
        <v>165</v>
      </c>
      <c r="F463" s="339"/>
      <c r="G463" s="340"/>
    </row>
    <row r="464" spans="1:7" ht="15" customHeight="1" x14ac:dyDescent="0.25">
      <c r="A464" s="383"/>
      <c r="C464" s="337" t="s">
        <v>174</v>
      </c>
      <c r="D464" s="342">
        <f t="shared" si="39"/>
        <v>45905</v>
      </c>
      <c r="E464" s="338" t="s">
        <v>166</v>
      </c>
      <c r="F464" s="339"/>
      <c r="G464" s="345"/>
    </row>
    <row r="465" spans="1:7" ht="15" customHeight="1" x14ac:dyDescent="0.25">
      <c r="A465" s="383"/>
      <c r="C465" s="337" t="s">
        <v>174</v>
      </c>
      <c r="D465" s="342">
        <f t="shared" si="39"/>
        <v>45905</v>
      </c>
      <c r="E465" s="338" t="s">
        <v>576</v>
      </c>
      <c r="F465" s="421" t="s">
        <v>145</v>
      </c>
      <c r="G465" s="345"/>
    </row>
    <row r="466" spans="1:7" ht="15" customHeight="1" x14ac:dyDescent="0.25">
      <c r="A466" s="383"/>
      <c r="C466" s="341" t="s">
        <v>174</v>
      </c>
      <c r="D466" s="342">
        <f t="shared" si="39"/>
        <v>45905</v>
      </c>
      <c r="E466" s="343" t="s">
        <v>167</v>
      </c>
      <c r="F466" s="344"/>
      <c r="G466" s="345"/>
    </row>
    <row r="467" spans="1:7" ht="15" customHeight="1" x14ac:dyDescent="0.25">
      <c r="A467" s="383"/>
      <c r="C467" s="341" t="s">
        <v>174</v>
      </c>
      <c r="D467" s="342">
        <f t="shared" si="39"/>
        <v>45905</v>
      </c>
      <c r="E467" s="343" t="s">
        <v>168</v>
      </c>
      <c r="F467" s="344"/>
      <c r="G467" s="345"/>
    </row>
    <row r="468" spans="1:7" ht="15" customHeight="1" x14ac:dyDescent="0.25">
      <c r="A468" s="383"/>
      <c r="C468" s="341" t="s">
        <v>174</v>
      </c>
      <c r="D468" s="342">
        <f t="shared" si="39"/>
        <v>45905</v>
      </c>
      <c r="E468" s="343" t="s">
        <v>169</v>
      </c>
      <c r="F468" s="344"/>
      <c r="G468" s="345"/>
    </row>
    <row r="469" spans="1:7" ht="15" customHeight="1" x14ac:dyDescent="0.25">
      <c r="A469" s="383"/>
      <c r="C469" s="341" t="s">
        <v>174</v>
      </c>
      <c r="D469" s="342">
        <f t="shared" si="39"/>
        <v>45905</v>
      </c>
      <c r="E469" s="343" t="s">
        <v>170</v>
      </c>
      <c r="F469" s="344"/>
      <c r="G469" s="345"/>
    </row>
    <row r="470" spans="1:7" ht="15" customHeight="1" x14ac:dyDescent="0.25">
      <c r="A470" s="383"/>
      <c r="C470" s="362" t="s">
        <v>174</v>
      </c>
      <c r="D470" s="363">
        <f t="shared" si="39"/>
        <v>45905</v>
      </c>
      <c r="E470" s="353" t="s">
        <v>585</v>
      </c>
      <c r="F470" s="365"/>
      <c r="G470" s="366"/>
    </row>
    <row r="471" spans="1:7" ht="15" customHeight="1" x14ac:dyDescent="0.25">
      <c r="A471" s="383"/>
      <c r="C471" s="362" t="s">
        <v>174</v>
      </c>
      <c r="D471" s="363">
        <f t="shared" si="39"/>
        <v>45905</v>
      </c>
      <c r="E471" s="364" t="s">
        <v>574</v>
      </c>
      <c r="F471" s="394"/>
      <c r="G471" s="435"/>
    </row>
    <row r="472" spans="1:7" ht="15" customHeight="1" x14ac:dyDescent="0.25">
      <c r="A472" s="383"/>
      <c r="C472" s="362" t="s">
        <v>174</v>
      </c>
      <c r="D472" s="363">
        <f t="shared" si="39"/>
        <v>45905</v>
      </c>
      <c r="E472" s="364" t="s">
        <v>575</v>
      </c>
      <c r="F472" s="394"/>
      <c r="G472" s="395"/>
    </row>
    <row r="473" spans="1:7" ht="15" customHeight="1" x14ac:dyDescent="0.25">
      <c r="A473" s="383"/>
      <c r="C473" s="362" t="s">
        <v>174</v>
      </c>
      <c r="D473" s="363">
        <f t="shared" si="39"/>
        <v>45905</v>
      </c>
      <c r="E473" s="413" t="s">
        <v>583</v>
      </c>
      <c r="F473" s="394"/>
      <c r="G473" s="395"/>
    </row>
    <row r="474" spans="1:7" ht="15" customHeight="1" thickBot="1" x14ac:dyDescent="0.3">
      <c r="A474" s="383"/>
      <c r="C474" s="367" t="s">
        <v>174</v>
      </c>
      <c r="D474" s="368">
        <f>D470</f>
        <v>45905</v>
      </c>
      <c r="E474" s="355" t="s">
        <v>584</v>
      </c>
      <c r="F474" s="369"/>
      <c r="G474" s="370"/>
    </row>
    <row r="475" spans="1:7" ht="15" customHeight="1" thickBot="1" x14ac:dyDescent="0.3">
      <c r="A475"/>
      <c r="C475"/>
      <c r="D475"/>
      <c r="E475"/>
      <c r="F475"/>
      <c r="G475"/>
    </row>
    <row r="476" spans="1:7" ht="15" customHeight="1" thickBot="1" x14ac:dyDescent="0.3">
      <c r="A476"/>
      <c r="C476" s="430" t="s">
        <v>643</v>
      </c>
      <c r="D476" s="431"/>
      <c r="E476" s="431"/>
      <c r="F476" s="431"/>
      <c r="G476" s="432"/>
    </row>
    <row r="477" spans="1:7" ht="15" customHeight="1" x14ac:dyDescent="0.25">
      <c r="A477"/>
      <c r="C477" s="347" t="s">
        <v>161</v>
      </c>
      <c r="D477" s="348">
        <f>D474+3</f>
        <v>45908</v>
      </c>
      <c r="E477" s="349" t="s">
        <v>573</v>
      </c>
      <c r="F477" s="302" t="s">
        <v>645</v>
      </c>
      <c r="G477" s="351" t="s">
        <v>642</v>
      </c>
    </row>
    <row r="478" spans="1:7" ht="15" customHeight="1" x14ac:dyDescent="0.25">
      <c r="A478"/>
      <c r="C478" s="337" t="s">
        <v>161</v>
      </c>
      <c r="D478" s="342">
        <f t="shared" ref="D478:D489" si="40">D477</f>
        <v>45908</v>
      </c>
      <c r="E478" s="338" t="s">
        <v>162</v>
      </c>
      <c r="F478" s="339" t="s">
        <v>645</v>
      </c>
      <c r="G478" s="340" t="s">
        <v>642</v>
      </c>
    </row>
    <row r="479" spans="1:7" ht="15" customHeight="1" x14ac:dyDescent="0.25">
      <c r="A479"/>
      <c r="C479" s="337" t="s">
        <v>161</v>
      </c>
      <c r="D479" s="342">
        <f t="shared" si="40"/>
        <v>45908</v>
      </c>
      <c r="E479" s="338" t="s">
        <v>163</v>
      </c>
      <c r="F479" s="339" t="s">
        <v>645</v>
      </c>
      <c r="G479" s="340" t="s">
        <v>642</v>
      </c>
    </row>
    <row r="480" spans="1:7" ht="15" customHeight="1" x14ac:dyDescent="0.25">
      <c r="A480"/>
      <c r="C480" s="337" t="s">
        <v>161</v>
      </c>
      <c r="D480" s="342">
        <f t="shared" si="40"/>
        <v>45908</v>
      </c>
      <c r="E480" s="338" t="s">
        <v>164</v>
      </c>
      <c r="F480" s="339" t="s">
        <v>645</v>
      </c>
      <c r="G480" s="340" t="s">
        <v>642</v>
      </c>
    </row>
    <row r="481" spans="1:7" ht="15" customHeight="1" x14ac:dyDescent="0.25">
      <c r="A481"/>
      <c r="C481" s="337" t="s">
        <v>161</v>
      </c>
      <c r="D481" s="342">
        <f t="shared" si="40"/>
        <v>45908</v>
      </c>
      <c r="E481" s="338" t="s">
        <v>165</v>
      </c>
      <c r="F481" s="339" t="s">
        <v>645</v>
      </c>
      <c r="G481" s="340" t="s">
        <v>642</v>
      </c>
    </row>
    <row r="482" spans="1:7" ht="15" customHeight="1" x14ac:dyDescent="0.25">
      <c r="A482"/>
      <c r="C482" s="337" t="s">
        <v>161</v>
      </c>
      <c r="D482" s="342">
        <f t="shared" si="40"/>
        <v>45908</v>
      </c>
      <c r="E482" s="338" t="s">
        <v>166</v>
      </c>
      <c r="F482" s="339" t="s">
        <v>645</v>
      </c>
      <c r="G482" s="340" t="s">
        <v>642</v>
      </c>
    </row>
    <row r="483" spans="1:7" ht="15" customHeight="1" x14ac:dyDescent="0.25">
      <c r="A483"/>
      <c r="C483" s="337" t="s">
        <v>161</v>
      </c>
      <c r="D483" s="342">
        <f t="shared" si="40"/>
        <v>45908</v>
      </c>
      <c r="E483" s="338" t="s">
        <v>576</v>
      </c>
      <c r="F483" s="421" t="s">
        <v>145</v>
      </c>
      <c r="G483" s="345" t="s">
        <v>642</v>
      </c>
    </row>
    <row r="484" spans="1:7" ht="15" customHeight="1" x14ac:dyDescent="0.25">
      <c r="A484"/>
      <c r="C484" s="341" t="s">
        <v>161</v>
      </c>
      <c r="D484" s="342">
        <f t="shared" si="40"/>
        <v>45908</v>
      </c>
      <c r="E484" s="343" t="s">
        <v>167</v>
      </c>
      <c r="F484" s="344" t="s">
        <v>645</v>
      </c>
      <c r="G484" s="345" t="s">
        <v>642</v>
      </c>
    </row>
    <row r="485" spans="1:7" ht="15" customHeight="1" x14ac:dyDescent="0.25">
      <c r="A485"/>
      <c r="C485" s="341" t="s">
        <v>161</v>
      </c>
      <c r="D485" s="342">
        <f t="shared" si="40"/>
        <v>45908</v>
      </c>
      <c r="E485" s="343" t="s">
        <v>168</v>
      </c>
      <c r="F485" s="344" t="s">
        <v>645</v>
      </c>
      <c r="G485" s="345" t="s">
        <v>642</v>
      </c>
    </row>
    <row r="486" spans="1:7" ht="15" customHeight="1" x14ac:dyDescent="0.25">
      <c r="A486"/>
      <c r="C486" s="341" t="s">
        <v>161</v>
      </c>
      <c r="D486" s="342">
        <f t="shared" si="40"/>
        <v>45908</v>
      </c>
      <c r="E486" s="343" t="s">
        <v>169</v>
      </c>
      <c r="F486" s="344" t="s">
        <v>645</v>
      </c>
      <c r="G486" s="345" t="s">
        <v>642</v>
      </c>
    </row>
    <row r="487" spans="1:7" ht="15" customHeight="1" x14ac:dyDescent="0.25">
      <c r="A487"/>
      <c r="C487" s="341" t="s">
        <v>161</v>
      </c>
      <c r="D487" s="342">
        <f t="shared" si="40"/>
        <v>45908</v>
      </c>
      <c r="E487" s="343" t="s">
        <v>170</v>
      </c>
      <c r="F487" s="344" t="s">
        <v>645</v>
      </c>
      <c r="G487" s="345" t="s">
        <v>642</v>
      </c>
    </row>
    <row r="488" spans="1:7" ht="15" customHeight="1" x14ac:dyDescent="0.25">
      <c r="A488"/>
      <c r="C488" s="362" t="s">
        <v>161</v>
      </c>
      <c r="D488" s="363">
        <f t="shared" si="40"/>
        <v>45908</v>
      </c>
      <c r="E488" s="364" t="s">
        <v>574</v>
      </c>
      <c r="F488" s="365" t="s">
        <v>645</v>
      </c>
      <c r="G488" s="366" t="s">
        <v>642</v>
      </c>
    </row>
    <row r="489" spans="1:7" ht="15" customHeight="1" thickBot="1" x14ac:dyDescent="0.3">
      <c r="A489"/>
      <c r="C489" s="367" t="s">
        <v>161</v>
      </c>
      <c r="D489" s="368">
        <f t="shared" si="40"/>
        <v>45908</v>
      </c>
      <c r="E489" s="355" t="s">
        <v>575</v>
      </c>
      <c r="F489" s="369" t="s">
        <v>645</v>
      </c>
      <c r="G489" s="370" t="s">
        <v>642</v>
      </c>
    </row>
    <row r="490" spans="1:7" ht="6" customHeight="1" thickBot="1" x14ac:dyDescent="0.3">
      <c r="A490"/>
      <c r="C490"/>
      <c r="D490"/>
      <c r="E490"/>
      <c r="F490"/>
      <c r="G490"/>
    </row>
    <row r="491" spans="1:7" ht="15" customHeight="1" x14ac:dyDescent="0.25">
      <c r="A491"/>
      <c r="C491" s="347" t="s">
        <v>171</v>
      </c>
      <c r="D491" s="348">
        <f>D489+1</f>
        <v>45909</v>
      </c>
      <c r="E491" s="349" t="s">
        <v>573</v>
      </c>
      <c r="F491" s="350"/>
      <c r="G491" s="351"/>
    </row>
    <row r="492" spans="1:7" ht="15" customHeight="1" x14ac:dyDescent="0.25">
      <c r="A492"/>
      <c r="C492" s="337" t="s">
        <v>171</v>
      </c>
      <c r="D492" s="342">
        <f t="shared" ref="D492:D503" si="41">D491</f>
        <v>45909</v>
      </c>
      <c r="E492" s="338" t="s">
        <v>162</v>
      </c>
      <c r="F492" s="339"/>
      <c r="G492" s="340"/>
    </row>
    <row r="493" spans="1:7" ht="15" customHeight="1" x14ac:dyDescent="0.25">
      <c r="A493"/>
      <c r="C493" s="337" t="s">
        <v>171</v>
      </c>
      <c r="D493" s="342">
        <f t="shared" si="41"/>
        <v>45909</v>
      </c>
      <c r="E493" s="338" t="s">
        <v>163</v>
      </c>
      <c r="F493" s="339"/>
      <c r="G493" s="340"/>
    </row>
    <row r="494" spans="1:7" ht="15" customHeight="1" x14ac:dyDescent="0.25">
      <c r="A494"/>
      <c r="C494" s="337" t="s">
        <v>171</v>
      </c>
      <c r="D494" s="342">
        <f t="shared" si="41"/>
        <v>45909</v>
      </c>
      <c r="E494" s="338" t="s">
        <v>164</v>
      </c>
      <c r="F494" s="339"/>
      <c r="G494" s="340"/>
    </row>
    <row r="495" spans="1:7" ht="15" customHeight="1" x14ac:dyDescent="0.25">
      <c r="A495"/>
      <c r="C495" s="337" t="s">
        <v>171</v>
      </c>
      <c r="D495" s="342">
        <f t="shared" si="41"/>
        <v>45909</v>
      </c>
      <c r="E495" s="338" t="s">
        <v>165</v>
      </c>
      <c r="F495" s="339"/>
      <c r="G495" s="340"/>
    </row>
    <row r="496" spans="1:7" ht="15" customHeight="1" x14ac:dyDescent="0.25">
      <c r="A496"/>
      <c r="C496" s="337" t="s">
        <v>171</v>
      </c>
      <c r="D496" s="342">
        <f t="shared" si="41"/>
        <v>45909</v>
      </c>
      <c r="E496" s="338" t="s">
        <v>166</v>
      </c>
      <c r="F496" s="339"/>
      <c r="G496" s="340"/>
    </row>
    <row r="497" spans="1:7" ht="15" customHeight="1" x14ac:dyDescent="0.25">
      <c r="A497"/>
      <c r="C497" s="337" t="s">
        <v>171</v>
      </c>
      <c r="D497" s="342">
        <f t="shared" si="41"/>
        <v>45909</v>
      </c>
      <c r="E497" s="338" t="s">
        <v>576</v>
      </c>
      <c r="F497" s="421" t="s">
        <v>145</v>
      </c>
      <c r="G497" s="345"/>
    </row>
    <row r="498" spans="1:7" ht="15" customHeight="1" x14ac:dyDescent="0.25">
      <c r="A498"/>
      <c r="C498" s="341" t="s">
        <v>171</v>
      </c>
      <c r="D498" s="342">
        <f t="shared" si="41"/>
        <v>45909</v>
      </c>
      <c r="E498" s="343" t="s">
        <v>167</v>
      </c>
      <c r="F498" s="344"/>
      <c r="G498" s="345"/>
    </row>
    <row r="499" spans="1:7" ht="15" customHeight="1" x14ac:dyDescent="0.25">
      <c r="A499"/>
      <c r="C499" s="341" t="s">
        <v>171</v>
      </c>
      <c r="D499" s="342">
        <f t="shared" si="41"/>
        <v>45909</v>
      </c>
      <c r="E499" s="343" t="s">
        <v>168</v>
      </c>
      <c r="F499" s="344"/>
      <c r="G499" s="345"/>
    </row>
    <row r="500" spans="1:7" ht="15" customHeight="1" x14ac:dyDescent="0.25">
      <c r="A500"/>
      <c r="C500" s="341" t="s">
        <v>171</v>
      </c>
      <c r="D500" s="342">
        <f t="shared" si="41"/>
        <v>45909</v>
      </c>
      <c r="E500" s="343" t="s">
        <v>169</v>
      </c>
      <c r="F500" s="344"/>
      <c r="G500" s="345"/>
    </row>
    <row r="501" spans="1:7" ht="15" customHeight="1" x14ac:dyDescent="0.25">
      <c r="A501"/>
      <c r="C501" s="341" t="s">
        <v>171</v>
      </c>
      <c r="D501" s="342">
        <f t="shared" si="41"/>
        <v>45909</v>
      </c>
      <c r="E501" s="343" t="s">
        <v>170</v>
      </c>
      <c r="F501" s="344"/>
      <c r="G501" s="345"/>
    </row>
    <row r="502" spans="1:7" ht="15" customHeight="1" x14ac:dyDescent="0.25">
      <c r="A502"/>
      <c r="C502" s="362" t="s">
        <v>171</v>
      </c>
      <c r="D502" s="363">
        <f t="shared" si="41"/>
        <v>45909</v>
      </c>
      <c r="E502" s="364" t="s">
        <v>574</v>
      </c>
      <c r="F502" s="365"/>
      <c r="G502" s="366"/>
    </row>
    <row r="503" spans="1:7" ht="15" customHeight="1" thickBot="1" x14ac:dyDescent="0.3">
      <c r="A503"/>
      <c r="C503" s="367" t="s">
        <v>171</v>
      </c>
      <c r="D503" s="368">
        <f t="shared" si="41"/>
        <v>45909</v>
      </c>
      <c r="E503" s="355" t="s">
        <v>575</v>
      </c>
      <c r="F503" s="369"/>
      <c r="G503" s="370"/>
    </row>
    <row r="504" spans="1:7" ht="6" customHeight="1" thickBot="1" x14ac:dyDescent="0.3">
      <c r="A504"/>
      <c r="C504"/>
      <c r="D504"/>
      <c r="E504"/>
      <c r="F504"/>
      <c r="G504"/>
    </row>
    <row r="505" spans="1:7" ht="15" customHeight="1" x14ac:dyDescent="0.25">
      <c r="A505"/>
      <c r="C505" s="347" t="s">
        <v>172</v>
      </c>
      <c r="D505" s="348">
        <f>D503+1</f>
        <v>45910</v>
      </c>
      <c r="E505" s="349" t="s">
        <v>573</v>
      </c>
      <c r="F505" s="350" t="s">
        <v>645</v>
      </c>
      <c r="G505" s="351" t="s">
        <v>644</v>
      </c>
    </row>
    <row r="506" spans="1:7" ht="15" customHeight="1" x14ac:dyDescent="0.25">
      <c r="A506"/>
      <c r="C506" s="337" t="s">
        <v>172</v>
      </c>
      <c r="D506" s="342">
        <f t="shared" ref="D506:D517" si="42">D505</f>
        <v>45910</v>
      </c>
      <c r="E506" s="338" t="s">
        <v>162</v>
      </c>
      <c r="F506" s="339" t="s">
        <v>645</v>
      </c>
      <c r="G506" s="340" t="s">
        <v>644</v>
      </c>
    </row>
    <row r="507" spans="1:7" ht="15" customHeight="1" x14ac:dyDescent="0.25">
      <c r="A507"/>
      <c r="C507" s="337" t="s">
        <v>172</v>
      </c>
      <c r="D507" s="342">
        <f t="shared" si="42"/>
        <v>45910</v>
      </c>
      <c r="E507" s="338" t="s">
        <v>163</v>
      </c>
      <c r="F507" s="339" t="s">
        <v>645</v>
      </c>
      <c r="G507" s="340" t="s">
        <v>644</v>
      </c>
    </row>
    <row r="508" spans="1:7" ht="15" customHeight="1" x14ac:dyDescent="0.25">
      <c r="A508"/>
      <c r="C508" s="337" t="s">
        <v>172</v>
      </c>
      <c r="D508" s="342">
        <f t="shared" si="42"/>
        <v>45910</v>
      </c>
      <c r="E508" s="338" t="s">
        <v>164</v>
      </c>
      <c r="F508" s="339" t="s">
        <v>645</v>
      </c>
      <c r="G508" s="340" t="s">
        <v>644</v>
      </c>
    </row>
    <row r="509" spans="1:7" ht="15" customHeight="1" x14ac:dyDescent="0.25">
      <c r="A509"/>
      <c r="C509" s="337" t="s">
        <v>172</v>
      </c>
      <c r="D509" s="342">
        <f t="shared" si="42"/>
        <v>45910</v>
      </c>
      <c r="E509" s="338" t="s">
        <v>165</v>
      </c>
      <c r="F509" s="339" t="s">
        <v>645</v>
      </c>
      <c r="G509" s="340" t="s">
        <v>644</v>
      </c>
    </row>
    <row r="510" spans="1:7" ht="15" customHeight="1" x14ac:dyDescent="0.25">
      <c r="A510"/>
      <c r="C510" s="337" t="s">
        <v>172</v>
      </c>
      <c r="D510" s="342">
        <f t="shared" si="42"/>
        <v>45910</v>
      </c>
      <c r="E510" s="338" t="s">
        <v>166</v>
      </c>
      <c r="F510" s="339" t="s">
        <v>645</v>
      </c>
      <c r="G510" s="340" t="s">
        <v>644</v>
      </c>
    </row>
    <row r="511" spans="1:7" ht="15" customHeight="1" x14ac:dyDescent="0.25">
      <c r="A511"/>
      <c r="C511" s="337" t="s">
        <v>172</v>
      </c>
      <c r="D511" s="342">
        <f t="shared" si="42"/>
        <v>45910</v>
      </c>
      <c r="E511" s="338" t="s">
        <v>576</v>
      </c>
      <c r="F511" s="421" t="s">
        <v>145</v>
      </c>
      <c r="G511" s="345" t="s">
        <v>644</v>
      </c>
    </row>
    <row r="512" spans="1:7" ht="15" customHeight="1" x14ac:dyDescent="0.25">
      <c r="A512"/>
      <c r="C512" s="341" t="s">
        <v>172</v>
      </c>
      <c r="D512" s="342">
        <f t="shared" si="42"/>
        <v>45910</v>
      </c>
      <c r="E512" s="343" t="s">
        <v>167</v>
      </c>
      <c r="F512" s="344" t="s">
        <v>645</v>
      </c>
      <c r="G512" s="345" t="s">
        <v>644</v>
      </c>
    </row>
    <row r="513" spans="1:7" ht="15" customHeight="1" x14ac:dyDescent="0.25">
      <c r="A513"/>
      <c r="C513" s="341" t="s">
        <v>172</v>
      </c>
      <c r="D513" s="342">
        <f t="shared" si="42"/>
        <v>45910</v>
      </c>
      <c r="E513" s="343" t="s">
        <v>168</v>
      </c>
      <c r="F513" s="344" t="s">
        <v>645</v>
      </c>
      <c r="G513" s="345" t="s">
        <v>644</v>
      </c>
    </row>
    <row r="514" spans="1:7" ht="15" customHeight="1" x14ac:dyDescent="0.25">
      <c r="A514"/>
      <c r="C514" s="341" t="s">
        <v>172</v>
      </c>
      <c r="D514" s="342">
        <f t="shared" si="42"/>
        <v>45910</v>
      </c>
      <c r="E514" s="343" t="s">
        <v>169</v>
      </c>
      <c r="F514" s="344" t="s">
        <v>645</v>
      </c>
      <c r="G514" s="345" t="s">
        <v>644</v>
      </c>
    </row>
    <row r="515" spans="1:7" ht="15" customHeight="1" x14ac:dyDescent="0.25">
      <c r="A515"/>
      <c r="C515" s="341" t="s">
        <v>172</v>
      </c>
      <c r="D515" s="342">
        <f t="shared" si="42"/>
        <v>45910</v>
      </c>
      <c r="E515" s="343" t="s">
        <v>170</v>
      </c>
      <c r="F515" s="344" t="s">
        <v>645</v>
      </c>
      <c r="G515" s="345" t="s">
        <v>644</v>
      </c>
    </row>
    <row r="516" spans="1:7" ht="15" customHeight="1" x14ac:dyDescent="0.25">
      <c r="A516"/>
      <c r="C516" s="362" t="s">
        <v>172</v>
      </c>
      <c r="D516" s="363">
        <f t="shared" si="42"/>
        <v>45910</v>
      </c>
      <c r="E516" s="364" t="s">
        <v>574</v>
      </c>
      <c r="F516" s="365" t="s">
        <v>645</v>
      </c>
      <c r="G516" s="366" t="s">
        <v>644</v>
      </c>
    </row>
    <row r="517" spans="1:7" ht="15" customHeight="1" thickBot="1" x14ac:dyDescent="0.3">
      <c r="A517"/>
      <c r="C517" s="367" t="s">
        <v>172</v>
      </c>
      <c r="D517" s="368">
        <f t="shared" si="42"/>
        <v>45910</v>
      </c>
      <c r="E517" s="355" t="s">
        <v>575</v>
      </c>
      <c r="F517" s="369" t="s">
        <v>645</v>
      </c>
      <c r="G517" s="370" t="s">
        <v>644</v>
      </c>
    </row>
    <row r="518" spans="1:7" ht="6" customHeight="1" thickBot="1" x14ac:dyDescent="0.3">
      <c r="A518"/>
      <c r="C518"/>
      <c r="D518"/>
      <c r="E518"/>
      <c r="F518"/>
      <c r="G518"/>
    </row>
    <row r="519" spans="1:7" ht="15" customHeight="1" x14ac:dyDescent="0.25">
      <c r="A519"/>
      <c r="C519" s="347" t="s">
        <v>173</v>
      </c>
      <c r="D519" s="348">
        <f>D517+1</f>
        <v>45911</v>
      </c>
      <c r="E519" s="349" t="s">
        <v>573</v>
      </c>
      <c r="F519" s="350"/>
      <c r="G519" s="351"/>
    </row>
    <row r="520" spans="1:7" ht="15" customHeight="1" x14ac:dyDescent="0.25">
      <c r="A520"/>
      <c r="C520" s="337" t="s">
        <v>173</v>
      </c>
      <c r="D520" s="342">
        <f t="shared" ref="D520:D531" si="43">D519</f>
        <v>45911</v>
      </c>
      <c r="E520" s="338" t="s">
        <v>162</v>
      </c>
      <c r="F520" s="339"/>
      <c r="G520" s="340"/>
    </row>
    <row r="521" spans="1:7" ht="15" customHeight="1" x14ac:dyDescent="0.25">
      <c r="A521"/>
      <c r="C521" s="337" t="s">
        <v>173</v>
      </c>
      <c r="D521" s="342">
        <f t="shared" si="43"/>
        <v>45911</v>
      </c>
      <c r="E521" s="338" t="s">
        <v>163</v>
      </c>
      <c r="F521" s="339"/>
      <c r="G521" s="340"/>
    </row>
    <row r="522" spans="1:7" ht="15" customHeight="1" x14ac:dyDescent="0.25">
      <c r="A522"/>
      <c r="C522" s="337" t="s">
        <v>173</v>
      </c>
      <c r="D522" s="342">
        <f t="shared" si="43"/>
        <v>45911</v>
      </c>
      <c r="E522" s="338" t="s">
        <v>164</v>
      </c>
      <c r="F522" s="339"/>
      <c r="G522" s="340"/>
    </row>
    <row r="523" spans="1:7" ht="15" customHeight="1" x14ac:dyDescent="0.25">
      <c r="A523"/>
      <c r="C523" s="337" t="s">
        <v>173</v>
      </c>
      <c r="D523" s="342">
        <f t="shared" si="43"/>
        <v>45911</v>
      </c>
      <c r="E523" s="338" t="s">
        <v>165</v>
      </c>
      <c r="F523" s="339"/>
      <c r="G523" s="340"/>
    </row>
    <row r="524" spans="1:7" ht="15" customHeight="1" x14ac:dyDescent="0.25">
      <c r="A524"/>
      <c r="C524" s="337" t="s">
        <v>173</v>
      </c>
      <c r="D524" s="342">
        <f t="shared" si="43"/>
        <v>45911</v>
      </c>
      <c r="E524" s="338" t="s">
        <v>166</v>
      </c>
      <c r="F524" s="339"/>
      <c r="G524" s="340"/>
    </row>
    <row r="525" spans="1:7" ht="15" customHeight="1" x14ac:dyDescent="0.25">
      <c r="A525"/>
      <c r="C525" s="337" t="s">
        <v>173</v>
      </c>
      <c r="D525" s="342">
        <f t="shared" si="43"/>
        <v>45911</v>
      </c>
      <c r="E525" s="338" t="s">
        <v>576</v>
      </c>
      <c r="F525" s="339"/>
      <c r="G525" s="345"/>
    </row>
    <row r="526" spans="1:7" ht="15" customHeight="1" x14ac:dyDescent="0.25">
      <c r="A526"/>
      <c r="C526" s="341" t="s">
        <v>173</v>
      </c>
      <c r="D526" s="342">
        <f t="shared" si="43"/>
        <v>45911</v>
      </c>
      <c r="E526" s="343" t="s">
        <v>167</v>
      </c>
      <c r="F526" s="344"/>
      <c r="G526" s="345"/>
    </row>
    <row r="527" spans="1:7" ht="15" customHeight="1" x14ac:dyDescent="0.25">
      <c r="A527"/>
      <c r="C527" s="341" t="s">
        <v>173</v>
      </c>
      <c r="D527" s="342">
        <f t="shared" si="43"/>
        <v>45911</v>
      </c>
      <c r="E527" s="343" t="s">
        <v>168</v>
      </c>
      <c r="F527" s="344"/>
      <c r="G527" s="345"/>
    </row>
    <row r="528" spans="1:7" ht="15" customHeight="1" x14ac:dyDescent="0.25">
      <c r="A528"/>
      <c r="C528" s="341" t="s">
        <v>173</v>
      </c>
      <c r="D528" s="342">
        <f t="shared" si="43"/>
        <v>45911</v>
      </c>
      <c r="E528" s="343" t="s">
        <v>169</v>
      </c>
      <c r="F528" s="344"/>
      <c r="G528" s="345"/>
    </row>
    <row r="529" spans="1:7" ht="15" customHeight="1" x14ac:dyDescent="0.25">
      <c r="A529"/>
      <c r="C529" s="341" t="s">
        <v>173</v>
      </c>
      <c r="D529" s="342">
        <f t="shared" si="43"/>
        <v>45911</v>
      </c>
      <c r="E529" s="343" t="s">
        <v>170</v>
      </c>
      <c r="F529" s="344"/>
      <c r="G529" s="345"/>
    </row>
    <row r="530" spans="1:7" ht="15" customHeight="1" x14ac:dyDescent="0.25">
      <c r="A530"/>
      <c r="C530" s="362" t="s">
        <v>173</v>
      </c>
      <c r="D530" s="363">
        <f t="shared" si="43"/>
        <v>45911</v>
      </c>
      <c r="E530" s="364" t="s">
        <v>574</v>
      </c>
      <c r="F530" s="365"/>
      <c r="G530" s="366"/>
    </row>
    <row r="531" spans="1:7" ht="15" customHeight="1" thickBot="1" x14ac:dyDescent="0.3">
      <c r="A531"/>
      <c r="C531" s="367" t="s">
        <v>173</v>
      </c>
      <c r="D531" s="368">
        <f t="shared" si="43"/>
        <v>45911</v>
      </c>
      <c r="E531" s="355" t="s">
        <v>575</v>
      </c>
      <c r="F531" s="369"/>
      <c r="G531" s="370"/>
    </row>
    <row r="532" spans="1:7" ht="6" customHeight="1" thickBot="1" x14ac:dyDescent="0.3">
      <c r="A532"/>
      <c r="C532"/>
      <c r="D532"/>
      <c r="E532"/>
      <c r="F532"/>
      <c r="G532"/>
    </row>
    <row r="533" spans="1:7" ht="15" customHeight="1" x14ac:dyDescent="0.25">
      <c r="A533"/>
      <c r="C533" s="347" t="s">
        <v>174</v>
      </c>
      <c r="D533" s="348">
        <f>D531+1</f>
        <v>45912</v>
      </c>
      <c r="E533" s="349" t="s">
        <v>573</v>
      </c>
      <c r="F533" s="350"/>
      <c r="G533" s="351"/>
    </row>
    <row r="534" spans="1:7" ht="15" customHeight="1" x14ac:dyDescent="0.25">
      <c r="A534"/>
      <c r="C534" s="337" t="s">
        <v>174</v>
      </c>
      <c r="D534" s="342">
        <f t="shared" ref="D534:D545" si="44">D533</f>
        <v>45912</v>
      </c>
      <c r="E534" s="338" t="s">
        <v>162</v>
      </c>
      <c r="F534" s="339"/>
      <c r="G534" s="340"/>
    </row>
    <row r="535" spans="1:7" ht="15" customHeight="1" x14ac:dyDescent="0.25">
      <c r="A535"/>
      <c r="C535" s="337" t="s">
        <v>174</v>
      </c>
      <c r="D535" s="342">
        <f t="shared" si="44"/>
        <v>45912</v>
      </c>
      <c r="E535" s="338" t="s">
        <v>163</v>
      </c>
      <c r="F535" s="339"/>
      <c r="G535" s="340"/>
    </row>
    <row r="536" spans="1:7" ht="15" customHeight="1" x14ac:dyDescent="0.25">
      <c r="A536"/>
      <c r="C536" s="337" t="s">
        <v>174</v>
      </c>
      <c r="D536" s="342">
        <f t="shared" si="44"/>
        <v>45912</v>
      </c>
      <c r="E536" s="338" t="s">
        <v>164</v>
      </c>
      <c r="F536" s="339"/>
      <c r="G536" s="340"/>
    </row>
    <row r="537" spans="1:7" ht="15" customHeight="1" x14ac:dyDescent="0.25">
      <c r="A537"/>
      <c r="C537" s="337" t="s">
        <v>174</v>
      </c>
      <c r="D537" s="342">
        <f t="shared" si="44"/>
        <v>45912</v>
      </c>
      <c r="E537" s="338" t="s">
        <v>165</v>
      </c>
      <c r="F537" s="339"/>
      <c r="G537" s="340"/>
    </row>
    <row r="538" spans="1:7" ht="15" customHeight="1" x14ac:dyDescent="0.25">
      <c r="A538"/>
      <c r="C538" s="337" t="s">
        <v>174</v>
      </c>
      <c r="D538" s="342">
        <f t="shared" si="44"/>
        <v>45912</v>
      </c>
      <c r="E538" s="338" t="s">
        <v>166</v>
      </c>
      <c r="F538" s="339"/>
      <c r="G538" s="340"/>
    </row>
    <row r="539" spans="1:7" ht="15" customHeight="1" x14ac:dyDescent="0.25">
      <c r="A539"/>
      <c r="C539" s="337" t="s">
        <v>174</v>
      </c>
      <c r="D539" s="342">
        <f t="shared" si="44"/>
        <v>45912</v>
      </c>
      <c r="E539" s="338" t="s">
        <v>576</v>
      </c>
      <c r="F539" s="339"/>
      <c r="G539" s="345"/>
    </row>
    <row r="540" spans="1:7" ht="15" customHeight="1" x14ac:dyDescent="0.25">
      <c r="A540"/>
      <c r="C540" s="341" t="s">
        <v>174</v>
      </c>
      <c r="D540" s="342">
        <f t="shared" si="44"/>
        <v>45912</v>
      </c>
      <c r="E540" s="343" t="s">
        <v>167</v>
      </c>
      <c r="F540" s="344"/>
      <c r="G540" s="345"/>
    </row>
    <row r="541" spans="1:7" ht="15" customHeight="1" x14ac:dyDescent="0.25">
      <c r="A541"/>
      <c r="C541" s="341" t="s">
        <v>174</v>
      </c>
      <c r="D541" s="342">
        <f t="shared" si="44"/>
        <v>45912</v>
      </c>
      <c r="E541" s="343" t="s">
        <v>168</v>
      </c>
      <c r="F541" s="344"/>
      <c r="G541" s="345"/>
    </row>
    <row r="542" spans="1:7" ht="15" customHeight="1" x14ac:dyDescent="0.25">
      <c r="A542"/>
      <c r="C542" s="341" t="s">
        <v>174</v>
      </c>
      <c r="D542" s="342">
        <f t="shared" si="44"/>
        <v>45912</v>
      </c>
      <c r="E542" s="343" t="s">
        <v>169</v>
      </c>
      <c r="F542" s="344"/>
      <c r="G542" s="345"/>
    </row>
    <row r="543" spans="1:7" ht="15" customHeight="1" x14ac:dyDescent="0.25">
      <c r="A543"/>
      <c r="C543" s="341" t="s">
        <v>174</v>
      </c>
      <c r="D543" s="342">
        <f t="shared" si="44"/>
        <v>45912</v>
      </c>
      <c r="E543" s="343" t="s">
        <v>170</v>
      </c>
      <c r="F543" s="344"/>
      <c r="G543" s="345"/>
    </row>
    <row r="544" spans="1:7" ht="15" customHeight="1" x14ac:dyDescent="0.25">
      <c r="A544"/>
      <c r="C544" s="362" t="s">
        <v>174</v>
      </c>
      <c r="D544" s="363">
        <f t="shared" si="44"/>
        <v>45912</v>
      </c>
      <c r="E544" s="364" t="s">
        <v>574</v>
      </c>
      <c r="F544" s="365"/>
      <c r="G544" s="366"/>
    </row>
    <row r="545" spans="1:7" ht="15" customHeight="1" thickBot="1" x14ac:dyDescent="0.3">
      <c r="A545"/>
      <c r="C545" s="367" t="s">
        <v>174</v>
      </c>
      <c r="D545" s="368">
        <f t="shared" si="44"/>
        <v>45912</v>
      </c>
      <c r="E545" s="355" t="s">
        <v>575</v>
      </c>
      <c r="F545" s="369"/>
      <c r="G545" s="370"/>
    </row>
    <row r="546" spans="1:7" ht="6" customHeight="1" x14ac:dyDescent="0.25">
      <c r="A546"/>
      <c r="C546"/>
      <c r="D546"/>
      <c r="E546"/>
      <c r="F546"/>
      <c r="G546"/>
    </row>
    <row r="547" spans="1:7" ht="6" customHeight="1" x14ac:dyDescent="0.25">
      <c r="A547"/>
      <c r="C547"/>
      <c r="D547"/>
      <c r="E547"/>
      <c r="F547"/>
      <c r="G547"/>
    </row>
    <row r="548" spans="1:7" x14ac:dyDescent="0.25">
      <c r="A548"/>
      <c r="C548"/>
      <c r="D548"/>
      <c r="E548"/>
      <c r="F548"/>
      <c r="G548"/>
    </row>
    <row r="549" spans="1:7" x14ac:dyDescent="0.25">
      <c r="A549"/>
      <c r="C549"/>
      <c r="D549"/>
      <c r="E549"/>
      <c r="F549"/>
      <c r="G549"/>
    </row>
    <row r="550" spans="1:7" x14ac:dyDescent="0.25">
      <c r="A550"/>
      <c r="C550"/>
      <c r="D550"/>
      <c r="E550"/>
      <c r="F550"/>
      <c r="G550"/>
    </row>
    <row r="551" spans="1:7" x14ac:dyDescent="0.25">
      <c r="A551"/>
      <c r="C551"/>
      <c r="D551"/>
      <c r="E551"/>
      <c r="F551"/>
      <c r="G551"/>
    </row>
    <row r="552" spans="1:7" x14ac:dyDescent="0.25">
      <c r="A552"/>
      <c r="C552"/>
      <c r="D552"/>
      <c r="E552"/>
      <c r="F552"/>
      <c r="G552"/>
    </row>
    <row r="553" spans="1:7" x14ac:dyDescent="0.25">
      <c r="A553"/>
      <c r="C553"/>
      <c r="D553"/>
      <c r="E553"/>
      <c r="F553"/>
      <c r="G553"/>
    </row>
    <row r="554" spans="1:7" x14ac:dyDescent="0.25">
      <c r="A554"/>
      <c r="C554"/>
      <c r="D554"/>
      <c r="E554"/>
      <c r="F554"/>
      <c r="G554"/>
    </row>
    <row r="555" spans="1:7" x14ac:dyDescent="0.25">
      <c r="A555"/>
      <c r="C555"/>
      <c r="D555"/>
      <c r="E555"/>
      <c r="F555"/>
      <c r="G555"/>
    </row>
    <row r="556" spans="1:7" x14ac:dyDescent="0.25">
      <c r="A556"/>
      <c r="C556"/>
      <c r="D556"/>
      <c r="E556"/>
      <c r="F556"/>
      <c r="G556"/>
    </row>
    <row r="557" spans="1:7" x14ac:dyDescent="0.25">
      <c r="A557"/>
      <c r="C557"/>
      <c r="D557"/>
      <c r="E557"/>
      <c r="F557"/>
      <c r="G557"/>
    </row>
    <row r="558" spans="1:7" x14ac:dyDescent="0.25">
      <c r="A558"/>
      <c r="C558"/>
      <c r="D558"/>
      <c r="E558"/>
      <c r="F558"/>
      <c r="G558"/>
    </row>
    <row r="559" spans="1:7" x14ac:dyDescent="0.25">
      <c r="A559"/>
      <c r="C559"/>
      <c r="D559"/>
      <c r="E559"/>
      <c r="F559"/>
      <c r="G559"/>
    </row>
    <row r="560" spans="1:7" x14ac:dyDescent="0.25">
      <c r="A560"/>
      <c r="C560"/>
      <c r="D560"/>
      <c r="E560"/>
      <c r="F560"/>
      <c r="G560"/>
    </row>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sheetData>
  <autoFilter ref="B4:G4" xr:uid="{95F0C2B7-E7DF-43F0-8D5B-6316FA3030E0}"/>
  <mergeCells count="4">
    <mergeCell ref="A152:A199"/>
    <mergeCell ref="A201:A248"/>
    <mergeCell ref="A250:A310"/>
    <mergeCell ref="A312:A389"/>
  </mergeCells>
  <conditionalFormatting sqref="F26:H33 F16:H23 F6:H13 F65:H72 F75:H82 F95:F101 F85:H92 H153:H160 H193:H198 G104:H109 G110:G111 F272:G276 F296:G296 F292:G293 F287:G290 F308:G308 F310:G310 F282:G282 F320:G322 G324 F306:F307 F323:F324 G382:G383">
    <cfRule type="expression" dxfId="1431" priority="501" stopIfTrue="1">
      <formula>#REF!=0</formula>
    </cfRule>
    <cfRule type="expression" dxfId="1430" priority="502" stopIfTrue="1">
      <formula>AND(F6&lt;&gt;"",F6&lt;&gt;F5)</formula>
    </cfRule>
  </conditionalFormatting>
  <conditionalFormatting sqref="F25:H25 F15:H15 F103 F94 F84:H84 H111 F286 F294:G294 G312 F291:G291 G378">
    <cfRule type="expression" dxfId="1429" priority="503" stopIfTrue="1">
      <formula>#REF!=0</formula>
    </cfRule>
    <cfRule type="expression" dxfId="1428" priority="504" stopIfTrue="1">
      <formula>AND(F15&lt;&gt;"",F15&lt;&gt;F13)</formula>
    </cfRule>
  </conditionalFormatting>
  <conditionalFormatting sqref="F36:H43 F46:H52">
    <cfRule type="expression" dxfId="1427" priority="497" stopIfTrue="1">
      <formula>#REF!=0</formula>
    </cfRule>
    <cfRule type="expression" dxfId="1426" priority="498" stopIfTrue="1">
      <formula>AND(F36&lt;&gt;"",F36&lt;&gt;F35)</formula>
    </cfRule>
  </conditionalFormatting>
  <conditionalFormatting sqref="F45:H45">
    <cfRule type="expression" dxfId="1425" priority="499" stopIfTrue="1">
      <formula>#REF!=0</formula>
    </cfRule>
    <cfRule type="expression" dxfId="1424" priority="500" stopIfTrue="1">
      <formula>AND(F45&lt;&gt;"",F45&lt;&gt;F43)</formula>
    </cfRule>
  </conditionalFormatting>
  <conditionalFormatting sqref="H134:H141">
    <cfRule type="expression" dxfId="1423" priority="493" stopIfTrue="1">
      <formula>#REF!=0</formula>
    </cfRule>
    <cfRule type="expression" dxfId="1422" priority="494" stopIfTrue="1">
      <formula>AND(H134&lt;&gt;"",H134&lt;&gt;H133)</formula>
    </cfRule>
  </conditionalFormatting>
  <conditionalFormatting sqref="H133">
    <cfRule type="expression" dxfId="1421" priority="495" stopIfTrue="1">
      <formula>#REF!=0</formula>
    </cfRule>
    <cfRule type="expression" dxfId="1420" priority="496" stopIfTrue="1">
      <formula>AND(H133&lt;&gt;"",H133&lt;&gt;H131)</formula>
    </cfRule>
  </conditionalFormatting>
  <conditionalFormatting sqref="F55:H62">
    <cfRule type="expression" dxfId="1419" priority="489" stopIfTrue="1">
      <formula>#REF!=0</formula>
    </cfRule>
    <cfRule type="expression" dxfId="1418" priority="490" stopIfTrue="1">
      <formula>AND(F55&lt;&gt;"",F55&lt;&gt;F54)</formula>
    </cfRule>
  </conditionalFormatting>
  <conditionalFormatting sqref="F54:H54">
    <cfRule type="expression" dxfId="1417" priority="491" stopIfTrue="1">
      <formula>#REF!=0</formula>
    </cfRule>
    <cfRule type="expression" dxfId="1416" priority="492" stopIfTrue="1">
      <formula>AND(F54&lt;&gt;"",F54&lt;&gt;F52)</formula>
    </cfRule>
  </conditionalFormatting>
  <conditionalFormatting sqref="F104:F111">
    <cfRule type="expression" dxfId="1415" priority="487" stopIfTrue="1">
      <formula>#REF!=0</formula>
    </cfRule>
    <cfRule type="expression" dxfId="1414" priority="488" stopIfTrue="1">
      <formula>AND(F104&lt;&gt;"",F104&lt;&gt;F103)</formula>
    </cfRule>
  </conditionalFormatting>
  <conditionalFormatting sqref="F64:H64">
    <cfRule type="expression" dxfId="1413" priority="485" stopIfTrue="1">
      <formula>#REF!=0</formula>
    </cfRule>
    <cfRule type="expression" dxfId="1412" priority="486" stopIfTrue="1">
      <formula>AND(F64&lt;&gt;"",F64&lt;&gt;F62)</formula>
    </cfRule>
  </conditionalFormatting>
  <conditionalFormatting sqref="F35:H35 H152">
    <cfRule type="expression" dxfId="1411" priority="505" stopIfTrue="1">
      <formula>#REF!=0</formula>
    </cfRule>
    <cfRule type="expression" dxfId="1410" priority="506" stopIfTrue="1">
      <formula>AND(F35&lt;&gt;"",F35&lt;&gt;E33)</formula>
    </cfRule>
  </conditionalFormatting>
  <conditionalFormatting sqref="G64:H64 H152">
    <cfRule type="expression" dxfId="1409" priority="507" stopIfTrue="1">
      <formula>#REF!=0</formula>
    </cfRule>
    <cfRule type="expression" dxfId="1408" priority="508" stopIfTrue="1">
      <formula>AND(G64&lt;&gt;"",G64&lt;&gt;#REF!)</formula>
    </cfRule>
  </conditionalFormatting>
  <conditionalFormatting sqref="G95:H101">
    <cfRule type="expression" dxfId="1407" priority="483" stopIfTrue="1">
      <formula>#REF!=0</formula>
    </cfRule>
    <cfRule type="expression" dxfId="1406" priority="484" stopIfTrue="1">
      <formula>AND(G95&lt;&gt;"",G95&lt;&gt;G94)</formula>
    </cfRule>
  </conditionalFormatting>
  <conditionalFormatting sqref="H114:H121 H124:H131">
    <cfRule type="expression" dxfId="1405" priority="477" stopIfTrue="1">
      <formula>#REF!=0</formula>
    </cfRule>
    <cfRule type="expression" dxfId="1404" priority="478" stopIfTrue="1">
      <formula>AND(H114&lt;&gt;"",H114&lt;&gt;H113)</formula>
    </cfRule>
  </conditionalFormatting>
  <conditionalFormatting sqref="H123">
    <cfRule type="expression" dxfId="1403" priority="479" stopIfTrue="1">
      <formula>#REF!=0</formula>
    </cfRule>
    <cfRule type="expression" dxfId="1402" priority="480" stopIfTrue="1">
      <formula>AND(H123&lt;&gt;"",H123&lt;&gt;H121)</formula>
    </cfRule>
  </conditionalFormatting>
  <conditionalFormatting sqref="G103:H103">
    <cfRule type="expression" dxfId="1401" priority="475" stopIfTrue="1">
      <formula>#REF!=0</formula>
    </cfRule>
    <cfRule type="expression" dxfId="1400" priority="476" stopIfTrue="1">
      <formula>AND(G103&lt;&gt;"",G103&lt;&gt;G101)</formula>
    </cfRule>
  </conditionalFormatting>
  <conditionalFormatting sqref="G103:H103">
    <cfRule type="expression" dxfId="1399" priority="481" stopIfTrue="1">
      <formula>#REF!=0</formula>
    </cfRule>
    <cfRule type="expression" dxfId="1398" priority="482" stopIfTrue="1">
      <formula>AND(G103&lt;&gt;"",G103&lt;&gt;#REF!)</formula>
    </cfRule>
  </conditionalFormatting>
  <conditionalFormatting sqref="F5:H5">
    <cfRule type="expression" dxfId="1397" priority="473" stopIfTrue="1">
      <formula>#REF!=0</formula>
    </cfRule>
    <cfRule type="expression" dxfId="1396" priority="474" stopIfTrue="1">
      <formula>AND(F5&lt;&gt;"",F5&lt;&gt;#REF!)</formula>
    </cfRule>
  </conditionalFormatting>
  <conditionalFormatting sqref="F74:H74">
    <cfRule type="expression" dxfId="1395" priority="509" stopIfTrue="1">
      <formula>#REF!=0</formula>
    </cfRule>
    <cfRule type="expression" dxfId="1394" priority="510" stopIfTrue="1">
      <formula>AND(F74&lt;&gt;"",F74&lt;&gt;F72)</formula>
    </cfRule>
  </conditionalFormatting>
  <conditionalFormatting sqref="H163:H170">
    <cfRule type="expression" dxfId="1393" priority="471" stopIfTrue="1">
      <formula>#REF!=0</formula>
    </cfRule>
    <cfRule type="expression" dxfId="1392" priority="472" stopIfTrue="1">
      <formula>AND(H163&lt;&gt;"",H163&lt;&gt;H162)</formula>
    </cfRule>
  </conditionalFormatting>
  <conditionalFormatting sqref="H173:H180">
    <cfRule type="expression" dxfId="1391" priority="469" stopIfTrue="1">
      <formula>#REF!=0</formula>
    </cfRule>
    <cfRule type="expression" dxfId="1390" priority="470" stopIfTrue="1">
      <formula>AND(H173&lt;&gt;"",H173&lt;&gt;H172)</formula>
    </cfRule>
  </conditionalFormatting>
  <conditionalFormatting sqref="H183:H190">
    <cfRule type="expression" dxfId="1389" priority="467" stopIfTrue="1">
      <formula>#REF!=0</formula>
    </cfRule>
    <cfRule type="expression" dxfId="1388" priority="468" stopIfTrue="1">
      <formula>AND(H183&lt;&gt;"",H183&lt;&gt;H182)</formula>
    </cfRule>
  </conditionalFormatting>
  <conditionalFormatting sqref="H199">
    <cfRule type="expression" dxfId="1387" priority="511" stopIfTrue="1">
      <formula>#REF!=0</formula>
    </cfRule>
    <cfRule type="expression" dxfId="1386" priority="512" stopIfTrue="1">
      <formula>AND(H199&lt;&gt;"",H199&lt;&gt;#REF!)</formula>
    </cfRule>
  </conditionalFormatting>
  <conditionalFormatting sqref="F124:F131 F114:F121 F134:G141 F144:G150">
    <cfRule type="expression" dxfId="1385" priority="463" stopIfTrue="1">
      <formula>#REF!=0</formula>
    </cfRule>
    <cfRule type="expression" dxfId="1384" priority="464" stopIfTrue="1">
      <formula>AND(F114&lt;&gt;"",F114&lt;&gt;F113)</formula>
    </cfRule>
  </conditionalFormatting>
  <conditionalFormatting sqref="F133:G133 G143 F113">
    <cfRule type="expression" dxfId="1383" priority="465" stopIfTrue="1">
      <formula>#REF!=0</formula>
    </cfRule>
    <cfRule type="expression" dxfId="1382" priority="466" stopIfTrue="1">
      <formula>AND(F113&lt;&gt;"",F113&lt;&gt;F111)</formula>
    </cfRule>
  </conditionalFormatting>
  <conditionalFormatting sqref="G124:G131 G114:G121">
    <cfRule type="expression" dxfId="1381" priority="459" stopIfTrue="1">
      <formula>#REF!=0</formula>
    </cfRule>
    <cfRule type="expression" dxfId="1380" priority="460" stopIfTrue="1">
      <formula>AND(G114&lt;&gt;"",G114&lt;&gt;G113)</formula>
    </cfRule>
  </conditionalFormatting>
  <conditionalFormatting sqref="G123">
    <cfRule type="expression" dxfId="1379" priority="461" stopIfTrue="1">
      <formula>#REF!=0</formula>
    </cfRule>
    <cfRule type="expression" dxfId="1378" priority="462" stopIfTrue="1">
      <formula>AND(G123&lt;&gt;"",G123&lt;&gt;G121)</formula>
    </cfRule>
  </conditionalFormatting>
  <conditionalFormatting sqref="F152">
    <cfRule type="expression" dxfId="1377" priority="457" stopIfTrue="1">
      <formula>#REF!=0</formula>
    </cfRule>
    <cfRule type="expression" dxfId="1376" priority="458" stopIfTrue="1">
      <formula>AND(F152&lt;&gt;"",F152&lt;&gt;F150)</formula>
    </cfRule>
  </conditionalFormatting>
  <conditionalFormatting sqref="F153:F160">
    <cfRule type="expression" dxfId="1375" priority="455" stopIfTrue="1">
      <formula>#REF!=0</formula>
    </cfRule>
    <cfRule type="expression" dxfId="1374" priority="456" stopIfTrue="1">
      <formula>AND(F153&lt;&gt;"",F153&lt;&gt;F152)</formula>
    </cfRule>
  </conditionalFormatting>
  <conditionalFormatting sqref="G153:G160">
    <cfRule type="expression" dxfId="1373" priority="451" stopIfTrue="1">
      <formula>#REF!=0</formula>
    </cfRule>
    <cfRule type="expression" dxfId="1372" priority="452" stopIfTrue="1">
      <formula>AND(G153&lt;&gt;"",G153&lt;&gt;G152)</formula>
    </cfRule>
  </conditionalFormatting>
  <conditionalFormatting sqref="G152">
    <cfRule type="expression" dxfId="1371" priority="449" stopIfTrue="1">
      <formula>#REF!=0</formula>
    </cfRule>
    <cfRule type="expression" dxfId="1370" priority="450" stopIfTrue="1">
      <formula>AND(G152&lt;&gt;"",G152&lt;&gt;G150)</formula>
    </cfRule>
  </conditionalFormatting>
  <conditionalFormatting sqref="G152">
    <cfRule type="expression" dxfId="1369" priority="453" stopIfTrue="1">
      <formula>#REF!=0</formula>
    </cfRule>
    <cfRule type="expression" dxfId="1368" priority="454" stopIfTrue="1">
      <formula>AND(G152&lt;&gt;"",G152&lt;&gt;#REF!)</formula>
    </cfRule>
  </conditionalFormatting>
  <conditionalFormatting sqref="F173:G180 F163:F170 F183:G190">
    <cfRule type="expression" dxfId="1367" priority="445" stopIfTrue="1">
      <formula>#REF!=0</formula>
    </cfRule>
    <cfRule type="expression" dxfId="1366" priority="446" stopIfTrue="1">
      <formula>AND(F163&lt;&gt;"",F163&lt;&gt;F162)</formula>
    </cfRule>
  </conditionalFormatting>
  <conditionalFormatting sqref="F172:G172">
    <cfRule type="expression" dxfId="1365" priority="447" stopIfTrue="1">
      <formula>#REF!=0</formula>
    </cfRule>
    <cfRule type="expression" dxfId="1364" priority="448" stopIfTrue="1">
      <formula>AND(F172&lt;&gt;"",F172&lt;&gt;F170)</formula>
    </cfRule>
  </conditionalFormatting>
  <conditionalFormatting sqref="G163:G170">
    <cfRule type="expression" dxfId="1363" priority="441" stopIfTrue="1">
      <formula>#REF!=0</formula>
    </cfRule>
    <cfRule type="expression" dxfId="1362" priority="442" stopIfTrue="1">
      <formula>AND(G163&lt;&gt;"",G163&lt;&gt;G162)</formula>
    </cfRule>
  </conditionalFormatting>
  <conditionalFormatting sqref="G162">
    <cfRule type="expression" dxfId="1361" priority="443" stopIfTrue="1">
      <formula>#REF!=0</formula>
    </cfRule>
    <cfRule type="expression" dxfId="1360" priority="444" stopIfTrue="1">
      <formula>AND(G162&lt;&gt;"",G162&lt;&gt;G160)</formula>
    </cfRule>
  </conditionalFormatting>
  <conditionalFormatting sqref="F193:G199">
    <cfRule type="expression" dxfId="1359" priority="439" stopIfTrue="1">
      <formula>#REF!=0</formula>
    </cfRule>
    <cfRule type="expression" dxfId="1358" priority="440" stopIfTrue="1">
      <formula>AND(F193&lt;&gt;"",F193&lt;&gt;F192)</formula>
    </cfRule>
  </conditionalFormatting>
  <conditionalFormatting sqref="F182:G182">
    <cfRule type="expression" dxfId="1357" priority="437" stopIfTrue="1">
      <formula>#REF!=0</formula>
    </cfRule>
    <cfRule type="expression" dxfId="1356" priority="438" stopIfTrue="1">
      <formula>AND(F182&lt;&gt;"",F182&lt;&gt;F180)</formula>
    </cfRule>
  </conditionalFormatting>
  <conditionalFormatting sqref="F201:H201">
    <cfRule type="expression" dxfId="1355" priority="435" stopIfTrue="1">
      <formula>#REF!=0</formula>
    </cfRule>
    <cfRule type="expression" dxfId="1354" priority="436" stopIfTrue="1">
      <formula>AND(F201&lt;&gt;"",F201&lt;&gt;F199)</formula>
    </cfRule>
  </conditionalFormatting>
  <conditionalFormatting sqref="F202:F209">
    <cfRule type="expression" dxfId="1353" priority="433" stopIfTrue="1">
      <formula>#REF!=0</formula>
    </cfRule>
    <cfRule type="expression" dxfId="1352" priority="434" stopIfTrue="1">
      <formula>AND(F202&lt;&gt;"",F202&lt;&gt;F201)</formula>
    </cfRule>
  </conditionalFormatting>
  <conditionalFormatting sqref="F222:F229 F212:F219 F232:F239">
    <cfRule type="expression" dxfId="1351" priority="429" stopIfTrue="1">
      <formula>#REF!=0</formula>
    </cfRule>
    <cfRule type="expression" dxfId="1350" priority="430" stopIfTrue="1">
      <formula>AND(F212&lt;&gt;"",F212&lt;&gt;F211)</formula>
    </cfRule>
  </conditionalFormatting>
  <conditionalFormatting sqref="F221">
    <cfRule type="expression" dxfId="1349" priority="431" stopIfTrue="1">
      <formula>#REF!=0</formula>
    </cfRule>
    <cfRule type="expression" dxfId="1348" priority="432" stopIfTrue="1">
      <formula>AND(F221&lt;&gt;"",F221&lt;&gt;F219)</formula>
    </cfRule>
  </conditionalFormatting>
  <conditionalFormatting sqref="G212:G219">
    <cfRule type="expression" dxfId="1347" priority="425" stopIfTrue="1">
      <formula>#REF!=0</formula>
    </cfRule>
    <cfRule type="expression" dxfId="1346" priority="426" stopIfTrue="1">
      <formula>AND(G212&lt;&gt;"",G212&lt;&gt;G211)</formula>
    </cfRule>
  </conditionalFormatting>
  <conditionalFormatting sqref="G211">
    <cfRule type="expression" dxfId="1345" priority="427" stopIfTrue="1">
      <formula>#REF!=0</formula>
    </cfRule>
    <cfRule type="expression" dxfId="1344" priority="428" stopIfTrue="1">
      <formula>AND(G211&lt;&gt;"",G211&lt;&gt;G209)</formula>
    </cfRule>
  </conditionalFormatting>
  <conditionalFormatting sqref="F242:F248">
    <cfRule type="expression" dxfId="1343" priority="423" stopIfTrue="1">
      <formula>#REF!=0</formula>
    </cfRule>
    <cfRule type="expression" dxfId="1342" priority="424" stopIfTrue="1">
      <formula>AND(F242&lt;&gt;"",F242&lt;&gt;F241)</formula>
    </cfRule>
  </conditionalFormatting>
  <conditionalFormatting sqref="F231">
    <cfRule type="expression" dxfId="1341" priority="421" stopIfTrue="1">
      <formula>#REF!=0</formula>
    </cfRule>
    <cfRule type="expression" dxfId="1340" priority="422" stopIfTrue="1">
      <formula>AND(F231&lt;&gt;"",F231&lt;&gt;F229)</formula>
    </cfRule>
  </conditionalFormatting>
  <conditionalFormatting sqref="F250:G250">
    <cfRule type="expression" dxfId="1339" priority="419" stopIfTrue="1">
      <formula>#REF!=0</formula>
    </cfRule>
    <cfRule type="expression" dxfId="1338" priority="420" stopIfTrue="1">
      <formula>AND(F250&lt;&gt;"",F250&lt;&gt;F248)</formula>
    </cfRule>
  </conditionalFormatting>
  <conditionalFormatting sqref="F251:F258">
    <cfRule type="expression" dxfId="1337" priority="417" stopIfTrue="1">
      <formula>#REF!=0</formula>
    </cfRule>
    <cfRule type="expression" dxfId="1336" priority="418" stopIfTrue="1">
      <formula>AND(F251&lt;&gt;"",F251&lt;&gt;F250)</formula>
    </cfRule>
  </conditionalFormatting>
  <conditionalFormatting sqref="G251:G258">
    <cfRule type="expression" dxfId="1335" priority="415" stopIfTrue="1">
      <formula>#REF!=0</formula>
    </cfRule>
    <cfRule type="expression" dxfId="1334" priority="416" stopIfTrue="1">
      <formula>AND(G251&lt;&gt;"",G251&lt;&gt;G250)</formula>
    </cfRule>
  </conditionalFormatting>
  <conditionalFormatting sqref="F261:F268">
    <cfRule type="expression" dxfId="1333" priority="411" stopIfTrue="1">
      <formula>#REF!=0</formula>
    </cfRule>
    <cfRule type="expression" dxfId="1332" priority="412" stopIfTrue="1">
      <formula>AND(F261&lt;&gt;"",F261&lt;&gt;F260)</formula>
    </cfRule>
  </conditionalFormatting>
  <conditionalFormatting sqref="F271:G271 F372:G372">
    <cfRule type="expression" dxfId="1331" priority="413" stopIfTrue="1">
      <formula>#REF!=0</formula>
    </cfRule>
    <cfRule type="expression" dxfId="1330" priority="414" stopIfTrue="1">
      <formula>AND(F271&lt;&gt;"",F271&lt;&gt;F268)</formula>
    </cfRule>
  </conditionalFormatting>
  <conditionalFormatting sqref="G261:G268">
    <cfRule type="expression" dxfId="1329" priority="407" stopIfTrue="1">
      <formula>#REF!=0</formula>
    </cfRule>
    <cfRule type="expression" dxfId="1328" priority="408" stopIfTrue="1">
      <formula>AND(G261&lt;&gt;"",G261&lt;&gt;G260)</formula>
    </cfRule>
  </conditionalFormatting>
  <conditionalFormatting sqref="F260:G260">
    <cfRule type="expression" dxfId="1327" priority="409" stopIfTrue="1">
      <formula>#REF!=0</formula>
    </cfRule>
    <cfRule type="expression" dxfId="1326" priority="410" stopIfTrue="1">
      <formula>AND(F260&lt;&gt;"",F260&lt;&gt;F258)</formula>
    </cfRule>
  </conditionalFormatting>
  <conditionalFormatting sqref="H113">
    <cfRule type="expression" dxfId="1325" priority="513" stopIfTrue="1">
      <formula>#REF!=0</formula>
    </cfRule>
    <cfRule type="expression" dxfId="1324" priority="514" stopIfTrue="1">
      <formula>AND(H113&lt;&gt;"",H113&lt;&gt;#REF!)</formula>
    </cfRule>
  </conditionalFormatting>
  <conditionalFormatting sqref="F162">
    <cfRule type="expression" dxfId="1323" priority="405" stopIfTrue="1">
      <formula>#REF!=0</formula>
    </cfRule>
    <cfRule type="expression" dxfId="1322" priority="406" stopIfTrue="1">
      <formula>AND(F162&lt;&gt;"",F162&lt;&gt;F161)</formula>
    </cfRule>
  </conditionalFormatting>
  <conditionalFormatting sqref="G202:G209">
    <cfRule type="expression" dxfId="1321" priority="403" stopIfTrue="1">
      <formula>#REF!=0</formula>
    </cfRule>
    <cfRule type="expression" dxfId="1320" priority="404" stopIfTrue="1">
      <formula>AND(G202&lt;&gt;"",G202&lt;&gt;G201)</formula>
    </cfRule>
  </conditionalFormatting>
  <conditionalFormatting sqref="H211">
    <cfRule type="expression" dxfId="1319" priority="399" stopIfTrue="1">
      <formula>#REF!=0</formula>
    </cfRule>
    <cfRule type="expression" dxfId="1318" priority="400" stopIfTrue="1">
      <formula>AND(H211&lt;&gt;"",H211&lt;&gt;H209)</formula>
    </cfRule>
  </conditionalFormatting>
  <conditionalFormatting sqref="H211">
    <cfRule type="expression" dxfId="1317" priority="401" stopIfTrue="1">
      <formula>#REF!=0</formula>
    </cfRule>
    <cfRule type="expression" dxfId="1316" priority="402" stopIfTrue="1">
      <formula>AND(H211&lt;&gt;"",H211&lt;&gt;#REF!)</formula>
    </cfRule>
  </conditionalFormatting>
  <conditionalFormatting sqref="H212:H219">
    <cfRule type="expression" dxfId="1315" priority="397" stopIfTrue="1">
      <formula>#REF!=0</formula>
    </cfRule>
    <cfRule type="expression" dxfId="1314" priority="398" stopIfTrue="1">
      <formula>AND(H212&lt;&gt;"",H212&lt;&gt;H211)</formula>
    </cfRule>
  </conditionalFormatting>
  <conditionalFormatting sqref="H231">
    <cfRule type="expression" dxfId="1313" priority="393" stopIfTrue="1">
      <formula>#REF!=0</formula>
    </cfRule>
    <cfRule type="expression" dxfId="1312" priority="394" stopIfTrue="1">
      <formula>AND(H231&lt;&gt;"",H231&lt;&gt;H229)</formula>
    </cfRule>
  </conditionalFormatting>
  <conditionalFormatting sqref="H231">
    <cfRule type="expression" dxfId="1311" priority="395" stopIfTrue="1">
      <formula>#REF!=0</formula>
    </cfRule>
    <cfRule type="expression" dxfId="1310" priority="396" stopIfTrue="1">
      <formula>AND(H231&lt;&gt;"",H231&lt;&gt;#REF!)</formula>
    </cfRule>
  </conditionalFormatting>
  <conditionalFormatting sqref="H232:H239">
    <cfRule type="expression" dxfId="1309" priority="391" stopIfTrue="1">
      <formula>#REF!=0</formula>
    </cfRule>
    <cfRule type="expression" dxfId="1308" priority="392" stopIfTrue="1">
      <formula>AND(H232&lt;&gt;"",H232&lt;&gt;H231)</formula>
    </cfRule>
  </conditionalFormatting>
  <conditionalFormatting sqref="H241">
    <cfRule type="expression" dxfId="1307" priority="387" stopIfTrue="1">
      <formula>#REF!=0</formula>
    </cfRule>
    <cfRule type="expression" dxfId="1306" priority="388" stopIfTrue="1">
      <formula>AND(H241&lt;&gt;"",H241&lt;&gt;H239)</formula>
    </cfRule>
  </conditionalFormatting>
  <conditionalFormatting sqref="H241">
    <cfRule type="expression" dxfId="1305" priority="389" stopIfTrue="1">
      <formula>#REF!=0</formula>
    </cfRule>
    <cfRule type="expression" dxfId="1304" priority="390" stopIfTrue="1">
      <formula>AND(H241&lt;&gt;"",H241&lt;&gt;#REF!)</formula>
    </cfRule>
  </conditionalFormatting>
  <conditionalFormatting sqref="H242:H247">
    <cfRule type="expression" dxfId="1303" priority="385" stopIfTrue="1">
      <formula>#REF!=0</formula>
    </cfRule>
    <cfRule type="expression" dxfId="1302" priority="386" stopIfTrue="1">
      <formula>AND(H242&lt;&gt;"",H242&lt;&gt;H241)</formula>
    </cfRule>
  </conditionalFormatting>
  <conditionalFormatting sqref="H248">
    <cfRule type="expression" dxfId="1301" priority="383" stopIfTrue="1">
      <formula>#REF!=0</formula>
    </cfRule>
    <cfRule type="expression" dxfId="1300" priority="384" stopIfTrue="1">
      <formula>AND(H248&lt;&gt;"",H248&lt;&gt;H247)</formula>
    </cfRule>
  </conditionalFormatting>
  <conditionalFormatting sqref="H221">
    <cfRule type="expression" dxfId="1299" priority="379" stopIfTrue="1">
      <formula>#REF!=0</formula>
    </cfRule>
    <cfRule type="expression" dxfId="1298" priority="380" stopIfTrue="1">
      <formula>AND(H221&lt;&gt;"",H221&lt;&gt;H219)</formula>
    </cfRule>
  </conditionalFormatting>
  <conditionalFormatting sqref="H221">
    <cfRule type="expression" dxfId="1297" priority="381" stopIfTrue="1">
      <formula>#REF!=0</formula>
    </cfRule>
    <cfRule type="expression" dxfId="1296" priority="382" stopIfTrue="1">
      <formula>AND(H221&lt;&gt;"",H221&lt;&gt;#REF!)</formula>
    </cfRule>
  </conditionalFormatting>
  <conditionalFormatting sqref="H222:H229">
    <cfRule type="expression" dxfId="1295" priority="377" stopIfTrue="1">
      <formula>#REF!=0</formula>
    </cfRule>
    <cfRule type="expression" dxfId="1294" priority="378" stopIfTrue="1">
      <formula>AND(H222&lt;&gt;"",H222&lt;&gt;H221)</formula>
    </cfRule>
  </conditionalFormatting>
  <conditionalFormatting sqref="H250">
    <cfRule type="expression" dxfId="1293" priority="373" stopIfTrue="1">
      <formula>#REF!=0</formula>
    </cfRule>
    <cfRule type="expression" dxfId="1292" priority="374" stopIfTrue="1">
      <formula>AND(H250&lt;&gt;"",H250&lt;&gt;H248)</formula>
    </cfRule>
  </conditionalFormatting>
  <conditionalFormatting sqref="H250">
    <cfRule type="expression" dxfId="1291" priority="375" stopIfTrue="1">
      <formula>#REF!=0</formula>
    </cfRule>
    <cfRule type="expression" dxfId="1290" priority="376" stopIfTrue="1">
      <formula>AND(H250&lt;&gt;"",H250&lt;&gt;#REF!)</formula>
    </cfRule>
  </conditionalFormatting>
  <conditionalFormatting sqref="H251:H258">
    <cfRule type="expression" dxfId="1289" priority="371" stopIfTrue="1">
      <formula>#REF!=0</formula>
    </cfRule>
    <cfRule type="expression" dxfId="1288" priority="372" stopIfTrue="1">
      <formula>AND(H251&lt;&gt;"",H251&lt;&gt;H250)</formula>
    </cfRule>
  </conditionalFormatting>
  <conditionalFormatting sqref="H260">
    <cfRule type="expression" dxfId="1287" priority="367" stopIfTrue="1">
      <formula>#REF!=0</formula>
    </cfRule>
    <cfRule type="expression" dxfId="1286" priority="368" stopIfTrue="1">
      <formula>AND(H260&lt;&gt;"",H260&lt;&gt;H258)</formula>
    </cfRule>
  </conditionalFormatting>
  <conditionalFormatting sqref="H260">
    <cfRule type="expression" dxfId="1285" priority="369" stopIfTrue="1">
      <formula>#REF!=0</formula>
    </cfRule>
    <cfRule type="expression" dxfId="1284" priority="370" stopIfTrue="1">
      <formula>AND(H260&lt;&gt;"",H260&lt;&gt;#REF!)</formula>
    </cfRule>
  </conditionalFormatting>
  <conditionalFormatting sqref="H261:H268">
    <cfRule type="expression" dxfId="1283" priority="365" stopIfTrue="1">
      <formula>#REF!=0</formula>
    </cfRule>
    <cfRule type="expression" dxfId="1282" priority="366" stopIfTrue="1">
      <formula>AND(H261&lt;&gt;"",H261&lt;&gt;H260)</formula>
    </cfRule>
  </conditionalFormatting>
  <conditionalFormatting sqref="G312">
    <cfRule type="expression" dxfId="1281" priority="363" stopIfTrue="1">
      <formula>#REF!=0</formula>
    </cfRule>
    <cfRule type="expression" dxfId="1280" priority="364" stopIfTrue="1">
      <formula>AND(G312&lt;&gt;"",G312&lt;&gt;#REF!)</formula>
    </cfRule>
  </conditionalFormatting>
  <conditionalFormatting sqref="H202:H209">
    <cfRule type="expression" dxfId="1279" priority="361" stopIfTrue="1">
      <formula>#REF!=0</formula>
    </cfRule>
    <cfRule type="expression" dxfId="1278" priority="362" stopIfTrue="1">
      <formula>AND(H202&lt;&gt;"",H202&lt;&gt;H201)</formula>
    </cfRule>
  </conditionalFormatting>
  <conditionalFormatting sqref="F241">
    <cfRule type="expression" dxfId="1277" priority="359" stopIfTrue="1">
      <formula>#REF!=0</formula>
    </cfRule>
    <cfRule type="expression" dxfId="1276" priority="360" stopIfTrue="1">
      <formula>AND(F241&lt;&gt;"",F241&lt;&gt;F239)</formula>
    </cfRule>
  </conditionalFormatting>
  <conditionalFormatting sqref="F270:G270">
    <cfRule type="expression" dxfId="1275" priority="357" stopIfTrue="1">
      <formula>#REF!=0</formula>
    </cfRule>
    <cfRule type="expression" dxfId="1274" priority="358" stopIfTrue="1">
      <formula>AND(F270&lt;&gt;"",F270&lt;&gt;F267)</formula>
    </cfRule>
  </conditionalFormatting>
  <conditionalFormatting sqref="F277:G277">
    <cfRule type="expression" dxfId="1273" priority="355" stopIfTrue="1">
      <formula>#REF!=0</formula>
    </cfRule>
    <cfRule type="expression" dxfId="1272" priority="356" stopIfTrue="1">
      <formula>AND(F277&lt;&gt;"",F277&lt;&gt;F274)</formula>
    </cfRule>
  </conditionalFormatting>
  <conditionalFormatting sqref="G278 G406 G440 F474">
    <cfRule type="expression" dxfId="1271" priority="353" stopIfTrue="1">
      <formula>#REF!=0</formula>
    </cfRule>
    <cfRule type="expression" dxfId="1270" priority="354" stopIfTrue="1">
      <formula>AND(F278&lt;&gt;"",F278&lt;&gt;F274)</formula>
    </cfRule>
  </conditionalFormatting>
  <conditionalFormatting sqref="F295:G295">
    <cfRule type="expression" dxfId="1269" priority="515" stopIfTrue="1">
      <formula>#REF!=0</formula>
    </cfRule>
    <cfRule type="expression" dxfId="1268" priority="516" stopIfTrue="1">
      <formula>AND(F295&lt;&gt;"",F295&lt;&gt;F292)</formula>
    </cfRule>
  </conditionalFormatting>
  <conditionalFormatting sqref="G279:G280">
    <cfRule type="expression" dxfId="1267" priority="351" stopIfTrue="1">
      <formula>#REF!=0</formula>
    </cfRule>
    <cfRule type="expression" dxfId="1266" priority="352" stopIfTrue="1">
      <formula>AND(G279&lt;&gt;"",G279&lt;&gt;G274)</formula>
    </cfRule>
  </conditionalFormatting>
  <conditionalFormatting sqref="F285">
    <cfRule type="expression" dxfId="1265" priority="349" stopIfTrue="1">
      <formula>#REF!=0</formula>
    </cfRule>
    <cfRule type="expression" dxfId="1264" priority="350" stopIfTrue="1">
      <formula>AND(F285&lt;&gt;"",F285&lt;&gt;F284)</formula>
    </cfRule>
  </conditionalFormatting>
  <conditionalFormatting sqref="G299">
    <cfRule type="expression" dxfId="1263" priority="517" stopIfTrue="1">
      <formula>#REF!=0</formula>
    </cfRule>
    <cfRule type="expression" dxfId="1262" priority="518" stopIfTrue="1">
      <formula>AND(G299&lt;&gt;"",G299&lt;&gt;G293)</formula>
    </cfRule>
  </conditionalFormatting>
  <conditionalFormatting sqref="F309:G309 F281 G323 G301">
    <cfRule type="expression" dxfId="1261" priority="519" stopIfTrue="1">
      <formula>#REF!=0</formula>
    </cfRule>
    <cfRule type="expression" dxfId="1260" priority="520" stopIfTrue="1">
      <formula>AND(F281&lt;&gt;"",F281&lt;&gt;#REF!)</formula>
    </cfRule>
  </conditionalFormatting>
  <conditionalFormatting sqref="F338:G338 F334:G335 F336">
    <cfRule type="expression" dxfId="1259" priority="343" stopIfTrue="1">
      <formula>#REF!=0</formula>
    </cfRule>
    <cfRule type="expression" dxfId="1258" priority="344" stopIfTrue="1">
      <formula>AND(F334&lt;&gt;"",F334&lt;&gt;F333)</formula>
    </cfRule>
  </conditionalFormatting>
  <conditionalFormatting sqref="F326">
    <cfRule type="expression" dxfId="1257" priority="345" stopIfTrue="1">
      <formula>#REF!=0</formula>
    </cfRule>
    <cfRule type="expression" dxfId="1256" priority="346" stopIfTrue="1">
      <formula>AND(F326&lt;&gt;"",F326&lt;&gt;#REF!)</formula>
    </cfRule>
  </conditionalFormatting>
  <conditionalFormatting sqref="F337">
    <cfRule type="expression" dxfId="1255" priority="347" stopIfTrue="1">
      <formula>#REF!=0</formula>
    </cfRule>
    <cfRule type="expression" dxfId="1254" priority="348" stopIfTrue="1">
      <formula>AND(F337&lt;&gt;"",F337&lt;&gt;#REF!)</formula>
    </cfRule>
  </conditionalFormatting>
  <conditionalFormatting sqref="F348:G350">
    <cfRule type="expression" dxfId="1253" priority="337" stopIfTrue="1">
      <formula>#REF!=0</formula>
    </cfRule>
    <cfRule type="expression" dxfId="1252" priority="338" stopIfTrue="1">
      <formula>AND(F348&lt;&gt;"",F348&lt;&gt;F347)</formula>
    </cfRule>
  </conditionalFormatting>
  <conditionalFormatting sqref="F352:G352 F353:F354">
    <cfRule type="expression" dxfId="1251" priority="341" stopIfTrue="1">
      <formula>#REF!=0</formula>
    </cfRule>
    <cfRule type="expression" dxfId="1250" priority="342" stopIfTrue="1">
      <formula>AND(F352&lt;&gt;"",F352&lt;&gt;#REF!)</formula>
    </cfRule>
  </conditionalFormatting>
  <conditionalFormatting sqref="F365:G367">
    <cfRule type="expression" dxfId="1249" priority="329" stopIfTrue="1">
      <formula>#REF!=0</formula>
    </cfRule>
    <cfRule type="expression" dxfId="1248" priority="330" stopIfTrue="1">
      <formula>AND(F365&lt;&gt;"",F365&lt;&gt;F364)</formula>
    </cfRule>
  </conditionalFormatting>
  <conditionalFormatting sqref="G357">
    <cfRule type="expression" dxfId="1247" priority="331" stopIfTrue="1">
      <formula>#REF!=0</formula>
    </cfRule>
    <cfRule type="expression" dxfId="1246" priority="332" stopIfTrue="1">
      <formula>AND(G357&lt;&gt;"",G357&lt;&gt;#REF!)</formula>
    </cfRule>
  </conditionalFormatting>
  <conditionalFormatting sqref="G357">
    <cfRule type="expression" dxfId="1245" priority="327" stopIfTrue="1">
      <formula>#REF!=0</formula>
    </cfRule>
    <cfRule type="expression" dxfId="1244" priority="328" stopIfTrue="1">
      <formula>AND(G357&lt;&gt;"",G357&lt;&gt;#REF!)</formula>
    </cfRule>
  </conditionalFormatting>
  <conditionalFormatting sqref="F370:G371 F369">
    <cfRule type="expression" dxfId="1243" priority="333" stopIfTrue="1">
      <formula>#REF!=0</formula>
    </cfRule>
    <cfRule type="expression" dxfId="1242" priority="334" stopIfTrue="1">
      <formula>AND(F369&lt;&gt;"",F369&lt;&gt;#REF!)</formula>
    </cfRule>
  </conditionalFormatting>
  <conditionalFormatting sqref="F389">
    <cfRule type="expression" dxfId="1241" priority="321" stopIfTrue="1">
      <formula>#REF!=0</formula>
    </cfRule>
    <cfRule type="expression" dxfId="1240" priority="322" stopIfTrue="1">
      <formula>AND(F389&lt;&gt;"",F389&lt;&gt;F386)</formula>
    </cfRule>
  </conditionalFormatting>
  <conditionalFormatting sqref="G374">
    <cfRule type="expression" dxfId="1239" priority="323" stopIfTrue="1">
      <formula>#REF!=0</formula>
    </cfRule>
    <cfRule type="expression" dxfId="1238" priority="324" stopIfTrue="1">
      <formula>AND(G374&lt;&gt;"",G374&lt;&gt;#REF!)</formula>
    </cfRule>
  </conditionalFormatting>
  <conditionalFormatting sqref="G374">
    <cfRule type="expression" dxfId="1237" priority="319" stopIfTrue="1">
      <formula>#REF!=0</formula>
    </cfRule>
    <cfRule type="expression" dxfId="1236" priority="320" stopIfTrue="1">
      <formula>AND(G374&lt;&gt;"",G374&lt;&gt;#REF!)</formula>
    </cfRule>
  </conditionalFormatting>
  <conditionalFormatting sqref="F386:G386 F388:G388 F387">
    <cfRule type="expression" dxfId="1235" priority="325" stopIfTrue="1">
      <formula>#REF!=0</formula>
    </cfRule>
    <cfRule type="expression" dxfId="1234" priority="326" stopIfTrue="1">
      <formula>AND(F386&lt;&gt;"",F386&lt;&gt;#REF!)</formula>
    </cfRule>
  </conditionalFormatting>
  <conditionalFormatting sqref="F399:G399 G401 F400">
    <cfRule type="expression" dxfId="1233" priority="313" stopIfTrue="1">
      <formula>#REF!=0</formula>
    </cfRule>
    <cfRule type="expression" dxfId="1232" priority="314" stopIfTrue="1">
      <formula>AND(F399&lt;&gt;"",F399&lt;&gt;F398)</formula>
    </cfRule>
  </conditionalFormatting>
  <conditionalFormatting sqref="F391:G391">
    <cfRule type="expression" dxfId="1231" priority="315" stopIfTrue="1">
      <formula>#REF!=0</formula>
    </cfRule>
    <cfRule type="expression" dxfId="1230" priority="316" stopIfTrue="1">
      <formula>AND(F391&lt;&gt;"",F391&lt;&gt;F389)</formula>
    </cfRule>
  </conditionalFormatting>
  <conditionalFormatting sqref="G391">
    <cfRule type="expression" dxfId="1229" priority="311" stopIfTrue="1">
      <formula>#REF!=0</formula>
    </cfRule>
    <cfRule type="expression" dxfId="1228" priority="312" stopIfTrue="1">
      <formula>AND(G391&lt;&gt;"",G391&lt;&gt;#REF!)</formula>
    </cfRule>
  </conditionalFormatting>
  <conditionalFormatting sqref="F402:G402 F405:G405 G403:G404">
    <cfRule type="expression" dxfId="1227" priority="317" stopIfTrue="1">
      <formula>#REF!=0</formula>
    </cfRule>
    <cfRule type="expression" dxfId="1226" priority="318" stopIfTrue="1">
      <formula>AND(F402&lt;&gt;"",F402&lt;&gt;#REF!)</formula>
    </cfRule>
  </conditionalFormatting>
  <conditionalFormatting sqref="G397">
    <cfRule type="expression" dxfId="1225" priority="309" stopIfTrue="1">
      <formula>#REF!=0</formula>
    </cfRule>
    <cfRule type="expression" dxfId="1224" priority="310" stopIfTrue="1">
      <formula>AND(G397&lt;&gt;"",G397&lt;&gt;G396)</formula>
    </cfRule>
  </conditionalFormatting>
  <conditionalFormatting sqref="F417:G418 G416">
    <cfRule type="expression" dxfId="1223" priority="303" stopIfTrue="1">
      <formula>#REF!=0</formula>
    </cfRule>
    <cfRule type="expression" dxfId="1222" priority="304" stopIfTrue="1">
      <formula>AND(F416&lt;&gt;"",F416&lt;&gt;F415)</formula>
    </cfRule>
  </conditionalFormatting>
  <conditionalFormatting sqref="F419 F420:G422">
    <cfRule type="expression" dxfId="1221" priority="307" stopIfTrue="1">
      <formula>#REF!=0</formula>
    </cfRule>
    <cfRule type="expression" dxfId="1220" priority="308" stopIfTrue="1">
      <formula>AND(F419&lt;&gt;"",F419&lt;&gt;#REF!)</formula>
    </cfRule>
  </conditionalFormatting>
  <conditionalFormatting sqref="G414">
    <cfRule type="expression" dxfId="1219" priority="301" stopIfTrue="1">
      <formula>#REF!=0</formula>
    </cfRule>
    <cfRule type="expression" dxfId="1218" priority="302" stopIfTrue="1">
      <formula>AND(G414&lt;&gt;"",G414&lt;&gt;G413)</formula>
    </cfRule>
  </conditionalFormatting>
  <conditionalFormatting sqref="F433:G435">
    <cfRule type="expression" dxfId="1217" priority="295" stopIfTrue="1">
      <formula>#REF!=0</formula>
    </cfRule>
    <cfRule type="expression" dxfId="1216" priority="296" stopIfTrue="1">
      <formula>AND(F433&lt;&gt;"",F433&lt;&gt;F432)</formula>
    </cfRule>
  </conditionalFormatting>
  <conditionalFormatting sqref="G425">
    <cfRule type="expression" dxfId="1215" priority="297" stopIfTrue="1">
      <formula>#REF!=0</formula>
    </cfRule>
    <cfRule type="expression" dxfId="1214" priority="298" stopIfTrue="1">
      <formula>AND(G425&lt;&gt;"",G425&lt;&gt;#REF!)</formula>
    </cfRule>
  </conditionalFormatting>
  <conditionalFormatting sqref="G425">
    <cfRule type="expression" dxfId="1213" priority="293" stopIfTrue="1">
      <formula>#REF!=0</formula>
    </cfRule>
    <cfRule type="expression" dxfId="1212" priority="294" stopIfTrue="1">
      <formula>AND(G425&lt;&gt;"",G425&lt;&gt;#REF!)</formula>
    </cfRule>
  </conditionalFormatting>
  <conditionalFormatting sqref="F436 F437:G437 F439:G439 G438">
    <cfRule type="expression" dxfId="1211" priority="299" stopIfTrue="1">
      <formula>#REF!=0</formula>
    </cfRule>
    <cfRule type="expression" dxfId="1210" priority="300" stopIfTrue="1">
      <formula>AND(F436&lt;&gt;"",F436&lt;&gt;#REF!)</formula>
    </cfRule>
  </conditionalFormatting>
  <conditionalFormatting sqref="G431">
    <cfRule type="expression" dxfId="1209" priority="291" stopIfTrue="1">
      <formula>#REF!=0</formula>
    </cfRule>
    <cfRule type="expression" dxfId="1208" priority="292" stopIfTrue="1">
      <formula>AND(G431&lt;&gt;"",G431&lt;&gt;G430)</formula>
    </cfRule>
  </conditionalFormatting>
  <conditionalFormatting sqref="F450:G452">
    <cfRule type="expression" dxfId="1207" priority="285" stopIfTrue="1">
      <formula>#REF!=0</formula>
    </cfRule>
    <cfRule type="expression" dxfId="1206" priority="286" stopIfTrue="1">
      <formula>AND(F450&lt;&gt;"",F450&lt;&gt;F449)</formula>
    </cfRule>
  </conditionalFormatting>
  <conditionalFormatting sqref="G449">
    <cfRule type="expression" dxfId="1205" priority="287" stopIfTrue="1">
      <formula>#REF!=0</formula>
    </cfRule>
    <cfRule type="expression" dxfId="1204" priority="288" stopIfTrue="1">
      <formula>AND(G449&lt;&gt;"",G449&lt;&gt;G442)</formula>
    </cfRule>
  </conditionalFormatting>
  <conditionalFormatting sqref="F453:G453 G454 F455:G456">
    <cfRule type="expression" dxfId="1203" priority="289" stopIfTrue="1">
      <formula>#REF!=0</formula>
    </cfRule>
    <cfRule type="expression" dxfId="1202" priority="290" stopIfTrue="1">
      <formula>AND(F453&lt;&gt;"",F453&lt;&gt;#REF!)</formula>
    </cfRule>
  </conditionalFormatting>
  <conditionalFormatting sqref="G448">
    <cfRule type="expression" dxfId="1201" priority="283" stopIfTrue="1">
      <formula>#REF!=0</formula>
    </cfRule>
    <cfRule type="expression" dxfId="1200" priority="284" stopIfTrue="1">
      <formula>AND(G448&lt;&gt;"",G448&lt;&gt;G447)</formula>
    </cfRule>
  </conditionalFormatting>
  <conditionalFormatting sqref="F467:G469">
    <cfRule type="expression" dxfId="1199" priority="277" stopIfTrue="1">
      <formula>#REF!=0</formula>
    </cfRule>
    <cfRule type="expression" dxfId="1198" priority="278" stopIfTrue="1">
      <formula>AND(F467&lt;&gt;"",F467&lt;&gt;F466)</formula>
    </cfRule>
  </conditionalFormatting>
  <conditionalFormatting sqref="G459">
    <cfRule type="expression" dxfId="1197" priority="279" stopIfTrue="1">
      <formula>#REF!=0</formula>
    </cfRule>
    <cfRule type="expression" dxfId="1196" priority="280" stopIfTrue="1">
      <formula>AND(G459&lt;&gt;"",G459&lt;&gt;#REF!)</formula>
    </cfRule>
  </conditionalFormatting>
  <conditionalFormatting sqref="G459">
    <cfRule type="expression" dxfId="1195" priority="275" stopIfTrue="1">
      <formula>#REF!=0</formula>
    </cfRule>
    <cfRule type="expression" dxfId="1194" priority="276" stopIfTrue="1">
      <formula>AND(G459&lt;&gt;"",G459&lt;&gt;#REF!)</formula>
    </cfRule>
  </conditionalFormatting>
  <conditionalFormatting sqref="F473 F470:G472">
    <cfRule type="expression" dxfId="1193" priority="281" stopIfTrue="1">
      <formula>#REF!=0</formula>
    </cfRule>
    <cfRule type="expression" dxfId="1192" priority="282" stopIfTrue="1">
      <formula>AND(F470&lt;&gt;"",F470&lt;&gt;#REF!)</formula>
    </cfRule>
  </conditionalFormatting>
  <conditionalFormatting sqref="G465">
    <cfRule type="expression" dxfId="1191" priority="273" stopIfTrue="1">
      <formula>#REF!=0</formula>
    </cfRule>
    <cfRule type="expression" dxfId="1190" priority="274" stopIfTrue="1">
      <formula>AND(G465&lt;&gt;"",G465&lt;&gt;G464)</formula>
    </cfRule>
  </conditionalFormatting>
  <conditionalFormatting sqref="F298">
    <cfRule type="expression" dxfId="1189" priority="271" stopIfTrue="1">
      <formula>#REF!=0</formula>
    </cfRule>
    <cfRule type="expression" dxfId="1188" priority="272" stopIfTrue="1">
      <formula>AND(F298&lt;&gt;"",F298&lt;&gt;F297)</formula>
    </cfRule>
  </conditionalFormatting>
  <conditionalFormatting sqref="F485:G487 F489:G489">
    <cfRule type="expression" dxfId="1187" priority="263" stopIfTrue="1">
      <formula>#REF!=0</formula>
    </cfRule>
    <cfRule type="expression" dxfId="1186" priority="264" stopIfTrue="1">
      <formula>AND(F485&lt;&gt;"",F485&lt;&gt;F484)</formula>
    </cfRule>
  </conditionalFormatting>
  <conditionalFormatting sqref="F477:G477">
    <cfRule type="expression" dxfId="1185" priority="265" stopIfTrue="1">
      <formula>#REF!=0</formula>
    </cfRule>
    <cfRule type="expression" dxfId="1184" priority="266" stopIfTrue="1">
      <formula>AND(F477&lt;&gt;"",F477&lt;&gt;F474)</formula>
    </cfRule>
  </conditionalFormatting>
  <conditionalFormatting sqref="G477">
    <cfRule type="expression" dxfId="1183" priority="261" stopIfTrue="1">
      <formula>#REF!=0</formula>
    </cfRule>
    <cfRule type="expression" dxfId="1182" priority="262" stopIfTrue="1">
      <formula>AND(G477&lt;&gt;"",G477&lt;&gt;#REF!)</formula>
    </cfRule>
  </conditionalFormatting>
  <conditionalFormatting sqref="F484:G484">
    <cfRule type="expression" dxfId="1181" priority="267" stopIfTrue="1">
      <formula>#REF!=0</formula>
    </cfRule>
    <cfRule type="expression" dxfId="1180" priority="268" stopIfTrue="1">
      <formula>AND(F484&lt;&gt;"",F484&lt;&gt;F477)</formula>
    </cfRule>
  </conditionalFormatting>
  <conditionalFormatting sqref="F488:G488">
    <cfRule type="expression" dxfId="1179" priority="269" stopIfTrue="1">
      <formula>#REF!=0</formula>
    </cfRule>
    <cfRule type="expression" dxfId="1178" priority="270" stopIfTrue="1">
      <formula>AND(F488&lt;&gt;"",F488&lt;&gt;#REF!)</formula>
    </cfRule>
  </conditionalFormatting>
  <conditionalFormatting sqref="G483">
    <cfRule type="expression" dxfId="1177" priority="259" stopIfTrue="1">
      <formula>#REF!=0</formula>
    </cfRule>
    <cfRule type="expression" dxfId="1176" priority="260" stopIfTrue="1">
      <formula>AND(G483&lt;&gt;"",G483&lt;&gt;G482)</formula>
    </cfRule>
  </conditionalFormatting>
  <conditionalFormatting sqref="F499:G501 F503:G503">
    <cfRule type="expression" dxfId="1175" priority="251" stopIfTrue="1">
      <formula>#REF!=0</formula>
    </cfRule>
    <cfRule type="expression" dxfId="1174" priority="252" stopIfTrue="1">
      <formula>AND(F499&lt;&gt;"",F499&lt;&gt;F498)</formula>
    </cfRule>
  </conditionalFormatting>
  <conditionalFormatting sqref="F491">
    <cfRule type="expression" dxfId="1173" priority="253" stopIfTrue="1">
      <formula>#REF!=0</formula>
    </cfRule>
    <cfRule type="expression" dxfId="1172" priority="254" stopIfTrue="1">
      <formula>AND(F491&lt;&gt;"",F491&lt;&gt;#REF!)</formula>
    </cfRule>
  </conditionalFormatting>
  <conditionalFormatting sqref="F498:G498">
    <cfRule type="expression" dxfId="1171" priority="255" stopIfTrue="1">
      <formula>#REF!=0</formula>
    </cfRule>
    <cfRule type="expression" dxfId="1170" priority="256" stopIfTrue="1">
      <formula>AND(F498&lt;&gt;"",F498&lt;&gt;F491)</formula>
    </cfRule>
  </conditionalFormatting>
  <conditionalFormatting sqref="F502:G502">
    <cfRule type="expression" dxfId="1169" priority="257" stopIfTrue="1">
      <formula>#REF!=0</formula>
    </cfRule>
    <cfRule type="expression" dxfId="1168" priority="258" stopIfTrue="1">
      <formula>AND(F502&lt;&gt;"",F502&lt;&gt;#REF!)</formula>
    </cfRule>
  </conditionalFormatting>
  <conditionalFormatting sqref="G497">
    <cfRule type="expression" dxfId="1167" priority="249" stopIfTrue="1">
      <formula>#REF!=0</formula>
    </cfRule>
    <cfRule type="expression" dxfId="1166" priority="250" stopIfTrue="1">
      <formula>AND(G497&lt;&gt;"",G497&lt;&gt;G496)</formula>
    </cfRule>
  </conditionalFormatting>
  <conditionalFormatting sqref="F527:G529 F531:G531">
    <cfRule type="expression" dxfId="1165" priority="241" stopIfTrue="1">
      <formula>#REF!=0</formula>
    </cfRule>
    <cfRule type="expression" dxfId="1164" priority="242" stopIfTrue="1">
      <formula>AND(F527&lt;&gt;"",F527&lt;&gt;F526)</formula>
    </cfRule>
  </conditionalFormatting>
  <conditionalFormatting sqref="F519:G519">
    <cfRule type="expression" dxfId="1163" priority="243" stopIfTrue="1">
      <formula>#REF!=0</formula>
    </cfRule>
    <cfRule type="expression" dxfId="1162" priority="244" stopIfTrue="1">
      <formula>AND(F519&lt;&gt;"",F519&lt;&gt;#REF!)</formula>
    </cfRule>
  </conditionalFormatting>
  <conditionalFormatting sqref="G519">
    <cfRule type="expression" dxfId="1161" priority="239" stopIfTrue="1">
      <formula>#REF!=0</formula>
    </cfRule>
    <cfRule type="expression" dxfId="1160" priority="240" stopIfTrue="1">
      <formula>AND(G519&lt;&gt;"",G519&lt;&gt;#REF!)</formula>
    </cfRule>
  </conditionalFormatting>
  <conditionalFormatting sqref="F526:G526">
    <cfRule type="expression" dxfId="1159" priority="245" stopIfTrue="1">
      <formula>#REF!=0</formula>
    </cfRule>
    <cfRule type="expression" dxfId="1158" priority="246" stopIfTrue="1">
      <formula>AND(F526&lt;&gt;"",F526&lt;&gt;F519)</formula>
    </cfRule>
  </conditionalFormatting>
  <conditionalFormatting sqref="F530:G530">
    <cfRule type="expression" dxfId="1157" priority="247" stopIfTrue="1">
      <formula>#REF!=0</formula>
    </cfRule>
    <cfRule type="expression" dxfId="1156" priority="248" stopIfTrue="1">
      <formula>AND(F530&lt;&gt;"",F530&lt;&gt;#REF!)</formula>
    </cfRule>
  </conditionalFormatting>
  <conditionalFormatting sqref="G525">
    <cfRule type="expression" dxfId="1155" priority="237" stopIfTrue="1">
      <formula>#REF!=0</formula>
    </cfRule>
    <cfRule type="expression" dxfId="1154" priority="238" stopIfTrue="1">
      <formula>AND(G525&lt;&gt;"",G525&lt;&gt;G524)</formula>
    </cfRule>
  </conditionalFormatting>
  <conditionalFormatting sqref="F541:G543 F545:G545">
    <cfRule type="expression" dxfId="1153" priority="229" stopIfTrue="1">
      <formula>#REF!=0</formula>
    </cfRule>
    <cfRule type="expression" dxfId="1152" priority="230" stopIfTrue="1">
      <formula>AND(F541&lt;&gt;"",F541&lt;&gt;F540)</formula>
    </cfRule>
  </conditionalFormatting>
  <conditionalFormatting sqref="F533:G533">
    <cfRule type="expression" dxfId="1151" priority="231" stopIfTrue="1">
      <formula>#REF!=0</formula>
    </cfRule>
    <cfRule type="expression" dxfId="1150" priority="232" stopIfTrue="1">
      <formula>AND(F533&lt;&gt;"",F533&lt;&gt;#REF!)</formula>
    </cfRule>
  </conditionalFormatting>
  <conditionalFormatting sqref="G533">
    <cfRule type="expression" dxfId="1149" priority="227" stopIfTrue="1">
      <formula>#REF!=0</formula>
    </cfRule>
    <cfRule type="expression" dxfId="1148" priority="228" stopIfTrue="1">
      <formula>AND(G533&lt;&gt;"",G533&lt;&gt;#REF!)</formula>
    </cfRule>
  </conditionalFormatting>
  <conditionalFormatting sqref="F540:G540">
    <cfRule type="expression" dxfId="1147" priority="233" stopIfTrue="1">
      <formula>#REF!=0</formula>
    </cfRule>
    <cfRule type="expression" dxfId="1146" priority="234" stopIfTrue="1">
      <formula>AND(F540&lt;&gt;"",F540&lt;&gt;F533)</formula>
    </cfRule>
  </conditionalFormatting>
  <conditionalFormatting sqref="F544:G544">
    <cfRule type="expression" dxfId="1145" priority="235" stopIfTrue="1">
      <formula>#REF!=0</formula>
    </cfRule>
    <cfRule type="expression" dxfId="1144" priority="236" stopIfTrue="1">
      <formula>AND(F544&lt;&gt;"",F544&lt;&gt;#REF!)</formula>
    </cfRule>
  </conditionalFormatting>
  <conditionalFormatting sqref="G539">
    <cfRule type="expression" dxfId="1143" priority="225" stopIfTrue="1">
      <formula>#REF!=0</formula>
    </cfRule>
    <cfRule type="expression" dxfId="1142" priority="226" stopIfTrue="1">
      <formula>AND(G539&lt;&gt;"",G539&lt;&gt;G538)</formula>
    </cfRule>
  </conditionalFormatting>
  <conditionalFormatting sqref="G281">
    <cfRule type="expression" dxfId="1141" priority="223" stopIfTrue="1">
      <formula>#REF!=0</formula>
    </cfRule>
    <cfRule type="expression" dxfId="1140" priority="224" stopIfTrue="1">
      <formula>AND(G281&lt;&gt;"",G281&lt;&gt;G280)</formula>
    </cfRule>
  </conditionalFormatting>
  <conditionalFormatting sqref="G284">
    <cfRule type="expression" dxfId="1139" priority="221" stopIfTrue="1">
      <formula>#REF!=0</formula>
    </cfRule>
    <cfRule type="expression" dxfId="1138" priority="222" stopIfTrue="1">
      <formula>AND(G284&lt;&gt;"",G284&lt;&gt;G283)</formula>
    </cfRule>
  </conditionalFormatting>
  <conditionalFormatting sqref="G304">
    <cfRule type="expression" dxfId="1137" priority="219" stopIfTrue="1">
      <formula>#REF!=0</formula>
    </cfRule>
    <cfRule type="expression" dxfId="1136" priority="220" stopIfTrue="1">
      <formula>AND(G304&lt;&gt;"",G304&lt;&gt;G303)</formula>
    </cfRule>
  </conditionalFormatting>
  <conditionalFormatting sqref="F318:G318">
    <cfRule type="expression" dxfId="1135" priority="217" stopIfTrue="1">
      <formula>#REF!=0</formula>
    </cfRule>
    <cfRule type="expression" dxfId="1134" priority="218" stopIfTrue="1">
      <formula>AND(F318&lt;&gt;"",F318&lt;&gt;F317)</formula>
    </cfRule>
  </conditionalFormatting>
  <conditionalFormatting sqref="G313">
    <cfRule type="expression" dxfId="1133" priority="215" stopIfTrue="1">
      <formula>#REF!=0</formula>
    </cfRule>
    <cfRule type="expression" dxfId="1132" priority="216" stopIfTrue="1">
      <formula>AND(G313&lt;&gt;"",G313&lt;&gt;G306)</formula>
    </cfRule>
  </conditionalFormatting>
  <conditionalFormatting sqref="G331:G332">
    <cfRule type="expression" dxfId="1131" priority="213" stopIfTrue="1">
      <formula>#REF!=0</formula>
    </cfRule>
    <cfRule type="expression" dxfId="1130" priority="214" stopIfTrue="1">
      <formula>AND(G331&lt;&gt;"",G331&lt;&gt;G330)</formula>
    </cfRule>
  </conditionalFormatting>
  <conditionalFormatting sqref="F346">
    <cfRule type="expression" dxfId="1129" priority="211" stopIfTrue="1">
      <formula>#REF!=0</formula>
    </cfRule>
    <cfRule type="expression" dxfId="1128" priority="212" stopIfTrue="1">
      <formula>AND(F346&lt;&gt;"",F346&lt;&gt;F345)</formula>
    </cfRule>
  </conditionalFormatting>
  <conditionalFormatting sqref="G363">
    <cfRule type="expression" dxfId="1127" priority="209" stopIfTrue="1">
      <formula>#REF!=0</formula>
    </cfRule>
    <cfRule type="expression" dxfId="1126" priority="210" stopIfTrue="1">
      <formula>AND(G363&lt;&gt;"",G363&lt;&gt;G362)</formula>
    </cfRule>
  </conditionalFormatting>
  <conditionalFormatting sqref="G306">
    <cfRule type="expression" dxfId="1125" priority="207" stopIfTrue="1">
      <formula>#REF!=0</formula>
    </cfRule>
    <cfRule type="expression" dxfId="1124" priority="208" stopIfTrue="1">
      <formula>AND(G306&lt;&gt;"",G306&lt;&gt;G305)</formula>
    </cfRule>
  </conditionalFormatting>
  <conditionalFormatting sqref="F312">
    <cfRule type="expression" dxfId="1123" priority="205" stopIfTrue="1">
      <formula>#REF!=0</formula>
    </cfRule>
    <cfRule type="expression" dxfId="1122" priority="206" stopIfTrue="1">
      <formula>AND(F312&lt;&gt;"",F312&lt;&gt;F305)</formula>
    </cfRule>
  </conditionalFormatting>
  <conditionalFormatting sqref="F329">
    <cfRule type="expression" dxfId="1121" priority="203" stopIfTrue="1">
      <formula>#REF!=0</formula>
    </cfRule>
    <cfRule type="expression" dxfId="1120" priority="204" stopIfTrue="1">
      <formula>AND(F329&lt;&gt;"",F329&lt;&gt;F328)</formula>
    </cfRule>
  </conditionalFormatting>
  <conditionalFormatting sqref="F375">
    <cfRule type="expression" dxfId="1119" priority="201" stopIfTrue="1">
      <formula>#REF!=0</formula>
    </cfRule>
    <cfRule type="expression" dxfId="1118" priority="202" stopIfTrue="1">
      <formula>AND(F375&lt;&gt;"",F375&lt;&gt;F365)</formula>
    </cfRule>
  </conditionalFormatting>
  <conditionalFormatting sqref="F383">
    <cfRule type="expression" dxfId="1117" priority="521" stopIfTrue="1">
      <formula>#REF!=0</formula>
    </cfRule>
    <cfRule type="expression" dxfId="1116" priority="522" stopIfTrue="1">
      <formula>AND(F383&lt;&gt;"",F383&lt;&gt;#REF!)</formula>
    </cfRule>
  </conditionalFormatting>
  <conditionalFormatting sqref="F382">
    <cfRule type="expression" dxfId="1115" priority="197" stopIfTrue="1">
      <formula>#REF!=0</formula>
    </cfRule>
    <cfRule type="expression" dxfId="1114" priority="198" stopIfTrue="1">
      <formula>AND(F382&lt;&gt;"",F382&lt;&gt;F381)</formula>
    </cfRule>
  </conditionalFormatting>
  <conditionalFormatting sqref="F351:G351">
    <cfRule type="expression" dxfId="1113" priority="195" stopIfTrue="1">
      <formula>#REF!=0</formula>
    </cfRule>
    <cfRule type="expression" dxfId="1112" priority="196" stopIfTrue="1">
      <formula>AND(F351&lt;&gt;"",F351&lt;&gt;#REF!)</formula>
    </cfRule>
  </conditionalFormatting>
  <conditionalFormatting sqref="F368">
    <cfRule type="expression" dxfId="1111" priority="193" stopIfTrue="1">
      <formula>#REF!=0</formula>
    </cfRule>
    <cfRule type="expression" dxfId="1110" priority="194" stopIfTrue="1">
      <formula>AND(F368&lt;&gt;"",F368&lt;&gt;#REF!)</formula>
    </cfRule>
  </conditionalFormatting>
  <conditionalFormatting sqref="F385">
    <cfRule type="expression" dxfId="1109" priority="191" stopIfTrue="1">
      <formula>#REF!=0</formula>
    </cfRule>
    <cfRule type="expression" dxfId="1108" priority="192" stopIfTrue="1">
      <formula>AND(F385&lt;&gt;"",F385&lt;&gt;#REF!)</formula>
    </cfRule>
  </conditionalFormatting>
  <conditionalFormatting sqref="G384:G385">
    <cfRule type="expression" dxfId="1107" priority="185" stopIfTrue="1">
      <formula>#REF!=0</formula>
    </cfRule>
    <cfRule type="expression" dxfId="1106" priority="186" stopIfTrue="1">
      <formula>AND(G384&lt;&gt;"",G384&lt;&gt;G383)</formula>
    </cfRule>
  </conditionalFormatting>
  <conditionalFormatting sqref="G393">
    <cfRule type="expression" dxfId="1105" priority="183" stopIfTrue="1">
      <formula>#REF!=0</formula>
    </cfRule>
    <cfRule type="expression" dxfId="1104" priority="184" stopIfTrue="1">
      <formula>AND(G393&lt;&gt;"",G393&lt;&gt;G392)</formula>
    </cfRule>
  </conditionalFormatting>
  <conditionalFormatting sqref="G369">
    <cfRule type="expression" dxfId="1103" priority="181" stopIfTrue="1">
      <formula>#REF!=0</formula>
    </cfRule>
    <cfRule type="expression" dxfId="1102" priority="182" stopIfTrue="1">
      <formula>AND(G369&lt;&gt;"",G369&lt;&gt;G368)</formula>
    </cfRule>
  </conditionalFormatting>
  <conditionalFormatting sqref="G360:G361">
    <cfRule type="expression" dxfId="1101" priority="179" stopIfTrue="1">
      <formula>#REF!=0</formula>
    </cfRule>
    <cfRule type="expression" dxfId="1100" priority="180" stopIfTrue="1">
      <formula>AND(G360&lt;&gt;"",G360&lt;&gt;G359)</formula>
    </cfRule>
  </conditionalFormatting>
  <conditionalFormatting sqref="G345:G346">
    <cfRule type="expression" dxfId="1099" priority="175" stopIfTrue="1">
      <formula>#REF!=0</formula>
    </cfRule>
    <cfRule type="expression" dxfId="1098" priority="176" stopIfTrue="1">
      <formula>AND(G345&lt;&gt;"",G345&lt;&gt;G344)</formula>
    </cfRule>
  </conditionalFormatting>
  <conditionalFormatting sqref="G336:G337">
    <cfRule type="expression" dxfId="1097" priority="173" stopIfTrue="1">
      <formula>#REF!=0</formula>
    </cfRule>
    <cfRule type="expression" dxfId="1096" priority="174" stopIfTrue="1">
      <formula>AND(G336&lt;&gt;"",G336&lt;&gt;G335)</formula>
    </cfRule>
  </conditionalFormatting>
  <conditionalFormatting sqref="G329">
    <cfRule type="expression" dxfId="1095" priority="171" stopIfTrue="1">
      <formula>#REF!=0</formula>
    </cfRule>
    <cfRule type="expression" dxfId="1094" priority="172" stopIfTrue="1">
      <formula>AND(G329&lt;&gt;"",G329&lt;&gt;G328)</formula>
    </cfRule>
  </conditionalFormatting>
  <conditionalFormatting sqref="G400">
    <cfRule type="expression" dxfId="1093" priority="169" stopIfTrue="1">
      <formula>#REF!=0</formula>
    </cfRule>
    <cfRule type="expression" dxfId="1092" priority="170" stopIfTrue="1">
      <formula>AND(G400&lt;&gt;"",G400&lt;&gt;G399)</formula>
    </cfRule>
  </conditionalFormatting>
  <conditionalFormatting sqref="F408:G408">
    <cfRule type="expression" dxfId="1091" priority="167" stopIfTrue="1">
      <formula>#REF!=0</formula>
    </cfRule>
    <cfRule type="expression" dxfId="1090" priority="168" stopIfTrue="1">
      <formula>AND(F408&lt;&gt;"",F408&lt;&gt;F406)</formula>
    </cfRule>
  </conditionalFormatting>
  <conditionalFormatting sqref="F408:G408">
    <cfRule type="expression" dxfId="1089" priority="165" stopIfTrue="1">
      <formula>#REF!=0</formula>
    </cfRule>
    <cfRule type="expression" dxfId="1088" priority="166" stopIfTrue="1">
      <formula>AND(F408&lt;&gt;"",F408&lt;&gt;#REF!)</formula>
    </cfRule>
  </conditionalFormatting>
  <conditionalFormatting sqref="F403">
    <cfRule type="expression" dxfId="1087" priority="163" stopIfTrue="1">
      <formula>#REF!=0</formula>
    </cfRule>
    <cfRule type="expression" dxfId="1086" priority="164" stopIfTrue="1">
      <formula>AND(F403&lt;&gt;"",F403&lt;&gt;#REF!)</formula>
    </cfRule>
  </conditionalFormatting>
  <conditionalFormatting sqref="F442">
    <cfRule type="expression" dxfId="1085" priority="161" stopIfTrue="1">
      <formula>#REF!=0</formula>
    </cfRule>
    <cfRule type="expression" dxfId="1084" priority="162" stopIfTrue="1">
      <formula>AND(F442&lt;&gt;"",F442&lt;&gt;F440)</formula>
    </cfRule>
  </conditionalFormatting>
  <conditionalFormatting sqref="F466">
    <cfRule type="expression" dxfId="1083" priority="159" stopIfTrue="1">
      <formula>#REF!=0</formula>
    </cfRule>
    <cfRule type="expression" dxfId="1082" priority="160" stopIfTrue="1">
      <formula>AND(F466&lt;&gt;"",F466&lt;&gt;F465)</formula>
    </cfRule>
  </conditionalFormatting>
  <conditionalFormatting sqref="G442">
    <cfRule type="expression" dxfId="1081" priority="153" stopIfTrue="1">
      <formula>#REF!=0</formula>
    </cfRule>
    <cfRule type="expression" dxfId="1080" priority="154" stopIfTrue="1">
      <formula>AND(G442&lt;&gt;"",G442&lt;&gt;G440)</formula>
    </cfRule>
  </conditionalFormatting>
  <conditionalFormatting sqref="G442">
    <cfRule type="expression" dxfId="1079" priority="151" stopIfTrue="1">
      <formula>#REF!=0</formula>
    </cfRule>
    <cfRule type="expression" dxfId="1078" priority="152" stopIfTrue="1">
      <formula>AND(G442&lt;&gt;"",G442&lt;&gt;#REF!)</formula>
    </cfRule>
  </conditionalFormatting>
  <conditionalFormatting sqref="G464">
    <cfRule type="expression" dxfId="1077" priority="147" stopIfTrue="1">
      <formula>#REF!=0</formula>
    </cfRule>
    <cfRule type="expression" dxfId="1076" priority="148" stopIfTrue="1">
      <formula>AND(G464&lt;&gt;"",G464&lt;&gt;G457)</formula>
    </cfRule>
  </conditionalFormatting>
  <conditionalFormatting sqref="F328">
    <cfRule type="expression" dxfId="1075" priority="141" stopIfTrue="1">
      <formula>#REF!=0</formula>
    </cfRule>
    <cfRule type="expression" dxfId="1074" priority="142" stopIfTrue="1">
      <formula>AND(F328&lt;&gt;"",F328&lt;&gt;F327)</formula>
    </cfRule>
  </conditionalFormatting>
  <conditionalFormatting sqref="F332">
    <cfRule type="expression" dxfId="1073" priority="139" stopIfTrue="1">
      <formula>#REF!=0</formula>
    </cfRule>
    <cfRule type="expression" dxfId="1072" priority="140" stopIfTrue="1">
      <formula>AND(F332&lt;&gt;"",F332&lt;&gt;F331)</formula>
    </cfRule>
  </conditionalFormatting>
  <conditionalFormatting sqref="F340:F341">
    <cfRule type="expression" dxfId="1071" priority="137" stopIfTrue="1">
      <formula>#REF!=0</formula>
    </cfRule>
    <cfRule type="expression" dxfId="1070" priority="138" stopIfTrue="1">
      <formula>AND(F340&lt;&gt;"",F340&lt;&gt;F339)</formula>
    </cfRule>
  </conditionalFormatting>
  <conditionalFormatting sqref="F357">
    <cfRule type="expression" dxfId="1069" priority="135" stopIfTrue="1">
      <formula>#REF!=0</formula>
    </cfRule>
    <cfRule type="expression" dxfId="1068" priority="136" stopIfTrue="1">
      <formula>AND(F357&lt;&gt;"",F357&lt;&gt;F356)</formula>
    </cfRule>
  </conditionalFormatting>
  <conditionalFormatting sqref="F363">
    <cfRule type="expression" dxfId="1067" priority="133" stopIfTrue="1">
      <formula>#REF!=0</formula>
    </cfRule>
    <cfRule type="expression" dxfId="1066" priority="134" stopIfTrue="1">
      <formula>AND(F363&lt;&gt;"",F363&lt;&gt;F362)</formula>
    </cfRule>
  </conditionalFormatting>
  <conditionalFormatting sqref="F380">
    <cfRule type="expression" dxfId="1065" priority="131" stopIfTrue="1">
      <formula>#REF!=0</formula>
    </cfRule>
    <cfRule type="expression" dxfId="1064" priority="132" stopIfTrue="1">
      <formula>AND(F380&lt;&gt;"",F380&lt;&gt;F379)</formula>
    </cfRule>
  </conditionalFormatting>
  <conditionalFormatting sqref="F397:F398">
    <cfRule type="expression" dxfId="1063" priority="129" stopIfTrue="1">
      <formula>#REF!=0</formula>
    </cfRule>
    <cfRule type="expression" dxfId="1062" priority="130" stopIfTrue="1">
      <formula>AND(F397&lt;&gt;"",F397&lt;&gt;F396)</formula>
    </cfRule>
  </conditionalFormatting>
  <conditionalFormatting sqref="F414">
    <cfRule type="expression" dxfId="1061" priority="127" stopIfTrue="1">
      <formula>#REF!=0</formula>
    </cfRule>
    <cfRule type="expression" dxfId="1060" priority="128" stopIfTrue="1">
      <formula>AND(F414&lt;&gt;"",F414&lt;&gt;F413)</formula>
    </cfRule>
  </conditionalFormatting>
  <conditionalFormatting sqref="F431">
    <cfRule type="expression" dxfId="1059" priority="125" stopIfTrue="1">
      <formula>#REF!=0</formula>
    </cfRule>
    <cfRule type="expression" dxfId="1058" priority="126" stopIfTrue="1">
      <formula>AND(F431&lt;&gt;"",F431&lt;&gt;F430)</formula>
    </cfRule>
  </conditionalFormatting>
  <conditionalFormatting sqref="F448">
    <cfRule type="expression" dxfId="1057" priority="123" stopIfTrue="1">
      <formula>#REF!=0</formula>
    </cfRule>
    <cfRule type="expression" dxfId="1056" priority="124" stopIfTrue="1">
      <formula>AND(F448&lt;&gt;"",F448&lt;&gt;F447)</formula>
    </cfRule>
  </conditionalFormatting>
  <conditionalFormatting sqref="F465">
    <cfRule type="expression" dxfId="1055" priority="121" stopIfTrue="1">
      <formula>#REF!=0</formula>
    </cfRule>
    <cfRule type="expression" dxfId="1054" priority="122" stopIfTrue="1">
      <formula>AND(F465&lt;&gt;"",F465&lt;&gt;F464)</formula>
    </cfRule>
  </conditionalFormatting>
  <conditionalFormatting sqref="F384">
    <cfRule type="expression" dxfId="1053" priority="119" stopIfTrue="1">
      <formula>#REF!=0</formula>
    </cfRule>
    <cfRule type="expression" dxfId="1052" priority="120" stopIfTrue="1">
      <formula>AND(F384&lt;&gt;"",F384&lt;&gt;F383)</formula>
    </cfRule>
  </conditionalFormatting>
  <conditionalFormatting sqref="F394">
    <cfRule type="expression" dxfId="1051" priority="115" stopIfTrue="1">
      <formula>#REF!=0</formula>
    </cfRule>
    <cfRule type="expression" dxfId="1050" priority="116" stopIfTrue="1">
      <formula>AND(F394&lt;&gt;"",F394&lt;&gt;F393)</formula>
    </cfRule>
  </conditionalFormatting>
  <conditionalFormatting sqref="F401">
    <cfRule type="expression" dxfId="1049" priority="113" stopIfTrue="1">
      <formula>#REF!=0</formula>
    </cfRule>
    <cfRule type="expression" dxfId="1048" priority="114" stopIfTrue="1">
      <formula>AND(F401&lt;&gt;"",F401&lt;&gt;F394)</formula>
    </cfRule>
  </conditionalFormatting>
  <conditionalFormatting sqref="F404">
    <cfRule type="expression" dxfId="1047" priority="111" stopIfTrue="1">
      <formula>#REF!=0</formula>
    </cfRule>
    <cfRule type="expression" dxfId="1046" priority="112" stopIfTrue="1">
      <formula>AND(F404&lt;&gt;"",F404&lt;&gt;F397)</formula>
    </cfRule>
  </conditionalFormatting>
  <conditionalFormatting sqref="F411">
    <cfRule type="expression" dxfId="1045" priority="109" stopIfTrue="1">
      <formula>#REF!=0</formula>
    </cfRule>
    <cfRule type="expression" dxfId="1044" priority="110" stopIfTrue="1">
      <formula>AND(F411&lt;&gt;"",F411&lt;&gt;F409)</formula>
    </cfRule>
  </conditionalFormatting>
  <conditionalFormatting sqref="F411">
    <cfRule type="expression" dxfId="1043" priority="107" stopIfTrue="1">
      <formula>#REF!=0</formula>
    </cfRule>
    <cfRule type="expression" dxfId="1042" priority="108" stopIfTrue="1">
      <formula>AND(F411&lt;&gt;"",F411&lt;&gt;#REF!)</formula>
    </cfRule>
  </conditionalFormatting>
  <conditionalFormatting sqref="F440">
    <cfRule type="expression" dxfId="1041" priority="95" stopIfTrue="1">
      <formula>#REF!=0</formula>
    </cfRule>
    <cfRule type="expression" dxfId="1040" priority="96" stopIfTrue="1">
      <formula>AND(F440&lt;&gt;"",F440&lt;&gt;#REF!)</formula>
    </cfRule>
  </conditionalFormatting>
  <conditionalFormatting sqref="F445">
    <cfRule type="expression" dxfId="1039" priority="93" stopIfTrue="1">
      <formula>#REF!=0</formula>
    </cfRule>
    <cfRule type="expression" dxfId="1038" priority="94" stopIfTrue="1">
      <formula>AND(F445&lt;&gt;"",F445&lt;&gt;F444)</formula>
    </cfRule>
  </conditionalFormatting>
  <conditionalFormatting sqref="F459">
    <cfRule type="expression" dxfId="1037" priority="91" stopIfTrue="1">
      <formula>#REF!=0</formula>
    </cfRule>
    <cfRule type="expression" dxfId="1036" priority="92" stopIfTrue="1">
      <formula>AND(F459&lt;&gt;"",F459&lt;&gt;F458)</formula>
    </cfRule>
  </conditionalFormatting>
  <conditionalFormatting sqref="F483">
    <cfRule type="expression" dxfId="1035" priority="89" stopIfTrue="1">
      <formula>#REF!=0</formula>
    </cfRule>
    <cfRule type="expression" dxfId="1034" priority="90" stopIfTrue="1">
      <formula>AND(F483&lt;&gt;"",F483&lt;&gt;F482)</formula>
    </cfRule>
  </conditionalFormatting>
  <conditionalFormatting sqref="G491">
    <cfRule type="expression" dxfId="1033" priority="87" stopIfTrue="1">
      <formula>#REF!=0</formula>
    </cfRule>
    <cfRule type="expression" dxfId="1032" priority="88" stopIfTrue="1">
      <formula>AND(G491&lt;&gt;"",G491&lt;&gt;G488)</formula>
    </cfRule>
  </conditionalFormatting>
  <conditionalFormatting sqref="G491">
    <cfRule type="expression" dxfId="1031" priority="85" stopIfTrue="1">
      <formula>#REF!=0</formula>
    </cfRule>
    <cfRule type="expression" dxfId="1030" priority="86" stopIfTrue="1">
      <formula>AND(G491&lt;&gt;"",G491&lt;&gt;#REF!)</formula>
    </cfRule>
  </conditionalFormatting>
  <conditionalFormatting sqref="G513:G515 G517">
    <cfRule type="expression" dxfId="1029" priority="79" stopIfTrue="1">
      <formula>#REF!=0</formula>
    </cfRule>
    <cfRule type="expression" dxfId="1028" priority="80" stopIfTrue="1">
      <formula>AND(G513&lt;&gt;"",G513&lt;&gt;G512)</formula>
    </cfRule>
  </conditionalFormatting>
  <conditionalFormatting sqref="G512">
    <cfRule type="expression" dxfId="1027" priority="81" stopIfTrue="1">
      <formula>#REF!=0</formula>
    </cfRule>
    <cfRule type="expression" dxfId="1026" priority="82" stopIfTrue="1">
      <formula>AND(G512&lt;&gt;"",G512&lt;&gt;G505)</formula>
    </cfRule>
  </conditionalFormatting>
  <conditionalFormatting sqref="G516">
    <cfRule type="expression" dxfId="1025" priority="83" stopIfTrue="1">
      <formula>#REF!=0</formula>
    </cfRule>
    <cfRule type="expression" dxfId="1024" priority="84" stopIfTrue="1">
      <formula>AND(G516&lt;&gt;"",G516&lt;&gt;#REF!)</formula>
    </cfRule>
  </conditionalFormatting>
  <conditionalFormatting sqref="G511">
    <cfRule type="expression" dxfId="1023" priority="77" stopIfTrue="1">
      <formula>#REF!=0</formula>
    </cfRule>
    <cfRule type="expression" dxfId="1022" priority="78" stopIfTrue="1">
      <formula>AND(G511&lt;&gt;"",G511&lt;&gt;G510)</formula>
    </cfRule>
  </conditionalFormatting>
  <conditionalFormatting sqref="G505">
    <cfRule type="expression" dxfId="1021" priority="75" stopIfTrue="1">
      <formula>#REF!=0</formula>
    </cfRule>
    <cfRule type="expression" dxfId="1020" priority="76" stopIfTrue="1">
      <formula>AND(G505&lt;&gt;"",G505&lt;&gt;G502)</formula>
    </cfRule>
  </conditionalFormatting>
  <conditionalFormatting sqref="G505">
    <cfRule type="expression" dxfId="1019" priority="73" stopIfTrue="1">
      <formula>#REF!=0</formula>
    </cfRule>
    <cfRule type="expression" dxfId="1018" priority="74" stopIfTrue="1">
      <formula>AND(G505&lt;&gt;"",G505&lt;&gt;#REF!)</formula>
    </cfRule>
  </conditionalFormatting>
  <conditionalFormatting sqref="F513:F515 F517">
    <cfRule type="expression" dxfId="1017" priority="65" stopIfTrue="1">
      <formula>#REF!=0</formula>
    </cfRule>
    <cfRule type="expression" dxfId="1016" priority="66" stopIfTrue="1">
      <formula>AND(F513&lt;&gt;"",F513&lt;&gt;F512)</formula>
    </cfRule>
  </conditionalFormatting>
  <conditionalFormatting sqref="F505">
    <cfRule type="expression" dxfId="1015" priority="67" stopIfTrue="1">
      <formula>#REF!=0</formula>
    </cfRule>
    <cfRule type="expression" dxfId="1014" priority="68" stopIfTrue="1">
      <formula>AND(F505&lt;&gt;"",F505&lt;&gt;#REF!)</formula>
    </cfRule>
  </conditionalFormatting>
  <conditionalFormatting sqref="F512">
    <cfRule type="expression" dxfId="1013" priority="69" stopIfTrue="1">
      <formula>#REF!=0</formula>
    </cfRule>
    <cfRule type="expression" dxfId="1012" priority="70" stopIfTrue="1">
      <formula>AND(F512&lt;&gt;"",F512&lt;&gt;F505)</formula>
    </cfRule>
  </conditionalFormatting>
  <conditionalFormatting sqref="F516">
    <cfRule type="expression" dxfId="1011" priority="71" stopIfTrue="1">
      <formula>#REF!=0</formula>
    </cfRule>
    <cfRule type="expression" dxfId="1010" priority="72" stopIfTrue="1">
      <formula>AND(F516&lt;&gt;"",F516&lt;&gt;#REF!)</formula>
    </cfRule>
  </conditionalFormatting>
  <conditionalFormatting sqref="F511">
    <cfRule type="expression" dxfId="1009" priority="63" stopIfTrue="1">
      <formula>#REF!=0</formula>
    </cfRule>
    <cfRule type="expression" dxfId="1008" priority="64" stopIfTrue="1">
      <formula>AND(F511&lt;&gt;"",F511&lt;&gt;F510)</formula>
    </cfRule>
  </conditionalFormatting>
  <conditionalFormatting sqref="F497">
    <cfRule type="expression" dxfId="1007" priority="61" stopIfTrue="1">
      <formula>#REF!=0</formula>
    </cfRule>
    <cfRule type="expression" dxfId="1006" priority="62" stopIfTrue="1">
      <formula>AND(F497&lt;&gt;"",F497&lt;&gt;F496)</formula>
    </cfRule>
  </conditionalFormatting>
  <conditionalFormatting sqref="G413">
    <cfRule type="expression" dxfId="1005" priority="53" stopIfTrue="1">
      <formula>#REF!=0</formula>
    </cfRule>
    <cfRule type="expression" dxfId="1004" priority="54" stopIfTrue="1">
      <formula>AND(G413&lt;&gt;"",G413&lt;&gt;G406)</formula>
    </cfRule>
  </conditionalFormatting>
  <conditionalFormatting sqref="G340">
    <cfRule type="expression" dxfId="1003" priority="41" stopIfTrue="1">
      <formula>#REF!=0</formula>
    </cfRule>
    <cfRule type="expression" dxfId="1002" priority="42" stopIfTrue="1">
      <formula>AND(G340&lt;&gt;"",G340&lt;&gt;G339)</formula>
    </cfRule>
  </conditionalFormatting>
  <conditionalFormatting sqref="G347">
    <cfRule type="expression" dxfId="1001" priority="39" stopIfTrue="1">
      <formula>#REF!=0</formula>
    </cfRule>
    <cfRule type="expression" dxfId="1000" priority="40" stopIfTrue="1">
      <formula>AND(G347&lt;&gt;"",G347&lt;&gt;G346)</formula>
    </cfRule>
  </conditionalFormatting>
  <conditionalFormatting sqref="G354">
    <cfRule type="expression" dxfId="999" priority="37" stopIfTrue="1">
      <formula>#REF!=0</formula>
    </cfRule>
    <cfRule type="expression" dxfId="998" priority="38" stopIfTrue="1">
      <formula>AND(G354&lt;&gt;"",G354&lt;&gt;G353)</formula>
    </cfRule>
  </conditionalFormatting>
  <conditionalFormatting sqref="G353">
    <cfRule type="expression" dxfId="997" priority="35" stopIfTrue="1">
      <formula>#REF!=0</formula>
    </cfRule>
    <cfRule type="expression" dxfId="996" priority="36" stopIfTrue="1">
      <formula>AND(G353&lt;&gt;"",G353&lt;&gt;#REF!)</formula>
    </cfRule>
  </conditionalFormatting>
  <conditionalFormatting sqref="G362">
    <cfRule type="expression" dxfId="995" priority="33" stopIfTrue="1">
      <formula>#REF!=0</formula>
    </cfRule>
    <cfRule type="expression" dxfId="994" priority="34" stopIfTrue="1">
      <formula>AND(G362&lt;&gt;"",G362&lt;&gt;G361)</formula>
    </cfRule>
  </conditionalFormatting>
  <conditionalFormatting sqref="G368">
    <cfRule type="expression" dxfId="993" priority="31" stopIfTrue="1">
      <formula>#REF!=0</formula>
    </cfRule>
    <cfRule type="expression" dxfId="992" priority="32" stopIfTrue="1">
      <formula>AND(G368&lt;&gt;"",G368&lt;&gt;G366)</formula>
    </cfRule>
  </conditionalFormatting>
  <conditionalFormatting sqref="G375">
    <cfRule type="expression" dxfId="991" priority="29" stopIfTrue="1">
      <formula>#REF!=0</formula>
    </cfRule>
    <cfRule type="expression" dxfId="990" priority="30" stopIfTrue="1">
      <formula>AND(G375&lt;&gt;"",G375&lt;&gt;G373)</formula>
    </cfRule>
  </conditionalFormatting>
  <conditionalFormatting sqref="G381">
    <cfRule type="expression" dxfId="989" priority="27" stopIfTrue="1">
      <formula>#REF!=0</formula>
    </cfRule>
    <cfRule type="expression" dxfId="988" priority="28" stopIfTrue="1">
      <formula>AND(G381&lt;&gt;"",G381&lt;&gt;G378)</formula>
    </cfRule>
  </conditionalFormatting>
  <conditionalFormatting sqref="G387">
    <cfRule type="expression" dxfId="987" priority="25" stopIfTrue="1">
      <formula>#REF!=0</formula>
    </cfRule>
    <cfRule type="expression" dxfId="986" priority="26" stopIfTrue="1">
      <formula>AND(G387&lt;&gt;"",G387&lt;&gt;G384)</formula>
    </cfRule>
  </conditionalFormatting>
  <conditionalFormatting sqref="G394">
    <cfRule type="expression" dxfId="985" priority="23" stopIfTrue="1">
      <formula>#REF!=0</formula>
    </cfRule>
    <cfRule type="expression" dxfId="984" priority="24" stopIfTrue="1">
      <formula>AND(G394&lt;&gt;"",G394&lt;&gt;G393)</formula>
    </cfRule>
  </conditionalFormatting>
  <conditionalFormatting sqref="G423">
    <cfRule type="expression" dxfId="983" priority="17" stopIfTrue="1">
      <formula>#REF!=0</formula>
    </cfRule>
    <cfRule type="expression" dxfId="982" priority="18" stopIfTrue="1">
      <formula>AND(G423&lt;&gt;"",G423&lt;&gt;G416)</formula>
    </cfRule>
  </conditionalFormatting>
  <conditionalFormatting sqref="G428">
    <cfRule type="expression" dxfId="981" priority="15" stopIfTrue="1">
      <formula>#REF!=0</formula>
    </cfRule>
    <cfRule type="expression" dxfId="980" priority="16" stopIfTrue="1">
      <formula>AND(G428&lt;&gt;"",G428&lt;&gt;G421)</formula>
    </cfRule>
  </conditionalFormatting>
  <conditionalFormatting sqref="G436">
    <cfRule type="expression" dxfId="979" priority="11" stopIfTrue="1">
      <formula>#REF!=0</formula>
    </cfRule>
    <cfRule type="expression" dxfId="978" priority="12" stopIfTrue="1">
      <formula>AND(G436&lt;&gt;"",G436&lt;&gt;G435)</formula>
    </cfRule>
  </conditionalFormatting>
  <conditionalFormatting sqref="F438">
    <cfRule type="expression" dxfId="977" priority="7" stopIfTrue="1">
      <formula>#REF!=0</formula>
    </cfRule>
    <cfRule type="expression" dxfId="976" priority="8" stopIfTrue="1">
      <formula>AND(F438&lt;&gt;"",F438&lt;&gt;F437)</formula>
    </cfRule>
  </conditionalFormatting>
  <conditionalFormatting sqref="G419">
    <cfRule type="expression" dxfId="975" priority="5" stopIfTrue="1">
      <formula>#REF!=0</formula>
    </cfRule>
    <cfRule type="expression" dxfId="974" priority="6" stopIfTrue="1">
      <formula>AND(G419&lt;&gt;"",G419&lt;&gt;G418)</formula>
    </cfRule>
  </conditionalFormatting>
  <conditionalFormatting sqref="F425">
    <cfRule type="expression" dxfId="973" priority="3" stopIfTrue="1">
      <formula>#REF!=0</formula>
    </cfRule>
    <cfRule type="expression" dxfId="972" priority="4" stopIfTrue="1">
      <formula>AND(F425&lt;&gt;"",F425&lt;&gt;F424)</formula>
    </cfRule>
  </conditionalFormatting>
  <conditionalFormatting sqref="F432:G432">
    <cfRule type="expression" dxfId="971" priority="1" stopIfTrue="1">
      <formula>#REF!=0</formula>
    </cfRule>
    <cfRule type="expression" dxfId="970" priority="2" stopIfTrue="1">
      <formula>AND(F432&lt;&gt;"",F432&lt;&gt;F431)</formula>
    </cfRule>
  </conditionalFormatting>
  <printOptions horizontalCentered="1"/>
  <pageMargins left="0.11811023622047245" right="0.11811023622047245" top="0.15748031496062992" bottom="0.15748031496062992" header="0.31496062992125984" footer="0.31496062992125984"/>
  <pageSetup paperSize="9" scale="59" orientation="portrait" r:id="rId1"/>
  <rowBreaks count="1" manualBreakCount="1">
    <brk id="102" max="7"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97B6E-FB75-4FF5-B07E-EFA86973AB06}">
  <sheetPr codeName="Sheet8">
    <tabColor theme="5" tint="0.39997558519241921"/>
    <pageSetUpPr fitToPage="1"/>
  </sheetPr>
  <dimension ref="A1:AD542"/>
  <sheetViews>
    <sheetView showGridLines="0" zoomScaleNormal="100" zoomScaleSheetLayoutView="100" workbookViewId="0">
      <pane xSplit="2" ySplit="151" topLeftCell="D183" activePane="bottomRight" state="frozen"/>
      <selection pane="topRight" activeCell="C1" sqref="C1"/>
      <selection pane="bottomLeft" activeCell="A152" sqref="A152"/>
      <selection pane="bottomRight" activeCell="G267" sqref="E267:G273"/>
    </sheetView>
  </sheetViews>
  <sheetFormatPr defaultColWidth="9.140625" defaultRowHeight="15" x14ac:dyDescent="0.25"/>
  <cols>
    <col min="1" max="1" width="3.85546875" style="111" customWidth="1"/>
    <col min="2" max="2" width="2" hidden="1" customWidth="1"/>
    <col min="3" max="3" width="9.42578125" bestFit="1" customWidth="1"/>
    <col min="4" max="4" width="11" bestFit="1" customWidth="1"/>
    <col min="5" max="5" width="14" bestFit="1" customWidth="1"/>
    <col min="6" max="6" width="41.5703125" style="68" bestFit="1" customWidth="1"/>
    <col min="7" max="7" width="47.5703125" style="68" bestFit="1" customWidth="1"/>
    <col min="8" max="8" width="47.5703125" style="68" customWidth="1"/>
    <col min="9" max="9" width="3.42578125" hidden="1" customWidth="1"/>
    <col min="10" max="10" width="36.140625" hidden="1" customWidth="1"/>
    <col min="11" max="12" width="5.5703125" hidden="1" customWidth="1"/>
    <col min="13" max="13" width="7" hidden="1" customWidth="1"/>
    <col min="14" max="14" width="6.42578125" hidden="1" customWidth="1"/>
    <col min="15" max="15" width="4.5703125" hidden="1" customWidth="1"/>
    <col min="16" max="16" width="6.42578125" hidden="1" customWidth="1"/>
    <col min="17" max="17" width="4.85546875" hidden="1" customWidth="1"/>
    <col min="18" max="18" width="4.5703125" hidden="1" customWidth="1"/>
    <col min="19" max="19" width="5" hidden="1" customWidth="1"/>
    <col min="20" max="20" width="2.42578125" customWidth="1"/>
    <col min="21" max="21" width="10.85546875" bestFit="1" customWidth="1"/>
    <col min="22" max="22" width="10.85546875" customWidth="1"/>
    <col min="23" max="23" width="10.5703125" customWidth="1"/>
    <col min="24" max="24" width="11.5703125" bestFit="1" customWidth="1"/>
    <col min="25" max="25" width="10.5703125" customWidth="1"/>
    <col min="26" max="26" width="36.42578125" bestFit="1" customWidth="1"/>
    <col min="27" max="27" width="10.5703125" bestFit="1" customWidth="1"/>
    <col min="28" max="31" width="10.42578125" bestFit="1" customWidth="1"/>
  </cols>
  <sheetData>
    <row r="1" spans="1:26" x14ac:dyDescent="0.25">
      <c r="A1" s="129" t="s">
        <v>310</v>
      </c>
      <c r="B1" s="111"/>
      <c r="C1" s="204" t="s">
        <v>451</v>
      </c>
      <c r="D1" s="204" t="s">
        <v>452</v>
      </c>
      <c r="E1" s="204" t="s">
        <v>433</v>
      </c>
      <c r="F1" s="204" t="s">
        <v>449</v>
      </c>
      <c r="G1" s="204" t="s">
        <v>450</v>
      </c>
      <c r="H1" s="204" t="s">
        <v>437</v>
      </c>
      <c r="I1" s="111"/>
      <c r="J1" s="111"/>
      <c r="K1" s="111"/>
      <c r="L1" s="111"/>
      <c r="M1" s="111"/>
      <c r="N1" s="111"/>
      <c r="O1" s="111"/>
      <c r="P1" s="111"/>
      <c r="Q1" s="111"/>
      <c r="R1" s="111"/>
      <c r="S1" s="111"/>
    </row>
    <row r="2" spans="1:26" x14ac:dyDescent="0.25">
      <c r="A2" s="129"/>
      <c r="B2" s="111"/>
      <c r="C2" s="203" t="e">
        <f>INDEX([1]Produtos!$L:$L,MATCH(H2,[1]Produtos!$C:$C,0))</f>
        <v>#N/A</v>
      </c>
      <c r="D2" s="235" t="e">
        <f>C2*9</f>
        <v>#N/A</v>
      </c>
      <c r="E2" s="205">
        <v>15000</v>
      </c>
      <c r="F2" s="234" t="e">
        <f>E2/(C2)</f>
        <v>#N/A</v>
      </c>
      <c r="G2" s="240" t="e">
        <f>E2/(C2*9)</f>
        <v>#N/A</v>
      </c>
      <c r="H2" s="239" t="s">
        <v>487</v>
      </c>
      <c r="I2" s="111"/>
      <c r="J2" s="111"/>
      <c r="K2" s="111"/>
      <c r="L2" s="111"/>
      <c r="M2" s="111"/>
      <c r="N2" s="111"/>
      <c r="O2" s="111"/>
      <c r="P2" s="111"/>
      <c r="Q2" s="111"/>
      <c r="R2" s="111"/>
      <c r="S2" s="111"/>
    </row>
    <row r="3" spans="1:26" ht="9.9499999999999993" customHeight="1" thickBot="1" x14ac:dyDescent="0.3">
      <c r="A3" s="129"/>
      <c r="B3" s="111"/>
      <c r="C3" s="111"/>
      <c r="D3" s="111"/>
      <c r="E3" s="111"/>
      <c r="F3" s="122"/>
      <c r="G3" s="122"/>
      <c r="H3" s="122"/>
      <c r="I3" s="111"/>
      <c r="J3" s="111"/>
      <c r="K3" s="111"/>
      <c r="L3" s="111"/>
      <c r="M3" s="111"/>
      <c r="N3" s="111"/>
      <c r="O3" s="111"/>
      <c r="P3" s="111"/>
      <c r="Q3" s="111"/>
      <c r="R3" s="111"/>
      <c r="S3" s="111"/>
      <c r="U3" s="204"/>
      <c r="V3" s="204"/>
      <c r="X3" s="204"/>
      <c r="Y3" s="204"/>
      <c r="Z3" s="204"/>
    </row>
    <row r="4" spans="1:26" ht="18.600000000000001" customHeight="1" thickBot="1" x14ac:dyDescent="0.35">
      <c r="A4" s="134"/>
      <c r="B4" s="23" t="s">
        <v>157</v>
      </c>
      <c r="C4" s="79" t="s">
        <v>158</v>
      </c>
      <c r="D4" s="238" t="s">
        <v>201</v>
      </c>
      <c r="E4" s="81" t="s">
        <v>159</v>
      </c>
      <c r="F4" s="82" t="s">
        <v>353</v>
      </c>
      <c r="G4" s="83" t="s">
        <v>354</v>
      </c>
      <c r="H4" s="83" t="s">
        <v>438</v>
      </c>
      <c r="I4" s="16"/>
      <c r="J4" s="17" t="s">
        <v>160</v>
      </c>
      <c r="K4" s="18" t="s">
        <v>202</v>
      </c>
      <c r="L4" s="18" t="s">
        <v>203</v>
      </c>
      <c r="M4" s="18" t="s">
        <v>204</v>
      </c>
      <c r="N4" s="18" t="s">
        <v>205</v>
      </c>
      <c r="O4" s="18" t="s">
        <v>206</v>
      </c>
      <c r="P4" s="18" t="s">
        <v>207</v>
      </c>
      <c r="Q4" s="18" t="s">
        <v>208</v>
      </c>
      <c r="R4" s="18" t="s">
        <v>209</v>
      </c>
      <c r="S4" s="19" t="s">
        <v>210</v>
      </c>
    </row>
    <row r="5" spans="1:26" hidden="1" x14ac:dyDescent="0.25">
      <c r="C5" s="52" t="s">
        <v>161</v>
      </c>
      <c r="D5" s="202">
        <v>45852</v>
      </c>
      <c r="E5" s="59" t="s">
        <v>162</v>
      </c>
      <c r="F5" s="150" t="s">
        <v>300</v>
      </c>
      <c r="G5" s="150" t="s">
        <v>381</v>
      </c>
      <c r="H5" s="233"/>
    </row>
    <row r="6" spans="1:26" hidden="1" x14ac:dyDescent="0.25">
      <c r="C6" s="43" t="s">
        <v>161</v>
      </c>
      <c r="D6" s="21">
        <f t="shared" ref="D6:D13" si="0">D5</f>
        <v>45852</v>
      </c>
      <c r="E6" s="36" t="s">
        <v>163</v>
      </c>
      <c r="F6" s="151" t="s">
        <v>300</v>
      </c>
      <c r="G6" s="151" t="s">
        <v>381</v>
      </c>
      <c r="H6" s="233"/>
    </row>
    <row r="7" spans="1:26" hidden="1" x14ac:dyDescent="0.25">
      <c r="C7" s="43" t="s">
        <v>161</v>
      </c>
      <c r="D7" s="21">
        <f t="shared" si="0"/>
        <v>45852</v>
      </c>
      <c r="E7" s="36" t="s">
        <v>164</v>
      </c>
      <c r="F7" s="151" t="s">
        <v>300</v>
      </c>
      <c r="G7" s="151" t="s">
        <v>381</v>
      </c>
      <c r="H7" s="233"/>
    </row>
    <row r="8" spans="1:26" hidden="1" x14ac:dyDescent="0.25">
      <c r="C8" s="43" t="s">
        <v>161</v>
      </c>
      <c r="D8" s="21">
        <f t="shared" si="0"/>
        <v>45852</v>
      </c>
      <c r="E8" s="36" t="s">
        <v>165</v>
      </c>
      <c r="F8" s="151" t="s">
        <v>300</v>
      </c>
      <c r="G8" s="151" t="s">
        <v>381</v>
      </c>
      <c r="H8" s="233"/>
    </row>
    <row r="9" spans="1:26" hidden="1" x14ac:dyDescent="0.25">
      <c r="C9" s="43" t="s">
        <v>161</v>
      </c>
      <c r="D9" s="21">
        <f t="shared" si="0"/>
        <v>45852</v>
      </c>
      <c r="E9" s="36" t="s">
        <v>166</v>
      </c>
      <c r="F9" s="151" t="s">
        <v>300</v>
      </c>
      <c r="G9" s="151" t="s">
        <v>381</v>
      </c>
      <c r="H9" s="233"/>
    </row>
    <row r="10" spans="1:26" hidden="1" x14ac:dyDescent="0.25">
      <c r="C10" s="43" t="s">
        <v>161</v>
      </c>
      <c r="D10" s="21">
        <f t="shared" si="0"/>
        <v>45852</v>
      </c>
      <c r="E10" s="36" t="s">
        <v>167</v>
      </c>
      <c r="F10" s="151" t="s">
        <v>300</v>
      </c>
      <c r="G10" s="151" t="s">
        <v>381</v>
      </c>
      <c r="H10" s="233"/>
    </row>
    <row r="11" spans="1:26" hidden="1" x14ac:dyDescent="0.25">
      <c r="C11" s="43" t="s">
        <v>161</v>
      </c>
      <c r="D11" s="21">
        <f t="shared" si="0"/>
        <v>45852</v>
      </c>
      <c r="E11" s="36" t="s">
        <v>167</v>
      </c>
      <c r="F11" s="151" t="s">
        <v>300</v>
      </c>
      <c r="G11" s="151" t="s">
        <v>381</v>
      </c>
      <c r="H11" s="233"/>
    </row>
    <row r="12" spans="1:26" hidden="1" x14ac:dyDescent="0.25">
      <c r="C12" s="43" t="s">
        <v>161</v>
      </c>
      <c r="D12" s="21">
        <f t="shared" si="0"/>
        <v>45852</v>
      </c>
      <c r="E12" s="36" t="s">
        <v>169</v>
      </c>
      <c r="F12" s="151" t="s">
        <v>300</v>
      </c>
      <c r="G12" s="151" t="s">
        <v>381</v>
      </c>
      <c r="H12" s="233"/>
    </row>
    <row r="13" spans="1:26" ht="15.75" hidden="1" thickBot="1" x14ac:dyDescent="0.3">
      <c r="C13" s="47" t="s">
        <v>161</v>
      </c>
      <c r="D13" s="48">
        <f t="shared" si="0"/>
        <v>45852</v>
      </c>
      <c r="E13" s="62" t="s">
        <v>170</v>
      </c>
      <c r="F13" s="152" t="s">
        <v>300</v>
      </c>
      <c r="G13" s="152" t="s">
        <v>381</v>
      </c>
      <c r="H13" s="233"/>
    </row>
    <row r="14" spans="1:26" ht="6" hidden="1" customHeight="1" thickBot="1" x14ac:dyDescent="0.3"/>
    <row r="15" spans="1:26" ht="15.75" hidden="1" thickBot="1" x14ac:dyDescent="0.3">
      <c r="C15" s="52" t="s">
        <v>171</v>
      </c>
      <c r="D15" s="53">
        <f>D13+1</f>
        <v>45853</v>
      </c>
      <c r="E15" s="59" t="s">
        <v>162</v>
      </c>
      <c r="F15" s="150" t="s">
        <v>300</v>
      </c>
      <c r="G15" s="150" t="s">
        <v>381</v>
      </c>
      <c r="H15" s="233"/>
    </row>
    <row r="16" spans="1:26" hidden="1" x14ac:dyDescent="0.25">
      <c r="C16" s="43" t="s">
        <v>171</v>
      </c>
      <c r="D16" s="21">
        <f t="shared" ref="D16:D23" si="1">D15</f>
        <v>45853</v>
      </c>
      <c r="E16" s="36" t="s">
        <v>163</v>
      </c>
      <c r="F16" s="151" t="s">
        <v>300</v>
      </c>
      <c r="G16" s="151" t="s">
        <v>381</v>
      </c>
      <c r="H16" s="233"/>
    </row>
    <row r="17" spans="3:8" hidden="1" x14ac:dyDescent="0.25">
      <c r="C17" s="43" t="s">
        <v>171</v>
      </c>
      <c r="D17" s="21">
        <f t="shared" si="1"/>
        <v>45853</v>
      </c>
      <c r="E17" s="36" t="s">
        <v>164</v>
      </c>
      <c r="F17" s="151" t="s">
        <v>300</v>
      </c>
      <c r="G17" s="151" t="s">
        <v>381</v>
      </c>
      <c r="H17" s="233"/>
    </row>
    <row r="18" spans="3:8" hidden="1" x14ac:dyDescent="0.25">
      <c r="C18" s="43" t="s">
        <v>171</v>
      </c>
      <c r="D18" s="21">
        <f t="shared" si="1"/>
        <v>45853</v>
      </c>
      <c r="E18" s="36" t="s">
        <v>165</v>
      </c>
      <c r="F18" s="151" t="s">
        <v>300</v>
      </c>
      <c r="G18" s="151" t="s">
        <v>381</v>
      </c>
      <c r="H18" s="233"/>
    </row>
    <row r="19" spans="3:8" hidden="1" x14ac:dyDescent="0.25">
      <c r="C19" s="43" t="s">
        <v>171</v>
      </c>
      <c r="D19" s="21">
        <f t="shared" si="1"/>
        <v>45853</v>
      </c>
      <c r="E19" s="36" t="s">
        <v>166</v>
      </c>
      <c r="F19" s="151" t="s">
        <v>300</v>
      </c>
      <c r="G19" s="151" t="s">
        <v>381</v>
      </c>
      <c r="H19" s="233"/>
    </row>
    <row r="20" spans="3:8" hidden="1" x14ac:dyDescent="0.25">
      <c r="C20" s="43" t="s">
        <v>171</v>
      </c>
      <c r="D20" s="21">
        <f t="shared" si="1"/>
        <v>45853</v>
      </c>
      <c r="E20" s="36" t="s">
        <v>167</v>
      </c>
      <c r="F20" s="151" t="s">
        <v>300</v>
      </c>
      <c r="G20" s="151" t="s">
        <v>381</v>
      </c>
      <c r="H20" s="233"/>
    </row>
    <row r="21" spans="3:8" hidden="1" x14ac:dyDescent="0.25">
      <c r="C21" s="43" t="s">
        <v>171</v>
      </c>
      <c r="D21" s="21">
        <f t="shared" si="1"/>
        <v>45853</v>
      </c>
      <c r="E21" s="36" t="s">
        <v>168</v>
      </c>
      <c r="F21" s="151" t="s">
        <v>300</v>
      </c>
      <c r="G21" s="151" t="s">
        <v>381</v>
      </c>
      <c r="H21" s="233"/>
    </row>
    <row r="22" spans="3:8" hidden="1" x14ac:dyDescent="0.25">
      <c r="C22" s="43" t="s">
        <v>171</v>
      </c>
      <c r="D22" s="21">
        <f t="shared" si="1"/>
        <v>45853</v>
      </c>
      <c r="E22" s="36" t="s">
        <v>169</v>
      </c>
      <c r="F22" s="151" t="s">
        <v>300</v>
      </c>
      <c r="G22" s="151" t="s">
        <v>381</v>
      </c>
      <c r="H22" s="233"/>
    </row>
    <row r="23" spans="3:8" ht="15.75" hidden="1" thickBot="1" x14ac:dyDescent="0.3">
      <c r="C23" s="47" t="s">
        <v>171</v>
      </c>
      <c r="D23" s="48">
        <f t="shared" si="1"/>
        <v>45853</v>
      </c>
      <c r="E23" s="62" t="s">
        <v>170</v>
      </c>
      <c r="F23" s="152" t="s">
        <v>300</v>
      </c>
      <c r="G23" s="152" t="s">
        <v>381</v>
      </c>
      <c r="H23" s="233"/>
    </row>
    <row r="24" spans="3:8" ht="6" hidden="1" customHeight="1" thickBot="1" x14ac:dyDescent="0.3"/>
    <row r="25" spans="3:8" ht="15.75" hidden="1" thickBot="1" x14ac:dyDescent="0.3">
      <c r="C25" s="52" t="s">
        <v>172</v>
      </c>
      <c r="D25" s="53">
        <f>D23+1</f>
        <v>45854</v>
      </c>
      <c r="E25" s="59" t="s">
        <v>162</v>
      </c>
      <c r="F25" s="149" t="s">
        <v>302</v>
      </c>
      <c r="G25" s="155" t="s">
        <v>410</v>
      </c>
      <c r="H25" s="233"/>
    </row>
    <row r="26" spans="3:8" hidden="1" x14ac:dyDescent="0.25">
      <c r="C26" s="43" t="s">
        <v>172</v>
      </c>
      <c r="D26" s="21">
        <f t="shared" ref="D26:D33" si="2">D25</f>
        <v>45854</v>
      </c>
      <c r="E26" s="36" t="s">
        <v>163</v>
      </c>
      <c r="F26" s="147" t="s">
        <v>302</v>
      </c>
      <c r="G26" s="156" t="s">
        <v>410</v>
      </c>
      <c r="H26" s="233"/>
    </row>
    <row r="27" spans="3:8" hidden="1" x14ac:dyDescent="0.25">
      <c r="C27" s="43" t="s">
        <v>172</v>
      </c>
      <c r="D27" s="21">
        <f t="shared" si="2"/>
        <v>45854</v>
      </c>
      <c r="E27" s="36" t="s">
        <v>164</v>
      </c>
      <c r="F27" s="147" t="s">
        <v>302</v>
      </c>
      <c r="G27" s="156" t="s">
        <v>410</v>
      </c>
      <c r="H27" s="233"/>
    </row>
    <row r="28" spans="3:8" hidden="1" x14ac:dyDescent="0.25">
      <c r="C28" s="43" t="s">
        <v>172</v>
      </c>
      <c r="D28" s="21">
        <f t="shared" si="2"/>
        <v>45854</v>
      </c>
      <c r="E28" s="36" t="s">
        <v>165</v>
      </c>
      <c r="F28" s="147" t="s">
        <v>302</v>
      </c>
      <c r="G28" s="156" t="s">
        <v>410</v>
      </c>
      <c r="H28" s="233"/>
    </row>
    <row r="29" spans="3:8" hidden="1" x14ac:dyDescent="0.25">
      <c r="C29" s="43" t="s">
        <v>172</v>
      </c>
      <c r="D29" s="21">
        <f t="shared" si="2"/>
        <v>45854</v>
      </c>
      <c r="E29" s="36" t="s">
        <v>166</v>
      </c>
      <c r="F29" s="147" t="s">
        <v>302</v>
      </c>
      <c r="G29" s="156" t="s">
        <v>410</v>
      </c>
      <c r="H29" s="233"/>
    </row>
    <row r="30" spans="3:8" hidden="1" x14ac:dyDescent="0.25">
      <c r="C30" s="43" t="s">
        <v>172</v>
      </c>
      <c r="D30" s="21">
        <f t="shared" si="2"/>
        <v>45854</v>
      </c>
      <c r="E30" s="36" t="s">
        <v>167</v>
      </c>
      <c r="F30" s="147" t="s">
        <v>302</v>
      </c>
      <c r="G30" s="156" t="s">
        <v>410</v>
      </c>
      <c r="H30" s="233"/>
    </row>
    <row r="31" spans="3:8" hidden="1" x14ac:dyDescent="0.25">
      <c r="C31" s="43" t="s">
        <v>172</v>
      </c>
      <c r="D31" s="21">
        <f t="shared" si="2"/>
        <v>45854</v>
      </c>
      <c r="E31" s="36" t="s">
        <v>168</v>
      </c>
      <c r="F31" s="147" t="s">
        <v>302</v>
      </c>
      <c r="G31" s="156" t="s">
        <v>410</v>
      </c>
      <c r="H31" s="233"/>
    </row>
    <row r="32" spans="3:8" hidden="1" x14ac:dyDescent="0.25">
      <c r="C32" s="43" t="s">
        <v>172</v>
      </c>
      <c r="D32" s="21">
        <f t="shared" si="2"/>
        <v>45854</v>
      </c>
      <c r="E32" s="36" t="s">
        <v>169</v>
      </c>
      <c r="F32" s="147" t="s">
        <v>302</v>
      </c>
      <c r="G32" s="156" t="s">
        <v>410</v>
      </c>
      <c r="H32" s="233"/>
    </row>
    <row r="33" spans="3:8" ht="15.75" hidden="1" thickBot="1" x14ac:dyDescent="0.3">
      <c r="C33" s="47" t="s">
        <v>172</v>
      </c>
      <c r="D33" s="48">
        <f t="shared" si="2"/>
        <v>45854</v>
      </c>
      <c r="E33" s="62" t="s">
        <v>170</v>
      </c>
      <c r="F33" s="148" t="s">
        <v>302</v>
      </c>
      <c r="G33" s="157" t="s">
        <v>410</v>
      </c>
      <c r="H33" s="233"/>
    </row>
    <row r="34" spans="3:8" ht="6" hidden="1" customHeight="1" thickBot="1" x14ac:dyDescent="0.3"/>
    <row r="35" spans="3:8" ht="15.75" hidden="1" thickBot="1" x14ac:dyDescent="0.3">
      <c r="C35" s="52" t="s">
        <v>173</v>
      </c>
      <c r="D35" s="53">
        <f>D33+1</f>
        <v>45855</v>
      </c>
      <c r="E35" s="59" t="s">
        <v>162</v>
      </c>
      <c r="F35" s="150" t="s">
        <v>302</v>
      </c>
      <c r="G35" s="150" t="s">
        <v>408</v>
      </c>
      <c r="H35" s="233"/>
    </row>
    <row r="36" spans="3:8" hidden="1" x14ac:dyDescent="0.25">
      <c r="C36" s="43" t="s">
        <v>173</v>
      </c>
      <c r="D36" s="21">
        <f t="shared" ref="D36:D43" si="3">D35</f>
        <v>45855</v>
      </c>
      <c r="E36" s="36" t="s">
        <v>163</v>
      </c>
      <c r="F36" s="153" t="s">
        <v>302</v>
      </c>
      <c r="G36" s="151" t="s">
        <v>408</v>
      </c>
      <c r="H36" s="233"/>
    </row>
    <row r="37" spans="3:8" hidden="1" x14ac:dyDescent="0.25">
      <c r="C37" s="43" t="s">
        <v>173</v>
      </c>
      <c r="D37" s="21">
        <f t="shared" si="3"/>
        <v>45855</v>
      </c>
      <c r="E37" s="36" t="s">
        <v>164</v>
      </c>
      <c r="F37" s="153" t="s">
        <v>302</v>
      </c>
      <c r="G37" s="151" t="s">
        <v>408</v>
      </c>
      <c r="H37" s="233"/>
    </row>
    <row r="38" spans="3:8" hidden="1" x14ac:dyDescent="0.25">
      <c r="C38" s="43" t="s">
        <v>173</v>
      </c>
      <c r="D38" s="21">
        <f t="shared" si="3"/>
        <v>45855</v>
      </c>
      <c r="E38" s="36" t="s">
        <v>165</v>
      </c>
      <c r="F38" s="153" t="s">
        <v>302</v>
      </c>
      <c r="G38" s="151" t="s">
        <v>408</v>
      </c>
      <c r="H38" s="233"/>
    </row>
    <row r="39" spans="3:8" hidden="1" x14ac:dyDescent="0.25">
      <c r="C39" s="43" t="s">
        <v>173</v>
      </c>
      <c r="D39" s="21">
        <f t="shared" si="3"/>
        <v>45855</v>
      </c>
      <c r="E39" s="36" t="s">
        <v>166</v>
      </c>
      <c r="F39" s="153" t="s">
        <v>302</v>
      </c>
      <c r="G39" s="151" t="s">
        <v>408</v>
      </c>
      <c r="H39" s="233"/>
    </row>
    <row r="40" spans="3:8" hidden="1" x14ac:dyDescent="0.25">
      <c r="C40" s="43" t="s">
        <v>173</v>
      </c>
      <c r="D40" s="21">
        <f t="shared" si="3"/>
        <v>45855</v>
      </c>
      <c r="E40" s="36" t="s">
        <v>167</v>
      </c>
      <c r="F40" s="153" t="s">
        <v>302</v>
      </c>
      <c r="G40" s="151" t="s">
        <v>408</v>
      </c>
      <c r="H40" s="233"/>
    </row>
    <row r="41" spans="3:8" hidden="1" x14ac:dyDescent="0.25">
      <c r="C41" s="43" t="s">
        <v>173</v>
      </c>
      <c r="D41" s="21">
        <f t="shared" si="3"/>
        <v>45855</v>
      </c>
      <c r="E41" s="36" t="s">
        <v>168</v>
      </c>
      <c r="F41" s="153" t="s">
        <v>302</v>
      </c>
      <c r="G41" s="151" t="s">
        <v>408</v>
      </c>
      <c r="H41" s="233"/>
    </row>
    <row r="42" spans="3:8" hidden="1" x14ac:dyDescent="0.25">
      <c r="C42" s="43" t="s">
        <v>173</v>
      </c>
      <c r="D42" s="21">
        <f t="shared" si="3"/>
        <v>45855</v>
      </c>
      <c r="E42" s="36" t="s">
        <v>169</v>
      </c>
      <c r="F42" s="153" t="s">
        <v>302</v>
      </c>
      <c r="G42" s="151" t="s">
        <v>408</v>
      </c>
      <c r="H42" s="233"/>
    </row>
    <row r="43" spans="3:8" ht="15.75" hidden="1" thickBot="1" x14ac:dyDescent="0.3">
      <c r="C43" s="47" t="s">
        <v>173</v>
      </c>
      <c r="D43" s="48">
        <f t="shared" si="3"/>
        <v>45855</v>
      </c>
      <c r="E43" s="62" t="s">
        <v>170</v>
      </c>
      <c r="F43" s="154" t="s">
        <v>302</v>
      </c>
      <c r="G43" s="152" t="s">
        <v>408</v>
      </c>
      <c r="H43" s="233"/>
    </row>
    <row r="44" spans="3:8" ht="6" hidden="1" customHeight="1" thickBot="1" x14ac:dyDescent="0.3"/>
    <row r="45" spans="3:8" ht="15.75" hidden="1" thickBot="1" x14ac:dyDescent="0.3">
      <c r="C45" s="52" t="s">
        <v>174</v>
      </c>
      <c r="D45" s="53">
        <f>D43+1</f>
        <v>45856</v>
      </c>
      <c r="E45" s="59" t="s">
        <v>162</v>
      </c>
      <c r="F45" s="149" t="s">
        <v>387</v>
      </c>
      <c r="G45" s="150" t="s">
        <v>301</v>
      </c>
      <c r="H45" s="233"/>
    </row>
    <row r="46" spans="3:8" hidden="1" x14ac:dyDescent="0.25">
      <c r="C46" s="43" t="s">
        <v>174</v>
      </c>
      <c r="D46" s="21">
        <f t="shared" ref="D46:D52" si="4">D45</f>
        <v>45856</v>
      </c>
      <c r="E46" s="36" t="s">
        <v>163</v>
      </c>
      <c r="F46" s="147" t="s">
        <v>387</v>
      </c>
      <c r="G46" s="151" t="s">
        <v>301</v>
      </c>
      <c r="H46" s="233"/>
    </row>
    <row r="47" spans="3:8" hidden="1" x14ac:dyDescent="0.25">
      <c r="C47" s="43" t="s">
        <v>174</v>
      </c>
      <c r="D47" s="21">
        <f t="shared" si="4"/>
        <v>45856</v>
      </c>
      <c r="E47" s="36" t="s">
        <v>164</v>
      </c>
      <c r="F47" s="147" t="s">
        <v>386</v>
      </c>
      <c r="G47" s="151" t="s">
        <v>301</v>
      </c>
      <c r="H47" s="233"/>
    </row>
    <row r="48" spans="3:8" hidden="1" x14ac:dyDescent="0.25">
      <c r="C48" s="43" t="s">
        <v>174</v>
      </c>
      <c r="D48" s="21">
        <f t="shared" si="4"/>
        <v>45856</v>
      </c>
      <c r="E48" s="36" t="s">
        <v>165</v>
      </c>
      <c r="F48" s="147" t="s">
        <v>386</v>
      </c>
      <c r="G48" s="151" t="s">
        <v>301</v>
      </c>
      <c r="H48" s="233"/>
    </row>
    <row r="49" spans="1:30" hidden="1" x14ac:dyDescent="0.25">
      <c r="C49" s="43" t="s">
        <v>174</v>
      </c>
      <c r="D49" s="21">
        <f t="shared" si="4"/>
        <v>45856</v>
      </c>
      <c r="E49" s="36" t="s">
        <v>166</v>
      </c>
      <c r="F49" s="147" t="s">
        <v>405</v>
      </c>
      <c r="G49" s="151" t="s">
        <v>301</v>
      </c>
      <c r="H49" s="233"/>
    </row>
    <row r="50" spans="1:30" hidden="1" x14ac:dyDescent="0.25">
      <c r="C50" s="43" t="s">
        <v>174</v>
      </c>
      <c r="D50" s="21">
        <f t="shared" si="4"/>
        <v>45856</v>
      </c>
      <c r="E50" s="36" t="s">
        <v>167</v>
      </c>
      <c r="F50" s="147" t="s">
        <v>405</v>
      </c>
      <c r="G50" s="151" t="s">
        <v>301</v>
      </c>
      <c r="H50" s="233"/>
    </row>
    <row r="51" spans="1:30" hidden="1" x14ac:dyDescent="0.25">
      <c r="C51" s="43" t="s">
        <v>174</v>
      </c>
      <c r="D51" s="21">
        <f t="shared" si="4"/>
        <v>45856</v>
      </c>
      <c r="E51" s="36" t="s">
        <v>168</v>
      </c>
      <c r="F51" s="147" t="s">
        <v>405</v>
      </c>
      <c r="G51" s="151" t="s">
        <v>301</v>
      </c>
      <c r="H51" s="233"/>
    </row>
    <row r="52" spans="1:30" ht="15.75" hidden="1" thickBot="1" x14ac:dyDescent="0.3">
      <c r="C52" s="47" t="s">
        <v>174</v>
      </c>
      <c r="D52" s="48">
        <f t="shared" si="4"/>
        <v>45856</v>
      </c>
      <c r="E52" s="62" t="s">
        <v>169</v>
      </c>
      <c r="F52" s="148" t="s">
        <v>405</v>
      </c>
      <c r="G52" s="152" t="s">
        <v>301</v>
      </c>
      <c r="H52" s="233"/>
    </row>
    <row r="53" spans="1:30" ht="6" hidden="1" customHeight="1" thickBot="1" x14ac:dyDescent="0.3">
      <c r="A53" s="129" t="s">
        <v>310</v>
      </c>
    </row>
    <row r="54" spans="1:30" ht="15.75" hidden="1" thickBot="1" x14ac:dyDescent="0.3">
      <c r="C54" s="52" t="s">
        <v>161</v>
      </c>
      <c r="D54" s="53">
        <f>D52+3</f>
        <v>45859</v>
      </c>
      <c r="E54" s="59" t="s">
        <v>162</v>
      </c>
      <c r="F54" s="149" t="s">
        <v>406</v>
      </c>
      <c r="G54" s="155" t="s">
        <v>380</v>
      </c>
      <c r="H54" s="233"/>
    </row>
    <row r="55" spans="1:30" hidden="1" x14ac:dyDescent="0.25">
      <c r="C55" s="43" t="s">
        <v>161</v>
      </c>
      <c r="D55" s="21">
        <f t="shared" ref="D55:D62" si="5">D54</f>
        <v>45859</v>
      </c>
      <c r="E55" s="36" t="s">
        <v>163</v>
      </c>
      <c r="F55" s="236" t="s">
        <v>406</v>
      </c>
      <c r="G55" s="156" t="s">
        <v>380</v>
      </c>
      <c r="H55" s="233"/>
    </row>
    <row r="56" spans="1:30" hidden="1" x14ac:dyDescent="0.25">
      <c r="C56" s="43" t="s">
        <v>161</v>
      </c>
      <c r="D56" s="21">
        <f t="shared" si="5"/>
        <v>45859</v>
      </c>
      <c r="E56" s="36" t="s">
        <v>164</v>
      </c>
      <c r="F56" s="236" t="s">
        <v>421</v>
      </c>
      <c r="G56" s="156" t="s">
        <v>301</v>
      </c>
      <c r="H56" s="233"/>
    </row>
    <row r="57" spans="1:30" hidden="1" x14ac:dyDescent="0.25">
      <c r="C57" s="43" t="s">
        <v>161</v>
      </c>
      <c r="D57" s="21">
        <f t="shared" si="5"/>
        <v>45859</v>
      </c>
      <c r="E57" s="36" t="s">
        <v>165</v>
      </c>
      <c r="F57" s="236" t="s">
        <v>421</v>
      </c>
      <c r="G57" s="156" t="s">
        <v>301</v>
      </c>
      <c r="H57" s="233"/>
      <c r="AA57" s="232"/>
    </row>
    <row r="58" spans="1:30" hidden="1" x14ac:dyDescent="0.25">
      <c r="C58" s="43" t="s">
        <v>161</v>
      </c>
      <c r="D58" s="21">
        <f t="shared" si="5"/>
        <v>45859</v>
      </c>
      <c r="E58" s="36" t="s">
        <v>166</v>
      </c>
      <c r="F58" s="236" t="s">
        <v>421</v>
      </c>
      <c r="G58" s="156" t="s">
        <v>301</v>
      </c>
      <c r="H58" s="233"/>
    </row>
    <row r="59" spans="1:30" hidden="1" x14ac:dyDescent="0.25">
      <c r="C59" s="43" t="s">
        <v>161</v>
      </c>
      <c r="D59" s="21">
        <f t="shared" si="5"/>
        <v>45859</v>
      </c>
      <c r="E59" s="36" t="s">
        <v>167</v>
      </c>
      <c r="F59" s="236" t="s">
        <v>421</v>
      </c>
      <c r="G59" s="156" t="s">
        <v>301</v>
      </c>
      <c r="H59" s="233"/>
      <c r="AB59" s="230"/>
      <c r="AC59" s="230"/>
      <c r="AD59" s="230"/>
    </row>
    <row r="60" spans="1:30" hidden="1" x14ac:dyDescent="0.25">
      <c r="C60" s="43" t="s">
        <v>161</v>
      </c>
      <c r="D60" s="21">
        <f t="shared" si="5"/>
        <v>45859</v>
      </c>
      <c r="E60" s="36" t="s">
        <v>167</v>
      </c>
      <c r="F60" s="236" t="s">
        <v>388</v>
      </c>
      <c r="G60" s="156" t="s">
        <v>301</v>
      </c>
      <c r="H60" s="233"/>
      <c r="AB60" s="230"/>
    </row>
    <row r="61" spans="1:30" hidden="1" x14ac:dyDescent="0.25">
      <c r="C61" s="43" t="s">
        <v>161</v>
      </c>
      <c r="D61" s="21">
        <f t="shared" si="5"/>
        <v>45859</v>
      </c>
      <c r="E61" s="36" t="s">
        <v>169</v>
      </c>
      <c r="F61" s="236" t="s">
        <v>388</v>
      </c>
      <c r="G61" s="156" t="s">
        <v>301</v>
      </c>
      <c r="H61" s="233"/>
      <c r="AB61" s="3"/>
      <c r="AC61" s="3"/>
      <c r="AD61" s="3"/>
    </row>
    <row r="62" spans="1:30" ht="15.75" hidden="1" thickBot="1" x14ac:dyDescent="0.3">
      <c r="C62" s="47" t="s">
        <v>161</v>
      </c>
      <c r="D62" s="48">
        <f t="shared" si="5"/>
        <v>45859</v>
      </c>
      <c r="E62" s="62" t="s">
        <v>170</v>
      </c>
      <c r="F62" s="237" t="s">
        <v>388</v>
      </c>
      <c r="G62" s="157" t="s">
        <v>301</v>
      </c>
      <c r="H62" s="233"/>
      <c r="AA62" s="232"/>
    </row>
    <row r="63" spans="1:30" ht="6" hidden="1" customHeight="1" thickBot="1" x14ac:dyDescent="0.3"/>
    <row r="64" spans="1:30" ht="15.75" hidden="1" thickBot="1" x14ac:dyDescent="0.3">
      <c r="C64" s="52" t="s">
        <v>171</v>
      </c>
      <c r="D64" s="53">
        <f>D62+1</f>
        <v>45860</v>
      </c>
      <c r="E64" s="59" t="s">
        <v>162</v>
      </c>
      <c r="F64" s="241" t="s">
        <v>370</v>
      </c>
      <c r="G64" s="242" t="s">
        <v>301</v>
      </c>
      <c r="H64" s="233"/>
    </row>
    <row r="65" spans="1:8" hidden="1" x14ac:dyDescent="0.25">
      <c r="C65" s="43" t="s">
        <v>171</v>
      </c>
      <c r="D65" s="21">
        <f t="shared" ref="D65:D72" si="6">D64</f>
        <v>45860</v>
      </c>
      <c r="E65" s="36" t="s">
        <v>163</v>
      </c>
      <c r="F65" s="236" t="s">
        <v>370</v>
      </c>
      <c r="G65" s="243" t="s">
        <v>301</v>
      </c>
      <c r="H65" s="233"/>
    </row>
    <row r="66" spans="1:8" hidden="1" x14ac:dyDescent="0.25">
      <c r="C66" s="43" t="s">
        <v>171</v>
      </c>
      <c r="D66" s="21">
        <f t="shared" si="6"/>
        <v>45860</v>
      </c>
      <c r="E66" s="36" t="s">
        <v>164</v>
      </c>
      <c r="F66" s="236" t="s">
        <v>370</v>
      </c>
      <c r="G66" s="243" t="s">
        <v>301</v>
      </c>
      <c r="H66" s="233"/>
    </row>
    <row r="67" spans="1:8" hidden="1" x14ac:dyDescent="0.25">
      <c r="C67" s="43" t="s">
        <v>171</v>
      </c>
      <c r="D67" s="21">
        <f t="shared" si="6"/>
        <v>45860</v>
      </c>
      <c r="E67" s="36" t="s">
        <v>165</v>
      </c>
      <c r="F67" s="236" t="s">
        <v>370</v>
      </c>
      <c r="G67" s="243" t="s">
        <v>301</v>
      </c>
      <c r="H67" s="233"/>
    </row>
    <row r="68" spans="1:8" hidden="1" x14ac:dyDescent="0.25">
      <c r="C68" s="43" t="s">
        <v>171</v>
      </c>
      <c r="D68" s="21">
        <f t="shared" si="6"/>
        <v>45860</v>
      </c>
      <c r="E68" s="36" t="s">
        <v>166</v>
      </c>
      <c r="F68" s="236" t="s">
        <v>370</v>
      </c>
      <c r="G68" s="243" t="s">
        <v>301</v>
      </c>
      <c r="H68" s="233"/>
    </row>
    <row r="69" spans="1:8" hidden="1" x14ac:dyDescent="0.25">
      <c r="C69" s="43" t="s">
        <v>171</v>
      </c>
      <c r="D69" s="21">
        <f t="shared" si="6"/>
        <v>45860</v>
      </c>
      <c r="E69" s="36" t="s">
        <v>167</v>
      </c>
      <c r="F69" s="236" t="s">
        <v>370</v>
      </c>
      <c r="G69" s="243" t="s">
        <v>301</v>
      </c>
      <c r="H69" s="233"/>
    </row>
    <row r="70" spans="1:8" hidden="1" x14ac:dyDescent="0.25">
      <c r="C70" s="43" t="s">
        <v>171</v>
      </c>
      <c r="D70" s="21">
        <f t="shared" si="6"/>
        <v>45860</v>
      </c>
      <c r="E70" s="36" t="s">
        <v>168</v>
      </c>
      <c r="F70" s="236" t="s">
        <v>370</v>
      </c>
      <c r="G70" s="243" t="s">
        <v>301</v>
      </c>
      <c r="H70" s="233"/>
    </row>
    <row r="71" spans="1:8" hidden="1" x14ac:dyDescent="0.25">
      <c r="C71" s="43" t="s">
        <v>171</v>
      </c>
      <c r="D71" s="21">
        <f t="shared" si="6"/>
        <v>45860</v>
      </c>
      <c r="E71" s="36" t="s">
        <v>169</v>
      </c>
      <c r="F71" s="236" t="s">
        <v>370</v>
      </c>
      <c r="G71" s="243" t="s">
        <v>301</v>
      </c>
      <c r="H71" s="233"/>
    </row>
    <row r="72" spans="1:8" ht="15.75" hidden="1" thickBot="1" x14ac:dyDescent="0.3">
      <c r="C72" s="47" t="s">
        <v>171</v>
      </c>
      <c r="D72" s="48">
        <f t="shared" si="6"/>
        <v>45860</v>
      </c>
      <c r="E72" s="62" t="s">
        <v>170</v>
      </c>
      <c r="F72" s="237" t="s">
        <v>370</v>
      </c>
      <c r="G72" s="244" t="s">
        <v>301</v>
      </c>
      <c r="H72" s="233"/>
    </row>
    <row r="73" spans="1:8" ht="6" hidden="1" customHeight="1" thickBot="1" x14ac:dyDescent="0.3">
      <c r="A73" s="201"/>
    </row>
    <row r="74" spans="1:8" ht="15.75" hidden="1" thickBot="1" x14ac:dyDescent="0.3">
      <c r="C74" s="52" t="s">
        <v>172</v>
      </c>
      <c r="D74" s="53">
        <f>D72+1</f>
        <v>45861</v>
      </c>
      <c r="E74" s="59" t="s">
        <v>162</v>
      </c>
      <c r="F74" s="241" t="s">
        <v>370</v>
      </c>
      <c r="G74" s="155" t="s">
        <v>301</v>
      </c>
      <c r="H74" s="233"/>
    </row>
    <row r="75" spans="1:8" hidden="1" x14ac:dyDescent="0.25">
      <c r="C75" s="43" t="s">
        <v>172</v>
      </c>
      <c r="D75" s="21">
        <f t="shared" ref="D75:D82" si="7">D74</f>
        <v>45861</v>
      </c>
      <c r="E75" s="36" t="s">
        <v>163</v>
      </c>
      <c r="F75" s="236" t="s">
        <v>370</v>
      </c>
      <c r="G75" s="156" t="s">
        <v>301</v>
      </c>
      <c r="H75" s="233"/>
    </row>
    <row r="76" spans="1:8" hidden="1" x14ac:dyDescent="0.25">
      <c r="C76" s="43" t="s">
        <v>172</v>
      </c>
      <c r="D76" s="21">
        <f t="shared" si="7"/>
        <v>45861</v>
      </c>
      <c r="E76" s="36" t="s">
        <v>164</v>
      </c>
      <c r="F76" s="236" t="s">
        <v>370</v>
      </c>
      <c r="G76" s="156" t="s">
        <v>301</v>
      </c>
      <c r="H76" s="233"/>
    </row>
    <row r="77" spans="1:8" hidden="1" x14ac:dyDescent="0.25">
      <c r="C77" s="43" t="s">
        <v>172</v>
      </c>
      <c r="D77" s="21">
        <f t="shared" si="7"/>
        <v>45861</v>
      </c>
      <c r="E77" s="36" t="s">
        <v>165</v>
      </c>
      <c r="F77" s="236" t="s">
        <v>370</v>
      </c>
      <c r="G77" s="156" t="s">
        <v>301</v>
      </c>
      <c r="H77" s="233"/>
    </row>
    <row r="78" spans="1:8" hidden="1" x14ac:dyDescent="0.25">
      <c r="C78" s="43" t="s">
        <v>172</v>
      </c>
      <c r="D78" s="21">
        <f t="shared" si="7"/>
        <v>45861</v>
      </c>
      <c r="E78" s="36" t="s">
        <v>166</v>
      </c>
      <c r="F78" s="236" t="s">
        <v>370</v>
      </c>
      <c r="G78" s="243" t="s">
        <v>502</v>
      </c>
      <c r="H78" s="233"/>
    </row>
    <row r="79" spans="1:8" hidden="1" x14ac:dyDescent="0.25">
      <c r="C79" s="43" t="s">
        <v>172</v>
      </c>
      <c r="D79" s="21">
        <f t="shared" si="7"/>
        <v>45861</v>
      </c>
      <c r="E79" s="36" t="s">
        <v>167</v>
      </c>
      <c r="F79" s="236" t="s">
        <v>370</v>
      </c>
      <c r="G79" s="243" t="s">
        <v>502</v>
      </c>
      <c r="H79" s="233"/>
    </row>
    <row r="80" spans="1:8" hidden="1" x14ac:dyDescent="0.25">
      <c r="C80" s="43" t="s">
        <v>172</v>
      </c>
      <c r="D80" s="21">
        <f t="shared" si="7"/>
        <v>45861</v>
      </c>
      <c r="E80" s="36" t="s">
        <v>168</v>
      </c>
      <c r="F80" s="236" t="s">
        <v>370</v>
      </c>
      <c r="G80" s="243" t="s">
        <v>502</v>
      </c>
      <c r="H80" s="233"/>
    </row>
    <row r="81" spans="3:8" hidden="1" x14ac:dyDescent="0.25">
      <c r="C81" s="43" t="s">
        <v>172</v>
      </c>
      <c r="D81" s="21">
        <f t="shared" si="7"/>
        <v>45861</v>
      </c>
      <c r="E81" s="36" t="s">
        <v>169</v>
      </c>
      <c r="F81" s="236" t="s">
        <v>370</v>
      </c>
      <c r="G81" s="243" t="s">
        <v>502</v>
      </c>
      <c r="H81" s="233"/>
    </row>
    <row r="82" spans="3:8" ht="15.75" hidden="1" thickBot="1" x14ac:dyDescent="0.3">
      <c r="C82" s="47" t="s">
        <v>172</v>
      </c>
      <c r="D82" s="48">
        <f t="shared" si="7"/>
        <v>45861</v>
      </c>
      <c r="E82" s="62" t="s">
        <v>170</v>
      </c>
      <c r="F82" s="237" t="s">
        <v>370</v>
      </c>
      <c r="G82" s="244" t="s">
        <v>502</v>
      </c>
      <c r="H82" s="233"/>
    </row>
    <row r="83" spans="3:8" ht="6" hidden="1" customHeight="1" thickBot="1" x14ac:dyDescent="0.3"/>
    <row r="84" spans="3:8" ht="15.75" hidden="1" thickBot="1" x14ac:dyDescent="0.3">
      <c r="C84" s="52" t="s">
        <v>173</v>
      </c>
      <c r="D84" s="53">
        <f>D82+1</f>
        <v>45862</v>
      </c>
      <c r="E84" s="59" t="s">
        <v>162</v>
      </c>
      <c r="F84" s="241" t="s">
        <v>370</v>
      </c>
      <c r="G84" s="242" t="s">
        <v>502</v>
      </c>
      <c r="H84" s="233"/>
    </row>
    <row r="85" spans="3:8" hidden="1" x14ac:dyDescent="0.25">
      <c r="C85" s="43" t="s">
        <v>173</v>
      </c>
      <c r="D85" s="21">
        <f t="shared" ref="D85:D92" si="8">D84</f>
        <v>45862</v>
      </c>
      <c r="E85" s="36" t="s">
        <v>163</v>
      </c>
      <c r="F85" s="236" t="s">
        <v>370</v>
      </c>
      <c r="G85" s="243" t="s">
        <v>502</v>
      </c>
      <c r="H85" s="233"/>
    </row>
    <row r="86" spans="3:8" hidden="1" x14ac:dyDescent="0.25">
      <c r="C86" s="43" t="s">
        <v>173</v>
      </c>
      <c r="D86" s="21">
        <f t="shared" si="8"/>
        <v>45862</v>
      </c>
      <c r="E86" s="36" t="s">
        <v>164</v>
      </c>
      <c r="F86" s="236" t="s">
        <v>370</v>
      </c>
      <c r="G86" s="243" t="s">
        <v>502</v>
      </c>
      <c r="H86" s="233"/>
    </row>
    <row r="87" spans="3:8" hidden="1" x14ac:dyDescent="0.25">
      <c r="C87" s="43" t="s">
        <v>173</v>
      </c>
      <c r="D87" s="21">
        <f t="shared" si="8"/>
        <v>45862</v>
      </c>
      <c r="E87" s="36" t="s">
        <v>165</v>
      </c>
      <c r="F87" s="236" t="s">
        <v>370</v>
      </c>
      <c r="G87" s="257" t="s">
        <v>502</v>
      </c>
      <c r="H87" s="233"/>
    </row>
    <row r="88" spans="3:8" hidden="1" x14ac:dyDescent="0.25">
      <c r="C88" s="43" t="s">
        <v>173</v>
      </c>
      <c r="D88" s="21">
        <f t="shared" si="8"/>
        <v>45862</v>
      </c>
      <c r="E88" s="36" t="s">
        <v>166</v>
      </c>
      <c r="F88" s="236" t="s">
        <v>370</v>
      </c>
      <c r="G88" s="243" t="s">
        <v>502</v>
      </c>
      <c r="H88" s="233"/>
    </row>
    <row r="89" spans="3:8" hidden="1" x14ac:dyDescent="0.25">
      <c r="C89" s="43" t="s">
        <v>173</v>
      </c>
      <c r="D89" s="21">
        <f t="shared" si="8"/>
        <v>45862</v>
      </c>
      <c r="E89" s="36" t="s">
        <v>167</v>
      </c>
      <c r="F89" s="147" t="s">
        <v>427</v>
      </c>
      <c r="G89" s="243" t="s">
        <v>490</v>
      </c>
      <c r="H89" s="233"/>
    </row>
    <row r="90" spans="3:8" hidden="1" x14ac:dyDescent="0.25">
      <c r="C90" s="43" t="s">
        <v>173</v>
      </c>
      <c r="D90" s="21">
        <f t="shared" si="8"/>
        <v>45862</v>
      </c>
      <c r="E90" s="36" t="s">
        <v>168</v>
      </c>
      <c r="F90" s="147" t="s">
        <v>427</v>
      </c>
      <c r="G90" s="243" t="s">
        <v>490</v>
      </c>
      <c r="H90" s="233"/>
    </row>
    <row r="91" spans="3:8" hidden="1" x14ac:dyDescent="0.25">
      <c r="C91" s="43" t="s">
        <v>173</v>
      </c>
      <c r="D91" s="21">
        <f t="shared" si="8"/>
        <v>45862</v>
      </c>
      <c r="E91" s="36" t="s">
        <v>169</v>
      </c>
      <c r="F91" s="147" t="s">
        <v>427</v>
      </c>
      <c r="G91" s="243" t="s">
        <v>490</v>
      </c>
      <c r="H91" s="233"/>
    </row>
    <row r="92" spans="3:8" ht="15.75" hidden="1" thickBot="1" x14ac:dyDescent="0.3">
      <c r="C92" s="47" t="s">
        <v>173</v>
      </c>
      <c r="D92" s="48">
        <f t="shared" si="8"/>
        <v>45862</v>
      </c>
      <c r="E92" s="62" t="s">
        <v>170</v>
      </c>
      <c r="F92" s="148" t="s">
        <v>427</v>
      </c>
      <c r="G92" s="244" t="s">
        <v>490</v>
      </c>
      <c r="H92" s="233"/>
    </row>
    <row r="93" spans="3:8" ht="6" hidden="1" customHeight="1" thickBot="1" x14ac:dyDescent="0.3"/>
    <row r="94" spans="3:8" ht="15.75" hidden="1" thickBot="1" x14ac:dyDescent="0.3">
      <c r="C94" s="52" t="s">
        <v>174</v>
      </c>
      <c r="D94" s="53">
        <f>D92+1</f>
        <v>45863</v>
      </c>
      <c r="E94" s="59" t="s">
        <v>162</v>
      </c>
      <c r="F94" s="149" t="s">
        <v>427</v>
      </c>
      <c r="G94" s="242" t="s">
        <v>490</v>
      </c>
      <c r="H94" s="233"/>
    </row>
    <row r="95" spans="3:8" hidden="1" x14ac:dyDescent="0.25">
      <c r="C95" s="43" t="s">
        <v>174</v>
      </c>
      <c r="D95" s="21">
        <f t="shared" ref="D95:D101" si="9">D94</f>
        <v>45863</v>
      </c>
      <c r="E95" s="36" t="s">
        <v>163</v>
      </c>
      <c r="F95" s="147" t="s">
        <v>427</v>
      </c>
      <c r="G95" s="243" t="s">
        <v>490</v>
      </c>
      <c r="H95" s="233"/>
    </row>
    <row r="96" spans="3:8" hidden="1" x14ac:dyDescent="0.25">
      <c r="C96" s="43" t="s">
        <v>174</v>
      </c>
      <c r="D96" s="21">
        <f t="shared" si="9"/>
        <v>45863</v>
      </c>
      <c r="E96" s="36" t="s">
        <v>164</v>
      </c>
      <c r="F96" s="147" t="s">
        <v>427</v>
      </c>
      <c r="G96" s="243" t="s">
        <v>490</v>
      </c>
      <c r="H96" s="233"/>
    </row>
    <row r="97" spans="1:8" hidden="1" x14ac:dyDescent="0.25">
      <c r="C97" s="43" t="s">
        <v>174</v>
      </c>
      <c r="D97" s="21">
        <f t="shared" si="9"/>
        <v>45863</v>
      </c>
      <c r="E97" s="36" t="s">
        <v>165</v>
      </c>
      <c r="F97" s="147" t="s">
        <v>427</v>
      </c>
      <c r="G97" s="243" t="s">
        <v>490</v>
      </c>
      <c r="H97" s="233"/>
    </row>
    <row r="98" spans="1:8" hidden="1" x14ac:dyDescent="0.25">
      <c r="C98" s="43" t="s">
        <v>174</v>
      </c>
      <c r="D98" s="21">
        <f t="shared" si="9"/>
        <v>45863</v>
      </c>
      <c r="E98" s="36" t="s">
        <v>166</v>
      </c>
      <c r="F98" s="147" t="s">
        <v>427</v>
      </c>
      <c r="G98" s="243" t="s">
        <v>490</v>
      </c>
      <c r="H98" s="233"/>
    </row>
    <row r="99" spans="1:8" hidden="1" x14ac:dyDescent="0.25">
      <c r="C99" s="43" t="s">
        <v>174</v>
      </c>
      <c r="D99" s="21">
        <f t="shared" si="9"/>
        <v>45863</v>
      </c>
      <c r="E99" s="36" t="s">
        <v>167</v>
      </c>
      <c r="F99" s="147" t="s">
        <v>427</v>
      </c>
      <c r="G99" s="243" t="s">
        <v>490</v>
      </c>
      <c r="H99" s="233"/>
    </row>
    <row r="100" spans="1:8" hidden="1" x14ac:dyDescent="0.25">
      <c r="C100" s="43" t="s">
        <v>174</v>
      </c>
      <c r="D100" s="21">
        <f t="shared" si="9"/>
        <v>45863</v>
      </c>
      <c r="E100" s="36" t="s">
        <v>168</v>
      </c>
      <c r="F100" s="147" t="s">
        <v>427</v>
      </c>
      <c r="G100" s="243" t="s">
        <v>490</v>
      </c>
      <c r="H100" s="233"/>
    </row>
    <row r="101" spans="1:8" ht="15.75" hidden="1" thickBot="1" x14ac:dyDescent="0.3">
      <c r="C101" s="47" t="s">
        <v>174</v>
      </c>
      <c r="D101" s="48">
        <f t="shared" si="9"/>
        <v>45863</v>
      </c>
      <c r="E101" s="62" t="s">
        <v>169</v>
      </c>
      <c r="F101" s="148" t="s">
        <v>427</v>
      </c>
      <c r="G101" s="244" t="s">
        <v>490</v>
      </c>
      <c r="H101" s="233"/>
    </row>
    <row r="102" spans="1:8" ht="6" hidden="1" customHeight="1" thickBot="1" x14ac:dyDescent="0.3">
      <c r="A102" s="129" t="s">
        <v>310</v>
      </c>
      <c r="C102" s="247" t="s">
        <v>489</v>
      </c>
    </row>
    <row r="103" spans="1:8" ht="15.75" hidden="1" thickBot="1" x14ac:dyDescent="0.3">
      <c r="C103" s="52" t="s">
        <v>161</v>
      </c>
      <c r="D103" s="53">
        <f>D101+3</f>
        <v>45866</v>
      </c>
      <c r="E103" s="187" t="s">
        <v>162</v>
      </c>
      <c r="F103" s="248" t="s">
        <v>427</v>
      </c>
      <c r="G103" s="256" t="s">
        <v>423</v>
      </c>
      <c r="H103" s="233"/>
    </row>
    <row r="104" spans="1:8" hidden="1" x14ac:dyDescent="0.25">
      <c r="C104" s="43" t="s">
        <v>161</v>
      </c>
      <c r="D104" s="21">
        <f t="shared" ref="D104:D111" si="10">D103</f>
        <v>45866</v>
      </c>
      <c r="E104" s="186" t="s">
        <v>163</v>
      </c>
      <c r="F104" s="249" t="s">
        <v>427</v>
      </c>
      <c r="G104" s="257" t="s">
        <v>423</v>
      </c>
      <c r="H104" s="233"/>
    </row>
    <row r="105" spans="1:8" hidden="1" x14ac:dyDescent="0.25">
      <c r="C105" s="43" t="s">
        <v>161</v>
      </c>
      <c r="D105" s="21">
        <f t="shared" si="10"/>
        <v>45866</v>
      </c>
      <c r="E105" s="186" t="s">
        <v>164</v>
      </c>
      <c r="F105" s="249" t="s">
        <v>427</v>
      </c>
      <c r="G105" s="257" t="s">
        <v>423</v>
      </c>
      <c r="H105" s="233"/>
    </row>
    <row r="106" spans="1:8" hidden="1" x14ac:dyDescent="0.25">
      <c r="C106" s="43" t="s">
        <v>161</v>
      </c>
      <c r="D106" s="21">
        <f t="shared" si="10"/>
        <v>45866</v>
      </c>
      <c r="E106" s="186" t="s">
        <v>165</v>
      </c>
      <c r="F106" s="249" t="s">
        <v>427</v>
      </c>
      <c r="G106" s="257" t="s">
        <v>423</v>
      </c>
      <c r="H106" s="233"/>
    </row>
    <row r="107" spans="1:8" hidden="1" x14ac:dyDescent="0.25">
      <c r="C107" s="43" t="s">
        <v>161</v>
      </c>
      <c r="D107" s="21">
        <f t="shared" si="10"/>
        <v>45866</v>
      </c>
      <c r="E107" s="186" t="s">
        <v>166</v>
      </c>
      <c r="F107" s="249" t="s">
        <v>427</v>
      </c>
      <c r="G107" s="257" t="s">
        <v>423</v>
      </c>
      <c r="H107" s="233"/>
    </row>
    <row r="108" spans="1:8" hidden="1" x14ac:dyDescent="0.25">
      <c r="C108" s="43" t="s">
        <v>161</v>
      </c>
      <c r="D108" s="21">
        <f t="shared" si="10"/>
        <v>45866</v>
      </c>
      <c r="E108" s="186" t="s">
        <v>167</v>
      </c>
      <c r="F108" s="249" t="s">
        <v>427</v>
      </c>
      <c r="G108" s="257" t="s">
        <v>423</v>
      </c>
      <c r="H108" s="233"/>
    </row>
    <row r="109" spans="1:8" hidden="1" x14ac:dyDescent="0.25">
      <c r="C109" s="43" t="s">
        <v>161</v>
      </c>
      <c r="D109" s="21">
        <f t="shared" si="10"/>
        <v>45866</v>
      </c>
      <c r="E109" s="186" t="s">
        <v>167</v>
      </c>
      <c r="F109" s="249" t="s">
        <v>427</v>
      </c>
      <c r="G109" s="257" t="s">
        <v>423</v>
      </c>
      <c r="H109" s="233"/>
    </row>
    <row r="110" spans="1:8" hidden="1" x14ac:dyDescent="0.25">
      <c r="C110" s="43" t="s">
        <v>161</v>
      </c>
      <c r="D110" s="21">
        <f t="shared" si="10"/>
        <v>45866</v>
      </c>
      <c r="E110" s="186" t="s">
        <v>169</v>
      </c>
      <c r="F110" s="249" t="s">
        <v>427</v>
      </c>
      <c r="G110" s="257" t="s">
        <v>423</v>
      </c>
    </row>
    <row r="111" spans="1:8" ht="15.75" hidden="1" thickBot="1" x14ac:dyDescent="0.3">
      <c r="C111" s="47" t="s">
        <v>161</v>
      </c>
      <c r="D111" s="48">
        <f t="shared" si="10"/>
        <v>45866</v>
      </c>
      <c r="E111" s="188" t="s">
        <v>170</v>
      </c>
      <c r="F111" s="250" t="s">
        <v>427</v>
      </c>
      <c r="G111" s="258" t="s">
        <v>423</v>
      </c>
      <c r="H111" s="233"/>
    </row>
    <row r="112" spans="1:8" ht="6" hidden="1" customHeight="1" thickBot="1" x14ac:dyDescent="0.3"/>
    <row r="113" spans="3:24" ht="15.75" hidden="1" thickBot="1" x14ac:dyDescent="0.3">
      <c r="C113" s="52" t="s">
        <v>171</v>
      </c>
      <c r="D113" s="53">
        <f>D111+1</f>
        <v>45867</v>
      </c>
      <c r="E113" s="187" t="s">
        <v>162</v>
      </c>
      <c r="F113" s="248" t="s">
        <v>427</v>
      </c>
      <c r="G113" s="257" t="s">
        <v>423</v>
      </c>
      <c r="H113" s="233"/>
    </row>
    <row r="114" spans="3:24" hidden="1" x14ac:dyDescent="0.25">
      <c r="C114" s="43" t="s">
        <v>171</v>
      </c>
      <c r="D114" s="21">
        <f t="shared" ref="D114:D121" si="11">D113</f>
        <v>45867</v>
      </c>
      <c r="E114" s="186" t="s">
        <v>163</v>
      </c>
      <c r="F114" s="249" t="s">
        <v>427</v>
      </c>
      <c r="G114" s="257" t="s">
        <v>423</v>
      </c>
      <c r="H114" s="233"/>
    </row>
    <row r="115" spans="3:24" hidden="1" x14ac:dyDescent="0.25">
      <c r="C115" s="43" t="s">
        <v>171</v>
      </c>
      <c r="D115" s="21">
        <f t="shared" si="11"/>
        <v>45867</v>
      </c>
      <c r="E115" s="186" t="s">
        <v>164</v>
      </c>
      <c r="F115" s="249" t="s">
        <v>427</v>
      </c>
      <c r="G115" s="257" t="s">
        <v>423</v>
      </c>
      <c r="H115" s="233"/>
    </row>
    <row r="116" spans="3:24" hidden="1" x14ac:dyDescent="0.25">
      <c r="C116" s="43" t="s">
        <v>171</v>
      </c>
      <c r="D116" s="21">
        <f t="shared" si="11"/>
        <v>45867</v>
      </c>
      <c r="E116" s="186" t="s">
        <v>165</v>
      </c>
      <c r="F116" s="249" t="s">
        <v>427</v>
      </c>
      <c r="G116" s="257" t="s">
        <v>424</v>
      </c>
      <c r="H116" s="233"/>
    </row>
    <row r="117" spans="3:24" hidden="1" x14ac:dyDescent="0.25">
      <c r="C117" s="43" t="s">
        <v>171</v>
      </c>
      <c r="D117" s="21">
        <f t="shared" si="11"/>
        <v>45867</v>
      </c>
      <c r="E117" s="186" t="s">
        <v>166</v>
      </c>
      <c r="F117" s="249" t="s">
        <v>427</v>
      </c>
      <c r="G117" s="257" t="s">
        <v>424</v>
      </c>
      <c r="H117" s="233"/>
    </row>
    <row r="118" spans="3:24" hidden="1" x14ac:dyDescent="0.25">
      <c r="C118" s="43" t="s">
        <v>171</v>
      </c>
      <c r="D118" s="21">
        <f t="shared" si="11"/>
        <v>45867</v>
      </c>
      <c r="E118" s="186" t="s">
        <v>167</v>
      </c>
      <c r="F118" s="249" t="s">
        <v>427</v>
      </c>
      <c r="G118" s="257" t="s">
        <v>424</v>
      </c>
      <c r="H118" s="233"/>
    </row>
    <row r="119" spans="3:24" hidden="1" x14ac:dyDescent="0.25">
      <c r="C119" s="43" t="s">
        <v>171</v>
      </c>
      <c r="D119" s="21">
        <f t="shared" si="11"/>
        <v>45867</v>
      </c>
      <c r="E119" s="186" t="s">
        <v>168</v>
      </c>
      <c r="F119" s="249" t="s">
        <v>427</v>
      </c>
      <c r="G119" s="257" t="s">
        <v>424</v>
      </c>
      <c r="H119" s="233"/>
    </row>
    <row r="120" spans="3:24" hidden="1" x14ac:dyDescent="0.25">
      <c r="C120" s="43" t="s">
        <v>171</v>
      </c>
      <c r="D120" s="21">
        <f t="shared" si="11"/>
        <v>45867</v>
      </c>
      <c r="E120" s="186" t="s">
        <v>169</v>
      </c>
      <c r="F120" s="249" t="s">
        <v>427</v>
      </c>
      <c r="G120" s="257" t="s">
        <v>424</v>
      </c>
      <c r="H120" s="233"/>
    </row>
    <row r="121" spans="3:24" ht="15.75" hidden="1" thickBot="1" x14ac:dyDescent="0.3">
      <c r="C121" s="47" t="s">
        <v>171</v>
      </c>
      <c r="D121" s="48">
        <f t="shared" si="11"/>
        <v>45867</v>
      </c>
      <c r="E121" s="188" t="s">
        <v>170</v>
      </c>
      <c r="F121" s="250" t="s">
        <v>427</v>
      </c>
      <c r="G121" s="258" t="s">
        <v>424</v>
      </c>
      <c r="H121" s="233"/>
    </row>
    <row r="122" spans="3:24" ht="6" hidden="1" customHeight="1" thickBot="1" x14ac:dyDescent="0.3"/>
    <row r="123" spans="3:24" ht="15.75" hidden="1" thickBot="1" x14ac:dyDescent="0.3">
      <c r="C123" s="52" t="s">
        <v>172</v>
      </c>
      <c r="D123" s="53">
        <f>D121+1</f>
        <v>45868</v>
      </c>
      <c r="E123" s="187" t="s">
        <v>162</v>
      </c>
      <c r="F123" s="248" t="s">
        <v>427</v>
      </c>
      <c r="G123" s="256" t="s">
        <v>424</v>
      </c>
      <c r="H123" s="233"/>
    </row>
    <row r="124" spans="3:24" hidden="1" x14ac:dyDescent="0.25">
      <c r="C124" s="43" t="s">
        <v>172</v>
      </c>
      <c r="D124" s="21">
        <f t="shared" ref="D124:D131" si="12">D123</f>
        <v>45868</v>
      </c>
      <c r="E124" s="186" t="s">
        <v>163</v>
      </c>
      <c r="F124" s="249" t="s">
        <v>427</v>
      </c>
      <c r="G124" s="257" t="s">
        <v>424</v>
      </c>
      <c r="H124" s="233"/>
    </row>
    <row r="125" spans="3:24" hidden="1" x14ac:dyDescent="0.25">
      <c r="C125" s="43" t="s">
        <v>172</v>
      </c>
      <c r="D125" s="21">
        <f t="shared" si="12"/>
        <v>45868</v>
      </c>
      <c r="E125" s="186" t="s">
        <v>164</v>
      </c>
      <c r="F125" s="249" t="s">
        <v>427</v>
      </c>
      <c r="G125" s="257" t="s">
        <v>424</v>
      </c>
      <c r="H125" s="233"/>
    </row>
    <row r="126" spans="3:24" hidden="1" x14ac:dyDescent="0.25">
      <c r="C126" s="43" t="s">
        <v>172</v>
      </c>
      <c r="D126" s="21">
        <f t="shared" si="12"/>
        <v>45868</v>
      </c>
      <c r="E126" s="186" t="s">
        <v>165</v>
      </c>
      <c r="F126" s="249" t="s">
        <v>427</v>
      </c>
      <c r="G126" s="257" t="s">
        <v>424</v>
      </c>
      <c r="H126" s="233"/>
    </row>
    <row r="127" spans="3:24" hidden="1" x14ac:dyDescent="0.25">
      <c r="C127" s="43" t="s">
        <v>172</v>
      </c>
      <c r="D127" s="21">
        <f t="shared" si="12"/>
        <v>45868</v>
      </c>
      <c r="E127" s="186" t="s">
        <v>166</v>
      </c>
      <c r="F127" s="249" t="s">
        <v>427</v>
      </c>
      <c r="G127" s="257" t="s">
        <v>424</v>
      </c>
      <c r="H127" s="233"/>
      <c r="X127" s="231"/>
    </row>
    <row r="128" spans="3:24" hidden="1" x14ac:dyDescent="0.25">
      <c r="C128" s="43" t="s">
        <v>172</v>
      </c>
      <c r="D128" s="21">
        <f t="shared" si="12"/>
        <v>45868</v>
      </c>
      <c r="E128" s="186" t="s">
        <v>167</v>
      </c>
      <c r="F128" s="249" t="s">
        <v>427</v>
      </c>
      <c r="G128" s="257" t="s">
        <v>424</v>
      </c>
      <c r="H128" s="233"/>
    </row>
    <row r="129" spans="3:8" hidden="1" x14ac:dyDescent="0.25">
      <c r="C129" s="43" t="s">
        <v>172</v>
      </c>
      <c r="D129" s="21">
        <f t="shared" si="12"/>
        <v>45868</v>
      </c>
      <c r="E129" s="186" t="s">
        <v>168</v>
      </c>
      <c r="F129" s="249" t="s">
        <v>427</v>
      </c>
      <c r="G129" s="257" t="s">
        <v>425</v>
      </c>
      <c r="H129" s="233"/>
    </row>
    <row r="130" spans="3:8" hidden="1" x14ac:dyDescent="0.25">
      <c r="C130" s="43" t="s">
        <v>172</v>
      </c>
      <c r="D130" s="21">
        <f t="shared" si="12"/>
        <v>45868</v>
      </c>
      <c r="E130" s="186" t="s">
        <v>169</v>
      </c>
      <c r="F130" s="249" t="s">
        <v>427</v>
      </c>
      <c r="G130" s="257" t="s">
        <v>425</v>
      </c>
      <c r="H130" s="233"/>
    </row>
    <row r="131" spans="3:8" ht="15.75" hidden="1" thickBot="1" x14ac:dyDescent="0.3">
      <c r="C131" s="47" t="s">
        <v>172</v>
      </c>
      <c r="D131" s="48">
        <f t="shared" si="12"/>
        <v>45868</v>
      </c>
      <c r="E131" s="188" t="s">
        <v>170</v>
      </c>
      <c r="F131" s="250" t="s">
        <v>427</v>
      </c>
      <c r="G131" s="258" t="s">
        <v>425</v>
      </c>
      <c r="H131" s="233"/>
    </row>
    <row r="132" spans="3:8" ht="6" hidden="1" customHeight="1" thickBot="1" x14ac:dyDescent="0.3"/>
    <row r="133" spans="3:8" ht="15" hidden="1" customHeight="1" x14ac:dyDescent="0.25">
      <c r="C133" s="52" t="s">
        <v>173</v>
      </c>
      <c r="D133" s="53">
        <f>D131+1</f>
        <v>45869</v>
      </c>
      <c r="E133" s="187" t="s">
        <v>162</v>
      </c>
      <c r="F133" s="309" t="s">
        <v>427</v>
      </c>
      <c r="G133" s="256" t="s">
        <v>425</v>
      </c>
      <c r="H133" s="233"/>
    </row>
    <row r="134" spans="3:8" hidden="1" x14ac:dyDescent="0.25">
      <c r="C134" s="43" t="s">
        <v>173</v>
      </c>
      <c r="D134" s="21">
        <f t="shared" ref="D134:D141" si="13">D133</f>
        <v>45869</v>
      </c>
      <c r="E134" s="186" t="s">
        <v>163</v>
      </c>
      <c r="F134" s="254" t="s">
        <v>427</v>
      </c>
      <c r="G134" s="257" t="s">
        <v>425</v>
      </c>
      <c r="H134" s="233"/>
    </row>
    <row r="135" spans="3:8" hidden="1" x14ac:dyDescent="0.25">
      <c r="C135" s="43" t="s">
        <v>173</v>
      </c>
      <c r="D135" s="21">
        <f t="shared" si="13"/>
        <v>45869</v>
      </c>
      <c r="E135" s="186" t="s">
        <v>164</v>
      </c>
      <c r="F135" s="254" t="s">
        <v>427</v>
      </c>
      <c r="G135" s="257" t="s">
        <v>425</v>
      </c>
      <c r="H135" s="233"/>
    </row>
    <row r="136" spans="3:8" hidden="1" x14ac:dyDescent="0.25">
      <c r="C136" s="43" t="s">
        <v>173</v>
      </c>
      <c r="D136" s="21">
        <f t="shared" si="13"/>
        <v>45869</v>
      </c>
      <c r="E136" s="186" t="s">
        <v>165</v>
      </c>
      <c r="F136" s="184" t="s">
        <v>295</v>
      </c>
      <c r="G136" s="257" t="s">
        <v>425</v>
      </c>
      <c r="H136" s="233"/>
    </row>
    <row r="137" spans="3:8" hidden="1" x14ac:dyDescent="0.25">
      <c r="C137" s="43" t="s">
        <v>173</v>
      </c>
      <c r="D137" s="21">
        <f t="shared" si="13"/>
        <v>45869</v>
      </c>
      <c r="E137" s="186" t="s">
        <v>166</v>
      </c>
      <c r="F137" s="249" t="s">
        <v>295</v>
      </c>
      <c r="G137" s="257" t="s">
        <v>425</v>
      </c>
      <c r="H137" s="233"/>
    </row>
    <row r="138" spans="3:8" hidden="1" x14ac:dyDescent="0.25">
      <c r="C138" s="43" t="s">
        <v>173</v>
      </c>
      <c r="D138" s="21">
        <f t="shared" si="13"/>
        <v>45869</v>
      </c>
      <c r="E138" s="186" t="s">
        <v>167</v>
      </c>
      <c r="F138" s="249" t="s">
        <v>295</v>
      </c>
      <c r="G138" s="257" t="s">
        <v>425</v>
      </c>
      <c r="H138" s="233"/>
    </row>
    <row r="139" spans="3:8" hidden="1" x14ac:dyDescent="0.25">
      <c r="C139" s="43" t="s">
        <v>173</v>
      </c>
      <c r="D139" s="21">
        <f t="shared" si="13"/>
        <v>45869</v>
      </c>
      <c r="E139" s="186" t="s">
        <v>168</v>
      </c>
      <c r="F139" s="249" t="s">
        <v>295</v>
      </c>
      <c r="G139" s="257" t="s">
        <v>425</v>
      </c>
      <c r="H139" s="233"/>
    </row>
    <row r="140" spans="3:8" hidden="1" x14ac:dyDescent="0.25">
      <c r="C140" s="43" t="s">
        <v>173</v>
      </c>
      <c r="D140" s="21">
        <f t="shared" si="13"/>
        <v>45869</v>
      </c>
      <c r="E140" s="186" t="s">
        <v>169</v>
      </c>
      <c r="F140" s="249" t="s">
        <v>295</v>
      </c>
      <c r="G140" s="151" t="s">
        <v>426</v>
      </c>
      <c r="H140" s="233"/>
    </row>
    <row r="141" spans="3:8" ht="15.75" hidden="1" thickBot="1" x14ac:dyDescent="0.3">
      <c r="C141" s="47" t="s">
        <v>173</v>
      </c>
      <c r="D141" s="48">
        <f t="shared" si="13"/>
        <v>45869</v>
      </c>
      <c r="E141" s="188" t="s">
        <v>170</v>
      </c>
      <c r="F141" s="250" t="s">
        <v>295</v>
      </c>
      <c r="G141" s="258" t="s">
        <v>426</v>
      </c>
      <c r="H141" s="233"/>
    </row>
    <row r="142" spans="3:8" ht="6" hidden="1" customHeight="1" thickBot="1" x14ac:dyDescent="0.3"/>
    <row r="143" spans="3:8" ht="15.75" hidden="1" thickBot="1" x14ac:dyDescent="0.3">
      <c r="C143" s="310" t="s">
        <v>174</v>
      </c>
      <c r="D143" s="311">
        <f>D141+1</f>
        <v>45870</v>
      </c>
      <c r="E143" s="312" t="s">
        <v>162</v>
      </c>
      <c r="F143" s="248" t="s">
        <v>295</v>
      </c>
      <c r="G143" s="256" t="s">
        <v>426</v>
      </c>
    </row>
    <row r="144" spans="3:8" hidden="1" x14ac:dyDescent="0.25">
      <c r="C144" s="275" t="s">
        <v>174</v>
      </c>
      <c r="D144" s="276">
        <f t="shared" ref="D144:D150" si="14">D143</f>
        <v>45870</v>
      </c>
      <c r="E144" s="277" t="s">
        <v>163</v>
      </c>
      <c r="F144" s="249" t="s">
        <v>295</v>
      </c>
      <c r="G144" s="257" t="s">
        <v>426</v>
      </c>
    </row>
    <row r="145" spans="1:19" hidden="1" x14ac:dyDescent="0.25">
      <c r="C145" s="275" t="s">
        <v>174</v>
      </c>
      <c r="D145" s="276">
        <f t="shared" si="14"/>
        <v>45870</v>
      </c>
      <c r="E145" s="277" t="s">
        <v>164</v>
      </c>
      <c r="F145" s="249" t="s">
        <v>295</v>
      </c>
      <c r="G145" s="257" t="s">
        <v>426</v>
      </c>
    </row>
    <row r="146" spans="1:19" hidden="1" x14ac:dyDescent="0.25">
      <c r="C146" s="275" t="s">
        <v>174</v>
      </c>
      <c r="D146" s="276">
        <f t="shared" si="14"/>
        <v>45870</v>
      </c>
      <c r="E146" s="277" t="s">
        <v>165</v>
      </c>
      <c r="F146" s="249" t="s">
        <v>295</v>
      </c>
      <c r="G146" s="257" t="s">
        <v>426</v>
      </c>
    </row>
    <row r="147" spans="1:19" hidden="1" x14ac:dyDescent="0.25">
      <c r="C147" s="275" t="s">
        <v>174</v>
      </c>
      <c r="D147" s="276">
        <f t="shared" si="14"/>
        <v>45870</v>
      </c>
      <c r="E147" s="277" t="s">
        <v>166</v>
      </c>
      <c r="F147" s="249" t="s">
        <v>295</v>
      </c>
      <c r="G147" s="257" t="s">
        <v>426</v>
      </c>
    </row>
    <row r="148" spans="1:19" hidden="1" x14ac:dyDescent="0.25">
      <c r="C148" s="275" t="s">
        <v>174</v>
      </c>
      <c r="D148" s="276">
        <f t="shared" si="14"/>
        <v>45870</v>
      </c>
      <c r="E148" s="277" t="s">
        <v>167</v>
      </c>
      <c r="F148" s="249" t="s">
        <v>295</v>
      </c>
      <c r="G148" s="257" t="s">
        <v>426</v>
      </c>
    </row>
    <row r="149" spans="1:19" hidden="1" x14ac:dyDescent="0.25">
      <c r="C149" s="275" t="s">
        <v>174</v>
      </c>
      <c r="D149" s="276">
        <f t="shared" si="14"/>
        <v>45870</v>
      </c>
      <c r="E149" s="277" t="s">
        <v>168</v>
      </c>
      <c r="F149" s="249" t="s">
        <v>409</v>
      </c>
      <c r="G149" s="257" t="s">
        <v>426</v>
      </c>
    </row>
    <row r="150" spans="1:19" ht="15.75" hidden="1" thickBot="1" x14ac:dyDescent="0.3">
      <c r="C150" s="281" t="s">
        <v>174</v>
      </c>
      <c r="D150" s="282">
        <f t="shared" si="14"/>
        <v>45870</v>
      </c>
      <c r="E150" s="283" t="s">
        <v>169</v>
      </c>
      <c r="F150" s="250" t="s">
        <v>409</v>
      </c>
      <c r="G150" s="258" t="s">
        <v>426</v>
      </c>
    </row>
    <row r="151" spans="1:19" ht="6" hidden="1" customHeight="1" thickBot="1" x14ac:dyDescent="0.3">
      <c r="A151" s="129" t="s">
        <v>310</v>
      </c>
      <c r="B151" s="111"/>
      <c r="C151" s="111"/>
      <c r="D151" s="111"/>
      <c r="E151" s="111"/>
      <c r="F151" s="122"/>
      <c r="G151" s="122"/>
      <c r="I151" s="111"/>
      <c r="J151" s="111"/>
      <c r="K151" s="111"/>
      <c r="L151" s="111"/>
      <c r="M151" s="111"/>
      <c r="N151" s="111"/>
      <c r="O151" s="111"/>
      <c r="P151" s="111"/>
      <c r="Q151" s="111"/>
      <c r="R151" s="111"/>
      <c r="S151" s="111"/>
    </row>
    <row r="152" spans="1:19" ht="15" customHeight="1" x14ac:dyDescent="0.25">
      <c r="A152" s="746" t="s">
        <v>534</v>
      </c>
      <c r="C152" s="112" t="s">
        <v>161</v>
      </c>
      <c r="D152" s="113">
        <f>D150+3</f>
        <v>45873</v>
      </c>
      <c r="E152" s="284" t="s">
        <v>162</v>
      </c>
      <c r="F152" s="302" t="s">
        <v>409</v>
      </c>
      <c r="G152" s="150" t="s">
        <v>458</v>
      </c>
    </row>
    <row r="153" spans="1:19" x14ac:dyDescent="0.25">
      <c r="A153" s="750"/>
      <c r="C153" s="116" t="s">
        <v>161</v>
      </c>
      <c r="D153" s="117">
        <f t="shared" ref="D153:D160" si="15">D152</f>
        <v>45873</v>
      </c>
      <c r="E153" s="286" t="s">
        <v>163</v>
      </c>
      <c r="F153" s="303" t="s">
        <v>409</v>
      </c>
      <c r="G153" s="257" t="s">
        <v>458</v>
      </c>
    </row>
    <row r="154" spans="1:19" x14ac:dyDescent="0.25">
      <c r="A154" s="750"/>
      <c r="C154" s="116" t="s">
        <v>161</v>
      </c>
      <c r="D154" s="117">
        <f t="shared" si="15"/>
        <v>45873</v>
      </c>
      <c r="E154" s="286" t="s">
        <v>164</v>
      </c>
      <c r="F154" s="303" t="s">
        <v>409</v>
      </c>
      <c r="G154" s="257" t="s">
        <v>458</v>
      </c>
    </row>
    <row r="155" spans="1:19" x14ac:dyDescent="0.25">
      <c r="A155" s="750"/>
      <c r="C155" s="116" t="s">
        <v>161</v>
      </c>
      <c r="D155" s="117">
        <f t="shared" si="15"/>
        <v>45873</v>
      </c>
      <c r="E155" s="286" t="s">
        <v>165</v>
      </c>
      <c r="F155" s="303" t="s">
        <v>409</v>
      </c>
      <c r="G155" s="257" t="s">
        <v>458</v>
      </c>
    </row>
    <row r="156" spans="1:19" x14ac:dyDescent="0.25">
      <c r="A156" s="750"/>
      <c r="C156" s="116" t="s">
        <v>161</v>
      </c>
      <c r="D156" s="117">
        <f t="shared" si="15"/>
        <v>45873</v>
      </c>
      <c r="E156" s="286" t="s">
        <v>166</v>
      </c>
      <c r="F156" s="249" t="s">
        <v>409</v>
      </c>
      <c r="G156" s="257" t="s">
        <v>458</v>
      </c>
    </row>
    <row r="157" spans="1:19" x14ac:dyDescent="0.25">
      <c r="A157" s="750"/>
      <c r="C157" s="116" t="s">
        <v>161</v>
      </c>
      <c r="D157" s="117">
        <f t="shared" si="15"/>
        <v>45873</v>
      </c>
      <c r="E157" s="286" t="s">
        <v>167</v>
      </c>
      <c r="F157" s="254" t="s">
        <v>409</v>
      </c>
      <c r="G157" s="257" t="s">
        <v>458</v>
      </c>
    </row>
    <row r="158" spans="1:19" x14ac:dyDescent="0.25">
      <c r="A158" s="750"/>
      <c r="C158" s="116" t="s">
        <v>161</v>
      </c>
      <c r="D158" s="117">
        <f t="shared" si="15"/>
        <v>45873</v>
      </c>
      <c r="E158" s="286" t="s">
        <v>167</v>
      </c>
      <c r="F158" s="249" t="s">
        <v>409</v>
      </c>
      <c r="G158" s="257" t="s">
        <v>458</v>
      </c>
    </row>
    <row r="159" spans="1:19" x14ac:dyDescent="0.25">
      <c r="A159" s="750"/>
      <c r="C159" s="116" t="s">
        <v>161</v>
      </c>
      <c r="D159" s="117">
        <f t="shared" si="15"/>
        <v>45873</v>
      </c>
      <c r="E159" s="286" t="s">
        <v>169</v>
      </c>
      <c r="F159" s="249" t="s">
        <v>409</v>
      </c>
      <c r="G159" s="257" t="s">
        <v>458</v>
      </c>
    </row>
    <row r="160" spans="1:19" ht="15.75" thickBot="1" x14ac:dyDescent="0.3">
      <c r="A160" s="750"/>
      <c r="C160" s="119" t="s">
        <v>161</v>
      </c>
      <c r="D160" s="120">
        <f t="shared" si="15"/>
        <v>45873</v>
      </c>
      <c r="E160" s="288" t="s">
        <v>170</v>
      </c>
      <c r="F160" s="250" t="s">
        <v>409</v>
      </c>
      <c r="G160" s="258" t="s">
        <v>458</v>
      </c>
    </row>
    <row r="161" spans="1:23" ht="6" customHeight="1" thickBot="1" x14ac:dyDescent="0.3">
      <c r="A161" s="750"/>
      <c r="C161" s="111"/>
      <c r="D161" s="111"/>
      <c r="E161" s="111"/>
      <c r="F161" s="122"/>
      <c r="G161" s="122"/>
    </row>
    <row r="162" spans="1:23" ht="15" customHeight="1" x14ac:dyDescent="0.25">
      <c r="A162" s="750"/>
      <c r="C162" s="112" t="s">
        <v>171</v>
      </c>
      <c r="D162" s="113">
        <f>D160+1</f>
        <v>45874</v>
      </c>
      <c r="E162" s="284" t="s">
        <v>162</v>
      </c>
      <c r="F162" s="285" t="s">
        <v>112</v>
      </c>
      <c r="G162" s="256" t="s">
        <v>458</v>
      </c>
    </row>
    <row r="163" spans="1:23" x14ac:dyDescent="0.25">
      <c r="A163" s="750"/>
      <c r="C163" s="116" t="s">
        <v>171</v>
      </c>
      <c r="D163" s="117">
        <f t="shared" ref="D163:D170" si="16">D162</f>
        <v>45874</v>
      </c>
      <c r="E163" s="286" t="s">
        <v>163</v>
      </c>
      <c r="F163" s="303" t="s">
        <v>112</v>
      </c>
      <c r="G163" s="257" t="s">
        <v>458</v>
      </c>
    </row>
    <row r="164" spans="1:23" x14ac:dyDescent="0.25">
      <c r="A164" s="750"/>
      <c r="C164" s="116" t="s">
        <v>171</v>
      </c>
      <c r="D164" s="117">
        <f t="shared" si="16"/>
        <v>45874</v>
      </c>
      <c r="E164" s="286" t="s">
        <v>164</v>
      </c>
      <c r="F164" s="303" t="s">
        <v>112</v>
      </c>
      <c r="G164" s="257" t="s">
        <v>458</v>
      </c>
    </row>
    <row r="165" spans="1:23" x14ac:dyDescent="0.25">
      <c r="A165" s="750"/>
      <c r="C165" s="116" t="s">
        <v>171</v>
      </c>
      <c r="D165" s="117">
        <f t="shared" si="16"/>
        <v>45874</v>
      </c>
      <c r="E165" s="286" t="s">
        <v>165</v>
      </c>
      <c r="F165" s="303" t="s">
        <v>112</v>
      </c>
      <c r="G165" s="257" t="s">
        <v>458</v>
      </c>
    </row>
    <row r="166" spans="1:23" x14ac:dyDescent="0.25">
      <c r="A166" s="750"/>
      <c r="C166" s="116" t="s">
        <v>171</v>
      </c>
      <c r="D166" s="117">
        <f t="shared" si="16"/>
        <v>45874</v>
      </c>
      <c r="E166" s="286" t="s">
        <v>166</v>
      </c>
      <c r="F166" s="254" t="s">
        <v>112</v>
      </c>
      <c r="G166" s="257" t="s">
        <v>458</v>
      </c>
    </row>
    <row r="167" spans="1:23" x14ac:dyDescent="0.25">
      <c r="A167" s="750"/>
      <c r="C167" s="116" t="s">
        <v>171</v>
      </c>
      <c r="D167" s="117">
        <f t="shared" si="16"/>
        <v>45874</v>
      </c>
      <c r="E167" s="286" t="s">
        <v>167</v>
      </c>
      <c r="F167" s="254" t="s">
        <v>112</v>
      </c>
      <c r="G167" s="257" t="s">
        <v>458</v>
      </c>
      <c r="W167" s="93"/>
    </row>
    <row r="168" spans="1:23" x14ac:dyDescent="0.25">
      <c r="A168" s="750"/>
      <c r="C168" s="116" t="s">
        <v>171</v>
      </c>
      <c r="D168" s="117">
        <f t="shared" si="16"/>
        <v>45874</v>
      </c>
      <c r="E168" s="286" t="s">
        <v>168</v>
      </c>
      <c r="F168" s="249" t="s">
        <v>112</v>
      </c>
      <c r="G168" s="257" t="s">
        <v>458</v>
      </c>
    </row>
    <row r="169" spans="1:23" x14ac:dyDescent="0.25">
      <c r="A169" s="750"/>
      <c r="C169" s="116" t="s">
        <v>171</v>
      </c>
      <c r="D169" s="117">
        <f t="shared" si="16"/>
        <v>45874</v>
      </c>
      <c r="E169" s="286" t="s">
        <v>169</v>
      </c>
      <c r="F169" s="249" t="s">
        <v>112</v>
      </c>
      <c r="G169" s="257" t="s">
        <v>458</v>
      </c>
    </row>
    <row r="170" spans="1:23" ht="15.75" thickBot="1" x14ac:dyDescent="0.3">
      <c r="A170" s="750"/>
      <c r="C170" s="119" t="s">
        <v>171</v>
      </c>
      <c r="D170" s="120">
        <f t="shared" si="16"/>
        <v>45874</v>
      </c>
      <c r="E170" s="288" t="s">
        <v>170</v>
      </c>
      <c r="F170" s="250" t="s">
        <v>112</v>
      </c>
      <c r="G170" s="258" t="s">
        <v>458</v>
      </c>
    </row>
    <row r="171" spans="1:23" ht="6" customHeight="1" thickBot="1" x14ac:dyDescent="0.3">
      <c r="A171" s="750"/>
      <c r="C171" s="111"/>
      <c r="D171" s="111"/>
      <c r="E171" s="111"/>
      <c r="F171" s="122"/>
      <c r="G171" s="122"/>
    </row>
    <row r="172" spans="1:23" ht="15" customHeight="1" x14ac:dyDescent="0.25">
      <c r="A172" s="750"/>
      <c r="C172" s="112" t="s">
        <v>172</v>
      </c>
      <c r="D172" s="113">
        <f>D170+1</f>
        <v>45875</v>
      </c>
      <c r="E172" s="284" t="s">
        <v>162</v>
      </c>
      <c r="F172" s="248" t="s">
        <v>112</v>
      </c>
      <c r="G172" s="256" t="s">
        <v>458</v>
      </c>
    </row>
    <row r="173" spans="1:23" x14ac:dyDescent="0.25">
      <c r="A173" s="750"/>
      <c r="C173" s="116" t="s">
        <v>172</v>
      </c>
      <c r="D173" s="117">
        <f t="shared" ref="D173:D180" si="17">D172</f>
        <v>45875</v>
      </c>
      <c r="E173" s="286" t="s">
        <v>163</v>
      </c>
      <c r="F173" s="249" t="s">
        <v>112</v>
      </c>
      <c r="G173" s="257" t="s">
        <v>458</v>
      </c>
    </row>
    <row r="174" spans="1:23" x14ac:dyDescent="0.25">
      <c r="A174" s="750"/>
      <c r="C174" s="116" t="s">
        <v>172</v>
      </c>
      <c r="D174" s="117">
        <f t="shared" si="17"/>
        <v>45875</v>
      </c>
      <c r="E174" s="286" t="s">
        <v>164</v>
      </c>
      <c r="F174" s="249" t="s">
        <v>112</v>
      </c>
      <c r="G174" s="257" t="s">
        <v>458</v>
      </c>
    </row>
    <row r="175" spans="1:23" x14ac:dyDescent="0.25">
      <c r="A175" s="750"/>
      <c r="C175" s="116" t="s">
        <v>172</v>
      </c>
      <c r="D175" s="117">
        <f t="shared" si="17"/>
        <v>45875</v>
      </c>
      <c r="E175" s="286" t="s">
        <v>165</v>
      </c>
      <c r="F175" s="303" t="s">
        <v>385</v>
      </c>
      <c r="G175" s="257" t="s">
        <v>458</v>
      </c>
    </row>
    <row r="176" spans="1:23" x14ac:dyDescent="0.25">
      <c r="A176" s="750"/>
      <c r="C176" s="116" t="s">
        <v>172</v>
      </c>
      <c r="D176" s="117">
        <f t="shared" si="17"/>
        <v>45875</v>
      </c>
      <c r="E176" s="286" t="s">
        <v>166</v>
      </c>
      <c r="F176" s="303" t="s">
        <v>385</v>
      </c>
      <c r="G176" s="257" t="s">
        <v>458</v>
      </c>
    </row>
    <row r="177" spans="1:7" x14ac:dyDescent="0.25">
      <c r="A177" s="750"/>
      <c r="C177" s="116" t="s">
        <v>172</v>
      </c>
      <c r="D177" s="117">
        <f t="shared" si="17"/>
        <v>45875</v>
      </c>
      <c r="E177" s="286" t="s">
        <v>167</v>
      </c>
      <c r="F177" s="303" t="s">
        <v>385</v>
      </c>
      <c r="G177" s="257" t="s">
        <v>458</v>
      </c>
    </row>
    <row r="178" spans="1:7" x14ac:dyDescent="0.25">
      <c r="A178" s="750"/>
      <c r="C178" s="116" t="s">
        <v>172</v>
      </c>
      <c r="D178" s="117">
        <f t="shared" si="17"/>
        <v>45875</v>
      </c>
      <c r="E178" s="286" t="s">
        <v>168</v>
      </c>
      <c r="F178" s="303" t="s">
        <v>385</v>
      </c>
      <c r="G178" s="257" t="s">
        <v>458</v>
      </c>
    </row>
    <row r="179" spans="1:7" x14ac:dyDescent="0.25">
      <c r="A179" s="750"/>
      <c r="C179" s="116" t="s">
        <v>172</v>
      </c>
      <c r="D179" s="117">
        <f t="shared" si="17"/>
        <v>45875</v>
      </c>
      <c r="E179" s="286" t="s">
        <v>169</v>
      </c>
      <c r="F179" s="303" t="s">
        <v>385</v>
      </c>
      <c r="G179" s="257" t="s">
        <v>458</v>
      </c>
    </row>
    <row r="180" spans="1:7" ht="15.75" thickBot="1" x14ac:dyDescent="0.3">
      <c r="A180" s="750"/>
      <c r="C180" s="119" t="s">
        <v>172</v>
      </c>
      <c r="D180" s="120">
        <f t="shared" si="17"/>
        <v>45875</v>
      </c>
      <c r="E180" s="288" t="s">
        <v>170</v>
      </c>
      <c r="F180" s="313" t="s">
        <v>385</v>
      </c>
      <c r="G180" s="258" t="s">
        <v>458</v>
      </c>
    </row>
    <row r="181" spans="1:7" ht="6" customHeight="1" thickBot="1" x14ac:dyDescent="0.3">
      <c r="A181" s="750"/>
      <c r="C181" s="111"/>
      <c r="D181" s="111"/>
      <c r="E181" s="111"/>
      <c r="F181" s="122"/>
      <c r="G181" s="122"/>
    </row>
    <row r="182" spans="1:7" ht="15" customHeight="1" x14ac:dyDescent="0.25">
      <c r="A182" s="750"/>
      <c r="C182" s="112" t="s">
        <v>173</v>
      </c>
      <c r="D182" s="113">
        <f>D180+1</f>
        <v>45876</v>
      </c>
      <c r="E182" s="284" t="s">
        <v>162</v>
      </c>
      <c r="F182" s="248" t="s">
        <v>385</v>
      </c>
      <c r="G182" s="314" t="s">
        <v>371</v>
      </c>
    </row>
    <row r="183" spans="1:7" x14ac:dyDescent="0.25">
      <c r="A183" s="750"/>
      <c r="C183" s="116" t="s">
        <v>173</v>
      </c>
      <c r="D183" s="117">
        <f t="shared" ref="D183:D190" si="18">D182</f>
        <v>45876</v>
      </c>
      <c r="E183" s="286" t="s">
        <v>163</v>
      </c>
      <c r="F183" s="249" t="s">
        <v>385</v>
      </c>
      <c r="G183" s="307" t="s">
        <v>371</v>
      </c>
    </row>
    <row r="184" spans="1:7" x14ac:dyDescent="0.25">
      <c r="A184" s="750"/>
      <c r="C184" s="116" t="s">
        <v>173</v>
      </c>
      <c r="D184" s="117">
        <f t="shared" si="18"/>
        <v>45876</v>
      </c>
      <c r="E184" s="286" t="s">
        <v>164</v>
      </c>
      <c r="F184" s="249" t="s">
        <v>385</v>
      </c>
      <c r="G184" s="307" t="s">
        <v>371</v>
      </c>
    </row>
    <row r="185" spans="1:7" x14ac:dyDescent="0.25">
      <c r="A185" s="750"/>
      <c r="C185" s="116" t="s">
        <v>173</v>
      </c>
      <c r="D185" s="117">
        <f t="shared" si="18"/>
        <v>45876</v>
      </c>
      <c r="E185" s="286" t="s">
        <v>165</v>
      </c>
      <c r="F185" s="249" t="s">
        <v>385</v>
      </c>
      <c r="G185" s="307" t="s">
        <v>371</v>
      </c>
    </row>
    <row r="186" spans="1:7" x14ac:dyDescent="0.25">
      <c r="A186" s="750"/>
      <c r="C186" s="116" t="s">
        <v>173</v>
      </c>
      <c r="D186" s="117">
        <f t="shared" si="18"/>
        <v>45876</v>
      </c>
      <c r="E186" s="286" t="s">
        <v>166</v>
      </c>
      <c r="F186" s="287" t="s">
        <v>487</v>
      </c>
      <c r="G186" s="307" t="s">
        <v>371</v>
      </c>
    </row>
    <row r="187" spans="1:7" x14ac:dyDescent="0.25">
      <c r="A187" s="750"/>
      <c r="C187" s="116" t="s">
        <v>173</v>
      </c>
      <c r="D187" s="117">
        <f t="shared" si="18"/>
        <v>45876</v>
      </c>
      <c r="E187" s="286" t="s">
        <v>167</v>
      </c>
      <c r="F187" s="303" t="s">
        <v>487</v>
      </c>
      <c r="G187" s="307" t="s">
        <v>371</v>
      </c>
    </row>
    <row r="188" spans="1:7" x14ac:dyDescent="0.25">
      <c r="A188" s="750"/>
      <c r="C188" s="116" t="s">
        <v>173</v>
      </c>
      <c r="D188" s="117">
        <f t="shared" si="18"/>
        <v>45876</v>
      </c>
      <c r="E188" s="286" t="s">
        <v>168</v>
      </c>
      <c r="F188" s="303" t="s">
        <v>487</v>
      </c>
      <c r="G188" s="307" t="s">
        <v>371</v>
      </c>
    </row>
    <row r="189" spans="1:7" x14ac:dyDescent="0.25">
      <c r="A189" s="750"/>
      <c r="C189" s="116" t="s">
        <v>173</v>
      </c>
      <c r="D189" s="117">
        <f t="shared" si="18"/>
        <v>45876</v>
      </c>
      <c r="E189" s="286" t="s">
        <v>169</v>
      </c>
      <c r="F189" s="303" t="s">
        <v>487</v>
      </c>
      <c r="G189" s="257" t="s">
        <v>371</v>
      </c>
    </row>
    <row r="190" spans="1:7" ht="15.75" thickBot="1" x14ac:dyDescent="0.3">
      <c r="A190" s="750"/>
      <c r="C190" s="119" t="s">
        <v>173</v>
      </c>
      <c r="D190" s="120">
        <f t="shared" si="18"/>
        <v>45876</v>
      </c>
      <c r="E190" s="288" t="s">
        <v>170</v>
      </c>
      <c r="F190" s="313" t="s">
        <v>487</v>
      </c>
      <c r="G190" s="258" t="s">
        <v>371</v>
      </c>
    </row>
    <row r="191" spans="1:7" ht="6" customHeight="1" thickBot="1" x14ac:dyDescent="0.3">
      <c r="A191" s="750"/>
      <c r="C191" s="111"/>
      <c r="D191" s="111"/>
      <c r="E191" s="111"/>
      <c r="F191" s="122"/>
      <c r="G191" s="122"/>
    </row>
    <row r="192" spans="1:7" ht="15" customHeight="1" x14ac:dyDescent="0.25">
      <c r="A192" s="750"/>
      <c r="C192" s="112" t="s">
        <v>174</v>
      </c>
      <c r="D192" s="113">
        <f>D190+1</f>
        <v>45877</v>
      </c>
      <c r="E192" s="284" t="s">
        <v>162</v>
      </c>
      <c r="F192" s="248" t="s">
        <v>487</v>
      </c>
      <c r="G192" s="256" t="s">
        <v>371</v>
      </c>
    </row>
    <row r="193" spans="1:19" x14ac:dyDescent="0.25">
      <c r="A193" s="750"/>
      <c r="C193" s="116" t="s">
        <v>174</v>
      </c>
      <c r="D193" s="117">
        <f t="shared" ref="D193:D199" si="19">D192</f>
        <v>45877</v>
      </c>
      <c r="E193" s="286" t="s">
        <v>163</v>
      </c>
      <c r="F193" s="249" t="s">
        <v>487</v>
      </c>
      <c r="G193" s="257" t="s">
        <v>371</v>
      </c>
    </row>
    <row r="194" spans="1:19" x14ac:dyDescent="0.25">
      <c r="A194" s="750"/>
      <c r="C194" s="116" t="s">
        <v>174</v>
      </c>
      <c r="D194" s="117">
        <f t="shared" si="19"/>
        <v>45877</v>
      </c>
      <c r="E194" s="286" t="s">
        <v>164</v>
      </c>
      <c r="F194" s="249" t="s">
        <v>487</v>
      </c>
      <c r="G194" s="257" t="s">
        <v>371</v>
      </c>
    </row>
    <row r="195" spans="1:19" x14ac:dyDescent="0.25">
      <c r="A195" s="750"/>
      <c r="C195" s="116" t="s">
        <v>174</v>
      </c>
      <c r="D195" s="117">
        <f t="shared" si="19"/>
        <v>45877</v>
      </c>
      <c r="E195" s="286" t="s">
        <v>165</v>
      </c>
      <c r="F195" s="249" t="s">
        <v>487</v>
      </c>
      <c r="G195" s="257" t="s">
        <v>371</v>
      </c>
    </row>
    <row r="196" spans="1:19" x14ac:dyDescent="0.25">
      <c r="A196" s="750"/>
      <c r="C196" s="116" t="s">
        <v>174</v>
      </c>
      <c r="D196" s="117">
        <f t="shared" si="19"/>
        <v>45877</v>
      </c>
      <c r="E196" s="286" t="s">
        <v>166</v>
      </c>
      <c r="F196" s="249" t="s">
        <v>487</v>
      </c>
      <c r="G196" s="257" t="s">
        <v>371</v>
      </c>
    </row>
    <row r="197" spans="1:19" x14ac:dyDescent="0.25">
      <c r="A197" s="750"/>
      <c r="C197" s="116" t="s">
        <v>174</v>
      </c>
      <c r="D197" s="117">
        <f t="shared" si="19"/>
        <v>45877</v>
      </c>
      <c r="E197" s="286" t="s">
        <v>167</v>
      </c>
      <c r="F197" s="287" t="s">
        <v>487</v>
      </c>
      <c r="G197" s="257" t="s">
        <v>371</v>
      </c>
    </row>
    <row r="198" spans="1:19" x14ac:dyDescent="0.25">
      <c r="A198" s="750"/>
      <c r="C198" s="116" t="s">
        <v>174</v>
      </c>
      <c r="D198" s="117">
        <f t="shared" si="19"/>
        <v>45877</v>
      </c>
      <c r="E198" s="286" t="s">
        <v>168</v>
      </c>
      <c r="F198" s="287" t="s">
        <v>487</v>
      </c>
      <c r="G198" s="257" t="s">
        <v>371</v>
      </c>
    </row>
    <row r="199" spans="1:19" ht="15.75" thickBot="1" x14ac:dyDescent="0.3">
      <c r="A199" s="751"/>
      <c r="C199" s="119" t="s">
        <v>174</v>
      </c>
      <c r="D199" s="120">
        <f t="shared" si="19"/>
        <v>45877</v>
      </c>
      <c r="E199" s="288" t="s">
        <v>169</v>
      </c>
      <c r="F199" s="289" t="s">
        <v>487</v>
      </c>
      <c r="G199" s="258" t="s">
        <v>371</v>
      </c>
    </row>
    <row r="200" spans="1:19" ht="6" customHeight="1" thickBot="1" x14ac:dyDescent="0.3">
      <c r="A200" s="129" t="s">
        <v>310</v>
      </c>
      <c r="B200" s="111"/>
      <c r="C200" s="111"/>
      <c r="D200" s="111"/>
      <c r="E200" s="111"/>
      <c r="F200" s="122"/>
      <c r="G200" s="122"/>
      <c r="I200" s="111"/>
      <c r="J200" s="111"/>
      <c r="K200" s="111"/>
      <c r="L200" s="111"/>
      <c r="M200" s="111"/>
      <c r="N200" s="111"/>
      <c r="O200" s="111"/>
      <c r="P200" s="111"/>
      <c r="Q200" s="111"/>
      <c r="R200" s="111"/>
      <c r="S200" s="111"/>
    </row>
    <row r="201" spans="1:19" x14ac:dyDescent="0.25">
      <c r="A201" s="746" t="s">
        <v>533</v>
      </c>
      <c r="C201" s="52" t="s">
        <v>161</v>
      </c>
      <c r="D201" s="53">
        <f>D199+3</f>
        <v>45880</v>
      </c>
      <c r="E201" s="187" t="s">
        <v>162</v>
      </c>
      <c r="F201" s="183" t="s">
        <v>487</v>
      </c>
      <c r="G201" s="149" t="s">
        <v>371</v>
      </c>
      <c r="H201" s="149"/>
    </row>
    <row r="202" spans="1:19" x14ac:dyDescent="0.25">
      <c r="A202" s="750"/>
      <c r="C202" s="43" t="s">
        <v>161</v>
      </c>
      <c r="D202" s="21">
        <f t="shared" ref="D202:D209" si="20">D201</f>
        <v>45880</v>
      </c>
      <c r="E202" s="186" t="s">
        <v>163</v>
      </c>
      <c r="F202" s="184" t="s">
        <v>487</v>
      </c>
      <c r="G202" s="147" t="s">
        <v>371</v>
      </c>
      <c r="H202" s="147"/>
    </row>
    <row r="203" spans="1:19" x14ac:dyDescent="0.25">
      <c r="A203" s="750"/>
      <c r="C203" s="43" t="s">
        <v>161</v>
      </c>
      <c r="D203" s="21">
        <f t="shared" si="20"/>
        <v>45880</v>
      </c>
      <c r="E203" s="186" t="s">
        <v>164</v>
      </c>
      <c r="F203" s="184" t="s">
        <v>487</v>
      </c>
      <c r="G203" s="147" t="s">
        <v>371</v>
      </c>
      <c r="H203" s="147"/>
    </row>
    <row r="204" spans="1:19" x14ac:dyDescent="0.25">
      <c r="A204" s="750"/>
      <c r="C204" s="43" t="s">
        <v>161</v>
      </c>
      <c r="D204" s="21">
        <f t="shared" si="20"/>
        <v>45880</v>
      </c>
      <c r="E204" s="186" t="s">
        <v>165</v>
      </c>
      <c r="F204" s="184" t="s">
        <v>487</v>
      </c>
      <c r="G204" s="147" t="s">
        <v>371</v>
      </c>
      <c r="H204" s="147"/>
    </row>
    <row r="205" spans="1:19" x14ac:dyDescent="0.25">
      <c r="A205" s="750"/>
      <c r="C205" s="43" t="s">
        <v>161</v>
      </c>
      <c r="D205" s="21">
        <f t="shared" si="20"/>
        <v>45880</v>
      </c>
      <c r="E205" s="186" t="s">
        <v>166</v>
      </c>
      <c r="F205" s="184" t="s">
        <v>487</v>
      </c>
      <c r="G205" s="147" t="s">
        <v>371</v>
      </c>
      <c r="H205" s="147"/>
    </row>
    <row r="206" spans="1:19" x14ac:dyDescent="0.25">
      <c r="A206" s="750"/>
      <c r="C206" s="43" t="s">
        <v>161</v>
      </c>
      <c r="D206" s="21">
        <f t="shared" si="20"/>
        <v>45880</v>
      </c>
      <c r="E206" s="186" t="s">
        <v>167</v>
      </c>
      <c r="F206" s="184" t="s">
        <v>487</v>
      </c>
      <c r="G206" s="147" t="s">
        <v>371</v>
      </c>
      <c r="H206" s="147"/>
    </row>
    <row r="207" spans="1:19" x14ac:dyDescent="0.25">
      <c r="A207" s="750"/>
      <c r="C207" s="43" t="s">
        <v>161</v>
      </c>
      <c r="D207" s="21">
        <f t="shared" si="20"/>
        <v>45880</v>
      </c>
      <c r="E207" s="186" t="s">
        <v>167</v>
      </c>
      <c r="F207" s="184" t="s">
        <v>432</v>
      </c>
      <c r="G207" s="147" t="s">
        <v>371</v>
      </c>
      <c r="H207" s="147"/>
    </row>
    <row r="208" spans="1:19" x14ac:dyDescent="0.25">
      <c r="A208" s="750"/>
      <c r="C208" s="43" t="s">
        <v>161</v>
      </c>
      <c r="D208" s="21">
        <f t="shared" si="20"/>
        <v>45880</v>
      </c>
      <c r="E208" s="186" t="s">
        <v>169</v>
      </c>
      <c r="F208" s="184" t="s">
        <v>432</v>
      </c>
      <c r="G208" s="147" t="s">
        <v>371</v>
      </c>
      <c r="H208" s="147"/>
    </row>
    <row r="209" spans="1:8" ht="15.75" thickBot="1" x14ac:dyDescent="0.3">
      <c r="A209" s="750"/>
      <c r="C209" s="47" t="s">
        <v>161</v>
      </c>
      <c r="D209" s="48">
        <f t="shared" si="20"/>
        <v>45880</v>
      </c>
      <c r="E209" s="188" t="s">
        <v>170</v>
      </c>
      <c r="F209" s="185" t="s">
        <v>432</v>
      </c>
      <c r="G209" s="148" t="s">
        <v>371</v>
      </c>
      <c r="H209" s="148"/>
    </row>
    <row r="210" spans="1:8" ht="6" customHeight="1" thickBot="1" x14ac:dyDescent="0.3">
      <c r="A210" s="750"/>
      <c r="C210" s="111"/>
      <c r="D210" s="111"/>
      <c r="E210" s="111"/>
      <c r="F210" s="122"/>
      <c r="G210" s="122"/>
    </row>
    <row r="211" spans="1:8" x14ac:dyDescent="0.25">
      <c r="A211" s="750"/>
      <c r="C211" s="52" t="s">
        <v>171</v>
      </c>
      <c r="D211" s="53">
        <f>D209+1</f>
        <v>45881</v>
      </c>
      <c r="E211" s="187" t="s">
        <v>162</v>
      </c>
      <c r="F211" s="183" t="s">
        <v>432</v>
      </c>
      <c r="G211" s="301" t="s">
        <v>459</v>
      </c>
      <c r="H211" s="150"/>
    </row>
    <row r="212" spans="1:8" x14ac:dyDescent="0.25">
      <c r="A212" s="750"/>
      <c r="C212" s="43" t="s">
        <v>171</v>
      </c>
      <c r="D212" s="21">
        <f t="shared" ref="D212:D219" si="21">D211</f>
        <v>45881</v>
      </c>
      <c r="E212" s="186" t="s">
        <v>163</v>
      </c>
      <c r="F212" s="184" t="s">
        <v>432</v>
      </c>
      <c r="G212" s="153" t="s">
        <v>459</v>
      </c>
      <c r="H212" s="151"/>
    </row>
    <row r="213" spans="1:8" x14ac:dyDescent="0.25">
      <c r="A213" s="750"/>
      <c r="C213" s="43" t="s">
        <v>171</v>
      </c>
      <c r="D213" s="21">
        <f t="shared" si="21"/>
        <v>45881</v>
      </c>
      <c r="E213" s="186" t="s">
        <v>164</v>
      </c>
      <c r="F213" s="184" t="s">
        <v>432</v>
      </c>
      <c r="G213" s="153" t="s">
        <v>459</v>
      </c>
      <c r="H213" s="151"/>
    </row>
    <row r="214" spans="1:8" x14ac:dyDescent="0.25">
      <c r="A214" s="750"/>
      <c r="C214" s="43" t="s">
        <v>171</v>
      </c>
      <c r="D214" s="21">
        <f t="shared" si="21"/>
        <v>45881</v>
      </c>
      <c r="E214" s="186" t="s">
        <v>165</v>
      </c>
      <c r="F214" s="184" t="s">
        <v>432</v>
      </c>
      <c r="G214" s="153" t="s">
        <v>459</v>
      </c>
      <c r="H214" s="151"/>
    </row>
    <row r="215" spans="1:8" x14ac:dyDescent="0.25">
      <c r="A215" s="750"/>
      <c r="C215" s="43" t="s">
        <v>171</v>
      </c>
      <c r="D215" s="21">
        <f t="shared" si="21"/>
        <v>45881</v>
      </c>
      <c r="E215" s="186" t="s">
        <v>166</v>
      </c>
      <c r="F215" s="184" t="s">
        <v>432</v>
      </c>
      <c r="G215" s="153" t="s">
        <v>459</v>
      </c>
      <c r="H215" s="151"/>
    </row>
    <row r="216" spans="1:8" x14ac:dyDescent="0.25">
      <c r="A216" s="750"/>
      <c r="C216" s="43" t="s">
        <v>171</v>
      </c>
      <c r="D216" s="21">
        <f t="shared" si="21"/>
        <v>45881</v>
      </c>
      <c r="E216" s="186" t="s">
        <v>167</v>
      </c>
      <c r="F216" s="184" t="s">
        <v>432</v>
      </c>
      <c r="G216" s="153" t="s">
        <v>459</v>
      </c>
      <c r="H216" s="151"/>
    </row>
    <row r="217" spans="1:8" x14ac:dyDescent="0.25">
      <c r="A217" s="750"/>
      <c r="C217" s="43" t="s">
        <v>171</v>
      </c>
      <c r="D217" s="21">
        <f t="shared" si="21"/>
        <v>45881</v>
      </c>
      <c r="E217" s="186" t="s">
        <v>168</v>
      </c>
      <c r="F217" s="184" t="s">
        <v>443</v>
      </c>
      <c r="G217" s="153" t="s">
        <v>459</v>
      </c>
      <c r="H217" s="151"/>
    </row>
    <row r="218" spans="1:8" x14ac:dyDescent="0.25">
      <c r="A218" s="750"/>
      <c r="C218" s="43" t="s">
        <v>171</v>
      </c>
      <c r="D218" s="21">
        <f t="shared" si="21"/>
        <v>45881</v>
      </c>
      <c r="E218" s="186" t="s">
        <v>169</v>
      </c>
      <c r="F218" s="184" t="s">
        <v>443</v>
      </c>
      <c r="G218" s="153" t="s">
        <v>459</v>
      </c>
      <c r="H218" s="151"/>
    </row>
    <row r="219" spans="1:8" ht="15.75" thickBot="1" x14ac:dyDescent="0.3">
      <c r="A219" s="750"/>
      <c r="C219" s="47" t="s">
        <v>171</v>
      </c>
      <c r="D219" s="48">
        <f t="shared" si="21"/>
        <v>45881</v>
      </c>
      <c r="E219" s="188" t="s">
        <v>170</v>
      </c>
      <c r="F219" s="185" t="s">
        <v>443</v>
      </c>
      <c r="G219" s="154" t="s">
        <v>459</v>
      </c>
      <c r="H219" s="152"/>
    </row>
    <row r="220" spans="1:8" ht="6" customHeight="1" thickBot="1" x14ac:dyDescent="0.3">
      <c r="A220" s="750"/>
      <c r="C220" s="111"/>
      <c r="D220" s="111"/>
      <c r="E220" s="111"/>
      <c r="F220" s="122"/>
      <c r="G220" s="122"/>
    </row>
    <row r="221" spans="1:8" x14ac:dyDescent="0.25">
      <c r="A221" s="750"/>
      <c r="C221" s="52" t="s">
        <v>172</v>
      </c>
      <c r="D221" s="53">
        <f>D219+1</f>
        <v>45882</v>
      </c>
      <c r="E221" s="187" t="s">
        <v>162</v>
      </c>
      <c r="F221" s="183" t="s">
        <v>443</v>
      </c>
      <c r="G221" s="301" t="s">
        <v>459</v>
      </c>
      <c r="H221" s="150"/>
    </row>
    <row r="222" spans="1:8" x14ac:dyDescent="0.25">
      <c r="A222" s="750"/>
      <c r="C222" s="43" t="s">
        <v>172</v>
      </c>
      <c r="D222" s="21">
        <f t="shared" ref="D222:D229" si="22">D221</f>
        <v>45882</v>
      </c>
      <c r="E222" s="186" t="s">
        <v>163</v>
      </c>
      <c r="F222" s="184" t="s">
        <v>443</v>
      </c>
      <c r="G222" s="153" t="s">
        <v>459</v>
      </c>
      <c r="H222" s="151"/>
    </row>
    <row r="223" spans="1:8" x14ac:dyDescent="0.25">
      <c r="A223" s="750"/>
      <c r="C223" s="43" t="s">
        <v>172</v>
      </c>
      <c r="D223" s="21">
        <f t="shared" si="22"/>
        <v>45882</v>
      </c>
      <c r="E223" s="186" t="s">
        <v>164</v>
      </c>
      <c r="F223" s="184" t="s">
        <v>443</v>
      </c>
      <c r="G223" s="153" t="s">
        <v>459</v>
      </c>
      <c r="H223" s="151"/>
    </row>
    <row r="224" spans="1:8" x14ac:dyDescent="0.25">
      <c r="A224" s="750"/>
      <c r="C224" s="43" t="s">
        <v>172</v>
      </c>
      <c r="D224" s="21">
        <f t="shared" si="22"/>
        <v>45882</v>
      </c>
      <c r="E224" s="186" t="s">
        <v>165</v>
      </c>
      <c r="F224" s="184" t="s">
        <v>443</v>
      </c>
      <c r="G224" s="153" t="s">
        <v>459</v>
      </c>
      <c r="H224" s="151"/>
    </row>
    <row r="225" spans="1:8" x14ac:dyDescent="0.25">
      <c r="A225" s="750"/>
      <c r="C225" s="43" t="s">
        <v>172</v>
      </c>
      <c r="D225" s="21">
        <f t="shared" si="22"/>
        <v>45882</v>
      </c>
      <c r="E225" s="186" t="s">
        <v>166</v>
      </c>
      <c r="F225" s="184" t="s">
        <v>443</v>
      </c>
      <c r="G225" s="153" t="s">
        <v>459</v>
      </c>
      <c r="H225" s="151"/>
    </row>
    <row r="226" spans="1:8" x14ac:dyDescent="0.25">
      <c r="A226" s="750"/>
      <c r="C226" s="43" t="s">
        <v>172</v>
      </c>
      <c r="D226" s="21">
        <f t="shared" si="22"/>
        <v>45882</v>
      </c>
      <c r="E226" s="186" t="s">
        <v>167</v>
      </c>
      <c r="F226" s="184" t="s">
        <v>443</v>
      </c>
      <c r="G226" s="153" t="s">
        <v>459</v>
      </c>
      <c r="H226" s="151"/>
    </row>
    <row r="227" spans="1:8" x14ac:dyDescent="0.25">
      <c r="A227" s="750"/>
      <c r="C227" s="43" t="s">
        <v>172</v>
      </c>
      <c r="D227" s="21">
        <f t="shared" si="22"/>
        <v>45882</v>
      </c>
      <c r="E227" s="186" t="s">
        <v>168</v>
      </c>
      <c r="F227" s="184" t="s">
        <v>444</v>
      </c>
      <c r="G227" s="153" t="s">
        <v>459</v>
      </c>
      <c r="H227" s="151"/>
    </row>
    <row r="228" spans="1:8" x14ac:dyDescent="0.25">
      <c r="A228" s="750"/>
      <c r="C228" s="43" t="s">
        <v>172</v>
      </c>
      <c r="D228" s="21">
        <f t="shared" si="22"/>
        <v>45882</v>
      </c>
      <c r="E228" s="186" t="s">
        <v>169</v>
      </c>
      <c r="F228" s="184" t="s">
        <v>444</v>
      </c>
      <c r="G228" s="153" t="s">
        <v>459</v>
      </c>
      <c r="H228" s="151"/>
    </row>
    <row r="229" spans="1:8" ht="15.75" thickBot="1" x14ac:dyDescent="0.3">
      <c r="A229" s="750"/>
      <c r="C229" s="47" t="s">
        <v>172</v>
      </c>
      <c r="D229" s="48">
        <f t="shared" si="22"/>
        <v>45882</v>
      </c>
      <c r="E229" s="188" t="s">
        <v>170</v>
      </c>
      <c r="F229" s="185" t="s">
        <v>444</v>
      </c>
      <c r="G229" s="154" t="s">
        <v>459</v>
      </c>
      <c r="H229" s="152"/>
    </row>
    <row r="230" spans="1:8" ht="6" customHeight="1" thickBot="1" x14ac:dyDescent="0.3">
      <c r="A230" s="750"/>
      <c r="C230" s="111"/>
      <c r="D230" s="111"/>
      <c r="E230" s="111"/>
      <c r="F230" s="122"/>
      <c r="G230" s="122"/>
    </row>
    <row r="231" spans="1:8" x14ac:dyDescent="0.25">
      <c r="A231" s="750"/>
      <c r="C231" s="52" t="s">
        <v>173</v>
      </c>
      <c r="D231" s="53">
        <f>D229+1</f>
        <v>45883</v>
      </c>
      <c r="E231" s="187" t="s">
        <v>162</v>
      </c>
      <c r="F231" s="183" t="s">
        <v>444</v>
      </c>
      <c r="G231" s="301" t="s">
        <v>459</v>
      </c>
      <c r="H231" s="150"/>
    </row>
    <row r="232" spans="1:8" x14ac:dyDescent="0.25">
      <c r="A232" s="750"/>
      <c r="C232" s="43" t="s">
        <v>173</v>
      </c>
      <c r="D232" s="21">
        <f t="shared" ref="D232:D239" si="23">D231</f>
        <v>45883</v>
      </c>
      <c r="E232" s="186" t="s">
        <v>163</v>
      </c>
      <c r="F232" s="184" t="s">
        <v>444</v>
      </c>
      <c r="G232" s="153" t="s">
        <v>459</v>
      </c>
      <c r="H232" s="151"/>
    </row>
    <row r="233" spans="1:8" x14ac:dyDescent="0.25">
      <c r="A233" s="750"/>
      <c r="C233" s="43" t="s">
        <v>173</v>
      </c>
      <c r="D233" s="21">
        <f t="shared" si="23"/>
        <v>45883</v>
      </c>
      <c r="E233" s="186" t="s">
        <v>164</v>
      </c>
      <c r="F233" s="184" t="s">
        <v>444</v>
      </c>
      <c r="G233" s="153" t="s">
        <v>459</v>
      </c>
      <c r="H233" s="151"/>
    </row>
    <row r="234" spans="1:8" x14ac:dyDescent="0.25">
      <c r="A234" s="750"/>
      <c r="C234" s="43" t="s">
        <v>173</v>
      </c>
      <c r="D234" s="21">
        <f t="shared" si="23"/>
        <v>45883</v>
      </c>
      <c r="E234" s="186" t="s">
        <v>165</v>
      </c>
      <c r="F234" s="184" t="s">
        <v>444</v>
      </c>
      <c r="G234" s="153" t="s">
        <v>459</v>
      </c>
      <c r="H234" s="151"/>
    </row>
    <row r="235" spans="1:8" x14ac:dyDescent="0.25">
      <c r="A235" s="750"/>
      <c r="C235" s="43" t="s">
        <v>173</v>
      </c>
      <c r="D235" s="21">
        <f t="shared" si="23"/>
        <v>45883</v>
      </c>
      <c r="E235" s="186" t="s">
        <v>166</v>
      </c>
      <c r="F235" s="184" t="s">
        <v>444</v>
      </c>
      <c r="G235" s="153" t="s">
        <v>459</v>
      </c>
      <c r="H235" s="151"/>
    </row>
    <row r="236" spans="1:8" x14ac:dyDescent="0.25">
      <c r="A236" s="750"/>
      <c r="C236" s="43" t="s">
        <v>173</v>
      </c>
      <c r="D236" s="21">
        <f t="shared" si="23"/>
        <v>45883</v>
      </c>
      <c r="E236" s="186" t="s">
        <v>167</v>
      </c>
      <c r="F236" s="184" t="s">
        <v>444</v>
      </c>
      <c r="G236" s="153" t="s">
        <v>459</v>
      </c>
      <c r="H236" s="151"/>
    </row>
    <row r="237" spans="1:8" x14ac:dyDescent="0.25">
      <c r="A237" s="750"/>
      <c r="C237" s="43" t="s">
        <v>173</v>
      </c>
      <c r="D237" s="21">
        <f t="shared" si="23"/>
        <v>45883</v>
      </c>
      <c r="E237" s="186" t="s">
        <v>168</v>
      </c>
      <c r="F237" s="184" t="s">
        <v>445</v>
      </c>
      <c r="G237" s="153" t="s">
        <v>459</v>
      </c>
      <c r="H237" s="151"/>
    </row>
    <row r="238" spans="1:8" x14ac:dyDescent="0.25">
      <c r="A238" s="750"/>
      <c r="C238" s="43" t="s">
        <v>173</v>
      </c>
      <c r="D238" s="21">
        <f t="shared" si="23"/>
        <v>45883</v>
      </c>
      <c r="E238" s="186" t="s">
        <v>169</v>
      </c>
      <c r="F238" s="184" t="s">
        <v>445</v>
      </c>
      <c r="G238" s="153" t="s">
        <v>459</v>
      </c>
      <c r="H238" s="151"/>
    </row>
    <row r="239" spans="1:8" ht="15.75" thickBot="1" x14ac:dyDescent="0.3">
      <c r="A239" s="750"/>
      <c r="C239" s="47" t="s">
        <v>173</v>
      </c>
      <c r="D239" s="48">
        <f t="shared" si="23"/>
        <v>45883</v>
      </c>
      <c r="E239" s="188" t="s">
        <v>170</v>
      </c>
      <c r="F239" s="185" t="s">
        <v>445</v>
      </c>
      <c r="G239" s="154" t="s">
        <v>459</v>
      </c>
      <c r="H239" s="152"/>
    </row>
    <row r="240" spans="1:8" ht="6" customHeight="1" thickBot="1" x14ac:dyDescent="0.3">
      <c r="A240" s="750"/>
    </row>
    <row r="241" spans="1:8" x14ac:dyDescent="0.25">
      <c r="A241" s="750"/>
      <c r="C241" s="52" t="s">
        <v>174</v>
      </c>
      <c r="D241" s="53">
        <f>D239+1</f>
        <v>45884</v>
      </c>
      <c r="E241" s="187" t="s">
        <v>162</v>
      </c>
      <c r="F241" s="183" t="s">
        <v>445</v>
      </c>
      <c r="G241" s="183" t="s">
        <v>460</v>
      </c>
      <c r="H241" s="150"/>
    </row>
    <row r="242" spans="1:8" x14ac:dyDescent="0.25">
      <c r="A242" s="750"/>
      <c r="C242" s="43" t="s">
        <v>174</v>
      </c>
      <c r="D242" s="21">
        <f t="shared" ref="D242:D248" si="24">D241</f>
        <v>45884</v>
      </c>
      <c r="E242" s="186" t="s">
        <v>163</v>
      </c>
      <c r="F242" s="184" t="s">
        <v>445</v>
      </c>
      <c r="G242" s="153" t="s">
        <v>460</v>
      </c>
      <c r="H242" s="151"/>
    </row>
    <row r="243" spans="1:8" x14ac:dyDescent="0.25">
      <c r="A243" s="750"/>
      <c r="C243" s="43" t="s">
        <v>174</v>
      </c>
      <c r="D243" s="21">
        <f t="shared" si="24"/>
        <v>45884</v>
      </c>
      <c r="E243" s="186" t="s">
        <v>164</v>
      </c>
      <c r="F243" s="184" t="s">
        <v>445</v>
      </c>
      <c r="G243" s="153" t="s">
        <v>460</v>
      </c>
      <c r="H243" s="151"/>
    </row>
    <row r="244" spans="1:8" x14ac:dyDescent="0.25">
      <c r="A244" s="750"/>
      <c r="C244" s="43" t="s">
        <v>174</v>
      </c>
      <c r="D244" s="21">
        <f t="shared" si="24"/>
        <v>45884</v>
      </c>
      <c r="E244" s="186" t="s">
        <v>165</v>
      </c>
      <c r="F244" s="184" t="s">
        <v>445</v>
      </c>
      <c r="G244" s="153" t="s">
        <v>460</v>
      </c>
      <c r="H244" s="151"/>
    </row>
    <row r="245" spans="1:8" x14ac:dyDescent="0.25">
      <c r="A245" s="750"/>
      <c r="C245" s="43" t="s">
        <v>174</v>
      </c>
      <c r="D245" s="21">
        <f t="shared" si="24"/>
        <v>45884</v>
      </c>
      <c r="E245" s="186" t="s">
        <v>166</v>
      </c>
      <c r="F245" s="184" t="s">
        <v>445</v>
      </c>
      <c r="G245" s="153" t="s">
        <v>460</v>
      </c>
      <c r="H245" s="151"/>
    </row>
    <row r="246" spans="1:8" x14ac:dyDescent="0.25">
      <c r="A246" s="750"/>
      <c r="C246" s="43" t="s">
        <v>174</v>
      </c>
      <c r="D246" s="21">
        <f t="shared" si="24"/>
        <v>45884</v>
      </c>
      <c r="E246" s="186" t="s">
        <v>167</v>
      </c>
      <c r="F246" s="184" t="s">
        <v>445</v>
      </c>
      <c r="G246" s="153" t="s">
        <v>460</v>
      </c>
      <c r="H246" s="151"/>
    </row>
    <row r="247" spans="1:8" x14ac:dyDescent="0.25">
      <c r="A247" s="750"/>
      <c r="C247" s="43" t="s">
        <v>174</v>
      </c>
      <c r="D247" s="21">
        <f t="shared" si="24"/>
        <v>45884</v>
      </c>
      <c r="E247" s="186" t="s">
        <v>168</v>
      </c>
      <c r="F247" s="184" t="s">
        <v>446</v>
      </c>
      <c r="G247" s="153" t="s">
        <v>460</v>
      </c>
      <c r="H247" s="151"/>
    </row>
    <row r="248" spans="1:8" ht="15.75" thickBot="1" x14ac:dyDescent="0.3">
      <c r="A248" s="751"/>
      <c r="C248" s="47" t="s">
        <v>174</v>
      </c>
      <c r="D248" s="48">
        <f t="shared" si="24"/>
        <v>45884</v>
      </c>
      <c r="E248" s="188" t="s">
        <v>169</v>
      </c>
      <c r="F248" s="185" t="s">
        <v>446</v>
      </c>
      <c r="G248" s="154" t="s">
        <v>460</v>
      </c>
      <c r="H248" s="152"/>
    </row>
    <row r="249" spans="1:8" ht="6" customHeight="1" thickBot="1" x14ac:dyDescent="0.3">
      <c r="A249"/>
      <c r="F249"/>
      <c r="G249"/>
      <c r="H249"/>
    </row>
    <row r="250" spans="1:8" ht="15" customHeight="1" x14ac:dyDescent="0.25">
      <c r="A250" s="746" t="s">
        <v>535</v>
      </c>
      <c r="C250" s="52" t="s">
        <v>161</v>
      </c>
      <c r="D250" s="53">
        <f>D248+3</f>
        <v>45887</v>
      </c>
      <c r="E250" s="187" t="s">
        <v>162</v>
      </c>
      <c r="F250" s="183" t="s">
        <v>446</v>
      </c>
      <c r="G250" s="301" t="s">
        <v>460</v>
      </c>
      <c r="H250" s="150"/>
    </row>
    <row r="251" spans="1:8" x14ac:dyDescent="0.25">
      <c r="A251" s="750"/>
      <c r="C251" s="43" t="s">
        <v>161</v>
      </c>
      <c r="D251" s="21">
        <f t="shared" ref="D251:D258" si="25">D250</f>
        <v>45887</v>
      </c>
      <c r="E251" s="186" t="s">
        <v>163</v>
      </c>
      <c r="F251" s="184" t="s">
        <v>446</v>
      </c>
      <c r="G251" s="153" t="s">
        <v>460</v>
      </c>
      <c r="H251" s="151"/>
    </row>
    <row r="252" spans="1:8" x14ac:dyDescent="0.25">
      <c r="A252" s="750"/>
      <c r="C252" s="43" t="s">
        <v>161</v>
      </c>
      <c r="D252" s="21">
        <f t="shared" si="25"/>
        <v>45887</v>
      </c>
      <c r="E252" s="186" t="s">
        <v>164</v>
      </c>
      <c r="F252" s="184" t="s">
        <v>446</v>
      </c>
      <c r="G252" s="153" t="s">
        <v>460</v>
      </c>
      <c r="H252" s="151"/>
    </row>
    <row r="253" spans="1:8" x14ac:dyDescent="0.25">
      <c r="A253" s="750"/>
      <c r="C253" s="43" t="s">
        <v>161</v>
      </c>
      <c r="D253" s="21">
        <f t="shared" si="25"/>
        <v>45887</v>
      </c>
      <c r="E253" s="186" t="s">
        <v>165</v>
      </c>
      <c r="F253" s="184" t="s">
        <v>446</v>
      </c>
      <c r="G253" s="153" t="s">
        <v>460</v>
      </c>
      <c r="H253" s="151"/>
    </row>
    <row r="254" spans="1:8" x14ac:dyDescent="0.25">
      <c r="A254" s="750"/>
      <c r="C254" s="43" t="s">
        <v>161</v>
      </c>
      <c r="D254" s="21">
        <f t="shared" si="25"/>
        <v>45887</v>
      </c>
      <c r="E254" s="186" t="s">
        <v>166</v>
      </c>
      <c r="F254" s="184" t="s">
        <v>446</v>
      </c>
      <c r="G254" s="153" t="s">
        <v>460</v>
      </c>
      <c r="H254" s="151"/>
    </row>
    <row r="255" spans="1:8" x14ac:dyDescent="0.25">
      <c r="A255" s="750"/>
      <c r="C255" s="43" t="s">
        <v>161</v>
      </c>
      <c r="D255" s="21">
        <f t="shared" si="25"/>
        <v>45887</v>
      </c>
      <c r="E255" s="186" t="s">
        <v>167</v>
      </c>
      <c r="F255" s="184" t="s">
        <v>446</v>
      </c>
      <c r="G255" s="153" t="s">
        <v>460</v>
      </c>
      <c r="H255" s="151"/>
    </row>
    <row r="256" spans="1:8" x14ac:dyDescent="0.25">
      <c r="A256" s="750"/>
      <c r="C256" s="43" t="s">
        <v>161</v>
      </c>
      <c r="D256" s="21">
        <f t="shared" si="25"/>
        <v>45887</v>
      </c>
      <c r="E256" s="186" t="s">
        <v>167</v>
      </c>
      <c r="F256" s="184" t="s">
        <v>446</v>
      </c>
      <c r="G256" s="153" t="s">
        <v>460</v>
      </c>
      <c r="H256" s="151"/>
    </row>
    <row r="257" spans="1:8" x14ac:dyDescent="0.25">
      <c r="A257" s="750"/>
      <c r="C257" s="43" t="s">
        <v>161</v>
      </c>
      <c r="D257" s="21">
        <f t="shared" si="25"/>
        <v>45887</v>
      </c>
      <c r="E257" s="186" t="s">
        <v>169</v>
      </c>
      <c r="F257" s="184" t="s">
        <v>431</v>
      </c>
      <c r="G257" s="153" t="s">
        <v>460</v>
      </c>
      <c r="H257" s="151"/>
    </row>
    <row r="258" spans="1:8" ht="15.75" thickBot="1" x14ac:dyDescent="0.3">
      <c r="A258" s="750"/>
      <c r="C258" s="47" t="s">
        <v>161</v>
      </c>
      <c r="D258" s="48">
        <f t="shared" si="25"/>
        <v>45887</v>
      </c>
      <c r="E258" s="188" t="s">
        <v>170</v>
      </c>
      <c r="F258" s="185" t="s">
        <v>431</v>
      </c>
      <c r="G258" s="154" t="s">
        <v>460</v>
      </c>
      <c r="H258" s="152"/>
    </row>
    <row r="259" spans="1:8" ht="6" customHeight="1" thickBot="1" x14ac:dyDescent="0.3">
      <c r="A259" s="750"/>
      <c r="C259" s="111"/>
      <c r="D259" s="111"/>
      <c r="E259" s="111"/>
      <c r="F259" s="122"/>
      <c r="G259" s="122"/>
    </row>
    <row r="260" spans="1:8" x14ac:dyDescent="0.25">
      <c r="A260" s="750"/>
      <c r="C260" s="52" t="s">
        <v>171</v>
      </c>
      <c r="D260" s="53">
        <f>D258+1</f>
        <v>45888</v>
      </c>
      <c r="E260" s="187" t="s">
        <v>162</v>
      </c>
      <c r="F260" s="149" t="s">
        <v>431</v>
      </c>
      <c r="G260" s="301" t="s">
        <v>460</v>
      </c>
      <c r="H260" s="150"/>
    </row>
    <row r="261" spans="1:8" x14ac:dyDescent="0.25">
      <c r="A261" s="750"/>
      <c r="C261" s="43" t="s">
        <v>171</v>
      </c>
      <c r="D261" s="21">
        <f t="shared" ref="D261:D268" si="26">D260</f>
        <v>45888</v>
      </c>
      <c r="E261" s="186" t="s">
        <v>163</v>
      </c>
      <c r="F261" s="184" t="s">
        <v>431</v>
      </c>
      <c r="G261" s="153" t="s">
        <v>460</v>
      </c>
      <c r="H261" s="151"/>
    </row>
    <row r="262" spans="1:8" x14ac:dyDescent="0.25">
      <c r="A262" s="750"/>
      <c r="C262" s="43" t="s">
        <v>171</v>
      </c>
      <c r="D262" s="21">
        <f t="shared" si="26"/>
        <v>45888</v>
      </c>
      <c r="E262" s="186" t="s">
        <v>164</v>
      </c>
      <c r="F262" s="184" t="s">
        <v>431</v>
      </c>
      <c r="G262" s="153" t="s">
        <v>460</v>
      </c>
      <c r="H262" s="151"/>
    </row>
    <row r="263" spans="1:8" x14ac:dyDescent="0.25">
      <c r="A263" s="750"/>
      <c r="C263" s="43" t="s">
        <v>171</v>
      </c>
      <c r="D263" s="21">
        <f t="shared" si="26"/>
        <v>45888</v>
      </c>
      <c r="E263" s="186" t="s">
        <v>165</v>
      </c>
      <c r="F263" s="184" t="s">
        <v>431</v>
      </c>
      <c r="G263" s="153" t="s">
        <v>460</v>
      </c>
      <c r="H263" s="151"/>
    </row>
    <row r="264" spans="1:8" x14ac:dyDescent="0.25">
      <c r="A264" s="750"/>
      <c r="C264" s="43" t="s">
        <v>171</v>
      </c>
      <c r="D264" s="21">
        <f t="shared" si="26"/>
        <v>45888</v>
      </c>
      <c r="E264" s="186" t="s">
        <v>166</v>
      </c>
      <c r="F264" s="184" t="s">
        <v>431</v>
      </c>
      <c r="G264" s="153" t="s">
        <v>460</v>
      </c>
      <c r="H264" s="151"/>
    </row>
    <row r="265" spans="1:8" x14ac:dyDescent="0.25">
      <c r="A265" s="750"/>
      <c r="C265" s="43" t="s">
        <v>171</v>
      </c>
      <c r="D265" s="21">
        <f t="shared" si="26"/>
        <v>45888</v>
      </c>
      <c r="E265" s="186" t="s">
        <v>167</v>
      </c>
      <c r="F265" s="184" t="s">
        <v>431</v>
      </c>
      <c r="G265" s="153" t="s">
        <v>460</v>
      </c>
      <c r="H265" s="151"/>
    </row>
    <row r="266" spans="1:8" x14ac:dyDescent="0.25">
      <c r="A266" s="750"/>
      <c r="C266" s="43" t="s">
        <v>171</v>
      </c>
      <c r="D266" s="21">
        <f t="shared" si="26"/>
        <v>45888</v>
      </c>
      <c r="E266" s="186" t="s">
        <v>168</v>
      </c>
      <c r="F266" s="184" t="s">
        <v>431</v>
      </c>
      <c r="G266" s="153" t="s">
        <v>460</v>
      </c>
      <c r="H266" s="151"/>
    </row>
    <row r="267" spans="1:8" x14ac:dyDescent="0.25">
      <c r="A267" s="750"/>
      <c r="C267" s="43" t="s">
        <v>171</v>
      </c>
      <c r="D267" s="21">
        <f t="shared" si="26"/>
        <v>45888</v>
      </c>
      <c r="E267" s="186" t="s">
        <v>169</v>
      </c>
      <c r="F267" s="184" t="s">
        <v>431</v>
      </c>
      <c r="G267" s="153" t="s">
        <v>460</v>
      </c>
      <c r="H267" s="151"/>
    </row>
    <row r="268" spans="1:8" ht="15.75" thickBot="1" x14ac:dyDescent="0.3">
      <c r="A268" s="750"/>
      <c r="C268" s="47" t="s">
        <v>171</v>
      </c>
      <c r="D268" s="48">
        <f t="shared" si="26"/>
        <v>45888</v>
      </c>
      <c r="E268" s="188" t="s">
        <v>170</v>
      </c>
      <c r="F268" s="185" t="s">
        <v>431</v>
      </c>
      <c r="G268" s="154" t="s">
        <v>460</v>
      </c>
      <c r="H268" s="152"/>
    </row>
    <row r="269" spans="1:8" ht="6" customHeight="1" thickBot="1" x14ac:dyDescent="0.3">
      <c r="A269" s="750"/>
      <c r="C269" s="111"/>
      <c r="D269" s="111"/>
      <c r="E269" s="111"/>
      <c r="F269" s="122"/>
      <c r="G269" s="122"/>
    </row>
    <row r="270" spans="1:8" x14ac:dyDescent="0.25">
      <c r="A270" s="750"/>
      <c r="C270" s="52" t="s">
        <v>172</v>
      </c>
      <c r="D270" s="53">
        <f>D268+1</f>
        <v>45889</v>
      </c>
      <c r="E270" s="187" t="s">
        <v>162</v>
      </c>
      <c r="F270" s="183" t="s">
        <v>481</v>
      </c>
      <c r="G270" s="150" t="s">
        <v>461</v>
      </c>
      <c r="H270" s="150"/>
    </row>
    <row r="271" spans="1:8" x14ac:dyDescent="0.25">
      <c r="A271" s="750"/>
      <c r="C271" s="43" t="s">
        <v>172</v>
      </c>
      <c r="D271" s="21">
        <f t="shared" ref="D271:D278" si="27">D270</f>
        <v>45889</v>
      </c>
      <c r="E271" s="186" t="s">
        <v>163</v>
      </c>
      <c r="F271" s="184" t="s">
        <v>481</v>
      </c>
      <c r="G271" s="153" t="s">
        <v>461</v>
      </c>
      <c r="H271" s="151"/>
    </row>
    <row r="272" spans="1:8" x14ac:dyDescent="0.25">
      <c r="A272" s="750"/>
      <c r="C272" s="43" t="s">
        <v>172</v>
      </c>
      <c r="D272" s="21">
        <f t="shared" si="27"/>
        <v>45889</v>
      </c>
      <c r="E272" s="186" t="s">
        <v>164</v>
      </c>
      <c r="F272" s="184" t="s">
        <v>481</v>
      </c>
      <c r="G272" s="153" t="s">
        <v>461</v>
      </c>
      <c r="H272" s="151"/>
    </row>
    <row r="273" spans="1:8" x14ac:dyDescent="0.25">
      <c r="A273" s="750"/>
      <c r="C273" s="43" t="s">
        <v>172</v>
      </c>
      <c r="D273" s="21">
        <f t="shared" si="27"/>
        <v>45889</v>
      </c>
      <c r="E273" s="186" t="s">
        <v>165</v>
      </c>
      <c r="F273" s="184" t="s">
        <v>481</v>
      </c>
      <c r="G273" s="153" t="s">
        <v>461</v>
      </c>
      <c r="H273" s="151"/>
    </row>
    <row r="274" spans="1:8" x14ac:dyDescent="0.25">
      <c r="A274" s="750"/>
      <c r="C274" s="43" t="s">
        <v>172</v>
      </c>
      <c r="D274" s="21">
        <f t="shared" si="27"/>
        <v>45889</v>
      </c>
      <c r="E274" s="186" t="s">
        <v>166</v>
      </c>
      <c r="F274" s="184" t="s">
        <v>481</v>
      </c>
      <c r="G274" s="153" t="s">
        <v>461</v>
      </c>
      <c r="H274" s="151"/>
    </row>
    <row r="275" spans="1:8" x14ac:dyDescent="0.25">
      <c r="A275" s="750"/>
      <c r="C275" s="43" t="s">
        <v>172</v>
      </c>
      <c r="D275" s="21">
        <f t="shared" si="27"/>
        <v>45889</v>
      </c>
      <c r="E275" s="186" t="s">
        <v>167</v>
      </c>
      <c r="F275" s="184" t="s">
        <v>481</v>
      </c>
      <c r="G275" s="153" t="s">
        <v>461</v>
      </c>
      <c r="H275" s="151"/>
    </row>
    <row r="276" spans="1:8" x14ac:dyDescent="0.25">
      <c r="A276" s="750"/>
      <c r="C276" s="43" t="s">
        <v>172</v>
      </c>
      <c r="D276" s="21">
        <f t="shared" si="27"/>
        <v>45889</v>
      </c>
      <c r="E276" s="186" t="s">
        <v>168</v>
      </c>
      <c r="F276" s="184" t="s">
        <v>481</v>
      </c>
      <c r="G276" s="153" t="s">
        <v>461</v>
      </c>
      <c r="H276" s="151"/>
    </row>
    <row r="277" spans="1:8" x14ac:dyDescent="0.25">
      <c r="A277" s="750"/>
      <c r="C277" s="43" t="s">
        <v>172</v>
      </c>
      <c r="D277" s="21">
        <f t="shared" si="27"/>
        <v>45889</v>
      </c>
      <c r="E277" s="186" t="s">
        <v>169</v>
      </c>
      <c r="F277" s="184" t="s">
        <v>481</v>
      </c>
      <c r="G277" s="153" t="s">
        <v>461</v>
      </c>
      <c r="H277" s="151"/>
    </row>
    <row r="278" spans="1:8" ht="15.75" thickBot="1" x14ac:dyDescent="0.3">
      <c r="A278" s="750"/>
      <c r="C278" s="47" t="s">
        <v>172</v>
      </c>
      <c r="D278" s="48">
        <f t="shared" si="27"/>
        <v>45889</v>
      </c>
      <c r="E278" s="188" t="s">
        <v>170</v>
      </c>
      <c r="F278" s="185" t="s">
        <v>481</v>
      </c>
      <c r="G278" s="154" t="s">
        <v>461</v>
      </c>
      <c r="H278" s="152"/>
    </row>
    <row r="279" spans="1:8" ht="6" customHeight="1" thickBot="1" x14ac:dyDescent="0.3">
      <c r="A279" s="750"/>
      <c r="C279" s="111"/>
      <c r="D279" s="111"/>
      <c r="E279" s="111"/>
      <c r="F279" s="122"/>
      <c r="G279" s="122"/>
    </row>
    <row r="280" spans="1:8" x14ac:dyDescent="0.25">
      <c r="A280" s="750"/>
      <c r="C280" s="52" t="s">
        <v>173</v>
      </c>
      <c r="D280" s="53">
        <f>D278+1</f>
        <v>45890</v>
      </c>
      <c r="E280" s="187" t="s">
        <v>162</v>
      </c>
      <c r="F280" s="183" t="s">
        <v>481</v>
      </c>
      <c r="G280" s="301" t="s">
        <v>461</v>
      </c>
      <c r="H280" s="150"/>
    </row>
    <row r="281" spans="1:8" x14ac:dyDescent="0.25">
      <c r="A281" s="750"/>
      <c r="C281" s="43" t="s">
        <v>173</v>
      </c>
      <c r="D281" s="21">
        <f t="shared" ref="D281:D288" si="28">D280</f>
        <v>45890</v>
      </c>
      <c r="E281" s="186" t="s">
        <v>163</v>
      </c>
      <c r="F281" s="184" t="s">
        <v>481</v>
      </c>
      <c r="G281" s="153" t="s">
        <v>461</v>
      </c>
      <c r="H281" s="151"/>
    </row>
    <row r="282" spans="1:8" x14ac:dyDescent="0.25">
      <c r="A282" s="750"/>
      <c r="C282" s="43" t="s">
        <v>173</v>
      </c>
      <c r="D282" s="21">
        <f t="shared" si="28"/>
        <v>45890</v>
      </c>
      <c r="E282" s="186" t="s">
        <v>164</v>
      </c>
      <c r="F282" s="184" t="s">
        <v>481</v>
      </c>
      <c r="G282" s="153" t="s">
        <v>461</v>
      </c>
      <c r="H282" s="151"/>
    </row>
    <row r="283" spans="1:8" x14ac:dyDescent="0.25">
      <c r="A283" s="750"/>
      <c r="C283" s="43" t="s">
        <v>173</v>
      </c>
      <c r="D283" s="21">
        <f t="shared" si="28"/>
        <v>45890</v>
      </c>
      <c r="E283" s="186" t="s">
        <v>165</v>
      </c>
      <c r="F283" s="184" t="s">
        <v>481</v>
      </c>
      <c r="G283" s="153" t="s">
        <v>461</v>
      </c>
      <c r="H283" s="151"/>
    </row>
    <row r="284" spans="1:8" x14ac:dyDescent="0.25">
      <c r="A284" s="750"/>
      <c r="C284" s="43" t="s">
        <v>173</v>
      </c>
      <c r="D284" s="21">
        <f t="shared" si="28"/>
        <v>45890</v>
      </c>
      <c r="E284" s="186" t="s">
        <v>166</v>
      </c>
      <c r="F284" s="184" t="s">
        <v>481</v>
      </c>
      <c r="G284" s="153" t="s">
        <v>461</v>
      </c>
      <c r="H284" s="151"/>
    </row>
    <row r="285" spans="1:8" x14ac:dyDescent="0.25">
      <c r="A285" s="750"/>
      <c r="C285" s="43" t="s">
        <v>173</v>
      </c>
      <c r="D285" s="21">
        <f t="shared" si="28"/>
        <v>45890</v>
      </c>
      <c r="E285" s="186" t="s">
        <v>167</v>
      </c>
      <c r="F285" s="184" t="s">
        <v>481</v>
      </c>
      <c r="G285" s="153" t="s">
        <v>461</v>
      </c>
      <c r="H285" s="151"/>
    </row>
    <row r="286" spans="1:8" x14ac:dyDescent="0.25">
      <c r="A286" s="750"/>
      <c r="C286" s="43" t="s">
        <v>173</v>
      </c>
      <c r="D286" s="21">
        <f t="shared" si="28"/>
        <v>45890</v>
      </c>
      <c r="E286" s="186" t="s">
        <v>168</v>
      </c>
      <c r="F286" s="184" t="s">
        <v>481</v>
      </c>
      <c r="G286" s="153" t="s">
        <v>461</v>
      </c>
      <c r="H286" s="151"/>
    </row>
    <row r="287" spans="1:8" x14ac:dyDescent="0.25">
      <c r="A287" s="750"/>
      <c r="C287" s="43" t="s">
        <v>173</v>
      </c>
      <c r="D287" s="21">
        <f t="shared" si="28"/>
        <v>45890</v>
      </c>
      <c r="E287" s="186" t="s">
        <v>169</v>
      </c>
      <c r="F287" s="184" t="s">
        <v>481</v>
      </c>
      <c r="G287" s="153" t="s">
        <v>461</v>
      </c>
      <c r="H287" s="151"/>
    </row>
    <row r="288" spans="1:8" ht="15.75" thickBot="1" x14ac:dyDescent="0.3">
      <c r="A288" s="750"/>
      <c r="C288" s="47" t="s">
        <v>173</v>
      </c>
      <c r="D288" s="48">
        <f t="shared" si="28"/>
        <v>45890</v>
      </c>
      <c r="E288" s="188" t="s">
        <v>170</v>
      </c>
      <c r="F288" s="185" t="s">
        <v>481</v>
      </c>
      <c r="G288" s="154" t="s">
        <v>461</v>
      </c>
      <c r="H288" s="152"/>
    </row>
    <row r="289" spans="1:8" ht="6" customHeight="1" thickBot="1" x14ac:dyDescent="0.3">
      <c r="A289" s="750"/>
    </row>
    <row r="290" spans="1:8" x14ac:dyDescent="0.25">
      <c r="A290" s="750"/>
      <c r="C290" s="52" t="s">
        <v>174</v>
      </c>
      <c r="D290" s="53">
        <f>D288+1</f>
        <v>45891</v>
      </c>
      <c r="E290" s="187" t="s">
        <v>162</v>
      </c>
      <c r="F290" s="149" t="s">
        <v>481</v>
      </c>
      <c r="G290" s="150" t="s">
        <v>461</v>
      </c>
      <c r="H290" s="155"/>
    </row>
    <row r="291" spans="1:8" x14ac:dyDescent="0.25">
      <c r="A291" s="750"/>
      <c r="C291" s="43" t="s">
        <v>174</v>
      </c>
      <c r="D291" s="21">
        <f t="shared" ref="D291:D297" si="29">D290</f>
        <v>45891</v>
      </c>
      <c r="E291" s="186" t="s">
        <v>163</v>
      </c>
      <c r="F291" s="147" t="s">
        <v>481</v>
      </c>
      <c r="G291" s="151" t="s">
        <v>461</v>
      </c>
      <c r="H291" s="156"/>
    </row>
    <row r="292" spans="1:8" x14ac:dyDescent="0.25">
      <c r="A292" s="750"/>
      <c r="C292" s="43" t="s">
        <v>174</v>
      </c>
      <c r="D292" s="21">
        <f t="shared" si="29"/>
        <v>45891</v>
      </c>
      <c r="E292" s="186" t="s">
        <v>164</v>
      </c>
      <c r="F292" s="147" t="s">
        <v>481</v>
      </c>
      <c r="G292" s="151" t="s">
        <v>461</v>
      </c>
      <c r="H292" s="156"/>
    </row>
    <row r="293" spans="1:8" x14ac:dyDescent="0.25">
      <c r="A293" s="750"/>
      <c r="C293" s="43" t="s">
        <v>174</v>
      </c>
      <c r="D293" s="21">
        <f t="shared" si="29"/>
        <v>45891</v>
      </c>
      <c r="E293" s="186" t="s">
        <v>165</v>
      </c>
      <c r="F293" s="147" t="s">
        <v>481</v>
      </c>
      <c r="G293" s="151" t="s">
        <v>461</v>
      </c>
      <c r="H293" s="156"/>
    </row>
    <row r="294" spans="1:8" x14ac:dyDescent="0.25">
      <c r="A294" s="750"/>
      <c r="C294" s="43" t="s">
        <v>174</v>
      </c>
      <c r="D294" s="21">
        <f t="shared" si="29"/>
        <v>45891</v>
      </c>
      <c r="E294" s="186" t="s">
        <v>166</v>
      </c>
      <c r="F294" s="147" t="s">
        <v>481</v>
      </c>
      <c r="G294" s="151" t="s">
        <v>461</v>
      </c>
      <c r="H294" s="156"/>
    </row>
    <row r="295" spans="1:8" x14ac:dyDescent="0.25">
      <c r="A295" s="750"/>
      <c r="C295" s="43" t="s">
        <v>174</v>
      </c>
      <c r="D295" s="21">
        <f t="shared" si="29"/>
        <v>45891</v>
      </c>
      <c r="E295" s="186" t="s">
        <v>167</v>
      </c>
      <c r="F295" s="147" t="s">
        <v>481</v>
      </c>
      <c r="G295" s="151" t="s">
        <v>461</v>
      </c>
      <c r="H295" s="156"/>
    </row>
    <row r="296" spans="1:8" x14ac:dyDescent="0.25">
      <c r="A296" s="750"/>
      <c r="C296" s="43" t="s">
        <v>174</v>
      </c>
      <c r="D296" s="21">
        <f t="shared" si="29"/>
        <v>45891</v>
      </c>
      <c r="E296" s="186" t="s">
        <v>168</v>
      </c>
      <c r="F296" s="147" t="s">
        <v>482</v>
      </c>
      <c r="G296" s="151" t="s">
        <v>461</v>
      </c>
      <c r="H296" s="156"/>
    </row>
    <row r="297" spans="1:8" ht="15.75" thickBot="1" x14ac:dyDescent="0.3">
      <c r="A297" s="751"/>
      <c r="C297" s="47" t="s">
        <v>174</v>
      </c>
      <c r="D297" s="48">
        <f t="shared" si="29"/>
        <v>45891</v>
      </c>
      <c r="E297" s="188" t="s">
        <v>169</v>
      </c>
      <c r="F297" s="148" t="s">
        <v>482</v>
      </c>
      <c r="G297" s="152" t="s">
        <v>461</v>
      </c>
      <c r="H297" s="157"/>
    </row>
    <row r="298" spans="1:8" ht="6" customHeight="1" thickBot="1" x14ac:dyDescent="0.3">
      <c r="A298"/>
      <c r="F298"/>
      <c r="G298"/>
      <c r="H298"/>
    </row>
    <row r="299" spans="1:8" ht="15" customHeight="1" x14ac:dyDescent="0.25">
      <c r="A299" s="746" t="s">
        <v>536</v>
      </c>
      <c r="C299" s="52" t="s">
        <v>161</v>
      </c>
      <c r="D299" s="53">
        <f>D297+3</f>
        <v>45894</v>
      </c>
      <c r="E299" s="187" t="s">
        <v>162</v>
      </c>
      <c r="F299" s="183" t="s">
        <v>482</v>
      </c>
      <c r="G299" s="301" t="s">
        <v>462</v>
      </c>
      <c r="H299" s="150"/>
    </row>
    <row r="300" spans="1:8" x14ac:dyDescent="0.25">
      <c r="A300" s="750"/>
      <c r="C300" s="43" t="s">
        <v>161</v>
      </c>
      <c r="D300" s="21">
        <f t="shared" ref="D300:D307" si="30">D299</f>
        <v>45894</v>
      </c>
      <c r="E300" s="186" t="s">
        <v>163</v>
      </c>
      <c r="F300" s="184" t="s">
        <v>482</v>
      </c>
      <c r="G300" s="153" t="s">
        <v>462</v>
      </c>
      <c r="H300" s="151"/>
    </row>
    <row r="301" spans="1:8" x14ac:dyDescent="0.25">
      <c r="A301" s="750"/>
      <c r="C301" s="43" t="s">
        <v>161</v>
      </c>
      <c r="D301" s="21">
        <f t="shared" si="30"/>
        <v>45894</v>
      </c>
      <c r="E301" s="186" t="s">
        <v>164</v>
      </c>
      <c r="F301" s="184" t="s">
        <v>482</v>
      </c>
      <c r="G301" s="153" t="s">
        <v>462</v>
      </c>
      <c r="H301" s="151"/>
    </row>
    <row r="302" spans="1:8" x14ac:dyDescent="0.25">
      <c r="A302" s="750"/>
      <c r="C302" s="43" t="s">
        <v>161</v>
      </c>
      <c r="D302" s="21">
        <f t="shared" si="30"/>
        <v>45894</v>
      </c>
      <c r="E302" s="186" t="s">
        <v>165</v>
      </c>
      <c r="F302" s="184" t="s">
        <v>482</v>
      </c>
      <c r="G302" s="153" t="s">
        <v>462</v>
      </c>
      <c r="H302" s="151"/>
    </row>
    <row r="303" spans="1:8" x14ac:dyDescent="0.25">
      <c r="A303" s="750"/>
      <c r="C303" s="43" t="s">
        <v>161</v>
      </c>
      <c r="D303" s="21">
        <f t="shared" si="30"/>
        <v>45894</v>
      </c>
      <c r="E303" s="186" t="s">
        <v>166</v>
      </c>
      <c r="F303" s="184" t="s">
        <v>482</v>
      </c>
      <c r="G303" s="153" t="s">
        <v>462</v>
      </c>
      <c r="H303" s="151"/>
    </row>
    <row r="304" spans="1:8" x14ac:dyDescent="0.25">
      <c r="A304" s="750"/>
      <c r="C304" s="43" t="s">
        <v>161</v>
      </c>
      <c r="D304" s="21">
        <f t="shared" si="30"/>
        <v>45894</v>
      </c>
      <c r="E304" s="186" t="s">
        <v>167</v>
      </c>
      <c r="F304" s="184" t="s">
        <v>482</v>
      </c>
      <c r="G304" s="153" t="s">
        <v>462</v>
      </c>
      <c r="H304" s="151"/>
    </row>
    <row r="305" spans="1:19" x14ac:dyDescent="0.25">
      <c r="A305" s="750"/>
      <c r="C305" s="43" t="s">
        <v>161</v>
      </c>
      <c r="D305" s="21">
        <f t="shared" si="30"/>
        <v>45894</v>
      </c>
      <c r="E305" s="186" t="s">
        <v>167</v>
      </c>
      <c r="F305" s="184" t="s">
        <v>482</v>
      </c>
      <c r="G305" s="153" t="s">
        <v>462</v>
      </c>
      <c r="H305" s="151"/>
    </row>
    <row r="306" spans="1:19" x14ac:dyDescent="0.25">
      <c r="A306" s="750"/>
      <c r="C306" s="43" t="s">
        <v>161</v>
      </c>
      <c r="D306" s="21">
        <f t="shared" si="30"/>
        <v>45894</v>
      </c>
      <c r="E306" s="186" t="s">
        <v>169</v>
      </c>
      <c r="F306" s="184" t="s">
        <v>482</v>
      </c>
      <c r="G306" s="153" t="s">
        <v>462</v>
      </c>
      <c r="H306" s="151"/>
    </row>
    <row r="307" spans="1:19" ht="15.75" thickBot="1" x14ac:dyDescent="0.3">
      <c r="A307" s="750"/>
      <c r="C307" s="47" t="s">
        <v>161</v>
      </c>
      <c r="D307" s="48">
        <f t="shared" si="30"/>
        <v>45894</v>
      </c>
      <c r="E307" s="188" t="s">
        <v>170</v>
      </c>
      <c r="F307" s="185" t="s">
        <v>482</v>
      </c>
      <c r="G307" s="154" t="s">
        <v>462</v>
      </c>
      <c r="H307" s="152"/>
    </row>
    <row r="308" spans="1:19" ht="6" customHeight="1" thickBot="1" x14ac:dyDescent="0.3">
      <c r="A308" s="750"/>
      <c r="B308" s="111"/>
      <c r="C308" s="111"/>
      <c r="D308" s="111"/>
      <c r="E308" s="111"/>
      <c r="F308" s="122"/>
      <c r="G308" s="122"/>
      <c r="I308" s="111"/>
      <c r="J308" s="111"/>
      <c r="K308" s="111"/>
      <c r="L308" s="111"/>
      <c r="M308" s="111"/>
      <c r="N308" s="111"/>
      <c r="O308" s="111"/>
      <c r="P308" s="111"/>
      <c r="Q308" s="111"/>
      <c r="R308" s="111"/>
      <c r="S308" s="111"/>
    </row>
    <row r="309" spans="1:19" x14ac:dyDescent="0.25">
      <c r="A309" s="750"/>
      <c r="C309" s="52" t="s">
        <v>171</v>
      </c>
      <c r="D309" s="53">
        <f>D307+1</f>
        <v>45895</v>
      </c>
      <c r="E309" s="187" t="s">
        <v>162</v>
      </c>
      <c r="F309" s="149" t="s">
        <v>482</v>
      </c>
      <c r="G309" s="301" t="s">
        <v>462</v>
      </c>
      <c r="H309" s="150"/>
    </row>
    <row r="310" spans="1:19" x14ac:dyDescent="0.25">
      <c r="A310" s="750"/>
      <c r="C310" s="43" t="s">
        <v>171</v>
      </c>
      <c r="D310" s="21">
        <f t="shared" ref="D310:D317" si="31">D309</f>
        <v>45895</v>
      </c>
      <c r="E310" s="186" t="s">
        <v>163</v>
      </c>
      <c r="F310" s="184" t="s">
        <v>482</v>
      </c>
      <c r="G310" s="153" t="s">
        <v>462</v>
      </c>
      <c r="H310" s="151"/>
    </row>
    <row r="311" spans="1:19" x14ac:dyDescent="0.25">
      <c r="A311" s="750"/>
      <c r="C311" s="43" t="s">
        <v>171</v>
      </c>
      <c r="D311" s="21">
        <f t="shared" si="31"/>
        <v>45895</v>
      </c>
      <c r="E311" s="186" t="s">
        <v>164</v>
      </c>
      <c r="F311" s="184" t="s">
        <v>482</v>
      </c>
      <c r="G311" s="153" t="s">
        <v>462</v>
      </c>
      <c r="H311" s="151"/>
    </row>
    <row r="312" spans="1:19" x14ac:dyDescent="0.25">
      <c r="A312" s="750"/>
      <c r="C312" s="43" t="s">
        <v>171</v>
      </c>
      <c r="D312" s="21">
        <f t="shared" si="31"/>
        <v>45895</v>
      </c>
      <c r="E312" s="186" t="s">
        <v>165</v>
      </c>
      <c r="F312" s="184" t="s">
        <v>482</v>
      </c>
      <c r="G312" s="153" t="s">
        <v>462</v>
      </c>
      <c r="H312" s="151"/>
    </row>
    <row r="313" spans="1:19" x14ac:dyDescent="0.25">
      <c r="A313" s="750"/>
      <c r="C313" s="43" t="s">
        <v>171</v>
      </c>
      <c r="D313" s="21">
        <f t="shared" si="31"/>
        <v>45895</v>
      </c>
      <c r="E313" s="186" t="s">
        <v>166</v>
      </c>
      <c r="F313" s="184" t="s">
        <v>482</v>
      </c>
      <c r="G313" s="153" t="s">
        <v>462</v>
      </c>
      <c r="H313" s="151"/>
    </row>
    <row r="314" spans="1:19" x14ac:dyDescent="0.25">
      <c r="A314" s="750"/>
      <c r="C314" s="43" t="s">
        <v>171</v>
      </c>
      <c r="D314" s="21">
        <f t="shared" si="31"/>
        <v>45895</v>
      </c>
      <c r="E314" s="186" t="s">
        <v>167</v>
      </c>
      <c r="F314" s="184" t="s">
        <v>482</v>
      </c>
      <c r="G314" s="153" t="s">
        <v>462</v>
      </c>
      <c r="H314" s="151"/>
    </row>
    <row r="315" spans="1:19" x14ac:dyDescent="0.25">
      <c r="A315" s="750"/>
      <c r="C315" s="43" t="s">
        <v>171</v>
      </c>
      <c r="D315" s="21">
        <f t="shared" si="31"/>
        <v>45895</v>
      </c>
      <c r="E315" s="186" t="s">
        <v>168</v>
      </c>
      <c r="F315" s="184" t="s">
        <v>482</v>
      </c>
      <c r="G315" s="153" t="s">
        <v>462</v>
      </c>
      <c r="H315" s="151"/>
    </row>
    <row r="316" spans="1:19" x14ac:dyDescent="0.25">
      <c r="A316" s="750"/>
      <c r="C316" s="43" t="s">
        <v>171</v>
      </c>
      <c r="D316" s="21">
        <f t="shared" si="31"/>
        <v>45895</v>
      </c>
      <c r="E316" s="186" t="s">
        <v>169</v>
      </c>
      <c r="F316" s="184" t="s">
        <v>482</v>
      </c>
      <c r="G316" s="153" t="s">
        <v>462</v>
      </c>
      <c r="H316" s="151"/>
    </row>
    <row r="317" spans="1:19" ht="15.75" thickBot="1" x14ac:dyDescent="0.3">
      <c r="A317" s="750"/>
      <c r="C317" s="47" t="s">
        <v>171</v>
      </c>
      <c r="D317" s="48">
        <f t="shared" si="31"/>
        <v>45895</v>
      </c>
      <c r="E317" s="188" t="s">
        <v>170</v>
      </c>
      <c r="F317" s="185" t="s">
        <v>482</v>
      </c>
      <c r="G317" s="154" t="s">
        <v>462</v>
      </c>
      <c r="H317" s="152"/>
    </row>
    <row r="318" spans="1:19" ht="6" customHeight="1" thickBot="1" x14ac:dyDescent="0.3">
      <c r="A318" s="750"/>
      <c r="B318" s="111"/>
      <c r="C318" s="111"/>
      <c r="D318" s="111"/>
      <c r="E318" s="111"/>
      <c r="F318" s="122"/>
      <c r="G318" s="122"/>
      <c r="I318" s="111"/>
      <c r="J318" s="111"/>
      <c r="K318" s="111"/>
      <c r="L318" s="111"/>
      <c r="M318" s="111"/>
      <c r="N318" s="111"/>
      <c r="O318" s="111"/>
      <c r="P318" s="111"/>
      <c r="Q318" s="111"/>
      <c r="R318" s="111"/>
      <c r="S318" s="111"/>
    </row>
    <row r="319" spans="1:19" x14ac:dyDescent="0.25">
      <c r="A319" s="750"/>
      <c r="C319" s="52" t="s">
        <v>172</v>
      </c>
      <c r="D319" s="53">
        <f>D317+1</f>
        <v>45896</v>
      </c>
      <c r="E319" s="187" t="s">
        <v>162</v>
      </c>
      <c r="F319" s="183" t="s">
        <v>482</v>
      </c>
      <c r="G319" s="150" t="s">
        <v>462</v>
      </c>
      <c r="H319" s="150"/>
    </row>
    <row r="320" spans="1:19" x14ac:dyDescent="0.25">
      <c r="A320" s="750"/>
      <c r="C320" s="43" t="s">
        <v>172</v>
      </c>
      <c r="D320" s="21">
        <f t="shared" ref="D320:D327" si="32">D319</f>
        <v>45896</v>
      </c>
      <c r="E320" s="186" t="s">
        <v>163</v>
      </c>
      <c r="F320" s="184" t="s">
        <v>482</v>
      </c>
      <c r="G320" s="153" t="s">
        <v>462</v>
      </c>
      <c r="H320" s="151"/>
    </row>
    <row r="321" spans="1:19" x14ac:dyDescent="0.25">
      <c r="A321" s="750"/>
      <c r="C321" s="43" t="s">
        <v>172</v>
      </c>
      <c r="D321" s="21">
        <f t="shared" si="32"/>
        <v>45896</v>
      </c>
      <c r="E321" s="186" t="s">
        <v>164</v>
      </c>
      <c r="F321" s="184" t="s">
        <v>482</v>
      </c>
      <c r="G321" s="153" t="s">
        <v>462</v>
      </c>
      <c r="H321" s="151"/>
    </row>
    <row r="322" spans="1:19" x14ac:dyDescent="0.25">
      <c r="A322" s="750"/>
      <c r="C322" s="43" t="s">
        <v>172</v>
      </c>
      <c r="D322" s="21">
        <f t="shared" si="32"/>
        <v>45896</v>
      </c>
      <c r="E322" s="186" t="s">
        <v>165</v>
      </c>
      <c r="F322" s="184" t="s">
        <v>482</v>
      </c>
      <c r="G322" s="153" t="s">
        <v>462</v>
      </c>
      <c r="H322" s="151"/>
    </row>
    <row r="323" spans="1:19" x14ac:dyDescent="0.25">
      <c r="A323" s="750"/>
      <c r="C323" s="43" t="s">
        <v>172</v>
      </c>
      <c r="D323" s="21">
        <f t="shared" si="32"/>
        <v>45896</v>
      </c>
      <c r="E323" s="186" t="s">
        <v>166</v>
      </c>
      <c r="F323" s="184" t="s">
        <v>483</v>
      </c>
      <c r="G323" s="153" t="s">
        <v>462</v>
      </c>
      <c r="H323" s="151"/>
    </row>
    <row r="324" spans="1:19" x14ac:dyDescent="0.25">
      <c r="A324" s="750"/>
      <c r="C324" s="43" t="s">
        <v>172</v>
      </c>
      <c r="D324" s="21">
        <f t="shared" si="32"/>
        <v>45896</v>
      </c>
      <c r="E324" s="186" t="s">
        <v>167</v>
      </c>
      <c r="F324" s="184" t="s">
        <v>483</v>
      </c>
      <c r="G324" s="153" t="s">
        <v>462</v>
      </c>
      <c r="H324" s="151"/>
    </row>
    <row r="325" spans="1:19" x14ac:dyDescent="0.25">
      <c r="A325" s="750"/>
      <c r="C325" s="43" t="s">
        <v>172</v>
      </c>
      <c r="D325" s="21">
        <f t="shared" si="32"/>
        <v>45896</v>
      </c>
      <c r="E325" s="186" t="s">
        <v>168</v>
      </c>
      <c r="F325" s="184" t="s">
        <v>483</v>
      </c>
      <c r="G325" s="153" t="s">
        <v>462</v>
      </c>
      <c r="H325" s="151"/>
    </row>
    <row r="326" spans="1:19" x14ac:dyDescent="0.25">
      <c r="A326" s="750"/>
      <c r="C326" s="43" t="s">
        <v>172</v>
      </c>
      <c r="D326" s="21">
        <f t="shared" si="32"/>
        <v>45896</v>
      </c>
      <c r="E326" s="186" t="s">
        <v>169</v>
      </c>
      <c r="F326" s="184" t="s">
        <v>483</v>
      </c>
      <c r="G326" s="153" t="s">
        <v>462</v>
      </c>
      <c r="H326" s="151"/>
    </row>
    <row r="327" spans="1:19" ht="15.75" thickBot="1" x14ac:dyDescent="0.3">
      <c r="A327" s="750"/>
      <c r="C327" s="47" t="s">
        <v>172</v>
      </c>
      <c r="D327" s="48">
        <f t="shared" si="32"/>
        <v>45896</v>
      </c>
      <c r="E327" s="188" t="s">
        <v>170</v>
      </c>
      <c r="F327" s="185" t="s">
        <v>483</v>
      </c>
      <c r="G327" s="154" t="s">
        <v>462</v>
      </c>
      <c r="H327" s="152"/>
    </row>
    <row r="328" spans="1:19" ht="6" customHeight="1" thickBot="1" x14ac:dyDescent="0.3">
      <c r="A328" s="750"/>
      <c r="B328" s="111"/>
      <c r="C328" s="111"/>
      <c r="D328" s="111"/>
      <c r="E328" s="111"/>
      <c r="F328" s="122"/>
      <c r="G328" s="122"/>
      <c r="I328" s="111"/>
      <c r="J328" s="111"/>
      <c r="K328" s="111"/>
      <c r="L328" s="111"/>
      <c r="M328" s="111"/>
      <c r="N328" s="111"/>
      <c r="O328" s="111"/>
      <c r="P328" s="111"/>
      <c r="Q328" s="111"/>
      <c r="R328" s="111"/>
      <c r="S328" s="111"/>
    </row>
    <row r="329" spans="1:19" x14ac:dyDescent="0.25">
      <c r="A329" s="750"/>
      <c r="C329" s="52" t="s">
        <v>173</v>
      </c>
      <c r="D329" s="53">
        <f>D327+1</f>
        <v>45897</v>
      </c>
      <c r="E329" s="187" t="s">
        <v>162</v>
      </c>
      <c r="F329" s="183" t="s">
        <v>483</v>
      </c>
      <c r="G329" s="301"/>
      <c r="H329" s="150"/>
    </row>
    <row r="330" spans="1:19" x14ac:dyDescent="0.25">
      <c r="A330" s="750"/>
      <c r="C330" s="43" t="s">
        <v>173</v>
      </c>
      <c r="D330" s="21">
        <f t="shared" ref="D330:D337" si="33">D329</f>
        <v>45897</v>
      </c>
      <c r="E330" s="186" t="s">
        <v>163</v>
      </c>
      <c r="F330" s="184" t="s">
        <v>483</v>
      </c>
      <c r="G330" s="153"/>
      <c r="H330" s="151"/>
    </row>
    <row r="331" spans="1:19" x14ac:dyDescent="0.25">
      <c r="A331" s="750"/>
      <c r="C331" s="43" t="s">
        <v>173</v>
      </c>
      <c r="D331" s="21">
        <f t="shared" si="33"/>
        <v>45897</v>
      </c>
      <c r="E331" s="186" t="s">
        <v>164</v>
      </c>
      <c r="F331" s="184" t="s">
        <v>483</v>
      </c>
      <c r="G331" s="153"/>
      <c r="H331" s="151"/>
    </row>
    <row r="332" spans="1:19" x14ac:dyDescent="0.25">
      <c r="A332" s="750"/>
      <c r="C332" s="43" t="s">
        <v>173</v>
      </c>
      <c r="D332" s="21">
        <f t="shared" si="33"/>
        <v>45897</v>
      </c>
      <c r="E332" s="186" t="s">
        <v>165</v>
      </c>
      <c r="F332" s="184" t="s">
        <v>483</v>
      </c>
      <c r="G332" s="153"/>
      <c r="H332" s="151"/>
    </row>
    <row r="333" spans="1:19" x14ac:dyDescent="0.25">
      <c r="A333" s="750"/>
      <c r="C333" s="43" t="s">
        <v>173</v>
      </c>
      <c r="D333" s="21">
        <f t="shared" si="33"/>
        <v>45897</v>
      </c>
      <c r="E333" s="186" t="s">
        <v>166</v>
      </c>
      <c r="F333" s="184" t="s">
        <v>483</v>
      </c>
      <c r="G333" s="153"/>
      <c r="H333" s="151"/>
    </row>
    <row r="334" spans="1:19" x14ac:dyDescent="0.25">
      <c r="A334" s="750"/>
      <c r="C334" s="43" t="s">
        <v>173</v>
      </c>
      <c r="D334" s="21">
        <f t="shared" si="33"/>
        <v>45897</v>
      </c>
      <c r="E334" s="186" t="s">
        <v>167</v>
      </c>
      <c r="F334" s="184" t="s">
        <v>483</v>
      </c>
      <c r="G334" s="153"/>
      <c r="H334" s="151"/>
    </row>
    <row r="335" spans="1:19" x14ac:dyDescent="0.25">
      <c r="A335" s="750"/>
      <c r="C335" s="43" t="s">
        <v>173</v>
      </c>
      <c r="D335" s="21">
        <f t="shared" si="33"/>
        <v>45897</v>
      </c>
      <c r="E335" s="186" t="s">
        <v>168</v>
      </c>
      <c r="F335" s="184" t="s">
        <v>483</v>
      </c>
      <c r="G335" s="153"/>
      <c r="H335" s="151"/>
    </row>
    <row r="336" spans="1:19" x14ac:dyDescent="0.25">
      <c r="A336" s="750"/>
      <c r="C336" s="43" t="s">
        <v>173</v>
      </c>
      <c r="D336" s="21">
        <f t="shared" si="33"/>
        <v>45897</v>
      </c>
      <c r="E336" s="186" t="s">
        <v>169</v>
      </c>
      <c r="F336" s="184" t="s">
        <v>483</v>
      </c>
      <c r="G336" s="153"/>
      <c r="H336" s="151"/>
    </row>
    <row r="337" spans="1:19" ht="15.75" thickBot="1" x14ac:dyDescent="0.3">
      <c r="A337" s="750"/>
      <c r="C337" s="47" t="s">
        <v>173</v>
      </c>
      <c r="D337" s="48">
        <f t="shared" si="33"/>
        <v>45897</v>
      </c>
      <c r="E337" s="188" t="s">
        <v>170</v>
      </c>
      <c r="F337" s="185" t="s">
        <v>483</v>
      </c>
      <c r="G337" s="154"/>
      <c r="H337" s="152"/>
    </row>
    <row r="338" spans="1:19" ht="6" customHeight="1" thickBot="1" x14ac:dyDescent="0.3">
      <c r="A338" s="750"/>
      <c r="B338" s="111"/>
      <c r="I338" s="111"/>
      <c r="J338" s="111"/>
      <c r="K338" s="111"/>
      <c r="L338" s="111"/>
      <c r="M338" s="111"/>
      <c r="N338" s="111"/>
      <c r="O338" s="111"/>
      <c r="P338" s="111"/>
      <c r="Q338" s="111"/>
      <c r="R338" s="111"/>
      <c r="S338" s="111"/>
    </row>
    <row r="339" spans="1:19" x14ac:dyDescent="0.25">
      <c r="A339" s="750"/>
      <c r="C339" s="52" t="s">
        <v>174</v>
      </c>
      <c r="D339" s="53">
        <f>D337+1</f>
        <v>45898</v>
      </c>
      <c r="E339" s="187" t="s">
        <v>162</v>
      </c>
      <c r="F339" s="149" t="s">
        <v>483</v>
      </c>
      <c r="G339" s="301"/>
      <c r="H339" s="150"/>
    </row>
    <row r="340" spans="1:19" x14ac:dyDescent="0.25">
      <c r="A340" s="750"/>
      <c r="C340" s="43" t="s">
        <v>174</v>
      </c>
      <c r="D340" s="21">
        <f t="shared" ref="D340:D346" si="34">D339</f>
        <v>45898</v>
      </c>
      <c r="E340" s="186" t="s">
        <v>163</v>
      </c>
      <c r="F340" s="147" t="s">
        <v>483</v>
      </c>
      <c r="G340" s="153"/>
      <c r="H340" s="151"/>
    </row>
    <row r="341" spans="1:19" x14ac:dyDescent="0.25">
      <c r="A341" s="750"/>
      <c r="C341" s="43" t="s">
        <v>174</v>
      </c>
      <c r="D341" s="21">
        <f t="shared" si="34"/>
        <v>45898</v>
      </c>
      <c r="E341" s="186" t="s">
        <v>164</v>
      </c>
      <c r="F341" s="147" t="s">
        <v>483</v>
      </c>
      <c r="G341" s="153"/>
      <c r="H341" s="151"/>
    </row>
    <row r="342" spans="1:19" x14ac:dyDescent="0.25">
      <c r="A342" s="750"/>
      <c r="C342" s="43" t="s">
        <v>174</v>
      </c>
      <c r="D342" s="21">
        <f t="shared" si="34"/>
        <v>45898</v>
      </c>
      <c r="E342" s="186" t="s">
        <v>165</v>
      </c>
      <c r="F342" s="147" t="s">
        <v>483</v>
      </c>
      <c r="G342" s="153"/>
      <c r="H342" s="151"/>
    </row>
    <row r="343" spans="1:19" x14ac:dyDescent="0.25">
      <c r="A343" s="750"/>
      <c r="C343" s="43" t="s">
        <v>174</v>
      </c>
      <c r="D343" s="21">
        <f t="shared" si="34"/>
        <v>45898</v>
      </c>
      <c r="E343" s="186" t="s">
        <v>166</v>
      </c>
      <c r="F343" s="147" t="s">
        <v>483</v>
      </c>
      <c r="G343" s="153"/>
      <c r="H343" s="151"/>
    </row>
    <row r="344" spans="1:19" x14ac:dyDescent="0.25">
      <c r="A344" s="750"/>
      <c r="C344" s="43" t="s">
        <v>174</v>
      </c>
      <c r="D344" s="21">
        <f t="shared" si="34"/>
        <v>45898</v>
      </c>
      <c r="E344" s="186" t="s">
        <v>167</v>
      </c>
      <c r="F344" s="147" t="s">
        <v>483</v>
      </c>
      <c r="G344" s="153"/>
      <c r="H344" s="151"/>
    </row>
    <row r="345" spans="1:19" x14ac:dyDescent="0.25">
      <c r="A345" s="750"/>
      <c r="C345" s="43" t="s">
        <v>174</v>
      </c>
      <c r="D345" s="21">
        <f t="shared" si="34"/>
        <v>45898</v>
      </c>
      <c r="E345" s="186" t="s">
        <v>168</v>
      </c>
      <c r="F345" s="147" t="s">
        <v>483</v>
      </c>
      <c r="G345" s="153"/>
      <c r="H345" s="151"/>
    </row>
    <row r="346" spans="1:19" ht="15.75" thickBot="1" x14ac:dyDescent="0.3">
      <c r="A346" s="751"/>
      <c r="C346" s="47" t="s">
        <v>174</v>
      </c>
      <c r="D346" s="48">
        <f t="shared" si="34"/>
        <v>45898</v>
      </c>
      <c r="E346" s="188" t="s">
        <v>169</v>
      </c>
      <c r="F346" s="148" t="s">
        <v>483</v>
      </c>
      <c r="G346" s="154"/>
      <c r="H346" s="152"/>
    </row>
    <row r="347" spans="1:19" ht="6" customHeight="1" thickBot="1" x14ac:dyDescent="0.3">
      <c r="A347" s="129" t="s">
        <v>310</v>
      </c>
      <c r="B347" s="111"/>
      <c r="C347" s="111"/>
      <c r="D347" s="111"/>
      <c r="E347" s="111"/>
      <c r="F347" s="122"/>
      <c r="G347" s="122"/>
      <c r="I347" s="111"/>
      <c r="J347" s="111"/>
      <c r="K347" s="111"/>
      <c r="L347" s="111"/>
      <c r="M347" s="111"/>
      <c r="N347" s="111"/>
      <c r="O347" s="111"/>
      <c r="P347" s="111"/>
      <c r="Q347" s="111"/>
      <c r="R347" s="111"/>
      <c r="S347" s="111"/>
    </row>
    <row r="348" spans="1:19" x14ac:dyDescent="0.25">
      <c r="A348" s="746" t="s">
        <v>534</v>
      </c>
      <c r="C348" s="52" t="s">
        <v>161</v>
      </c>
      <c r="D348" s="53">
        <f>D346+3</f>
        <v>45901</v>
      </c>
      <c r="E348" s="187" t="s">
        <v>162</v>
      </c>
      <c r="F348" s="183" t="s">
        <v>483</v>
      </c>
      <c r="G348" s="301"/>
      <c r="H348" s="150"/>
    </row>
    <row r="349" spans="1:19" x14ac:dyDescent="0.25">
      <c r="A349" s="750"/>
      <c r="C349" s="43" t="s">
        <v>161</v>
      </c>
      <c r="D349" s="21">
        <f t="shared" ref="D349:D356" si="35">D348</f>
        <v>45901</v>
      </c>
      <c r="E349" s="186" t="s">
        <v>163</v>
      </c>
      <c r="F349" s="184" t="s">
        <v>483</v>
      </c>
      <c r="G349" s="153"/>
      <c r="H349" s="151"/>
    </row>
    <row r="350" spans="1:19" x14ac:dyDescent="0.25">
      <c r="A350" s="750"/>
      <c r="C350" s="43" t="s">
        <v>161</v>
      </c>
      <c r="D350" s="21">
        <f t="shared" si="35"/>
        <v>45901</v>
      </c>
      <c r="E350" s="186" t="s">
        <v>164</v>
      </c>
      <c r="F350" s="184" t="s">
        <v>484</v>
      </c>
      <c r="G350" s="153"/>
      <c r="H350" s="151"/>
    </row>
    <row r="351" spans="1:19" x14ac:dyDescent="0.25">
      <c r="A351" s="750"/>
      <c r="C351" s="43" t="s">
        <v>161</v>
      </c>
      <c r="D351" s="21">
        <f t="shared" si="35"/>
        <v>45901</v>
      </c>
      <c r="E351" s="186" t="s">
        <v>165</v>
      </c>
      <c r="F351" s="184" t="s">
        <v>484</v>
      </c>
      <c r="G351" s="153"/>
      <c r="H351" s="151"/>
    </row>
    <row r="352" spans="1:19" x14ac:dyDescent="0.25">
      <c r="A352" s="750"/>
      <c r="C352" s="43" t="s">
        <v>161</v>
      </c>
      <c r="D352" s="21">
        <f t="shared" si="35"/>
        <v>45901</v>
      </c>
      <c r="E352" s="186" t="s">
        <v>166</v>
      </c>
      <c r="F352" s="184" t="s">
        <v>484</v>
      </c>
      <c r="G352" s="153"/>
      <c r="H352" s="151"/>
    </row>
    <row r="353" spans="1:19" x14ac:dyDescent="0.25">
      <c r="A353" s="750"/>
      <c r="C353" s="43" t="s">
        <v>161</v>
      </c>
      <c r="D353" s="21">
        <f t="shared" si="35"/>
        <v>45901</v>
      </c>
      <c r="E353" s="186" t="s">
        <v>167</v>
      </c>
      <c r="F353" s="184" t="s">
        <v>484</v>
      </c>
      <c r="G353" s="153"/>
      <c r="H353" s="151"/>
    </row>
    <row r="354" spans="1:19" x14ac:dyDescent="0.25">
      <c r="A354" s="750"/>
      <c r="C354" s="43" t="s">
        <v>161</v>
      </c>
      <c r="D354" s="21">
        <f t="shared" si="35"/>
        <v>45901</v>
      </c>
      <c r="E354" s="186" t="s">
        <v>167</v>
      </c>
      <c r="F354" s="184" t="s">
        <v>484</v>
      </c>
      <c r="G354" s="153"/>
      <c r="H354" s="151"/>
    </row>
    <row r="355" spans="1:19" x14ac:dyDescent="0.25">
      <c r="A355" s="750"/>
      <c r="C355" s="43" t="s">
        <v>161</v>
      </c>
      <c r="D355" s="21">
        <f t="shared" si="35"/>
        <v>45901</v>
      </c>
      <c r="E355" s="186" t="s">
        <v>169</v>
      </c>
      <c r="F355" s="184" t="s">
        <v>484</v>
      </c>
      <c r="G355" s="153"/>
      <c r="H355" s="151"/>
    </row>
    <row r="356" spans="1:19" ht="15.75" thickBot="1" x14ac:dyDescent="0.3">
      <c r="A356" s="750"/>
      <c r="C356" s="47" t="s">
        <v>161</v>
      </c>
      <c r="D356" s="48">
        <f t="shared" si="35"/>
        <v>45901</v>
      </c>
      <c r="E356" s="188" t="s">
        <v>170</v>
      </c>
      <c r="F356" s="185" t="s">
        <v>484</v>
      </c>
      <c r="G356" s="154"/>
      <c r="H356" s="152"/>
    </row>
    <row r="357" spans="1:19" ht="6" customHeight="1" thickBot="1" x14ac:dyDescent="0.3">
      <c r="A357" s="750"/>
      <c r="B357" s="111"/>
      <c r="C357" s="111"/>
      <c r="D357" s="111"/>
      <c r="E357" s="111"/>
      <c r="F357" s="122"/>
      <c r="G357" s="122"/>
      <c r="I357" s="111"/>
      <c r="J357" s="111"/>
      <c r="K357" s="111"/>
      <c r="L357" s="111"/>
      <c r="M357" s="111"/>
      <c r="N357" s="111"/>
      <c r="O357" s="111"/>
      <c r="P357" s="111"/>
      <c r="Q357" s="111"/>
      <c r="R357" s="111"/>
      <c r="S357" s="111"/>
    </row>
    <row r="358" spans="1:19" x14ac:dyDescent="0.25">
      <c r="A358" s="750"/>
      <c r="C358" s="52" t="s">
        <v>171</v>
      </c>
      <c r="D358" s="53">
        <f>D356+1</f>
        <v>45902</v>
      </c>
      <c r="E358" s="187" t="s">
        <v>162</v>
      </c>
      <c r="F358" s="149" t="s">
        <v>484</v>
      </c>
      <c r="G358" s="301"/>
      <c r="H358" s="150"/>
    </row>
    <row r="359" spans="1:19" x14ac:dyDescent="0.25">
      <c r="A359" s="750"/>
      <c r="C359" s="43" t="s">
        <v>171</v>
      </c>
      <c r="D359" s="21">
        <f t="shared" ref="D359:D366" si="36">D358</f>
        <v>45902</v>
      </c>
      <c r="E359" s="186" t="s">
        <v>163</v>
      </c>
      <c r="F359" s="184" t="s">
        <v>484</v>
      </c>
      <c r="G359" s="153"/>
      <c r="H359" s="151"/>
    </row>
    <row r="360" spans="1:19" x14ac:dyDescent="0.25">
      <c r="A360" s="750"/>
      <c r="C360" s="43" t="s">
        <v>171</v>
      </c>
      <c r="D360" s="21">
        <f t="shared" si="36"/>
        <v>45902</v>
      </c>
      <c r="E360" s="186" t="s">
        <v>164</v>
      </c>
      <c r="F360" s="184" t="s">
        <v>484</v>
      </c>
      <c r="G360" s="153"/>
      <c r="H360" s="151"/>
    </row>
    <row r="361" spans="1:19" x14ac:dyDescent="0.25">
      <c r="A361" s="750"/>
      <c r="C361" s="43" t="s">
        <v>171</v>
      </c>
      <c r="D361" s="21">
        <f t="shared" si="36"/>
        <v>45902</v>
      </c>
      <c r="E361" s="186" t="s">
        <v>165</v>
      </c>
      <c r="F361" s="184" t="s">
        <v>484</v>
      </c>
      <c r="G361" s="153"/>
      <c r="H361" s="151"/>
    </row>
    <row r="362" spans="1:19" x14ac:dyDescent="0.25">
      <c r="A362" s="750"/>
      <c r="C362" s="43" t="s">
        <v>171</v>
      </c>
      <c r="D362" s="21">
        <f t="shared" si="36"/>
        <v>45902</v>
      </c>
      <c r="E362" s="186" t="s">
        <v>166</v>
      </c>
      <c r="F362" s="184" t="s">
        <v>484</v>
      </c>
      <c r="G362" s="153"/>
      <c r="H362" s="151"/>
    </row>
    <row r="363" spans="1:19" x14ac:dyDescent="0.25">
      <c r="A363" s="750"/>
      <c r="C363" s="43" t="s">
        <v>171</v>
      </c>
      <c r="D363" s="21">
        <f t="shared" si="36"/>
        <v>45902</v>
      </c>
      <c r="E363" s="186" t="s">
        <v>167</v>
      </c>
      <c r="F363" s="184" t="s">
        <v>484</v>
      </c>
      <c r="G363" s="153"/>
      <c r="H363" s="151"/>
    </row>
    <row r="364" spans="1:19" x14ac:dyDescent="0.25">
      <c r="A364" s="750"/>
      <c r="C364" s="43" t="s">
        <v>171</v>
      </c>
      <c r="D364" s="21">
        <f t="shared" si="36"/>
        <v>45902</v>
      </c>
      <c r="E364" s="186" t="s">
        <v>168</v>
      </c>
      <c r="F364" s="184" t="s">
        <v>484</v>
      </c>
      <c r="G364" s="153"/>
      <c r="H364" s="151"/>
    </row>
    <row r="365" spans="1:19" x14ac:dyDescent="0.25">
      <c r="A365" s="750"/>
      <c r="C365" s="43" t="s">
        <v>171</v>
      </c>
      <c r="D365" s="21">
        <f t="shared" si="36"/>
        <v>45902</v>
      </c>
      <c r="E365" s="186" t="s">
        <v>169</v>
      </c>
      <c r="F365" s="184" t="s">
        <v>484</v>
      </c>
      <c r="G365" s="153"/>
      <c r="H365" s="151"/>
    </row>
    <row r="366" spans="1:19" ht="15.75" thickBot="1" x14ac:dyDescent="0.3">
      <c r="A366" s="750"/>
      <c r="C366" s="47" t="s">
        <v>171</v>
      </c>
      <c r="D366" s="48">
        <f t="shared" si="36"/>
        <v>45902</v>
      </c>
      <c r="E366" s="188" t="s">
        <v>170</v>
      </c>
      <c r="F366" s="185" t="s">
        <v>484</v>
      </c>
      <c r="G366" s="154"/>
      <c r="H366" s="152"/>
    </row>
    <row r="367" spans="1:19" ht="6" customHeight="1" thickBot="1" x14ac:dyDescent="0.3">
      <c r="A367" s="750"/>
      <c r="B367" s="111"/>
      <c r="C367" s="111"/>
      <c r="D367" s="111"/>
      <c r="E367" s="111"/>
      <c r="F367" s="122"/>
      <c r="G367" s="122"/>
      <c r="I367" s="111"/>
      <c r="J367" s="111"/>
      <c r="K367" s="111"/>
      <c r="L367" s="111"/>
      <c r="M367" s="111"/>
      <c r="N367" s="111"/>
      <c r="O367" s="111"/>
      <c r="P367" s="111"/>
      <c r="Q367" s="111"/>
      <c r="R367" s="111"/>
      <c r="S367" s="111"/>
    </row>
    <row r="368" spans="1:19" x14ac:dyDescent="0.25">
      <c r="A368" s="750"/>
      <c r="C368" s="52" t="s">
        <v>172</v>
      </c>
      <c r="D368" s="53">
        <f>D366+1</f>
        <v>45903</v>
      </c>
      <c r="E368" s="187" t="s">
        <v>162</v>
      </c>
      <c r="F368" s="183" t="s">
        <v>484</v>
      </c>
      <c r="G368" s="150"/>
      <c r="H368" s="150"/>
    </row>
    <row r="369" spans="1:19" x14ac:dyDescent="0.25">
      <c r="A369" s="750"/>
      <c r="C369" s="43" t="s">
        <v>172</v>
      </c>
      <c r="D369" s="21">
        <f t="shared" ref="D369:D376" si="37">D368</f>
        <v>45903</v>
      </c>
      <c r="E369" s="186" t="s">
        <v>163</v>
      </c>
      <c r="F369" s="184" t="s">
        <v>484</v>
      </c>
      <c r="G369" s="153"/>
      <c r="H369" s="151"/>
    </row>
    <row r="370" spans="1:19" x14ac:dyDescent="0.25">
      <c r="A370" s="750"/>
      <c r="C370" s="43" t="s">
        <v>172</v>
      </c>
      <c r="D370" s="21">
        <f t="shared" si="37"/>
        <v>45903</v>
      </c>
      <c r="E370" s="186" t="s">
        <v>164</v>
      </c>
      <c r="F370" s="184" t="s">
        <v>484</v>
      </c>
      <c r="G370" s="153"/>
      <c r="H370" s="151"/>
    </row>
    <row r="371" spans="1:19" x14ac:dyDescent="0.25">
      <c r="A371" s="750"/>
      <c r="C371" s="43" t="s">
        <v>172</v>
      </c>
      <c r="D371" s="21">
        <f t="shared" si="37"/>
        <v>45903</v>
      </c>
      <c r="E371" s="186" t="s">
        <v>165</v>
      </c>
      <c r="F371" s="184" t="s">
        <v>484</v>
      </c>
      <c r="G371" s="153"/>
      <c r="H371" s="151"/>
    </row>
    <row r="372" spans="1:19" x14ac:dyDescent="0.25">
      <c r="A372" s="750"/>
      <c r="C372" s="43" t="s">
        <v>172</v>
      </c>
      <c r="D372" s="21">
        <f t="shared" si="37"/>
        <v>45903</v>
      </c>
      <c r="E372" s="186" t="s">
        <v>166</v>
      </c>
      <c r="F372" s="184" t="s">
        <v>484</v>
      </c>
      <c r="G372" s="153"/>
      <c r="H372" s="151"/>
    </row>
    <row r="373" spans="1:19" x14ac:dyDescent="0.25">
      <c r="A373" s="750"/>
      <c r="C373" s="43" t="s">
        <v>172</v>
      </c>
      <c r="D373" s="21">
        <f t="shared" si="37"/>
        <v>45903</v>
      </c>
      <c r="E373" s="186" t="s">
        <v>167</v>
      </c>
      <c r="F373" s="184" t="s">
        <v>484</v>
      </c>
      <c r="G373" s="153"/>
      <c r="H373" s="151"/>
    </row>
    <row r="374" spans="1:19" x14ac:dyDescent="0.25">
      <c r="A374" s="750"/>
      <c r="C374" s="43" t="s">
        <v>172</v>
      </c>
      <c r="D374" s="21">
        <f t="shared" si="37"/>
        <v>45903</v>
      </c>
      <c r="E374" s="186" t="s">
        <v>168</v>
      </c>
      <c r="F374" s="184" t="s">
        <v>484</v>
      </c>
      <c r="G374" s="153"/>
      <c r="H374" s="151"/>
    </row>
    <row r="375" spans="1:19" x14ac:dyDescent="0.25">
      <c r="A375" s="750"/>
      <c r="C375" s="43" t="s">
        <v>172</v>
      </c>
      <c r="D375" s="21">
        <f t="shared" si="37"/>
        <v>45903</v>
      </c>
      <c r="E375" s="186" t="s">
        <v>169</v>
      </c>
      <c r="F375" s="184" t="s">
        <v>484</v>
      </c>
      <c r="G375" s="153"/>
      <c r="H375" s="151"/>
    </row>
    <row r="376" spans="1:19" ht="15.75" thickBot="1" x14ac:dyDescent="0.3">
      <c r="A376" s="750"/>
      <c r="C376" s="47" t="s">
        <v>172</v>
      </c>
      <c r="D376" s="48">
        <f t="shared" si="37"/>
        <v>45903</v>
      </c>
      <c r="E376" s="188" t="s">
        <v>170</v>
      </c>
      <c r="F376" s="185" t="s">
        <v>484</v>
      </c>
      <c r="G376" s="154"/>
      <c r="H376" s="152"/>
    </row>
    <row r="377" spans="1:19" ht="6" customHeight="1" thickBot="1" x14ac:dyDescent="0.3">
      <c r="A377" s="750"/>
      <c r="B377" s="111"/>
      <c r="C377" s="111"/>
      <c r="D377" s="111"/>
      <c r="E377" s="111"/>
      <c r="F377" s="122"/>
      <c r="G377" s="122"/>
      <c r="I377" s="111"/>
      <c r="J377" s="111"/>
      <c r="K377" s="111"/>
      <c r="L377" s="111"/>
      <c r="M377" s="111"/>
      <c r="N377" s="111"/>
      <c r="O377" s="111"/>
      <c r="P377" s="111"/>
      <c r="Q377" s="111"/>
      <c r="R377" s="111"/>
      <c r="S377" s="111"/>
    </row>
    <row r="378" spans="1:19" x14ac:dyDescent="0.25">
      <c r="A378" s="750"/>
      <c r="C378" s="52" t="s">
        <v>173</v>
      </c>
      <c r="D378" s="53">
        <f>D376+1</f>
        <v>45904</v>
      </c>
      <c r="E378" s="187" t="s">
        <v>162</v>
      </c>
      <c r="F378" s="183" t="s">
        <v>485</v>
      </c>
      <c r="G378" s="301"/>
      <c r="H378" s="150"/>
    </row>
    <row r="379" spans="1:19" x14ac:dyDescent="0.25">
      <c r="A379" s="750"/>
      <c r="C379" s="43" t="s">
        <v>173</v>
      </c>
      <c r="D379" s="21">
        <f t="shared" ref="D379:D386" si="38">D378</f>
        <v>45904</v>
      </c>
      <c r="E379" s="186" t="s">
        <v>163</v>
      </c>
      <c r="F379" s="184" t="s">
        <v>485</v>
      </c>
      <c r="G379" s="153"/>
      <c r="H379" s="151"/>
    </row>
    <row r="380" spans="1:19" x14ac:dyDescent="0.25">
      <c r="A380" s="750"/>
      <c r="C380" s="43" t="s">
        <v>173</v>
      </c>
      <c r="D380" s="21">
        <f t="shared" si="38"/>
        <v>45904</v>
      </c>
      <c r="E380" s="186" t="s">
        <v>164</v>
      </c>
      <c r="F380" s="184" t="s">
        <v>485</v>
      </c>
      <c r="G380" s="153"/>
      <c r="H380" s="151"/>
    </row>
    <row r="381" spans="1:19" x14ac:dyDescent="0.25">
      <c r="A381" s="750"/>
      <c r="C381" s="43" t="s">
        <v>173</v>
      </c>
      <c r="D381" s="21">
        <f t="shared" si="38"/>
        <v>45904</v>
      </c>
      <c r="E381" s="186" t="s">
        <v>165</v>
      </c>
      <c r="F381" s="184" t="s">
        <v>485</v>
      </c>
      <c r="G381" s="153"/>
      <c r="H381" s="151"/>
    </row>
    <row r="382" spans="1:19" x14ac:dyDescent="0.25">
      <c r="A382" s="750"/>
      <c r="C382" s="43" t="s">
        <v>173</v>
      </c>
      <c r="D382" s="21">
        <f t="shared" si="38"/>
        <v>45904</v>
      </c>
      <c r="E382" s="186" t="s">
        <v>166</v>
      </c>
      <c r="F382" s="184" t="s">
        <v>485</v>
      </c>
      <c r="G382" s="153"/>
      <c r="H382" s="151"/>
    </row>
    <row r="383" spans="1:19" x14ac:dyDescent="0.25">
      <c r="A383" s="750"/>
      <c r="C383" s="43" t="s">
        <v>173</v>
      </c>
      <c r="D383" s="21">
        <f t="shared" si="38"/>
        <v>45904</v>
      </c>
      <c r="E383" s="186" t="s">
        <v>167</v>
      </c>
      <c r="F383" s="184" t="s">
        <v>485</v>
      </c>
      <c r="G383" s="153"/>
      <c r="H383" s="151"/>
    </row>
    <row r="384" spans="1:19" x14ac:dyDescent="0.25">
      <c r="A384" s="750"/>
      <c r="C384" s="43" t="s">
        <v>173</v>
      </c>
      <c r="D384" s="21">
        <f t="shared" si="38"/>
        <v>45904</v>
      </c>
      <c r="E384" s="186" t="s">
        <v>168</v>
      </c>
      <c r="F384" s="184" t="s">
        <v>485</v>
      </c>
      <c r="G384" s="153"/>
      <c r="H384" s="151"/>
    </row>
    <row r="385" spans="1:19" x14ac:dyDescent="0.25">
      <c r="A385" s="750"/>
      <c r="C385" s="43" t="s">
        <v>173</v>
      </c>
      <c r="D385" s="21">
        <f t="shared" si="38"/>
        <v>45904</v>
      </c>
      <c r="E385" s="186" t="s">
        <v>169</v>
      </c>
      <c r="F385" s="184" t="s">
        <v>485</v>
      </c>
      <c r="G385" s="153"/>
      <c r="H385" s="151"/>
    </row>
    <row r="386" spans="1:19" ht="15.75" thickBot="1" x14ac:dyDescent="0.3">
      <c r="A386" s="750"/>
      <c r="C386" s="47" t="s">
        <v>173</v>
      </c>
      <c r="D386" s="48">
        <f t="shared" si="38"/>
        <v>45904</v>
      </c>
      <c r="E386" s="188" t="s">
        <v>170</v>
      </c>
      <c r="F386" s="185" t="s">
        <v>485</v>
      </c>
      <c r="G386" s="154"/>
      <c r="H386" s="152"/>
    </row>
    <row r="387" spans="1:19" ht="6" customHeight="1" thickBot="1" x14ac:dyDescent="0.3">
      <c r="A387" s="750"/>
      <c r="B387" s="111"/>
      <c r="I387" s="111"/>
      <c r="J387" s="111"/>
      <c r="K387" s="111"/>
      <c r="L387" s="111"/>
      <c r="M387" s="111"/>
      <c r="N387" s="111"/>
      <c r="O387" s="111"/>
      <c r="P387" s="111"/>
      <c r="Q387" s="111"/>
      <c r="R387" s="111"/>
      <c r="S387" s="111"/>
    </row>
    <row r="388" spans="1:19" x14ac:dyDescent="0.25">
      <c r="A388" s="750"/>
      <c r="C388" s="52" t="s">
        <v>174</v>
      </c>
      <c r="D388" s="53">
        <f>D386+1</f>
        <v>45905</v>
      </c>
      <c r="E388" s="187" t="s">
        <v>162</v>
      </c>
      <c r="F388" s="183" t="s">
        <v>485</v>
      </c>
      <c r="G388" s="301"/>
      <c r="H388" s="150"/>
    </row>
    <row r="389" spans="1:19" x14ac:dyDescent="0.25">
      <c r="A389" s="750"/>
      <c r="C389" s="43" t="s">
        <v>174</v>
      </c>
      <c r="D389" s="21">
        <f t="shared" ref="D389:D395" si="39">D388</f>
        <v>45905</v>
      </c>
      <c r="E389" s="186" t="s">
        <v>163</v>
      </c>
      <c r="F389" s="184" t="s">
        <v>485</v>
      </c>
      <c r="G389" s="153"/>
      <c r="H389" s="151"/>
    </row>
    <row r="390" spans="1:19" x14ac:dyDescent="0.25">
      <c r="A390" s="750"/>
      <c r="C390" s="43" t="s">
        <v>174</v>
      </c>
      <c r="D390" s="21">
        <f t="shared" si="39"/>
        <v>45905</v>
      </c>
      <c r="E390" s="186" t="s">
        <v>164</v>
      </c>
      <c r="F390" s="184" t="s">
        <v>485</v>
      </c>
      <c r="G390" s="153"/>
      <c r="H390" s="151"/>
    </row>
    <row r="391" spans="1:19" x14ac:dyDescent="0.25">
      <c r="A391" s="750"/>
      <c r="C391" s="43" t="s">
        <v>174</v>
      </c>
      <c r="D391" s="21">
        <f t="shared" si="39"/>
        <v>45905</v>
      </c>
      <c r="E391" s="186" t="s">
        <v>165</v>
      </c>
      <c r="F391" s="184" t="s">
        <v>485</v>
      </c>
      <c r="G391" s="153"/>
      <c r="H391" s="151"/>
    </row>
    <row r="392" spans="1:19" x14ac:dyDescent="0.25">
      <c r="A392" s="750"/>
      <c r="C392" s="43" t="s">
        <v>174</v>
      </c>
      <c r="D392" s="21">
        <f t="shared" si="39"/>
        <v>45905</v>
      </c>
      <c r="E392" s="186" t="s">
        <v>166</v>
      </c>
      <c r="F392" s="184" t="s">
        <v>485</v>
      </c>
      <c r="G392" s="153"/>
      <c r="H392" s="151"/>
    </row>
    <row r="393" spans="1:19" x14ac:dyDescent="0.25">
      <c r="A393" s="750"/>
      <c r="C393" s="43" t="s">
        <v>174</v>
      </c>
      <c r="D393" s="21">
        <f t="shared" si="39"/>
        <v>45905</v>
      </c>
      <c r="E393" s="186" t="s">
        <v>167</v>
      </c>
      <c r="F393" s="184" t="s">
        <v>485</v>
      </c>
      <c r="G393" s="153"/>
      <c r="H393" s="151"/>
    </row>
    <row r="394" spans="1:19" x14ac:dyDescent="0.25">
      <c r="A394" s="750"/>
      <c r="C394" s="43" t="s">
        <v>174</v>
      </c>
      <c r="D394" s="21">
        <f t="shared" si="39"/>
        <v>45905</v>
      </c>
      <c r="E394" s="186" t="s">
        <v>168</v>
      </c>
      <c r="F394" s="184" t="s">
        <v>485</v>
      </c>
      <c r="G394" s="153"/>
      <c r="H394" s="151"/>
    </row>
    <row r="395" spans="1:19" ht="15.75" thickBot="1" x14ac:dyDescent="0.3">
      <c r="A395" s="751"/>
      <c r="C395" s="47" t="s">
        <v>174</v>
      </c>
      <c r="D395" s="48">
        <f t="shared" si="39"/>
        <v>45905</v>
      </c>
      <c r="E395" s="188" t="s">
        <v>169</v>
      </c>
      <c r="F395" s="185" t="s">
        <v>485</v>
      </c>
      <c r="G395" s="154"/>
      <c r="H395" s="152"/>
    </row>
    <row r="396" spans="1:19" ht="6" customHeight="1" thickBot="1" x14ac:dyDescent="0.3">
      <c r="A396" s="129" t="s">
        <v>310</v>
      </c>
      <c r="B396" s="111"/>
      <c r="C396" s="111"/>
      <c r="D396" s="111"/>
      <c r="E396" s="111"/>
      <c r="F396" s="122"/>
      <c r="G396" s="122"/>
      <c r="I396" s="111"/>
      <c r="J396" s="111"/>
      <c r="K396" s="111"/>
      <c r="L396" s="111"/>
      <c r="M396" s="111"/>
      <c r="N396" s="111"/>
      <c r="O396" s="111"/>
      <c r="P396" s="111"/>
      <c r="Q396" s="111"/>
      <c r="R396" s="111"/>
      <c r="S396" s="111"/>
    </row>
    <row r="397" spans="1:19" x14ac:dyDescent="0.25">
      <c r="A397" s="746" t="s">
        <v>533</v>
      </c>
      <c r="C397" s="52" t="s">
        <v>161</v>
      </c>
      <c r="D397" s="53">
        <f>D395+3</f>
        <v>45908</v>
      </c>
      <c r="E397" s="187" t="s">
        <v>162</v>
      </c>
      <c r="F397" s="183" t="s">
        <v>485</v>
      </c>
      <c r="G397" s="150"/>
    </row>
    <row r="398" spans="1:19" x14ac:dyDescent="0.25">
      <c r="A398" s="750"/>
      <c r="C398" s="43" t="s">
        <v>161</v>
      </c>
      <c r="D398" s="21">
        <f t="shared" ref="D398:D405" si="40">D397</f>
        <v>45908</v>
      </c>
      <c r="E398" s="186" t="s">
        <v>163</v>
      </c>
      <c r="F398" s="184" t="s">
        <v>485</v>
      </c>
      <c r="G398" s="151"/>
    </row>
    <row r="399" spans="1:19" x14ac:dyDescent="0.25">
      <c r="A399" s="750"/>
      <c r="C399" s="43" t="s">
        <v>161</v>
      </c>
      <c r="D399" s="21">
        <f t="shared" si="40"/>
        <v>45908</v>
      </c>
      <c r="E399" s="186" t="s">
        <v>164</v>
      </c>
      <c r="F399" s="184" t="s">
        <v>485</v>
      </c>
      <c r="G399" s="151"/>
    </row>
    <row r="400" spans="1:19" x14ac:dyDescent="0.25">
      <c r="A400" s="750"/>
      <c r="C400" s="43" t="s">
        <v>161</v>
      </c>
      <c r="D400" s="21">
        <f t="shared" si="40"/>
        <v>45908</v>
      </c>
      <c r="E400" s="186" t="s">
        <v>165</v>
      </c>
      <c r="F400" s="184" t="s">
        <v>485</v>
      </c>
      <c r="G400" s="151"/>
    </row>
    <row r="401" spans="1:19" x14ac:dyDescent="0.25">
      <c r="A401" s="750"/>
      <c r="C401" s="43" t="s">
        <v>161</v>
      </c>
      <c r="D401" s="21">
        <f t="shared" si="40"/>
        <v>45908</v>
      </c>
      <c r="E401" s="186" t="s">
        <v>166</v>
      </c>
      <c r="F401" s="184" t="s">
        <v>485</v>
      </c>
      <c r="G401" s="151"/>
    </row>
    <row r="402" spans="1:19" x14ac:dyDescent="0.25">
      <c r="A402" s="750"/>
      <c r="C402" s="43" t="s">
        <v>161</v>
      </c>
      <c r="D402" s="21">
        <f t="shared" si="40"/>
        <v>45908</v>
      </c>
      <c r="E402" s="186" t="s">
        <v>167</v>
      </c>
      <c r="F402" s="184" t="s">
        <v>485</v>
      </c>
      <c r="G402" s="151"/>
    </row>
    <row r="403" spans="1:19" x14ac:dyDescent="0.25">
      <c r="A403" s="750"/>
      <c r="C403" s="43" t="s">
        <v>161</v>
      </c>
      <c r="D403" s="21">
        <f t="shared" si="40"/>
        <v>45908</v>
      </c>
      <c r="E403" s="186" t="s">
        <v>167</v>
      </c>
      <c r="F403" s="184" t="s">
        <v>485</v>
      </c>
      <c r="G403" s="151"/>
    </row>
    <row r="404" spans="1:19" x14ac:dyDescent="0.25">
      <c r="A404" s="750"/>
      <c r="C404" s="43" t="s">
        <v>161</v>
      </c>
      <c r="D404" s="21">
        <f t="shared" si="40"/>
        <v>45908</v>
      </c>
      <c r="E404" s="186" t="s">
        <v>169</v>
      </c>
      <c r="F404" s="184" t="s">
        <v>486</v>
      </c>
      <c r="G404" s="151"/>
    </row>
    <row r="405" spans="1:19" ht="15.75" thickBot="1" x14ac:dyDescent="0.3">
      <c r="A405" s="750"/>
      <c r="C405" s="47" t="s">
        <v>161</v>
      </c>
      <c r="D405" s="48">
        <f t="shared" si="40"/>
        <v>45908</v>
      </c>
      <c r="E405" s="188" t="s">
        <v>170</v>
      </c>
      <c r="F405" s="185" t="s">
        <v>486</v>
      </c>
      <c r="G405" s="152"/>
    </row>
    <row r="406" spans="1:19" ht="6" customHeight="1" thickBot="1" x14ac:dyDescent="0.3">
      <c r="A406" s="750"/>
      <c r="B406" s="111"/>
      <c r="C406" s="111"/>
      <c r="D406" s="111"/>
      <c r="E406" s="111"/>
      <c r="F406" s="122"/>
      <c r="G406" s="122"/>
      <c r="I406" s="111"/>
      <c r="J406" s="111"/>
      <c r="K406" s="111"/>
      <c r="L406" s="111"/>
      <c r="M406" s="111"/>
      <c r="N406" s="111"/>
      <c r="O406" s="111"/>
      <c r="P406" s="111"/>
      <c r="Q406" s="111"/>
      <c r="R406" s="111"/>
      <c r="S406" s="111"/>
    </row>
    <row r="407" spans="1:19" x14ac:dyDescent="0.25">
      <c r="A407" s="750"/>
      <c r="C407" s="52" t="s">
        <v>171</v>
      </c>
      <c r="D407" s="53">
        <f>D405+1</f>
        <v>45909</v>
      </c>
      <c r="E407" s="187" t="s">
        <v>162</v>
      </c>
      <c r="F407" s="183" t="s">
        <v>486</v>
      </c>
      <c r="G407" s="149"/>
    </row>
    <row r="408" spans="1:19" x14ac:dyDescent="0.25">
      <c r="A408" s="750"/>
      <c r="C408" s="43" t="s">
        <v>171</v>
      </c>
      <c r="D408" s="21">
        <f t="shared" ref="D408:D415" si="41">D407</f>
        <v>45909</v>
      </c>
      <c r="E408" s="186" t="s">
        <v>163</v>
      </c>
      <c r="F408" s="184" t="s">
        <v>486</v>
      </c>
      <c r="G408" s="147"/>
    </row>
    <row r="409" spans="1:19" x14ac:dyDescent="0.25">
      <c r="A409" s="750"/>
      <c r="C409" s="43" t="s">
        <v>171</v>
      </c>
      <c r="D409" s="21">
        <f t="shared" si="41"/>
        <v>45909</v>
      </c>
      <c r="E409" s="186" t="s">
        <v>164</v>
      </c>
      <c r="F409" s="184" t="s">
        <v>486</v>
      </c>
      <c r="G409" s="147"/>
    </row>
    <row r="410" spans="1:19" x14ac:dyDescent="0.25">
      <c r="A410" s="750"/>
      <c r="C410" s="43" t="s">
        <v>171</v>
      </c>
      <c r="D410" s="21">
        <f t="shared" si="41"/>
        <v>45909</v>
      </c>
      <c r="E410" s="186" t="s">
        <v>165</v>
      </c>
      <c r="F410" s="184" t="s">
        <v>486</v>
      </c>
      <c r="G410" s="147"/>
    </row>
    <row r="411" spans="1:19" x14ac:dyDescent="0.25">
      <c r="A411" s="750"/>
      <c r="C411" s="43" t="s">
        <v>171</v>
      </c>
      <c r="D411" s="21">
        <f t="shared" si="41"/>
        <v>45909</v>
      </c>
      <c r="E411" s="186" t="s">
        <v>166</v>
      </c>
      <c r="F411" s="184" t="s">
        <v>486</v>
      </c>
      <c r="G411" s="147"/>
    </row>
    <row r="412" spans="1:19" x14ac:dyDescent="0.25">
      <c r="A412" s="750"/>
      <c r="C412" s="43" t="s">
        <v>171</v>
      </c>
      <c r="D412" s="21">
        <f t="shared" si="41"/>
        <v>45909</v>
      </c>
      <c r="E412" s="186" t="s">
        <v>167</v>
      </c>
      <c r="F412" s="184" t="s">
        <v>486</v>
      </c>
      <c r="G412" s="147"/>
    </row>
    <row r="413" spans="1:19" x14ac:dyDescent="0.25">
      <c r="A413" s="750"/>
      <c r="C413" s="43" t="s">
        <v>171</v>
      </c>
      <c r="D413" s="21">
        <f t="shared" si="41"/>
        <v>45909</v>
      </c>
      <c r="E413" s="186" t="s">
        <v>168</v>
      </c>
      <c r="F413" s="184" t="s">
        <v>486</v>
      </c>
      <c r="G413" s="147"/>
    </row>
    <row r="414" spans="1:19" x14ac:dyDescent="0.25">
      <c r="A414" s="750"/>
      <c r="C414" s="43" t="s">
        <v>171</v>
      </c>
      <c r="D414" s="21">
        <f t="shared" si="41"/>
        <v>45909</v>
      </c>
      <c r="E414" s="186" t="s">
        <v>169</v>
      </c>
      <c r="F414" s="184" t="s">
        <v>486</v>
      </c>
      <c r="G414" s="147"/>
    </row>
    <row r="415" spans="1:19" ht="15.75" thickBot="1" x14ac:dyDescent="0.3">
      <c r="A415" s="750"/>
      <c r="C415" s="47" t="s">
        <v>171</v>
      </c>
      <c r="D415" s="48">
        <f t="shared" si="41"/>
        <v>45909</v>
      </c>
      <c r="E415" s="188" t="s">
        <v>170</v>
      </c>
      <c r="F415" s="185" t="s">
        <v>486</v>
      </c>
      <c r="G415" s="148"/>
    </row>
    <row r="416" spans="1:19" ht="6" customHeight="1" thickBot="1" x14ac:dyDescent="0.3">
      <c r="A416" s="750"/>
      <c r="B416" s="111"/>
      <c r="C416" s="111"/>
      <c r="D416" s="111"/>
      <c r="E416" s="111"/>
      <c r="F416" s="122"/>
      <c r="G416" s="122"/>
      <c r="I416" s="111"/>
      <c r="J416" s="111"/>
      <c r="K416" s="111"/>
      <c r="L416" s="111"/>
      <c r="M416" s="111"/>
      <c r="N416" s="111"/>
      <c r="O416" s="111"/>
      <c r="P416" s="111"/>
      <c r="Q416" s="111"/>
      <c r="R416" s="111"/>
      <c r="S416" s="111"/>
    </row>
    <row r="417" spans="1:19" x14ac:dyDescent="0.25">
      <c r="A417" s="750"/>
      <c r="C417" s="52" t="s">
        <v>172</v>
      </c>
      <c r="D417" s="53">
        <f>D415+1</f>
        <v>45910</v>
      </c>
      <c r="E417" s="187" t="s">
        <v>162</v>
      </c>
      <c r="F417" s="183" t="s">
        <v>486</v>
      </c>
      <c r="G417" s="149"/>
    </row>
    <row r="418" spans="1:19" x14ac:dyDescent="0.25">
      <c r="A418" s="750"/>
      <c r="C418" s="43" t="s">
        <v>172</v>
      </c>
      <c r="D418" s="21">
        <f t="shared" ref="D418:D425" si="42">D417</f>
        <v>45910</v>
      </c>
      <c r="E418" s="186" t="s">
        <v>163</v>
      </c>
      <c r="F418" s="184" t="s">
        <v>486</v>
      </c>
      <c r="G418" s="147"/>
    </row>
    <row r="419" spans="1:19" x14ac:dyDescent="0.25">
      <c r="A419" s="750"/>
      <c r="C419" s="43" t="s">
        <v>172</v>
      </c>
      <c r="D419" s="21">
        <f t="shared" si="42"/>
        <v>45910</v>
      </c>
      <c r="E419" s="186" t="s">
        <v>164</v>
      </c>
      <c r="F419" s="184" t="s">
        <v>486</v>
      </c>
      <c r="G419" s="147"/>
    </row>
    <row r="420" spans="1:19" x14ac:dyDescent="0.25">
      <c r="A420" s="750"/>
      <c r="C420" s="43" t="s">
        <v>172</v>
      </c>
      <c r="D420" s="21">
        <f t="shared" si="42"/>
        <v>45910</v>
      </c>
      <c r="E420" s="186" t="s">
        <v>165</v>
      </c>
      <c r="F420" s="184" t="s">
        <v>486</v>
      </c>
      <c r="G420" s="147"/>
    </row>
    <row r="421" spans="1:19" x14ac:dyDescent="0.25">
      <c r="A421" s="750"/>
      <c r="C421" s="43" t="s">
        <v>172</v>
      </c>
      <c r="D421" s="21">
        <f t="shared" si="42"/>
        <v>45910</v>
      </c>
      <c r="E421" s="186" t="s">
        <v>166</v>
      </c>
      <c r="F421" s="184" t="s">
        <v>486</v>
      </c>
      <c r="G421" s="147"/>
    </row>
    <row r="422" spans="1:19" x14ac:dyDescent="0.25">
      <c r="A422" s="750"/>
      <c r="C422" s="43" t="s">
        <v>172</v>
      </c>
      <c r="D422" s="21">
        <f t="shared" si="42"/>
        <v>45910</v>
      </c>
      <c r="E422" s="186" t="s">
        <v>167</v>
      </c>
      <c r="F422" s="184" t="s">
        <v>486</v>
      </c>
      <c r="G422" s="147"/>
    </row>
    <row r="423" spans="1:19" x14ac:dyDescent="0.25">
      <c r="A423" s="750"/>
      <c r="C423" s="43" t="s">
        <v>172</v>
      </c>
      <c r="D423" s="21">
        <f t="shared" si="42"/>
        <v>45910</v>
      </c>
      <c r="E423" s="186" t="s">
        <v>168</v>
      </c>
      <c r="F423" s="184" t="s">
        <v>486</v>
      </c>
      <c r="G423" s="147"/>
    </row>
    <row r="424" spans="1:19" x14ac:dyDescent="0.25">
      <c r="A424" s="750"/>
      <c r="C424" s="43" t="s">
        <v>172</v>
      </c>
      <c r="D424" s="21">
        <f t="shared" si="42"/>
        <v>45910</v>
      </c>
      <c r="E424" s="186" t="s">
        <v>169</v>
      </c>
      <c r="F424" s="184" t="s">
        <v>486</v>
      </c>
      <c r="G424" s="147"/>
    </row>
    <row r="425" spans="1:19" ht="15.75" thickBot="1" x14ac:dyDescent="0.3">
      <c r="A425" s="750"/>
      <c r="C425" s="47" t="s">
        <v>172</v>
      </c>
      <c r="D425" s="48">
        <f t="shared" si="42"/>
        <v>45910</v>
      </c>
      <c r="E425" s="188" t="s">
        <v>170</v>
      </c>
      <c r="F425" s="185" t="s">
        <v>486</v>
      </c>
      <c r="G425" s="148"/>
    </row>
    <row r="426" spans="1:19" ht="6" customHeight="1" thickBot="1" x14ac:dyDescent="0.3">
      <c r="A426" s="750"/>
      <c r="B426" s="111"/>
      <c r="C426" s="111"/>
      <c r="D426" s="111"/>
      <c r="E426" s="111"/>
      <c r="F426" s="122"/>
      <c r="G426" s="122"/>
      <c r="I426" s="111"/>
      <c r="J426" s="111"/>
      <c r="K426" s="111"/>
      <c r="L426" s="111"/>
      <c r="M426" s="111"/>
      <c r="N426" s="111"/>
      <c r="O426" s="111"/>
      <c r="P426" s="111"/>
      <c r="Q426" s="111"/>
      <c r="R426" s="111"/>
      <c r="S426" s="111"/>
    </row>
    <row r="427" spans="1:19" x14ac:dyDescent="0.25">
      <c r="A427" s="750"/>
      <c r="C427" s="52" t="s">
        <v>173</v>
      </c>
      <c r="D427" s="53">
        <f>D425+1</f>
        <v>45911</v>
      </c>
      <c r="E427" s="187" t="s">
        <v>162</v>
      </c>
      <c r="F427" s="183" t="s">
        <v>486</v>
      </c>
      <c r="G427" s="149"/>
    </row>
    <row r="428" spans="1:19" x14ac:dyDescent="0.25">
      <c r="A428" s="750"/>
      <c r="C428" s="43" t="s">
        <v>173</v>
      </c>
      <c r="D428" s="21">
        <f t="shared" ref="D428:D435" si="43">D427</f>
        <v>45911</v>
      </c>
      <c r="E428" s="186" t="s">
        <v>163</v>
      </c>
      <c r="F428" s="184" t="s">
        <v>486</v>
      </c>
      <c r="G428" s="147"/>
    </row>
    <row r="429" spans="1:19" x14ac:dyDescent="0.25">
      <c r="A429" s="750"/>
      <c r="C429" s="43" t="s">
        <v>173</v>
      </c>
      <c r="D429" s="21">
        <f t="shared" si="43"/>
        <v>45911</v>
      </c>
      <c r="E429" s="186" t="s">
        <v>164</v>
      </c>
      <c r="F429" s="184" t="s">
        <v>486</v>
      </c>
      <c r="G429" s="147"/>
    </row>
    <row r="430" spans="1:19" x14ac:dyDescent="0.25">
      <c r="A430" s="750"/>
      <c r="C430" s="43" t="s">
        <v>173</v>
      </c>
      <c r="D430" s="21">
        <f t="shared" si="43"/>
        <v>45911</v>
      </c>
      <c r="E430" s="186" t="s">
        <v>165</v>
      </c>
      <c r="F430" s="184" t="s">
        <v>486</v>
      </c>
      <c r="G430" s="147"/>
    </row>
    <row r="431" spans="1:19" x14ac:dyDescent="0.25">
      <c r="A431" s="750"/>
      <c r="C431" s="43" t="s">
        <v>173</v>
      </c>
      <c r="D431" s="21">
        <f t="shared" si="43"/>
        <v>45911</v>
      </c>
      <c r="E431" s="186" t="s">
        <v>166</v>
      </c>
      <c r="F431" s="184"/>
      <c r="G431" s="147"/>
    </row>
    <row r="432" spans="1:19" x14ac:dyDescent="0.25">
      <c r="A432" s="750"/>
      <c r="C432" s="43" t="s">
        <v>173</v>
      </c>
      <c r="D432" s="21">
        <f t="shared" si="43"/>
        <v>45911</v>
      </c>
      <c r="E432" s="186" t="s">
        <v>167</v>
      </c>
      <c r="F432" s="184"/>
      <c r="G432" s="147"/>
    </row>
    <row r="433" spans="1:19" x14ac:dyDescent="0.25">
      <c r="A433" s="750"/>
      <c r="C433" s="43" t="s">
        <v>173</v>
      </c>
      <c r="D433" s="21">
        <f t="shared" si="43"/>
        <v>45911</v>
      </c>
      <c r="E433" s="186" t="s">
        <v>168</v>
      </c>
      <c r="F433" s="184"/>
      <c r="G433" s="147"/>
    </row>
    <row r="434" spans="1:19" x14ac:dyDescent="0.25">
      <c r="A434" s="750"/>
      <c r="C434" s="43" t="s">
        <v>173</v>
      </c>
      <c r="D434" s="21">
        <f t="shared" si="43"/>
        <v>45911</v>
      </c>
      <c r="E434" s="186" t="s">
        <v>169</v>
      </c>
      <c r="F434" s="184"/>
      <c r="G434" s="147"/>
    </row>
    <row r="435" spans="1:19" ht="15.75" thickBot="1" x14ac:dyDescent="0.3">
      <c r="A435" s="750"/>
      <c r="C435" s="47" t="s">
        <v>173</v>
      </c>
      <c r="D435" s="48">
        <f t="shared" si="43"/>
        <v>45911</v>
      </c>
      <c r="E435" s="188" t="s">
        <v>170</v>
      </c>
      <c r="F435" s="185"/>
      <c r="G435" s="148"/>
    </row>
    <row r="436" spans="1:19" ht="6" customHeight="1" thickBot="1" x14ac:dyDescent="0.3">
      <c r="A436" s="750"/>
      <c r="B436" s="111"/>
      <c r="C436" s="111"/>
      <c r="D436" s="111"/>
      <c r="E436" s="111"/>
      <c r="F436" s="122"/>
      <c r="G436" s="122"/>
      <c r="I436" s="111"/>
      <c r="J436" s="111"/>
      <c r="K436" s="111"/>
      <c r="L436" s="111"/>
      <c r="M436" s="111"/>
      <c r="N436" s="111"/>
      <c r="O436" s="111"/>
      <c r="P436" s="111"/>
      <c r="Q436" s="111"/>
      <c r="R436" s="111"/>
      <c r="S436" s="111"/>
    </row>
    <row r="437" spans="1:19" x14ac:dyDescent="0.25">
      <c r="A437" s="750"/>
      <c r="C437" s="52" t="s">
        <v>174</v>
      </c>
      <c r="D437" s="53">
        <f>D435+1</f>
        <v>45912</v>
      </c>
      <c r="E437" s="187" t="s">
        <v>162</v>
      </c>
      <c r="F437" s="183"/>
      <c r="G437" s="149"/>
    </row>
    <row r="438" spans="1:19" x14ac:dyDescent="0.25">
      <c r="A438" s="750"/>
      <c r="C438" s="43" t="s">
        <v>174</v>
      </c>
      <c r="D438" s="21">
        <f t="shared" ref="D438:D444" si="44">D437</f>
        <v>45912</v>
      </c>
      <c r="E438" s="186" t="s">
        <v>163</v>
      </c>
      <c r="F438" s="184"/>
      <c r="G438" s="147"/>
    </row>
    <row r="439" spans="1:19" x14ac:dyDescent="0.25">
      <c r="A439" s="750"/>
      <c r="C439" s="43" t="s">
        <v>174</v>
      </c>
      <c r="D439" s="21">
        <f t="shared" si="44"/>
        <v>45912</v>
      </c>
      <c r="E439" s="186" t="s">
        <v>164</v>
      </c>
      <c r="F439" s="184"/>
      <c r="G439" s="147"/>
    </row>
    <row r="440" spans="1:19" x14ac:dyDescent="0.25">
      <c r="A440" s="750"/>
      <c r="C440" s="43" t="s">
        <v>174</v>
      </c>
      <c r="D440" s="21">
        <f t="shared" si="44"/>
        <v>45912</v>
      </c>
      <c r="E440" s="186" t="s">
        <v>165</v>
      </c>
      <c r="F440" s="184"/>
      <c r="G440" s="147"/>
    </row>
    <row r="441" spans="1:19" x14ac:dyDescent="0.25">
      <c r="A441" s="750"/>
      <c r="C441" s="43" t="s">
        <v>174</v>
      </c>
      <c r="D441" s="21">
        <f t="shared" si="44"/>
        <v>45912</v>
      </c>
      <c r="E441" s="186" t="s">
        <v>166</v>
      </c>
      <c r="F441" s="184"/>
      <c r="G441" s="147"/>
    </row>
    <row r="442" spans="1:19" x14ac:dyDescent="0.25">
      <c r="A442" s="750"/>
      <c r="C442" s="43" t="s">
        <v>174</v>
      </c>
      <c r="D442" s="21">
        <f t="shared" si="44"/>
        <v>45912</v>
      </c>
      <c r="E442" s="186" t="s">
        <v>167</v>
      </c>
      <c r="F442" s="184"/>
      <c r="G442" s="147"/>
    </row>
    <row r="443" spans="1:19" x14ac:dyDescent="0.25">
      <c r="A443" s="750"/>
      <c r="C443" s="43" t="s">
        <v>174</v>
      </c>
      <c r="D443" s="21">
        <f t="shared" si="44"/>
        <v>45912</v>
      </c>
      <c r="E443" s="186" t="s">
        <v>168</v>
      </c>
      <c r="F443" s="184"/>
      <c r="G443" s="147"/>
    </row>
    <row r="444" spans="1:19" ht="15.75" thickBot="1" x14ac:dyDescent="0.3">
      <c r="A444" s="751"/>
      <c r="C444" s="47" t="s">
        <v>174</v>
      </c>
      <c r="D444" s="48">
        <f t="shared" si="44"/>
        <v>45912</v>
      </c>
      <c r="E444" s="188" t="s">
        <v>169</v>
      </c>
      <c r="F444" s="185"/>
      <c r="G444" s="148"/>
    </row>
    <row r="445" spans="1:19" x14ac:dyDescent="0.25">
      <c r="A445"/>
    </row>
    <row r="446" spans="1:19" x14ac:dyDescent="0.25">
      <c r="A446" s="746" t="s">
        <v>535</v>
      </c>
    </row>
    <row r="447" spans="1:19" x14ac:dyDescent="0.25">
      <c r="A447" s="750"/>
    </row>
    <row r="448" spans="1:19" x14ac:dyDescent="0.25">
      <c r="A448" s="750"/>
    </row>
    <row r="449" spans="1:1" x14ac:dyDescent="0.25">
      <c r="A449" s="750"/>
    </row>
    <row r="450" spans="1:1" x14ac:dyDescent="0.25">
      <c r="A450" s="750"/>
    </row>
    <row r="451" spans="1:1" x14ac:dyDescent="0.25">
      <c r="A451" s="750"/>
    </row>
    <row r="452" spans="1:1" x14ac:dyDescent="0.25">
      <c r="A452" s="750"/>
    </row>
    <row r="453" spans="1:1" x14ac:dyDescent="0.25">
      <c r="A453" s="750"/>
    </row>
    <row r="454" spans="1:1" x14ac:dyDescent="0.25">
      <c r="A454" s="750"/>
    </row>
    <row r="455" spans="1:1" x14ac:dyDescent="0.25">
      <c r="A455" s="750"/>
    </row>
    <row r="456" spans="1:1" x14ac:dyDescent="0.25">
      <c r="A456" s="750"/>
    </row>
    <row r="457" spans="1:1" x14ac:dyDescent="0.25">
      <c r="A457" s="750"/>
    </row>
    <row r="458" spans="1:1" x14ac:dyDescent="0.25">
      <c r="A458" s="750"/>
    </row>
    <row r="459" spans="1:1" x14ac:dyDescent="0.25">
      <c r="A459" s="750"/>
    </row>
    <row r="460" spans="1:1" x14ac:dyDescent="0.25">
      <c r="A460" s="750"/>
    </row>
    <row r="461" spans="1:1" x14ac:dyDescent="0.25">
      <c r="A461" s="750"/>
    </row>
    <row r="462" spans="1:1" x14ac:dyDescent="0.25">
      <c r="A462" s="750"/>
    </row>
    <row r="463" spans="1:1" x14ac:dyDescent="0.25">
      <c r="A463" s="750"/>
    </row>
    <row r="464" spans="1:1" x14ac:dyDescent="0.25">
      <c r="A464" s="750"/>
    </row>
    <row r="465" spans="1:1" x14ac:dyDescent="0.25">
      <c r="A465" s="750"/>
    </row>
    <row r="466" spans="1:1" x14ac:dyDescent="0.25">
      <c r="A466" s="750"/>
    </row>
    <row r="467" spans="1:1" x14ac:dyDescent="0.25">
      <c r="A467" s="750"/>
    </row>
    <row r="468" spans="1:1" x14ac:dyDescent="0.25">
      <c r="A468" s="750"/>
    </row>
    <row r="469" spans="1:1" x14ac:dyDescent="0.25">
      <c r="A469" s="750"/>
    </row>
    <row r="470" spans="1:1" x14ac:dyDescent="0.25">
      <c r="A470" s="750"/>
    </row>
    <row r="471" spans="1:1" x14ac:dyDescent="0.25">
      <c r="A471" s="750"/>
    </row>
    <row r="472" spans="1:1" x14ac:dyDescent="0.25">
      <c r="A472" s="750"/>
    </row>
    <row r="473" spans="1:1" x14ac:dyDescent="0.25">
      <c r="A473" s="750"/>
    </row>
    <row r="474" spans="1:1" x14ac:dyDescent="0.25">
      <c r="A474" s="750"/>
    </row>
    <row r="475" spans="1:1" x14ac:dyDescent="0.25">
      <c r="A475" s="750"/>
    </row>
    <row r="476" spans="1:1" x14ac:dyDescent="0.25">
      <c r="A476" s="750"/>
    </row>
    <row r="477" spans="1:1" x14ac:dyDescent="0.25">
      <c r="A477" s="750"/>
    </row>
    <row r="478" spans="1:1" x14ac:dyDescent="0.25">
      <c r="A478" s="750"/>
    </row>
    <row r="479" spans="1:1" x14ac:dyDescent="0.25">
      <c r="A479" s="750"/>
    </row>
    <row r="480" spans="1:1" x14ac:dyDescent="0.25">
      <c r="A480" s="750"/>
    </row>
    <row r="481" spans="1:1" x14ac:dyDescent="0.25">
      <c r="A481" s="750"/>
    </row>
    <row r="482" spans="1:1" x14ac:dyDescent="0.25">
      <c r="A482" s="750"/>
    </row>
    <row r="483" spans="1:1" x14ac:dyDescent="0.25">
      <c r="A483" s="750"/>
    </row>
    <row r="484" spans="1:1" x14ac:dyDescent="0.25">
      <c r="A484" s="750"/>
    </row>
    <row r="485" spans="1:1" x14ac:dyDescent="0.25">
      <c r="A485" s="750"/>
    </row>
    <row r="486" spans="1:1" x14ac:dyDescent="0.25">
      <c r="A486" s="750"/>
    </row>
    <row r="487" spans="1:1" x14ac:dyDescent="0.25">
      <c r="A487" s="750"/>
    </row>
    <row r="488" spans="1:1" x14ac:dyDescent="0.25">
      <c r="A488" s="750"/>
    </row>
    <row r="489" spans="1:1" x14ac:dyDescent="0.25">
      <c r="A489" s="750"/>
    </row>
    <row r="490" spans="1:1" x14ac:dyDescent="0.25">
      <c r="A490" s="750"/>
    </row>
    <row r="491" spans="1:1" x14ac:dyDescent="0.25">
      <c r="A491" s="750"/>
    </row>
    <row r="492" spans="1:1" x14ac:dyDescent="0.25">
      <c r="A492" s="750"/>
    </row>
    <row r="493" spans="1:1" x14ac:dyDescent="0.25">
      <c r="A493" s="751"/>
    </row>
    <row r="494" spans="1:1" x14ac:dyDescent="0.25">
      <c r="A494"/>
    </row>
    <row r="495" spans="1:1" x14ac:dyDescent="0.25">
      <c r="A495" s="746" t="s">
        <v>536</v>
      </c>
    </row>
    <row r="496" spans="1:1" x14ac:dyDescent="0.25">
      <c r="A496" s="750"/>
    </row>
    <row r="497" spans="1:1" x14ac:dyDescent="0.25">
      <c r="A497" s="750"/>
    </row>
    <row r="498" spans="1:1" x14ac:dyDescent="0.25">
      <c r="A498" s="750"/>
    </row>
    <row r="499" spans="1:1" x14ac:dyDescent="0.25">
      <c r="A499" s="750"/>
    </row>
    <row r="500" spans="1:1" x14ac:dyDescent="0.25">
      <c r="A500" s="750"/>
    </row>
    <row r="501" spans="1:1" x14ac:dyDescent="0.25">
      <c r="A501" s="750"/>
    </row>
    <row r="502" spans="1:1" x14ac:dyDescent="0.25">
      <c r="A502" s="750"/>
    </row>
    <row r="503" spans="1:1" x14ac:dyDescent="0.25">
      <c r="A503" s="750"/>
    </row>
    <row r="504" spans="1:1" x14ac:dyDescent="0.25">
      <c r="A504" s="750"/>
    </row>
    <row r="505" spans="1:1" x14ac:dyDescent="0.25">
      <c r="A505" s="750"/>
    </row>
    <row r="506" spans="1:1" x14ac:dyDescent="0.25">
      <c r="A506" s="750"/>
    </row>
    <row r="507" spans="1:1" x14ac:dyDescent="0.25">
      <c r="A507" s="750"/>
    </row>
    <row r="508" spans="1:1" x14ac:dyDescent="0.25">
      <c r="A508" s="750"/>
    </row>
    <row r="509" spans="1:1" x14ac:dyDescent="0.25">
      <c r="A509" s="750"/>
    </row>
    <row r="510" spans="1:1" x14ac:dyDescent="0.25">
      <c r="A510" s="750"/>
    </row>
    <row r="511" spans="1:1" x14ac:dyDescent="0.25">
      <c r="A511" s="750"/>
    </row>
    <row r="512" spans="1:1" x14ac:dyDescent="0.25">
      <c r="A512" s="750"/>
    </row>
    <row r="513" spans="1:1" x14ac:dyDescent="0.25">
      <c r="A513" s="750"/>
    </row>
    <row r="514" spans="1:1" x14ac:dyDescent="0.25">
      <c r="A514" s="750"/>
    </row>
    <row r="515" spans="1:1" x14ac:dyDescent="0.25">
      <c r="A515" s="750"/>
    </row>
    <row r="516" spans="1:1" x14ac:dyDescent="0.25">
      <c r="A516" s="750"/>
    </row>
    <row r="517" spans="1:1" x14ac:dyDescent="0.25">
      <c r="A517" s="750"/>
    </row>
    <row r="518" spans="1:1" x14ac:dyDescent="0.25">
      <c r="A518" s="750"/>
    </row>
    <row r="519" spans="1:1" x14ac:dyDescent="0.25">
      <c r="A519" s="750"/>
    </row>
    <row r="520" spans="1:1" x14ac:dyDescent="0.25">
      <c r="A520" s="750"/>
    </row>
    <row r="521" spans="1:1" x14ac:dyDescent="0.25">
      <c r="A521" s="750"/>
    </row>
    <row r="522" spans="1:1" x14ac:dyDescent="0.25">
      <c r="A522" s="750"/>
    </row>
    <row r="523" spans="1:1" x14ac:dyDescent="0.25">
      <c r="A523" s="750"/>
    </row>
    <row r="524" spans="1:1" x14ac:dyDescent="0.25">
      <c r="A524" s="750"/>
    </row>
    <row r="525" spans="1:1" x14ac:dyDescent="0.25">
      <c r="A525" s="750"/>
    </row>
    <row r="526" spans="1:1" x14ac:dyDescent="0.25">
      <c r="A526" s="750"/>
    </row>
    <row r="527" spans="1:1" x14ac:dyDescent="0.25">
      <c r="A527" s="750"/>
    </row>
    <row r="528" spans="1:1" x14ac:dyDescent="0.25">
      <c r="A528" s="750"/>
    </row>
    <row r="529" spans="1:1" x14ac:dyDescent="0.25">
      <c r="A529" s="750"/>
    </row>
    <row r="530" spans="1:1" x14ac:dyDescent="0.25">
      <c r="A530" s="750"/>
    </row>
    <row r="531" spans="1:1" x14ac:dyDescent="0.25">
      <c r="A531" s="750"/>
    </row>
    <row r="532" spans="1:1" x14ac:dyDescent="0.25">
      <c r="A532" s="750"/>
    </row>
    <row r="533" spans="1:1" x14ac:dyDescent="0.25">
      <c r="A533" s="750"/>
    </row>
    <row r="534" spans="1:1" x14ac:dyDescent="0.25">
      <c r="A534" s="750"/>
    </row>
    <row r="535" spans="1:1" x14ac:dyDescent="0.25">
      <c r="A535" s="750"/>
    </row>
    <row r="536" spans="1:1" x14ac:dyDescent="0.25">
      <c r="A536" s="750"/>
    </row>
    <row r="537" spans="1:1" x14ac:dyDescent="0.25">
      <c r="A537" s="750"/>
    </row>
    <row r="538" spans="1:1" x14ac:dyDescent="0.25">
      <c r="A538" s="750"/>
    </row>
    <row r="539" spans="1:1" x14ac:dyDescent="0.25">
      <c r="A539" s="750"/>
    </row>
    <row r="540" spans="1:1" x14ac:dyDescent="0.25">
      <c r="A540" s="750"/>
    </row>
    <row r="541" spans="1:1" x14ac:dyDescent="0.25">
      <c r="A541" s="750"/>
    </row>
    <row r="542" spans="1:1" x14ac:dyDescent="0.25">
      <c r="A542" s="751"/>
    </row>
  </sheetData>
  <autoFilter ref="B4:G4" xr:uid="{95F0C2B7-E7DF-43F0-8D5B-6316FA3030E0}">
    <sortState xmlns:xlrd2="http://schemas.microsoft.com/office/spreadsheetml/2017/richdata2" ref="B2:G5">
      <sortCondition ref="B4"/>
    </sortState>
  </autoFilter>
  <mergeCells count="8">
    <mergeCell ref="A446:A493"/>
    <mergeCell ref="A495:A542"/>
    <mergeCell ref="A152:A199"/>
    <mergeCell ref="A201:A248"/>
    <mergeCell ref="A250:A297"/>
    <mergeCell ref="A299:A346"/>
    <mergeCell ref="A348:A395"/>
    <mergeCell ref="A397:A444"/>
  </mergeCells>
  <conditionalFormatting sqref="F26:H33 F16:H23 F6:H13 F65:H72 F75:H82 F95:F101 F85:H92 H153:H160 H193:H198 G104:H109 G110:G111">
    <cfRule type="expression" dxfId="969" priority="317" stopIfTrue="1">
      <formula>#REF!=0</formula>
    </cfRule>
    <cfRule type="expression" dxfId="968" priority="318" stopIfTrue="1">
      <formula>AND(F6&lt;&gt;"",F6&lt;&gt;F5)</formula>
    </cfRule>
  </conditionalFormatting>
  <conditionalFormatting sqref="F25:H25 F15:H15 F103 F94 F84:H84 H111">
    <cfRule type="expression" dxfId="967" priority="319" stopIfTrue="1">
      <formula>#REF!=0</formula>
    </cfRule>
    <cfRule type="expression" dxfId="966" priority="320" stopIfTrue="1">
      <formula>AND(F15&lt;&gt;"",F15&lt;&gt;F13)</formula>
    </cfRule>
  </conditionalFormatting>
  <conditionalFormatting sqref="F36:H43 F46:H52">
    <cfRule type="expression" dxfId="965" priority="313" stopIfTrue="1">
      <formula>#REF!=0</formula>
    </cfRule>
    <cfRule type="expression" dxfId="964" priority="314" stopIfTrue="1">
      <formula>AND(F36&lt;&gt;"",F36&lt;&gt;F35)</formula>
    </cfRule>
  </conditionalFormatting>
  <conditionalFormatting sqref="F45:H45">
    <cfRule type="expression" dxfId="963" priority="315" stopIfTrue="1">
      <formula>#REF!=0</formula>
    </cfRule>
    <cfRule type="expression" dxfId="962" priority="316" stopIfTrue="1">
      <formula>AND(F45&lt;&gt;"",F45&lt;&gt;F43)</formula>
    </cfRule>
  </conditionalFormatting>
  <conditionalFormatting sqref="H134:H141">
    <cfRule type="expression" dxfId="961" priority="309" stopIfTrue="1">
      <formula>#REF!=0</formula>
    </cfRule>
    <cfRule type="expression" dxfId="960" priority="310" stopIfTrue="1">
      <formula>AND(H134&lt;&gt;"",H134&lt;&gt;H133)</formula>
    </cfRule>
  </conditionalFormatting>
  <conditionalFormatting sqref="H133">
    <cfRule type="expression" dxfId="959" priority="311" stopIfTrue="1">
      <formula>#REF!=0</formula>
    </cfRule>
    <cfRule type="expression" dxfId="958" priority="312" stopIfTrue="1">
      <formula>AND(H133&lt;&gt;"",H133&lt;&gt;H131)</formula>
    </cfRule>
  </conditionalFormatting>
  <conditionalFormatting sqref="F55:H62">
    <cfRule type="expression" dxfId="957" priority="305" stopIfTrue="1">
      <formula>#REF!=0</formula>
    </cfRule>
    <cfRule type="expression" dxfId="956" priority="306" stopIfTrue="1">
      <formula>AND(F55&lt;&gt;"",F55&lt;&gt;F54)</formula>
    </cfRule>
  </conditionalFormatting>
  <conditionalFormatting sqref="F54:H54">
    <cfRule type="expression" dxfId="955" priority="307" stopIfTrue="1">
      <formula>#REF!=0</formula>
    </cfRule>
    <cfRule type="expression" dxfId="954" priority="308" stopIfTrue="1">
      <formula>AND(F54&lt;&gt;"",F54&lt;&gt;F52)</formula>
    </cfRule>
  </conditionalFormatting>
  <conditionalFormatting sqref="F104:F111">
    <cfRule type="expression" dxfId="953" priority="303" stopIfTrue="1">
      <formula>#REF!=0</formula>
    </cfRule>
    <cfRule type="expression" dxfId="952" priority="304" stopIfTrue="1">
      <formula>AND(F104&lt;&gt;"",F104&lt;&gt;F103)</formula>
    </cfRule>
  </conditionalFormatting>
  <conditionalFormatting sqref="F64:H64">
    <cfRule type="expression" dxfId="951" priority="301" stopIfTrue="1">
      <formula>#REF!=0</formula>
    </cfRule>
    <cfRule type="expression" dxfId="950" priority="302" stopIfTrue="1">
      <formula>AND(F64&lt;&gt;"",F64&lt;&gt;F62)</formula>
    </cfRule>
  </conditionalFormatting>
  <conditionalFormatting sqref="F35:H35 H152">
    <cfRule type="expression" dxfId="949" priority="321" stopIfTrue="1">
      <formula>#REF!=0</formula>
    </cfRule>
    <cfRule type="expression" dxfId="948" priority="322" stopIfTrue="1">
      <formula>AND(F35&lt;&gt;"",F35&lt;&gt;E33)</formula>
    </cfRule>
  </conditionalFormatting>
  <conditionalFormatting sqref="G64:H64 H152">
    <cfRule type="expression" dxfId="947" priority="323" stopIfTrue="1">
      <formula>#REF!=0</formula>
    </cfRule>
    <cfRule type="expression" dxfId="946" priority="324" stopIfTrue="1">
      <formula>AND(G64&lt;&gt;"",G64&lt;&gt;#REF!)</formula>
    </cfRule>
  </conditionalFormatting>
  <conditionalFormatting sqref="G95:H101">
    <cfRule type="expression" dxfId="945" priority="299" stopIfTrue="1">
      <formula>#REF!=0</formula>
    </cfRule>
    <cfRule type="expression" dxfId="944" priority="300" stopIfTrue="1">
      <formula>AND(G95&lt;&gt;"",G95&lt;&gt;G94)</formula>
    </cfRule>
  </conditionalFormatting>
  <conditionalFormatting sqref="H114:H121 H124:H131">
    <cfRule type="expression" dxfId="943" priority="293" stopIfTrue="1">
      <formula>#REF!=0</formula>
    </cfRule>
    <cfRule type="expression" dxfId="942" priority="294" stopIfTrue="1">
      <formula>AND(H114&lt;&gt;"",H114&lt;&gt;H113)</formula>
    </cfRule>
  </conditionalFormatting>
  <conditionalFormatting sqref="H123">
    <cfRule type="expression" dxfId="941" priority="295" stopIfTrue="1">
      <formula>#REF!=0</formula>
    </cfRule>
    <cfRule type="expression" dxfId="940" priority="296" stopIfTrue="1">
      <formula>AND(H123&lt;&gt;"",H123&lt;&gt;H121)</formula>
    </cfRule>
  </conditionalFormatting>
  <conditionalFormatting sqref="G103:H103">
    <cfRule type="expression" dxfId="939" priority="291" stopIfTrue="1">
      <formula>#REF!=0</formula>
    </cfRule>
    <cfRule type="expression" dxfId="938" priority="292" stopIfTrue="1">
      <formula>AND(G103&lt;&gt;"",G103&lt;&gt;G101)</formula>
    </cfRule>
  </conditionalFormatting>
  <conditionalFormatting sqref="G103:H103">
    <cfRule type="expression" dxfId="937" priority="297" stopIfTrue="1">
      <formula>#REF!=0</formula>
    </cfRule>
    <cfRule type="expression" dxfId="936" priority="298" stopIfTrue="1">
      <formula>AND(G103&lt;&gt;"",G103&lt;&gt;#REF!)</formula>
    </cfRule>
  </conditionalFormatting>
  <conditionalFormatting sqref="F5:H5">
    <cfRule type="expression" dxfId="935" priority="289" stopIfTrue="1">
      <formula>#REF!=0</formula>
    </cfRule>
    <cfRule type="expression" dxfId="934" priority="290" stopIfTrue="1">
      <formula>AND(F5&lt;&gt;"",F5&lt;&gt;#REF!)</formula>
    </cfRule>
  </conditionalFormatting>
  <conditionalFormatting sqref="F74:H74">
    <cfRule type="expression" dxfId="933" priority="325" stopIfTrue="1">
      <formula>#REF!=0</formula>
    </cfRule>
    <cfRule type="expression" dxfId="932" priority="326" stopIfTrue="1">
      <formula>AND(F74&lt;&gt;"",F74&lt;&gt;F72)</formula>
    </cfRule>
  </conditionalFormatting>
  <conditionalFormatting sqref="H163:H170">
    <cfRule type="expression" dxfId="931" priority="287" stopIfTrue="1">
      <formula>#REF!=0</formula>
    </cfRule>
    <cfRule type="expression" dxfId="930" priority="288" stopIfTrue="1">
      <formula>AND(H163&lt;&gt;"",H163&lt;&gt;H162)</formula>
    </cfRule>
  </conditionalFormatting>
  <conditionalFormatting sqref="H173:H180">
    <cfRule type="expression" dxfId="929" priority="285" stopIfTrue="1">
      <formula>#REF!=0</formula>
    </cfRule>
    <cfRule type="expression" dxfId="928" priority="286" stopIfTrue="1">
      <formula>AND(H173&lt;&gt;"",H173&lt;&gt;H172)</formula>
    </cfRule>
  </conditionalFormatting>
  <conditionalFormatting sqref="H183:H190">
    <cfRule type="expression" dxfId="927" priority="283" stopIfTrue="1">
      <formula>#REF!=0</formula>
    </cfRule>
    <cfRule type="expression" dxfId="926" priority="284" stopIfTrue="1">
      <formula>AND(H183&lt;&gt;"",H183&lt;&gt;H182)</formula>
    </cfRule>
  </conditionalFormatting>
  <conditionalFormatting sqref="H199">
    <cfRule type="expression" dxfId="925" priority="327" stopIfTrue="1">
      <formula>#REF!=0</formula>
    </cfRule>
    <cfRule type="expression" dxfId="924" priority="328" stopIfTrue="1">
      <formula>AND(H199&lt;&gt;"",H199&lt;&gt;#REF!)</formula>
    </cfRule>
  </conditionalFormatting>
  <conditionalFormatting sqref="H398:H405">
    <cfRule type="expression" dxfId="923" priority="281" stopIfTrue="1">
      <formula>#REF!=0</formula>
    </cfRule>
    <cfRule type="expression" dxfId="922" priority="282" stopIfTrue="1">
      <formula>AND(H398&lt;&gt;"",H398&lt;&gt;H397)</formula>
    </cfRule>
  </conditionalFormatting>
  <conditionalFormatting sqref="F397">
    <cfRule type="expression" dxfId="921" priority="279" stopIfTrue="1">
      <formula>#REF!=0</formula>
    </cfRule>
    <cfRule type="expression" dxfId="920" priority="280" stopIfTrue="1">
      <formula>AND(F397&lt;&gt;"",F397&lt;&gt;F395)</formula>
    </cfRule>
  </conditionalFormatting>
  <conditionalFormatting sqref="F398:F405">
    <cfRule type="expression" dxfId="919" priority="277" stopIfTrue="1">
      <formula>#REF!=0</formula>
    </cfRule>
    <cfRule type="expression" dxfId="918" priority="278" stopIfTrue="1">
      <formula>AND(F398&lt;&gt;"",F398&lt;&gt;F397)</formula>
    </cfRule>
  </conditionalFormatting>
  <conditionalFormatting sqref="G398:G405">
    <cfRule type="expression" dxfId="917" priority="275" stopIfTrue="1">
      <formula>#REF!=0</formula>
    </cfRule>
    <cfRule type="expression" dxfId="916" priority="276" stopIfTrue="1">
      <formula>AND(G398&lt;&gt;"",G398&lt;&gt;G397)</formula>
    </cfRule>
  </conditionalFormatting>
  <conditionalFormatting sqref="F438:H443">
    <cfRule type="expression" dxfId="915" priority="271" stopIfTrue="1">
      <formula>#REF!=0</formula>
    </cfRule>
    <cfRule type="expression" dxfId="914" priority="272" stopIfTrue="1">
      <formula>AND(F438&lt;&gt;"",F438&lt;&gt;F437)</formula>
    </cfRule>
  </conditionalFormatting>
  <conditionalFormatting sqref="H408:H415">
    <cfRule type="expression" dxfId="913" priority="269" stopIfTrue="1">
      <formula>#REF!=0</formula>
    </cfRule>
    <cfRule type="expression" dxfId="912" priority="270" stopIfTrue="1">
      <formula>AND(H408&lt;&gt;"",H408&lt;&gt;H407)</formula>
    </cfRule>
  </conditionalFormatting>
  <conditionalFormatting sqref="F407:G407">
    <cfRule type="expression" dxfId="911" priority="267" stopIfTrue="1">
      <formula>#REF!=0</formula>
    </cfRule>
    <cfRule type="expression" dxfId="910" priority="268" stopIfTrue="1">
      <formula>AND(F407&lt;&gt;"",F407&lt;&gt;F405)</formula>
    </cfRule>
  </conditionalFormatting>
  <conditionalFormatting sqref="F408:F415">
    <cfRule type="expression" dxfId="909" priority="265" stopIfTrue="1">
      <formula>#REF!=0</formula>
    </cfRule>
    <cfRule type="expression" dxfId="908" priority="266" stopIfTrue="1">
      <formula>AND(F408&lt;&gt;"",F408&lt;&gt;F407)</formula>
    </cfRule>
  </conditionalFormatting>
  <conditionalFormatting sqref="G408:G415">
    <cfRule type="expression" dxfId="907" priority="263" stopIfTrue="1">
      <formula>#REF!=0</formula>
    </cfRule>
    <cfRule type="expression" dxfId="906" priority="264" stopIfTrue="1">
      <formula>AND(G408&lt;&gt;"",G408&lt;&gt;G407)</formula>
    </cfRule>
  </conditionalFormatting>
  <conditionalFormatting sqref="H418:H425">
    <cfRule type="expression" dxfId="905" priority="261" stopIfTrue="1">
      <formula>#REF!=0</formula>
    </cfRule>
    <cfRule type="expression" dxfId="904" priority="262" stopIfTrue="1">
      <formula>AND(H418&lt;&gt;"",H418&lt;&gt;H417)</formula>
    </cfRule>
  </conditionalFormatting>
  <conditionalFormatting sqref="F417:G417">
    <cfRule type="expression" dxfId="903" priority="259" stopIfTrue="1">
      <formula>#REF!=0</formula>
    </cfRule>
    <cfRule type="expression" dxfId="902" priority="260" stopIfTrue="1">
      <formula>AND(F417&lt;&gt;"",F417&lt;&gt;F415)</formula>
    </cfRule>
  </conditionalFormatting>
  <conditionalFormatting sqref="F418:F425">
    <cfRule type="expression" dxfId="901" priority="257" stopIfTrue="1">
      <formula>#REF!=0</formula>
    </cfRule>
    <cfRule type="expression" dxfId="900" priority="258" stopIfTrue="1">
      <formula>AND(F418&lt;&gt;"",F418&lt;&gt;F417)</formula>
    </cfRule>
  </conditionalFormatting>
  <conditionalFormatting sqref="G418:G425">
    <cfRule type="expression" dxfId="899" priority="255" stopIfTrue="1">
      <formula>#REF!=0</formula>
    </cfRule>
    <cfRule type="expression" dxfId="898" priority="256" stopIfTrue="1">
      <formula>AND(G418&lt;&gt;"",G418&lt;&gt;G417)</formula>
    </cfRule>
  </conditionalFormatting>
  <conditionalFormatting sqref="H428:H435">
    <cfRule type="expression" dxfId="897" priority="253" stopIfTrue="1">
      <formula>#REF!=0</formula>
    </cfRule>
    <cfRule type="expression" dxfId="896" priority="254" stopIfTrue="1">
      <formula>AND(H428&lt;&gt;"",H428&lt;&gt;H427)</formula>
    </cfRule>
  </conditionalFormatting>
  <conditionalFormatting sqref="F427:G427">
    <cfRule type="expression" dxfId="895" priority="251" stopIfTrue="1">
      <formula>#REF!=0</formula>
    </cfRule>
    <cfRule type="expression" dxfId="894" priority="252" stopIfTrue="1">
      <formula>AND(F427&lt;&gt;"",F427&lt;&gt;F425)</formula>
    </cfRule>
  </conditionalFormatting>
  <conditionalFormatting sqref="F428:F435">
    <cfRule type="expression" dxfId="893" priority="249" stopIfTrue="1">
      <formula>#REF!=0</formula>
    </cfRule>
    <cfRule type="expression" dxfId="892" priority="250" stopIfTrue="1">
      <formula>AND(F428&lt;&gt;"",F428&lt;&gt;F427)</formula>
    </cfRule>
  </conditionalFormatting>
  <conditionalFormatting sqref="G428:G435">
    <cfRule type="expression" dxfId="891" priority="247" stopIfTrue="1">
      <formula>#REF!=0</formula>
    </cfRule>
    <cfRule type="expression" dxfId="890" priority="248" stopIfTrue="1">
      <formula>AND(G428&lt;&gt;"",G428&lt;&gt;G427)</formula>
    </cfRule>
  </conditionalFormatting>
  <conditionalFormatting sqref="F437:G437">
    <cfRule type="expression" dxfId="889" priority="245" stopIfTrue="1">
      <formula>#REF!=0</formula>
    </cfRule>
    <cfRule type="expression" dxfId="888" priority="246" stopIfTrue="1">
      <formula>AND(F437&lt;&gt;"",F437&lt;&gt;F435)</formula>
    </cfRule>
  </conditionalFormatting>
  <conditionalFormatting sqref="F444:H444">
    <cfRule type="expression" dxfId="887" priority="273" stopIfTrue="1">
      <formula>#REF!=0</formula>
    </cfRule>
    <cfRule type="expression" dxfId="886" priority="274" stopIfTrue="1">
      <formula>AND(F444&lt;&gt;"",F444&lt;&gt;#REF!)</formula>
    </cfRule>
  </conditionalFormatting>
  <conditionalFormatting sqref="F134:G141 F124:F131 F114:F121 F144:G150">
    <cfRule type="expression" dxfId="885" priority="241" stopIfTrue="1">
      <formula>#REF!=0</formula>
    </cfRule>
    <cfRule type="expression" dxfId="884" priority="242" stopIfTrue="1">
      <formula>AND(F114&lt;&gt;"",F114&lt;&gt;F113)</formula>
    </cfRule>
  </conditionalFormatting>
  <conditionalFormatting sqref="F133:G133 F143:G143 F113">
    <cfRule type="expression" dxfId="883" priority="243" stopIfTrue="1">
      <formula>#REF!=0</formula>
    </cfRule>
    <cfRule type="expression" dxfId="882" priority="244" stopIfTrue="1">
      <formula>AND(F113&lt;&gt;"",F113&lt;&gt;F111)</formula>
    </cfRule>
  </conditionalFormatting>
  <conditionalFormatting sqref="G124:G131 G114:G121">
    <cfRule type="expression" dxfId="881" priority="237" stopIfTrue="1">
      <formula>#REF!=0</formula>
    </cfRule>
    <cfRule type="expression" dxfId="880" priority="238" stopIfTrue="1">
      <formula>AND(G114&lt;&gt;"",G114&lt;&gt;G113)</formula>
    </cfRule>
  </conditionalFormatting>
  <conditionalFormatting sqref="G123">
    <cfRule type="expression" dxfId="879" priority="239" stopIfTrue="1">
      <formula>#REF!=0</formula>
    </cfRule>
    <cfRule type="expression" dxfId="878" priority="240" stopIfTrue="1">
      <formula>AND(G123&lt;&gt;"",G123&lt;&gt;G121)</formula>
    </cfRule>
  </conditionalFormatting>
  <conditionalFormatting sqref="F152">
    <cfRule type="expression" dxfId="877" priority="235" stopIfTrue="1">
      <formula>#REF!=0</formula>
    </cfRule>
    <cfRule type="expression" dxfId="876" priority="236" stopIfTrue="1">
      <formula>AND(F152&lt;&gt;"",F152&lt;&gt;F150)</formula>
    </cfRule>
  </conditionalFormatting>
  <conditionalFormatting sqref="F153:F160">
    <cfRule type="expression" dxfId="875" priority="233" stopIfTrue="1">
      <formula>#REF!=0</formula>
    </cfRule>
    <cfRule type="expression" dxfId="874" priority="234" stopIfTrue="1">
      <formula>AND(F153&lt;&gt;"",F153&lt;&gt;F152)</formula>
    </cfRule>
  </conditionalFormatting>
  <conditionalFormatting sqref="G153:G160">
    <cfRule type="expression" dxfId="873" priority="229" stopIfTrue="1">
      <formula>#REF!=0</formula>
    </cfRule>
    <cfRule type="expression" dxfId="872" priority="230" stopIfTrue="1">
      <formula>AND(G153&lt;&gt;"",G153&lt;&gt;G152)</formula>
    </cfRule>
  </conditionalFormatting>
  <conditionalFormatting sqref="G152">
    <cfRule type="expression" dxfId="871" priority="227" stopIfTrue="1">
      <formula>#REF!=0</formula>
    </cfRule>
    <cfRule type="expression" dxfId="870" priority="228" stopIfTrue="1">
      <formula>AND(G152&lt;&gt;"",G152&lt;&gt;G150)</formula>
    </cfRule>
  </conditionalFormatting>
  <conditionalFormatting sqref="G152">
    <cfRule type="expression" dxfId="869" priority="231" stopIfTrue="1">
      <formula>#REF!=0</formula>
    </cfRule>
    <cfRule type="expression" dxfId="868" priority="232" stopIfTrue="1">
      <formula>AND(G152&lt;&gt;"",G152&lt;&gt;#REF!)</formula>
    </cfRule>
  </conditionalFormatting>
  <conditionalFormatting sqref="F173:G180 F163:F170 F183:G190">
    <cfRule type="expression" dxfId="867" priority="223" stopIfTrue="1">
      <formula>#REF!=0</formula>
    </cfRule>
    <cfRule type="expression" dxfId="866" priority="224" stopIfTrue="1">
      <formula>AND(F163&lt;&gt;"",F163&lt;&gt;F162)</formula>
    </cfRule>
  </conditionalFormatting>
  <conditionalFormatting sqref="F172:G172">
    <cfRule type="expression" dxfId="865" priority="225" stopIfTrue="1">
      <formula>#REF!=0</formula>
    </cfRule>
    <cfRule type="expression" dxfId="864" priority="226" stopIfTrue="1">
      <formula>AND(F172&lt;&gt;"",F172&lt;&gt;F170)</formula>
    </cfRule>
  </conditionalFormatting>
  <conditionalFormatting sqref="G163:G170">
    <cfRule type="expression" dxfId="863" priority="219" stopIfTrue="1">
      <formula>#REF!=0</formula>
    </cfRule>
    <cfRule type="expression" dxfId="862" priority="220" stopIfTrue="1">
      <formula>AND(G163&lt;&gt;"",G163&lt;&gt;G162)</formula>
    </cfRule>
  </conditionalFormatting>
  <conditionalFormatting sqref="G162">
    <cfRule type="expression" dxfId="861" priority="221" stopIfTrue="1">
      <formula>#REF!=0</formula>
    </cfRule>
    <cfRule type="expression" dxfId="860" priority="222" stopIfTrue="1">
      <formula>AND(G162&lt;&gt;"",G162&lt;&gt;G160)</formula>
    </cfRule>
  </conditionalFormatting>
  <conditionalFormatting sqref="F193:G199">
    <cfRule type="expression" dxfId="859" priority="217" stopIfTrue="1">
      <formula>#REF!=0</formula>
    </cfRule>
    <cfRule type="expression" dxfId="858" priority="218" stopIfTrue="1">
      <formula>AND(F193&lt;&gt;"",F193&lt;&gt;F192)</formula>
    </cfRule>
  </conditionalFormatting>
  <conditionalFormatting sqref="F182:G182">
    <cfRule type="expression" dxfId="857" priority="215" stopIfTrue="1">
      <formula>#REF!=0</formula>
    </cfRule>
    <cfRule type="expression" dxfId="856" priority="216" stopIfTrue="1">
      <formula>AND(F182&lt;&gt;"",F182&lt;&gt;F180)</formula>
    </cfRule>
  </conditionalFormatting>
  <conditionalFormatting sqref="F201:H201">
    <cfRule type="expression" dxfId="855" priority="213" stopIfTrue="1">
      <formula>#REF!=0</formula>
    </cfRule>
    <cfRule type="expression" dxfId="854" priority="214" stopIfTrue="1">
      <formula>AND(F201&lt;&gt;"",F201&lt;&gt;F199)</formula>
    </cfRule>
  </conditionalFormatting>
  <conditionalFormatting sqref="F202:F209">
    <cfRule type="expression" dxfId="853" priority="211" stopIfTrue="1">
      <formula>#REF!=0</formula>
    </cfRule>
    <cfRule type="expression" dxfId="852" priority="212" stopIfTrue="1">
      <formula>AND(F202&lt;&gt;"",F202&lt;&gt;F201)</formula>
    </cfRule>
  </conditionalFormatting>
  <conditionalFormatting sqref="F222:G229 F212:F219 F232:G239">
    <cfRule type="expression" dxfId="851" priority="207" stopIfTrue="1">
      <formula>#REF!=0</formula>
    </cfRule>
    <cfRule type="expression" dxfId="850" priority="208" stopIfTrue="1">
      <formula>AND(F212&lt;&gt;"",F212&lt;&gt;F211)</formula>
    </cfRule>
  </conditionalFormatting>
  <conditionalFormatting sqref="F221:G221">
    <cfRule type="expression" dxfId="849" priority="209" stopIfTrue="1">
      <formula>#REF!=0</formula>
    </cfRule>
    <cfRule type="expression" dxfId="848" priority="210" stopIfTrue="1">
      <formula>AND(F221&lt;&gt;"",F221&lt;&gt;F219)</formula>
    </cfRule>
  </conditionalFormatting>
  <conditionalFormatting sqref="G212:G219">
    <cfRule type="expression" dxfId="847" priority="203" stopIfTrue="1">
      <formula>#REF!=0</formula>
    </cfRule>
    <cfRule type="expression" dxfId="846" priority="204" stopIfTrue="1">
      <formula>AND(G212&lt;&gt;"",G212&lt;&gt;G211)</formula>
    </cfRule>
  </conditionalFormatting>
  <conditionalFormatting sqref="G211">
    <cfRule type="expression" dxfId="845" priority="205" stopIfTrue="1">
      <formula>#REF!=0</formula>
    </cfRule>
    <cfRule type="expression" dxfId="844" priority="206" stopIfTrue="1">
      <formula>AND(G211&lt;&gt;"",G211&lt;&gt;G209)</formula>
    </cfRule>
  </conditionalFormatting>
  <conditionalFormatting sqref="F242:G248">
    <cfRule type="expression" dxfId="843" priority="201" stopIfTrue="1">
      <formula>#REF!=0</formula>
    </cfRule>
    <cfRule type="expression" dxfId="842" priority="202" stopIfTrue="1">
      <formula>AND(F242&lt;&gt;"",F242&lt;&gt;F241)</formula>
    </cfRule>
  </conditionalFormatting>
  <conditionalFormatting sqref="F231:G231">
    <cfRule type="expression" dxfId="841" priority="199" stopIfTrue="1">
      <formula>#REF!=0</formula>
    </cfRule>
    <cfRule type="expression" dxfId="840" priority="200" stopIfTrue="1">
      <formula>AND(F231&lt;&gt;"",F231&lt;&gt;F229)</formula>
    </cfRule>
  </conditionalFormatting>
  <conditionalFormatting sqref="F250">
    <cfRule type="expression" dxfId="839" priority="197" stopIfTrue="1">
      <formula>#REF!=0</formula>
    </cfRule>
    <cfRule type="expression" dxfId="838" priority="198" stopIfTrue="1">
      <formula>AND(F250&lt;&gt;"",F250&lt;&gt;F248)</formula>
    </cfRule>
  </conditionalFormatting>
  <conditionalFormatting sqref="F251:F258">
    <cfRule type="expression" dxfId="837" priority="195" stopIfTrue="1">
      <formula>#REF!=0</formula>
    </cfRule>
    <cfRule type="expression" dxfId="836" priority="196" stopIfTrue="1">
      <formula>AND(F251&lt;&gt;"",F251&lt;&gt;F250)</formula>
    </cfRule>
  </conditionalFormatting>
  <conditionalFormatting sqref="G251:G258">
    <cfRule type="expression" dxfId="835" priority="191" stopIfTrue="1">
      <formula>#REF!=0</formula>
    </cfRule>
    <cfRule type="expression" dxfId="834" priority="192" stopIfTrue="1">
      <formula>AND(G251&lt;&gt;"",G251&lt;&gt;G250)</formula>
    </cfRule>
  </conditionalFormatting>
  <conditionalFormatting sqref="G250">
    <cfRule type="expression" dxfId="833" priority="189" stopIfTrue="1">
      <formula>#REF!=0</formula>
    </cfRule>
    <cfRule type="expression" dxfId="832" priority="190" stopIfTrue="1">
      <formula>AND(G250&lt;&gt;"",G250&lt;&gt;G248)</formula>
    </cfRule>
  </conditionalFormatting>
  <conditionalFormatting sqref="G250">
    <cfRule type="expression" dxfId="831" priority="193" stopIfTrue="1">
      <formula>#REF!=0</formula>
    </cfRule>
    <cfRule type="expression" dxfId="830" priority="194" stopIfTrue="1">
      <formula>AND(G250&lt;&gt;"",G250&lt;&gt;#REF!)</formula>
    </cfRule>
  </conditionalFormatting>
  <conditionalFormatting sqref="F271:G278 F261:F268 F281:G288">
    <cfRule type="expression" dxfId="829" priority="185" stopIfTrue="1">
      <formula>#REF!=0</formula>
    </cfRule>
    <cfRule type="expression" dxfId="828" priority="186" stopIfTrue="1">
      <formula>AND(F261&lt;&gt;"",F261&lt;&gt;F260)</formula>
    </cfRule>
  </conditionalFormatting>
  <conditionalFormatting sqref="F270:G270">
    <cfRule type="expression" dxfId="827" priority="187" stopIfTrue="1">
      <formula>#REF!=0</formula>
    </cfRule>
    <cfRule type="expression" dxfId="826" priority="188" stopIfTrue="1">
      <formula>AND(F270&lt;&gt;"",F270&lt;&gt;F268)</formula>
    </cfRule>
  </conditionalFormatting>
  <conditionalFormatting sqref="G261:G268">
    <cfRule type="expression" dxfId="825" priority="181" stopIfTrue="1">
      <formula>#REF!=0</formula>
    </cfRule>
    <cfRule type="expression" dxfId="824" priority="182" stopIfTrue="1">
      <formula>AND(G261&lt;&gt;"",G261&lt;&gt;G260)</formula>
    </cfRule>
  </conditionalFormatting>
  <conditionalFormatting sqref="G260">
    <cfRule type="expression" dxfId="823" priority="183" stopIfTrue="1">
      <formula>#REF!=0</formula>
    </cfRule>
    <cfRule type="expression" dxfId="822" priority="184" stopIfTrue="1">
      <formula>AND(G260&lt;&gt;"",G260&lt;&gt;G258)</formula>
    </cfRule>
  </conditionalFormatting>
  <conditionalFormatting sqref="F291:G297">
    <cfRule type="expression" dxfId="821" priority="179" stopIfTrue="1">
      <formula>#REF!=0</formula>
    </cfRule>
    <cfRule type="expression" dxfId="820" priority="180" stopIfTrue="1">
      <formula>AND(F291&lt;&gt;"",F291&lt;&gt;F290)</formula>
    </cfRule>
  </conditionalFormatting>
  <conditionalFormatting sqref="F280:G280">
    <cfRule type="expression" dxfId="819" priority="177" stopIfTrue="1">
      <formula>#REF!=0</formula>
    </cfRule>
    <cfRule type="expression" dxfId="818" priority="178" stopIfTrue="1">
      <formula>AND(F280&lt;&gt;"",F280&lt;&gt;F278)</formula>
    </cfRule>
  </conditionalFormatting>
  <conditionalFormatting sqref="G241">
    <cfRule type="expression" dxfId="817" priority="175" stopIfTrue="1">
      <formula>#REF!=0</formula>
    </cfRule>
    <cfRule type="expression" dxfId="816" priority="176" stopIfTrue="1">
      <formula>AND(G241&lt;&gt;"",G241&lt;&gt;G240)</formula>
    </cfRule>
  </conditionalFormatting>
  <conditionalFormatting sqref="H113">
    <cfRule type="expression" dxfId="815" priority="329" stopIfTrue="1">
      <formula>#REF!=0</formula>
    </cfRule>
    <cfRule type="expression" dxfId="814" priority="330" stopIfTrue="1">
      <formula>AND(H113&lt;&gt;"",H113&lt;&gt;#REF!)</formula>
    </cfRule>
  </conditionalFormatting>
  <conditionalFormatting sqref="F162">
    <cfRule type="expression" dxfId="813" priority="173" stopIfTrue="1">
      <formula>#REF!=0</formula>
    </cfRule>
    <cfRule type="expression" dxfId="812" priority="174" stopIfTrue="1">
      <formula>AND(F162&lt;&gt;"",F162&lt;&gt;F161)</formula>
    </cfRule>
  </conditionalFormatting>
  <conditionalFormatting sqref="G202:G209">
    <cfRule type="expression" dxfId="811" priority="171" stopIfTrue="1">
      <formula>#REF!=0</formula>
    </cfRule>
    <cfRule type="expression" dxfId="810" priority="172" stopIfTrue="1">
      <formula>AND(G202&lt;&gt;"",G202&lt;&gt;G201)</formula>
    </cfRule>
  </conditionalFormatting>
  <conditionalFormatting sqref="H211">
    <cfRule type="expression" dxfId="809" priority="167" stopIfTrue="1">
      <formula>#REF!=0</formula>
    </cfRule>
    <cfRule type="expression" dxfId="808" priority="168" stopIfTrue="1">
      <formula>AND(H211&lt;&gt;"",H211&lt;&gt;H209)</formula>
    </cfRule>
  </conditionalFormatting>
  <conditionalFormatting sqref="H211">
    <cfRule type="expression" dxfId="807" priority="169" stopIfTrue="1">
      <formula>#REF!=0</formula>
    </cfRule>
    <cfRule type="expression" dxfId="806" priority="170" stopIfTrue="1">
      <formula>AND(H211&lt;&gt;"",H211&lt;&gt;#REF!)</formula>
    </cfRule>
  </conditionalFormatting>
  <conditionalFormatting sqref="H212:H219">
    <cfRule type="expression" dxfId="805" priority="165" stopIfTrue="1">
      <formula>#REF!=0</formula>
    </cfRule>
    <cfRule type="expression" dxfId="804" priority="166" stopIfTrue="1">
      <formula>AND(H212&lt;&gt;"",H212&lt;&gt;H211)</formula>
    </cfRule>
  </conditionalFormatting>
  <conditionalFormatting sqref="H231">
    <cfRule type="expression" dxfId="803" priority="161" stopIfTrue="1">
      <formula>#REF!=0</formula>
    </cfRule>
    <cfRule type="expression" dxfId="802" priority="162" stopIfTrue="1">
      <formula>AND(H231&lt;&gt;"",H231&lt;&gt;H229)</formula>
    </cfRule>
  </conditionalFormatting>
  <conditionalFormatting sqref="H231">
    <cfRule type="expression" dxfId="801" priority="163" stopIfTrue="1">
      <formula>#REF!=0</formula>
    </cfRule>
    <cfRule type="expression" dxfId="800" priority="164" stopIfTrue="1">
      <formula>AND(H231&lt;&gt;"",H231&lt;&gt;#REF!)</formula>
    </cfRule>
  </conditionalFormatting>
  <conditionalFormatting sqref="H232:H239">
    <cfRule type="expression" dxfId="799" priority="159" stopIfTrue="1">
      <formula>#REF!=0</formula>
    </cfRule>
    <cfRule type="expression" dxfId="798" priority="160" stopIfTrue="1">
      <formula>AND(H232&lt;&gt;"",H232&lt;&gt;H231)</formula>
    </cfRule>
  </conditionalFormatting>
  <conditionalFormatting sqref="H241">
    <cfRule type="expression" dxfId="797" priority="155" stopIfTrue="1">
      <formula>#REF!=0</formula>
    </cfRule>
    <cfRule type="expression" dxfId="796" priority="156" stopIfTrue="1">
      <formula>AND(H241&lt;&gt;"",H241&lt;&gt;H239)</formula>
    </cfRule>
  </conditionalFormatting>
  <conditionalFormatting sqref="H241">
    <cfRule type="expression" dxfId="795" priority="157" stopIfTrue="1">
      <formula>#REF!=0</formula>
    </cfRule>
    <cfRule type="expression" dxfId="794" priority="158" stopIfTrue="1">
      <formula>AND(H241&lt;&gt;"",H241&lt;&gt;#REF!)</formula>
    </cfRule>
  </conditionalFormatting>
  <conditionalFormatting sqref="H242:H247">
    <cfRule type="expression" dxfId="793" priority="153" stopIfTrue="1">
      <formula>#REF!=0</formula>
    </cfRule>
    <cfRule type="expression" dxfId="792" priority="154" stopIfTrue="1">
      <formula>AND(H242&lt;&gt;"",H242&lt;&gt;H241)</formula>
    </cfRule>
  </conditionalFormatting>
  <conditionalFormatting sqref="H248">
    <cfRule type="expression" dxfId="791" priority="151" stopIfTrue="1">
      <formula>#REF!=0</formula>
    </cfRule>
    <cfRule type="expression" dxfId="790" priority="152" stopIfTrue="1">
      <formula>AND(H248&lt;&gt;"",H248&lt;&gt;H247)</formula>
    </cfRule>
  </conditionalFormatting>
  <conditionalFormatting sqref="H221">
    <cfRule type="expression" dxfId="789" priority="147" stopIfTrue="1">
      <formula>#REF!=0</formula>
    </cfRule>
    <cfRule type="expression" dxfId="788" priority="148" stopIfTrue="1">
      <formula>AND(H221&lt;&gt;"",H221&lt;&gt;H219)</formula>
    </cfRule>
  </conditionalFormatting>
  <conditionalFormatting sqref="H221">
    <cfRule type="expression" dxfId="787" priority="149" stopIfTrue="1">
      <formula>#REF!=0</formula>
    </cfRule>
    <cfRule type="expression" dxfId="786" priority="150" stopIfTrue="1">
      <formula>AND(H221&lt;&gt;"",H221&lt;&gt;#REF!)</formula>
    </cfRule>
  </conditionalFormatting>
  <conditionalFormatting sqref="H222:H229">
    <cfRule type="expression" dxfId="785" priority="145" stopIfTrue="1">
      <formula>#REF!=0</formula>
    </cfRule>
    <cfRule type="expression" dxfId="784" priority="146" stopIfTrue="1">
      <formula>AND(H222&lt;&gt;"",H222&lt;&gt;H221)</formula>
    </cfRule>
  </conditionalFormatting>
  <conditionalFormatting sqref="H250">
    <cfRule type="expression" dxfId="783" priority="141" stopIfTrue="1">
      <formula>#REF!=0</formula>
    </cfRule>
    <cfRule type="expression" dxfId="782" priority="142" stopIfTrue="1">
      <formula>AND(H250&lt;&gt;"",H250&lt;&gt;H248)</formula>
    </cfRule>
  </conditionalFormatting>
  <conditionalFormatting sqref="H250">
    <cfRule type="expression" dxfId="781" priority="143" stopIfTrue="1">
      <formula>#REF!=0</formula>
    </cfRule>
    <cfRule type="expression" dxfId="780" priority="144" stopIfTrue="1">
      <formula>AND(H250&lt;&gt;"",H250&lt;&gt;#REF!)</formula>
    </cfRule>
  </conditionalFormatting>
  <conditionalFormatting sqref="H251:H258">
    <cfRule type="expression" dxfId="779" priority="139" stopIfTrue="1">
      <formula>#REF!=0</formula>
    </cfRule>
    <cfRule type="expression" dxfId="778" priority="140" stopIfTrue="1">
      <formula>AND(H251&lt;&gt;"",H251&lt;&gt;H250)</formula>
    </cfRule>
  </conditionalFormatting>
  <conditionalFormatting sqref="H260">
    <cfRule type="expression" dxfId="777" priority="135" stopIfTrue="1">
      <formula>#REF!=0</formula>
    </cfRule>
    <cfRule type="expression" dxfId="776" priority="136" stopIfTrue="1">
      <formula>AND(H260&lt;&gt;"",H260&lt;&gt;H258)</formula>
    </cfRule>
  </conditionalFormatting>
  <conditionalFormatting sqref="H260">
    <cfRule type="expression" dxfId="775" priority="137" stopIfTrue="1">
      <formula>#REF!=0</formula>
    </cfRule>
    <cfRule type="expression" dxfId="774" priority="138" stopIfTrue="1">
      <formula>AND(H260&lt;&gt;"",H260&lt;&gt;#REF!)</formula>
    </cfRule>
  </conditionalFormatting>
  <conditionalFormatting sqref="H261:H268">
    <cfRule type="expression" dxfId="773" priority="133" stopIfTrue="1">
      <formula>#REF!=0</formula>
    </cfRule>
    <cfRule type="expression" dxfId="772" priority="134" stopIfTrue="1">
      <formula>AND(H261&lt;&gt;"",H261&lt;&gt;H260)</formula>
    </cfRule>
  </conditionalFormatting>
  <conditionalFormatting sqref="H280">
    <cfRule type="expression" dxfId="771" priority="129" stopIfTrue="1">
      <formula>#REF!=0</formula>
    </cfRule>
    <cfRule type="expression" dxfId="770" priority="130" stopIfTrue="1">
      <formula>AND(H280&lt;&gt;"",H280&lt;&gt;H278)</formula>
    </cfRule>
  </conditionalFormatting>
  <conditionalFormatting sqref="H280">
    <cfRule type="expression" dxfId="769" priority="131" stopIfTrue="1">
      <formula>#REF!=0</formula>
    </cfRule>
    <cfRule type="expression" dxfId="768" priority="132" stopIfTrue="1">
      <formula>AND(H280&lt;&gt;"",H280&lt;&gt;#REF!)</formula>
    </cfRule>
  </conditionalFormatting>
  <conditionalFormatting sqref="H281:H288">
    <cfRule type="expression" dxfId="767" priority="127" stopIfTrue="1">
      <formula>#REF!=0</formula>
    </cfRule>
    <cfRule type="expression" dxfId="766" priority="128" stopIfTrue="1">
      <formula>AND(H281&lt;&gt;"",H281&lt;&gt;H280)</formula>
    </cfRule>
  </conditionalFormatting>
  <conditionalFormatting sqref="H290">
    <cfRule type="expression" dxfId="765" priority="123" stopIfTrue="1">
      <formula>#REF!=0</formula>
    </cfRule>
    <cfRule type="expression" dxfId="764" priority="124" stopIfTrue="1">
      <formula>AND(H290&lt;&gt;"",H290&lt;&gt;H288)</formula>
    </cfRule>
  </conditionalFormatting>
  <conditionalFormatting sqref="H290">
    <cfRule type="expression" dxfId="763" priority="125" stopIfTrue="1">
      <formula>#REF!=0</formula>
    </cfRule>
    <cfRule type="expression" dxfId="762" priority="126" stopIfTrue="1">
      <formula>AND(H290&lt;&gt;"",H290&lt;&gt;#REF!)</formula>
    </cfRule>
  </conditionalFormatting>
  <conditionalFormatting sqref="H291:H296">
    <cfRule type="expression" dxfId="761" priority="121" stopIfTrue="1">
      <formula>#REF!=0</formula>
    </cfRule>
    <cfRule type="expression" dxfId="760" priority="122" stopIfTrue="1">
      <formula>AND(H291&lt;&gt;"",H291&lt;&gt;H290)</formula>
    </cfRule>
  </conditionalFormatting>
  <conditionalFormatting sqref="H297">
    <cfRule type="expression" dxfId="759" priority="119" stopIfTrue="1">
      <formula>#REF!=0</formula>
    </cfRule>
    <cfRule type="expression" dxfId="758" priority="120" stopIfTrue="1">
      <formula>AND(H297&lt;&gt;"",H297&lt;&gt;H296)</formula>
    </cfRule>
  </conditionalFormatting>
  <conditionalFormatting sqref="H270">
    <cfRule type="expression" dxfId="757" priority="115" stopIfTrue="1">
      <formula>#REF!=0</formula>
    </cfRule>
    <cfRule type="expression" dxfId="756" priority="116" stopIfTrue="1">
      <formula>AND(H270&lt;&gt;"",H270&lt;&gt;H268)</formula>
    </cfRule>
  </conditionalFormatting>
  <conditionalFormatting sqref="H270">
    <cfRule type="expression" dxfId="755" priority="117" stopIfTrue="1">
      <formula>#REF!=0</formula>
    </cfRule>
    <cfRule type="expression" dxfId="754" priority="118" stopIfTrue="1">
      <formula>AND(H270&lt;&gt;"",H270&lt;&gt;#REF!)</formula>
    </cfRule>
  </conditionalFormatting>
  <conditionalFormatting sqref="H271:H278">
    <cfRule type="expression" dxfId="753" priority="113" stopIfTrue="1">
      <formula>#REF!=0</formula>
    </cfRule>
    <cfRule type="expression" dxfId="752" priority="114" stopIfTrue="1">
      <formula>AND(H271&lt;&gt;"",H271&lt;&gt;H270)</formula>
    </cfRule>
  </conditionalFormatting>
  <conditionalFormatting sqref="F299">
    <cfRule type="expression" dxfId="751" priority="111" stopIfTrue="1">
      <formula>#REF!=0</formula>
    </cfRule>
    <cfRule type="expression" dxfId="750" priority="112" stopIfTrue="1">
      <formula>AND(F299&lt;&gt;"",F299&lt;&gt;F297)</formula>
    </cfRule>
  </conditionalFormatting>
  <conditionalFormatting sqref="F300:F307">
    <cfRule type="expression" dxfId="749" priority="109" stopIfTrue="1">
      <formula>#REF!=0</formula>
    </cfRule>
    <cfRule type="expression" dxfId="748" priority="110" stopIfTrue="1">
      <formula>AND(F300&lt;&gt;"",F300&lt;&gt;F299)</formula>
    </cfRule>
  </conditionalFormatting>
  <conditionalFormatting sqref="G300:G307">
    <cfRule type="expression" dxfId="747" priority="105" stopIfTrue="1">
      <formula>#REF!=0</formula>
    </cfRule>
    <cfRule type="expression" dxfId="746" priority="106" stopIfTrue="1">
      <formula>AND(G300&lt;&gt;"",G300&lt;&gt;G299)</formula>
    </cfRule>
  </conditionalFormatting>
  <conditionalFormatting sqref="G299">
    <cfRule type="expression" dxfId="745" priority="103" stopIfTrue="1">
      <formula>#REF!=0</formula>
    </cfRule>
    <cfRule type="expression" dxfId="744" priority="104" stopIfTrue="1">
      <formula>AND(G299&lt;&gt;"",G299&lt;&gt;G297)</formula>
    </cfRule>
  </conditionalFormatting>
  <conditionalFormatting sqref="G299">
    <cfRule type="expression" dxfId="743" priority="107" stopIfTrue="1">
      <formula>#REF!=0</formula>
    </cfRule>
    <cfRule type="expression" dxfId="742" priority="108" stopIfTrue="1">
      <formula>AND(G299&lt;&gt;"",G299&lt;&gt;#REF!)</formula>
    </cfRule>
  </conditionalFormatting>
  <conditionalFormatting sqref="F320:G327 F310:F317 F330:G337">
    <cfRule type="expression" dxfId="741" priority="99" stopIfTrue="1">
      <formula>#REF!=0</formula>
    </cfRule>
    <cfRule type="expression" dxfId="740" priority="100" stopIfTrue="1">
      <formula>AND(F310&lt;&gt;"",F310&lt;&gt;F309)</formula>
    </cfRule>
  </conditionalFormatting>
  <conditionalFormatting sqref="F319:G319">
    <cfRule type="expression" dxfId="739" priority="101" stopIfTrue="1">
      <formula>#REF!=0</formula>
    </cfRule>
    <cfRule type="expression" dxfId="738" priority="102" stopIfTrue="1">
      <formula>AND(F319&lt;&gt;"",F319&lt;&gt;F317)</formula>
    </cfRule>
  </conditionalFormatting>
  <conditionalFormatting sqref="G310:G317">
    <cfRule type="expression" dxfId="737" priority="95" stopIfTrue="1">
      <formula>#REF!=0</formula>
    </cfRule>
    <cfRule type="expression" dxfId="736" priority="96" stopIfTrue="1">
      <formula>AND(G310&lt;&gt;"",G310&lt;&gt;G309)</formula>
    </cfRule>
  </conditionalFormatting>
  <conditionalFormatting sqref="G309">
    <cfRule type="expression" dxfId="735" priority="97" stopIfTrue="1">
      <formula>#REF!=0</formula>
    </cfRule>
    <cfRule type="expression" dxfId="734" priority="98" stopIfTrue="1">
      <formula>AND(G309&lt;&gt;"",G309&lt;&gt;G307)</formula>
    </cfRule>
  </conditionalFormatting>
  <conditionalFormatting sqref="F340:G346">
    <cfRule type="expression" dxfId="733" priority="93" stopIfTrue="1">
      <formula>#REF!=0</formula>
    </cfRule>
    <cfRule type="expression" dxfId="732" priority="94" stopIfTrue="1">
      <formula>AND(F340&lt;&gt;"",F340&lt;&gt;F339)</formula>
    </cfRule>
  </conditionalFormatting>
  <conditionalFormatting sqref="F329:G329">
    <cfRule type="expression" dxfId="731" priority="91" stopIfTrue="1">
      <formula>#REF!=0</formula>
    </cfRule>
    <cfRule type="expression" dxfId="730" priority="92" stopIfTrue="1">
      <formula>AND(F329&lt;&gt;"",F329&lt;&gt;F327)</formula>
    </cfRule>
  </conditionalFormatting>
  <conditionalFormatting sqref="H299">
    <cfRule type="expression" dxfId="729" priority="87" stopIfTrue="1">
      <formula>#REF!=0</formula>
    </cfRule>
    <cfRule type="expression" dxfId="728" priority="88" stopIfTrue="1">
      <formula>AND(H299&lt;&gt;"",H299&lt;&gt;H297)</formula>
    </cfRule>
  </conditionalFormatting>
  <conditionalFormatting sqref="H299">
    <cfRule type="expression" dxfId="727" priority="89" stopIfTrue="1">
      <formula>#REF!=0</formula>
    </cfRule>
    <cfRule type="expression" dxfId="726" priority="90" stopIfTrue="1">
      <formula>AND(H299&lt;&gt;"",H299&lt;&gt;#REF!)</formula>
    </cfRule>
  </conditionalFormatting>
  <conditionalFormatting sqref="H300:H307">
    <cfRule type="expression" dxfId="725" priority="85" stopIfTrue="1">
      <formula>#REF!=0</formula>
    </cfRule>
    <cfRule type="expression" dxfId="724" priority="86" stopIfTrue="1">
      <formula>AND(H300&lt;&gt;"",H300&lt;&gt;H299)</formula>
    </cfRule>
  </conditionalFormatting>
  <conditionalFormatting sqref="H309">
    <cfRule type="expression" dxfId="723" priority="81" stopIfTrue="1">
      <formula>#REF!=0</formula>
    </cfRule>
    <cfRule type="expression" dxfId="722" priority="82" stopIfTrue="1">
      <formula>AND(H309&lt;&gt;"",H309&lt;&gt;H307)</formula>
    </cfRule>
  </conditionalFormatting>
  <conditionalFormatting sqref="H309">
    <cfRule type="expression" dxfId="721" priority="83" stopIfTrue="1">
      <formula>#REF!=0</formula>
    </cfRule>
    <cfRule type="expression" dxfId="720" priority="84" stopIfTrue="1">
      <formula>AND(H309&lt;&gt;"",H309&lt;&gt;#REF!)</formula>
    </cfRule>
  </conditionalFormatting>
  <conditionalFormatting sqref="H310:H317">
    <cfRule type="expression" dxfId="719" priority="79" stopIfTrue="1">
      <formula>#REF!=0</formula>
    </cfRule>
    <cfRule type="expression" dxfId="718" priority="80" stopIfTrue="1">
      <formula>AND(H310&lt;&gt;"",H310&lt;&gt;H309)</formula>
    </cfRule>
  </conditionalFormatting>
  <conditionalFormatting sqref="H329">
    <cfRule type="expression" dxfId="717" priority="75" stopIfTrue="1">
      <formula>#REF!=0</formula>
    </cfRule>
    <cfRule type="expression" dxfId="716" priority="76" stopIfTrue="1">
      <formula>AND(H329&lt;&gt;"",H329&lt;&gt;H327)</formula>
    </cfRule>
  </conditionalFormatting>
  <conditionalFormatting sqref="H329">
    <cfRule type="expression" dxfId="715" priority="77" stopIfTrue="1">
      <formula>#REF!=0</formula>
    </cfRule>
    <cfRule type="expression" dxfId="714" priority="78" stopIfTrue="1">
      <formula>AND(H329&lt;&gt;"",H329&lt;&gt;#REF!)</formula>
    </cfRule>
  </conditionalFormatting>
  <conditionalFormatting sqref="H330:H337">
    <cfRule type="expression" dxfId="713" priority="73" stopIfTrue="1">
      <formula>#REF!=0</formula>
    </cfRule>
    <cfRule type="expression" dxfId="712" priority="74" stopIfTrue="1">
      <formula>AND(H330&lt;&gt;"",H330&lt;&gt;H329)</formula>
    </cfRule>
  </conditionalFormatting>
  <conditionalFormatting sqref="H339">
    <cfRule type="expression" dxfId="711" priority="69" stopIfTrue="1">
      <formula>#REF!=0</formula>
    </cfRule>
    <cfRule type="expression" dxfId="710" priority="70" stopIfTrue="1">
      <formula>AND(H339&lt;&gt;"",H339&lt;&gt;H337)</formula>
    </cfRule>
  </conditionalFormatting>
  <conditionalFormatting sqref="H339">
    <cfRule type="expression" dxfId="709" priority="71" stopIfTrue="1">
      <formula>#REF!=0</formula>
    </cfRule>
    <cfRule type="expression" dxfId="708" priority="72" stopIfTrue="1">
      <formula>AND(H339&lt;&gt;"",H339&lt;&gt;#REF!)</formula>
    </cfRule>
  </conditionalFormatting>
  <conditionalFormatting sqref="H340:H345">
    <cfRule type="expression" dxfId="707" priority="67" stopIfTrue="1">
      <formula>#REF!=0</formula>
    </cfRule>
    <cfRule type="expression" dxfId="706" priority="68" stopIfTrue="1">
      <formula>AND(H340&lt;&gt;"",H340&lt;&gt;H339)</formula>
    </cfRule>
  </conditionalFormatting>
  <conditionalFormatting sqref="H346">
    <cfRule type="expression" dxfId="705" priority="65" stopIfTrue="1">
      <formula>#REF!=0</formula>
    </cfRule>
    <cfRule type="expression" dxfId="704" priority="66" stopIfTrue="1">
      <formula>AND(H346&lt;&gt;"",H346&lt;&gt;H345)</formula>
    </cfRule>
  </conditionalFormatting>
  <conditionalFormatting sqref="H319">
    <cfRule type="expression" dxfId="703" priority="61" stopIfTrue="1">
      <formula>#REF!=0</formula>
    </cfRule>
    <cfRule type="expression" dxfId="702" priority="62" stopIfTrue="1">
      <formula>AND(H319&lt;&gt;"",H319&lt;&gt;H317)</formula>
    </cfRule>
  </conditionalFormatting>
  <conditionalFormatting sqref="H319">
    <cfRule type="expression" dxfId="701" priority="63" stopIfTrue="1">
      <formula>#REF!=0</formula>
    </cfRule>
    <cfRule type="expression" dxfId="700" priority="64" stopIfTrue="1">
      <formula>AND(H319&lt;&gt;"",H319&lt;&gt;#REF!)</formula>
    </cfRule>
  </conditionalFormatting>
  <conditionalFormatting sqref="H320:H327">
    <cfRule type="expression" dxfId="699" priority="59" stopIfTrue="1">
      <formula>#REF!=0</formula>
    </cfRule>
    <cfRule type="expression" dxfId="698" priority="60" stopIfTrue="1">
      <formula>AND(H320&lt;&gt;"",H320&lt;&gt;H319)</formula>
    </cfRule>
  </conditionalFormatting>
  <conditionalFormatting sqref="F348">
    <cfRule type="expression" dxfId="697" priority="57" stopIfTrue="1">
      <formula>#REF!=0</formula>
    </cfRule>
    <cfRule type="expression" dxfId="696" priority="58" stopIfTrue="1">
      <formula>AND(F348&lt;&gt;"",F348&lt;&gt;F346)</formula>
    </cfRule>
  </conditionalFormatting>
  <conditionalFormatting sqref="F349:F356">
    <cfRule type="expression" dxfId="695" priority="55" stopIfTrue="1">
      <formula>#REF!=0</formula>
    </cfRule>
    <cfRule type="expression" dxfId="694" priority="56" stopIfTrue="1">
      <formula>AND(F349&lt;&gt;"",F349&lt;&gt;F348)</formula>
    </cfRule>
  </conditionalFormatting>
  <conditionalFormatting sqref="G349:G356">
    <cfRule type="expression" dxfId="693" priority="51" stopIfTrue="1">
      <formula>#REF!=0</formula>
    </cfRule>
    <cfRule type="expression" dxfId="692" priority="52" stopIfTrue="1">
      <formula>AND(G349&lt;&gt;"",G349&lt;&gt;G348)</formula>
    </cfRule>
  </conditionalFormatting>
  <conditionalFormatting sqref="G348">
    <cfRule type="expression" dxfId="691" priority="49" stopIfTrue="1">
      <formula>#REF!=0</formula>
    </cfRule>
    <cfRule type="expression" dxfId="690" priority="50" stopIfTrue="1">
      <formula>AND(G348&lt;&gt;"",G348&lt;&gt;G346)</formula>
    </cfRule>
  </conditionalFormatting>
  <conditionalFormatting sqref="G348">
    <cfRule type="expression" dxfId="689" priority="53" stopIfTrue="1">
      <formula>#REF!=0</formula>
    </cfRule>
    <cfRule type="expression" dxfId="688" priority="54" stopIfTrue="1">
      <formula>AND(G348&lt;&gt;"",G348&lt;&gt;#REF!)</formula>
    </cfRule>
  </conditionalFormatting>
  <conditionalFormatting sqref="F369:G376 F359:F366 F379:G386">
    <cfRule type="expression" dxfId="687" priority="45" stopIfTrue="1">
      <formula>#REF!=0</formula>
    </cfRule>
    <cfRule type="expression" dxfId="686" priority="46" stopIfTrue="1">
      <formula>AND(F359&lt;&gt;"",F359&lt;&gt;F358)</formula>
    </cfRule>
  </conditionalFormatting>
  <conditionalFormatting sqref="F368:G368">
    <cfRule type="expression" dxfId="685" priority="47" stopIfTrue="1">
      <formula>#REF!=0</formula>
    </cfRule>
    <cfRule type="expression" dxfId="684" priority="48" stopIfTrue="1">
      <formula>AND(F368&lt;&gt;"",F368&lt;&gt;F366)</formula>
    </cfRule>
  </conditionalFormatting>
  <conditionalFormatting sqref="G359:G366">
    <cfRule type="expression" dxfId="683" priority="41" stopIfTrue="1">
      <formula>#REF!=0</formula>
    </cfRule>
    <cfRule type="expression" dxfId="682" priority="42" stopIfTrue="1">
      <formula>AND(G359&lt;&gt;"",G359&lt;&gt;G358)</formula>
    </cfRule>
  </conditionalFormatting>
  <conditionalFormatting sqref="G358">
    <cfRule type="expression" dxfId="681" priority="43" stopIfTrue="1">
      <formula>#REF!=0</formula>
    </cfRule>
    <cfRule type="expression" dxfId="680" priority="44" stopIfTrue="1">
      <formula>AND(G358&lt;&gt;"",G358&lt;&gt;G356)</formula>
    </cfRule>
  </conditionalFormatting>
  <conditionalFormatting sqref="F389:G395">
    <cfRule type="expression" dxfId="679" priority="39" stopIfTrue="1">
      <formula>#REF!=0</formula>
    </cfRule>
    <cfRule type="expression" dxfId="678" priority="40" stopIfTrue="1">
      <formula>AND(F389&lt;&gt;"",F389&lt;&gt;F388)</formula>
    </cfRule>
  </conditionalFormatting>
  <conditionalFormatting sqref="F378:G378">
    <cfRule type="expression" dxfId="677" priority="37" stopIfTrue="1">
      <formula>#REF!=0</formula>
    </cfRule>
    <cfRule type="expression" dxfId="676" priority="38" stopIfTrue="1">
      <formula>AND(F378&lt;&gt;"",F378&lt;&gt;F376)</formula>
    </cfRule>
  </conditionalFormatting>
  <conditionalFormatting sqref="H348">
    <cfRule type="expression" dxfId="675" priority="33" stopIfTrue="1">
      <formula>#REF!=0</formula>
    </cfRule>
    <cfRule type="expression" dxfId="674" priority="34" stopIfTrue="1">
      <formula>AND(H348&lt;&gt;"",H348&lt;&gt;H346)</formula>
    </cfRule>
  </conditionalFormatting>
  <conditionalFormatting sqref="H348">
    <cfRule type="expression" dxfId="673" priority="35" stopIfTrue="1">
      <formula>#REF!=0</formula>
    </cfRule>
    <cfRule type="expression" dxfId="672" priority="36" stopIfTrue="1">
      <formula>AND(H348&lt;&gt;"",H348&lt;&gt;#REF!)</formula>
    </cfRule>
  </conditionalFormatting>
  <conditionalFormatting sqref="H349:H356">
    <cfRule type="expression" dxfId="671" priority="31" stopIfTrue="1">
      <formula>#REF!=0</formula>
    </cfRule>
    <cfRule type="expression" dxfId="670" priority="32" stopIfTrue="1">
      <formula>AND(H349&lt;&gt;"",H349&lt;&gt;H348)</formula>
    </cfRule>
  </conditionalFormatting>
  <conditionalFormatting sqref="H358">
    <cfRule type="expression" dxfId="669" priority="27" stopIfTrue="1">
      <formula>#REF!=0</formula>
    </cfRule>
    <cfRule type="expression" dxfId="668" priority="28" stopIfTrue="1">
      <formula>AND(H358&lt;&gt;"",H358&lt;&gt;H356)</formula>
    </cfRule>
  </conditionalFormatting>
  <conditionalFormatting sqref="H358">
    <cfRule type="expression" dxfId="667" priority="29" stopIfTrue="1">
      <formula>#REF!=0</formula>
    </cfRule>
    <cfRule type="expression" dxfId="666" priority="30" stopIfTrue="1">
      <formula>AND(H358&lt;&gt;"",H358&lt;&gt;#REF!)</formula>
    </cfRule>
  </conditionalFormatting>
  <conditionalFormatting sqref="H359:H366">
    <cfRule type="expression" dxfId="665" priority="25" stopIfTrue="1">
      <formula>#REF!=0</formula>
    </cfRule>
    <cfRule type="expression" dxfId="664" priority="26" stopIfTrue="1">
      <formula>AND(H359&lt;&gt;"",H359&lt;&gt;H358)</formula>
    </cfRule>
  </conditionalFormatting>
  <conditionalFormatting sqref="H378">
    <cfRule type="expression" dxfId="663" priority="21" stopIfTrue="1">
      <formula>#REF!=0</formula>
    </cfRule>
    <cfRule type="expression" dxfId="662" priority="22" stopIfTrue="1">
      <formula>AND(H378&lt;&gt;"",H378&lt;&gt;H376)</formula>
    </cfRule>
  </conditionalFormatting>
  <conditionalFormatting sqref="H378">
    <cfRule type="expression" dxfId="661" priority="23" stopIfTrue="1">
      <formula>#REF!=0</formula>
    </cfRule>
    <cfRule type="expression" dxfId="660" priority="24" stopIfTrue="1">
      <formula>AND(H378&lt;&gt;"",H378&lt;&gt;#REF!)</formula>
    </cfRule>
  </conditionalFormatting>
  <conditionalFormatting sqref="H379:H386">
    <cfRule type="expression" dxfId="659" priority="19" stopIfTrue="1">
      <formula>#REF!=0</formula>
    </cfRule>
    <cfRule type="expression" dxfId="658" priority="20" stopIfTrue="1">
      <formula>AND(H379&lt;&gt;"",H379&lt;&gt;H378)</formula>
    </cfRule>
  </conditionalFormatting>
  <conditionalFormatting sqref="H388">
    <cfRule type="expression" dxfId="657" priority="15" stopIfTrue="1">
      <formula>#REF!=0</formula>
    </cfRule>
    <cfRule type="expression" dxfId="656" priority="16" stopIfTrue="1">
      <formula>AND(H388&lt;&gt;"",H388&lt;&gt;H386)</formula>
    </cfRule>
  </conditionalFormatting>
  <conditionalFormatting sqref="H388">
    <cfRule type="expression" dxfId="655" priority="17" stopIfTrue="1">
      <formula>#REF!=0</formula>
    </cfRule>
    <cfRule type="expression" dxfId="654" priority="18" stopIfTrue="1">
      <formula>AND(H388&lt;&gt;"",H388&lt;&gt;#REF!)</formula>
    </cfRule>
  </conditionalFormatting>
  <conditionalFormatting sqref="H389:H394">
    <cfRule type="expression" dxfId="653" priority="13" stopIfTrue="1">
      <formula>#REF!=0</formula>
    </cfRule>
    <cfRule type="expression" dxfId="652" priority="14" stopIfTrue="1">
      <formula>AND(H389&lt;&gt;"",H389&lt;&gt;H388)</formula>
    </cfRule>
  </conditionalFormatting>
  <conditionalFormatting sqref="H395">
    <cfRule type="expression" dxfId="651" priority="11" stopIfTrue="1">
      <formula>#REF!=0</formula>
    </cfRule>
    <cfRule type="expression" dxfId="650" priority="12" stopIfTrue="1">
      <formula>AND(H395&lt;&gt;"",H395&lt;&gt;H394)</formula>
    </cfRule>
  </conditionalFormatting>
  <conditionalFormatting sqref="H368">
    <cfRule type="expression" dxfId="649" priority="7" stopIfTrue="1">
      <formula>#REF!=0</formula>
    </cfRule>
    <cfRule type="expression" dxfId="648" priority="8" stopIfTrue="1">
      <formula>AND(H368&lt;&gt;"",H368&lt;&gt;H366)</formula>
    </cfRule>
  </conditionalFormatting>
  <conditionalFormatting sqref="H368">
    <cfRule type="expression" dxfId="647" priority="9" stopIfTrue="1">
      <formula>#REF!=0</formula>
    </cfRule>
    <cfRule type="expression" dxfId="646" priority="10" stopIfTrue="1">
      <formula>AND(H368&lt;&gt;"",H368&lt;&gt;#REF!)</formula>
    </cfRule>
  </conditionalFormatting>
  <conditionalFormatting sqref="H369:H376">
    <cfRule type="expression" dxfId="645" priority="5" stopIfTrue="1">
      <formula>#REF!=0</formula>
    </cfRule>
    <cfRule type="expression" dxfId="644" priority="6" stopIfTrue="1">
      <formula>AND(H369&lt;&gt;"",H369&lt;&gt;H368)</formula>
    </cfRule>
  </conditionalFormatting>
  <conditionalFormatting sqref="H202:H209">
    <cfRule type="expression" dxfId="643" priority="3" stopIfTrue="1">
      <formula>#REF!=0</formula>
    </cfRule>
    <cfRule type="expression" dxfId="642" priority="4" stopIfTrue="1">
      <formula>AND(H202&lt;&gt;"",H202&lt;&gt;H201)</formula>
    </cfRule>
  </conditionalFormatting>
  <conditionalFormatting sqref="F388">
    <cfRule type="expression" dxfId="641" priority="1" stopIfTrue="1">
      <formula>#REF!=0</formula>
    </cfRule>
    <cfRule type="expression" dxfId="640" priority="2" stopIfTrue="1">
      <formula>AND(F388&lt;&gt;"",F388&lt;&gt;F386)</formula>
    </cfRule>
  </conditionalFormatting>
  <printOptions horizontalCentered="1" verticalCentered="1"/>
  <pageMargins left="0.11811023622047245" right="0.11811023622047245" top="0.15748031496062992" bottom="0.15748031496062992" header="0.31496062992125984" footer="0.31496062992125984"/>
  <pageSetup paperSize="9" scale="79" orientation="portrait" r:id="rId1"/>
  <rowBreaks count="1" manualBreakCount="1">
    <brk id="102" max="6"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8AC5-C373-4E32-8667-5EE42192FE80}">
  <sheetPr codeName="Sheet5">
    <tabColor theme="5" tint="0.39997558519241921"/>
    <pageSetUpPr fitToPage="1"/>
  </sheetPr>
  <dimension ref="A1:Y1085"/>
  <sheetViews>
    <sheetView showGridLines="0" tabSelected="1" zoomScale="91" zoomScaleNormal="91" zoomScaleSheetLayoutView="100" workbookViewId="0">
      <pane xSplit="5" ySplit="4" topLeftCell="F920" activePane="bottomRight" state="frozen"/>
      <selection pane="topRight" activeCell="F1" sqref="F1"/>
      <selection pane="bottomLeft" activeCell="A5" sqref="A5"/>
      <selection pane="bottomRight" activeCell="F964" sqref="F964"/>
    </sheetView>
  </sheetViews>
  <sheetFormatPr defaultColWidth="9.140625" defaultRowHeight="15" x14ac:dyDescent="0.25"/>
  <cols>
    <col min="1" max="1" width="3.85546875" customWidth="1"/>
    <col min="2" max="2" width="2" hidden="1" customWidth="1"/>
    <col min="3" max="3" width="9.42578125" bestFit="1" customWidth="1"/>
    <col min="4" max="4" width="11" bestFit="1" customWidth="1"/>
    <col min="5" max="5" width="14" bestFit="1" customWidth="1"/>
    <col min="6" max="7" width="60.5703125" bestFit="1" customWidth="1"/>
    <col min="8" max="9" width="53.85546875" customWidth="1"/>
    <col min="10" max="13" width="20.5703125" customWidth="1"/>
    <col min="14" max="16" width="25.5703125" customWidth="1"/>
    <col min="17" max="17" width="11.42578125" bestFit="1" customWidth="1"/>
    <col min="18" max="18" width="10.5703125" customWidth="1"/>
    <col min="19" max="19" width="20.140625" bestFit="1" customWidth="1"/>
    <col min="20" max="20" width="9.85546875" bestFit="1" customWidth="1"/>
    <col min="21" max="21" width="10.5703125" customWidth="1"/>
    <col min="22" max="22" width="51.5703125" bestFit="1" customWidth="1"/>
    <col min="23" max="23" width="32.5703125" bestFit="1" customWidth="1"/>
    <col min="24" max="24" width="33" bestFit="1" customWidth="1"/>
    <col min="25" max="25" width="15.5703125" customWidth="1"/>
    <col min="26" max="29" width="10.42578125" bestFit="1" customWidth="1"/>
  </cols>
  <sheetData>
    <row r="1" spans="1:25" x14ac:dyDescent="0.25">
      <c r="A1" s="442" t="s">
        <v>310</v>
      </c>
      <c r="B1" s="111"/>
      <c r="C1" s="204" t="s">
        <v>451</v>
      </c>
      <c r="D1" s="204" t="s">
        <v>452</v>
      </c>
      <c r="E1" s="204" t="s">
        <v>433</v>
      </c>
      <c r="F1" s="204" t="s">
        <v>449</v>
      </c>
      <c r="G1" s="204"/>
      <c r="H1" s="204" t="s">
        <v>437</v>
      </c>
      <c r="I1" s="204"/>
      <c r="J1" s="204"/>
      <c r="K1" s="204"/>
      <c r="L1" s="204"/>
      <c r="M1" s="204"/>
      <c r="N1" s="204"/>
      <c r="O1" s="204"/>
      <c r="P1" s="204"/>
      <c r="S1" s="204" t="s">
        <v>580</v>
      </c>
    </row>
    <row r="2" spans="1:25" x14ac:dyDescent="0.25">
      <c r="A2" s="442"/>
      <c r="B2" s="111"/>
      <c r="C2" s="203">
        <f>INDEX([1]Produtos!$L:$L,MATCH(LEFT(H2,IFERROR(FIND(" - ",H2),FIND(" &gt; ",H2))-1),[1]Produtos!$C:$C,0))</f>
        <v>0</v>
      </c>
      <c r="D2" s="235">
        <f>C2*9</f>
        <v>0</v>
      </c>
      <c r="E2" s="205">
        <v>10000</v>
      </c>
      <c r="F2" s="234" t="e">
        <f>E2/(C2)</f>
        <v>#DIV/0!</v>
      </c>
      <c r="G2" s="240" t="e">
        <f>E2/(C2*9)</f>
        <v>#DIV/0!</v>
      </c>
      <c r="H2" s="713" t="s">
        <v>2047</v>
      </c>
      <c r="I2" s="723"/>
      <c r="J2" s="534"/>
      <c r="K2" s="534"/>
      <c r="L2" s="534"/>
      <c r="M2" s="534"/>
      <c r="N2" s="534"/>
      <c r="O2" s="534"/>
      <c r="P2" s="534"/>
      <c r="S2" s="234">
        <f>COUNTIF(F:H,"="&amp;$H$2)-COUNTIF(F1:H4,"="&amp;$H$2)</f>
        <v>9</v>
      </c>
      <c r="T2" s="508">
        <f>S2*C2</f>
        <v>0</v>
      </c>
    </row>
    <row r="3" spans="1:25" ht="9.9499999999999993" customHeight="1" thickBot="1" x14ac:dyDescent="0.3">
      <c r="A3" s="442"/>
      <c r="B3" s="111"/>
      <c r="C3" s="111"/>
      <c r="D3" s="111"/>
      <c r="E3" s="111"/>
      <c r="F3" s="122"/>
      <c r="G3" s="122"/>
      <c r="H3" s="122"/>
      <c r="I3" s="122"/>
      <c r="J3" s="122"/>
      <c r="K3" s="122"/>
      <c r="L3" s="122"/>
      <c r="M3" s="122"/>
      <c r="N3" s="122"/>
      <c r="O3" s="122"/>
      <c r="P3" s="122"/>
      <c r="S3" s="204"/>
      <c r="T3" s="204"/>
      <c r="X3" s="204"/>
    </row>
    <row r="4" spans="1:25" ht="18" customHeight="1" thickBot="1" x14ac:dyDescent="0.3">
      <c r="A4" s="443"/>
      <c r="B4" s="444" t="s">
        <v>157</v>
      </c>
      <c r="C4" s="462" t="s">
        <v>158</v>
      </c>
      <c r="D4" s="463" t="s">
        <v>201</v>
      </c>
      <c r="E4" s="464" t="s">
        <v>159</v>
      </c>
      <c r="F4" s="465" t="s">
        <v>1201</v>
      </c>
      <c r="G4" s="465" t="s">
        <v>1202</v>
      </c>
      <c r="H4" s="465" t="s">
        <v>1352</v>
      </c>
      <c r="I4" s="465" t="s">
        <v>1983</v>
      </c>
      <c r="J4" s="465" t="s">
        <v>1460</v>
      </c>
      <c r="K4" s="465" t="s">
        <v>1461</v>
      </c>
      <c r="L4" s="465" t="s">
        <v>1462</v>
      </c>
      <c r="M4" s="465" t="s">
        <v>1984</v>
      </c>
      <c r="N4" s="465" t="s">
        <v>1446</v>
      </c>
      <c r="O4" s="465" t="s">
        <v>1447</v>
      </c>
      <c r="P4" s="550" t="s">
        <v>1448</v>
      </c>
      <c r="Q4" s="551" t="s">
        <v>1463</v>
      </c>
      <c r="R4" s="549" t="s">
        <v>1464</v>
      </c>
      <c r="S4" s="509"/>
    </row>
    <row r="5" spans="1:25" ht="5.25" customHeight="1" x14ac:dyDescent="0.25">
      <c r="J5" s="445"/>
      <c r="K5" s="445"/>
      <c r="L5" s="445"/>
    </row>
    <row r="6" spans="1:25" ht="4.5" customHeight="1" thickBot="1" x14ac:dyDescent="0.3">
      <c r="J6" s="445"/>
      <c r="K6" s="445"/>
      <c r="L6" s="445"/>
    </row>
    <row r="7" spans="1:25" ht="15.75" customHeight="1" thickBot="1" x14ac:dyDescent="0.3">
      <c r="A7" s="753" t="s">
        <v>1785</v>
      </c>
      <c r="C7" s="538"/>
      <c r="D7" s="539"/>
      <c r="E7" s="539"/>
      <c r="F7" s="539"/>
      <c r="G7" s="539"/>
      <c r="H7" s="539"/>
      <c r="I7" s="539"/>
      <c r="J7" s="606">
        <f t="shared" ref="J7:P7" ca="1" si="0">_xlfn.AGGREGATE(9,6,J8:J23)</f>
        <v>7470</v>
      </c>
      <c r="K7" s="607">
        <f t="shared" ca="1" si="0"/>
        <v>5796</v>
      </c>
      <c r="L7" s="607"/>
      <c r="M7" s="544">
        <f t="shared" ca="1" si="0"/>
        <v>0</v>
      </c>
      <c r="N7" s="560">
        <f t="shared" si="0"/>
        <v>0</v>
      </c>
      <c r="O7" s="561">
        <f t="shared" si="0"/>
        <v>8578.08</v>
      </c>
      <c r="P7" s="562">
        <f t="shared" si="0"/>
        <v>0</v>
      </c>
      <c r="Q7" s="548">
        <f ca="1">SUM(J7:M7)</f>
        <v>13266</v>
      </c>
      <c r="R7" s="549">
        <f>SUM(N7:P7)</f>
        <v>8578.08</v>
      </c>
      <c r="S7" s="3"/>
      <c r="T7" s="3"/>
      <c r="V7" s="570" t="s">
        <v>437</v>
      </c>
      <c r="W7" s="571" t="str">
        <f>"Qtd. Total "&amp;TEXT(D8,"dd/mm/aaaa")&amp;" - "&amp;TEXT(D80,"dd/mm/aaaa")</f>
        <v>Qtd. Total 18/05/2026 - 22/05/2026</v>
      </c>
      <c r="X7" s="571" t="str">
        <f>"Produzido "&amp;TEXT(D8,"dd/mm/aaaa")&amp;" - "&amp;TEXT(D80,"dd/mm/aaaa")</f>
        <v>Produzido 18/05/2026 - 22/05/2026</v>
      </c>
      <c r="Y7" s="572" t="s">
        <v>1536</v>
      </c>
    </row>
    <row r="8" spans="1:25" x14ac:dyDescent="0.25">
      <c r="A8" s="753"/>
      <c r="C8" s="496" t="s">
        <v>161</v>
      </c>
      <c r="D8" s="507">
        <v>46160</v>
      </c>
      <c r="E8" s="498" t="s">
        <v>573</v>
      </c>
      <c r="F8" s="514"/>
      <c r="G8" s="514"/>
      <c r="H8" s="514"/>
      <c r="I8" s="724"/>
      <c r="J8" s="537" cm="1">
        <f t="array" aca="1" ref="J8" ca="1">IFERROR(_xlfn.LET(_xlpm.produto,TRIM(F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8" s="537" cm="1">
        <f t="array" aca="1" ref="K8" ca="1">IFERROR(_xlfn.LET(_xlpm.produto,TRIM(G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8" s="537"/>
      <c r="M8" s="537" cm="1">
        <f t="array" aca="1" ref="M8" ca="1">IFERROR(_xlfn.LET(_xlpm.produto,TRIM(H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8" s="563"/>
      <c r="O8" s="563"/>
      <c r="P8" s="563"/>
      <c r="V8" s="591" t="str" cm="1">
        <f t="array" aca="1" ref="V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AURORA IMPERIAL &gt; PROG 01 25/03/26</v>
      </c>
      <c r="W8" s="576">
        <f t="shared" ref="W8:W21" ca="1" si="1">_xlfn.LET(_xlpm.base,IF(ROW()&lt;95,7,IF(ROW()&lt;221,97,INT((ROW()-221)/90)*90+223)),_xlpm.h,IF(ROW()&lt;221,IF(ROW()&lt;95,88,124),88),_xlpm.rF,OFFSET(F$1,_xlpm.base-1,0,_xlpm.h,1),_xlpm.rG,OFFSET(G$1,_xlpm.base-1,0,_xlpm.h,1),_xlpm.rH,OFFSET(H$1,_xlpm.base-1,0,_xlpm.h,1),_xlpm.rI,OFFSET(J$1,_xlpm.base-1,0,_xlpm.h,1),_xlpm.rJ,OFFSET(K$1,_xlpm.base-1,0,_xlpm.h,1),_xlpm.rK,OFFSET(M$1,_xlpm.base-1,0,_xlpm.h,1),_xlpm.p,V8,IF(_xlpm.p&lt;&gt;"",SUMIF(_xlpm.rF,_xlpm.p,_xlpm.rI)+SUMIF(_xlpm.rG,_xlpm.p,_xlpm.rJ)+SUMIF(_xlpm.rH,_xlpm.p,_xlpm.rK),""))</f>
        <v>5810</v>
      </c>
      <c r="X8" s="585"/>
      <c r="Y8" s="581">
        <f ca="1">IFERROR(X8*INDEX([2]Pedidos!$Q:$Q,MATCH(V8,[2]Pedidos!$E:$E,0)),0)</f>
        <v>0</v>
      </c>
    </row>
    <row r="9" spans="1:25" x14ac:dyDescent="0.25">
      <c r="A9" s="753"/>
      <c r="C9" s="525" t="s">
        <v>161</v>
      </c>
      <c r="D9" s="453">
        <f t="shared" ref="D9:D23" si="2">D8</f>
        <v>46160</v>
      </c>
      <c r="E9" s="500" t="s">
        <v>162</v>
      </c>
      <c r="F9" s="460" t="s">
        <v>1756</v>
      </c>
      <c r="G9" s="460" t="s">
        <v>1740</v>
      </c>
      <c r="H9" s="460"/>
      <c r="I9" s="460"/>
      <c r="J9" s="540">
        <v>830</v>
      </c>
      <c r="K9" s="540">
        <v>644</v>
      </c>
      <c r="L9" s="540"/>
      <c r="M9" s="545"/>
      <c r="N9" s="555" t="e">
        <f>J9*INDEX([2]Pedidos!$Q:$Q,MATCH(F9,[2]Pedidos!$E:$E,0))</f>
        <v>#N/A</v>
      </c>
      <c r="O9" s="564">
        <f>K9*INDEX([2]Pedidos!$Q:$Q,MATCH(G9,[2]Pedidos!$E:$E,0))</f>
        <v>953.12</v>
      </c>
      <c r="P9" s="555" t="e">
        <f>M9*INDEX([2]Pedidos!$Q:$Q,MATCH(H9,[2]Pedidos!$E:$E,0))</f>
        <v>#N/A</v>
      </c>
      <c r="V9" s="592" t="str" cm="1">
        <f t="array" aca="1" ref="V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AMBER BLOOM 200ML -  &gt; 05</v>
      </c>
      <c r="W9" s="576">
        <f t="shared" ca="1" si="1"/>
        <v>11620</v>
      </c>
      <c r="X9" s="586"/>
      <c r="Y9" s="582">
        <f ca="1">IFERROR(X9*INDEX([2]Pedidos!$Q:$Q,MATCH(V9,[2]Pedidos!$E:$E,0)),0)</f>
        <v>0</v>
      </c>
    </row>
    <row r="10" spans="1:25" x14ac:dyDescent="0.25">
      <c r="A10" s="753"/>
      <c r="C10" s="526" t="s">
        <v>161</v>
      </c>
      <c r="D10" s="453">
        <f t="shared" si="2"/>
        <v>46160</v>
      </c>
      <c r="E10" s="454" t="s">
        <v>163</v>
      </c>
      <c r="F10" s="460" t="s">
        <v>1756</v>
      </c>
      <c r="G10" s="460" t="s">
        <v>1740</v>
      </c>
      <c r="H10" s="460"/>
      <c r="I10" s="460"/>
      <c r="J10" s="540">
        <v>830</v>
      </c>
      <c r="K10" s="540">
        <v>644</v>
      </c>
      <c r="L10" s="540"/>
      <c r="M10" s="545"/>
      <c r="N10" s="564" t="e">
        <f>J10*INDEX([2]Pedidos!$Q:$Q,MATCH(F10,[2]Pedidos!$E:$E,0))</f>
        <v>#N/A</v>
      </c>
      <c r="O10" s="564">
        <f>K10*INDEX([2]Pedidos!$Q:$Q,MATCH(G10,[2]Pedidos!$E:$E,0))</f>
        <v>953.12</v>
      </c>
      <c r="P10" s="564" t="e">
        <f>M10*INDEX([2]Pedidos!$Q:$Q,MATCH(H10,[2]Pedidos!$E:$E,0))</f>
        <v>#N/A</v>
      </c>
      <c r="V10" s="591" t="str" cm="1">
        <f t="array" aca="1" ref="V1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OUD NIGHT 200ML -  &gt; 05</v>
      </c>
      <c r="W10" s="576">
        <f t="shared" ca="1" si="1"/>
        <v>9960</v>
      </c>
      <c r="X10" s="586"/>
      <c r="Y10" s="582">
        <f ca="1">IFERROR(X10*INDEX([2]Pedidos!$Q:$Q,MATCH(V10,[2]Pedidos!$E:$E,0)),0)</f>
        <v>0</v>
      </c>
    </row>
    <row r="11" spans="1:25" x14ac:dyDescent="0.25">
      <c r="A11" s="753"/>
      <c r="C11" s="526" t="s">
        <v>161</v>
      </c>
      <c r="D11" s="453">
        <f t="shared" si="2"/>
        <v>46160</v>
      </c>
      <c r="E11" s="454" t="s">
        <v>164</v>
      </c>
      <c r="F11" s="460" t="s">
        <v>1756</v>
      </c>
      <c r="G11" s="460" t="s">
        <v>1740</v>
      </c>
      <c r="H11" s="460"/>
      <c r="I11" s="460"/>
      <c r="J11" s="540">
        <v>830</v>
      </c>
      <c r="K11" s="540">
        <v>644</v>
      </c>
      <c r="L11" s="540"/>
      <c r="M11" s="545"/>
      <c r="N11" s="564" t="e">
        <f>J11*INDEX([2]Pedidos!$Q:$Q,MATCH(F11,[2]Pedidos!$E:$E,0))</f>
        <v>#N/A</v>
      </c>
      <c r="O11" s="564">
        <f>K11*INDEX([2]Pedidos!$Q:$Q,MATCH(G11,[2]Pedidos!$E:$E,0))</f>
        <v>953.12</v>
      </c>
      <c r="P11" s="564" t="e">
        <f>M11*INDEX([2]Pedidos!$Q:$Q,MATCH(H11,[2]Pedidos!$E:$E,0))</f>
        <v>#N/A</v>
      </c>
      <c r="V11" s="592" t="str" cm="1">
        <f t="array" aca="1" ref="V1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RARO ELIXIR - 2 &gt; AMEERATI 01</v>
      </c>
      <c r="W11" s="576">
        <f t="shared" ca="1" si="1"/>
        <v>1932</v>
      </c>
      <c r="X11" s="586"/>
      <c r="Y11" s="582">
        <f ca="1">IFERROR(X11*INDEX([2]Pedidos!$Q:$Q,MATCH(V11,[2]Pedidos!$E:$E,0)),0)</f>
        <v>0</v>
      </c>
    </row>
    <row r="12" spans="1:25" x14ac:dyDescent="0.25">
      <c r="A12" s="753"/>
      <c r="C12" s="526" t="s">
        <v>161</v>
      </c>
      <c r="D12" s="453">
        <f t="shared" si="2"/>
        <v>46160</v>
      </c>
      <c r="E12" s="454" t="s">
        <v>165</v>
      </c>
      <c r="F12" s="460" t="s">
        <v>1756</v>
      </c>
      <c r="G12" s="460" t="s">
        <v>1741</v>
      </c>
      <c r="H12" s="460"/>
      <c r="I12" s="460"/>
      <c r="J12" s="540">
        <v>830</v>
      </c>
      <c r="K12" s="540">
        <v>644</v>
      </c>
      <c r="L12" s="540"/>
      <c r="M12" s="545"/>
      <c r="N12" s="564" t="e">
        <f>J12*INDEX([2]Pedidos!$Q:$Q,MATCH(F12,[2]Pedidos!$E:$E,0))</f>
        <v>#N/A</v>
      </c>
      <c r="O12" s="564">
        <f>K12*INDEX([2]Pedidos!$Q:$Q,MATCH(G12,[2]Pedidos!$E:$E,0))</f>
        <v>953.12</v>
      </c>
      <c r="P12" s="564" t="e">
        <f>M12*INDEX([2]Pedidos!$Q:$Q,MATCH(H12,[2]Pedidos!$E:$E,0))</f>
        <v>#N/A</v>
      </c>
      <c r="V12" s="591" t="str" cm="1">
        <f t="array" aca="1" ref="V1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TESOURO DO OASIS - 2 &gt; AMEERATI 01</v>
      </c>
      <c r="W12" s="576">
        <f t="shared" ca="1" si="1"/>
        <v>1932</v>
      </c>
      <c r="X12" s="586"/>
      <c r="Y12" s="582">
        <f ca="1">IFERROR(X12*INDEX([2]Pedidos!$Q:$Q,MATCH(V12,[2]Pedidos!$E:$E,0)),0)</f>
        <v>0</v>
      </c>
    </row>
    <row r="13" spans="1:25" x14ac:dyDescent="0.25">
      <c r="A13" s="753"/>
      <c r="C13" s="526" t="s">
        <v>161</v>
      </c>
      <c r="D13" s="453">
        <f t="shared" si="2"/>
        <v>46160</v>
      </c>
      <c r="E13" s="454" t="s">
        <v>166</v>
      </c>
      <c r="F13" s="460" t="s">
        <v>1756</v>
      </c>
      <c r="G13" s="460" t="s">
        <v>1741</v>
      </c>
      <c r="H13" s="460"/>
      <c r="I13" s="460"/>
      <c r="J13" s="540">
        <v>830</v>
      </c>
      <c r="K13" s="540">
        <v>644</v>
      </c>
      <c r="L13" s="540"/>
      <c r="M13" s="545"/>
      <c r="N13" s="564" t="e">
        <f>J13*INDEX([2]Pedidos!$Q:$Q,MATCH(F13,[2]Pedidos!$E:$E,0))</f>
        <v>#N/A</v>
      </c>
      <c r="O13" s="564">
        <f>K13*INDEX([2]Pedidos!$Q:$Q,MATCH(G13,[2]Pedidos!$E:$E,0))</f>
        <v>953.12</v>
      </c>
      <c r="P13" s="564" t="e">
        <f>M13*INDEX([2]Pedidos!$Q:$Q,MATCH(H13,[2]Pedidos!$E:$E,0))</f>
        <v>#N/A</v>
      </c>
      <c r="V13" s="592" t="str" cm="1">
        <f t="array" aca="1" ref="V1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FLOR DO DESERTO - 2 &gt; AMEERATI 01</v>
      </c>
      <c r="W13" s="576">
        <f t="shared" ca="1" si="1"/>
        <v>1932</v>
      </c>
      <c r="X13" s="586"/>
      <c r="Y13" s="582">
        <f ca="1">IFERROR(X13*INDEX([2]Pedidos!$Q:$Q,MATCH(V13,[2]Pedidos!$E:$E,0)),0)</f>
        <v>0</v>
      </c>
    </row>
    <row r="14" spans="1:25" x14ac:dyDescent="0.25">
      <c r="A14" s="753"/>
      <c r="C14" s="526" t="s">
        <v>161</v>
      </c>
      <c r="D14" s="453">
        <f t="shared" si="2"/>
        <v>46160</v>
      </c>
      <c r="E14" s="454" t="s">
        <v>576</v>
      </c>
      <c r="F14" s="517"/>
      <c r="G14" s="512"/>
      <c r="H14" s="512"/>
      <c r="I14" s="512"/>
      <c r="J14" s="554" cm="1">
        <f t="array" aca="1" ref="J14" ca="1">IFERROR(_xlfn.LET(_xlpm.produto,TRIM(F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4" s="554" cm="1">
        <f t="array" aca="1" ref="K14" ca="1">IFERROR(_xlfn.LET(_xlpm.produto,TRIM(G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4" s="554"/>
      <c r="M14" s="554" cm="1">
        <f t="array" aca="1" ref="M14" ca="1">IFERROR(_xlfn.LET(_xlpm.produto,TRIM(H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4" s="556"/>
      <c r="O14" s="556"/>
      <c r="P14" s="556"/>
      <c r="V14" s="591" t="str" cm="1">
        <f t="array" aca="1" ref="V1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JARDINS DO ORIENTE - 2 &gt; AMEERATI 01</v>
      </c>
      <c r="W14" s="576">
        <f t="shared" ca="1" si="1"/>
        <v>4508</v>
      </c>
      <c r="X14" s="586"/>
      <c r="Y14" s="582">
        <f ca="1">IFERROR(X14*INDEX([2]Pedidos!$Q:$Q,MATCH(V14,[2]Pedidos!$E:$E,0)),0)</f>
        <v>0</v>
      </c>
    </row>
    <row r="15" spans="1:25" x14ac:dyDescent="0.25">
      <c r="A15" s="753"/>
      <c r="C15" s="527" t="s">
        <v>161</v>
      </c>
      <c r="D15" s="449">
        <f t="shared" si="2"/>
        <v>46160</v>
      </c>
      <c r="E15" s="454" t="s">
        <v>167</v>
      </c>
      <c r="F15" s="460" t="s">
        <v>1756</v>
      </c>
      <c r="G15" s="460" t="s">
        <v>1741</v>
      </c>
      <c r="H15" s="460"/>
      <c r="I15" s="460"/>
      <c r="J15" s="540">
        <v>830</v>
      </c>
      <c r="K15" s="540">
        <v>644</v>
      </c>
      <c r="L15" s="540"/>
      <c r="M15" s="545"/>
      <c r="N15" s="565" t="e">
        <f>J15*INDEX([2]Pedidos!$Q:$Q,MATCH(F15,[2]Pedidos!$E:$E,0))</f>
        <v>#N/A</v>
      </c>
      <c r="O15" s="564">
        <f>K15*INDEX([2]Pedidos!$Q:$Q,MATCH(G15,[2]Pedidos!$E:$E,0))</f>
        <v>953.12</v>
      </c>
      <c r="P15" s="565" t="e">
        <f>M15*INDEX([2]Pedidos!$Q:$Q,MATCH(H15,[2]Pedidos!$E:$E,0))</f>
        <v>#N/A</v>
      </c>
      <c r="V15" s="592" t="str" cm="1">
        <f t="array" aca="1" ref="V1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VERDE SUPREMO - 2 &gt; AMEERATI 01</v>
      </c>
      <c r="W15" s="576">
        <f t="shared" ca="1" si="1"/>
        <v>3220</v>
      </c>
      <c r="X15" s="586"/>
      <c r="Y15" s="582">
        <f ca="1">IFERROR(X15*INDEX([2]Pedidos!$Q:$Q,MATCH(V15,[2]Pedidos!$E:$E,0)),0)</f>
        <v>0</v>
      </c>
    </row>
    <row r="16" spans="1:25" x14ac:dyDescent="0.25">
      <c r="A16" s="753"/>
      <c r="C16" s="527" t="s">
        <v>161</v>
      </c>
      <c r="D16" s="449">
        <f t="shared" si="2"/>
        <v>46160</v>
      </c>
      <c r="E16" s="454" t="s">
        <v>168</v>
      </c>
      <c r="F16" s="460" t="s">
        <v>1756</v>
      </c>
      <c r="G16" s="460" t="s">
        <v>1742</v>
      </c>
      <c r="H16" s="460"/>
      <c r="I16" s="460"/>
      <c r="J16" s="540">
        <v>830</v>
      </c>
      <c r="K16" s="540">
        <v>644</v>
      </c>
      <c r="L16" s="540"/>
      <c r="M16" s="545"/>
      <c r="N16" s="565" t="e">
        <f>J16*INDEX([2]Pedidos!$Q:$Q,MATCH(F16,[2]Pedidos!$E:$E,0))</f>
        <v>#N/A</v>
      </c>
      <c r="O16" s="564">
        <f>K16*INDEX([2]Pedidos!$Q:$Q,MATCH(G16,[2]Pedidos!$E:$E,0))</f>
        <v>953.12</v>
      </c>
      <c r="P16" s="565" t="e">
        <f>M16*INDEX([2]Pedidos!$Q:$Q,MATCH(H16,[2]Pedidos!$E:$E,0))</f>
        <v>#N/A</v>
      </c>
      <c r="V16" s="591" t="str" cm="1">
        <f t="array" aca="1" ref="V1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LEAO DO DESERTO BOURBON 200ml &gt; 0008</v>
      </c>
      <c r="W16" s="576">
        <f t="shared" ca="1" si="1"/>
        <v>14110</v>
      </c>
      <c r="X16" s="586"/>
      <c r="Y16" s="582">
        <f ca="1">IFERROR(X16*INDEX([2]Pedidos!$Q:$Q,MATCH(V16,[2]Pedidos!$E:$E,0)),0)</f>
        <v>0</v>
      </c>
    </row>
    <row r="17" spans="1:25" x14ac:dyDescent="0.25">
      <c r="A17" s="753"/>
      <c r="C17" s="527" t="s">
        <v>161</v>
      </c>
      <c r="D17" s="449">
        <f t="shared" si="2"/>
        <v>46160</v>
      </c>
      <c r="E17" s="454" t="s">
        <v>169</v>
      </c>
      <c r="F17" s="460" t="s">
        <v>1756</v>
      </c>
      <c r="G17" s="460" t="s">
        <v>1742</v>
      </c>
      <c r="H17" s="460"/>
      <c r="I17" s="460"/>
      <c r="J17" s="540">
        <v>830</v>
      </c>
      <c r="K17" s="540">
        <v>644</v>
      </c>
      <c r="L17" s="540"/>
      <c r="M17" s="545"/>
      <c r="N17" s="565" t="e">
        <f>J17*INDEX([2]Pedidos!$Q:$Q,MATCH(F17,[2]Pedidos!$E:$E,0))</f>
        <v>#N/A</v>
      </c>
      <c r="O17" s="564">
        <f>K17*INDEX([2]Pedidos!$Q:$Q,MATCH(G17,[2]Pedidos!$E:$E,0))</f>
        <v>953.12</v>
      </c>
      <c r="P17" s="565" t="e">
        <f>M17*INDEX([2]Pedidos!$Q:$Q,MATCH(H17,[2]Pedidos!$E:$E,0))</f>
        <v>#N/A</v>
      </c>
      <c r="V17" s="592" t="str" cm="1">
        <f t="array" aca="1" ref="V1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7" s="576" t="str">
        <f t="shared" ca="1" si="1"/>
        <v/>
      </c>
      <c r="X17" s="586"/>
      <c r="Y17" s="582">
        <f ca="1">IFERROR(X17*INDEX([2]Pedidos!$Q:$Q,MATCH(V17,[2]Pedidos!$E:$E,0)),0)</f>
        <v>0</v>
      </c>
    </row>
    <row r="18" spans="1:25" x14ac:dyDescent="0.25">
      <c r="A18" s="753"/>
      <c r="C18" s="527" t="s">
        <v>161</v>
      </c>
      <c r="D18" s="453">
        <f t="shared" si="2"/>
        <v>46160</v>
      </c>
      <c r="E18" s="454" t="s">
        <v>170</v>
      </c>
      <c r="F18" s="460" t="s">
        <v>1756</v>
      </c>
      <c r="G18" s="460" t="s">
        <v>1742</v>
      </c>
      <c r="H18" s="460"/>
      <c r="I18" s="460"/>
      <c r="J18" s="540">
        <v>830</v>
      </c>
      <c r="K18" s="540">
        <v>644</v>
      </c>
      <c r="L18" s="540"/>
      <c r="M18" s="545"/>
      <c r="N18" s="566" t="e">
        <f>J18*INDEX([2]Pedidos!$Q:$Q,MATCH(F18,[2]Pedidos!$E:$E,0))</f>
        <v>#N/A</v>
      </c>
      <c r="O18" s="564">
        <f>K18*INDEX([2]Pedidos!$Q:$Q,MATCH(G18,[2]Pedidos!$E:$E,0))</f>
        <v>953.12</v>
      </c>
      <c r="P18" s="566" t="e">
        <f>M18*INDEX([2]Pedidos!$Q:$Q,MATCH(H18,[2]Pedidos!$E:$E,0))</f>
        <v>#N/A</v>
      </c>
      <c r="V18" s="591" t="str" cm="1">
        <f t="array" aca="1" ref="V1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8" s="576" t="str">
        <f t="shared" ca="1" si="1"/>
        <v/>
      </c>
      <c r="X18" s="586"/>
      <c r="Y18" s="582">
        <f ca="1">IFERROR(X18*INDEX([2]Pedidos!$Q:$Q,MATCH(V18,[2]Pedidos!$E:$E,0)),0)</f>
        <v>0</v>
      </c>
    </row>
    <row r="19" spans="1:25" x14ac:dyDescent="0.25">
      <c r="A19" s="753"/>
      <c r="C19" s="527" t="s">
        <v>161</v>
      </c>
      <c r="D19" s="453">
        <f t="shared" si="2"/>
        <v>46160</v>
      </c>
      <c r="E19" s="454" t="s">
        <v>585</v>
      </c>
      <c r="F19" s="505"/>
      <c r="G19" s="505"/>
      <c r="H19" s="505"/>
      <c r="I19" s="724"/>
      <c r="J19" s="516" cm="1">
        <f t="array" aca="1" ref="J19" ca="1">IFERROR(_xlfn.LET(_xlpm.produto,TRIM(F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9" s="516" cm="1">
        <f t="array" aca="1" ref="K19" ca="1">IFERROR(_xlfn.LET(_xlpm.produto,TRIM(G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9" s="516"/>
      <c r="M19" s="516" cm="1">
        <f t="array" aca="1" ref="M19" ca="1">IFERROR(_xlfn.LET(_xlpm.produto,TRIM(H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9" s="557"/>
      <c r="O19" s="557"/>
      <c r="P19" s="557"/>
      <c r="V19" s="592" t="str" cm="1">
        <f t="array" aca="1" ref="V1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9" s="576" t="str">
        <f t="shared" ca="1" si="1"/>
        <v/>
      </c>
      <c r="X19" s="586"/>
      <c r="Y19" s="582">
        <f ca="1">IFERROR(X19*INDEX([2]Pedidos!$Q:$Q,MATCH(V19,[2]Pedidos!$E:$E,0)),0)</f>
        <v>0</v>
      </c>
    </row>
    <row r="20" spans="1:25" x14ac:dyDescent="0.25">
      <c r="A20" s="753"/>
      <c r="C20" s="527" t="s">
        <v>161</v>
      </c>
      <c r="D20" s="453">
        <f t="shared" si="2"/>
        <v>46160</v>
      </c>
      <c r="E20" s="455" t="s">
        <v>574</v>
      </c>
      <c r="F20" s="505"/>
      <c r="G20" s="505"/>
      <c r="H20" s="505"/>
      <c r="I20" s="724"/>
      <c r="J20" s="516" cm="1">
        <f t="array" aca="1" ref="J20" ca="1">IFERROR(_xlfn.LET(_xlpm.produto,TRIM(F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20" s="516" cm="1">
        <f t="array" aca="1" ref="K20" ca="1">IFERROR(_xlfn.LET(_xlpm.produto,TRIM(G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20" s="516"/>
      <c r="M20" s="516" cm="1">
        <f t="array" aca="1" ref="M20" ca="1">IFERROR(_xlfn.LET(_xlpm.produto,TRIM(H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20" s="557"/>
      <c r="O20" s="557"/>
      <c r="P20" s="557"/>
      <c r="V20" s="591" t="str" cm="1">
        <f t="array" aca="1" ref="V2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20" s="576" t="str">
        <f t="shared" ca="1" si="1"/>
        <v/>
      </c>
      <c r="X20" s="586"/>
      <c r="Y20" s="582">
        <f ca="1">IFERROR(X20*INDEX([2]Pedidos!$Q:$Q,MATCH(V20,[2]Pedidos!$E:$E,0)),0)</f>
        <v>0</v>
      </c>
    </row>
    <row r="21" spans="1:25" x14ac:dyDescent="0.25">
      <c r="A21" s="753"/>
      <c r="C21" s="527" t="s">
        <v>161</v>
      </c>
      <c r="D21" s="453">
        <f t="shared" si="2"/>
        <v>46160</v>
      </c>
      <c r="E21" s="455" t="s">
        <v>575</v>
      </c>
      <c r="F21" s="506"/>
      <c r="G21" s="506"/>
      <c r="H21" s="506"/>
      <c r="I21" s="506"/>
      <c r="J21" s="516" cm="1">
        <f t="array" aca="1" ref="J21" ca="1">IFERROR(_xlfn.LET(_xlpm.produto,TRIM(F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21" s="516" cm="1">
        <f t="array" aca="1" ref="K21" ca="1">IFERROR(_xlfn.LET(_xlpm.produto,TRIM(G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21" s="516"/>
      <c r="M21" s="516" cm="1">
        <f t="array" aca="1" ref="M21" ca="1">IFERROR(_xlfn.LET(_xlpm.produto,TRIM(H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21" s="557"/>
      <c r="O21" s="557"/>
      <c r="P21" s="557"/>
      <c r="V21" s="592" t="str" cm="1">
        <f t="array" aca="1" ref="V2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21" s="576" t="str">
        <f t="shared" ca="1" si="1"/>
        <v/>
      </c>
      <c r="X21" s="587"/>
      <c r="Y21" s="583">
        <f ca="1">IFERROR(X21*INDEX([2]Pedidos!$Q:$Q,MATCH(V21,[2]Pedidos!$E:$E,0)),0)</f>
        <v>0</v>
      </c>
    </row>
    <row r="22" spans="1:25" x14ac:dyDescent="0.25">
      <c r="A22" s="753"/>
      <c r="C22" s="527" t="s">
        <v>161</v>
      </c>
      <c r="D22" s="453">
        <f t="shared" si="2"/>
        <v>46160</v>
      </c>
      <c r="E22" s="503" t="s">
        <v>583</v>
      </c>
      <c r="F22" s="506"/>
      <c r="G22" s="506"/>
      <c r="H22" s="506"/>
      <c r="I22" s="506"/>
      <c r="J22" s="516" cm="1">
        <f t="array" aca="1" ref="J22" ca="1">IFERROR(_xlfn.LET(_xlpm.produto,TRIM(F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22" s="516" cm="1">
        <f t="array" aca="1" ref="K22" ca="1">IFERROR(_xlfn.LET(_xlpm.produto,TRIM(G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22" s="516"/>
      <c r="M22" s="516" cm="1">
        <f t="array" aca="1" ref="M22" ca="1">IFERROR(_xlfn.LET(_xlpm.produto,TRIM(H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22" s="557"/>
      <c r="O22" s="557"/>
      <c r="P22" s="557"/>
      <c r="V22" s="573" t="s">
        <v>1521</v>
      </c>
      <c r="W22" s="574">
        <f ca="1">SUM(W8:W21)</f>
        <v>55024</v>
      </c>
      <c r="X22" s="574">
        <f>SUM(X8:X21)</f>
        <v>0</v>
      </c>
      <c r="Y22" s="584">
        <f ca="1">SUM(Y8:Y21)</f>
        <v>0</v>
      </c>
    </row>
    <row r="23" spans="1:25" ht="15.75" thickBot="1" x14ac:dyDescent="0.3">
      <c r="A23" s="753"/>
      <c r="C23" s="528" t="s">
        <v>161</v>
      </c>
      <c r="D23" s="451">
        <f t="shared" si="2"/>
        <v>46160</v>
      </c>
      <c r="E23" s="459" t="s">
        <v>584</v>
      </c>
      <c r="F23" s="493"/>
      <c r="G23" s="493"/>
      <c r="H23" s="493"/>
      <c r="I23" s="493"/>
      <c r="J23" s="513" cm="1">
        <f t="array" aca="1" ref="J23" ca="1">IFERROR(_xlfn.LET(_xlpm.produto,TRIM(F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23" s="513" cm="1">
        <f t="array" aca="1" ref="K23" ca="1">IFERROR(_xlfn.LET(_xlpm.produto,TRIM(G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23" s="513"/>
      <c r="M23" s="513" cm="1">
        <f t="array" aca="1" ref="M23" ca="1">IFERROR(_xlfn.LET(_xlpm.produto,TRIM(H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23" s="558"/>
      <c r="O23" s="558"/>
      <c r="P23" s="558"/>
    </row>
    <row r="24" spans="1:25" ht="4.5" customHeight="1" thickBot="1" x14ac:dyDescent="0.3">
      <c r="A24" s="753"/>
      <c r="J24" s="445"/>
      <c r="K24" s="445"/>
      <c r="L24" s="445"/>
      <c r="N24" s="559"/>
      <c r="O24" s="559"/>
      <c r="P24" s="559"/>
      <c r="S24" s="3"/>
      <c r="T24" s="3"/>
    </row>
    <row r="25" spans="1:25" ht="15.75" thickBot="1" x14ac:dyDescent="0.3">
      <c r="A25" s="753"/>
      <c r="C25" s="538"/>
      <c r="D25" s="539"/>
      <c r="E25" s="539"/>
      <c r="F25" s="539"/>
      <c r="G25" s="539"/>
      <c r="H25" s="539"/>
      <c r="I25" s="539"/>
      <c r="J25" s="606">
        <f t="shared" ref="J25:P25" ca="1" si="3">_xlfn.AGGREGATE(9,6,J26:J41)</f>
        <v>7470</v>
      </c>
      <c r="K25" s="607">
        <f t="shared" ca="1" si="3"/>
        <v>5796</v>
      </c>
      <c r="L25" s="607"/>
      <c r="M25" s="544">
        <f t="shared" ca="1" si="3"/>
        <v>0</v>
      </c>
      <c r="N25" s="560">
        <f t="shared" si="3"/>
        <v>2963.1000000000004</v>
      </c>
      <c r="O25" s="561">
        <f t="shared" si="3"/>
        <v>8578.08</v>
      </c>
      <c r="P25" s="562">
        <f t="shared" si="3"/>
        <v>0</v>
      </c>
      <c r="Q25" s="548">
        <f ca="1">SUM(J25:M25)</f>
        <v>13266</v>
      </c>
      <c r="R25" s="549">
        <f>SUM(N25:P25)</f>
        <v>11541.18</v>
      </c>
      <c r="S25" s="3"/>
      <c r="T25" s="3"/>
    </row>
    <row r="26" spans="1:25" x14ac:dyDescent="0.25">
      <c r="A26" s="753"/>
      <c r="C26" s="446" t="s">
        <v>171</v>
      </c>
      <c r="D26" s="497">
        <f>D23+1</f>
        <v>46161</v>
      </c>
      <c r="E26" s="498" t="s">
        <v>573</v>
      </c>
      <c r="F26" s="514"/>
      <c r="G26" s="514"/>
      <c r="H26" s="514"/>
      <c r="I26" s="724"/>
      <c r="J26" s="537" cm="1">
        <f t="array" aca="1" ref="J26" ca="1">IFERROR(_xlfn.LET(_xlpm.produto,TRIM(F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26" s="537" cm="1">
        <f t="array" aca="1" ref="K26" ca="1">IFERROR(_xlfn.LET(_xlpm.produto,TRIM(G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26" s="537"/>
      <c r="M26" s="537" cm="1">
        <f t="array" aca="1" ref="M26" ca="1">IFERROR(_xlfn.LET(_xlpm.produto,TRIM(H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26" s="563"/>
      <c r="O26" s="563"/>
      <c r="P26" s="563"/>
    </row>
    <row r="27" spans="1:25" x14ac:dyDescent="0.25">
      <c r="A27" s="753"/>
      <c r="C27" s="452" t="s">
        <v>171</v>
      </c>
      <c r="D27" s="499">
        <f t="shared" ref="D27:D41" si="4">D26</f>
        <v>46161</v>
      </c>
      <c r="E27" s="500" t="s">
        <v>162</v>
      </c>
      <c r="F27" s="460" t="s">
        <v>1756</v>
      </c>
      <c r="G27" s="460" t="s">
        <v>1761</v>
      </c>
      <c r="H27" s="460"/>
      <c r="I27" s="460"/>
      <c r="J27" s="540">
        <v>830</v>
      </c>
      <c r="K27" s="662">
        <v>644</v>
      </c>
      <c r="L27" s="662"/>
      <c r="M27" s="545"/>
      <c r="N27" s="555" t="e">
        <f>J27*INDEX([2]Pedidos!$Q:$Q,MATCH(F27,[2]Pedidos!$E:$E,0))</f>
        <v>#N/A</v>
      </c>
      <c r="O27" s="564">
        <f>K27*INDEX([2]Pedidos!$Q:$Q,MATCH(G27,[2]Pedidos!$E:$E,0))</f>
        <v>953.12</v>
      </c>
      <c r="P27" s="555" t="e">
        <f>M27*INDEX([2]Pedidos!$Q:$Q,MATCH(H27,[2]Pedidos!$E:$E,0))</f>
        <v>#N/A</v>
      </c>
    </row>
    <row r="28" spans="1:25" x14ac:dyDescent="0.25">
      <c r="A28" s="753"/>
      <c r="C28" s="452" t="s">
        <v>171</v>
      </c>
      <c r="D28" s="449">
        <f t="shared" si="4"/>
        <v>46161</v>
      </c>
      <c r="E28" s="454" t="s">
        <v>163</v>
      </c>
      <c r="F28" s="460" t="s">
        <v>1756</v>
      </c>
      <c r="G28" s="460" t="s">
        <v>1761</v>
      </c>
      <c r="H28" s="460"/>
      <c r="I28" s="460"/>
      <c r="J28" s="540">
        <v>830</v>
      </c>
      <c r="K28" s="540">
        <v>644</v>
      </c>
      <c r="L28" s="540"/>
      <c r="M28" s="545"/>
      <c r="N28" s="564" t="e">
        <f>J28*INDEX([2]Pedidos!$Q:$Q,MATCH(F28,[2]Pedidos!$E:$E,0))</f>
        <v>#N/A</v>
      </c>
      <c r="O28" s="564">
        <f>K28*INDEX([2]Pedidos!$Q:$Q,MATCH(G28,[2]Pedidos!$E:$E,0))</f>
        <v>953.12</v>
      </c>
      <c r="P28" s="564" t="e">
        <f>M28*INDEX([2]Pedidos!$Q:$Q,MATCH(H28,[2]Pedidos!$E:$E,0))</f>
        <v>#N/A</v>
      </c>
    </row>
    <row r="29" spans="1:25" x14ac:dyDescent="0.25">
      <c r="A29" s="753"/>
      <c r="C29" s="452" t="s">
        <v>171</v>
      </c>
      <c r="D29" s="449">
        <f t="shared" si="4"/>
        <v>46161</v>
      </c>
      <c r="E29" s="454" t="s">
        <v>164</v>
      </c>
      <c r="F29" s="460" t="s">
        <v>1781</v>
      </c>
      <c r="G29" s="460" t="s">
        <v>1761</v>
      </c>
      <c r="H29" s="460"/>
      <c r="I29" s="460"/>
      <c r="J29" s="540">
        <v>830</v>
      </c>
      <c r="K29" s="540">
        <v>644</v>
      </c>
      <c r="L29" s="540"/>
      <c r="M29" s="545"/>
      <c r="N29" s="564">
        <f>J29*INDEX([2]Pedidos!$Q:$Q,MATCH(F29,[2]Pedidos!$E:$E,0))</f>
        <v>423.3</v>
      </c>
      <c r="O29" s="564">
        <f>K29*INDEX([2]Pedidos!$Q:$Q,MATCH(G29,[2]Pedidos!$E:$E,0))</f>
        <v>953.12</v>
      </c>
      <c r="P29" s="564" t="e">
        <f>M29*INDEX([2]Pedidos!$Q:$Q,MATCH(H29,[2]Pedidos!$E:$E,0))</f>
        <v>#N/A</v>
      </c>
    </row>
    <row r="30" spans="1:25" x14ac:dyDescent="0.25">
      <c r="A30" s="753"/>
      <c r="C30" s="452" t="s">
        <v>171</v>
      </c>
      <c r="D30" s="449">
        <f t="shared" si="4"/>
        <v>46161</v>
      </c>
      <c r="E30" s="454" t="s">
        <v>165</v>
      </c>
      <c r="F30" s="460" t="s">
        <v>1781</v>
      </c>
      <c r="G30" s="460" t="s">
        <v>1761</v>
      </c>
      <c r="H30" s="460"/>
      <c r="I30" s="460"/>
      <c r="J30" s="540">
        <v>830</v>
      </c>
      <c r="K30" s="540">
        <v>644</v>
      </c>
      <c r="L30" s="540"/>
      <c r="M30" s="545"/>
      <c r="N30" s="564">
        <f>J30*INDEX([2]Pedidos!$Q:$Q,MATCH(F30,[2]Pedidos!$E:$E,0))</f>
        <v>423.3</v>
      </c>
      <c r="O30" s="564">
        <f>K30*INDEX([2]Pedidos!$Q:$Q,MATCH(G30,[2]Pedidos!$E:$E,0))</f>
        <v>953.12</v>
      </c>
      <c r="P30" s="564" t="e">
        <f>M30*INDEX([2]Pedidos!$Q:$Q,MATCH(H30,[2]Pedidos!$E:$E,0))</f>
        <v>#N/A</v>
      </c>
    </row>
    <row r="31" spans="1:25" x14ac:dyDescent="0.25">
      <c r="A31" s="753"/>
      <c r="C31" s="452" t="s">
        <v>171</v>
      </c>
      <c r="D31" s="449">
        <f t="shared" si="4"/>
        <v>46161</v>
      </c>
      <c r="E31" s="454" t="s">
        <v>166</v>
      </c>
      <c r="F31" s="460" t="s">
        <v>1781</v>
      </c>
      <c r="G31" s="460" t="s">
        <v>1761</v>
      </c>
      <c r="H31" s="460"/>
      <c r="I31" s="460"/>
      <c r="J31" s="540">
        <v>830</v>
      </c>
      <c r="K31" s="540">
        <v>644</v>
      </c>
      <c r="L31" s="540"/>
      <c r="M31" s="545"/>
      <c r="N31" s="564">
        <f>J31*INDEX([2]Pedidos!$Q:$Q,MATCH(F31,[2]Pedidos!$E:$E,0))</f>
        <v>423.3</v>
      </c>
      <c r="O31" s="564">
        <f>K31*INDEX([2]Pedidos!$Q:$Q,MATCH(G31,[2]Pedidos!$E:$E,0))</f>
        <v>953.12</v>
      </c>
      <c r="P31" s="564" t="e">
        <f>M31*INDEX([2]Pedidos!$Q:$Q,MATCH(H31,[2]Pedidos!$E:$E,0))</f>
        <v>#N/A</v>
      </c>
    </row>
    <row r="32" spans="1:25" x14ac:dyDescent="0.25">
      <c r="A32" s="753"/>
      <c r="C32" s="452" t="s">
        <v>171</v>
      </c>
      <c r="D32" s="449">
        <f t="shared" si="4"/>
        <v>46161</v>
      </c>
      <c r="E32" s="454" t="s">
        <v>576</v>
      </c>
      <c r="F32" s="517"/>
      <c r="G32" s="512"/>
      <c r="H32" s="512"/>
      <c r="I32" s="512"/>
      <c r="J32" s="554" cm="1">
        <f t="array" aca="1" ref="J32" ca="1">IFERROR(_xlfn.LET(_xlpm.produto,TRIM(F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 s="554" cm="1">
        <f t="array" aca="1" ref="K32" ca="1">IFERROR(_xlfn.LET(_xlpm.produto,TRIM(G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 s="554"/>
      <c r="M32" s="554" cm="1">
        <f t="array" aca="1" ref="M32" ca="1">IFERROR(_xlfn.LET(_xlpm.produto,TRIM(H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32" s="556"/>
      <c r="O32" s="556"/>
      <c r="P32" s="556"/>
    </row>
    <row r="33" spans="1:20" x14ac:dyDescent="0.25">
      <c r="A33" s="753"/>
      <c r="C33" s="452" t="s">
        <v>171</v>
      </c>
      <c r="D33" s="449">
        <f t="shared" si="4"/>
        <v>46161</v>
      </c>
      <c r="E33" s="454" t="s">
        <v>167</v>
      </c>
      <c r="F33" s="460" t="s">
        <v>1781</v>
      </c>
      <c r="G33" s="460" t="s">
        <v>1761</v>
      </c>
      <c r="H33" s="460"/>
      <c r="I33" s="460"/>
      <c r="J33" s="540">
        <v>830</v>
      </c>
      <c r="K33" s="540">
        <v>644</v>
      </c>
      <c r="L33" s="540"/>
      <c r="M33" s="545"/>
      <c r="N33" s="565">
        <f>J33*INDEX([2]Pedidos!$Q:$Q,MATCH(F33,[2]Pedidos!$E:$E,0))</f>
        <v>423.3</v>
      </c>
      <c r="O33" s="564">
        <f>K33*INDEX([2]Pedidos!$Q:$Q,MATCH(G33,[2]Pedidos!$E:$E,0))</f>
        <v>953.12</v>
      </c>
      <c r="P33" s="565" t="e">
        <f>M33*INDEX([2]Pedidos!$Q:$Q,MATCH(H33,[2]Pedidos!$E:$E,0))</f>
        <v>#N/A</v>
      </c>
    </row>
    <row r="34" spans="1:20" x14ac:dyDescent="0.25">
      <c r="A34" s="753"/>
      <c r="C34" s="452" t="s">
        <v>171</v>
      </c>
      <c r="D34" s="449">
        <f t="shared" si="4"/>
        <v>46161</v>
      </c>
      <c r="E34" s="454" t="s">
        <v>168</v>
      </c>
      <c r="F34" s="460" t="s">
        <v>1781</v>
      </c>
      <c r="G34" s="460" t="s">
        <v>1761</v>
      </c>
      <c r="H34" s="460"/>
      <c r="I34" s="460"/>
      <c r="J34" s="540">
        <v>830</v>
      </c>
      <c r="K34" s="540">
        <v>644</v>
      </c>
      <c r="L34" s="540"/>
      <c r="M34" s="545"/>
      <c r="N34" s="565">
        <f>J34*INDEX([2]Pedidos!$Q:$Q,MATCH(F34,[2]Pedidos!$E:$E,0))</f>
        <v>423.3</v>
      </c>
      <c r="O34" s="564">
        <f>K34*INDEX([2]Pedidos!$Q:$Q,MATCH(G34,[2]Pedidos!$E:$E,0))</f>
        <v>953.12</v>
      </c>
      <c r="P34" s="565" t="e">
        <f>M34*INDEX([2]Pedidos!$Q:$Q,MATCH(H34,[2]Pedidos!$E:$E,0))</f>
        <v>#N/A</v>
      </c>
    </row>
    <row r="35" spans="1:20" x14ac:dyDescent="0.25">
      <c r="A35" s="753"/>
      <c r="C35" s="452" t="s">
        <v>171</v>
      </c>
      <c r="D35" s="449">
        <f t="shared" si="4"/>
        <v>46161</v>
      </c>
      <c r="E35" s="454" t="s">
        <v>169</v>
      </c>
      <c r="F35" s="460" t="s">
        <v>1781</v>
      </c>
      <c r="G35" s="460" t="s">
        <v>1762</v>
      </c>
      <c r="H35" s="460"/>
      <c r="I35" s="460"/>
      <c r="J35" s="540">
        <v>830</v>
      </c>
      <c r="K35" s="540">
        <v>644</v>
      </c>
      <c r="L35" s="540"/>
      <c r="M35" s="545"/>
      <c r="N35" s="565">
        <f>J35*INDEX([2]Pedidos!$Q:$Q,MATCH(F35,[2]Pedidos!$E:$E,0))</f>
        <v>423.3</v>
      </c>
      <c r="O35" s="564">
        <f>K35*INDEX([2]Pedidos!$Q:$Q,MATCH(G35,[2]Pedidos!$E:$E,0))</f>
        <v>953.12</v>
      </c>
      <c r="P35" s="565" t="e">
        <f>M35*INDEX([2]Pedidos!$Q:$Q,MATCH(H35,[2]Pedidos!$E:$E,0))</f>
        <v>#N/A</v>
      </c>
    </row>
    <row r="36" spans="1:20" x14ac:dyDescent="0.25">
      <c r="A36" s="753"/>
      <c r="C36" s="452" t="s">
        <v>171</v>
      </c>
      <c r="D36" s="449">
        <f t="shared" si="4"/>
        <v>46161</v>
      </c>
      <c r="E36" s="454" t="s">
        <v>170</v>
      </c>
      <c r="F36" s="460" t="s">
        <v>1781</v>
      </c>
      <c r="G36" s="460" t="s">
        <v>1762</v>
      </c>
      <c r="H36" s="460"/>
      <c r="I36" s="460"/>
      <c r="J36" s="540">
        <v>830</v>
      </c>
      <c r="K36" s="540">
        <v>644</v>
      </c>
      <c r="L36" s="540"/>
      <c r="M36" s="545"/>
      <c r="N36" s="566">
        <f>J36*INDEX([2]Pedidos!$Q:$Q,MATCH(F36,[2]Pedidos!$E:$E,0))</f>
        <v>423.3</v>
      </c>
      <c r="O36" s="564">
        <f>K36*INDEX([2]Pedidos!$Q:$Q,MATCH(G36,[2]Pedidos!$E:$E,0))</f>
        <v>953.12</v>
      </c>
      <c r="P36" s="566" t="e">
        <f>M36*INDEX([2]Pedidos!$Q:$Q,MATCH(H36,[2]Pedidos!$E:$E,0))</f>
        <v>#N/A</v>
      </c>
    </row>
    <row r="37" spans="1:20" x14ac:dyDescent="0.25">
      <c r="A37" s="753"/>
      <c r="C37" s="452" t="s">
        <v>171</v>
      </c>
      <c r="D37" s="449">
        <f t="shared" si="4"/>
        <v>46161</v>
      </c>
      <c r="E37" s="454" t="s">
        <v>585</v>
      </c>
      <c r="F37" s="505"/>
      <c r="G37" s="505"/>
      <c r="H37" s="516"/>
      <c r="I37" s="516"/>
      <c r="J37" s="516" cm="1">
        <f t="array" aca="1" ref="J37" ca="1">IFERROR(_xlfn.LET(_xlpm.produto,TRIM(F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7" s="516" cm="1">
        <f t="array" aca="1" ref="K37" ca="1">IFERROR(_xlfn.LET(_xlpm.produto,TRIM(G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7" s="516"/>
      <c r="M37" s="516" cm="1">
        <f t="array" aca="1" ref="M37" ca="1">IFERROR(_xlfn.LET(_xlpm.produto,TRIM(H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37" s="557"/>
      <c r="O37" s="557"/>
      <c r="P37" s="557"/>
    </row>
    <row r="38" spans="1:20" x14ac:dyDescent="0.25">
      <c r="A38" s="753"/>
      <c r="C38" s="448" t="s">
        <v>171</v>
      </c>
      <c r="D38" s="449">
        <f t="shared" si="4"/>
        <v>46161</v>
      </c>
      <c r="E38" s="455" t="s">
        <v>574</v>
      </c>
      <c r="F38" s="505"/>
      <c r="G38" s="505"/>
      <c r="H38" s="516"/>
      <c r="I38" s="516"/>
      <c r="J38" s="516" cm="1">
        <f t="array" aca="1" ref="J38" ca="1">IFERROR(_xlfn.LET(_xlpm.produto,TRIM(F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8" s="516" cm="1">
        <f t="array" aca="1" ref="K38" ca="1">IFERROR(_xlfn.LET(_xlpm.produto,TRIM(G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8" s="516"/>
      <c r="M38" s="516" cm="1">
        <f t="array" aca="1" ref="M38" ca="1">IFERROR(_xlfn.LET(_xlpm.produto,TRIM(H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38" s="557"/>
      <c r="O38" s="557"/>
      <c r="P38" s="557"/>
    </row>
    <row r="39" spans="1:20" x14ac:dyDescent="0.25">
      <c r="A39" s="753"/>
      <c r="C39" s="448" t="s">
        <v>171</v>
      </c>
      <c r="D39" s="449">
        <f t="shared" si="4"/>
        <v>46161</v>
      </c>
      <c r="E39" s="455" t="s">
        <v>575</v>
      </c>
      <c r="F39" s="506"/>
      <c r="G39" s="506"/>
      <c r="H39" s="516"/>
      <c r="I39" s="516"/>
      <c r="J39" s="516" cm="1">
        <f t="array" aca="1" ref="J39" ca="1">IFERROR(_xlfn.LET(_xlpm.produto,TRIM(F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9" s="516" cm="1">
        <f t="array" aca="1" ref="K39" ca="1">IFERROR(_xlfn.LET(_xlpm.produto,TRIM(G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9" s="516"/>
      <c r="M39" s="516" cm="1">
        <f t="array" aca="1" ref="M39" ca="1">IFERROR(_xlfn.LET(_xlpm.produto,TRIM(H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39" s="557"/>
      <c r="O39" s="557"/>
      <c r="P39" s="557"/>
    </row>
    <row r="40" spans="1:20" x14ac:dyDescent="0.25">
      <c r="A40" s="753"/>
      <c r="C40" s="448" t="s">
        <v>171</v>
      </c>
      <c r="D40" s="449">
        <f t="shared" si="4"/>
        <v>46161</v>
      </c>
      <c r="E40" s="503" t="s">
        <v>583</v>
      </c>
      <c r="F40" s="506"/>
      <c r="G40" s="506"/>
      <c r="H40" s="516"/>
      <c r="I40" s="516"/>
      <c r="J40" s="516" cm="1">
        <f t="array" aca="1" ref="J40" ca="1">IFERROR(_xlfn.LET(_xlpm.produto,TRIM(F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40" s="516" cm="1">
        <f t="array" aca="1" ref="K40" ca="1">IFERROR(_xlfn.LET(_xlpm.produto,TRIM(G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40" s="516"/>
      <c r="M40" s="516" cm="1">
        <f t="array" aca="1" ref="M40" ca="1">IFERROR(_xlfn.LET(_xlpm.produto,TRIM(H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40" s="557"/>
      <c r="O40" s="557"/>
      <c r="P40" s="557"/>
    </row>
    <row r="41" spans="1:20" ht="15.75" thickBot="1" x14ac:dyDescent="0.3">
      <c r="A41" s="753"/>
      <c r="C41" s="450" t="s">
        <v>171</v>
      </c>
      <c r="D41" s="451">
        <f t="shared" si="4"/>
        <v>46161</v>
      </c>
      <c r="E41" s="459" t="s">
        <v>584</v>
      </c>
      <c r="F41" s="493"/>
      <c r="G41" s="493"/>
      <c r="H41" s="513"/>
      <c r="I41" s="513"/>
      <c r="J41" s="513" cm="1">
        <f t="array" aca="1" ref="J41" ca="1">IFERROR(_xlfn.LET(_xlpm.produto,TRIM(F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41" s="513" cm="1">
        <f t="array" aca="1" ref="K41" ca="1">IFERROR(_xlfn.LET(_xlpm.produto,TRIM(G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41" s="513"/>
      <c r="M41" s="513" cm="1">
        <f t="array" aca="1" ref="M41" ca="1">IFERROR(_xlfn.LET(_xlpm.produto,TRIM(H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41" s="558"/>
      <c r="O41" s="558"/>
      <c r="P41" s="558"/>
    </row>
    <row r="42" spans="1:20" ht="4.5" customHeight="1" thickBot="1" x14ac:dyDescent="0.3">
      <c r="A42" s="753"/>
      <c r="J42" s="445"/>
      <c r="K42" s="445"/>
      <c r="L42" s="445"/>
      <c r="N42" s="559"/>
      <c r="O42" s="559"/>
      <c r="P42" s="559"/>
      <c r="S42" s="3"/>
      <c r="T42" s="3"/>
    </row>
    <row r="43" spans="1:20" ht="15.75" thickBot="1" x14ac:dyDescent="0.3">
      <c r="A43" s="753"/>
      <c r="C43" s="538"/>
      <c r="D43" s="539"/>
      <c r="E43" s="539"/>
      <c r="F43" s="539"/>
      <c r="G43" s="539"/>
      <c r="H43" s="539"/>
      <c r="I43" s="539"/>
      <c r="J43" s="606">
        <f t="shared" ref="J43:P43" ca="1" si="5">_xlfn.AGGREGATE(9,6,J44:J59)</f>
        <v>7470</v>
      </c>
      <c r="K43" s="607">
        <f t="shared" ca="1" si="5"/>
        <v>6912</v>
      </c>
      <c r="L43" s="607"/>
      <c r="M43" s="544">
        <f t="shared" ca="1" si="5"/>
        <v>0</v>
      </c>
      <c r="N43" s="560">
        <f t="shared" si="5"/>
        <v>8964</v>
      </c>
      <c r="O43" s="561">
        <f t="shared" si="5"/>
        <v>2859.36</v>
      </c>
      <c r="P43" s="562">
        <f t="shared" si="5"/>
        <v>0</v>
      </c>
      <c r="Q43" s="548">
        <f ca="1">SUM(J43:M43)</f>
        <v>14382</v>
      </c>
      <c r="R43" s="549">
        <f>SUM(N43:P43)</f>
        <v>11823.36</v>
      </c>
      <c r="S43" s="3"/>
      <c r="T43" s="3"/>
    </row>
    <row r="44" spans="1:20" x14ac:dyDescent="0.25">
      <c r="A44" s="753"/>
      <c r="C44" s="446" t="s">
        <v>172</v>
      </c>
      <c r="D44" s="497">
        <f>D41+1</f>
        <v>46162</v>
      </c>
      <c r="E44" s="498" t="s">
        <v>573</v>
      </c>
      <c r="F44" s="514"/>
      <c r="G44" s="514"/>
      <c r="H44" s="515"/>
      <c r="I44" s="537"/>
      <c r="J44" s="537" cm="1">
        <f t="array" aca="1" ref="J44" ca="1">IFERROR(_xlfn.LET(_xlpm.produto,TRIM(F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44" s="537" cm="1">
        <f t="array" aca="1" ref="K44" ca="1">IFERROR(_xlfn.LET(_xlpm.produto,TRIM(G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44" s="537"/>
      <c r="M44" s="537" cm="1">
        <f t="array" aca="1" ref="M44" ca="1">IFERROR(_xlfn.LET(_xlpm.produto,TRIM(H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44" s="563"/>
      <c r="O44" s="563"/>
      <c r="P44" s="563"/>
    </row>
    <row r="45" spans="1:20" x14ac:dyDescent="0.25">
      <c r="A45" s="753"/>
      <c r="C45" s="452" t="s">
        <v>172</v>
      </c>
      <c r="D45" s="499">
        <f t="shared" ref="D45:D59" si="6">D44</f>
        <v>46162</v>
      </c>
      <c r="E45" s="500" t="s">
        <v>162</v>
      </c>
      <c r="F45" s="460" t="s">
        <v>1763</v>
      </c>
      <c r="G45" s="460" t="s">
        <v>1762</v>
      </c>
      <c r="H45" s="460"/>
      <c r="I45" s="460"/>
      <c r="J45" s="540">
        <v>830</v>
      </c>
      <c r="K45" s="540">
        <v>644</v>
      </c>
      <c r="L45" s="540"/>
      <c r="M45" s="540"/>
      <c r="N45" s="555">
        <f>J45*INDEX([2]Pedidos!$Q:$Q,MATCH(F45,[2]Pedidos!$E:$E,0))</f>
        <v>996</v>
      </c>
      <c r="O45" s="564">
        <f>K45*INDEX([2]Pedidos!$Q:$Q,MATCH(G45,[2]Pedidos!$E:$E,0))</f>
        <v>953.12</v>
      </c>
      <c r="P45" s="555" t="e">
        <f>M45*INDEX([2]Pedidos!$Q:$Q,MATCH(H45,[2]Pedidos!$E:$E,0))</f>
        <v>#N/A</v>
      </c>
    </row>
    <row r="46" spans="1:20" x14ac:dyDescent="0.25">
      <c r="A46" s="753"/>
      <c r="C46" s="452" t="s">
        <v>172</v>
      </c>
      <c r="D46" s="449">
        <f t="shared" si="6"/>
        <v>46162</v>
      </c>
      <c r="E46" s="454" t="s">
        <v>163</v>
      </c>
      <c r="F46" s="460" t="s">
        <v>1763</v>
      </c>
      <c r="G46" s="460" t="s">
        <v>1762</v>
      </c>
      <c r="H46" s="460"/>
      <c r="I46" s="460"/>
      <c r="J46" s="540">
        <v>830</v>
      </c>
      <c r="K46" s="540">
        <v>644</v>
      </c>
      <c r="L46" s="540"/>
      <c r="M46" s="540"/>
      <c r="N46" s="564">
        <f>J46*INDEX([2]Pedidos!$Q:$Q,MATCH(F46,[2]Pedidos!$E:$E,0))</f>
        <v>996</v>
      </c>
      <c r="O46" s="564">
        <f>K46*INDEX([2]Pedidos!$Q:$Q,MATCH(G46,[2]Pedidos!$E:$E,0))</f>
        <v>953.12</v>
      </c>
      <c r="P46" s="564" t="e">
        <f>M46*INDEX([2]Pedidos!$Q:$Q,MATCH(H46,[2]Pedidos!$E:$E,0))</f>
        <v>#N/A</v>
      </c>
    </row>
    <row r="47" spans="1:20" x14ac:dyDescent="0.25">
      <c r="A47" s="753"/>
      <c r="C47" s="452" t="s">
        <v>172</v>
      </c>
      <c r="D47" s="449">
        <f t="shared" si="6"/>
        <v>46162</v>
      </c>
      <c r="E47" s="454" t="s">
        <v>164</v>
      </c>
      <c r="F47" s="460" t="s">
        <v>1763</v>
      </c>
      <c r="G47" s="460" t="s">
        <v>1762</v>
      </c>
      <c r="H47" s="460"/>
      <c r="I47" s="460"/>
      <c r="J47" s="540">
        <v>830</v>
      </c>
      <c r="K47" s="540">
        <v>644</v>
      </c>
      <c r="L47" s="540"/>
      <c r="M47" s="540"/>
      <c r="N47" s="564">
        <f>J47*INDEX([2]Pedidos!$Q:$Q,MATCH(F47,[2]Pedidos!$E:$E,0))</f>
        <v>996</v>
      </c>
      <c r="O47" s="564">
        <f>K47*INDEX([2]Pedidos!$Q:$Q,MATCH(G47,[2]Pedidos!$E:$E,0))</f>
        <v>953.12</v>
      </c>
      <c r="P47" s="564" t="e">
        <f>M47*INDEX([2]Pedidos!$Q:$Q,MATCH(H47,[2]Pedidos!$E:$E,0))</f>
        <v>#N/A</v>
      </c>
    </row>
    <row r="48" spans="1:20" x14ac:dyDescent="0.25">
      <c r="A48" s="753"/>
      <c r="C48" s="452" t="s">
        <v>172</v>
      </c>
      <c r="D48" s="449">
        <f t="shared" si="6"/>
        <v>46162</v>
      </c>
      <c r="E48" s="454" t="s">
        <v>165</v>
      </c>
      <c r="F48" s="460" t="s">
        <v>1763</v>
      </c>
      <c r="G48" s="460"/>
      <c r="H48" s="460"/>
      <c r="I48" s="460"/>
      <c r="J48" s="540">
        <v>830</v>
      </c>
      <c r="K48" s="540">
        <v>830</v>
      </c>
      <c r="L48" s="540"/>
      <c r="M48" s="540"/>
      <c r="N48" s="564">
        <f>J48*INDEX([2]Pedidos!$Q:$Q,MATCH(F48,[2]Pedidos!$E:$E,0))</f>
        <v>996</v>
      </c>
      <c r="O48" s="564" t="e">
        <f>K48*INDEX([2]Pedidos!$Q:$Q,MATCH(G48,[2]Pedidos!$E:$E,0))</f>
        <v>#N/A</v>
      </c>
      <c r="P48" s="564" t="e">
        <f>M48*INDEX([2]Pedidos!$Q:$Q,MATCH(H48,[2]Pedidos!$E:$E,0))</f>
        <v>#N/A</v>
      </c>
    </row>
    <row r="49" spans="1:20" x14ac:dyDescent="0.25">
      <c r="A49" s="753"/>
      <c r="C49" s="452" t="s">
        <v>172</v>
      </c>
      <c r="D49" s="449">
        <f t="shared" si="6"/>
        <v>46162</v>
      </c>
      <c r="E49" s="454" t="s">
        <v>166</v>
      </c>
      <c r="F49" s="460" t="s">
        <v>1763</v>
      </c>
      <c r="G49" s="460"/>
      <c r="H49" s="460"/>
      <c r="I49" s="460"/>
      <c r="J49" s="540">
        <v>830</v>
      </c>
      <c r="K49" s="540">
        <v>830</v>
      </c>
      <c r="L49" s="540"/>
      <c r="M49" s="540"/>
      <c r="N49" s="564">
        <f>J49*INDEX([2]Pedidos!$Q:$Q,MATCH(F49,[2]Pedidos!$E:$E,0))</f>
        <v>996</v>
      </c>
      <c r="O49" s="564" t="e">
        <f>K49*INDEX([2]Pedidos!$Q:$Q,MATCH(G49,[2]Pedidos!$E:$E,0))</f>
        <v>#N/A</v>
      </c>
      <c r="P49" s="564" t="e">
        <f>M49*INDEX([2]Pedidos!$Q:$Q,MATCH(H49,[2]Pedidos!$E:$E,0))</f>
        <v>#N/A</v>
      </c>
    </row>
    <row r="50" spans="1:20" x14ac:dyDescent="0.25">
      <c r="A50" s="753"/>
      <c r="C50" s="452" t="s">
        <v>172</v>
      </c>
      <c r="D50" s="449">
        <f t="shared" si="6"/>
        <v>46162</v>
      </c>
      <c r="E50" s="454" t="s">
        <v>576</v>
      </c>
      <c r="F50" s="517"/>
      <c r="G50" s="512"/>
      <c r="H50" s="512"/>
      <c r="I50" s="512"/>
      <c r="J50" s="554" cm="1">
        <f t="array" aca="1" ref="J50" ca="1">IFERROR(_xlfn.LET(_xlpm.produto,TRIM(F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0" s="554" cm="1">
        <f t="array" aca="1" ref="K50" ca="1">IFERROR(_xlfn.LET(_xlpm.produto,TRIM(G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0" s="554"/>
      <c r="M50" s="554" cm="1">
        <f t="array" aca="1" ref="M50" ca="1">IFERROR(_xlfn.LET(_xlpm.produto,TRIM(H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0" s="556"/>
      <c r="O50" s="556"/>
      <c r="P50" s="556"/>
    </row>
    <row r="51" spans="1:20" x14ac:dyDescent="0.25">
      <c r="A51" s="753"/>
      <c r="C51" s="452" t="s">
        <v>172</v>
      </c>
      <c r="D51" s="449">
        <f t="shared" si="6"/>
        <v>46162</v>
      </c>
      <c r="E51" s="454" t="s">
        <v>167</v>
      </c>
      <c r="F51" s="460" t="s">
        <v>1763</v>
      </c>
      <c r="G51" s="460"/>
      <c r="H51" s="460"/>
      <c r="I51" s="460"/>
      <c r="J51" s="540">
        <v>830</v>
      </c>
      <c r="K51" s="540">
        <v>830</v>
      </c>
      <c r="L51" s="540"/>
      <c r="M51" s="540"/>
      <c r="N51" s="565">
        <f>J51*INDEX([2]Pedidos!$Q:$Q,MATCH(F51,[2]Pedidos!$E:$E,0))</f>
        <v>996</v>
      </c>
      <c r="O51" s="564" t="e">
        <f>K51*INDEX([2]Pedidos!$Q:$Q,MATCH(G51,[2]Pedidos!$E:$E,0))</f>
        <v>#N/A</v>
      </c>
      <c r="P51" s="565" t="e">
        <f>M51*INDEX([2]Pedidos!$Q:$Q,MATCH(H51,[2]Pedidos!$E:$E,0))</f>
        <v>#N/A</v>
      </c>
    </row>
    <row r="52" spans="1:20" x14ac:dyDescent="0.25">
      <c r="A52" s="753"/>
      <c r="C52" s="452" t="s">
        <v>172</v>
      </c>
      <c r="D52" s="449">
        <f t="shared" si="6"/>
        <v>46162</v>
      </c>
      <c r="E52" s="454" t="s">
        <v>168</v>
      </c>
      <c r="F52" s="460" t="s">
        <v>1763</v>
      </c>
      <c r="G52" s="460"/>
      <c r="H52" s="460"/>
      <c r="I52" s="460"/>
      <c r="J52" s="540">
        <v>830</v>
      </c>
      <c r="K52" s="540">
        <v>830</v>
      </c>
      <c r="L52" s="540"/>
      <c r="M52" s="540"/>
      <c r="N52" s="565">
        <f>J52*INDEX([2]Pedidos!$Q:$Q,MATCH(F52,[2]Pedidos!$E:$E,0))</f>
        <v>996</v>
      </c>
      <c r="O52" s="564" t="e">
        <f>K52*INDEX([2]Pedidos!$Q:$Q,MATCH(G52,[2]Pedidos!$E:$E,0))</f>
        <v>#N/A</v>
      </c>
      <c r="P52" s="565" t="e">
        <f>M52*INDEX([2]Pedidos!$Q:$Q,MATCH(H52,[2]Pedidos!$E:$E,0))</f>
        <v>#N/A</v>
      </c>
    </row>
    <row r="53" spans="1:20" x14ac:dyDescent="0.25">
      <c r="A53" s="753"/>
      <c r="C53" s="452" t="s">
        <v>172</v>
      </c>
      <c r="D53" s="449">
        <f t="shared" si="6"/>
        <v>46162</v>
      </c>
      <c r="E53" s="454" t="s">
        <v>169</v>
      </c>
      <c r="F53" s="460" t="s">
        <v>1763</v>
      </c>
      <c r="G53" s="460"/>
      <c r="H53" s="460"/>
      <c r="I53" s="460"/>
      <c r="J53" s="540">
        <v>830</v>
      </c>
      <c r="K53" s="540">
        <v>830</v>
      </c>
      <c r="L53" s="540"/>
      <c r="M53" s="540"/>
      <c r="N53" s="565">
        <f>J53*INDEX([2]Pedidos!$Q:$Q,MATCH(F53,[2]Pedidos!$E:$E,0))</f>
        <v>996</v>
      </c>
      <c r="O53" s="564" t="e">
        <f>K53*INDEX([2]Pedidos!$Q:$Q,MATCH(G53,[2]Pedidos!$E:$E,0))</f>
        <v>#N/A</v>
      </c>
      <c r="P53" s="565" t="e">
        <f>M53*INDEX([2]Pedidos!$Q:$Q,MATCH(H53,[2]Pedidos!$E:$E,0))</f>
        <v>#N/A</v>
      </c>
    </row>
    <row r="54" spans="1:20" x14ac:dyDescent="0.25">
      <c r="A54" s="753"/>
      <c r="C54" s="452" t="s">
        <v>172</v>
      </c>
      <c r="D54" s="449">
        <f t="shared" si="6"/>
        <v>46162</v>
      </c>
      <c r="E54" s="454" t="s">
        <v>170</v>
      </c>
      <c r="F54" s="460" t="s">
        <v>1763</v>
      </c>
      <c r="G54" s="460"/>
      <c r="H54" s="460"/>
      <c r="I54" s="460"/>
      <c r="J54" s="540">
        <v>830</v>
      </c>
      <c r="K54" s="540">
        <v>830</v>
      </c>
      <c r="L54" s="540"/>
      <c r="M54" s="540"/>
      <c r="N54" s="566">
        <f>J54*INDEX([2]Pedidos!$Q:$Q,MATCH(F54,[2]Pedidos!$E:$E,0))</f>
        <v>996</v>
      </c>
      <c r="O54" s="564" t="e">
        <f>K54*INDEX([2]Pedidos!$Q:$Q,MATCH(G54,[2]Pedidos!$E:$E,0))</f>
        <v>#N/A</v>
      </c>
      <c r="P54" s="566" t="e">
        <f>M54*INDEX([2]Pedidos!$Q:$Q,MATCH(H54,[2]Pedidos!$E:$E,0))</f>
        <v>#N/A</v>
      </c>
    </row>
    <row r="55" spans="1:20" x14ac:dyDescent="0.25">
      <c r="A55" s="753"/>
      <c r="C55" s="452" t="s">
        <v>172</v>
      </c>
      <c r="D55" s="449">
        <f t="shared" si="6"/>
        <v>46162</v>
      </c>
      <c r="E55" s="454" t="s">
        <v>585</v>
      </c>
      <c r="F55" s="505"/>
      <c r="G55" s="505"/>
      <c r="H55" s="516"/>
      <c r="I55" s="516"/>
      <c r="J55" s="516" cm="1">
        <f t="array" aca="1" ref="J55" ca="1">IFERROR(_xlfn.LET(_xlpm.produto,TRIM(F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5" s="516" cm="1">
        <f t="array" aca="1" ref="K55" ca="1">IFERROR(_xlfn.LET(_xlpm.produto,TRIM(G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5" s="516"/>
      <c r="M55" s="516" cm="1">
        <f t="array" aca="1" ref="M55" ca="1">IFERROR(_xlfn.LET(_xlpm.produto,TRIM(H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5" s="557"/>
      <c r="O55" s="557"/>
      <c r="P55" s="557"/>
    </row>
    <row r="56" spans="1:20" x14ac:dyDescent="0.25">
      <c r="A56" s="753"/>
      <c r="C56" s="448" t="s">
        <v>172</v>
      </c>
      <c r="D56" s="449">
        <f t="shared" si="6"/>
        <v>46162</v>
      </c>
      <c r="E56" s="455" t="s">
        <v>574</v>
      </c>
      <c r="F56" s="505"/>
      <c r="G56" s="505"/>
      <c r="H56" s="516"/>
      <c r="I56" s="516"/>
      <c r="J56" s="516" cm="1">
        <f t="array" aca="1" ref="J56" ca="1">IFERROR(_xlfn.LET(_xlpm.produto,TRIM(F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6" s="516" cm="1">
        <f t="array" aca="1" ref="K56" ca="1">IFERROR(_xlfn.LET(_xlpm.produto,TRIM(G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6" s="516"/>
      <c r="M56" s="516" cm="1">
        <f t="array" aca="1" ref="M56" ca="1">IFERROR(_xlfn.LET(_xlpm.produto,TRIM(H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6" s="557"/>
      <c r="O56" s="557"/>
      <c r="P56" s="557"/>
    </row>
    <row r="57" spans="1:20" x14ac:dyDescent="0.25">
      <c r="A57" s="753"/>
      <c r="C57" s="448" t="s">
        <v>172</v>
      </c>
      <c r="D57" s="449">
        <f t="shared" si="6"/>
        <v>46162</v>
      </c>
      <c r="E57" s="455" t="s">
        <v>575</v>
      </c>
      <c r="F57" s="506"/>
      <c r="G57" s="506"/>
      <c r="H57" s="516"/>
      <c r="I57" s="516"/>
      <c r="J57" s="516" cm="1">
        <f t="array" aca="1" ref="J57" ca="1">IFERROR(_xlfn.LET(_xlpm.produto,TRIM(F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7" s="516" cm="1">
        <f t="array" aca="1" ref="K57" ca="1">IFERROR(_xlfn.LET(_xlpm.produto,TRIM(G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7" s="516"/>
      <c r="M57" s="516" cm="1">
        <f t="array" aca="1" ref="M57" ca="1">IFERROR(_xlfn.LET(_xlpm.produto,TRIM(H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7" s="557"/>
      <c r="O57" s="557"/>
      <c r="P57" s="557"/>
    </row>
    <row r="58" spans="1:20" x14ac:dyDescent="0.25">
      <c r="A58" s="753"/>
      <c r="C58" s="448" t="s">
        <v>172</v>
      </c>
      <c r="D58" s="449">
        <f t="shared" si="6"/>
        <v>46162</v>
      </c>
      <c r="E58" s="503" t="s">
        <v>583</v>
      </c>
      <c r="F58" s="506"/>
      <c r="G58" s="506"/>
      <c r="H58" s="516"/>
      <c r="I58" s="516"/>
      <c r="J58" s="516" cm="1">
        <f t="array" aca="1" ref="J58" ca="1">IFERROR(_xlfn.LET(_xlpm.produto,TRIM(F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8" s="516" cm="1">
        <f t="array" aca="1" ref="K58" ca="1">IFERROR(_xlfn.LET(_xlpm.produto,TRIM(G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8" s="516"/>
      <c r="M58" s="516" cm="1">
        <f t="array" aca="1" ref="M58" ca="1">IFERROR(_xlfn.LET(_xlpm.produto,TRIM(H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8" s="557"/>
      <c r="O58" s="557"/>
      <c r="P58" s="557"/>
    </row>
    <row r="59" spans="1:20" ht="15.75" thickBot="1" x14ac:dyDescent="0.3">
      <c r="A59" s="753"/>
      <c r="C59" s="450" t="s">
        <v>172</v>
      </c>
      <c r="D59" s="451">
        <f t="shared" si="6"/>
        <v>46162</v>
      </c>
      <c r="E59" s="459" t="s">
        <v>584</v>
      </c>
      <c r="F59" s="493"/>
      <c r="G59" s="493"/>
      <c r="H59" s="513"/>
      <c r="I59" s="513"/>
      <c r="J59" s="513" cm="1">
        <f t="array" aca="1" ref="J59" ca="1">IFERROR(_xlfn.LET(_xlpm.produto,TRIM(F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59" s="513" cm="1">
        <f t="array" aca="1" ref="K59" ca="1">IFERROR(_xlfn.LET(_xlpm.produto,TRIM(G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59" s="513"/>
      <c r="M59" s="513" cm="1">
        <f t="array" aca="1" ref="M59" ca="1">IFERROR(_xlfn.LET(_xlpm.produto,TRIM(H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59" s="558"/>
      <c r="O59" s="558"/>
      <c r="P59" s="558"/>
    </row>
    <row r="60" spans="1:20" ht="4.5" customHeight="1" thickBot="1" x14ac:dyDescent="0.3">
      <c r="A60" s="753"/>
      <c r="J60" s="445"/>
      <c r="K60" s="445"/>
      <c r="L60" s="445"/>
      <c r="N60" s="559"/>
      <c r="O60" s="559"/>
      <c r="P60" s="559"/>
      <c r="S60" s="3"/>
      <c r="T60" s="3"/>
    </row>
    <row r="61" spans="1:20" ht="15.75" thickBot="1" x14ac:dyDescent="0.3">
      <c r="A61" s="753"/>
      <c r="C61" s="538"/>
      <c r="D61" s="539"/>
      <c r="E61" s="539"/>
      <c r="F61" s="539"/>
      <c r="G61" s="539"/>
      <c r="H61" s="539"/>
      <c r="I61" s="539"/>
      <c r="J61" s="606">
        <f t="shared" ref="J61:P61" ca="1" si="7">_xlfn.AGGREGATE(9,6,J62:J77)</f>
        <v>7470</v>
      </c>
      <c r="K61" s="607">
        <f t="shared" ca="1" si="7"/>
        <v>7470</v>
      </c>
      <c r="L61" s="607"/>
      <c r="M61" s="544">
        <f t="shared" ca="1" si="7"/>
        <v>0</v>
      </c>
      <c r="N61" s="560">
        <f t="shared" si="7"/>
        <v>8964</v>
      </c>
      <c r="O61" s="561">
        <f t="shared" si="7"/>
        <v>6349.5</v>
      </c>
      <c r="P61" s="562">
        <f t="shared" si="7"/>
        <v>0</v>
      </c>
      <c r="Q61" s="548">
        <f ca="1">SUM(J61:M61)</f>
        <v>14940</v>
      </c>
      <c r="R61" s="549">
        <f>SUM(N61:P61)</f>
        <v>15313.5</v>
      </c>
      <c r="S61" s="3"/>
      <c r="T61" s="3"/>
    </row>
    <row r="62" spans="1:20" x14ac:dyDescent="0.25">
      <c r="A62" s="753"/>
      <c r="C62" s="529" t="s">
        <v>173</v>
      </c>
      <c r="D62" s="447">
        <f>D59+1</f>
        <v>46163</v>
      </c>
      <c r="E62" s="498" t="s">
        <v>573</v>
      </c>
      <c r="F62" s="514"/>
      <c r="G62" s="514"/>
      <c r="H62" s="515"/>
      <c r="I62" s="537"/>
      <c r="J62" s="537" cm="1">
        <f t="array" aca="1" ref="J62" ca="1">IFERROR(_xlfn.LET(_xlpm.produto,TRIM(F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62" s="537" cm="1">
        <f t="array" aca="1" ref="K62" ca="1">IFERROR(_xlfn.LET(_xlpm.produto,TRIM(G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62" s="537"/>
      <c r="M62" s="537" cm="1">
        <f t="array" aca="1" ref="M62" ca="1">IFERROR(_xlfn.LET(_xlpm.produto,TRIM(H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62" s="563"/>
      <c r="O62" s="563"/>
      <c r="P62" s="563"/>
    </row>
    <row r="63" spans="1:20" x14ac:dyDescent="0.25">
      <c r="A63" s="753"/>
      <c r="C63" s="452" t="s">
        <v>173</v>
      </c>
      <c r="D63" s="453">
        <f t="shared" ref="D63:D77" si="8">D62</f>
        <v>46163</v>
      </c>
      <c r="E63" s="500" t="s">
        <v>162</v>
      </c>
      <c r="F63" s="460" t="s">
        <v>1763</v>
      </c>
      <c r="G63" s="460" t="s">
        <v>1768</v>
      </c>
      <c r="H63" s="501"/>
      <c r="I63" s="501"/>
      <c r="J63" s="540">
        <v>830</v>
      </c>
      <c r="K63" s="540">
        <v>830</v>
      </c>
      <c r="L63" s="540"/>
      <c r="M63" s="540"/>
      <c r="N63" s="555">
        <f>J63*INDEX([2]Pedidos!$Q:$Q,MATCH(F63,[2]Pedidos!$E:$E,0))</f>
        <v>996</v>
      </c>
      <c r="O63" s="564">
        <f>K63*INDEX([2]Pedidos!$Q:$Q,MATCH(G63,[2]Pedidos!$E:$E,0))</f>
        <v>705.5</v>
      </c>
      <c r="P63" s="555" t="e">
        <f>M63*INDEX([2]Pedidos!$Q:$Q,MATCH(H63,[2]Pedidos!$E:$E,0))</f>
        <v>#N/A</v>
      </c>
    </row>
    <row r="64" spans="1:20" x14ac:dyDescent="0.25">
      <c r="A64" s="753"/>
      <c r="C64" s="452" t="s">
        <v>173</v>
      </c>
      <c r="D64" s="453">
        <f t="shared" si="8"/>
        <v>46163</v>
      </c>
      <c r="E64" s="454" t="s">
        <v>163</v>
      </c>
      <c r="F64" s="460" t="s">
        <v>1763</v>
      </c>
      <c r="G64" s="460" t="s">
        <v>1768</v>
      </c>
      <c r="H64" s="460"/>
      <c r="I64" s="460"/>
      <c r="J64" s="540">
        <v>830</v>
      </c>
      <c r="K64" s="540">
        <v>830</v>
      </c>
      <c r="L64" s="540"/>
      <c r="M64" s="540"/>
      <c r="N64" s="564">
        <f>J64*INDEX([2]Pedidos!$Q:$Q,MATCH(F64,[2]Pedidos!$E:$E,0))</f>
        <v>996</v>
      </c>
      <c r="O64" s="564">
        <f>K64*INDEX([2]Pedidos!$Q:$Q,MATCH(G64,[2]Pedidos!$E:$E,0))</f>
        <v>705.5</v>
      </c>
      <c r="P64" s="564" t="e">
        <f>M64*INDEX([2]Pedidos!$Q:$Q,MATCH(H64,[2]Pedidos!$E:$E,0))</f>
        <v>#N/A</v>
      </c>
    </row>
    <row r="65" spans="1:20" x14ac:dyDescent="0.25">
      <c r="A65" s="753"/>
      <c r="C65" s="452" t="s">
        <v>173</v>
      </c>
      <c r="D65" s="453">
        <f t="shared" si="8"/>
        <v>46163</v>
      </c>
      <c r="E65" s="454" t="s">
        <v>164</v>
      </c>
      <c r="F65" s="460" t="s">
        <v>1763</v>
      </c>
      <c r="G65" s="460" t="s">
        <v>1768</v>
      </c>
      <c r="H65" s="460"/>
      <c r="I65" s="460"/>
      <c r="J65" s="540">
        <v>830</v>
      </c>
      <c r="K65" s="540">
        <v>830</v>
      </c>
      <c r="L65" s="540"/>
      <c r="M65" s="540"/>
      <c r="N65" s="564">
        <f>J65*INDEX([2]Pedidos!$Q:$Q,MATCH(F65,[2]Pedidos!$E:$E,0))</f>
        <v>996</v>
      </c>
      <c r="O65" s="564">
        <f>K65*INDEX([2]Pedidos!$Q:$Q,MATCH(G65,[2]Pedidos!$E:$E,0))</f>
        <v>705.5</v>
      </c>
      <c r="P65" s="564" t="e">
        <f>M65*INDEX([2]Pedidos!$Q:$Q,MATCH(H65,[2]Pedidos!$E:$E,0))</f>
        <v>#N/A</v>
      </c>
    </row>
    <row r="66" spans="1:20" x14ac:dyDescent="0.25">
      <c r="A66" s="753"/>
      <c r="C66" s="452" t="s">
        <v>173</v>
      </c>
      <c r="D66" s="453">
        <f t="shared" si="8"/>
        <v>46163</v>
      </c>
      <c r="E66" s="454" t="s">
        <v>165</v>
      </c>
      <c r="F66" s="460" t="s">
        <v>1763</v>
      </c>
      <c r="G66" s="460" t="s">
        <v>1768</v>
      </c>
      <c r="H66" s="460"/>
      <c r="I66" s="460"/>
      <c r="J66" s="540">
        <v>830</v>
      </c>
      <c r="K66" s="540">
        <v>830</v>
      </c>
      <c r="L66" s="540"/>
      <c r="M66" s="540"/>
      <c r="N66" s="564">
        <f>J66*INDEX([2]Pedidos!$Q:$Q,MATCH(F66,[2]Pedidos!$E:$E,0))</f>
        <v>996</v>
      </c>
      <c r="O66" s="564">
        <f>K66*INDEX([2]Pedidos!$Q:$Q,MATCH(G66,[2]Pedidos!$E:$E,0))</f>
        <v>705.5</v>
      </c>
      <c r="P66" s="564" t="e">
        <f>M66*INDEX([2]Pedidos!$Q:$Q,MATCH(H66,[2]Pedidos!$E:$E,0))</f>
        <v>#N/A</v>
      </c>
    </row>
    <row r="67" spans="1:20" x14ac:dyDescent="0.25">
      <c r="A67" s="753"/>
      <c r="C67" s="452" t="s">
        <v>173</v>
      </c>
      <c r="D67" s="453">
        <f t="shared" si="8"/>
        <v>46163</v>
      </c>
      <c r="E67" s="454" t="s">
        <v>166</v>
      </c>
      <c r="F67" s="460" t="s">
        <v>1763</v>
      </c>
      <c r="G67" s="460" t="s">
        <v>1768</v>
      </c>
      <c r="H67" s="460"/>
      <c r="I67" s="460"/>
      <c r="J67" s="540">
        <v>830</v>
      </c>
      <c r="K67" s="540">
        <v>830</v>
      </c>
      <c r="L67" s="540"/>
      <c r="M67" s="540"/>
      <c r="N67" s="564">
        <f>J67*INDEX([2]Pedidos!$Q:$Q,MATCH(F67,[2]Pedidos!$E:$E,0))</f>
        <v>996</v>
      </c>
      <c r="O67" s="564">
        <f>K67*INDEX([2]Pedidos!$Q:$Q,MATCH(G67,[2]Pedidos!$E:$E,0))</f>
        <v>705.5</v>
      </c>
      <c r="P67" s="564" t="e">
        <f>M67*INDEX([2]Pedidos!$Q:$Q,MATCH(H67,[2]Pedidos!$E:$E,0))</f>
        <v>#N/A</v>
      </c>
    </row>
    <row r="68" spans="1:20" x14ac:dyDescent="0.25">
      <c r="A68" s="753"/>
      <c r="C68" s="452" t="s">
        <v>173</v>
      </c>
      <c r="D68" s="453">
        <f t="shared" si="8"/>
        <v>46163</v>
      </c>
      <c r="E68" s="454" t="s">
        <v>576</v>
      </c>
      <c r="F68" s="517"/>
      <c r="G68" s="512"/>
      <c r="H68" s="505"/>
      <c r="I68" s="505"/>
      <c r="J68" s="554" cm="1">
        <f t="array" aca="1" ref="J68" ca="1">IFERROR(_xlfn.LET(_xlpm.produto,TRIM(F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68" s="554" cm="1">
        <f t="array" aca="1" ref="K68" ca="1">IFERROR(_xlfn.LET(_xlpm.produto,TRIM(G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68" s="554"/>
      <c r="M68" s="554" cm="1">
        <f t="array" aca="1" ref="M68" ca="1">IFERROR(_xlfn.LET(_xlpm.produto,TRIM(H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68" s="556"/>
      <c r="O68" s="556"/>
      <c r="P68" s="556"/>
    </row>
    <row r="69" spans="1:20" x14ac:dyDescent="0.25">
      <c r="A69" s="753"/>
      <c r="C69" s="452" t="s">
        <v>173</v>
      </c>
      <c r="D69" s="449">
        <f t="shared" si="8"/>
        <v>46163</v>
      </c>
      <c r="E69" s="454" t="s">
        <v>167</v>
      </c>
      <c r="F69" s="460" t="s">
        <v>1764</v>
      </c>
      <c r="G69" s="460" t="s">
        <v>1768</v>
      </c>
      <c r="H69" s="461"/>
      <c r="I69" s="460"/>
      <c r="J69" s="540">
        <v>830</v>
      </c>
      <c r="K69" s="540">
        <v>830</v>
      </c>
      <c r="L69" s="540"/>
      <c r="M69" s="540"/>
      <c r="N69" s="565">
        <f>J69*INDEX([2]Pedidos!$Q:$Q,MATCH(F69,[2]Pedidos!$E:$E,0))</f>
        <v>996</v>
      </c>
      <c r="O69" s="564">
        <f>K69*INDEX([2]Pedidos!$Q:$Q,MATCH(G69,[2]Pedidos!$E:$E,0))</f>
        <v>705.5</v>
      </c>
      <c r="P69" s="565" t="e">
        <f>M69*INDEX([2]Pedidos!$Q:$Q,MATCH(H69,[2]Pedidos!$E:$E,0))</f>
        <v>#N/A</v>
      </c>
    </row>
    <row r="70" spans="1:20" x14ac:dyDescent="0.25">
      <c r="A70" s="753"/>
      <c r="C70" s="452" t="s">
        <v>173</v>
      </c>
      <c r="D70" s="449">
        <f t="shared" si="8"/>
        <v>46163</v>
      </c>
      <c r="E70" s="454" t="s">
        <v>168</v>
      </c>
      <c r="F70" s="460" t="s">
        <v>1764</v>
      </c>
      <c r="G70" s="460" t="s">
        <v>1768</v>
      </c>
      <c r="H70" s="461"/>
      <c r="I70" s="460"/>
      <c r="J70" s="540">
        <v>830</v>
      </c>
      <c r="K70" s="540">
        <v>830</v>
      </c>
      <c r="L70" s="540"/>
      <c r="M70" s="540"/>
      <c r="N70" s="565">
        <f>J70*INDEX([2]Pedidos!$Q:$Q,MATCH(F70,[2]Pedidos!$E:$E,0))</f>
        <v>996</v>
      </c>
      <c r="O70" s="564">
        <f>K70*INDEX([2]Pedidos!$Q:$Q,MATCH(G70,[2]Pedidos!$E:$E,0))</f>
        <v>705.5</v>
      </c>
      <c r="P70" s="565" t="e">
        <f>M70*INDEX([2]Pedidos!$Q:$Q,MATCH(H70,[2]Pedidos!$E:$E,0))</f>
        <v>#N/A</v>
      </c>
    </row>
    <row r="71" spans="1:20" x14ac:dyDescent="0.25">
      <c r="A71" s="753"/>
      <c r="C71" s="452" t="s">
        <v>173</v>
      </c>
      <c r="D71" s="449">
        <f t="shared" si="8"/>
        <v>46163</v>
      </c>
      <c r="E71" s="454" t="s">
        <v>169</v>
      </c>
      <c r="F71" s="460" t="s">
        <v>1764</v>
      </c>
      <c r="G71" s="460" t="s">
        <v>1768</v>
      </c>
      <c r="H71" s="461"/>
      <c r="I71" s="460"/>
      <c r="J71" s="540">
        <v>830</v>
      </c>
      <c r="K71" s="540">
        <v>830</v>
      </c>
      <c r="L71" s="540"/>
      <c r="M71" s="540"/>
      <c r="N71" s="565">
        <f>J71*INDEX([2]Pedidos!$Q:$Q,MATCH(F71,[2]Pedidos!$E:$E,0))</f>
        <v>996</v>
      </c>
      <c r="O71" s="564">
        <f>K71*INDEX([2]Pedidos!$Q:$Q,MATCH(G71,[2]Pedidos!$E:$E,0))</f>
        <v>705.5</v>
      </c>
      <c r="P71" s="565" t="e">
        <f>M71*INDEX([2]Pedidos!$Q:$Q,MATCH(H71,[2]Pedidos!$E:$E,0))</f>
        <v>#N/A</v>
      </c>
    </row>
    <row r="72" spans="1:20" x14ac:dyDescent="0.25">
      <c r="A72" s="753"/>
      <c r="C72" s="452" t="s">
        <v>173</v>
      </c>
      <c r="D72" s="449">
        <f t="shared" si="8"/>
        <v>46163</v>
      </c>
      <c r="E72" s="454" t="s">
        <v>170</v>
      </c>
      <c r="F72" s="460" t="s">
        <v>1764</v>
      </c>
      <c r="G72" s="460" t="s">
        <v>1768</v>
      </c>
      <c r="H72" s="504"/>
      <c r="I72" s="725"/>
      <c r="J72" s="540">
        <v>830</v>
      </c>
      <c r="K72" s="540">
        <v>830</v>
      </c>
      <c r="L72" s="540"/>
      <c r="M72" s="540"/>
      <c r="N72" s="566">
        <f>J72*INDEX([2]Pedidos!$Q:$Q,MATCH(F72,[2]Pedidos!$E:$E,0))</f>
        <v>996</v>
      </c>
      <c r="O72" s="564">
        <f>K72*INDEX([2]Pedidos!$Q:$Q,MATCH(G72,[2]Pedidos!$E:$E,0))</f>
        <v>705.5</v>
      </c>
      <c r="P72" s="566" t="e">
        <f>M72*INDEX([2]Pedidos!$Q:$Q,MATCH(H72,[2]Pedidos!$E:$E,0))</f>
        <v>#N/A</v>
      </c>
    </row>
    <row r="73" spans="1:20" x14ac:dyDescent="0.25">
      <c r="A73" s="753"/>
      <c r="C73" s="452" t="s">
        <v>173</v>
      </c>
      <c r="D73" s="449">
        <f t="shared" si="8"/>
        <v>46163</v>
      </c>
      <c r="E73" s="454" t="s">
        <v>585</v>
      </c>
      <c r="F73" s="505"/>
      <c r="G73" s="505"/>
      <c r="H73" s="516"/>
      <c r="I73" s="516"/>
      <c r="J73" s="516" cm="1">
        <f t="array" aca="1" ref="J73" ca="1">IFERROR(_xlfn.LET(_xlpm.produto,TRIM(F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73" s="516" cm="1">
        <f t="array" aca="1" ref="K73" ca="1">IFERROR(_xlfn.LET(_xlpm.produto,TRIM(G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73" s="516"/>
      <c r="M73" s="516" cm="1">
        <f t="array" aca="1" ref="M73" ca="1">IFERROR(_xlfn.LET(_xlpm.produto,TRIM(H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73" s="557"/>
      <c r="O73" s="557"/>
      <c r="P73" s="557"/>
    </row>
    <row r="74" spans="1:20" x14ac:dyDescent="0.25">
      <c r="A74" s="753"/>
      <c r="C74" s="452" t="s">
        <v>173</v>
      </c>
      <c r="D74" s="449">
        <f t="shared" si="8"/>
        <v>46163</v>
      </c>
      <c r="E74" s="455" t="s">
        <v>574</v>
      </c>
      <c r="F74" s="505"/>
      <c r="G74" s="505"/>
      <c r="H74" s="516"/>
      <c r="I74" s="516"/>
      <c r="J74" s="516" cm="1">
        <f t="array" aca="1" ref="J74" ca="1">IFERROR(_xlfn.LET(_xlpm.produto,TRIM(F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74" s="516" cm="1">
        <f t="array" aca="1" ref="K74" ca="1">IFERROR(_xlfn.LET(_xlpm.produto,TRIM(G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74" s="516"/>
      <c r="M74" s="516" cm="1">
        <f t="array" aca="1" ref="M74" ca="1">IFERROR(_xlfn.LET(_xlpm.produto,TRIM(H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74" s="557"/>
      <c r="O74" s="557"/>
      <c r="P74" s="557"/>
    </row>
    <row r="75" spans="1:20" x14ac:dyDescent="0.25">
      <c r="A75" s="753"/>
      <c r="C75" s="452" t="s">
        <v>173</v>
      </c>
      <c r="D75" s="449">
        <f t="shared" si="8"/>
        <v>46163</v>
      </c>
      <c r="E75" s="455" t="s">
        <v>575</v>
      </c>
      <c r="F75" s="506"/>
      <c r="G75" s="506"/>
      <c r="H75" s="516"/>
      <c r="I75" s="516"/>
      <c r="J75" s="516" cm="1">
        <f t="array" aca="1" ref="J75" ca="1">IFERROR(_xlfn.LET(_xlpm.produto,TRIM(F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75" s="516" cm="1">
        <f t="array" aca="1" ref="K75" ca="1">IFERROR(_xlfn.LET(_xlpm.produto,TRIM(G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75" s="516"/>
      <c r="M75" s="516" cm="1">
        <f t="array" aca="1" ref="M75" ca="1">IFERROR(_xlfn.LET(_xlpm.produto,TRIM(H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75" s="557"/>
      <c r="O75" s="557"/>
      <c r="P75" s="557"/>
    </row>
    <row r="76" spans="1:20" x14ac:dyDescent="0.25">
      <c r="A76" s="753"/>
      <c r="C76" s="452" t="s">
        <v>173</v>
      </c>
      <c r="D76" s="449">
        <f t="shared" si="8"/>
        <v>46163</v>
      </c>
      <c r="E76" s="503" t="s">
        <v>583</v>
      </c>
      <c r="F76" s="506"/>
      <c r="G76" s="506"/>
      <c r="H76" s="516"/>
      <c r="I76" s="516"/>
      <c r="J76" s="516" cm="1">
        <f t="array" aca="1" ref="J76" ca="1">IFERROR(_xlfn.LET(_xlpm.produto,TRIM(F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76" s="516" cm="1">
        <f t="array" aca="1" ref="K76" ca="1">IFERROR(_xlfn.LET(_xlpm.produto,TRIM(G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76" s="516"/>
      <c r="M76" s="516" cm="1">
        <f t="array" aca="1" ref="M76" ca="1">IFERROR(_xlfn.LET(_xlpm.produto,TRIM(H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76" s="557"/>
      <c r="O76" s="557"/>
      <c r="P76" s="557"/>
    </row>
    <row r="77" spans="1:20" ht="15.75" thickBot="1" x14ac:dyDescent="0.3">
      <c r="A77" s="753"/>
      <c r="C77" s="530" t="s">
        <v>173</v>
      </c>
      <c r="D77" s="451">
        <f t="shared" si="8"/>
        <v>46163</v>
      </c>
      <c r="E77" s="459" t="s">
        <v>584</v>
      </c>
      <c r="F77" s="493"/>
      <c r="G77" s="493"/>
      <c r="H77" s="513"/>
      <c r="I77" s="513"/>
      <c r="J77" s="513" cm="1">
        <f t="array" aca="1" ref="J77" ca="1">IFERROR(_xlfn.LET(_xlpm.produto,TRIM(F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77" s="513" cm="1">
        <f t="array" aca="1" ref="K77" ca="1">IFERROR(_xlfn.LET(_xlpm.produto,TRIM(G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77" s="513"/>
      <c r="M77" s="513" cm="1">
        <f t="array" aca="1" ref="M77" ca="1">IFERROR(_xlfn.LET(_xlpm.produto,TRIM(H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77" s="558"/>
      <c r="O77" s="558"/>
      <c r="P77" s="558"/>
    </row>
    <row r="78" spans="1:20" ht="4.5" customHeight="1" thickBot="1" x14ac:dyDescent="0.3">
      <c r="A78" s="753"/>
      <c r="J78" s="608"/>
      <c r="K78" s="608"/>
      <c r="L78" s="608"/>
      <c r="M78" s="420"/>
      <c r="N78" s="559"/>
      <c r="O78" s="559"/>
      <c r="P78" s="559"/>
      <c r="S78" s="3"/>
      <c r="T78" s="3"/>
    </row>
    <row r="79" spans="1:20" ht="15.75" thickBot="1" x14ac:dyDescent="0.3">
      <c r="A79" s="753"/>
      <c r="C79" s="546">
        <f ca="1">SUM(J7:M7,J25:M25,J43:M43,J61:M61,J79:M79)</f>
        <v>69134</v>
      </c>
      <c r="D79" s="547">
        <f>SUM(R79,R61,R43,R25,R7)</f>
        <v>58046.12</v>
      </c>
      <c r="E79" s="539"/>
      <c r="F79" s="539"/>
      <c r="G79" s="539"/>
      <c r="H79" s="539"/>
      <c r="I79" s="539"/>
      <c r="J79" s="606">
        <f t="shared" ref="J79:P79" ca="1" si="9">_xlfn.AGGREGATE(9,6,J80:J95)</f>
        <v>6640</v>
      </c>
      <c r="K79" s="607">
        <f t="shared" ca="1" si="9"/>
        <v>6640</v>
      </c>
      <c r="L79" s="607"/>
      <c r="M79" s="544">
        <f t="shared" ca="1" si="9"/>
        <v>0</v>
      </c>
      <c r="N79" s="560">
        <f t="shared" si="9"/>
        <v>7968</v>
      </c>
      <c r="O79" s="561">
        <f t="shared" si="9"/>
        <v>2822</v>
      </c>
      <c r="P79" s="562">
        <f t="shared" si="9"/>
        <v>0</v>
      </c>
      <c r="Q79" s="548">
        <f ca="1">SUM(J79:M79)</f>
        <v>13280</v>
      </c>
      <c r="R79" s="549">
        <f>SUM(N79:P79)</f>
        <v>10790</v>
      </c>
      <c r="S79" s="3"/>
      <c r="T79" s="3"/>
    </row>
    <row r="80" spans="1:20" x14ac:dyDescent="0.25">
      <c r="A80" s="753"/>
      <c r="C80" s="529" t="s">
        <v>174</v>
      </c>
      <c r="D80" s="447">
        <f>D77+1</f>
        <v>46164</v>
      </c>
      <c r="E80" s="498" t="s">
        <v>573</v>
      </c>
      <c r="F80" s="514"/>
      <c r="G80" s="514"/>
      <c r="H80" s="515"/>
      <c r="I80" s="537"/>
      <c r="J80" s="537" cm="1">
        <f t="array" aca="1" ref="J80" ca="1">IFERROR(_xlfn.LET(_xlpm.produto,TRIM(F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80" s="537" cm="1">
        <f t="array" aca="1" ref="K80" ca="1">IFERROR(_xlfn.LET(_xlpm.produto,TRIM(G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80" s="537"/>
      <c r="M80" s="537" cm="1">
        <f t="array" aca="1" ref="M80" ca="1">IFERROR(_xlfn.LET(_xlpm.produto,TRIM(H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80" s="563"/>
      <c r="O80" s="563"/>
      <c r="P80" s="563"/>
    </row>
    <row r="81" spans="1:20" x14ac:dyDescent="0.25">
      <c r="A81" s="753"/>
      <c r="C81" s="452" t="s">
        <v>174</v>
      </c>
      <c r="D81" s="453">
        <f t="shared" ref="D81:D95" si="10">D80</f>
        <v>46164</v>
      </c>
      <c r="E81" s="500" t="s">
        <v>162</v>
      </c>
      <c r="F81" s="613" t="s">
        <v>1764</v>
      </c>
      <c r="G81" s="460" t="s">
        <v>1768</v>
      </c>
      <c r="H81" s="460"/>
      <c r="I81" s="460"/>
      <c r="J81" s="540">
        <v>830</v>
      </c>
      <c r="K81" s="540">
        <v>830</v>
      </c>
      <c r="L81" s="540"/>
      <c r="M81" s="540"/>
      <c r="N81" s="564">
        <f>J81*INDEX([2]Pedidos!$Q:$Q,MATCH(F81,[2]Pedidos!$E:$E,0))</f>
        <v>996</v>
      </c>
      <c r="O81" s="555">
        <f>K81*INDEX([2]Pedidos!$Q:$Q,MATCH(G81,[2]Pedidos!$E:$E,0))</f>
        <v>705.5</v>
      </c>
      <c r="P81" s="555" t="e">
        <f>M81*INDEX([2]Pedidos!$Q:$Q,MATCH(H81,[2]Pedidos!$E:$E,0))</f>
        <v>#N/A</v>
      </c>
    </row>
    <row r="82" spans="1:20" x14ac:dyDescent="0.25">
      <c r="A82" s="753"/>
      <c r="C82" s="452" t="s">
        <v>174</v>
      </c>
      <c r="D82" s="453">
        <f t="shared" si="10"/>
        <v>46164</v>
      </c>
      <c r="E82" s="454" t="s">
        <v>163</v>
      </c>
      <c r="F82" s="613" t="s">
        <v>1764</v>
      </c>
      <c r="G82" s="460" t="s">
        <v>1768</v>
      </c>
      <c r="H82" s="460"/>
      <c r="I82" s="460"/>
      <c r="J82" s="540">
        <v>830</v>
      </c>
      <c r="K82" s="540">
        <v>830</v>
      </c>
      <c r="L82" s="540"/>
      <c r="M82" s="540"/>
      <c r="N82" s="564">
        <f>J82*INDEX([2]Pedidos!$Q:$Q,MATCH(F82,[2]Pedidos!$E:$E,0))</f>
        <v>996</v>
      </c>
      <c r="O82" s="564" t="e">
        <f>K82*INDEX([2]Pedidos!$Q:$Q,MATCH(H82,[2]Pedidos!$E:$E,0))</f>
        <v>#N/A</v>
      </c>
      <c r="P82" s="555" t="e">
        <f>M82*INDEX([2]Pedidos!$Q:$Q,MATCH(H82,[2]Pedidos!$E:$E,0))</f>
        <v>#N/A</v>
      </c>
    </row>
    <row r="83" spans="1:20" x14ac:dyDescent="0.25">
      <c r="A83" s="753"/>
      <c r="C83" s="452" t="s">
        <v>174</v>
      </c>
      <c r="D83" s="453">
        <f t="shared" si="10"/>
        <v>46164</v>
      </c>
      <c r="E83" s="454" t="s">
        <v>164</v>
      </c>
      <c r="F83" s="613" t="s">
        <v>1764</v>
      </c>
      <c r="G83" s="460" t="s">
        <v>1768</v>
      </c>
      <c r="H83" s="460"/>
      <c r="I83" s="460"/>
      <c r="J83" s="540">
        <v>830</v>
      </c>
      <c r="K83" s="540">
        <v>830</v>
      </c>
      <c r="L83" s="540"/>
      <c r="M83" s="540"/>
      <c r="N83" s="564">
        <f>J83*INDEX([2]Pedidos!$Q:$Q,MATCH(F83,[2]Pedidos!$E:$E,0))</f>
        <v>996</v>
      </c>
      <c r="O83" s="564" t="e">
        <f>K83*INDEX([2]Pedidos!$Q:$Q,MATCH(H83,[2]Pedidos!$E:$E,0))</f>
        <v>#N/A</v>
      </c>
      <c r="P83" s="555" t="e">
        <f>M83*INDEX([2]Pedidos!$Q:$Q,MATCH(H83,[2]Pedidos!$E:$E,0))</f>
        <v>#N/A</v>
      </c>
    </row>
    <row r="84" spans="1:20" x14ac:dyDescent="0.25">
      <c r="A84" s="753"/>
      <c r="C84" s="452" t="s">
        <v>174</v>
      </c>
      <c r="D84" s="453">
        <f t="shared" si="10"/>
        <v>46164</v>
      </c>
      <c r="E84" s="454" t="s">
        <v>165</v>
      </c>
      <c r="F84" s="613" t="s">
        <v>1764</v>
      </c>
      <c r="G84" s="460" t="s">
        <v>1768</v>
      </c>
      <c r="H84" s="460"/>
      <c r="I84" s="460"/>
      <c r="J84" s="540">
        <v>830</v>
      </c>
      <c r="K84" s="540">
        <v>830</v>
      </c>
      <c r="L84" s="540"/>
      <c r="M84" s="540"/>
      <c r="N84" s="564">
        <f>J84*INDEX([2]Pedidos!$Q:$Q,MATCH(F84,[2]Pedidos!$E:$E,0))</f>
        <v>996</v>
      </c>
      <c r="O84" s="564" t="e">
        <f>K84*INDEX([2]Pedidos!$Q:$Q,MATCH(H84,[2]Pedidos!$E:$E,0))</f>
        <v>#N/A</v>
      </c>
      <c r="P84" s="555" t="e">
        <f>M84*INDEX([2]Pedidos!$Q:$Q,MATCH(H84,[2]Pedidos!$E:$E,0))</f>
        <v>#N/A</v>
      </c>
    </row>
    <row r="85" spans="1:20" x14ac:dyDescent="0.25">
      <c r="A85" s="753"/>
      <c r="C85" s="452" t="s">
        <v>174</v>
      </c>
      <c r="D85" s="453">
        <f t="shared" si="10"/>
        <v>46164</v>
      </c>
      <c r="E85" s="454" t="s">
        <v>166</v>
      </c>
      <c r="F85" s="613" t="s">
        <v>1764</v>
      </c>
      <c r="G85" s="460" t="s">
        <v>1768</v>
      </c>
      <c r="H85" s="460"/>
      <c r="I85" s="460"/>
      <c r="J85" s="540">
        <v>830</v>
      </c>
      <c r="K85" s="540">
        <v>830</v>
      </c>
      <c r="L85" s="540"/>
      <c r="M85" s="540"/>
      <c r="N85" s="564">
        <f>J85*INDEX([2]Pedidos!$Q:$Q,MATCH(F85,[2]Pedidos!$E:$E,0))</f>
        <v>996</v>
      </c>
      <c r="O85" s="564" t="e">
        <f>K85*INDEX([2]Pedidos!$Q:$Q,MATCH(H85,[2]Pedidos!$E:$E,0))</f>
        <v>#N/A</v>
      </c>
      <c r="P85" s="555" t="e">
        <f>M85*INDEX([2]Pedidos!$Q:$Q,MATCH(H85,[2]Pedidos!$E:$E,0))</f>
        <v>#N/A</v>
      </c>
    </row>
    <row r="86" spans="1:20" x14ac:dyDescent="0.25">
      <c r="A86" s="753"/>
      <c r="C86" s="452" t="s">
        <v>174</v>
      </c>
      <c r="D86" s="453">
        <f t="shared" si="10"/>
        <v>46164</v>
      </c>
      <c r="E86" s="454" t="s">
        <v>576</v>
      </c>
      <c r="F86" s="517"/>
      <c r="G86" s="512"/>
      <c r="H86" s="505"/>
      <c r="I86" s="505"/>
      <c r="J86" s="554" cm="1">
        <f t="array" aca="1" ref="J86" ca="1">IFERROR(_xlfn.LET(_xlpm.produto,TRIM(F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86" s="554" cm="1">
        <f t="array" aca="1" ref="K86" ca="1">IFERROR(_xlfn.LET(_xlpm.produto,TRIM(G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86" s="554"/>
      <c r="M86" s="554" cm="1">
        <f t="array" aca="1" ref="M86" ca="1">IFERROR(_xlfn.LET(_xlpm.produto,TRIM(H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86" s="556"/>
      <c r="O86" s="556"/>
      <c r="P86" s="556"/>
    </row>
    <row r="87" spans="1:20" x14ac:dyDescent="0.25">
      <c r="A87" s="753"/>
      <c r="C87" s="452" t="s">
        <v>174</v>
      </c>
      <c r="D87" s="449">
        <f t="shared" si="10"/>
        <v>46164</v>
      </c>
      <c r="E87" s="454" t="s">
        <v>167</v>
      </c>
      <c r="F87" s="460" t="s">
        <v>1764</v>
      </c>
      <c r="G87" s="460" t="s">
        <v>1768</v>
      </c>
      <c r="H87" s="461"/>
      <c r="I87" s="460"/>
      <c r="J87" s="540">
        <v>830</v>
      </c>
      <c r="K87" s="540">
        <v>830</v>
      </c>
      <c r="L87" s="540"/>
      <c r="M87" s="540"/>
      <c r="N87" s="565">
        <f>J87*INDEX([2]Pedidos!$Q:$Q,MATCH(F87,[2]Pedidos!$E:$E,0))</f>
        <v>996</v>
      </c>
      <c r="O87" s="565">
        <f>K87*INDEX([2]Pedidos!$Q:$Q,MATCH(G87,[2]Pedidos!$E:$E,0))</f>
        <v>705.5</v>
      </c>
      <c r="P87" s="565" t="e">
        <f>M87*INDEX([2]Pedidos!$Q:$Q,MATCH(H87,[2]Pedidos!$E:$E,0))</f>
        <v>#N/A</v>
      </c>
    </row>
    <row r="88" spans="1:20" x14ac:dyDescent="0.25">
      <c r="A88" s="753"/>
      <c r="C88" s="452" t="s">
        <v>174</v>
      </c>
      <c r="D88" s="449">
        <f t="shared" si="10"/>
        <v>46164</v>
      </c>
      <c r="E88" s="454" t="s">
        <v>168</v>
      </c>
      <c r="F88" s="460" t="s">
        <v>1764</v>
      </c>
      <c r="G88" s="460" t="s">
        <v>1768</v>
      </c>
      <c r="H88" s="461"/>
      <c r="I88" s="460"/>
      <c r="J88" s="540">
        <v>830</v>
      </c>
      <c r="K88" s="540">
        <v>830</v>
      </c>
      <c r="L88" s="540"/>
      <c r="M88" s="540"/>
      <c r="N88" s="565">
        <f>J88*INDEX([2]Pedidos!$Q:$Q,MATCH(F88,[2]Pedidos!$E:$E,0))</f>
        <v>996</v>
      </c>
      <c r="O88" s="565">
        <f>K88*INDEX([2]Pedidos!$Q:$Q,MATCH(G88,[2]Pedidos!$E:$E,0))</f>
        <v>705.5</v>
      </c>
      <c r="P88" s="565" t="e">
        <f>M88*INDEX([2]Pedidos!$Q:$Q,MATCH(H88,[2]Pedidos!$E:$E,0))</f>
        <v>#N/A</v>
      </c>
    </row>
    <row r="89" spans="1:20" x14ac:dyDescent="0.25">
      <c r="A89" s="753"/>
      <c r="C89" s="452" t="s">
        <v>174</v>
      </c>
      <c r="D89" s="449">
        <f t="shared" si="10"/>
        <v>46164</v>
      </c>
      <c r="E89" s="454" t="s">
        <v>169</v>
      </c>
      <c r="F89" s="460" t="s">
        <v>1764</v>
      </c>
      <c r="G89" s="460" t="s">
        <v>1768</v>
      </c>
      <c r="H89" s="461"/>
      <c r="I89" s="460"/>
      <c r="J89" s="540">
        <v>830</v>
      </c>
      <c r="K89" s="540">
        <v>830</v>
      </c>
      <c r="L89" s="540"/>
      <c r="M89" s="540"/>
      <c r="N89" s="565">
        <f>J89*INDEX([2]Pedidos!$Q:$Q,MATCH(F89,[2]Pedidos!$E:$E,0))</f>
        <v>996</v>
      </c>
      <c r="O89" s="565">
        <f>K89*INDEX([2]Pedidos!$Q:$Q,MATCH(G89,[2]Pedidos!$E:$E,0))</f>
        <v>705.5</v>
      </c>
      <c r="P89" s="565" t="e">
        <f>M89*INDEX([2]Pedidos!$Q:$Q,MATCH(H89,[2]Pedidos!$E:$E,0))</f>
        <v>#N/A</v>
      </c>
    </row>
    <row r="90" spans="1:20" x14ac:dyDescent="0.25">
      <c r="A90" s="753"/>
      <c r="C90" s="452" t="s">
        <v>174</v>
      </c>
      <c r="D90" s="449">
        <f t="shared" si="10"/>
        <v>46164</v>
      </c>
      <c r="E90" s="454" t="s">
        <v>170</v>
      </c>
      <c r="F90" s="505"/>
      <c r="G90" s="505"/>
      <c r="H90" s="516"/>
      <c r="I90" s="516"/>
      <c r="J90" s="516" cm="1">
        <f t="array" aca="1" ref="J90" ca="1">IFERROR(_xlfn.LET(_xlpm.produto,TRIM(F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0" s="516" cm="1">
        <f t="array" aca="1" ref="K90" ca="1">IFERROR(_xlfn.LET(_xlpm.produto,TRIM(G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0" s="516"/>
      <c r="M90" s="516" cm="1">
        <f t="array" aca="1" ref="M90" ca="1">IFERROR(_xlfn.LET(_xlpm.produto,TRIM(H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0" s="557"/>
      <c r="O90" s="557"/>
      <c r="P90" s="557"/>
    </row>
    <row r="91" spans="1:20" x14ac:dyDescent="0.25">
      <c r="A91" s="753"/>
      <c r="C91" s="452" t="s">
        <v>174</v>
      </c>
      <c r="D91" s="449">
        <f t="shared" si="10"/>
        <v>46164</v>
      </c>
      <c r="E91" s="454" t="s">
        <v>585</v>
      </c>
      <c r="F91" s="505"/>
      <c r="G91" s="505"/>
      <c r="H91" s="516"/>
      <c r="I91" s="516"/>
      <c r="J91" s="516" cm="1">
        <f t="array" aca="1" ref="J91" ca="1">IFERROR(_xlfn.LET(_xlpm.produto,TRIM(F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1" s="516" cm="1">
        <f t="array" aca="1" ref="K91" ca="1">IFERROR(_xlfn.LET(_xlpm.produto,TRIM(G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1" s="516"/>
      <c r="M91" s="516" cm="1">
        <f t="array" aca="1" ref="M91" ca="1">IFERROR(_xlfn.LET(_xlpm.produto,TRIM(H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1" s="557"/>
      <c r="O91" s="557"/>
      <c r="P91" s="557"/>
    </row>
    <row r="92" spans="1:20" x14ac:dyDescent="0.25">
      <c r="A92" s="753"/>
      <c r="C92" s="452" t="s">
        <v>174</v>
      </c>
      <c r="D92" s="449">
        <f t="shared" si="10"/>
        <v>46164</v>
      </c>
      <c r="E92" s="455" t="s">
        <v>574</v>
      </c>
      <c r="F92" s="505"/>
      <c r="G92" s="505"/>
      <c r="H92" s="516"/>
      <c r="I92" s="516"/>
      <c r="J92" s="516" cm="1">
        <f t="array" aca="1" ref="J92" ca="1">IFERROR(_xlfn.LET(_xlpm.produto,TRIM(F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2" s="516" cm="1">
        <f t="array" aca="1" ref="K92" ca="1">IFERROR(_xlfn.LET(_xlpm.produto,TRIM(G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2" s="516"/>
      <c r="M92" s="516" cm="1">
        <f t="array" aca="1" ref="M92" ca="1">IFERROR(_xlfn.LET(_xlpm.produto,TRIM(H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2" s="557"/>
      <c r="O92" s="557"/>
      <c r="P92" s="557"/>
    </row>
    <row r="93" spans="1:20" x14ac:dyDescent="0.25">
      <c r="A93" s="753"/>
      <c r="C93" s="452" t="s">
        <v>174</v>
      </c>
      <c r="D93" s="449">
        <f t="shared" si="10"/>
        <v>46164</v>
      </c>
      <c r="E93" s="455" t="s">
        <v>575</v>
      </c>
      <c r="F93" s="506"/>
      <c r="G93" s="506"/>
      <c r="H93" s="516"/>
      <c r="I93" s="516"/>
      <c r="J93" s="516" cm="1">
        <f t="array" aca="1" ref="J93" ca="1">IFERROR(_xlfn.LET(_xlpm.produto,TRIM(F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3" s="516" cm="1">
        <f t="array" aca="1" ref="K93" ca="1">IFERROR(_xlfn.LET(_xlpm.produto,TRIM(G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3" s="516"/>
      <c r="M93" s="516" cm="1">
        <f t="array" aca="1" ref="M93" ca="1">IFERROR(_xlfn.LET(_xlpm.produto,TRIM(H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3" s="557"/>
      <c r="O93" s="557"/>
      <c r="P93" s="557"/>
    </row>
    <row r="94" spans="1:20" x14ac:dyDescent="0.25">
      <c r="A94" s="753"/>
      <c r="C94" s="452" t="s">
        <v>174</v>
      </c>
      <c r="D94" s="502">
        <f t="shared" si="10"/>
        <v>46164</v>
      </c>
      <c r="E94" s="503" t="s">
        <v>583</v>
      </c>
      <c r="F94" s="506"/>
      <c r="G94" s="506"/>
      <c r="H94" s="516"/>
      <c r="I94" s="516"/>
      <c r="J94" s="516" cm="1">
        <f t="array" aca="1" ref="J94" ca="1">IFERROR(_xlfn.LET(_xlpm.produto,TRIM(F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4" s="516" cm="1">
        <f t="array" aca="1" ref="K94" ca="1">IFERROR(_xlfn.LET(_xlpm.produto,TRIM(G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4" s="516"/>
      <c r="M94" s="516" cm="1">
        <f t="array" aca="1" ref="M94" ca="1">IFERROR(_xlfn.LET(_xlpm.produto,TRIM(H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4" s="557"/>
      <c r="O94" s="557"/>
      <c r="P94" s="557"/>
    </row>
    <row r="95" spans="1:20" ht="15.75" thickBot="1" x14ac:dyDescent="0.3">
      <c r="A95" s="753"/>
      <c r="C95" s="530" t="s">
        <v>174</v>
      </c>
      <c r="D95" s="451">
        <f t="shared" si="10"/>
        <v>46164</v>
      </c>
      <c r="E95" s="459" t="s">
        <v>584</v>
      </c>
      <c r="F95" s="493"/>
      <c r="G95" s="493"/>
      <c r="H95" s="513"/>
      <c r="I95" s="513"/>
      <c r="J95" s="513" cm="1">
        <f t="array" aca="1" ref="J95" ca="1">IFERROR(_xlfn.LET(_xlpm.produto,TRIM(F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5" s="513" cm="1">
        <f t="array" aca="1" ref="K95" ca="1">IFERROR(_xlfn.LET(_xlpm.produto,TRIM(G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5" s="513"/>
      <c r="M95" s="513" cm="1">
        <f t="array" aca="1" ref="M95" ca="1">IFERROR(_xlfn.LET(_xlpm.produto,TRIM(H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5" s="558"/>
      <c r="O95" s="558"/>
      <c r="P95" s="558"/>
    </row>
    <row r="96" spans="1:20" ht="4.5" customHeight="1" thickBot="1" x14ac:dyDescent="0.3">
      <c r="A96" s="753"/>
      <c r="J96" s="445"/>
      <c r="K96" s="445"/>
      <c r="L96" s="445"/>
      <c r="N96" s="559"/>
      <c r="O96" s="559"/>
      <c r="P96" s="559"/>
      <c r="S96" s="3"/>
      <c r="T96" s="3"/>
    </row>
    <row r="97" spans="1:20" ht="15" customHeight="1" thickBot="1" x14ac:dyDescent="0.3">
      <c r="A97" s="753"/>
      <c r="C97" s="538"/>
      <c r="D97" s="539"/>
      <c r="E97" s="539"/>
      <c r="F97" s="539"/>
      <c r="G97" s="539"/>
      <c r="H97" s="539"/>
      <c r="I97" s="539"/>
      <c r="J97" s="606">
        <f t="shared" ref="J97:P97" ca="1" si="11">_xlfn.AGGREGATE(9,6,J98:J113)</f>
        <v>0</v>
      </c>
      <c r="K97" s="607">
        <f t="shared" ca="1" si="11"/>
        <v>0</v>
      </c>
      <c r="L97" s="607"/>
      <c r="M97" s="544">
        <f t="shared" ca="1" si="11"/>
        <v>0</v>
      </c>
      <c r="N97" s="560">
        <f t="shared" si="11"/>
        <v>0</v>
      </c>
      <c r="O97" s="561">
        <f t="shared" si="11"/>
        <v>0</v>
      </c>
      <c r="P97" s="562">
        <f t="shared" si="11"/>
        <v>0</v>
      </c>
      <c r="Q97" s="548">
        <f ca="1">SUM(J97:M97)</f>
        <v>0</v>
      </c>
      <c r="R97" s="549">
        <f>SUM(N97:P97)</f>
        <v>0</v>
      </c>
      <c r="S97" s="3"/>
      <c r="T97" s="3"/>
    </row>
    <row r="98" spans="1:20" x14ac:dyDescent="0.25">
      <c r="A98" s="753"/>
      <c r="C98" s="529" t="s">
        <v>1033</v>
      </c>
      <c r="D98" s="447">
        <f>D95+1</f>
        <v>46165</v>
      </c>
      <c r="E98" s="498" t="s">
        <v>573</v>
      </c>
      <c r="F98" s="514"/>
      <c r="G98" s="514"/>
      <c r="H98" s="514"/>
      <c r="I98" s="724"/>
      <c r="J98" s="537" cm="1">
        <f t="array" aca="1" ref="J98" ca="1">IFERROR(_xlfn.LET(_xlpm.produto,TRIM(F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98" s="537" cm="1">
        <f t="array" aca="1" ref="K98" ca="1">IFERROR(_xlfn.LET(_xlpm.produto,TRIM(G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98" s="537"/>
      <c r="M98" s="537" cm="1">
        <f t="array" aca="1" ref="M98" ca="1">IFERROR(_xlfn.LET(_xlpm.produto,TRIM(H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98" s="563"/>
      <c r="O98" s="563"/>
      <c r="P98" s="563"/>
    </row>
    <row r="99" spans="1:20" x14ac:dyDescent="0.25">
      <c r="A99" s="753"/>
      <c r="C99" s="452" t="s">
        <v>1033</v>
      </c>
      <c r="D99" s="453">
        <f t="shared" ref="D99:D113" si="12">D98</f>
        <v>46165</v>
      </c>
      <c r="E99" s="500" t="s">
        <v>162</v>
      </c>
      <c r="F99" s="517"/>
      <c r="G99" s="517"/>
      <c r="H99" s="517"/>
      <c r="I99" s="512"/>
      <c r="J99" s="540"/>
      <c r="K99" s="540"/>
      <c r="L99" s="540"/>
      <c r="M99" s="540"/>
      <c r="N99" s="555" t="e">
        <f>J99*INDEX([2]Pedidos!$Q:$Q,MATCH(F99,[2]Pedidos!$E:$E,0))</f>
        <v>#N/A</v>
      </c>
      <c r="O99" s="555" t="e">
        <f>K99*INDEX([2]Pedidos!$Q:$Q,MATCH(G99,[2]Pedidos!$E:$E,0))</f>
        <v>#N/A</v>
      </c>
      <c r="P99" s="555" t="e">
        <f>M99*INDEX([2]Pedidos!$Q:$Q,MATCH(H99,[2]Pedidos!$E:$E,0))</f>
        <v>#N/A</v>
      </c>
    </row>
    <row r="100" spans="1:20" x14ac:dyDescent="0.25">
      <c r="A100" s="753"/>
      <c r="C100" s="452" t="s">
        <v>1033</v>
      </c>
      <c r="D100" s="453">
        <f t="shared" si="12"/>
        <v>46165</v>
      </c>
      <c r="E100" s="454" t="s">
        <v>163</v>
      </c>
      <c r="F100" s="517"/>
      <c r="G100" s="512"/>
      <c r="H100" s="505"/>
      <c r="I100" s="505"/>
      <c r="J100" s="540"/>
      <c r="K100" s="540"/>
      <c r="L100" s="540"/>
      <c r="M100" s="540"/>
      <c r="N100" s="564" t="e">
        <f>J100*INDEX([2]Pedidos!$Q:$Q,MATCH(F100,[2]Pedidos!$E:$E,0))</f>
        <v>#N/A</v>
      </c>
      <c r="O100" s="564" t="e">
        <f>K100*INDEX([2]Pedidos!$Q:$Q,MATCH(G100,[2]Pedidos!$E:$E,0))</f>
        <v>#N/A</v>
      </c>
      <c r="P100" s="564" t="e">
        <f>M100*INDEX([2]Pedidos!$Q:$Q,MATCH(H100,[2]Pedidos!$E:$E,0))</f>
        <v>#N/A</v>
      </c>
    </row>
    <row r="101" spans="1:20" x14ac:dyDescent="0.25">
      <c r="A101" s="753"/>
      <c r="C101" s="452" t="s">
        <v>1033</v>
      </c>
      <c r="D101" s="453">
        <f t="shared" si="12"/>
        <v>46165</v>
      </c>
      <c r="E101" s="454" t="s">
        <v>164</v>
      </c>
      <c r="F101" s="517"/>
      <c r="G101" s="512"/>
      <c r="H101" s="505"/>
      <c r="I101" s="505"/>
      <c r="J101" s="540"/>
      <c r="K101" s="540"/>
      <c r="L101" s="540"/>
      <c r="M101" s="540"/>
      <c r="N101" s="564" t="e">
        <f>J101*INDEX([2]Pedidos!$Q:$Q,MATCH(F101,[2]Pedidos!$E:$E,0))</f>
        <v>#N/A</v>
      </c>
      <c r="O101" s="564" t="e">
        <f>K101*INDEX([2]Pedidos!$Q:$Q,MATCH(G101,[2]Pedidos!$E:$E,0))</f>
        <v>#N/A</v>
      </c>
      <c r="P101" s="564" t="e">
        <f>M101*INDEX([2]Pedidos!$Q:$Q,MATCH(H101,[2]Pedidos!$E:$E,0))</f>
        <v>#N/A</v>
      </c>
    </row>
    <row r="102" spans="1:20" x14ac:dyDescent="0.25">
      <c r="A102" s="753"/>
      <c r="C102" s="452" t="s">
        <v>1033</v>
      </c>
      <c r="D102" s="453">
        <f t="shared" si="12"/>
        <v>46165</v>
      </c>
      <c r="E102" s="454" t="s">
        <v>165</v>
      </c>
      <c r="F102" s="517"/>
      <c r="G102" s="512"/>
      <c r="H102" s="505"/>
      <c r="I102" s="505"/>
      <c r="J102" s="540"/>
      <c r="K102" s="540"/>
      <c r="L102" s="540"/>
      <c r="M102" s="540"/>
      <c r="N102" s="564" t="e">
        <f>J102*INDEX([2]Pedidos!$Q:$Q,MATCH(F102,[2]Pedidos!$E:$E,0))</f>
        <v>#N/A</v>
      </c>
      <c r="O102" s="564" t="e">
        <f>K102*INDEX([2]Pedidos!$Q:$Q,MATCH(G102,[2]Pedidos!$E:$E,0))</f>
        <v>#N/A</v>
      </c>
      <c r="P102" s="564" t="e">
        <f>M102*INDEX([2]Pedidos!$Q:$Q,MATCH(H102,[2]Pedidos!$E:$E,0))</f>
        <v>#N/A</v>
      </c>
    </row>
    <row r="103" spans="1:20" x14ac:dyDescent="0.25">
      <c r="A103" s="753"/>
      <c r="C103" s="452" t="s">
        <v>1033</v>
      </c>
      <c r="D103" s="453">
        <f t="shared" si="12"/>
        <v>46165</v>
      </c>
      <c r="E103" s="454" t="s">
        <v>166</v>
      </c>
      <c r="F103" s="517"/>
      <c r="G103" s="512"/>
      <c r="H103" s="505"/>
      <c r="I103" s="505"/>
      <c r="J103" s="540"/>
      <c r="K103" s="540"/>
      <c r="L103" s="540"/>
      <c r="M103" s="540"/>
      <c r="N103" s="564" t="e">
        <f>J103*INDEX([2]Pedidos!$Q:$Q,MATCH(F103,[2]Pedidos!$E:$E,0))</f>
        <v>#N/A</v>
      </c>
      <c r="O103" s="564" t="e">
        <f>K103*INDEX([2]Pedidos!$Q:$Q,MATCH(G103,[2]Pedidos!$E:$E,0))</f>
        <v>#N/A</v>
      </c>
      <c r="P103" s="564" t="e">
        <f>M103*INDEX([2]Pedidos!$Q:$Q,MATCH(H103,[2]Pedidos!$E:$E,0))</f>
        <v>#N/A</v>
      </c>
    </row>
    <row r="104" spans="1:20" x14ac:dyDescent="0.25">
      <c r="A104" s="753"/>
      <c r="C104" s="452" t="s">
        <v>1033</v>
      </c>
      <c r="D104" s="453">
        <f t="shared" si="12"/>
        <v>46165</v>
      </c>
      <c r="E104" s="454" t="s">
        <v>576</v>
      </c>
      <c r="F104" s="517"/>
      <c r="G104" s="512"/>
      <c r="H104" s="505"/>
      <c r="I104" s="505"/>
      <c r="J104" s="541" cm="1">
        <f t="array" aca="1" ref="J104" ca="1">IFERROR(_xlfn.LET(_xlpm.produto,TRIM(F104)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04" s="541" cm="1">
        <f t="array" aca="1" ref="K104" ca="1">IFERROR(_xlfn.LET(_xlpm.produto,TRIM(G104)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G$5:G$5,"="&amp;_xlpm.produto)+COUNTIF(H$5:H$5,"="&amp;_xlpm.produto)+COUNTIF(J$5:J$5,"="&amp;_xlpm.produto),_xlpm.saldo/_xlpm.horas),0)</f>
        <v>0</v>
      </c>
      <c r="L104" s="541"/>
      <c r="M104" s="541" cm="1">
        <f t="array" aca="1" ref="M104" ca="1">IFERROR(_xlfn.LET(_xlpm.produto,TRIM(H104)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H$5:H$5,"="&amp;_xlpm.produto)+COUNTIF(J$5:J$5,"="&amp;_xlpm.produto)+COUNTIF(K$5:K$5,"="&amp;_xlpm.produto),_xlpm.saldo/_xlpm.horas),0)</f>
        <v>0</v>
      </c>
      <c r="N104" s="556"/>
      <c r="O104" s="556"/>
      <c r="P104" s="556"/>
    </row>
    <row r="105" spans="1:20" x14ac:dyDescent="0.25">
      <c r="A105" s="753"/>
      <c r="C105" s="452" t="s">
        <v>1033</v>
      </c>
      <c r="D105" s="449">
        <f t="shared" si="12"/>
        <v>46165</v>
      </c>
      <c r="E105" s="454" t="s">
        <v>167</v>
      </c>
      <c r="F105" s="517"/>
      <c r="G105" s="512"/>
      <c r="H105" s="505"/>
      <c r="I105" s="505"/>
      <c r="J105" s="540"/>
      <c r="K105" s="540"/>
      <c r="L105" s="540"/>
      <c r="M105" s="540"/>
      <c r="N105" s="565" t="e">
        <f>J105*INDEX([2]Pedidos!$Q:$Q,MATCH(F105,[2]Pedidos!$E:$E,0))</f>
        <v>#N/A</v>
      </c>
      <c r="O105" s="565" t="e">
        <f>K105*INDEX([2]Pedidos!$Q:$Q,MATCH(G105,[2]Pedidos!$E:$E,0))</f>
        <v>#N/A</v>
      </c>
      <c r="P105" s="565" t="e">
        <f>M105*INDEX([2]Pedidos!$Q:$Q,MATCH(H105,[2]Pedidos!$E:$E,0))</f>
        <v>#N/A</v>
      </c>
    </row>
    <row r="106" spans="1:20" x14ac:dyDescent="0.25">
      <c r="A106" s="753"/>
      <c r="C106" s="452" t="s">
        <v>1033</v>
      </c>
      <c r="D106" s="449">
        <f t="shared" si="12"/>
        <v>46165</v>
      </c>
      <c r="E106" s="454" t="s">
        <v>168</v>
      </c>
      <c r="F106" s="517"/>
      <c r="G106" s="512"/>
      <c r="H106" s="505"/>
      <c r="I106" s="505"/>
      <c r="J106" s="540"/>
      <c r="K106" s="540"/>
      <c r="L106" s="540"/>
      <c r="M106" s="540"/>
      <c r="N106" s="565" t="e">
        <f>J106*INDEX([2]Pedidos!$Q:$Q,MATCH(F106,[2]Pedidos!$E:$E,0))</f>
        <v>#N/A</v>
      </c>
      <c r="O106" s="565" t="e">
        <f>K106*INDEX([2]Pedidos!$Q:$Q,MATCH(G106,[2]Pedidos!$E:$E,0))</f>
        <v>#N/A</v>
      </c>
      <c r="P106" s="565" t="e">
        <f>M106*INDEX([2]Pedidos!$Q:$Q,MATCH(H106,[2]Pedidos!$E:$E,0))</f>
        <v>#N/A</v>
      </c>
    </row>
    <row r="107" spans="1:20" x14ac:dyDescent="0.25">
      <c r="A107" s="753"/>
      <c r="C107" s="452" t="s">
        <v>1033</v>
      </c>
      <c r="D107" s="449">
        <f t="shared" si="12"/>
        <v>46165</v>
      </c>
      <c r="E107" s="454" t="s">
        <v>169</v>
      </c>
      <c r="F107" s="517"/>
      <c r="G107" s="512"/>
      <c r="H107" s="505"/>
      <c r="I107" s="505"/>
      <c r="J107" s="540"/>
      <c r="K107" s="540"/>
      <c r="L107" s="540"/>
      <c r="M107" s="540"/>
      <c r="N107" s="565" t="e">
        <f>J107*INDEX([2]Pedidos!$Q:$Q,MATCH(F107,[2]Pedidos!$E:$E,0))</f>
        <v>#N/A</v>
      </c>
      <c r="O107" s="565" t="e">
        <f>K107*INDEX([2]Pedidos!$Q:$Q,MATCH(G107,[2]Pedidos!$E:$E,0))</f>
        <v>#N/A</v>
      </c>
      <c r="P107" s="565" t="e">
        <f>M107*INDEX([2]Pedidos!$Q:$Q,MATCH(H107,[2]Pedidos!$E:$E,0))</f>
        <v>#N/A</v>
      </c>
    </row>
    <row r="108" spans="1:20" x14ac:dyDescent="0.25">
      <c r="A108" s="753"/>
      <c r="C108" s="452" t="s">
        <v>1033</v>
      </c>
      <c r="D108" s="449">
        <f t="shared" si="12"/>
        <v>46165</v>
      </c>
      <c r="E108" s="454" t="s">
        <v>170</v>
      </c>
      <c r="F108" s="517"/>
      <c r="G108" s="512"/>
      <c r="H108" s="505"/>
      <c r="I108" s="505"/>
      <c r="J108" s="540"/>
      <c r="K108" s="540"/>
      <c r="L108" s="540"/>
      <c r="M108" s="540"/>
      <c r="N108" s="566" t="e">
        <f>J108*INDEX([2]Pedidos!$Q:$Q,MATCH(F108,[2]Pedidos!$E:$E,0))</f>
        <v>#N/A</v>
      </c>
      <c r="O108" s="566" t="e">
        <f>K108*INDEX([2]Pedidos!$Q:$Q,MATCH(G108,[2]Pedidos!$E:$E,0))</f>
        <v>#N/A</v>
      </c>
      <c r="P108" s="566" t="e">
        <f>M108*INDEX([2]Pedidos!$Q:$Q,MATCH(H108,[2]Pedidos!$E:$E,0))</f>
        <v>#N/A</v>
      </c>
    </row>
    <row r="109" spans="1:20" x14ac:dyDescent="0.25">
      <c r="A109" s="753"/>
      <c r="C109" s="452" t="s">
        <v>1033</v>
      </c>
      <c r="D109" s="449">
        <f t="shared" si="12"/>
        <v>46165</v>
      </c>
      <c r="E109" s="454" t="s">
        <v>585</v>
      </c>
      <c r="F109" s="505"/>
      <c r="G109" s="505"/>
      <c r="H109" s="516"/>
      <c r="I109" s="516"/>
      <c r="J109" s="516" cm="1">
        <f t="array" aca="1" ref="J109" ca="1">IFERROR(_xlfn.LET(_xlpm.produto,TRIM(F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09" s="516" cm="1">
        <f t="array" aca="1" ref="K109" ca="1">IFERROR(_xlfn.LET(_xlpm.produto,TRIM(G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09" s="516"/>
      <c r="M109" s="516" cm="1">
        <f t="array" aca="1" ref="M109" ca="1">IFERROR(_xlfn.LET(_xlpm.produto,TRIM(H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09" s="557"/>
      <c r="O109" s="557"/>
      <c r="P109" s="557"/>
    </row>
    <row r="110" spans="1:20" x14ac:dyDescent="0.25">
      <c r="A110" s="753"/>
      <c r="C110" s="452" t="s">
        <v>1033</v>
      </c>
      <c r="D110" s="449">
        <f t="shared" si="12"/>
        <v>46165</v>
      </c>
      <c r="E110" s="455" t="s">
        <v>574</v>
      </c>
      <c r="F110" s="505"/>
      <c r="G110" s="505"/>
      <c r="H110" s="516"/>
      <c r="I110" s="516"/>
      <c r="J110" s="516" cm="1">
        <f t="array" aca="1" ref="J110" ca="1">IFERROR(_xlfn.LET(_xlpm.produto,TRIM(F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10" s="516" cm="1">
        <f t="array" aca="1" ref="K110" ca="1">IFERROR(_xlfn.LET(_xlpm.produto,TRIM(G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10" s="516"/>
      <c r="M110" s="516" cm="1">
        <f t="array" aca="1" ref="M110" ca="1">IFERROR(_xlfn.LET(_xlpm.produto,TRIM(H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10" s="557"/>
      <c r="O110" s="557"/>
      <c r="P110" s="557"/>
    </row>
    <row r="111" spans="1:20" x14ac:dyDescent="0.25">
      <c r="A111" s="753"/>
      <c r="C111" s="452" t="s">
        <v>1033</v>
      </c>
      <c r="D111" s="449">
        <f t="shared" si="12"/>
        <v>46165</v>
      </c>
      <c r="E111" s="455" t="s">
        <v>575</v>
      </c>
      <c r="F111" s="506"/>
      <c r="G111" s="506"/>
      <c r="H111" s="516"/>
      <c r="I111" s="516"/>
      <c r="J111" s="516" cm="1">
        <f t="array" aca="1" ref="J111" ca="1">IFERROR(_xlfn.LET(_xlpm.produto,TRIM(F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11" s="516" cm="1">
        <f t="array" aca="1" ref="K111" ca="1">IFERROR(_xlfn.LET(_xlpm.produto,TRIM(G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11" s="516"/>
      <c r="M111" s="516" cm="1">
        <f t="array" aca="1" ref="M111" ca="1">IFERROR(_xlfn.LET(_xlpm.produto,TRIM(H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11" s="557"/>
      <c r="O111" s="557"/>
      <c r="P111" s="557"/>
    </row>
    <row r="112" spans="1:20" x14ac:dyDescent="0.25">
      <c r="A112" s="753"/>
      <c r="C112" s="452" t="s">
        <v>1033</v>
      </c>
      <c r="D112" s="449">
        <f t="shared" si="12"/>
        <v>46165</v>
      </c>
      <c r="E112" s="503" t="s">
        <v>583</v>
      </c>
      <c r="F112" s="506"/>
      <c r="G112" s="506"/>
      <c r="H112" s="516"/>
      <c r="I112" s="516"/>
      <c r="J112" s="516" cm="1">
        <f t="array" aca="1" ref="J112" ca="1">IFERROR(_xlfn.LET(_xlpm.produto,TRIM(F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12" s="516" cm="1">
        <f t="array" aca="1" ref="K112" ca="1">IFERROR(_xlfn.LET(_xlpm.produto,TRIM(G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12" s="516"/>
      <c r="M112" s="516" cm="1">
        <f t="array" aca="1" ref="M112" ca="1">IFERROR(_xlfn.LET(_xlpm.produto,TRIM(H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12" s="557"/>
      <c r="O112" s="557"/>
      <c r="P112" s="557"/>
    </row>
    <row r="113" spans="1:20" ht="15.75" thickBot="1" x14ac:dyDescent="0.3">
      <c r="A113" s="753"/>
      <c r="C113" s="530" t="s">
        <v>1033</v>
      </c>
      <c r="D113" s="451">
        <f t="shared" si="12"/>
        <v>46165</v>
      </c>
      <c r="E113" s="459" t="s">
        <v>584</v>
      </c>
      <c r="F113" s="493"/>
      <c r="G113" s="493"/>
      <c r="H113" s="513"/>
      <c r="I113" s="513"/>
      <c r="J113" s="513" cm="1">
        <f t="array" aca="1" ref="J113" ca="1">IFERROR(_xlfn.LET(_xlpm.produto,TRIM(F113)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13" s="513" cm="1">
        <f t="array" aca="1" ref="K113" ca="1">IFERROR(_xlfn.LET(_xlpm.produto,TRIM(G113)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13" s="513"/>
      <c r="M113" s="513" cm="1">
        <f t="array" aca="1" ref="M113" ca="1">IFERROR(_xlfn.LET(_xlpm.produto,TRIM(H113)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13" s="558"/>
      <c r="O113" s="558"/>
      <c r="P113" s="558"/>
    </row>
    <row r="114" spans="1:20" ht="4.5" customHeight="1" thickBot="1" x14ac:dyDescent="0.3">
      <c r="A114" s="753"/>
      <c r="J114" s="445"/>
      <c r="K114" s="445"/>
      <c r="L114" s="445"/>
      <c r="N114" s="559"/>
      <c r="O114" s="559"/>
      <c r="P114" s="559"/>
      <c r="S114" s="3"/>
      <c r="T114" s="3"/>
    </row>
    <row r="115" spans="1:20" ht="15" customHeight="1" thickBot="1" x14ac:dyDescent="0.3">
      <c r="A115" s="753"/>
      <c r="C115" s="538"/>
      <c r="D115" s="539"/>
      <c r="E115" s="539"/>
      <c r="F115" s="539"/>
      <c r="G115" s="539"/>
      <c r="H115" s="539"/>
      <c r="I115" s="539"/>
      <c r="J115" s="606">
        <f t="shared" ref="J115:P115" ca="1" si="13">_xlfn.AGGREGATE(9,6,J116:J131)</f>
        <v>0</v>
      </c>
      <c r="K115" s="607">
        <f t="shared" ca="1" si="13"/>
        <v>0</v>
      </c>
      <c r="L115" s="607"/>
      <c r="M115" s="544">
        <f t="shared" ca="1" si="13"/>
        <v>0</v>
      </c>
      <c r="N115" s="560">
        <f t="shared" si="13"/>
        <v>0</v>
      </c>
      <c r="O115" s="561">
        <f t="shared" si="13"/>
        <v>0</v>
      </c>
      <c r="P115" s="562">
        <f t="shared" si="13"/>
        <v>0</v>
      </c>
      <c r="Q115" s="548">
        <f ca="1">SUM(J115:M115)</f>
        <v>0</v>
      </c>
      <c r="R115" s="549">
        <f>SUM(N115:P115)</f>
        <v>0</v>
      </c>
      <c r="S115" s="3"/>
      <c r="T115" s="3"/>
    </row>
    <row r="116" spans="1:20" x14ac:dyDescent="0.25">
      <c r="A116" s="753"/>
      <c r="C116" s="529" t="s">
        <v>1034</v>
      </c>
      <c r="D116" s="447">
        <f>D113+1</f>
        <v>46166</v>
      </c>
      <c r="E116" s="498" t="s">
        <v>573</v>
      </c>
      <c r="F116" s="514"/>
      <c r="G116" s="514"/>
      <c r="H116" s="514"/>
      <c r="I116" s="724"/>
      <c r="J116" s="537" cm="1">
        <f t="array" aca="1" ref="J116" ca="1">IFERROR(_xlfn.LET(_xlpm.produto,TRIM(F116)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16" s="537" cm="1">
        <f t="array" aca="1" ref="K116" ca="1">IFERROR(_xlfn.LET(_xlpm.produto,TRIM(G116)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16" s="537"/>
      <c r="M116" s="537" cm="1">
        <f t="array" aca="1" ref="M116" ca="1">IFERROR(_xlfn.LET(_xlpm.produto,TRIM(H116)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16" s="563"/>
      <c r="O116" s="563"/>
      <c r="P116" s="563"/>
    </row>
    <row r="117" spans="1:20" x14ac:dyDescent="0.25">
      <c r="A117" s="753"/>
      <c r="C117" s="452" t="s">
        <v>1034</v>
      </c>
      <c r="D117" s="453">
        <f t="shared" ref="D117:D131" si="14">D116</f>
        <v>46166</v>
      </c>
      <c r="E117" s="500" t="s">
        <v>162</v>
      </c>
      <c r="F117" s="517"/>
      <c r="G117" s="517"/>
      <c r="H117" s="517"/>
      <c r="I117" s="512"/>
      <c r="J117" s="540"/>
      <c r="K117" s="540"/>
      <c r="L117" s="540"/>
      <c r="M117" s="540"/>
      <c r="N117" s="555" t="e">
        <f>J117*INDEX([2]Pedidos!$Q:$Q,MATCH(F117,[2]Pedidos!$E:$E,0))</f>
        <v>#N/A</v>
      </c>
      <c r="O117" s="555" t="e">
        <f>K117*INDEX([2]Pedidos!$Q:$Q,MATCH(G117,[2]Pedidos!$E:$E,0))</f>
        <v>#N/A</v>
      </c>
      <c r="P117" s="555" t="e">
        <f>M117*INDEX([2]Pedidos!$Q:$Q,MATCH(H117,[2]Pedidos!$E:$E,0))</f>
        <v>#N/A</v>
      </c>
    </row>
    <row r="118" spans="1:20" x14ac:dyDescent="0.25">
      <c r="A118" s="753"/>
      <c r="C118" s="452" t="s">
        <v>1034</v>
      </c>
      <c r="D118" s="453">
        <f t="shared" si="14"/>
        <v>46166</v>
      </c>
      <c r="E118" s="454" t="s">
        <v>163</v>
      </c>
      <c r="F118" s="517"/>
      <c r="G118" s="512"/>
      <c r="H118" s="505"/>
      <c r="I118" s="505"/>
      <c r="J118" s="540"/>
      <c r="K118" s="540"/>
      <c r="L118" s="540"/>
      <c r="M118" s="540"/>
      <c r="N118" s="564" t="e">
        <f>J118*INDEX([2]Pedidos!$Q:$Q,MATCH(F118,[2]Pedidos!$E:$E,0))</f>
        <v>#N/A</v>
      </c>
      <c r="O118" s="564" t="e">
        <f>K118*INDEX([2]Pedidos!$Q:$Q,MATCH(G118,[2]Pedidos!$E:$E,0))</f>
        <v>#N/A</v>
      </c>
      <c r="P118" s="564" t="e">
        <f>M118*INDEX([2]Pedidos!$Q:$Q,MATCH(H118,[2]Pedidos!$E:$E,0))</f>
        <v>#N/A</v>
      </c>
    </row>
    <row r="119" spans="1:20" x14ac:dyDescent="0.25">
      <c r="A119" s="753"/>
      <c r="C119" s="452" t="s">
        <v>1034</v>
      </c>
      <c r="D119" s="453">
        <f t="shared" si="14"/>
        <v>46166</v>
      </c>
      <c r="E119" s="454" t="s">
        <v>164</v>
      </c>
      <c r="F119" s="517"/>
      <c r="G119" s="512"/>
      <c r="H119" s="505"/>
      <c r="I119" s="505"/>
      <c r="J119" s="540"/>
      <c r="K119" s="540"/>
      <c r="L119" s="540"/>
      <c r="M119" s="540"/>
      <c r="N119" s="564" t="e">
        <f>J119*INDEX([2]Pedidos!$Q:$Q,MATCH(F119,[2]Pedidos!$E:$E,0))</f>
        <v>#N/A</v>
      </c>
      <c r="O119" s="564" t="e">
        <f>K119*INDEX([2]Pedidos!$Q:$Q,MATCH(G119,[2]Pedidos!$E:$E,0))</f>
        <v>#N/A</v>
      </c>
      <c r="P119" s="564" t="e">
        <f>M119*INDEX([2]Pedidos!$Q:$Q,MATCH(H119,[2]Pedidos!$E:$E,0))</f>
        <v>#N/A</v>
      </c>
    </row>
    <row r="120" spans="1:20" x14ac:dyDescent="0.25">
      <c r="A120" s="753"/>
      <c r="C120" s="452" t="s">
        <v>1034</v>
      </c>
      <c r="D120" s="453">
        <f t="shared" si="14"/>
        <v>46166</v>
      </c>
      <c r="E120" s="454" t="s">
        <v>165</v>
      </c>
      <c r="F120" s="517"/>
      <c r="G120" s="512"/>
      <c r="H120" s="505"/>
      <c r="I120" s="505"/>
      <c r="J120" s="540"/>
      <c r="K120" s="540"/>
      <c r="L120" s="540"/>
      <c r="M120" s="540"/>
      <c r="N120" s="564" t="e">
        <f>J120*INDEX([2]Pedidos!$Q:$Q,MATCH(F120,[2]Pedidos!$E:$E,0))</f>
        <v>#N/A</v>
      </c>
      <c r="O120" s="564" t="e">
        <f>K120*INDEX([2]Pedidos!$Q:$Q,MATCH(G120,[2]Pedidos!$E:$E,0))</f>
        <v>#N/A</v>
      </c>
      <c r="P120" s="564" t="e">
        <f>M120*INDEX([2]Pedidos!$Q:$Q,MATCH(H120,[2]Pedidos!$E:$E,0))</f>
        <v>#N/A</v>
      </c>
    </row>
    <row r="121" spans="1:20" x14ac:dyDescent="0.25">
      <c r="A121" s="753"/>
      <c r="C121" s="452" t="s">
        <v>1034</v>
      </c>
      <c r="D121" s="453">
        <f t="shared" si="14"/>
        <v>46166</v>
      </c>
      <c r="E121" s="454" t="s">
        <v>166</v>
      </c>
      <c r="F121" s="517"/>
      <c r="G121" s="512"/>
      <c r="H121" s="505"/>
      <c r="I121" s="505"/>
      <c r="J121" s="540"/>
      <c r="K121" s="540"/>
      <c r="L121" s="540"/>
      <c r="M121" s="540"/>
      <c r="N121" s="564" t="e">
        <f>J121*INDEX([2]Pedidos!$Q:$Q,MATCH(F121,[2]Pedidos!$E:$E,0))</f>
        <v>#N/A</v>
      </c>
      <c r="O121" s="564" t="e">
        <f>K121*INDEX([2]Pedidos!$Q:$Q,MATCH(G121,[2]Pedidos!$E:$E,0))</f>
        <v>#N/A</v>
      </c>
      <c r="P121" s="564" t="e">
        <f>M121*INDEX([2]Pedidos!$Q:$Q,MATCH(H121,[2]Pedidos!$E:$E,0))</f>
        <v>#N/A</v>
      </c>
    </row>
    <row r="122" spans="1:20" x14ac:dyDescent="0.25">
      <c r="A122" s="753"/>
      <c r="C122" s="452" t="s">
        <v>1034</v>
      </c>
      <c r="D122" s="453">
        <f t="shared" si="14"/>
        <v>46166</v>
      </c>
      <c r="E122" s="454" t="s">
        <v>576</v>
      </c>
      <c r="F122" s="517"/>
      <c r="G122" s="512"/>
      <c r="H122" s="505"/>
      <c r="I122" s="505"/>
      <c r="J122" s="541" cm="1">
        <f t="array" aca="1" ref="J122" ca="1">IFERROR(_xlfn.LET(_xlpm.produto,TRIM(F122)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22" s="541" cm="1">
        <f t="array" aca="1" ref="K122" ca="1">IFERROR(_xlfn.LET(_xlpm.produto,TRIM(G122)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G$5:G$5,"="&amp;_xlpm.produto)+COUNTIF(H$5:H$5,"="&amp;_xlpm.produto)+COUNTIF(J$5:J$5,"="&amp;_xlpm.produto),_xlpm.saldo/_xlpm.horas),0)</f>
        <v>0</v>
      </c>
      <c r="L122" s="541"/>
      <c r="M122" s="541" cm="1">
        <f t="array" aca="1" ref="M122" ca="1">IFERROR(_xlfn.LET(_xlpm.produto,TRIM(H122)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H$5:H$5,"="&amp;_xlpm.produto)+COUNTIF(J$5:J$5,"="&amp;_xlpm.produto)+COUNTIF(K$5:K$5,"="&amp;_xlpm.produto),_xlpm.saldo/_xlpm.horas),0)</f>
        <v>0</v>
      </c>
      <c r="N122" s="556"/>
      <c r="O122" s="556"/>
      <c r="P122" s="556"/>
    </row>
    <row r="123" spans="1:20" x14ac:dyDescent="0.25">
      <c r="A123" s="753"/>
      <c r="C123" s="452" t="s">
        <v>1034</v>
      </c>
      <c r="D123" s="449">
        <f t="shared" si="14"/>
        <v>46166</v>
      </c>
      <c r="E123" s="454" t="s">
        <v>167</v>
      </c>
      <c r="F123" s="517"/>
      <c r="G123" s="512"/>
      <c r="H123" s="505"/>
      <c r="I123" s="505"/>
      <c r="J123" s="540"/>
      <c r="K123" s="540"/>
      <c r="L123" s="540"/>
      <c r="M123" s="540"/>
      <c r="N123" s="565" t="e">
        <f>J123*INDEX([2]Pedidos!$Q:$Q,MATCH(F123,[2]Pedidos!$E:$E,0))</f>
        <v>#N/A</v>
      </c>
      <c r="O123" s="565" t="e">
        <f>K123*INDEX([2]Pedidos!$Q:$Q,MATCH(G123,[2]Pedidos!$E:$E,0))</f>
        <v>#N/A</v>
      </c>
      <c r="P123" s="565" t="e">
        <f>M123*INDEX([2]Pedidos!$Q:$Q,MATCH(H123,[2]Pedidos!$E:$E,0))</f>
        <v>#N/A</v>
      </c>
    </row>
    <row r="124" spans="1:20" x14ac:dyDescent="0.25">
      <c r="A124" s="753"/>
      <c r="C124" s="452" t="s">
        <v>1034</v>
      </c>
      <c r="D124" s="449">
        <f t="shared" si="14"/>
        <v>46166</v>
      </c>
      <c r="E124" s="454" t="s">
        <v>168</v>
      </c>
      <c r="F124" s="517"/>
      <c r="G124" s="512"/>
      <c r="H124" s="505"/>
      <c r="I124" s="505"/>
      <c r="J124" s="540"/>
      <c r="K124" s="540"/>
      <c r="L124" s="540"/>
      <c r="M124" s="540"/>
      <c r="N124" s="565" t="e">
        <f>J124*INDEX([2]Pedidos!$Q:$Q,MATCH(F124,[2]Pedidos!$E:$E,0))</f>
        <v>#N/A</v>
      </c>
      <c r="O124" s="565" t="e">
        <f>K124*INDEX([2]Pedidos!$Q:$Q,MATCH(G124,[2]Pedidos!$E:$E,0))</f>
        <v>#N/A</v>
      </c>
      <c r="P124" s="565" t="e">
        <f>M124*INDEX([2]Pedidos!$Q:$Q,MATCH(H124,[2]Pedidos!$E:$E,0))</f>
        <v>#N/A</v>
      </c>
    </row>
    <row r="125" spans="1:20" x14ac:dyDescent="0.25">
      <c r="A125" s="753"/>
      <c r="C125" s="452" t="s">
        <v>1034</v>
      </c>
      <c r="D125" s="449">
        <f t="shared" si="14"/>
        <v>46166</v>
      </c>
      <c r="E125" s="454" t="s">
        <v>169</v>
      </c>
      <c r="F125" s="517"/>
      <c r="G125" s="512"/>
      <c r="H125" s="505"/>
      <c r="I125" s="505"/>
      <c r="J125" s="540"/>
      <c r="K125" s="540"/>
      <c r="L125" s="540"/>
      <c r="M125" s="540"/>
      <c r="N125" s="565" t="e">
        <f>J125*INDEX([2]Pedidos!$Q:$Q,MATCH(F125,[2]Pedidos!$E:$E,0))</f>
        <v>#N/A</v>
      </c>
      <c r="O125" s="565" t="e">
        <f>K125*INDEX([2]Pedidos!$Q:$Q,MATCH(G125,[2]Pedidos!$E:$E,0))</f>
        <v>#N/A</v>
      </c>
      <c r="P125" s="565" t="e">
        <f>M125*INDEX([2]Pedidos!$Q:$Q,MATCH(H125,[2]Pedidos!$E:$E,0))</f>
        <v>#N/A</v>
      </c>
    </row>
    <row r="126" spans="1:20" x14ac:dyDescent="0.25">
      <c r="A126" s="753"/>
      <c r="C126" s="452" t="s">
        <v>1034</v>
      </c>
      <c r="D126" s="449">
        <f t="shared" si="14"/>
        <v>46166</v>
      </c>
      <c r="E126" s="454" t="s">
        <v>170</v>
      </c>
      <c r="F126" s="517"/>
      <c r="G126" s="512"/>
      <c r="H126" s="505"/>
      <c r="I126" s="505"/>
      <c r="J126" s="540"/>
      <c r="K126" s="540"/>
      <c r="L126" s="540"/>
      <c r="M126" s="540"/>
      <c r="N126" s="566" t="e">
        <f>J126*INDEX([2]Pedidos!$Q:$Q,MATCH(F126,[2]Pedidos!$E:$E,0))</f>
        <v>#N/A</v>
      </c>
      <c r="O126" s="566" t="e">
        <f>K126*INDEX([2]Pedidos!$Q:$Q,MATCH(G126,[2]Pedidos!$E:$E,0))</f>
        <v>#N/A</v>
      </c>
      <c r="P126" s="566" t="e">
        <f>M126*INDEX([2]Pedidos!$Q:$Q,MATCH(H126,[2]Pedidos!$E:$E,0))</f>
        <v>#N/A</v>
      </c>
    </row>
    <row r="127" spans="1:20" x14ac:dyDescent="0.25">
      <c r="A127" s="753"/>
      <c r="C127" s="452" t="s">
        <v>1034</v>
      </c>
      <c r="D127" s="449">
        <f t="shared" si="14"/>
        <v>46166</v>
      </c>
      <c r="E127" s="454" t="s">
        <v>585</v>
      </c>
      <c r="F127" s="505"/>
      <c r="G127" s="505"/>
      <c r="H127" s="516"/>
      <c r="I127" s="516"/>
      <c r="J127" s="516" cm="1">
        <f t="array" aca="1" ref="J127" ca="1">IFERROR(_xlfn.LET(_xlpm.produto,TRIM(F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27" s="516" cm="1">
        <f t="array" aca="1" ref="K127" ca="1">IFERROR(_xlfn.LET(_xlpm.produto,TRIM(G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27" s="516"/>
      <c r="M127" s="516" cm="1">
        <f t="array" aca="1" ref="M127" ca="1">IFERROR(_xlfn.LET(_xlpm.produto,TRIM(H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27" s="557"/>
      <c r="O127" s="557"/>
      <c r="P127" s="557"/>
    </row>
    <row r="128" spans="1:20" x14ac:dyDescent="0.25">
      <c r="A128" s="753"/>
      <c r="C128" s="452" t="s">
        <v>1034</v>
      </c>
      <c r="D128" s="449">
        <f t="shared" si="14"/>
        <v>46166</v>
      </c>
      <c r="E128" s="455" t="s">
        <v>574</v>
      </c>
      <c r="F128" s="505"/>
      <c r="G128" s="505"/>
      <c r="H128" s="516"/>
      <c r="I128" s="516"/>
      <c r="J128" s="516" cm="1">
        <f t="array" aca="1" ref="J128" ca="1">IFERROR(_xlfn.LET(_xlpm.produto,TRIM(F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28" s="516" cm="1">
        <f t="array" aca="1" ref="K128" ca="1">IFERROR(_xlfn.LET(_xlpm.produto,TRIM(G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28" s="516"/>
      <c r="M128" s="516" cm="1">
        <f t="array" aca="1" ref="M128" ca="1">IFERROR(_xlfn.LET(_xlpm.produto,TRIM(H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28" s="557"/>
      <c r="O128" s="557"/>
      <c r="P128" s="557"/>
    </row>
    <row r="129" spans="1:25" x14ac:dyDescent="0.25">
      <c r="A129" s="753"/>
      <c r="C129" s="452" t="s">
        <v>1034</v>
      </c>
      <c r="D129" s="449">
        <f t="shared" si="14"/>
        <v>46166</v>
      </c>
      <c r="E129" s="455" t="s">
        <v>575</v>
      </c>
      <c r="F129" s="506"/>
      <c r="G129" s="506"/>
      <c r="H129" s="516"/>
      <c r="I129" s="516"/>
      <c r="J129" s="516" cm="1">
        <f t="array" aca="1" ref="J129" ca="1">IFERROR(_xlfn.LET(_xlpm.produto,TRIM(F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29" s="516" cm="1">
        <f t="array" aca="1" ref="K129" ca="1">IFERROR(_xlfn.LET(_xlpm.produto,TRIM(G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29" s="516"/>
      <c r="M129" s="516" cm="1">
        <f t="array" aca="1" ref="M129" ca="1">IFERROR(_xlfn.LET(_xlpm.produto,TRIM(H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29" s="557"/>
      <c r="O129" s="557"/>
      <c r="P129" s="557"/>
    </row>
    <row r="130" spans="1:25" x14ac:dyDescent="0.25">
      <c r="A130" s="753"/>
      <c r="C130" s="452" t="s">
        <v>1034</v>
      </c>
      <c r="D130" s="449">
        <f t="shared" si="14"/>
        <v>46166</v>
      </c>
      <c r="E130" s="503" t="s">
        <v>583</v>
      </c>
      <c r="F130" s="506"/>
      <c r="G130" s="506"/>
      <c r="H130" s="516"/>
      <c r="I130" s="516"/>
      <c r="J130" s="516" cm="1">
        <f t="array" aca="1" ref="J130" ca="1">IFERROR(_xlfn.LET(_xlpm.produto,TRIM(F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30" s="516" cm="1">
        <f t="array" aca="1" ref="K130" ca="1">IFERROR(_xlfn.LET(_xlpm.produto,TRIM(G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30" s="516"/>
      <c r="M130" s="516" cm="1">
        <f t="array" aca="1" ref="M130" ca="1">IFERROR(_xlfn.LET(_xlpm.produto,TRIM(H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30" s="557"/>
      <c r="O130" s="557"/>
      <c r="P130" s="557"/>
    </row>
    <row r="131" spans="1:25" ht="15.75" thickBot="1" x14ac:dyDescent="0.3">
      <c r="A131" s="753"/>
      <c r="C131" s="530" t="s">
        <v>1034</v>
      </c>
      <c r="D131" s="451">
        <f t="shared" si="14"/>
        <v>46166</v>
      </c>
      <c r="E131" s="459" t="s">
        <v>584</v>
      </c>
      <c r="F131" s="493"/>
      <c r="G131" s="493"/>
      <c r="H131" s="513"/>
      <c r="I131" s="513"/>
      <c r="J131" s="513" cm="1">
        <f t="array" aca="1" ref="J131" ca="1">IFERROR(_xlfn.LET(_xlpm.produto,TRIM(F131)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131" s="513" cm="1">
        <f t="array" aca="1" ref="K131" ca="1">IFERROR(_xlfn.LET(_xlpm.produto,TRIM(G131)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131" s="513"/>
      <c r="M131" s="513" cm="1">
        <f t="array" aca="1" ref="M131" ca="1">IFERROR(_xlfn.LET(_xlpm.produto,TRIM(H131)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N131" s="558"/>
      <c r="O131" s="558"/>
      <c r="P131" s="558"/>
    </row>
    <row r="132" spans="1:25" ht="11.25" customHeight="1" thickBot="1" x14ac:dyDescent="0.3">
      <c r="J132" s="445"/>
      <c r="K132" s="445"/>
      <c r="L132" s="445"/>
    </row>
    <row r="133" spans="1:25" ht="15.75" customHeight="1" thickBot="1" x14ac:dyDescent="0.3">
      <c r="A133" s="753" t="s">
        <v>1784</v>
      </c>
      <c r="C133" s="538"/>
      <c r="D133" s="539"/>
      <c r="E133" s="539"/>
      <c r="F133" s="539"/>
      <c r="G133" s="539"/>
      <c r="H133" s="539"/>
      <c r="I133" s="539"/>
      <c r="J133" s="606">
        <f t="shared" ref="J133:P133" ca="1" si="15">_xlfn.AGGREGATE(9,6,J134:J149)</f>
        <v>5400</v>
      </c>
      <c r="K133" s="607">
        <f t="shared" ca="1" si="15"/>
        <v>5400</v>
      </c>
      <c r="L133" s="607"/>
      <c r="M133" s="544">
        <f t="shared" ca="1" si="15"/>
        <v>0</v>
      </c>
      <c r="N133" s="560">
        <f t="shared" si="15"/>
        <v>6480</v>
      </c>
      <c r="O133" s="561">
        <f t="shared" si="15"/>
        <v>4590</v>
      </c>
      <c r="P133" s="562">
        <f t="shared" si="15"/>
        <v>0</v>
      </c>
      <c r="Q133" s="548">
        <f ca="1">SUM(J133:M133)</f>
        <v>10800</v>
      </c>
      <c r="R133" s="549">
        <f>SUM(N133:P133)</f>
        <v>11070</v>
      </c>
      <c r="S133" s="3"/>
      <c r="T133" s="3"/>
      <c r="V133" s="570" t="s">
        <v>437</v>
      </c>
      <c r="W133" s="571" t="str">
        <f>"Qtd. Total "&amp;TEXT(D134,"dd/mm/aaaa")&amp;" - "&amp;TEXT(D206,"dd/mm/aaaa")</f>
        <v>Qtd. Total 25/05/2026 - 29/05/2026</v>
      </c>
      <c r="X133" s="571" t="str">
        <f>"Produzido "&amp;TEXT(D134,"dd/mm/aaaa")&amp;" - "&amp;TEXT(D206,"dd/mm/aaaa")</f>
        <v>Produzido 25/05/2026 - 29/05/2026</v>
      </c>
      <c r="Y133" s="572" t="s">
        <v>1536</v>
      </c>
    </row>
    <row r="134" spans="1:25" x14ac:dyDescent="0.25">
      <c r="A134" s="753"/>
      <c r="C134" s="496" t="s">
        <v>161</v>
      </c>
      <c r="D134" s="507">
        <f>D95+3</f>
        <v>46167</v>
      </c>
      <c r="E134" s="498" t="s">
        <v>573</v>
      </c>
      <c r="F134" s="514"/>
      <c r="G134" s="514"/>
      <c r="H134" s="514"/>
      <c r="I134" s="724"/>
      <c r="J134" s="537" cm="1">
        <f t="array" aca="1" ref="J134" ca="1">IFERROR(_xlfn.LET(_xlpm.produto,TRIM(F134)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34" s="537" cm="1">
        <f t="array" aca="1" ref="K134" ca="1">IFERROR(_xlfn.LET(_xlpm.produto,TRIM(G134)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34" s="537"/>
      <c r="M134" s="537" cm="1">
        <f t="array" aca="1" ref="M134" ca="1">IFERROR(_xlfn.LET(_xlpm.produto,TRIM(H134)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34" s="563"/>
      <c r="O134" s="563"/>
      <c r="P134" s="563"/>
      <c r="V134" s="591" t="str" cm="1">
        <f t="array" aca="1" ref="V13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4" s="576" t="str">
        <f t="shared" ref="W134:W147" ca="1" si="16">_xlfn.LET(_xlpm.base,IF(ROW()&lt;95,7,IF(ROW()&lt;221,97,INT((ROW()-221)/90)*90+223)),_xlpm.h,IF(ROW()&lt;221,IF(ROW()&lt;95,88,124),88),_xlpm.rF,OFFSET(F$1,_xlpm.base-1,0,_xlpm.h,1),_xlpm.rG,OFFSET(G$1,_xlpm.base-1,0,_xlpm.h,1),_xlpm.rH,OFFSET(H$1,_xlpm.base-1,0,_xlpm.h,1),_xlpm.rI,OFFSET(J$1,_xlpm.base-1,0,_xlpm.h,1),_xlpm.rJ,OFFSET(K$1,_xlpm.base-1,0,_xlpm.h,1),_xlpm.rK,OFFSET(M$1,_xlpm.base-1,0,_xlpm.h,1),_xlpm.p,V134,IF(_xlpm.p&lt;&gt;"",SUMIF(_xlpm.rF,_xlpm.p,_xlpm.rI)+SUMIF(_xlpm.rG,_xlpm.p,_xlpm.rJ)+SUMIF(_xlpm.rH,_xlpm.p,_xlpm.rK),""))</f>
        <v/>
      </c>
      <c r="X134" s="585"/>
      <c r="Y134" s="581">
        <f ca="1">IFERROR(X134*INDEX([2]Pedidos!$Q:$Q,MATCH(V134,[2]Pedidos!$E:$E,0)),0)</f>
        <v>0</v>
      </c>
    </row>
    <row r="135" spans="1:25" x14ac:dyDescent="0.25">
      <c r="A135" s="753"/>
      <c r="C135" s="525" t="s">
        <v>161</v>
      </c>
      <c r="D135" s="453">
        <f t="shared" ref="D135:D149" si="17">D134</f>
        <v>46167</v>
      </c>
      <c r="E135" s="500" t="s">
        <v>162</v>
      </c>
      <c r="F135" s="460" t="s">
        <v>1765</v>
      </c>
      <c r="G135" s="460" t="s">
        <v>1768</v>
      </c>
      <c r="H135" s="460"/>
      <c r="I135" s="460"/>
      <c r="J135" s="540">
        <v>600</v>
      </c>
      <c r="K135" s="540">
        <v>600</v>
      </c>
      <c r="L135" s="540"/>
      <c r="M135" s="545"/>
      <c r="N135" s="555">
        <f>J135*INDEX([2]Pedidos!$Q:$Q,MATCH(F135,[2]Pedidos!$E:$E,0))</f>
        <v>720</v>
      </c>
      <c r="O135" s="555">
        <f>K135*INDEX([2]Pedidos!$Q:$Q,MATCH(G135,[2]Pedidos!$E:$E,0))</f>
        <v>510</v>
      </c>
      <c r="P135" s="555" t="e">
        <f>M135*INDEX([2]Pedidos!$Q:$Q,MATCH(H135,[2]Pedidos!$E:$E,0))</f>
        <v>#N/A</v>
      </c>
      <c r="V135" s="592" t="str" cm="1">
        <f t="array" aca="1" ref="V13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5" s="576" t="str">
        <f t="shared" ca="1" si="16"/>
        <v/>
      </c>
      <c r="X135" s="586"/>
      <c r="Y135" s="582">
        <f ca="1">IFERROR(X135*INDEX([2]Pedidos!$Q:$Q,MATCH(V135,[2]Pedidos!$E:$E,0)),0)</f>
        <v>0</v>
      </c>
    </row>
    <row r="136" spans="1:25" x14ac:dyDescent="0.25">
      <c r="A136" s="753"/>
      <c r="C136" s="526" t="s">
        <v>161</v>
      </c>
      <c r="D136" s="453">
        <f t="shared" si="17"/>
        <v>46167</v>
      </c>
      <c r="E136" s="454" t="s">
        <v>163</v>
      </c>
      <c r="F136" s="460" t="s">
        <v>1765</v>
      </c>
      <c r="G136" s="460" t="s">
        <v>1768</v>
      </c>
      <c r="H136" s="460"/>
      <c r="I136" s="460"/>
      <c r="J136" s="540">
        <v>600</v>
      </c>
      <c r="K136" s="540">
        <v>600</v>
      </c>
      <c r="L136" s="540"/>
      <c r="M136" s="545"/>
      <c r="N136" s="564">
        <f>J136*INDEX([2]Pedidos!$Q:$Q,MATCH(F136,[2]Pedidos!$E:$E,0))</f>
        <v>720</v>
      </c>
      <c r="O136" s="564">
        <f>K136*INDEX([2]Pedidos!$Q:$Q,MATCH(G136,[2]Pedidos!$E:$E,0))</f>
        <v>510</v>
      </c>
      <c r="P136" s="564" t="e">
        <f>M136*INDEX([2]Pedidos!$Q:$Q,MATCH(H136,[2]Pedidos!$E:$E,0))</f>
        <v>#N/A</v>
      </c>
      <c r="V136" s="591" t="str" cm="1">
        <f t="array" aca="1" ref="V13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6" s="576" t="str">
        <f t="shared" ca="1" si="16"/>
        <v/>
      </c>
      <c r="X136" s="586"/>
      <c r="Y136" s="582">
        <f ca="1">IFERROR(X136*INDEX([2]Pedidos!$Q:$Q,MATCH(V136,[2]Pedidos!$E:$E,0)),0)</f>
        <v>0</v>
      </c>
    </row>
    <row r="137" spans="1:25" x14ac:dyDescent="0.25">
      <c r="A137" s="753"/>
      <c r="C137" s="526" t="s">
        <v>161</v>
      </c>
      <c r="D137" s="453">
        <f t="shared" si="17"/>
        <v>46167</v>
      </c>
      <c r="E137" s="454" t="s">
        <v>164</v>
      </c>
      <c r="F137" s="460" t="s">
        <v>1765</v>
      </c>
      <c r="G137" s="460" t="s">
        <v>1768</v>
      </c>
      <c r="H137" s="460"/>
      <c r="I137" s="460"/>
      <c r="J137" s="540">
        <v>600</v>
      </c>
      <c r="K137" s="540">
        <v>600</v>
      </c>
      <c r="L137" s="540"/>
      <c r="M137" s="545"/>
      <c r="N137" s="564">
        <f>J137*INDEX([2]Pedidos!$Q:$Q,MATCH(F137,[2]Pedidos!$E:$E,0))</f>
        <v>720</v>
      </c>
      <c r="O137" s="564">
        <f>K137*INDEX([2]Pedidos!$Q:$Q,MATCH(G137,[2]Pedidos!$E:$E,0))</f>
        <v>510</v>
      </c>
      <c r="P137" s="564" t="e">
        <f>M137*INDEX([2]Pedidos!$Q:$Q,MATCH(H137,[2]Pedidos!$E:$E,0))</f>
        <v>#N/A</v>
      </c>
      <c r="V137" s="592" t="str" cm="1">
        <f t="array" aca="1" ref="V13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7" s="576" t="str">
        <f t="shared" ca="1" si="16"/>
        <v/>
      </c>
      <c r="X137" s="586"/>
      <c r="Y137" s="582">
        <f ca="1">IFERROR(X137*INDEX([2]Pedidos!$Q:$Q,MATCH(V137,[2]Pedidos!$E:$E,0)),0)</f>
        <v>0</v>
      </c>
    </row>
    <row r="138" spans="1:25" x14ac:dyDescent="0.25">
      <c r="A138" s="753"/>
      <c r="C138" s="526" t="s">
        <v>161</v>
      </c>
      <c r="D138" s="453">
        <f t="shared" si="17"/>
        <v>46167</v>
      </c>
      <c r="E138" s="454" t="s">
        <v>165</v>
      </c>
      <c r="F138" s="460" t="s">
        <v>1765</v>
      </c>
      <c r="G138" s="460" t="s">
        <v>1768</v>
      </c>
      <c r="H138" s="460"/>
      <c r="I138" s="460"/>
      <c r="J138" s="540">
        <v>600</v>
      </c>
      <c r="K138" s="540">
        <v>600</v>
      </c>
      <c r="L138" s="540"/>
      <c r="M138" s="545"/>
      <c r="N138" s="564">
        <f>J138*INDEX([2]Pedidos!$Q:$Q,MATCH(F138,[2]Pedidos!$E:$E,0))</f>
        <v>720</v>
      </c>
      <c r="O138" s="564">
        <f>K138*INDEX([2]Pedidos!$Q:$Q,MATCH(G138,[2]Pedidos!$E:$E,0))</f>
        <v>510</v>
      </c>
      <c r="P138" s="564" t="e">
        <f>M138*INDEX([2]Pedidos!$Q:$Q,MATCH(H138,[2]Pedidos!$E:$E,0))</f>
        <v>#N/A</v>
      </c>
      <c r="V138" s="591" t="str" cm="1">
        <f t="array" aca="1" ref="V13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8" s="576" t="str">
        <f t="shared" ca="1" si="16"/>
        <v/>
      </c>
      <c r="X138" s="586"/>
      <c r="Y138" s="582">
        <f ca="1">IFERROR(X138*INDEX([2]Pedidos!$Q:$Q,MATCH(V138,[2]Pedidos!$E:$E,0)),0)</f>
        <v>0</v>
      </c>
    </row>
    <row r="139" spans="1:25" x14ac:dyDescent="0.25">
      <c r="A139" s="753"/>
      <c r="C139" s="526" t="s">
        <v>161</v>
      </c>
      <c r="D139" s="453">
        <f t="shared" si="17"/>
        <v>46167</v>
      </c>
      <c r="E139" s="454" t="s">
        <v>166</v>
      </c>
      <c r="F139" s="460" t="s">
        <v>1765</v>
      </c>
      <c r="G139" s="460" t="s">
        <v>1768</v>
      </c>
      <c r="H139" s="460"/>
      <c r="I139" s="460"/>
      <c r="J139" s="540">
        <v>600</v>
      </c>
      <c r="K139" s="540">
        <v>600</v>
      </c>
      <c r="L139" s="540"/>
      <c r="M139" s="545"/>
      <c r="N139" s="564">
        <f>J139*INDEX([2]Pedidos!$Q:$Q,MATCH(F139,[2]Pedidos!$E:$E,0))</f>
        <v>720</v>
      </c>
      <c r="O139" s="564">
        <f>K139*INDEX([2]Pedidos!$Q:$Q,MATCH(G139,[2]Pedidos!$E:$E,0))</f>
        <v>510</v>
      </c>
      <c r="P139" s="564" t="e">
        <f>M139*INDEX([2]Pedidos!$Q:$Q,MATCH(H139,[2]Pedidos!$E:$E,0))</f>
        <v>#N/A</v>
      </c>
      <c r="V139" s="592" t="str" cm="1">
        <f t="array" aca="1" ref="V13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39" s="576" t="str">
        <f t="shared" ca="1" si="16"/>
        <v/>
      </c>
      <c r="X139" s="586"/>
      <c r="Y139" s="582">
        <f ca="1">IFERROR(X139*INDEX([2]Pedidos!$Q:$Q,MATCH(V139,[2]Pedidos!$E:$E,0)),0)</f>
        <v>0</v>
      </c>
    </row>
    <row r="140" spans="1:25" x14ac:dyDescent="0.25">
      <c r="A140" s="753"/>
      <c r="C140" s="526" t="s">
        <v>161</v>
      </c>
      <c r="D140" s="453">
        <f t="shared" si="17"/>
        <v>46167</v>
      </c>
      <c r="E140" s="454" t="s">
        <v>576</v>
      </c>
      <c r="F140" s="512"/>
      <c r="G140" s="512"/>
      <c r="H140" s="512"/>
      <c r="I140" s="512"/>
      <c r="J140" s="554" cm="1">
        <f t="array" aca="1" ref="J140" ca="1">IFERROR(_xlfn.LET(_xlpm.produto,TRIM(F140)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0" s="554" cm="1">
        <f t="array" aca="1" ref="K140" ca="1">IFERROR(_xlfn.LET(_xlpm.produto,TRIM(G140)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0" s="554"/>
      <c r="M140" s="554" cm="1">
        <f t="array" aca="1" ref="M140" ca="1">IFERROR(_xlfn.LET(_xlpm.produto,TRIM(H140)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0" s="556"/>
      <c r="O140" s="556"/>
      <c r="P140" s="556"/>
      <c r="V140" s="591" t="str" cm="1">
        <f t="array" aca="1" ref="V14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0" s="576" t="str">
        <f t="shared" ca="1" si="16"/>
        <v/>
      </c>
      <c r="X140" s="586"/>
      <c r="Y140" s="582">
        <f ca="1">IFERROR(X140*INDEX([2]Pedidos!$Q:$Q,MATCH(V140,[2]Pedidos!$E:$E,0)),0)</f>
        <v>0</v>
      </c>
    </row>
    <row r="141" spans="1:25" x14ac:dyDescent="0.25">
      <c r="A141" s="753"/>
      <c r="C141" s="527" t="s">
        <v>161</v>
      </c>
      <c r="D141" s="449">
        <f t="shared" si="17"/>
        <v>46167</v>
      </c>
      <c r="E141" s="454" t="s">
        <v>167</v>
      </c>
      <c r="F141" s="460" t="s">
        <v>1765</v>
      </c>
      <c r="G141" s="460" t="s">
        <v>1768</v>
      </c>
      <c r="H141" s="460"/>
      <c r="I141" s="460"/>
      <c r="J141" s="540">
        <v>600</v>
      </c>
      <c r="K141" s="540">
        <v>600</v>
      </c>
      <c r="L141" s="540"/>
      <c r="M141" s="545"/>
      <c r="N141" s="565">
        <f>J141*INDEX([2]Pedidos!$Q:$Q,MATCH(F141,[2]Pedidos!$E:$E,0))</f>
        <v>720</v>
      </c>
      <c r="O141" s="565">
        <f>K141*INDEX([2]Pedidos!$Q:$Q,MATCH(G141,[2]Pedidos!$E:$E,0))</f>
        <v>510</v>
      </c>
      <c r="P141" s="565" t="e">
        <f>M141*INDEX([2]Pedidos!$Q:$Q,MATCH(H141,[2]Pedidos!$E:$E,0))</f>
        <v>#N/A</v>
      </c>
      <c r="V141" s="592" t="str" cm="1">
        <f t="array" aca="1" ref="V14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1" s="576" t="str">
        <f t="shared" ca="1" si="16"/>
        <v/>
      </c>
      <c r="X141" s="586"/>
      <c r="Y141" s="582">
        <f ca="1">IFERROR(X141*INDEX([2]Pedidos!$Q:$Q,MATCH(V141,[2]Pedidos!$E:$E,0)),0)</f>
        <v>0</v>
      </c>
    </row>
    <row r="142" spans="1:25" x14ac:dyDescent="0.25">
      <c r="A142" s="753"/>
      <c r="C142" s="527" t="s">
        <v>161</v>
      </c>
      <c r="D142" s="449">
        <f t="shared" si="17"/>
        <v>46167</v>
      </c>
      <c r="E142" s="454" t="s">
        <v>168</v>
      </c>
      <c r="F142" s="460" t="s">
        <v>1765</v>
      </c>
      <c r="G142" s="460" t="s">
        <v>1768</v>
      </c>
      <c r="H142" s="460"/>
      <c r="I142" s="460"/>
      <c r="J142" s="540">
        <v>600</v>
      </c>
      <c r="K142" s="540">
        <v>600</v>
      </c>
      <c r="L142" s="540"/>
      <c r="M142" s="545"/>
      <c r="N142" s="565">
        <f>J142*INDEX([2]Pedidos!$Q:$Q,MATCH(F142,[2]Pedidos!$E:$E,0))</f>
        <v>720</v>
      </c>
      <c r="O142" s="565">
        <f>K142*INDEX([2]Pedidos!$Q:$Q,MATCH(G142,[2]Pedidos!$E:$E,0))</f>
        <v>510</v>
      </c>
      <c r="P142" s="565" t="e">
        <f>M142*INDEX([2]Pedidos!$Q:$Q,MATCH(H142,[2]Pedidos!$E:$E,0))</f>
        <v>#N/A</v>
      </c>
      <c r="V142" s="591" t="str" cm="1">
        <f t="array" aca="1" ref="V14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2" s="576" t="str">
        <f t="shared" ca="1" si="16"/>
        <v/>
      </c>
      <c r="X142" s="586"/>
      <c r="Y142" s="582">
        <f ca="1">IFERROR(X142*INDEX([2]Pedidos!$Q:$Q,MATCH(V142,[2]Pedidos!$E:$E,0)),0)</f>
        <v>0</v>
      </c>
    </row>
    <row r="143" spans="1:25" x14ac:dyDescent="0.25">
      <c r="A143" s="753"/>
      <c r="C143" s="527" t="s">
        <v>161</v>
      </c>
      <c r="D143" s="449">
        <f t="shared" si="17"/>
        <v>46167</v>
      </c>
      <c r="E143" s="454" t="s">
        <v>169</v>
      </c>
      <c r="F143" s="460" t="s">
        <v>1765</v>
      </c>
      <c r="G143" s="460" t="s">
        <v>1768</v>
      </c>
      <c r="H143" s="460"/>
      <c r="I143" s="460"/>
      <c r="J143" s="540">
        <v>600</v>
      </c>
      <c r="K143" s="540">
        <v>600</v>
      </c>
      <c r="L143" s="540"/>
      <c r="M143" s="545"/>
      <c r="N143" s="565">
        <f>J143*INDEX([2]Pedidos!$Q:$Q,MATCH(F143,[2]Pedidos!$E:$E,0))</f>
        <v>720</v>
      </c>
      <c r="O143" s="565">
        <f>K143*INDEX([2]Pedidos!$Q:$Q,MATCH(G143,[2]Pedidos!$E:$E,0))</f>
        <v>510</v>
      </c>
      <c r="P143" s="565" t="e">
        <f>M143*INDEX([2]Pedidos!$Q:$Q,MATCH(H143,[2]Pedidos!$E:$E,0))</f>
        <v>#N/A</v>
      </c>
      <c r="V143" s="592" t="str" cm="1">
        <f t="array" aca="1" ref="V14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3" s="576" t="str">
        <f t="shared" ca="1" si="16"/>
        <v/>
      </c>
      <c r="X143" s="586"/>
      <c r="Y143" s="582">
        <f ca="1">IFERROR(X143*INDEX([2]Pedidos!$Q:$Q,MATCH(V143,[2]Pedidos!$E:$E,0)),0)</f>
        <v>0</v>
      </c>
    </row>
    <row r="144" spans="1:25" x14ac:dyDescent="0.25">
      <c r="A144" s="753"/>
      <c r="C144" s="527" t="s">
        <v>161</v>
      </c>
      <c r="D144" s="453">
        <f t="shared" si="17"/>
        <v>46167</v>
      </c>
      <c r="E144" s="454" t="s">
        <v>170</v>
      </c>
      <c r="F144" s="460" t="s">
        <v>1765</v>
      </c>
      <c r="G144" s="460" t="s">
        <v>1768</v>
      </c>
      <c r="H144" s="460"/>
      <c r="I144" s="460"/>
      <c r="J144" s="540">
        <v>600</v>
      </c>
      <c r="K144" s="540">
        <v>600</v>
      </c>
      <c r="L144" s="540"/>
      <c r="M144" s="545"/>
      <c r="N144" s="566">
        <f>J144*INDEX([2]Pedidos!$Q:$Q,MATCH(F144,[2]Pedidos!$E:$E,0))</f>
        <v>720</v>
      </c>
      <c r="O144" s="566">
        <f>K144*INDEX([2]Pedidos!$Q:$Q,MATCH(G144,[2]Pedidos!$E:$E,0))</f>
        <v>510</v>
      </c>
      <c r="P144" s="566" t="e">
        <f>M144*INDEX([2]Pedidos!$Q:$Q,MATCH(H144,[2]Pedidos!$E:$E,0))</f>
        <v>#N/A</v>
      </c>
      <c r="V144" s="591" t="str" cm="1">
        <f t="array" aca="1" ref="V14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4" s="576" t="str">
        <f t="shared" ca="1" si="16"/>
        <v/>
      </c>
      <c r="X144" s="586"/>
      <c r="Y144" s="582">
        <f ca="1">IFERROR(X144*INDEX([2]Pedidos!$Q:$Q,MATCH(V144,[2]Pedidos!$E:$E,0)),0)</f>
        <v>0</v>
      </c>
    </row>
    <row r="145" spans="1:25" x14ac:dyDescent="0.25">
      <c r="A145" s="753"/>
      <c r="C145" s="527" t="s">
        <v>161</v>
      </c>
      <c r="D145" s="453">
        <f t="shared" si="17"/>
        <v>46167</v>
      </c>
      <c r="E145" s="454" t="s">
        <v>585</v>
      </c>
      <c r="F145" s="505"/>
      <c r="G145" s="505"/>
      <c r="H145" s="505"/>
      <c r="I145" s="724"/>
      <c r="J145" s="516" cm="1">
        <f t="array" aca="1" ref="J145" ca="1">IFERROR(_xlfn.LET(_xlpm.produto,TRIM(F145)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5" s="516" cm="1">
        <f t="array" aca="1" ref="K145" ca="1">IFERROR(_xlfn.LET(_xlpm.produto,TRIM(G145)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5" s="516"/>
      <c r="M145" s="516" cm="1">
        <f t="array" aca="1" ref="M145" ca="1">IFERROR(_xlfn.LET(_xlpm.produto,TRIM(H145)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5" s="557"/>
      <c r="O145" s="557"/>
      <c r="P145" s="557"/>
      <c r="V145" s="592" t="str" cm="1">
        <f t="array" aca="1" ref="V14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5" s="576" t="str">
        <f t="shared" ca="1" si="16"/>
        <v/>
      </c>
      <c r="X145" s="586"/>
      <c r="Y145" s="582">
        <f ca="1">IFERROR(X145*INDEX([2]Pedidos!$Q:$Q,MATCH(V145,[2]Pedidos!$E:$E,0)),0)</f>
        <v>0</v>
      </c>
    </row>
    <row r="146" spans="1:25" x14ac:dyDescent="0.25">
      <c r="A146" s="753"/>
      <c r="C146" s="527" t="s">
        <v>161</v>
      </c>
      <c r="D146" s="453">
        <f t="shared" si="17"/>
        <v>46167</v>
      </c>
      <c r="E146" s="455" t="s">
        <v>574</v>
      </c>
      <c r="F146" s="505"/>
      <c r="G146" s="505"/>
      <c r="H146" s="505"/>
      <c r="I146" s="724"/>
      <c r="J146" s="516" cm="1">
        <f t="array" aca="1" ref="J146" ca="1">IFERROR(_xlfn.LET(_xlpm.produto,TRIM(F146)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6" s="516" cm="1">
        <f t="array" aca="1" ref="K146" ca="1">IFERROR(_xlfn.LET(_xlpm.produto,TRIM(G146)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6" s="516"/>
      <c r="M146" s="516" cm="1">
        <f t="array" aca="1" ref="M146" ca="1">IFERROR(_xlfn.LET(_xlpm.produto,TRIM(H146)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6" s="557"/>
      <c r="O146" s="557"/>
      <c r="P146" s="557"/>
      <c r="V146" s="591" t="str" cm="1">
        <f t="array" aca="1" ref="V14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6" s="576" t="str">
        <f t="shared" ca="1" si="16"/>
        <v/>
      </c>
      <c r="X146" s="586"/>
      <c r="Y146" s="582">
        <f ca="1">IFERROR(X146*INDEX([2]Pedidos!$Q:$Q,MATCH(V146,[2]Pedidos!$E:$E,0)),0)</f>
        <v>0</v>
      </c>
    </row>
    <row r="147" spans="1:25" x14ac:dyDescent="0.25">
      <c r="A147" s="753"/>
      <c r="C147" s="527" t="s">
        <v>161</v>
      </c>
      <c r="D147" s="453">
        <f t="shared" si="17"/>
        <v>46167</v>
      </c>
      <c r="E147" s="455" t="s">
        <v>575</v>
      </c>
      <c r="F147" s="506"/>
      <c r="G147" s="506"/>
      <c r="H147" s="506"/>
      <c r="I147" s="506"/>
      <c r="J147" s="516" cm="1">
        <f t="array" aca="1" ref="J147" ca="1">IFERROR(_xlfn.LET(_xlpm.produto,TRIM(F147)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7" s="516" cm="1">
        <f t="array" aca="1" ref="K147" ca="1">IFERROR(_xlfn.LET(_xlpm.produto,TRIM(G147)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7" s="516"/>
      <c r="M147" s="516" cm="1">
        <f t="array" aca="1" ref="M147" ca="1">IFERROR(_xlfn.LET(_xlpm.produto,TRIM(H147)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7" s="557"/>
      <c r="O147" s="557"/>
      <c r="P147" s="557"/>
      <c r="V147" s="592" t="str" cm="1">
        <f t="array" aca="1" ref="V14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147" s="576" t="str">
        <f t="shared" ca="1" si="16"/>
        <v/>
      </c>
      <c r="X147" s="587"/>
      <c r="Y147" s="583">
        <f ca="1">IFERROR(X147*INDEX([2]Pedidos!$Q:$Q,MATCH(V147,[2]Pedidos!$E:$E,0)),0)</f>
        <v>0</v>
      </c>
    </row>
    <row r="148" spans="1:25" x14ac:dyDescent="0.25">
      <c r="A148" s="753"/>
      <c r="C148" s="527" t="s">
        <v>161</v>
      </c>
      <c r="D148" s="453">
        <f t="shared" si="17"/>
        <v>46167</v>
      </c>
      <c r="E148" s="503" t="s">
        <v>583</v>
      </c>
      <c r="F148" s="506"/>
      <c r="G148" s="506"/>
      <c r="H148" s="506"/>
      <c r="I148" s="506"/>
      <c r="J148" s="516" cm="1">
        <f t="array" aca="1" ref="J148" ca="1">IFERROR(_xlfn.LET(_xlpm.produto,TRIM(F148)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8" s="516" cm="1">
        <f t="array" aca="1" ref="K148" ca="1">IFERROR(_xlfn.LET(_xlpm.produto,TRIM(G148)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8" s="516"/>
      <c r="M148" s="516" cm="1">
        <f t="array" aca="1" ref="M148" ca="1">IFERROR(_xlfn.LET(_xlpm.produto,TRIM(H148)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8" s="557"/>
      <c r="O148" s="557"/>
      <c r="P148" s="557"/>
      <c r="V148" s="573" t="s">
        <v>1521</v>
      </c>
      <c r="W148" s="574">
        <f ca="1">SUM(W134:W147)</f>
        <v>0</v>
      </c>
      <c r="X148" s="574">
        <f>SUM(X134:X147)</f>
        <v>0</v>
      </c>
      <c r="Y148" s="584">
        <f ca="1">SUM(Y134:Y147)</f>
        <v>0</v>
      </c>
    </row>
    <row r="149" spans="1:25" ht="15.75" thickBot="1" x14ac:dyDescent="0.3">
      <c r="A149" s="753"/>
      <c r="C149" s="528" t="s">
        <v>161</v>
      </c>
      <c r="D149" s="451">
        <f t="shared" si="17"/>
        <v>46167</v>
      </c>
      <c r="E149" s="459" t="s">
        <v>584</v>
      </c>
      <c r="F149" s="493"/>
      <c r="G149" s="493"/>
      <c r="H149" s="493"/>
      <c r="I149" s="493"/>
      <c r="J149" s="513" cm="1">
        <f t="array" aca="1" ref="J149" ca="1">IFERROR(_xlfn.LET(_xlpm.produto,TRIM(F149)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49" s="513" cm="1">
        <f t="array" aca="1" ref="K149" ca="1">IFERROR(_xlfn.LET(_xlpm.produto,TRIM(G149)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49" s="513"/>
      <c r="M149" s="513" cm="1">
        <f t="array" aca="1" ref="M149" ca="1">IFERROR(_xlfn.LET(_xlpm.produto,TRIM(H149)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49" s="558"/>
      <c r="O149" s="558"/>
      <c r="P149" s="558"/>
    </row>
    <row r="150" spans="1:25" ht="4.5" customHeight="1" thickBot="1" x14ac:dyDescent="0.3">
      <c r="A150" s="753"/>
      <c r="J150" s="445"/>
      <c r="K150" s="445"/>
      <c r="L150" s="445"/>
      <c r="N150" s="559"/>
      <c r="O150" s="559"/>
      <c r="P150" s="559"/>
      <c r="S150" s="3"/>
      <c r="T150" s="3"/>
    </row>
    <row r="151" spans="1:25" ht="15.75" thickBot="1" x14ac:dyDescent="0.3">
      <c r="A151" s="753"/>
      <c r="C151" s="538"/>
      <c r="D151" s="539"/>
      <c r="E151" s="539"/>
      <c r="F151" s="539"/>
      <c r="G151" s="539"/>
      <c r="H151" s="539"/>
      <c r="I151" s="539"/>
      <c r="J151" s="606">
        <f t="shared" ref="J151:M151" ca="1" si="18">_xlfn.AGGREGATE(9,6,J152:J167)</f>
        <v>5400</v>
      </c>
      <c r="K151" s="607">
        <f t="shared" ca="1" si="18"/>
        <v>5400</v>
      </c>
      <c r="L151" s="607"/>
      <c r="M151" s="544">
        <f t="shared" ca="1" si="18"/>
        <v>0</v>
      </c>
      <c r="N151" s="560">
        <f t="shared" ref="N151:P151" si="19">_xlfn.AGGREGATE(9,6,N152:N167)</f>
        <v>6480</v>
      </c>
      <c r="O151" s="561">
        <f t="shared" si="19"/>
        <v>4590</v>
      </c>
      <c r="P151" s="562">
        <f t="shared" si="19"/>
        <v>0</v>
      </c>
      <c r="Q151" s="548">
        <f ca="1">SUM(J151:M151)</f>
        <v>10800</v>
      </c>
      <c r="R151" s="549">
        <f>SUM(N151:P151)</f>
        <v>11070</v>
      </c>
      <c r="S151" s="3"/>
      <c r="T151" s="3"/>
    </row>
    <row r="152" spans="1:25" x14ac:dyDescent="0.25">
      <c r="A152" s="753"/>
      <c r="C152" s="446" t="s">
        <v>171</v>
      </c>
      <c r="D152" s="497">
        <f>D149+1</f>
        <v>46168</v>
      </c>
      <c r="E152" s="498" t="s">
        <v>573</v>
      </c>
      <c r="F152" s="514"/>
      <c r="G152" s="514"/>
      <c r="H152" s="514"/>
      <c r="I152" s="724"/>
      <c r="J152" s="537" cm="1">
        <f t="array" aca="1" ref="J152" ca="1">IFERROR(_xlfn.LET(_xlpm.produto,TRIM(F152)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52" s="537" cm="1">
        <f t="array" aca="1" ref="K152" ca="1">IFERROR(_xlfn.LET(_xlpm.produto,TRIM(G152)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52" s="537"/>
      <c r="M152" s="537" cm="1">
        <f t="array" aca="1" ref="M152" ca="1">IFERROR(_xlfn.LET(_xlpm.produto,TRIM(H152)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52" s="563"/>
      <c r="O152" s="563"/>
      <c r="P152" s="563"/>
    </row>
    <row r="153" spans="1:25" x14ac:dyDescent="0.25">
      <c r="A153" s="753"/>
      <c r="C153" s="452" t="s">
        <v>171</v>
      </c>
      <c r="D153" s="499">
        <f t="shared" ref="D153:D167" si="20">D152</f>
        <v>46168</v>
      </c>
      <c r="E153" s="500" t="s">
        <v>162</v>
      </c>
      <c r="F153" s="460" t="s">
        <v>1765</v>
      </c>
      <c r="G153" s="460" t="s">
        <v>1767</v>
      </c>
      <c r="H153" s="460"/>
      <c r="I153" s="460"/>
      <c r="J153" s="540">
        <v>600</v>
      </c>
      <c r="K153" s="540">
        <v>600</v>
      </c>
      <c r="L153" s="540"/>
      <c r="M153" s="545"/>
      <c r="N153" s="555">
        <f>J153*INDEX([2]Pedidos!$Q:$Q,MATCH(F153,[2]Pedidos!$E:$E,0))</f>
        <v>720</v>
      </c>
      <c r="O153" s="555">
        <f>K153*INDEX([2]Pedidos!$Q:$Q,MATCH(G153,[2]Pedidos!$E:$E,0))</f>
        <v>510</v>
      </c>
      <c r="P153" s="555" t="e">
        <f>M153*INDEX([2]Pedidos!$Q:$Q,MATCH(H153,[2]Pedidos!$E:$E,0))</f>
        <v>#N/A</v>
      </c>
    </row>
    <row r="154" spans="1:25" x14ac:dyDescent="0.25">
      <c r="A154" s="753"/>
      <c r="C154" s="452" t="s">
        <v>171</v>
      </c>
      <c r="D154" s="449">
        <f t="shared" si="20"/>
        <v>46168</v>
      </c>
      <c r="E154" s="454" t="s">
        <v>163</v>
      </c>
      <c r="F154" s="460" t="s">
        <v>1765</v>
      </c>
      <c r="G154" s="460" t="s">
        <v>1767</v>
      </c>
      <c r="H154" s="460"/>
      <c r="I154" s="460"/>
      <c r="J154" s="540">
        <v>600</v>
      </c>
      <c r="K154" s="540">
        <v>600</v>
      </c>
      <c r="L154" s="540"/>
      <c r="M154" s="545"/>
      <c r="N154" s="564">
        <f>J154*INDEX([2]Pedidos!$Q:$Q,MATCH(F154,[2]Pedidos!$E:$E,0))</f>
        <v>720</v>
      </c>
      <c r="O154" s="564">
        <f>K154*INDEX([2]Pedidos!$Q:$Q,MATCH(G154,[2]Pedidos!$E:$E,0))</f>
        <v>510</v>
      </c>
      <c r="P154" s="564" t="e">
        <f>M154*INDEX([2]Pedidos!$Q:$Q,MATCH(H154,[2]Pedidos!$E:$E,0))</f>
        <v>#N/A</v>
      </c>
    </row>
    <row r="155" spans="1:25" x14ac:dyDescent="0.25">
      <c r="A155" s="753"/>
      <c r="C155" s="452" t="s">
        <v>171</v>
      </c>
      <c r="D155" s="449">
        <f t="shared" si="20"/>
        <v>46168</v>
      </c>
      <c r="E155" s="454" t="s">
        <v>164</v>
      </c>
      <c r="F155" s="460" t="s">
        <v>1765</v>
      </c>
      <c r="G155" s="460" t="s">
        <v>1767</v>
      </c>
      <c r="H155" s="460"/>
      <c r="I155" s="460"/>
      <c r="J155" s="540">
        <v>600</v>
      </c>
      <c r="K155" s="540">
        <v>600</v>
      </c>
      <c r="L155" s="540"/>
      <c r="M155" s="545"/>
      <c r="N155" s="564">
        <f>J155*INDEX([2]Pedidos!$Q:$Q,MATCH(F155,[2]Pedidos!$E:$E,0))</f>
        <v>720</v>
      </c>
      <c r="O155" s="564">
        <f>K155*INDEX([2]Pedidos!$Q:$Q,MATCH(G155,[2]Pedidos!$E:$E,0))</f>
        <v>510</v>
      </c>
      <c r="P155" s="564" t="e">
        <f>M155*INDEX([2]Pedidos!$Q:$Q,MATCH(H155,[2]Pedidos!$E:$E,0))</f>
        <v>#N/A</v>
      </c>
    </row>
    <row r="156" spans="1:25" x14ac:dyDescent="0.25">
      <c r="A156" s="753"/>
      <c r="C156" s="452" t="s">
        <v>171</v>
      </c>
      <c r="D156" s="449">
        <f t="shared" si="20"/>
        <v>46168</v>
      </c>
      <c r="E156" s="454" t="s">
        <v>165</v>
      </c>
      <c r="F156" s="460" t="s">
        <v>1765</v>
      </c>
      <c r="G156" s="460" t="s">
        <v>1767</v>
      </c>
      <c r="H156" s="460"/>
      <c r="I156" s="460"/>
      <c r="J156" s="540">
        <v>600</v>
      </c>
      <c r="K156" s="540">
        <v>600</v>
      </c>
      <c r="L156" s="540"/>
      <c r="M156" s="545"/>
      <c r="N156" s="564">
        <f>J156*INDEX([2]Pedidos!$Q:$Q,MATCH(F156,[2]Pedidos!$E:$E,0))</f>
        <v>720</v>
      </c>
      <c r="O156" s="564">
        <f>K156*INDEX([2]Pedidos!$Q:$Q,MATCH(G156,[2]Pedidos!$E:$E,0))</f>
        <v>510</v>
      </c>
      <c r="P156" s="564" t="e">
        <f>M156*INDEX([2]Pedidos!$Q:$Q,MATCH(H156,[2]Pedidos!$E:$E,0))</f>
        <v>#N/A</v>
      </c>
    </row>
    <row r="157" spans="1:25" x14ac:dyDescent="0.25">
      <c r="A157" s="753"/>
      <c r="C157" s="452" t="s">
        <v>171</v>
      </c>
      <c r="D157" s="449">
        <f t="shared" si="20"/>
        <v>46168</v>
      </c>
      <c r="E157" s="454" t="s">
        <v>166</v>
      </c>
      <c r="F157" s="460" t="s">
        <v>1766</v>
      </c>
      <c r="G157" s="460" t="s">
        <v>1767</v>
      </c>
      <c r="H157" s="460"/>
      <c r="I157" s="460"/>
      <c r="J157" s="540">
        <v>600</v>
      </c>
      <c r="K157" s="540">
        <v>600</v>
      </c>
      <c r="L157" s="540"/>
      <c r="M157" s="545"/>
      <c r="N157" s="564">
        <f>J157*INDEX([2]Pedidos!$Q:$Q,MATCH(F157,[2]Pedidos!$E:$E,0))</f>
        <v>720</v>
      </c>
      <c r="O157" s="564">
        <f>K157*INDEX([2]Pedidos!$Q:$Q,MATCH(G157,[2]Pedidos!$E:$E,0))</f>
        <v>510</v>
      </c>
      <c r="P157" s="564" t="e">
        <f>M157*INDEX([2]Pedidos!$Q:$Q,MATCH(H157,[2]Pedidos!$E:$E,0))</f>
        <v>#N/A</v>
      </c>
    </row>
    <row r="158" spans="1:25" x14ac:dyDescent="0.25">
      <c r="A158" s="753"/>
      <c r="C158" s="452" t="s">
        <v>171</v>
      </c>
      <c r="D158" s="449">
        <f t="shared" si="20"/>
        <v>46168</v>
      </c>
      <c r="E158" s="454" t="s">
        <v>576</v>
      </c>
      <c r="F158" s="517"/>
      <c r="G158" s="512"/>
      <c r="H158" s="512"/>
      <c r="I158" s="512"/>
      <c r="J158" s="554" cm="1">
        <f t="array" aca="1" ref="J158" ca="1">IFERROR(_xlfn.LET(_xlpm.produto,TRIM(F158)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58" s="554" cm="1">
        <f t="array" aca="1" ref="K158" ca="1">IFERROR(_xlfn.LET(_xlpm.produto,TRIM(G158)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58" s="554"/>
      <c r="M158" s="554" cm="1">
        <f t="array" aca="1" ref="M158" ca="1">IFERROR(_xlfn.LET(_xlpm.produto,TRIM(H158)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58" s="556"/>
      <c r="O158" s="556"/>
      <c r="P158" s="556"/>
    </row>
    <row r="159" spans="1:25" x14ac:dyDescent="0.25">
      <c r="A159" s="753"/>
      <c r="C159" s="452" t="s">
        <v>171</v>
      </c>
      <c r="D159" s="449">
        <f t="shared" si="20"/>
        <v>46168</v>
      </c>
      <c r="E159" s="454" t="s">
        <v>167</v>
      </c>
      <c r="F159" s="460" t="s">
        <v>1766</v>
      </c>
      <c r="G159" s="460" t="s">
        <v>1767</v>
      </c>
      <c r="H159" s="460"/>
      <c r="I159" s="460"/>
      <c r="J159" s="540">
        <v>600</v>
      </c>
      <c r="K159" s="540">
        <v>600</v>
      </c>
      <c r="L159" s="540"/>
      <c r="M159" s="545"/>
      <c r="N159" s="565">
        <f>J159*INDEX([2]Pedidos!$Q:$Q,MATCH(F159,[2]Pedidos!$E:$E,0))</f>
        <v>720</v>
      </c>
      <c r="O159" s="565">
        <f>K159*INDEX([2]Pedidos!$Q:$Q,MATCH(G159,[2]Pedidos!$E:$E,0))</f>
        <v>510</v>
      </c>
      <c r="P159" s="565" t="e">
        <f>M159*INDEX([2]Pedidos!$Q:$Q,MATCH(H159,[2]Pedidos!$E:$E,0))</f>
        <v>#N/A</v>
      </c>
    </row>
    <row r="160" spans="1:25" x14ac:dyDescent="0.25">
      <c r="A160" s="753"/>
      <c r="C160" s="452" t="s">
        <v>171</v>
      </c>
      <c r="D160" s="449">
        <f t="shared" si="20"/>
        <v>46168</v>
      </c>
      <c r="E160" s="454" t="s">
        <v>168</v>
      </c>
      <c r="F160" s="460" t="s">
        <v>1766</v>
      </c>
      <c r="G160" s="460" t="s">
        <v>1767</v>
      </c>
      <c r="H160" s="460"/>
      <c r="I160" s="460"/>
      <c r="J160" s="540">
        <v>600</v>
      </c>
      <c r="K160" s="540">
        <v>600</v>
      </c>
      <c r="L160" s="540"/>
      <c r="M160" s="545"/>
      <c r="N160" s="565">
        <f>J160*INDEX([2]Pedidos!$Q:$Q,MATCH(F160,[2]Pedidos!$E:$E,0))</f>
        <v>720</v>
      </c>
      <c r="O160" s="565">
        <f>K160*INDEX([2]Pedidos!$Q:$Q,MATCH(G160,[2]Pedidos!$E:$E,0))</f>
        <v>510</v>
      </c>
      <c r="P160" s="565" t="e">
        <f>M160*INDEX([2]Pedidos!$Q:$Q,MATCH(H160,[2]Pedidos!$E:$E,0))</f>
        <v>#N/A</v>
      </c>
    </row>
    <row r="161" spans="1:20" x14ac:dyDescent="0.25">
      <c r="A161" s="753"/>
      <c r="C161" s="452" t="s">
        <v>171</v>
      </c>
      <c r="D161" s="449">
        <f t="shared" si="20"/>
        <v>46168</v>
      </c>
      <c r="E161" s="454" t="s">
        <v>169</v>
      </c>
      <c r="F161" s="460" t="s">
        <v>1766</v>
      </c>
      <c r="G161" s="460" t="s">
        <v>1767</v>
      </c>
      <c r="H161" s="460"/>
      <c r="I161" s="460"/>
      <c r="J161" s="540">
        <v>600</v>
      </c>
      <c r="K161" s="540">
        <v>600</v>
      </c>
      <c r="L161" s="540"/>
      <c r="M161" s="545"/>
      <c r="N161" s="565">
        <f>J161*INDEX([2]Pedidos!$Q:$Q,MATCH(F161,[2]Pedidos!$E:$E,0))</f>
        <v>720</v>
      </c>
      <c r="O161" s="565">
        <f>K161*INDEX([2]Pedidos!$Q:$Q,MATCH(G161,[2]Pedidos!$E:$E,0))</f>
        <v>510</v>
      </c>
      <c r="P161" s="565" t="e">
        <f>M161*INDEX([2]Pedidos!$Q:$Q,MATCH(H161,[2]Pedidos!$E:$E,0))</f>
        <v>#N/A</v>
      </c>
    </row>
    <row r="162" spans="1:20" x14ac:dyDescent="0.25">
      <c r="A162" s="753"/>
      <c r="C162" s="452" t="s">
        <v>171</v>
      </c>
      <c r="D162" s="449">
        <f t="shared" si="20"/>
        <v>46168</v>
      </c>
      <c r="E162" s="454" t="s">
        <v>170</v>
      </c>
      <c r="F162" s="460" t="s">
        <v>1766</v>
      </c>
      <c r="G162" s="460" t="s">
        <v>1767</v>
      </c>
      <c r="H162" s="460"/>
      <c r="I162" s="460"/>
      <c r="J162" s="540">
        <v>600</v>
      </c>
      <c r="K162" s="540">
        <v>600</v>
      </c>
      <c r="L162" s="540"/>
      <c r="M162" s="545"/>
      <c r="N162" s="566">
        <f>J162*INDEX([2]Pedidos!$Q:$Q,MATCH(F162,[2]Pedidos!$E:$E,0))</f>
        <v>720</v>
      </c>
      <c r="O162" s="566">
        <f>K162*INDEX([2]Pedidos!$Q:$Q,MATCH(G162,[2]Pedidos!$E:$E,0))</f>
        <v>510</v>
      </c>
      <c r="P162" s="566" t="e">
        <f>M162*INDEX([2]Pedidos!$Q:$Q,MATCH(H162,[2]Pedidos!$E:$E,0))</f>
        <v>#N/A</v>
      </c>
    </row>
    <row r="163" spans="1:20" x14ac:dyDescent="0.25">
      <c r="A163" s="753"/>
      <c r="C163" s="452" t="s">
        <v>171</v>
      </c>
      <c r="D163" s="449">
        <f t="shared" si="20"/>
        <v>46168</v>
      </c>
      <c r="E163" s="454" t="s">
        <v>585</v>
      </c>
      <c r="F163" s="505"/>
      <c r="G163" s="505"/>
      <c r="H163" s="516"/>
      <c r="I163" s="516"/>
      <c r="J163" s="516" cm="1">
        <f t="array" aca="1" ref="J163" ca="1">IFERROR(_xlfn.LET(_xlpm.produto,TRIM(F163)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63" s="516" cm="1">
        <f t="array" aca="1" ref="K163" ca="1">IFERROR(_xlfn.LET(_xlpm.produto,TRIM(G163)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63" s="516"/>
      <c r="M163" s="516" cm="1">
        <f t="array" aca="1" ref="M163" ca="1">IFERROR(_xlfn.LET(_xlpm.produto,TRIM(H163)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63" s="557"/>
      <c r="O163" s="557"/>
      <c r="P163" s="557"/>
    </row>
    <row r="164" spans="1:20" x14ac:dyDescent="0.25">
      <c r="A164" s="753"/>
      <c r="C164" s="448" t="s">
        <v>171</v>
      </c>
      <c r="D164" s="449">
        <f t="shared" si="20"/>
        <v>46168</v>
      </c>
      <c r="E164" s="455" t="s">
        <v>574</v>
      </c>
      <c r="F164" s="505"/>
      <c r="G164" s="505"/>
      <c r="H164" s="516"/>
      <c r="I164" s="516"/>
      <c r="J164" s="516" cm="1">
        <f t="array" aca="1" ref="J164" ca="1">IFERROR(_xlfn.LET(_xlpm.produto,TRIM(F164)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64" s="516" cm="1">
        <f t="array" aca="1" ref="K164" ca="1">IFERROR(_xlfn.LET(_xlpm.produto,TRIM(G164)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64" s="516"/>
      <c r="M164" s="516" cm="1">
        <f t="array" aca="1" ref="M164" ca="1">IFERROR(_xlfn.LET(_xlpm.produto,TRIM(H164)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64" s="557"/>
      <c r="O164" s="557"/>
      <c r="P164" s="557"/>
    </row>
    <row r="165" spans="1:20" x14ac:dyDescent="0.25">
      <c r="A165" s="753"/>
      <c r="C165" s="448" t="s">
        <v>171</v>
      </c>
      <c r="D165" s="449">
        <f t="shared" si="20"/>
        <v>46168</v>
      </c>
      <c r="E165" s="455" t="s">
        <v>575</v>
      </c>
      <c r="F165" s="506"/>
      <c r="G165" s="506"/>
      <c r="H165" s="516"/>
      <c r="I165" s="516"/>
      <c r="J165" s="516" cm="1">
        <f t="array" aca="1" ref="J165" ca="1">IFERROR(_xlfn.LET(_xlpm.produto,TRIM(F165)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65" s="516" cm="1">
        <f t="array" aca="1" ref="K165" ca="1">IFERROR(_xlfn.LET(_xlpm.produto,TRIM(G165)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65" s="516"/>
      <c r="M165" s="516" cm="1">
        <f t="array" aca="1" ref="M165" ca="1">IFERROR(_xlfn.LET(_xlpm.produto,TRIM(H165)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65" s="557"/>
      <c r="O165" s="557"/>
      <c r="P165" s="557"/>
    </row>
    <row r="166" spans="1:20" x14ac:dyDescent="0.25">
      <c r="A166" s="753"/>
      <c r="C166" s="448" t="s">
        <v>171</v>
      </c>
      <c r="D166" s="449">
        <f t="shared" si="20"/>
        <v>46168</v>
      </c>
      <c r="E166" s="503" t="s">
        <v>583</v>
      </c>
      <c r="F166" s="506"/>
      <c r="G166" s="506"/>
      <c r="H166" s="516"/>
      <c r="I166" s="516"/>
      <c r="J166" s="516" cm="1">
        <f t="array" aca="1" ref="J166" ca="1">IFERROR(_xlfn.LET(_xlpm.produto,TRIM(F166)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66" s="516" cm="1">
        <f t="array" aca="1" ref="K166" ca="1">IFERROR(_xlfn.LET(_xlpm.produto,TRIM(G166)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66" s="516"/>
      <c r="M166" s="516" cm="1">
        <f t="array" aca="1" ref="M166" ca="1">IFERROR(_xlfn.LET(_xlpm.produto,TRIM(H166)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66" s="557"/>
      <c r="O166" s="557"/>
      <c r="P166" s="557"/>
    </row>
    <row r="167" spans="1:20" ht="15.75" thickBot="1" x14ac:dyDescent="0.3">
      <c r="A167" s="753"/>
      <c r="C167" s="450" t="s">
        <v>171</v>
      </c>
      <c r="D167" s="451">
        <f t="shared" si="20"/>
        <v>46168</v>
      </c>
      <c r="E167" s="459" t="s">
        <v>584</v>
      </c>
      <c r="F167" s="493"/>
      <c r="G167" s="493"/>
      <c r="H167" s="513"/>
      <c r="I167" s="513"/>
      <c r="J167" s="513" cm="1">
        <f t="array" aca="1" ref="J167" ca="1">IFERROR(_xlfn.LET(_xlpm.produto,TRIM(F167)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67" s="513" cm="1">
        <f t="array" aca="1" ref="K167" ca="1">IFERROR(_xlfn.LET(_xlpm.produto,TRIM(G167)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67" s="513"/>
      <c r="M167" s="513" cm="1">
        <f t="array" aca="1" ref="M167" ca="1">IFERROR(_xlfn.LET(_xlpm.produto,TRIM(H167)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67" s="558"/>
      <c r="O167" s="558"/>
      <c r="P167" s="558"/>
    </row>
    <row r="168" spans="1:20" ht="4.5" customHeight="1" thickBot="1" x14ac:dyDescent="0.3">
      <c r="A168" s="753"/>
      <c r="J168" s="445"/>
      <c r="K168" s="445"/>
      <c r="L168" s="445"/>
      <c r="N168" s="559"/>
      <c r="O168" s="559"/>
      <c r="P168" s="559"/>
      <c r="S168" s="3"/>
      <c r="T168" s="3"/>
    </row>
    <row r="169" spans="1:20" ht="15.75" thickBot="1" x14ac:dyDescent="0.3">
      <c r="A169" s="753"/>
      <c r="C169" s="538"/>
      <c r="D169" s="539"/>
      <c r="E169" s="539"/>
      <c r="F169" s="539"/>
      <c r="G169" s="539"/>
      <c r="H169" s="539"/>
      <c r="I169" s="539"/>
      <c r="J169" s="606">
        <f t="shared" ref="J169:M169" ca="1" si="21">_xlfn.AGGREGATE(9,6,J170:J185)</f>
        <v>5400</v>
      </c>
      <c r="K169" s="607">
        <f t="shared" ca="1" si="21"/>
        <v>5400</v>
      </c>
      <c r="L169" s="607"/>
      <c r="M169" s="544">
        <f t="shared" si="21"/>
        <v>0</v>
      </c>
      <c r="N169" s="560">
        <f t="shared" ref="N169:P169" si="22">_xlfn.AGGREGATE(9,6,N170:N185)</f>
        <v>3600</v>
      </c>
      <c r="O169" s="561">
        <f t="shared" si="22"/>
        <v>4590</v>
      </c>
      <c r="P169" s="562">
        <f t="shared" si="22"/>
        <v>0</v>
      </c>
      <c r="Q169" s="548">
        <f ca="1">SUM(J169:M169)</f>
        <v>10800</v>
      </c>
      <c r="R169" s="549">
        <f>SUM(N169:P169)</f>
        <v>8190</v>
      </c>
      <c r="S169" s="3"/>
      <c r="T169" s="3"/>
    </row>
    <row r="170" spans="1:20" x14ac:dyDescent="0.25">
      <c r="A170" s="753"/>
      <c r="C170" s="446" t="s">
        <v>172</v>
      </c>
      <c r="D170" s="497">
        <f>D167+1</f>
        <v>46169</v>
      </c>
      <c r="E170" s="498" t="s">
        <v>573</v>
      </c>
      <c r="F170" s="514"/>
      <c r="G170" s="514"/>
      <c r="H170" s="514"/>
      <c r="I170" s="724"/>
      <c r="J170" s="537"/>
      <c r="K170" s="537"/>
      <c r="L170" s="537"/>
      <c r="M170" s="537"/>
      <c r="N170" s="563"/>
      <c r="O170" s="563"/>
      <c r="P170" s="563"/>
    </row>
    <row r="171" spans="1:20" x14ac:dyDescent="0.25">
      <c r="A171" s="753"/>
      <c r="C171" s="452" t="s">
        <v>1832</v>
      </c>
      <c r="D171" s="499">
        <f t="shared" ref="D171:D185" si="23">D170</f>
        <v>46169</v>
      </c>
      <c r="E171" s="500" t="s">
        <v>162</v>
      </c>
      <c r="F171" s="460" t="s">
        <v>1766</v>
      </c>
      <c r="G171" s="460" t="s">
        <v>1767</v>
      </c>
      <c r="H171" s="460"/>
      <c r="I171" s="460"/>
      <c r="J171" s="540">
        <v>600</v>
      </c>
      <c r="K171" s="540">
        <v>600</v>
      </c>
      <c r="L171" s="540"/>
      <c r="M171" s="545"/>
      <c r="N171" s="555">
        <f>J171*INDEX([2]Pedidos!$Q:$Q,MATCH(F171,[2]Pedidos!$E:$E,0))</f>
        <v>720</v>
      </c>
      <c r="O171" s="555">
        <f>K171*INDEX([2]Pedidos!$Q:$Q,MATCH(G171,[2]Pedidos!$E:$E,0))</f>
        <v>510</v>
      </c>
      <c r="P171" s="555" t="e">
        <f>M171*INDEX([2]Pedidos!$Q:$Q,MATCH(H171,[2]Pedidos!$E:$E,0))</f>
        <v>#N/A</v>
      </c>
    </row>
    <row r="172" spans="1:20" x14ac:dyDescent="0.25">
      <c r="A172" s="753"/>
      <c r="C172" s="452" t="s">
        <v>1832</v>
      </c>
      <c r="D172" s="449">
        <f t="shared" si="23"/>
        <v>46169</v>
      </c>
      <c r="E172" s="454" t="s">
        <v>163</v>
      </c>
      <c r="F172" s="460" t="s">
        <v>1766</v>
      </c>
      <c r="G172" s="460" t="s">
        <v>1767</v>
      </c>
      <c r="H172" s="460"/>
      <c r="I172" s="460"/>
      <c r="J172" s="540">
        <v>600</v>
      </c>
      <c r="K172" s="540">
        <v>600</v>
      </c>
      <c r="L172" s="540"/>
      <c r="M172" s="545"/>
      <c r="N172" s="564">
        <f>J172*INDEX([2]Pedidos!$Q:$Q,MATCH(F172,[2]Pedidos!$E:$E,0))</f>
        <v>720</v>
      </c>
      <c r="O172" s="564">
        <f>K172*INDEX([2]Pedidos!$Q:$Q,MATCH(G172,[2]Pedidos!$E:$E,0))</f>
        <v>510</v>
      </c>
      <c r="P172" s="564" t="e">
        <f>M172*INDEX([2]Pedidos!$Q:$Q,MATCH(H172,[2]Pedidos!$E:$E,0))</f>
        <v>#N/A</v>
      </c>
    </row>
    <row r="173" spans="1:20" x14ac:dyDescent="0.25">
      <c r="A173" s="753"/>
      <c r="C173" s="452" t="s">
        <v>1832</v>
      </c>
      <c r="D173" s="449">
        <f t="shared" si="23"/>
        <v>46169</v>
      </c>
      <c r="E173" s="454" t="s">
        <v>164</v>
      </c>
      <c r="F173" s="460" t="s">
        <v>1766</v>
      </c>
      <c r="G173" s="460" t="s">
        <v>1767</v>
      </c>
      <c r="H173" s="460"/>
      <c r="I173" s="460"/>
      <c r="J173" s="540">
        <v>600</v>
      </c>
      <c r="K173" s="540">
        <v>600</v>
      </c>
      <c r="L173" s="540"/>
      <c r="M173" s="545"/>
      <c r="N173" s="564">
        <f>J173*INDEX([2]Pedidos!$Q:$Q,MATCH(F173,[2]Pedidos!$E:$E,0))</f>
        <v>720</v>
      </c>
      <c r="O173" s="564">
        <f>K173*INDEX([2]Pedidos!$Q:$Q,MATCH(G173,[2]Pedidos!$E:$E,0))</f>
        <v>510</v>
      </c>
      <c r="P173" s="564" t="e">
        <f>M173*INDEX([2]Pedidos!$Q:$Q,MATCH(H173,[2]Pedidos!$E:$E,0))</f>
        <v>#N/A</v>
      </c>
    </row>
    <row r="174" spans="1:20" x14ac:dyDescent="0.25">
      <c r="A174" s="753"/>
      <c r="C174" s="452" t="s">
        <v>1832</v>
      </c>
      <c r="D174" s="449">
        <f t="shared" si="23"/>
        <v>46169</v>
      </c>
      <c r="E174" s="454" t="s">
        <v>165</v>
      </c>
      <c r="F174" s="460" t="s">
        <v>1766</v>
      </c>
      <c r="G174" s="460" t="s">
        <v>1767</v>
      </c>
      <c r="H174" s="460"/>
      <c r="I174" s="460"/>
      <c r="J174" s="540">
        <v>600</v>
      </c>
      <c r="K174" s="540">
        <v>600</v>
      </c>
      <c r="L174" s="540"/>
      <c r="M174" s="545"/>
      <c r="N174" s="564">
        <f>J174*INDEX([2]Pedidos!$Q:$Q,MATCH(F174,[2]Pedidos!$E:$E,0))</f>
        <v>720</v>
      </c>
      <c r="O174" s="564">
        <f>K174*INDEX([2]Pedidos!$Q:$Q,MATCH(G174,[2]Pedidos!$E:$E,0))</f>
        <v>510</v>
      </c>
      <c r="P174" s="564" t="e">
        <f>M174*INDEX([2]Pedidos!$Q:$Q,MATCH(H174,[2]Pedidos!$E:$E,0))</f>
        <v>#N/A</v>
      </c>
    </row>
    <row r="175" spans="1:20" x14ac:dyDescent="0.25">
      <c r="A175" s="753"/>
      <c r="C175" s="452" t="s">
        <v>1832</v>
      </c>
      <c r="D175" s="449">
        <f t="shared" si="23"/>
        <v>46169</v>
      </c>
      <c r="E175" s="454" t="s">
        <v>166</v>
      </c>
      <c r="F175" s="460" t="s">
        <v>1766</v>
      </c>
      <c r="G175" s="460" t="s">
        <v>1767</v>
      </c>
      <c r="H175" s="460"/>
      <c r="I175" s="460"/>
      <c r="J175" s="540">
        <v>600</v>
      </c>
      <c r="K175" s="540">
        <v>600</v>
      </c>
      <c r="L175" s="540"/>
      <c r="M175" s="545"/>
      <c r="N175" s="564">
        <f>J175*INDEX([2]Pedidos!$Q:$Q,MATCH(F175,[2]Pedidos!$E:$E,0))</f>
        <v>720</v>
      </c>
      <c r="O175" s="564">
        <f>K175*INDEX([2]Pedidos!$Q:$Q,MATCH(G175,[2]Pedidos!$E:$E,0))</f>
        <v>510</v>
      </c>
      <c r="P175" s="564" t="e">
        <f>M175*INDEX([2]Pedidos!$Q:$Q,MATCH(H175,[2]Pedidos!$E:$E,0))</f>
        <v>#N/A</v>
      </c>
    </row>
    <row r="176" spans="1:20" x14ac:dyDescent="0.25">
      <c r="A176" s="753"/>
      <c r="C176" s="452" t="s">
        <v>1832</v>
      </c>
      <c r="D176" s="449">
        <f t="shared" si="23"/>
        <v>46169</v>
      </c>
      <c r="E176" s="454" t="s">
        <v>576</v>
      </c>
      <c r="F176" s="517"/>
      <c r="G176" s="512"/>
      <c r="H176" s="512"/>
      <c r="I176" s="512"/>
      <c r="J176" s="554" cm="1">
        <f t="array" aca="1" ref="J176" ca="1">IFERROR(_xlfn.LET(_xlpm.produto,TRIM(F176)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76" s="554" cm="1">
        <f t="array" aca="1" ref="K176" ca="1">IFERROR(_xlfn.LET(_xlpm.produto,TRIM(G176)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76" s="554"/>
      <c r="M176" s="554"/>
      <c r="N176" s="556"/>
      <c r="O176" s="556"/>
      <c r="P176" s="556"/>
    </row>
    <row r="177" spans="1:20" x14ac:dyDescent="0.25">
      <c r="A177" s="753"/>
      <c r="C177" s="452" t="s">
        <v>1832</v>
      </c>
      <c r="D177" s="449">
        <f t="shared" si="23"/>
        <v>46169</v>
      </c>
      <c r="E177" s="454" t="s">
        <v>167</v>
      </c>
      <c r="F177" s="460"/>
      <c r="G177" s="460" t="s">
        <v>1767</v>
      </c>
      <c r="H177" s="460"/>
      <c r="I177" s="460"/>
      <c r="J177" s="540">
        <v>600</v>
      </c>
      <c r="K177" s="540">
        <v>600</v>
      </c>
      <c r="L177" s="540"/>
      <c r="M177" s="545"/>
      <c r="N177" s="565" t="e">
        <f>J177*INDEX([2]Pedidos!$Q:$Q,MATCH(F177,[2]Pedidos!$E:$E,0))</f>
        <v>#N/A</v>
      </c>
      <c r="O177" s="565">
        <f>K177*INDEX([2]Pedidos!$Q:$Q,MATCH(G177,[2]Pedidos!$E:$E,0))</f>
        <v>510</v>
      </c>
      <c r="P177" s="565" t="e">
        <f>M177*INDEX([2]Pedidos!$Q:$Q,MATCH(H177,[2]Pedidos!$E:$E,0))</f>
        <v>#N/A</v>
      </c>
    </row>
    <row r="178" spans="1:20" x14ac:dyDescent="0.25">
      <c r="A178" s="753"/>
      <c r="C178" s="452" t="s">
        <v>1832</v>
      </c>
      <c r="D178" s="449">
        <f t="shared" si="23"/>
        <v>46169</v>
      </c>
      <c r="E178" s="454" t="s">
        <v>168</v>
      </c>
      <c r="F178" s="460"/>
      <c r="G178" s="460" t="s">
        <v>1767</v>
      </c>
      <c r="H178" s="460"/>
      <c r="I178" s="460"/>
      <c r="J178" s="540">
        <v>600</v>
      </c>
      <c r="K178" s="540">
        <v>600</v>
      </c>
      <c r="L178" s="540"/>
      <c r="M178" s="545"/>
      <c r="N178" s="565" t="e">
        <f>J178*INDEX([2]Pedidos!$Q:$Q,MATCH(F178,[2]Pedidos!$E:$E,0))</f>
        <v>#N/A</v>
      </c>
      <c r="O178" s="565">
        <f>K178*INDEX([2]Pedidos!$Q:$Q,MATCH(G178,[2]Pedidos!$E:$E,0))</f>
        <v>510</v>
      </c>
      <c r="P178" s="565" t="e">
        <f>M178*INDEX([2]Pedidos!$Q:$Q,MATCH(H178,[2]Pedidos!$E:$E,0))</f>
        <v>#N/A</v>
      </c>
    </row>
    <row r="179" spans="1:20" x14ac:dyDescent="0.25">
      <c r="A179" s="753"/>
      <c r="C179" s="452" t="s">
        <v>1832</v>
      </c>
      <c r="D179" s="449">
        <f t="shared" si="23"/>
        <v>46169</v>
      </c>
      <c r="E179" s="454" t="s">
        <v>169</v>
      </c>
      <c r="F179" s="460"/>
      <c r="G179" s="460" t="s">
        <v>1767</v>
      </c>
      <c r="H179" s="460"/>
      <c r="I179" s="460"/>
      <c r="J179" s="540">
        <v>600</v>
      </c>
      <c r="K179" s="540">
        <v>600</v>
      </c>
      <c r="L179" s="540"/>
      <c r="M179" s="545"/>
      <c r="N179" s="565" t="e">
        <f>J179*INDEX([2]Pedidos!$Q:$Q,MATCH(F179,[2]Pedidos!$E:$E,0))</f>
        <v>#N/A</v>
      </c>
      <c r="O179" s="565">
        <f>K179*INDEX([2]Pedidos!$Q:$Q,MATCH(G179,[2]Pedidos!$E:$E,0))</f>
        <v>510</v>
      </c>
      <c r="P179" s="565" t="e">
        <f>M179*INDEX([2]Pedidos!$Q:$Q,MATCH(H179,[2]Pedidos!$E:$E,0))</f>
        <v>#N/A</v>
      </c>
    </row>
    <row r="180" spans="1:20" x14ac:dyDescent="0.25">
      <c r="A180" s="753"/>
      <c r="C180" s="452" t="s">
        <v>1832</v>
      </c>
      <c r="D180" s="449">
        <f t="shared" si="23"/>
        <v>46169</v>
      </c>
      <c r="E180" s="454" t="s">
        <v>170</v>
      </c>
      <c r="F180" s="460"/>
      <c r="G180" s="460" t="s">
        <v>1767</v>
      </c>
      <c r="H180" s="460"/>
      <c r="I180" s="460"/>
      <c r="J180" s="540">
        <v>600</v>
      </c>
      <c r="K180" s="540">
        <v>600</v>
      </c>
      <c r="L180" s="540"/>
      <c r="M180" s="545"/>
      <c r="N180" s="566" t="e">
        <f>J180*INDEX([2]Pedidos!$Q:$Q,MATCH(F180,[2]Pedidos!$E:$E,0))</f>
        <v>#N/A</v>
      </c>
      <c r="O180" s="566">
        <f>K180*INDEX([2]Pedidos!$Q:$Q,MATCH(G180,[2]Pedidos!$E:$E,0))</f>
        <v>510</v>
      </c>
      <c r="P180" s="566" t="e">
        <f>M180*INDEX([2]Pedidos!$Q:$Q,MATCH(H180,[2]Pedidos!$E:$E,0))</f>
        <v>#N/A</v>
      </c>
    </row>
    <row r="181" spans="1:20" x14ac:dyDescent="0.25">
      <c r="A181" s="753"/>
      <c r="C181" s="452" t="s">
        <v>1832</v>
      </c>
      <c r="D181" s="449">
        <f t="shared" si="23"/>
        <v>46169</v>
      </c>
      <c r="E181" s="454" t="s">
        <v>585</v>
      </c>
      <c r="F181" s="505"/>
      <c r="G181" s="505"/>
      <c r="H181" s="516"/>
      <c r="I181" s="516"/>
      <c r="J181" s="516"/>
      <c r="K181" s="516"/>
      <c r="L181" s="516"/>
      <c r="M181" s="516"/>
      <c r="N181" s="557"/>
      <c r="O181" s="557"/>
      <c r="P181" s="557"/>
    </row>
    <row r="182" spans="1:20" x14ac:dyDescent="0.25">
      <c r="A182" s="753"/>
      <c r="C182" s="448" t="s">
        <v>1832</v>
      </c>
      <c r="D182" s="449">
        <f t="shared" si="23"/>
        <v>46169</v>
      </c>
      <c r="E182" s="455" t="s">
        <v>574</v>
      </c>
      <c r="F182" s="505"/>
      <c r="G182" s="505"/>
      <c r="H182" s="516"/>
      <c r="I182" s="516"/>
      <c r="J182" s="516"/>
      <c r="K182" s="516"/>
      <c r="L182" s="516"/>
      <c r="M182" s="516"/>
      <c r="N182" s="557"/>
      <c r="O182" s="557"/>
      <c r="P182" s="557"/>
    </row>
    <row r="183" spans="1:20" x14ac:dyDescent="0.25">
      <c r="A183" s="753"/>
      <c r="C183" s="448" t="s">
        <v>1832</v>
      </c>
      <c r="D183" s="449">
        <f t="shared" si="23"/>
        <v>46169</v>
      </c>
      <c r="E183" s="455" t="s">
        <v>575</v>
      </c>
      <c r="F183" s="506"/>
      <c r="G183" s="506"/>
      <c r="H183" s="516"/>
      <c r="I183" s="516"/>
      <c r="J183" s="516"/>
      <c r="K183" s="516"/>
      <c r="L183" s="516"/>
      <c r="M183" s="516"/>
      <c r="N183" s="557"/>
      <c r="O183" s="557"/>
      <c r="P183" s="557"/>
    </row>
    <row r="184" spans="1:20" x14ac:dyDescent="0.25">
      <c r="A184" s="753"/>
      <c r="C184" s="448" t="s">
        <v>1832</v>
      </c>
      <c r="D184" s="449">
        <f t="shared" si="23"/>
        <v>46169</v>
      </c>
      <c r="E184" s="503" t="s">
        <v>583</v>
      </c>
      <c r="F184" s="506"/>
      <c r="G184" s="506"/>
      <c r="H184" s="516"/>
      <c r="I184" s="516"/>
      <c r="J184" s="516"/>
      <c r="K184" s="516"/>
      <c r="L184" s="516"/>
      <c r="M184" s="516"/>
      <c r="N184" s="557"/>
      <c r="O184" s="557"/>
      <c r="P184" s="557"/>
    </row>
    <row r="185" spans="1:20" ht="15.75" thickBot="1" x14ac:dyDescent="0.3">
      <c r="A185" s="753"/>
      <c r="C185" s="450" t="s">
        <v>1832</v>
      </c>
      <c r="D185" s="451">
        <f t="shared" si="23"/>
        <v>46169</v>
      </c>
      <c r="E185" s="459" t="s">
        <v>584</v>
      </c>
      <c r="F185" s="493"/>
      <c r="G185" s="493"/>
      <c r="H185" s="513"/>
      <c r="I185" s="513"/>
      <c r="J185" s="513"/>
      <c r="K185" s="513"/>
      <c r="L185" s="513"/>
      <c r="M185" s="513"/>
      <c r="N185" s="558"/>
      <c r="O185" s="558"/>
      <c r="P185" s="558"/>
    </row>
    <row r="186" spans="1:20" ht="4.5" customHeight="1" thickBot="1" x14ac:dyDescent="0.3">
      <c r="A186" s="753"/>
      <c r="J186" s="445"/>
      <c r="K186" s="445"/>
      <c r="L186" s="445"/>
      <c r="N186" s="559"/>
      <c r="O186" s="559"/>
      <c r="P186" s="559"/>
      <c r="S186" s="3"/>
      <c r="T186" s="3"/>
    </row>
    <row r="187" spans="1:20" ht="15.75" thickBot="1" x14ac:dyDescent="0.3">
      <c r="A187" s="753"/>
      <c r="C187" s="538"/>
      <c r="D187" s="539"/>
      <c r="E187" s="539"/>
      <c r="F187" s="539"/>
      <c r="G187" s="539"/>
      <c r="H187" s="539"/>
      <c r="I187" s="539"/>
      <c r="J187" s="606">
        <f t="shared" ref="J187:M187" si="24">_xlfn.AGGREGATE(9,6,J188:J203)</f>
        <v>10164</v>
      </c>
      <c r="K187" s="607">
        <f t="shared" si="24"/>
        <v>5200.0000000000009</v>
      </c>
      <c r="L187" s="607"/>
      <c r="M187" s="544">
        <f t="shared" si="24"/>
        <v>0</v>
      </c>
      <c r="N187" s="560">
        <f t="shared" ref="N187:P187" si="25">_xlfn.AGGREGATE(9,6,N188:N203)</f>
        <v>0</v>
      </c>
      <c r="O187" s="561">
        <f t="shared" si="25"/>
        <v>4420</v>
      </c>
      <c r="P187" s="562">
        <f t="shared" si="25"/>
        <v>0</v>
      </c>
      <c r="Q187" s="548">
        <f>SUM(J187:M187)</f>
        <v>15364</v>
      </c>
      <c r="R187" s="549">
        <f>SUM(N187:P187)</f>
        <v>4420</v>
      </c>
      <c r="S187" s="3"/>
      <c r="T187" s="3"/>
    </row>
    <row r="188" spans="1:20" x14ac:dyDescent="0.25">
      <c r="A188" s="753"/>
      <c r="C188" s="446" t="s">
        <v>1825</v>
      </c>
      <c r="D188" s="497">
        <f>D185+1</f>
        <v>46170</v>
      </c>
      <c r="E188" s="498" t="s">
        <v>573</v>
      </c>
      <c r="F188" s="681"/>
      <c r="G188" s="681" t="s">
        <v>1767</v>
      </c>
      <c r="H188" s="681"/>
      <c r="I188" s="725"/>
      <c r="J188" s="683">
        <f t="shared" ref="J188:J199" si="26">ROUND((60000-9200)/70,0)</f>
        <v>726</v>
      </c>
      <c r="K188" s="683">
        <f>(16000-5400-5400)/14</f>
        <v>371.42857142857144</v>
      </c>
      <c r="L188" s="683"/>
      <c r="M188" s="683"/>
      <c r="N188" s="695" t="e">
        <f>J188*INDEX([2]Pedidos!$Q:$Q,MATCH(F188,[2]Pedidos!$E:$E,0))</f>
        <v>#N/A</v>
      </c>
      <c r="O188" s="695">
        <f>K188*INDEX([2]Pedidos!$Q:$Q,MATCH(G188,[2]Pedidos!$E:$E,0))</f>
        <v>315.71428571428572</v>
      </c>
      <c r="P188" s="695" t="e">
        <f>M188*INDEX([2]Pedidos!$Q:$Q,MATCH(H188,[2]Pedidos!$E:$E,0))</f>
        <v>#N/A</v>
      </c>
    </row>
    <row r="189" spans="1:20" x14ac:dyDescent="0.25">
      <c r="A189" s="753"/>
      <c r="C189" s="452" t="s">
        <v>1825</v>
      </c>
      <c r="D189" s="499">
        <f t="shared" ref="D189:D203" si="27">D188</f>
        <v>46170</v>
      </c>
      <c r="E189" s="500" t="s">
        <v>162</v>
      </c>
      <c r="F189" s="460"/>
      <c r="G189" s="460" t="s">
        <v>1767</v>
      </c>
      <c r="H189" s="460"/>
      <c r="I189" s="460"/>
      <c r="J189" s="540">
        <f t="shared" si="26"/>
        <v>726</v>
      </c>
      <c r="K189" s="540">
        <f t="shared" ref="K189:K192" si="28">(16000-5400-5400)/14</f>
        <v>371.42857142857144</v>
      </c>
      <c r="L189" s="540"/>
      <c r="M189" s="540"/>
      <c r="N189" s="555" t="e">
        <f>J189*INDEX([2]Pedidos!$Q:$Q,MATCH(F189,[2]Pedidos!$E:$E,0))</f>
        <v>#N/A</v>
      </c>
      <c r="O189" s="555">
        <f>K189*INDEX([2]Pedidos!$Q:$Q,MATCH(G189,[2]Pedidos!$E:$E,0))</f>
        <v>315.71428571428572</v>
      </c>
      <c r="P189" s="555" t="e">
        <f>M189*INDEX([2]Pedidos!$Q:$Q,MATCH(H189,[2]Pedidos!$E:$E,0))</f>
        <v>#N/A</v>
      </c>
    </row>
    <row r="190" spans="1:20" x14ac:dyDescent="0.25">
      <c r="A190" s="753"/>
      <c r="C190" s="452" t="s">
        <v>1825</v>
      </c>
      <c r="D190" s="449">
        <f t="shared" si="27"/>
        <v>46170</v>
      </c>
      <c r="E190" s="454" t="s">
        <v>163</v>
      </c>
      <c r="F190" s="460"/>
      <c r="G190" s="460" t="s">
        <v>1767</v>
      </c>
      <c r="H190" s="460"/>
      <c r="I190" s="460"/>
      <c r="J190" s="540">
        <f t="shared" si="26"/>
        <v>726</v>
      </c>
      <c r="K190" s="540">
        <f t="shared" si="28"/>
        <v>371.42857142857144</v>
      </c>
      <c r="L190" s="540"/>
      <c r="M190" s="540"/>
      <c r="N190" s="564" t="e">
        <f>J190*INDEX([2]Pedidos!$Q:$Q,MATCH(F190,[2]Pedidos!$E:$E,0))</f>
        <v>#N/A</v>
      </c>
      <c r="O190" s="564">
        <f>K190*INDEX([2]Pedidos!$Q:$Q,MATCH(G190,[2]Pedidos!$E:$E,0))</f>
        <v>315.71428571428572</v>
      </c>
      <c r="P190" s="564" t="e">
        <f>M190*INDEX([2]Pedidos!$Q:$Q,MATCH(H190,[2]Pedidos!$E:$E,0))</f>
        <v>#N/A</v>
      </c>
    </row>
    <row r="191" spans="1:20" x14ac:dyDescent="0.25">
      <c r="A191" s="753"/>
      <c r="C191" s="452" t="s">
        <v>1825</v>
      </c>
      <c r="D191" s="449">
        <f t="shared" si="27"/>
        <v>46170</v>
      </c>
      <c r="E191" s="454" t="s">
        <v>164</v>
      </c>
      <c r="F191" s="460"/>
      <c r="G191" s="460" t="s">
        <v>1767</v>
      </c>
      <c r="H191" s="460"/>
      <c r="I191" s="460"/>
      <c r="J191" s="540">
        <f t="shared" si="26"/>
        <v>726</v>
      </c>
      <c r="K191" s="540">
        <f t="shared" si="28"/>
        <v>371.42857142857144</v>
      </c>
      <c r="L191" s="540"/>
      <c r="M191" s="540"/>
      <c r="N191" s="564" t="e">
        <f>J191*INDEX([2]Pedidos!$Q:$Q,MATCH(F191,[2]Pedidos!$E:$E,0))</f>
        <v>#N/A</v>
      </c>
      <c r="O191" s="564">
        <f>K191*INDEX([2]Pedidos!$Q:$Q,MATCH(G191,[2]Pedidos!$E:$E,0))</f>
        <v>315.71428571428572</v>
      </c>
      <c r="P191" s="564" t="e">
        <f>M191*INDEX([2]Pedidos!$Q:$Q,MATCH(H191,[2]Pedidos!$E:$E,0))</f>
        <v>#N/A</v>
      </c>
    </row>
    <row r="192" spans="1:20" x14ac:dyDescent="0.25">
      <c r="A192" s="753"/>
      <c r="C192" s="452" t="s">
        <v>1825</v>
      </c>
      <c r="D192" s="449">
        <f t="shared" si="27"/>
        <v>46170</v>
      </c>
      <c r="E192" s="454" t="s">
        <v>165</v>
      </c>
      <c r="F192" s="460"/>
      <c r="G192" s="460" t="s">
        <v>1767</v>
      </c>
      <c r="H192" s="460"/>
      <c r="I192" s="460"/>
      <c r="J192" s="540">
        <f t="shared" si="26"/>
        <v>726</v>
      </c>
      <c r="K192" s="540">
        <f t="shared" si="28"/>
        <v>371.42857142857144</v>
      </c>
      <c r="L192" s="540"/>
      <c r="M192" s="540"/>
      <c r="N192" s="564" t="e">
        <f>J192*INDEX([2]Pedidos!$Q:$Q,MATCH(F192,[2]Pedidos!$E:$E,0))</f>
        <v>#N/A</v>
      </c>
      <c r="O192" s="564">
        <f>K192*INDEX([2]Pedidos!$Q:$Q,MATCH(G192,[2]Pedidos!$E:$E,0))</f>
        <v>315.71428571428572</v>
      </c>
      <c r="P192" s="564" t="e">
        <f>M192*INDEX([2]Pedidos!$Q:$Q,MATCH(H192,[2]Pedidos!$E:$E,0))</f>
        <v>#N/A</v>
      </c>
    </row>
    <row r="193" spans="1:20" x14ac:dyDescent="0.25">
      <c r="A193" s="753"/>
      <c r="C193" s="452" t="s">
        <v>1825</v>
      </c>
      <c r="D193" s="449">
        <f t="shared" si="27"/>
        <v>46170</v>
      </c>
      <c r="E193" s="454" t="s">
        <v>166</v>
      </c>
      <c r="F193" s="512"/>
      <c r="G193" s="512"/>
      <c r="H193" s="512"/>
      <c r="I193" s="512"/>
      <c r="J193" s="682"/>
      <c r="K193" s="682"/>
      <c r="L193" s="682"/>
      <c r="M193" s="682"/>
      <c r="N193" s="556"/>
      <c r="O193" s="556"/>
      <c r="P193" s="556"/>
    </row>
    <row r="194" spans="1:20" x14ac:dyDescent="0.25">
      <c r="A194" s="753"/>
      <c r="C194" s="452" t="s">
        <v>1825</v>
      </c>
      <c r="D194" s="449">
        <f t="shared" si="27"/>
        <v>46170</v>
      </c>
      <c r="E194" s="454" t="s">
        <v>576</v>
      </c>
      <c r="F194" s="461"/>
      <c r="G194" s="460" t="s">
        <v>1767</v>
      </c>
      <c r="H194" s="460"/>
      <c r="I194" s="460"/>
      <c r="J194" s="679">
        <f t="shared" si="26"/>
        <v>726</v>
      </c>
      <c r="K194" s="679">
        <f t="shared" ref="K194:K203" si="29">(16000-5400-5400)/14</f>
        <v>371.42857142857144</v>
      </c>
      <c r="L194" s="679"/>
      <c r="M194" s="679"/>
      <c r="N194" s="565" t="e">
        <f>J194*INDEX([2]Pedidos!$Q:$Q,MATCH(F194,[2]Pedidos!$E:$E,0))</f>
        <v>#N/A</v>
      </c>
      <c r="O194" s="565">
        <f>K194*INDEX([2]Pedidos!$Q:$Q,MATCH(G194,[2]Pedidos!$E:$E,0))</f>
        <v>315.71428571428572</v>
      </c>
      <c r="P194" s="565" t="e">
        <f>M194*INDEX([2]Pedidos!$Q:$Q,MATCH(H194,[2]Pedidos!$E:$E,0))</f>
        <v>#N/A</v>
      </c>
    </row>
    <row r="195" spans="1:20" x14ac:dyDescent="0.25">
      <c r="A195" s="753"/>
      <c r="C195" s="452" t="s">
        <v>1825</v>
      </c>
      <c r="D195" s="449">
        <f t="shared" si="27"/>
        <v>46170</v>
      </c>
      <c r="E195" s="454" t="s">
        <v>167</v>
      </c>
      <c r="F195" s="460"/>
      <c r="G195" s="460" t="s">
        <v>1767</v>
      </c>
      <c r="H195" s="460"/>
      <c r="I195" s="460"/>
      <c r="J195" s="540">
        <f t="shared" si="26"/>
        <v>726</v>
      </c>
      <c r="K195" s="540">
        <f t="shared" si="29"/>
        <v>371.42857142857144</v>
      </c>
      <c r="L195" s="540"/>
      <c r="M195" s="540"/>
      <c r="N195" s="565" t="e">
        <f>J195*INDEX([2]Pedidos!$Q:$Q,MATCH(F195,[2]Pedidos!$E:$E,0))</f>
        <v>#N/A</v>
      </c>
      <c r="O195" s="565">
        <f>K195*INDEX([2]Pedidos!$Q:$Q,MATCH(G195,[2]Pedidos!$E:$E,0))</f>
        <v>315.71428571428572</v>
      </c>
      <c r="P195" s="565" t="e">
        <f>M195*INDEX([2]Pedidos!$Q:$Q,MATCH(H195,[2]Pedidos!$E:$E,0))</f>
        <v>#N/A</v>
      </c>
    </row>
    <row r="196" spans="1:20" x14ac:dyDescent="0.25">
      <c r="A196" s="753"/>
      <c r="C196" s="452" t="s">
        <v>1825</v>
      </c>
      <c r="D196" s="449">
        <f t="shared" si="27"/>
        <v>46170</v>
      </c>
      <c r="E196" s="454" t="s">
        <v>168</v>
      </c>
      <c r="F196" s="460"/>
      <c r="G196" s="460" t="s">
        <v>1767</v>
      </c>
      <c r="H196" s="460"/>
      <c r="I196" s="460"/>
      <c r="J196" s="540">
        <f t="shared" si="26"/>
        <v>726</v>
      </c>
      <c r="K196" s="540">
        <f t="shared" si="29"/>
        <v>371.42857142857144</v>
      </c>
      <c r="L196" s="540"/>
      <c r="M196" s="540"/>
      <c r="N196" s="565" t="e">
        <f>J196*INDEX([2]Pedidos!$Q:$Q,MATCH(F196,[2]Pedidos!$E:$E,0))</f>
        <v>#N/A</v>
      </c>
      <c r="O196" s="565">
        <f>K196*INDEX([2]Pedidos!$Q:$Q,MATCH(G196,[2]Pedidos!$E:$E,0))</f>
        <v>315.71428571428572</v>
      </c>
      <c r="P196" s="565" t="e">
        <f>M196*INDEX([2]Pedidos!$Q:$Q,MATCH(H196,[2]Pedidos!$E:$E,0))</f>
        <v>#N/A</v>
      </c>
    </row>
    <row r="197" spans="1:20" x14ac:dyDescent="0.25">
      <c r="A197" s="753"/>
      <c r="C197" s="452" t="s">
        <v>1825</v>
      </c>
      <c r="D197" s="449">
        <f t="shared" si="27"/>
        <v>46170</v>
      </c>
      <c r="E197" s="454" t="s">
        <v>169</v>
      </c>
      <c r="F197" s="460"/>
      <c r="G197" s="460" t="s">
        <v>1767</v>
      </c>
      <c r="H197" s="460"/>
      <c r="I197" s="460"/>
      <c r="J197" s="540">
        <f t="shared" si="26"/>
        <v>726</v>
      </c>
      <c r="K197" s="540">
        <f t="shared" si="29"/>
        <v>371.42857142857144</v>
      </c>
      <c r="L197" s="540"/>
      <c r="M197" s="540"/>
      <c r="N197" s="565" t="e">
        <f>J197*INDEX([2]Pedidos!$Q:$Q,MATCH(F197,[2]Pedidos!$E:$E,0))</f>
        <v>#N/A</v>
      </c>
      <c r="O197" s="565">
        <f>K197*INDEX([2]Pedidos!$Q:$Q,MATCH(G197,[2]Pedidos!$E:$E,0))</f>
        <v>315.71428571428572</v>
      </c>
      <c r="P197" s="565" t="e">
        <f>M197*INDEX([2]Pedidos!$Q:$Q,MATCH(H197,[2]Pedidos!$E:$E,0))</f>
        <v>#N/A</v>
      </c>
    </row>
    <row r="198" spans="1:20" x14ac:dyDescent="0.25">
      <c r="A198" s="753"/>
      <c r="C198" s="452" t="s">
        <v>1825</v>
      </c>
      <c r="D198" s="449">
        <f t="shared" si="27"/>
        <v>46170</v>
      </c>
      <c r="E198" s="454" t="s">
        <v>170</v>
      </c>
      <c r="F198" s="460"/>
      <c r="G198" s="460" t="s">
        <v>1767</v>
      </c>
      <c r="H198" s="460"/>
      <c r="I198" s="460"/>
      <c r="J198" s="540">
        <f t="shared" si="26"/>
        <v>726</v>
      </c>
      <c r="K198" s="540">
        <f t="shared" si="29"/>
        <v>371.42857142857144</v>
      </c>
      <c r="L198" s="540"/>
      <c r="M198" s="540"/>
      <c r="N198" s="566" t="e">
        <f>J198*INDEX([2]Pedidos!$Q:$Q,MATCH(F198,[2]Pedidos!$E:$E,0))</f>
        <v>#N/A</v>
      </c>
      <c r="O198" s="566">
        <f>K198*INDEX([2]Pedidos!$Q:$Q,MATCH(G198,[2]Pedidos!$E:$E,0))</f>
        <v>315.71428571428572</v>
      </c>
      <c r="P198" s="566" t="e">
        <f>M198*INDEX([2]Pedidos!$Q:$Q,MATCH(H198,[2]Pedidos!$E:$E,0))</f>
        <v>#N/A</v>
      </c>
    </row>
    <row r="199" spans="1:20" x14ac:dyDescent="0.25">
      <c r="A199" s="753"/>
      <c r="C199" s="452" t="s">
        <v>1825</v>
      </c>
      <c r="D199" s="449">
        <f t="shared" si="27"/>
        <v>46170</v>
      </c>
      <c r="E199" s="454" t="s">
        <v>585</v>
      </c>
      <c r="F199" s="460"/>
      <c r="G199" s="460" t="s">
        <v>1767</v>
      </c>
      <c r="H199" s="460"/>
      <c r="I199" s="725"/>
      <c r="J199" s="684">
        <f t="shared" si="26"/>
        <v>726</v>
      </c>
      <c r="K199" s="684">
        <f t="shared" si="29"/>
        <v>371.42857142857144</v>
      </c>
      <c r="L199" s="684"/>
      <c r="M199" s="684"/>
      <c r="N199" s="566" t="e">
        <f>J199*INDEX([2]Pedidos!$Q:$Q,MATCH(F199,[2]Pedidos!$E:$E,0))</f>
        <v>#N/A</v>
      </c>
      <c r="O199" s="566">
        <f>K199*INDEX([2]Pedidos!$Q:$Q,MATCH(G199,[2]Pedidos!$E:$E,0))</f>
        <v>315.71428571428572</v>
      </c>
      <c r="P199" s="566" t="e">
        <f>M199*INDEX([2]Pedidos!$Q:$Q,MATCH(H199,[2]Pedidos!$E:$E,0))</f>
        <v>#N/A</v>
      </c>
    </row>
    <row r="200" spans="1:20" x14ac:dyDescent="0.25">
      <c r="A200" s="753"/>
      <c r="C200" s="448" t="s">
        <v>1825</v>
      </c>
      <c r="D200" s="449">
        <f t="shared" si="27"/>
        <v>46170</v>
      </c>
      <c r="E200" s="455" t="s">
        <v>574</v>
      </c>
      <c r="F200" s="512"/>
      <c r="G200" s="512"/>
      <c r="H200" s="512"/>
      <c r="I200" s="537"/>
      <c r="J200" s="685"/>
      <c r="K200" s="685"/>
      <c r="L200" s="685"/>
      <c r="M200" s="685"/>
      <c r="N200" s="556"/>
      <c r="O200" s="556"/>
      <c r="P200" s="556"/>
    </row>
    <row r="201" spans="1:20" x14ac:dyDescent="0.25">
      <c r="A201" s="753"/>
      <c r="C201" s="448" t="s">
        <v>1825</v>
      </c>
      <c r="D201" s="449">
        <f t="shared" si="27"/>
        <v>46170</v>
      </c>
      <c r="E201" s="455" t="s">
        <v>575</v>
      </c>
      <c r="F201" s="504"/>
      <c r="G201" s="504" t="s">
        <v>1767</v>
      </c>
      <c r="H201" s="504"/>
      <c r="I201" s="504"/>
      <c r="J201" s="684">
        <f>ROUND((60000-9200)/70,0)</f>
        <v>726</v>
      </c>
      <c r="K201" s="684">
        <f t="shared" si="29"/>
        <v>371.42857142857144</v>
      </c>
      <c r="L201" s="684"/>
      <c r="M201" s="684"/>
      <c r="N201" s="566" t="e">
        <f>J201*INDEX([2]Pedidos!$Q:$Q,MATCH(F201,[2]Pedidos!$E:$E,0))</f>
        <v>#N/A</v>
      </c>
      <c r="O201" s="566">
        <f>K201*INDEX([2]Pedidos!$Q:$Q,MATCH(G201,[2]Pedidos!$E:$E,0))</f>
        <v>315.71428571428572</v>
      </c>
      <c r="P201" s="566" t="e">
        <f>M201*INDEX([2]Pedidos!$Q:$Q,MATCH(H201,[2]Pedidos!$E:$E,0))</f>
        <v>#N/A</v>
      </c>
    </row>
    <row r="202" spans="1:20" x14ac:dyDescent="0.25">
      <c r="A202" s="753"/>
      <c r="C202" s="448" t="s">
        <v>1825</v>
      </c>
      <c r="D202" s="449">
        <f t="shared" si="27"/>
        <v>46170</v>
      </c>
      <c r="E202" s="503" t="s">
        <v>583</v>
      </c>
      <c r="F202" s="504"/>
      <c r="G202" s="504" t="s">
        <v>1767</v>
      </c>
      <c r="H202" s="504"/>
      <c r="I202" s="504"/>
      <c r="J202" s="684">
        <f t="shared" ref="J202:J203" si="30">ROUND((60000-9200)/70,0)</f>
        <v>726</v>
      </c>
      <c r="K202" s="684">
        <f t="shared" si="29"/>
        <v>371.42857142857144</v>
      </c>
      <c r="L202" s="684"/>
      <c r="M202" s="684"/>
      <c r="N202" s="566" t="e">
        <f>J202*INDEX([2]Pedidos!$Q:$Q,MATCH(F202,[2]Pedidos!$E:$E,0))</f>
        <v>#N/A</v>
      </c>
      <c r="O202" s="566">
        <f>K202*INDEX([2]Pedidos!$Q:$Q,MATCH(G202,[2]Pedidos!$E:$E,0))</f>
        <v>315.71428571428572</v>
      </c>
      <c r="P202" s="566" t="e">
        <f>M202*INDEX([2]Pedidos!$Q:$Q,MATCH(H202,[2]Pedidos!$E:$E,0))</f>
        <v>#N/A</v>
      </c>
    </row>
    <row r="203" spans="1:20" ht="15.75" thickBot="1" x14ac:dyDescent="0.3">
      <c r="A203" s="753"/>
      <c r="C203" s="450" t="s">
        <v>1825</v>
      </c>
      <c r="D203" s="451">
        <f t="shared" si="27"/>
        <v>46170</v>
      </c>
      <c r="E203" s="459" t="s">
        <v>584</v>
      </c>
      <c r="F203" s="680"/>
      <c r="G203" s="680" t="s">
        <v>1767</v>
      </c>
      <c r="H203" s="680"/>
      <c r="I203" s="680"/>
      <c r="J203" s="686">
        <f t="shared" si="30"/>
        <v>726</v>
      </c>
      <c r="K203" s="686">
        <f t="shared" si="29"/>
        <v>371.42857142857144</v>
      </c>
      <c r="L203" s="686"/>
      <c r="M203" s="686"/>
      <c r="N203" s="696" t="e">
        <f>J203*INDEX([2]Pedidos!$Q:$Q,MATCH(F203,[2]Pedidos!$E:$E,0))</f>
        <v>#N/A</v>
      </c>
      <c r="O203" s="696">
        <f>K203*INDEX([2]Pedidos!$Q:$Q,MATCH(G203,[2]Pedidos!$E:$E,0))</f>
        <v>315.71428571428572</v>
      </c>
      <c r="P203" s="696" t="e">
        <f>M203*INDEX([2]Pedidos!$Q:$Q,MATCH(H203,[2]Pedidos!$E:$E,0))</f>
        <v>#N/A</v>
      </c>
    </row>
    <row r="204" spans="1:20" ht="4.5" customHeight="1" thickBot="1" x14ac:dyDescent="0.3">
      <c r="A204" s="753"/>
      <c r="J204" s="608"/>
      <c r="K204" s="608"/>
      <c r="L204" s="608"/>
      <c r="M204" s="420"/>
      <c r="N204" s="559"/>
      <c r="O204" s="559"/>
      <c r="P204" s="559"/>
      <c r="S204" s="3"/>
      <c r="T204" s="3"/>
    </row>
    <row r="205" spans="1:20" ht="15.75" thickBot="1" x14ac:dyDescent="0.3">
      <c r="A205" s="753"/>
      <c r="C205" s="546">
        <f ca="1">SUM(J133:M133,J151:M151,J169:M169,J187:M187,J205:M205)</f>
        <v>68594.666666666657</v>
      </c>
      <c r="D205" s="547">
        <f>SUM(R205,R187,R169,R151,R133)</f>
        <v>43816.666666666664</v>
      </c>
      <c r="E205" s="539"/>
      <c r="F205" s="539"/>
      <c r="G205" s="539"/>
      <c r="H205" s="539"/>
      <c r="I205" s="539"/>
      <c r="J205" s="606">
        <f t="shared" ref="J205:K205" si="31">_xlfn.AGGREGATE(9,6,J206:J221)</f>
        <v>10164</v>
      </c>
      <c r="K205" s="607">
        <f t="shared" si="31"/>
        <v>10666.666666666664</v>
      </c>
      <c r="L205" s="607"/>
      <c r="M205" s="544"/>
      <c r="N205" s="560">
        <f t="shared" ref="N205:P205" si="32">_xlfn.AGGREGATE(9,6,N206:N221)</f>
        <v>0</v>
      </c>
      <c r="O205" s="561">
        <f t="shared" si="32"/>
        <v>9066.6666666666661</v>
      </c>
      <c r="P205" s="562">
        <f t="shared" si="32"/>
        <v>0</v>
      </c>
      <c r="Q205" s="548">
        <f>SUM(J205:M205)</f>
        <v>20830.666666666664</v>
      </c>
      <c r="R205" s="549">
        <f>SUM(N205:P205)</f>
        <v>9066.6666666666661</v>
      </c>
      <c r="S205" s="3"/>
      <c r="T205" s="3"/>
    </row>
    <row r="206" spans="1:20" x14ac:dyDescent="0.25">
      <c r="A206" s="753"/>
      <c r="C206" s="446" t="s">
        <v>1826</v>
      </c>
      <c r="D206" s="497">
        <f>D203+1</f>
        <v>46171</v>
      </c>
      <c r="E206" s="498" t="s">
        <v>573</v>
      </c>
      <c r="F206" s="681"/>
      <c r="G206" s="681" t="s">
        <v>1824</v>
      </c>
      <c r="H206" s="460"/>
      <c r="I206" s="725"/>
      <c r="J206" s="683">
        <f t="shared" ref="J206:J210" si="33">ROUND((60000-9200)/70,0)</f>
        <v>726</v>
      </c>
      <c r="K206" s="683">
        <f>16000/21</f>
        <v>761.90476190476193</v>
      </c>
      <c r="L206" s="683"/>
      <c r="M206" s="683"/>
      <c r="N206" s="695" t="e">
        <f>J206*INDEX([2]Pedidos!$Q:$Q,MATCH(F206,[2]Pedidos!$E:$E,0))</f>
        <v>#N/A</v>
      </c>
      <c r="O206" s="695">
        <f>K206*INDEX([2]Pedidos!$Q:$Q,MATCH(G206,[2]Pedidos!$E:$E,0))</f>
        <v>647.61904761904759</v>
      </c>
      <c r="P206" s="695" t="e">
        <f>M206*INDEX([2]Pedidos!$Q:$Q,MATCH(H206,[2]Pedidos!$E:$E,0))</f>
        <v>#N/A</v>
      </c>
    </row>
    <row r="207" spans="1:20" x14ac:dyDescent="0.25">
      <c r="A207" s="753"/>
      <c r="C207" s="452" t="s">
        <v>1826</v>
      </c>
      <c r="D207" s="499">
        <f t="shared" ref="D207:D221" si="34">D206</f>
        <v>46171</v>
      </c>
      <c r="E207" s="500" t="s">
        <v>162</v>
      </c>
      <c r="F207" s="460"/>
      <c r="G207" s="460" t="s">
        <v>1824</v>
      </c>
      <c r="H207" s="460"/>
      <c r="I207" s="460"/>
      <c r="J207" s="540">
        <f t="shared" si="33"/>
        <v>726</v>
      </c>
      <c r="K207" s="540">
        <f t="shared" ref="K207:K221" si="35">16000/21</f>
        <v>761.90476190476193</v>
      </c>
      <c r="L207" s="540"/>
      <c r="M207" s="540"/>
      <c r="N207" s="555" t="e">
        <f>J207*INDEX([2]Pedidos!$Q:$Q,MATCH(F207,[2]Pedidos!$E:$E,0))</f>
        <v>#N/A</v>
      </c>
      <c r="O207" s="555">
        <f>K207*INDEX([2]Pedidos!$Q:$Q,MATCH(G207,[2]Pedidos!$E:$E,0))</f>
        <v>647.61904761904759</v>
      </c>
      <c r="P207" s="555" t="e">
        <f>M207*INDEX([2]Pedidos!$Q:$Q,MATCH(H207,[2]Pedidos!$E:$E,0))</f>
        <v>#N/A</v>
      </c>
    </row>
    <row r="208" spans="1:20" x14ac:dyDescent="0.25">
      <c r="A208" s="753"/>
      <c r="C208" s="452" t="s">
        <v>1826</v>
      </c>
      <c r="D208" s="449">
        <f t="shared" si="34"/>
        <v>46171</v>
      </c>
      <c r="E208" s="454" t="s">
        <v>163</v>
      </c>
      <c r="F208" s="460"/>
      <c r="G208" s="460" t="s">
        <v>1824</v>
      </c>
      <c r="H208" s="460"/>
      <c r="I208" s="460"/>
      <c r="J208" s="540">
        <f t="shared" si="33"/>
        <v>726</v>
      </c>
      <c r="K208" s="540">
        <f t="shared" si="35"/>
        <v>761.90476190476193</v>
      </c>
      <c r="L208" s="540"/>
      <c r="M208" s="540"/>
      <c r="N208" s="564" t="e">
        <f>J208*INDEX([2]Pedidos!$Q:$Q,MATCH(F208,[2]Pedidos!$E:$E,0))</f>
        <v>#N/A</v>
      </c>
      <c r="O208" s="564">
        <f>K208*INDEX([2]Pedidos!$Q:$Q,MATCH(G208,[2]Pedidos!$E:$E,0))</f>
        <v>647.61904761904759</v>
      </c>
      <c r="P208" s="564" t="e">
        <f>M208*INDEX([2]Pedidos!$Q:$Q,MATCH(H208,[2]Pedidos!$E:$E,0))</f>
        <v>#N/A</v>
      </c>
    </row>
    <row r="209" spans="1:20" x14ac:dyDescent="0.25">
      <c r="A209" s="753"/>
      <c r="C209" s="452" t="s">
        <v>1826</v>
      </c>
      <c r="D209" s="449">
        <f t="shared" si="34"/>
        <v>46171</v>
      </c>
      <c r="E209" s="454" t="s">
        <v>164</v>
      </c>
      <c r="F209" s="460"/>
      <c r="G209" s="460" t="s">
        <v>1824</v>
      </c>
      <c r="H209" s="460"/>
      <c r="I209" s="460"/>
      <c r="J209" s="540">
        <f t="shared" si="33"/>
        <v>726</v>
      </c>
      <c r="K209" s="540">
        <f t="shared" si="35"/>
        <v>761.90476190476193</v>
      </c>
      <c r="L209" s="540"/>
      <c r="M209" s="540"/>
      <c r="N209" s="564" t="e">
        <f>J209*INDEX([2]Pedidos!$Q:$Q,MATCH(F209,[2]Pedidos!$E:$E,0))</f>
        <v>#N/A</v>
      </c>
      <c r="O209" s="564">
        <f>K209*INDEX([2]Pedidos!$Q:$Q,MATCH(G209,[2]Pedidos!$E:$E,0))</f>
        <v>647.61904761904759</v>
      </c>
      <c r="P209" s="564" t="e">
        <f>M209*INDEX([2]Pedidos!$Q:$Q,MATCH(H209,[2]Pedidos!$E:$E,0))</f>
        <v>#N/A</v>
      </c>
    </row>
    <row r="210" spans="1:20" x14ac:dyDescent="0.25">
      <c r="A210" s="753"/>
      <c r="C210" s="452" t="s">
        <v>1826</v>
      </c>
      <c r="D210" s="449">
        <f t="shared" si="34"/>
        <v>46171</v>
      </c>
      <c r="E210" s="454" t="s">
        <v>165</v>
      </c>
      <c r="F210" s="460"/>
      <c r="G210" s="460" t="s">
        <v>1824</v>
      </c>
      <c r="H210" s="460"/>
      <c r="I210" s="460"/>
      <c r="J210" s="540">
        <f t="shared" si="33"/>
        <v>726</v>
      </c>
      <c r="K210" s="540">
        <f t="shared" si="35"/>
        <v>761.90476190476193</v>
      </c>
      <c r="L210" s="540"/>
      <c r="M210" s="540"/>
      <c r="N210" s="564" t="e">
        <f>J210*INDEX([2]Pedidos!$Q:$Q,MATCH(F210,[2]Pedidos!$E:$E,0))</f>
        <v>#N/A</v>
      </c>
      <c r="O210" s="564">
        <f>K210*INDEX([2]Pedidos!$Q:$Q,MATCH(G210,[2]Pedidos!$E:$E,0))</f>
        <v>647.61904761904759</v>
      </c>
      <c r="P210" s="564" t="e">
        <f>M210*INDEX([2]Pedidos!$Q:$Q,MATCH(H210,[2]Pedidos!$E:$E,0))</f>
        <v>#N/A</v>
      </c>
    </row>
    <row r="211" spans="1:20" x14ac:dyDescent="0.25">
      <c r="A211" s="753"/>
      <c r="C211" s="452" t="s">
        <v>1826</v>
      </c>
      <c r="D211" s="449">
        <f t="shared" si="34"/>
        <v>46171</v>
      </c>
      <c r="E211" s="454" t="s">
        <v>166</v>
      </c>
      <c r="F211" s="512"/>
      <c r="G211" s="512"/>
      <c r="H211" s="512"/>
      <c r="I211" s="512"/>
      <c r="J211" s="682"/>
      <c r="K211" s="682"/>
      <c r="L211" s="682"/>
      <c r="M211" s="682"/>
      <c r="N211" s="556"/>
      <c r="O211" s="556"/>
      <c r="P211" s="556"/>
    </row>
    <row r="212" spans="1:20" x14ac:dyDescent="0.25">
      <c r="A212" s="753"/>
      <c r="C212" s="452" t="s">
        <v>1826</v>
      </c>
      <c r="D212" s="449">
        <f t="shared" si="34"/>
        <v>46171</v>
      </c>
      <c r="E212" s="454" t="s">
        <v>576</v>
      </c>
      <c r="F212" s="461"/>
      <c r="G212" s="460" t="s">
        <v>1824</v>
      </c>
      <c r="H212" s="460"/>
      <c r="I212" s="460"/>
      <c r="J212" s="540">
        <f t="shared" ref="J212:J217" si="36">ROUND((60000-9200)/70,0)</f>
        <v>726</v>
      </c>
      <c r="K212" s="679">
        <f t="shared" si="35"/>
        <v>761.90476190476193</v>
      </c>
      <c r="L212" s="679"/>
      <c r="M212" s="679"/>
      <c r="N212" s="565" t="e">
        <f>J212*INDEX([2]Pedidos!$Q:$Q,MATCH(F212,[2]Pedidos!$E:$E,0))</f>
        <v>#N/A</v>
      </c>
      <c r="O212" s="565">
        <f>K212*INDEX([2]Pedidos!$Q:$Q,MATCH(G212,[2]Pedidos!$E:$E,0))</f>
        <v>647.61904761904759</v>
      </c>
      <c r="P212" s="565" t="e">
        <f>M212*INDEX([2]Pedidos!$Q:$Q,MATCH(H212,[2]Pedidos!$E:$E,0))</f>
        <v>#N/A</v>
      </c>
    </row>
    <row r="213" spans="1:20" x14ac:dyDescent="0.25">
      <c r="A213" s="753"/>
      <c r="C213" s="452" t="s">
        <v>1826</v>
      </c>
      <c r="D213" s="449">
        <f t="shared" si="34"/>
        <v>46171</v>
      </c>
      <c r="E213" s="454" t="s">
        <v>167</v>
      </c>
      <c r="F213" s="460"/>
      <c r="G213" s="460" t="s">
        <v>1824</v>
      </c>
      <c r="H213" s="460"/>
      <c r="I213" s="460"/>
      <c r="J213" s="540">
        <f t="shared" si="36"/>
        <v>726</v>
      </c>
      <c r="K213" s="540">
        <f t="shared" si="35"/>
        <v>761.90476190476193</v>
      </c>
      <c r="L213" s="540"/>
      <c r="M213" s="540"/>
      <c r="N213" s="565" t="e">
        <f>J213*INDEX([2]Pedidos!$Q:$Q,MATCH(F213,[2]Pedidos!$E:$E,0))</f>
        <v>#N/A</v>
      </c>
      <c r="O213" s="565">
        <f>K213*INDEX([2]Pedidos!$Q:$Q,MATCH(G213,[2]Pedidos!$E:$E,0))</f>
        <v>647.61904761904759</v>
      </c>
      <c r="P213" s="565" t="e">
        <f>M213*INDEX([2]Pedidos!$Q:$Q,MATCH(H213,[2]Pedidos!$E:$E,0))</f>
        <v>#N/A</v>
      </c>
    </row>
    <row r="214" spans="1:20" x14ac:dyDescent="0.25">
      <c r="A214" s="753"/>
      <c r="C214" s="452" t="s">
        <v>1826</v>
      </c>
      <c r="D214" s="449">
        <f t="shared" si="34"/>
        <v>46171</v>
      </c>
      <c r="E214" s="454" t="s">
        <v>168</v>
      </c>
      <c r="F214" s="460"/>
      <c r="G214" s="460" t="s">
        <v>1824</v>
      </c>
      <c r="H214" s="460"/>
      <c r="I214" s="460"/>
      <c r="J214" s="540">
        <f t="shared" si="36"/>
        <v>726</v>
      </c>
      <c r="K214" s="540">
        <f t="shared" si="35"/>
        <v>761.90476190476193</v>
      </c>
      <c r="L214" s="540"/>
      <c r="M214" s="540"/>
      <c r="N214" s="565" t="e">
        <f>J214*INDEX([2]Pedidos!$Q:$Q,MATCH(F214,[2]Pedidos!$E:$E,0))</f>
        <v>#N/A</v>
      </c>
      <c r="O214" s="565">
        <f>K214*INDEX([2]Pedidos!$Q:$Q,MATCH(G214,[2]Pedidos!$E:$E,0))</f>
        <v>647.61904761904759</v>
      </c>
      <c r="P214" s="565" t="e">
        <f>M214*INDEX([2]Pedidos!$Q:$Q,MATCH(H214,[2]Pedidos!$E:$E,0))</f>
        <v>#N/A</v>
      </c>
    </row>
    <row r="215" spans="1:20" x14ac:dyDescent="0.25">
      <c r="A215" s="753"/>
      <c r="C215" s="452" t="s">
        <v>1826</v>
      </c>
      <c r="D215" s="449">
        <f t="shared" si="34"/>
        <v>46171</v>
      </c>
      <c r="E215" s="454" t="s">
        <v>169</v>
      </c>
      <c r="F215" s="460"/>
      <c r="G215" s="460" t="s">
        <v>1824</v>
      </c>
      <c r="H215" s="460"/>
      <c r="I215" s="460"/>
      <c r="J215" s="540">
        <f t="shared" si="36"/>
        <v>726</v>
      </c>
      <c r="K215" s="540">
        <f t="shared" si="35"/>
        <v>761.90476190476193</v>
      </c>
      <c r="L215" s="540"/>
      <c r="M215" s="540"/>
      <c r="N215" s="565" t="e">
        <f>J215*INDEX([2]Pedidos!$Q:$Q,MATCH(F215,[2]Pedidos!$E:$E,0))</f>
        <v>#N/A</v>
      </c>
      <c r="O215" s="565">
        <f>K215*INDEX([2]Pedidos!$Q:$Q,MATCH(G215,[2]Pedidos!$E:$E,0))</f>
        <v>647.61904761904759</v>
      </c>
      <c r="P215" s="565" t="e">
        <f>M215*INDEX([2]Pedidos!$Q:$Q,MATCH(H215,[2]Pedidos!$E:$E,0))</f>
        <v>#N/A</v>
      </c>
    </row>
    <row r="216" spans="1:20" x14ac:dyDescent="0.25">
      <c r="A216" s="753"/>
      <c r="C216" s="452" t="s">
        <v>1826</v>
      </c>
      <c r="D216" s="449">
        <f t="shared" si="34"/>
        <v>46171</v>
      </c>
      <c r="E216" s="454" t="s">
        <v>170</v>
      </c>
      <c r="F216" s="460"/>
      <c r="G216" s="460" t="s">
        <v>1824</v>
      </c>
      <c r="H216" s="460"/>
      <c r="I216" s="460"/>
      <c r="J216" s="540">
        <f t="shared" si="36"/>
        <v>726</v>
      </c>
      <c r="K216" s="540">
        <f t="shared" si="35"/>
        <v>761.90476190476193</v>
      </c>
      <c r="L216" s="540"/>
      <c r="M216" s="540"/>
      <c r="N216" s="566" t="e">
        <f>J216*INDEX([2]Pedidos!$Q:$Q,MATCH(F216,[2]Pedidos!$E:$E,0))</f>
        <v>#N/A</v>
      </c>
      <c r="O216" s="566">
        <f>K216*INDEX([2]Pedidos!$Q:$Q,MATCH(G216,[2]Pedidos!$E:$E,0))</f>
        <v>647.61904761904759</v>
      </c>
      <c r="P216" s="566" t="e">
        <f>M216*INDEX([2]Pedidos!$Q:$Q,MATCH(H216,[2]Pedidos!$E:$E,0))</f>
        <v>#N/A</v>
      </c>
    </row>
    <row r="217" spans="1:20" x14ac:dyDescent="0.25">
      <c r="A217" s="753"/>
      <c r="C217" s="452" t="s">
        <v>1826</v>
      </c>
      <c r="D217" s="449">
        <f t="shared" si="34"/>
        <v>46171</v>
      </c>
      <c r="E217" s="454" t="s">
        <v>585</v>
      </c>
      <c r="F217" s="460"/>
      <c r="G217" s="460" t="s">
        <v>1824</v>
      </c>
      <c r="H217" s="460"/>
      <c r="I217" s="460"/>
      <c r="J217" s="540">
        <f t="shared" si="36"/>
        <v>726</v>
      </c>
      <c r="K217" s="684">
        <f t="shared" si="35"/>
        <v>761.90476190476193</v>
      </c>
      <c r="L217" s="684"/>
      <c r="M217" s="684"/>
      <c r="N217" s="566" t="e">
        <f>J217*INDEX([2]Pedidos!$Q:$Q,MATCH(F217,[2]Pedidos!$E:$E,0))</f>
        <v>#N/A</v>
      </c>
      <c r="O217" s="566">
        <f>K217*INDEX([2]Pedidos!$Q:$Q,MATCH(G217,[2]Pedidos!$E:$E,0))</f>
        <v>647.61904761904759</v>
      </c>
      <c r="P217" s="566" t="e">
        <f>M217*INDEX([2]Pedidos!$Q:$Q,MATCH(H217,[2]Pedidos!$E:$E,0))</f>
        <v>#N/A</v>
      </c>
    </row>
    <row r="218" spans="1:20" x14ac:dyDescent="0.25">
      <c r="A218" s="753"/>
      <c r="C218" s="448" t="s">
        <v>1826</v>
      </c>
      <c r="D218" s="449">
        <f t="shared" si="34"/>
        <v>46171</v>
      </c>
      <c r="E218" s="455" t="s">
        <v>574</v>
      </c>
      <c r="F218" s="512"/>
      <c r="G218" s="512"/>
      <c r="H218" s="512"/>
      <c r="I218" s="537"/>
      <c r="J218" s="685"/>
      <c r="K218" s="685"/>
      <c r="L218" s="685"/>
      <c r="M218" s="685"/>
      <c r="N218" s="556"/>
      <c r="O218" s="556"/>
      <c r="P218" s="556"/>
    </row>
    <row r="219" spans="1:20" x14ac:dyDescent="0.25">
      <c r="A219" s="753"/>
      <c r="C219" s="448" t="s">
        <v>1826</v>
      </c>
      <c r="D219" s="449">
        <f t="shared" si="34"/>
        <v>46171</v>
      </c>
      <c r="E219" s="455" t="s">
        <v>575</v>
      </c>
      <c r="F219" s="504"/>
      <c r="G219" s="504" t="s">
        <v>1824</v>
      </c>
      <c r="H219" s="504"/>
      <c r="I219" s="504"/>
      <c r="J219" s="684">
        <f t="shared" ref="J219:J221" si="37">ROUND((60000-9200)/70,0)</f>
        <v>726</v>
      </c>
      <c r="K219" s="684">
        <f t="shared" si="35"/>
        <v>761.90476190476193</v>
      </c>
      <c r="L219" s="684"/>
      <c r="M219" s="684"/>
      <c r="N219" s="566" t="e">
        <f>J219*INDEX([2]Pedidos!$Q:$Q,MATCH(F219,[2]Pedidos!$E:$E,0))</f>
        <v>#N/A</v>
      </c>
      <c r="O219" s="566">
        <f>K219*INDEX([2]Pedidos!$Q:$Q,MATCH(G219,[2]Pedidos!$E:$E,0))</f>
        <v>647.61904761904759</v>
      </c>
      <c r="P219" s="566" t="e">
        <f>M219*INDEX([2]Pedidos!$Q:$Q,MATCH(H219,[2]Pedidos!$E:$E,0))</f>
        <v>#N/A</v>
      </c>
    </row>
    <row r="220" spans="1:20" x14ac:dyDescent="0.25">
      <c r="A220" s="753"/>
      <c r="C220" s="448" t="s">
        <v>1826</v>
      </c>
      <c r="D220" s="449">
        <f t="shared" si="34"/>
        <v>46171</v>
      </c>
      <c r="E220" s="503" t="s">
        <v>583</v>
      </c>
      <c r="F220" s="504"/>
      <c r="G220" s="504" t="s">
        <v>1824</v>
      </c>
      <c r="H220" s="504"/>
      <c r="I220" s="504"/>
      <c r="J220" s="684">
        <f t="shared" si="37"/>
        <v>726</v>
      </c>
      <c r="K220" s="684">
        <f t="shared" si="35"/>
        <v>761.90476190476193</v>
      </c>
      <c r="L220" s="684"/>
      <c r="M220" s="684"/>
      <c r="N220" s="566" t="e">
        <f>J220*INDEX([2]Pedidos!$Q:$Q,MATCH(F220,[2]Pedidos!$E:$E,0))</f>
        <v>#N/A</v>
      </c>
      <c r="O220" s="566">
        <f>K220*INDEX([2]Pedidos!$Q:$Q,MATCH(G220,[2]Pedidos!$E:$E,0))</f>
        <v>647.61904761904759</v>
      </c>
      <c r="P220" s="566" t="e">
        <f>M220*INDEX([2]Pedidos!$Q:$Q,MATCH(H220,[2]Pedidos!$E:$E,0))</f>
        <v>#N/A</v>
      </c>
    </row>
    <row r="221" spans="1:20" ht="15.75" thickBot="1" x14ac:dyDescent="0.3">
      <c r="A221" s="753"/>
      <c r="C221" s="450" t="s">
        <v>1826</v>
      </c>
      <c r="D221" s="451">
        <f t="shared" si="34"/>
        <v>46171</v>
      </c>
      <c r="E221" s="459" t="s">
        <v>584</v>
      </c>
      <c r="F221" s="680"/>
      <c r="G221" s="680" t="s">
        <v>1824</v>
      </c>
      <c r="H221" s="680"/>
      <c r="I221" s="680"/>
      <c r="J221" s="686">
        <f t="shared" si="37"/>
        <v>726</v>
      </c>
      <c r="K221" s="686">
        <f t="shared" si="35"/>
        <v>761.90476190476193</v>
      </c>
      <c r="L221" s="686"/>
      <c r="M221" s="686"/>
      <c r="N221" s="696" t="e">
        <f>J221*INDEX([2]Pedidos!$Q:$Q,MATCH(F221,[2]Pedidos!$E:$E,0))</f>
        <v>#N/A</v>
      </c>
      <c r="O221" s="696">
        <f>K221*INDEX([2]Pedidos!$Q:$Q,MATCH(G221,[2]Pedidos!$E:$E,0))</f>
        <v>647.61904761904759</v>
      </c>
      <c r="P221" s="696" t="e">
        <f>M221*INDEX([2]Pedidos!$Q:$Q,MATCH(H221,[2]Pedidos!$E:$E,0))</f>
        <v>#N/A</v>
      </c>
    </row>
    <row r="222" spans="1:20" ht="4.5" customHeight="1" thickBot="1" x14ac:dyDescent="0.3">
      <c r="A222" s="753"/>
      <c r="J222" s="445"/>
      <c r="K222" s="445"/>
      <c r="L222" s="445"/>
      <c r="N222" s="559"/>
      <c r="O222" s="559"/>
      <c r="P222" s="559"/>
      <c r="S222" s="3"/>
      <c r="T222" s="3"/>
    </row>
    <row r="223" spans="1:20" ht="15" customHeight="1" thickBot="1" x14ac:dyDescent="0.3">
      <c r="A223" s="753"/>
      <c r="C223" s="538"/>
      <c r="D223" s="539"/>
      <c r="E223" s="539"/>
      <c r="F223" s="539"/>
      <c r="G223" s="539"/>
      <c r="H223" s="539"/>
      <c r="I223" s="539"/>
      <c r="J223" s="606">
        <f t="shared" ref="J223:M223" ca="1" si="38">_xlfn.AGGREGATE(9,6,J224:J239)</f>
        <v>0</v>
      </c>
      <c r="K223" s="607">
        <f t="shared" ca="1" si="38"/>
        <v>0</v>
      </c>
      <c r="L223" s="607"/>
      <c r="M223" s="544">
        <f t="shared" ca="1" si="38"/>
        <v>0</v>
      </c>
      <c r="N223" s="560">
        <f t="shared" ref="N223:P223" si="39">_xlfn.AGGREGATE(9,6,N224:N239)</f>
        <v>0</v>
      </c>
      <c r="O223" s="561">
        <f t="shared" si="39"/>
        <v>0</v>
      </c>
      <c r="P223" s="562">
        <f t="shared" si="39"/>
        <v>0</v>
      </c>
      <c r="Q223" s="548">
        <f ca="1">SUM(J223:M223)</f>
        <v>0</v>
      </c>
      <c r="R223" s="549">
        <f>SUM(N223:P223)</f>
        <v>0</v>
      </c>
      <c r="S223" s="3"/>
      <c r="T223" s="3"/>
    </row>
    <row r="224" spans="1:20" x14ac:dyDescent="0.25">
      <c r="A224" s="753"/>
      <c r="C224" s="529" t="s">
        <v>1033</v>
      </c>
      <c r="D224" s="447">
        <f>D221+1</f>
        <v>46172</v>
      </c>
      <c r="E224" s="498" t="s">
        <v>573</v>
      </c>
      <c r="F224" s="514"/>
      <c r="G224" s="514"/>
      <c r="H224" s="514"/>
      <c r="I224" s="724"/>
      <c r="J224" s="537" cm="1">
        <f t="array" aca="1" ref="J224" ca="1">IFERROR(_xlfn.LET(_xlpm.produto,TRIM(F224)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24" s="537" cm="1">
        <f t="array" aca="1" ref="K224" ca="1">IFERROR(_xlfn.LET(_xlpm.produto,TRIM(G224)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24" s="537"/>
      <c r="M224" s="537" cm="1">
        <f t="array" aca="1" ref="M224" ca="1">IFERROR(_xlfn.LET(_xlpm.produto,TRIM(H224)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24" s="563"/>
      <c r="O224" s="563"/>
      <c r="P224" s="563"/>
    </row>
    <row r="225" spans="1:20" x14ac:dyDescent="0.25">
      <c r="A225" s="753"/>
      <c r="C225" s="452" t="s">
        <v>1033</v>
      </c>
      <c r="D225" s="453">
        <f t="shared" ref="D225:D239" si="40">D224</f>
        <v>46172</v>
      </c>
      <c r="E225" s="500" t="s">
        <v>162</v>
      </c>
      <c r="F225" s="517"/>
      <c r="G225" s="517"/>
      <c r="H225" s="517"/>
      <c r="I225" s="512"/>
      <c r="J225" s="540"/>
      <c r="K225" s="540"/>
      <c r="L225" s="540"/>
      <c r="M225" s="540"/>
      <c r="N225" s="555" t="e">
        <f>J225*INDEX([2]Pedidos!$Q:$Q,MATCH(F225,[2]Pedidos!$E:$E,0))</f>
        <v>#N/A</v>
      </c>
      <c r="O225" s="555" t="e">
        <f>K225*INDEX([2]Pedidos!$Q:$Q,MATCH(G225,[2]Pedidos!$E:$E,0))</f>
        <v>#N/A</v>
      </c>
      <c r="P225" s="555" t="e">
        <f>M225*INDEX([2]Pedidos!$Q:$Q,MATCH(H225,[2]Pedidos!$E:$E,0))</f>
        <v>#N/A</v>
      </c>
    </row>
    <row r="226" spans="1:20" x14ac:dyDescent="0.25">
      <c r="A226" s="753"/>
      <c r="C226" s="452" t="s">
        <v>1033</v>
      </c>
      <c r="D226" s="453">
        <f t="shared" si="40"/>
        <v>46172</v>
      </c>
      <c r="E226" s="454" t="s">
        <v>163</v>
      </c>
      <c r="F226" s="517"/>
      <c r="G226" s="512"/>
      <c r="H226" s="505"/>
      <c r="I226" s="505"/>
      <c r="J226" s="540"/>
      <c r="K226" s="540"/>
      <c r="L226" s="540"/>
      <c r="M226" s="540"/>
      <c r="N226" s="564" t="e">
        <f>J226*INDEX([2]Pedidos!$Q:$Q,MATCH(F226,[2]Pedidos!$E:$E,0))</f>
        <v>#N/A</v>
      </c>
      <c r="O226" s="564" t="e">
        <f>K226*INDEX([2]Pedidos!$Q:$Q,MATCH(G226,[2]Pedidos!$E:$E,0))</f>
        <v>#N/A</v>
      </c>
      <c r="P226" s="564" t="e">
        <f>M226*INDEX([2]Pedidos!$Q:$Q,MATCH(H226,[2]Pedidos!$E:$E,0))</f>
        <v>#N/A</v>
      </c>
    </row>
    <row r="227" spans="1:20" x14ac:dyDescent="0.25">
      <c r="A227" s="753"/>
      <c r="C227" s="452" t="s">
        <v>1033</v>
      </c>
      <c r="D227" s="453">
        <f t="shared" si="40"/>
        <v>46172</v>
      </c>
      <c r="E227" s="454" t="s">
        <v>164</v>
      </c>
      <c r="F227" s="517"/>
      <c r="G227" s="512"/>
      <c r="H227" s="505"/>
      <c r="I227" s="505"/>
      <c r="J227" s="540"/>
      <c r="K227" s="540"/>
      <c r="L227" s="540"/>
      <c r="M227" s="540"/>
      <c r="N227" s="564" t="e">
        <f>J227*INDEX([2]Pedidos!$Q:$Q,MATCH(F227,[2]Pedidos!$E:$E,0))</f>
        <v>#N/A</v>
      </c>
      <c r="O227" s="564" t="e">
        <f>K227*INDEX([2]Pedidos!$Q:$Q,MATCH(G227,[2]Pedidos!$E:$E,0))</f>
        <v>#N/A</v>
      </c>
      <c r="P227" s="564" t="e">
        <f>M227*INDEX([2]Pedidos!$Q:$Q,MATCH(H227,[2]Pedidos!$E:$E,0))</f>
        <v>#N/A</v>
      </c>
    </row>
    <row r="228" spans="1:20" x14ac:dyDescent="0.25">
      <c r="A228" s="753"/>
      <c r="C228" s="452" t="s">
        <v>1033</v>
      </c>
      <c r="D228" s="453">
        <f t="shared" si="40"/>
        <v>46172</v>
      </c>
      <c r="E228" s="454" t="s">
        <v>165</v>
      </c>
      <c r="F228" s="517"/>
      <c r="G228" s="512"/>
      <c r="H228" s="505"/>
      <c r="I228" s="505"/>
      <c r="J228" s="540"/>
      <c r="K228" s="540"/>
      <c r="L228" s="540"/>
      <c r="M228" s="540"/>
      <c r="N228" s="564" t="e">
        <f>J228*INDEX([2]Pedidos!$Q:$Q,MATCH(F228,[2]Pedidos!$E:$E,0))</f>
        <v>#N/A</v>
      </c>
      <c r="O228" s="564" t="e">
        <f>K228*INDEX([2]Pedidos!$Q:$Q,MATCH(G228,[2]Pedidos!$E:$E,0))</f>
        <v>#N/A</v>
      </c>
      <c r="P228" s="564" t="e">
        <f>M228*INDEX([2]Pedidos!$Q:$Q,MATCH(H228,[2]Pedidos!$E:$E,0))</f>
        <v>#N/A</v>
      </c>
    </row>
    <row r="229" spans="1:20" x14ac:dyDescent="0.25">
      <c r="A229" s="753"/>
      <c r="C229" s="452" t="s">
        <v>1033</v>
      </c>
      <c r="D229" s="453">
        <f t="shared" si="40"/>
        <v>46172</v>
      </c>
      <c r="E229" s="454" t="s">
        <v>166</v>
      </c>
      <c r="F229" s="517"/>
      <c r="G229" s="512"/>
      <c r="H229" s="505"/>
      <c r="I229" s="505"/>
      <c r="J229" s="540"/>
      <c r="K229" s="540"/>
      <c r="L229" s="540"/>
      <c r="M229" s="540"/>
      <c r="N229" s="564" t="e">
        <f>J229*INDEX([2]Pedidos!$Q:$Q,MATCH(F229,[2]Pedidos!$E:$E,0))</f>
        <v>#N/A</v>
      </c>
      <c r="O229" s="564" t="e">
        <f>K229*INDEX([2]Pedidos!$Q:$Q,MATCH(G229,[2]Pedidos!$E:$E,0))</f>
        <v>#N/A</v>
      </c>
      <c r="P229" s="564" t="e">
        <f>M229*INDEX([2]Pedidos!$Q:$Q,MATCH(H229,[2]Pedidos!$E:$E,0))</f>
        <v>#N/A</v>
      </c>
    </row>
    <row r="230" spans="1:20" x14ac:dyDescent="0.25">
      <c r="A230" s="753"/>
      <c r="C230" s="452" t="s">
        <v>1033</v>
      </c>
      <c r="D230" s="453">
        <f t="shared" si="40"/>
        <v>46172</v>
      </c>
      <c r="E230" s="454" t="s">
        <v>576</v>
      </c>
      <c r="F230" s="517"/>
      <c r="G230" s="512"/>
      <c r="H230" s="505"/>
      <c r="I230" s="505"/>
      <c r="J230" s="541" cm="1">
        <f t="array" aca="1" ref="J230" ca="1">IFERROR(_xlfn.LET(_xlpm.produto,TRIM(F230)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0" s="541" cm="1">
        <f t="array" aca="1" ref="K230" ca="1">IFERROR(_xlfn.LET(_xlpm.produto,TRIM(G230)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0" s="541"/>
      <c r="M230" s="541" cm="1">
        <f t="array" aca="1" ref="M230" ca="1">IFERROR(_xlfn.LET(_xlpm.produto,TRIM(H230)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0" s="556"/>
      <c r="O230" s="556"/>
      <c r="P230" s="556"/>
    </row>
    <row r="231" spans="1:20" x14ac:dyDescent="0.25">
      <c r="A231" s="753"/>
      <c r="C231" s="452" t="s">
        <v>1033</v>
      </c>
      <c r="D231" s="449">
        <f t="shared" si="40"/>
        <v>46172</v>
      </c>
      <c r="E231" s="454" t="s">
        <v>167</v>
      </c>
      <c r="F231" s="517"/>
      <c r="G231" s="512"/>
      <c r="H231" s="505"/>
      <c r="I231" s="505"/>
      <c r="J231" s="540"/>
      <c r="K231" s="540"/>
      <c r="L231" s="540"/>
      <c r="M231" s="540"/>
      <c r="N231" s="565" t="e">
        <f>J231*INDEX([2]Pedidos!$Q:$Q,MATCH(F231,[2]Pedidos!$E:$E,0))</f>
        <v>#N/A</v>
      </c>
      <c r="O231" s="565" t="e">
        <f>K231*INDEX([2]Pedidos!$Q:$Q,MATCH(G231,[2]Pedidos!$E:$E,0))</f>
        <v>#N/A</v>
      </c>
      <c r="P231" s="565" t="e">
        <f>M231*INDEX([2]Pedidos!$Q:$Q,MATCH(H231,[2]Pedidos!$E:$E,0))</f>
        <v>#N/A</v>
      </c>
    </row>
    <row r="232" spans="1:20" x14ac:dyDescent="0.25">
      <c r="A232" s="753"/>
      <c r="C232" s="452" t="s">
        <v>1033</v>
      </c>
      <c r="D232" s="449">
        <f t="shared" si="40"/>
        <v>46172</v>
      </c>
      <c r="E232" s="454" t="s">
        <v>168</v>
      </c>
      <c r="F232" s="517"/>
      <c r="G232" s="512"/>
      <c r="H232" s="505"/>
      <c r="I232" s="505"/>
      <c r="J232" s="540"/>
      <c r="K232" s="540"/>
      <c r="L232" s="540"/>
      <c r="M232" s="540"/>
      <c r="N232" s="565" t="e">
        <f>J232*INDEX([2]Pedidos!$Q:$Q,MATCH(F232,[2]Pedidos!$E:$E,0))</f>
        <v>#N/A</v>
      </c>
      <c r="O232" s="565" t="e">
        <f>K232*INDEX([2]Pedidos!$Q:$Q,MATCH(G232,[2]Pedidos!$E:$E,0))</f>
        <v>#N/A</v>
      </c>
      <c r="P232" s="565" t="e">
        <f>M232*INDEX([2]Pedidos!$Q:$Q,MATCH(H232,[2]Pedidos!$E:$E,0))</f>
        <v>#N/A</v>
      </c>
    </row>
    <row r="233" spans="1:20" x14ac:dyDescent="0.25">
      <c r="A233" s="753"/>
      <c r="C233" s="452" t="s">
        <v>1033</v>
      </c>
      <c r="D233" s="449">
        <f t="shared" si="40"/>
        <v>46172</v>
      </c>
      <c r="E233" s="454" t="s">
        <v>169</v>
      </c>
      <c r="F233" s="517"/>
      <c r="G233" s="512"/>
      <c r="H233" s="505"/>
      <c r="I233" s="505"/>
      <c r="J233" s="540"/>
      <c r="K233" s="540"/>
      <c r="L233" s="540"/>
      <c r="M233" s="540"/>
      <c r="N233" s="565" t="e">
        <f>J233*INDEX([2]Pedidos!$Q:$Q,MATCH(F233,[2]Pedidos!$E:$E,0))</f>
        <v>#N/A</v>
      </c>
      <c r="O233" s="565" t="e">
        <f>K233*INDEX([2]Pedidos!$Q:$Q,MATCH(G233,[2]Pedidos!$E:$E,0))</f>
        <v>#N/A</v>
      </c>
      <c r="P233" s="565" t="e">
        <f>M233*INDEX([2]Pedidos!$Q:$Q,MATCH(H233,[2]Pedidos!$E:$E,0))</f>
        <v>#N/A</v>
      </c>
    </row>
    <row r="234" spans="1:20" x14ac:dyDescent="0.25">
      <c r="A234" s="753"/>
      <c r="C234" s="452" t="s">
        <v>1033</v>
      </c>
      <c r="D234" s="449">
        <f t="shared" si="40"/>
        <v>46172</v>
      </c>
      <c r="E234" s="454" t="s">
        <v>170</v>
      </c>
      <c r="F234" s="517"/>
      <c r="G234" s="512"/>
      <c r="H234" s="505"/>
      <c r="I234" s="505"/>
      <c r="J234" s="540"/>
      <c r="K234" s="540"/>
      <c r="L234" s="540"/>
      <c r="M234" s="540"/>
      <c r="N234" s="566" t="e">
        <f>J234*INDEX([2]Pedidos!$Q:$Q,MATCH(F234,[2]Pedidos!$E:$E,0))</f>
        <v>#N/A</v>
      </c>
      <c r="O234" s="566" t="e">
        <f>K234*INDEX([2]Pedidos!$Q:$Q,MATCH(G234,[2]Pedidos!$E:$E,0))</f>
        <v>#N/A</v>
      </c>
      <c r="P234" s="566" t="e">
        <f>M234*INDEX([2]Pedidos!$Q:$Q,MATCH(H234,[2]Pedidos!$E:$E,0))</f>
        <v>#N/A</v>
      </c>
    </row>
    <row r="235" spans="1:20" x14ac:dyDescent="0.25">
      <c r="A235" s="753"/>
      <c r="C235" s="452" t="s">
        <v>1033</v>
      </c>
      <c r="D235" s="449">
        <f t="shared" si="40"/>
        <v>46172</v>
      </c>
      <c r="E235" s="454" t="s">
        <v>585</v>
      </c>
      <c r="F235" s="505"/>
      <c r="G235" s="505"/>
      <c r="H235" s="516"/>
      <c r="I235" s="516"/>
      <c r="J235" s="516" cm="1">
        <f t="array" aca="1" ref="J235" ca="1">IFERROR(_xlfn.LET(_xlpm.produto,TRIM(F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5" s="516" cm="1">
        <f t="array" aca="1" ref="K235" ca="1">IFERROR(_xlfn.LET(_xlpm.produto,TRIM(G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5" s="516"/>
      <c r="M235" s="516" cm="1">
        <f t="array" aca="1" ref="M235" ca="1">IFERROR(_xlfn.LET(_xlpm.produto,TRIM(H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5" s="557"/>
      <c r="O235" s="557"/>
      <c r="P235" s="557"/>
    </row>
    <row r="236" spans="1:20" x14ac:dyDescent="0.25">
      <c r="A236" s="753"/>
      <c r="C236" s="452" t="s">
        <v>1033</v>
      </c>
      <c r="D236" s="449">
        <f t="shared" si="40"/>
        <v>46172</v>
      </c>
      <c r="E236" s="455" t="s">
        <v>574</v>
      </c>
      <c r="F236" s="505"/>
      <c r="G236" s="505"/>
      <c r="H236" s="516"/>
      <c r="I236" s="516"/>
      <c r="J236" s="516" cm="1">
        <f t="array" aca="1" ref="J236" ca="1">IFERROR(_xlfn.LET(_xlpm.produto,TRIM(F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6" s="516" cm="1">
        <f t="array" aca="1" ref="K236" ca="1">IFERROR(_xlfn.LET(_xlpm.produto,TRIM(G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6" s="516"/>
      <c r="M236" s="516" cm="1">
        <f t="array" aca="1" ref="M236" ca="1">IFERROR(_xlfn.LET(_xlpm.produto,TRIM(H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6" s="557"/>
      <c r="O236" s="557"/>
      <c r="P236" s="557"/>
    </row>
    <row r="237" spans="1:20" x14ac:dyDescent="0.25">
      <c r="A237" s="753"/>
      <c r="C237" s="452" t="s">
        <v>1033</v>
      </c>
      <c r="D237" s="449">
        <f t="shared" si="40"/>
        <v>46172</v>
      </c>
      <c r="E237" s="455" t="s">
        <v>575</v>
      </c>
      <c r="F237" s="506"/>
      <c r="G237" s="506"/>
      <c r="H237" s="516"/>
      <c r="I237" s="516"/>
      <c r="J237" s="516" cm="1">
        <f t="array" aca="1" ref="J237" ca="1">IFERROR(_xlfn.LET(_xlpm.produto,TRIM(F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7" s="516" cm="1">
        <f t="array" aca="1" ref="K237" ca="1">IFERROR(_xlfn.LET(_xlpm.produto,TRIM(G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7" s="516"/>
      <c r="M237" s="516" cm="1">
        <f t="array" aca="1" ref="M237" ca="1">IFERROR(_xlfn.LET(_xlpm.produto,TRIM(H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7" s="557"/>
      <c r="O237" s="557"/>
      <c r="P237" s="557"/>
    </row>
    <row r="238" spans="1:20" x14ac:dyDescent="0.25">
      <c r="A238" s="753"/>
      <c r="C238" s="452" t="s">
        <v>1033</v>
      </c>
      <c r="D238" s="449">
        <f t="shared" si="40"/>
        <v>46172</v>
      </c>
      <c r="E238" s="503" t="s">
        <v>583</v>
      </c>
      <c r="F238" s="506"/>
      <c r="G238" s="506"/>
      <c r="H238" s="516"/>
      <c r="I238" s="516"/>
      <c r="J238" s="516" cm="1">
        <f t="array" aca="1" ref="J238" ca="1">IFERROR(_xlfn.LET(_xlpm.produto,TRIM(F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8" s="516" cm="1">
        <f t="array" aca="1" ref="K238" ca="1">IFERROR(_xlfn.LET(_xlpm.produto,TRIM(G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8" s="516"/>
      <c r="M238" s="516" cm="1">
        <f t="array" aca="1" ref="M238" ca="1">IFERROR(_xlfn.LET(_xlpm.produto,TRIM(H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8" s="557"/>
      <c r="O238" s="557"/>
      <c r="P238" s="557"/>
    </row>
    <row r="239" spans="1:20" ht="15.75" thickBot="1" x14ac:dyDescent="0.3">
      <c r="A239" s="753"/>
      <c r="C239" s="530" t="s">
        <v>1033</v>
      </c>
      <c r="D239" s="451">
        <f t="shared" si="40"/>
        <v>46172</v>
      </c>
      <c r="E239" s="459" t="s">
        <v>584</v>
      </c>
      <c r="F239" s="493"/>
      <c r="G239" s="493"/>
      <c r="H239" s="513"/>
      <c r="I239" s="513"/>
      <c r="J239" s="513" cm="1">
        <f t="array" aca="1" ref="J239" ca="1">IFERROR(_xlfn.LET(_xlpm.produto,TRIM(F239)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9" s="513" cm="1">
        <f t="array" aca="1" ref="K239" ca="1">IFERROR(_xlfn.LET(_xlpm.produto,TRIM(G239)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9" s="513"/>
      <c r="M239" s="513" cm="1">
        <f t="array" aca="1" ref="M239" ca="1">IFERROR(_xlfn.LET(_xlpm.produto,TRIM(H239)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39" s="558"/>
      <c r="O239" s="558"/>
      <c r="P239" s="558"/>
    </row>
    <row r="240" spans="1:20" ht="4.5" customHeight="1" thickBot="1" x14ac:dyDescent="0.3">
      <c r="A240" s="753"/>
      <c r="J240" s="445"/>
      <c r="K240" s="445"/>
      <c r="L240" s="445"/>
      <c r="N240" s="559"/>
      <c r="O240" s="559"/>
      <c r="P240" s="559"/>
      <c r="S240" s="3"/>
      <c r="T240" s="3"/>
    </row>
    <row r="241" spans="1:20" ht="15" customHeight="1" thickBot="1" x14ac:dyDescent="0.3">
      <c r="A241" s="753"/>
      <c r="C241" s="538"/>
      <c r="D241" s="539"/>
      <c r="E241" s="539"/>
      <c r="F241" s="539"/>
      <c r="G241" s="539"/>
      <c r="H241" s="539"/>
      <c r="I241" s="539"/>
      <c r="J241" s="606">
        <f t="shared" ref="J241:M241" ca="1" si="41">_xlfn.AGGREGATE(9,6,J242:J257)</f>
        <v>0</v>
      </c>
      <c r="K241" s="607">
        <f t="shared" ca="1" si="41"/>
        <v>0</v>
      </c>
      <c r="L241" s="607"/>
      <c r="M241" s="544">
        <f t="shared" ca="1" si="41"/>
        <v>0</v>
      </c>
      <c r="N241" s="560">
        <f t="shared" ref="N241:P241" si="42">_xlfn.AGGREGATE(9,6,N242:N257)</f>
        <v>0</v>
      </c>
      <c r="O241" s="561">
        <f t="shared" si="42"/>
        <v>0</v>
      </c>
      <c r="P241" s="562">
        <f t="shared" si="42"/>
        <v>0</v>
      </c>
      <c r="Q241" s="548">
        <f ca="1">SUM(J241:M241)</f>
        <v>0</v>
      </c>
      <c r="R241" s="549">
        <f>SUM(N241:P241)</f>
        <v>0</v>
      </c>
      <c r="S241" s="3"/>
      <c r="T241" s="3"/>
    </row>
    <row r="242" spans="1:20" x14ac:dyDescent="0.25">
      <c r="A242" s="753"/>
      <c r="C242" s="529" t="s">
        <v>1034</v>
      </c>
      <c r="D242" s="447">
        <f>D239+1</f>
        <v>46173</v>
      </c>
      <c r="E242" s="498" t="s">
        <v>573</v>
      </c>
      <c r="F242" s="514"/>
      <c r="G242" s="514"/>
      <c r="H242" s="514"/>
      <c r="I242" s="724"/>
      <c r="J242" s="537" cm="1">
        <f t="array" aca="1" ref="J242" ca="1">IFERROR(_xlfn.LET(_xlpm.produto,TRIM(F242)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42" s="537" cm="1">
        <f t="array" aca="1" ref="K242" ca="1">IFERROR(_xlfn.LET(_xlpm.produto,TRIM(G242)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42" s="537"/>
      <c r="M242" s="537" cm="1">
        <f t="array" aca="1" ref="M242" ca="1">IFERROR(_xlfn.LET(_xlpm.produto,TRIM(H242)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42" s="563"/>
      <c r="O242" s="563"/>
      <c r="P242" s="563"/>
    </row>
    <row r="243" spans="1:20" x14ac:dyDescent="0.25">
      <c r="A243" s="753"/>
      <c r="C243" s="452" t="s">
        <v>1034</v>
      </c>
      <c r="D243" s="453">
        <f t="shared" ref="D243:D257" si="43">D242</f>
        <v>46173</v>
      </c>
      <c r="E243" s="500" t="s">
        <v>162</v>
      </c>
      <c r="F243" s="517"/>
      <c r="G243" s="517"/>
      <c r="H243" s="517"/>
      <c r="I243" s="512"/>
      <c r="J243" s="540"/>
      <c r="K243" s="540"/>
      <c r="L243" s="540"/>
      <c r="M243" s="540"/>
      <c r="N243" s="555" t="e">
        <f>J243*INDEX([2]Pedidos!$Q:$Q,MATCH(F243,[2]Pedidos!$E:$E,0))</f>
        <v>#N/A</v>
      </c>
      <c r="O243" s="555" t="e">
        <f>K243*INDEX([2]Pedidos!$Q:$Q,MATCH(G243,[2]Pedidos!$E:$E,0))</f>
        <v>#N/A</v>
      </c>
      <c r="P243" s="555" t="e">
        <f>M243*INDEX([2]Pedidos!$Q:$Q,MATCH(H243,[2]Pedidos!$E:$E,0))</f>
        <v>#N/A</v>
      </c>
    </row>
    <row r="244" spans="1:20" x14ac:dyDescent="0.25">
      <c r="A244" s="753"/>
      <c r="C244" s="452" t="s">
        <v>1034</v>
      </c>
      <c r="D244" s="453">
        <f t="shared" si="43"/>
        <v>46173</v>
      </c>
      <c r="E244" s="454" t="s">
        <v>163</v>
      </c>
      <c r="F244" s="517"/>
      <c r="G244" s="512"/>
      <c r="H244" s="505"/>
      <c r="I244" s="505"/>
      <c r="J244" s="540"/>
      <c r="K244" s="540"/>
      <c r="L244" s="540"/>
      <c r="M244" s="540"/>
      <c r="N244" s="564" t="e">
        <f>J244*INDEX([2]Pedidos!$Q:$Q,MATCH(F244,[2]Pedidos!$E:$E,0))</f>
        <v>#N/A</v>
      </c>
      <c r="O244" s="564" t="e">
        <f>K244*INDEX([2]Pedidos!$Q:$Q,MATCH(G244,[2]Pedidos!$E:$E,0))</f>
        <v>#N/A</v>
      </c>
      <c r="P244" s="564" t="e">
        <f>M244*INDEX([2]Pedidos!$Q:$Q,MATCH(H244,[2]Pedidos!$E:$E,0))</f>
        <v>#N/A</v>
      </c>
    </row>
    <row r="245" spans="1:20" x14ac:dyDescent="0.25">
      <c r="A245" s="753"/>
      <c r="C245" s="452" t="s">
        <v>1034</v>
      </c>
      <c r="D245" s="453">
        <f t="shared" si="43"/>
        <v>46173</v>
      </c>
      <c r="E245" s="454" t="s">
        <v>164</v>
      </c>
      <c r="F245" s="517"/>
      <c r="G245" s="512"/>
      <c r="H245" s="505"/>
      <c r="I245" s="505"/>
      <c r="J245" s="540"/>
      <c r="K245" s="540"/>
      <c r="L245" s="540"/>
      <c r="M245" s="540"/>
      <c r="N245" s="564" t="e">
        <f>J245*INDEX([2]Pedidos!$Q:$Q,MATCH(F245,[2]Pedidos!$E:$E,0))</f>
        <v>#N/A</v>
      </c>
      <c r="O245" s="564" t="e">
        <f>K245*INDEX([2]Pedidos!$Q:$Q,MATCH(G245,[2]Pedidos!$E:$E,0))</f>
        <v>#N/A</v>
      </c>
      <c r="P245" s="564" t="e">
        <f>M245*INDEX([2]Pedidos!$Q:$Q,MATCH(H245,[2]Pedidos!$E:$E,0))</f>
        <v>#N/A</v>
      </c>
    </row>
    <row r="246" spans="1:20" x14ac:dyDescent="0.25">
      <c r="A246" s="753"/>
      <c r="C246" s="452" t="s">
        <v>1034</v>
      </c>
      <c r="D246" s="453">
        <f t="shared" si="43"/>
        <v>46173</v>
      </c>
      <c r="E246" s="454" t="s">
        <v>165</v>
      </c>
      <c r="F246" s="517"/>
      <c r="G246" s="512"/>
      <c r="H246" s="505"/>
      <c r="I246" s="505"/>
      <c r="J246" s="540"/>
      <c r="K246" s="540"/>
      <c r="L246" s="540"/>
      <c r="M246" s="540"/>
      <c r="N246" s="564" t="e">
        <f>J246*INDEX([2]Pedidos!$Q:$Q,MATCH(F246,[2]Pedidos!$E:$E,0))</f>
        <v>#N/A</v>
      </c>
      <c r="O246" s="564" t="e">
        <f>K246*INDEX([2]Pedidos!$Q:$Q,MATCH(G246,[2]Pedidos!$E:$E,0))</f>
        <v>#N/A</v>
      </c>
      <c r="P246" s="564" t="e">
        <f>M246*INDEX([2]Pedidos!$Q:$Q,MATCH(H246,[2]Pedidos!$E:$E,0))</f>
        <v>#N/A</v>
      </c>
    </row>
    <row r="247" spans="1:20" x14ac:dyDescent="0.25">
      <c r="A247" s="753"/>
      <c r="C247" s="452" t="s">
        <v>1034</v>
      </c>
      <c r="D247" s="453">
        <f t="shared" si="43"/>
        <v>46173</v>
      </c>
      <c r="E247" s="454" t="s">
        <v>166</v>
      </c>
      <c r="F247" s="517"/>
      <c r="G247" s="512"/>
      <c r="H247" s="505"/>
      <c r="I247" s="505"/>
      <c r="J247" s="540"/>
      <c r="K247" s="540"/>
      <c r="L247" s="540"/>
      <c r="M247" s="540"/>
      <c r="N247" s="564" t="e">
        <f>J247*INDEX([2]Pedidos!$Q:$Q,MATCH(F247,[2]Pedidos!$E:$E,0))</f>
        <v>#N/A</v>
      </c>
      <c r="O247" s="564" t="e">
        <f>K247*INDEX([2]Pedidos!$Q:$Q,MATCH(G247,[2]Pedidos!$E:$E,0))</f>
        <v>#N/A</v>
      </c>
      <c r="P247" s="564" t="e">
        <f>M247*INDEX([2]Pedidos!$Q:$Q,MATCH(H247,[2]Pedidos!$E:$E,0))</f>
        <v>#N/A</v>
      </c>
    </row>
    <row r="248" spans="1:20" x14ac:dyDescent="0.25">
      <c r="A248" s="753"/>
      <c r="C248" s="452" t="s">
        <v>1034</v>
      </c>
      <c r="D248" s="453">
        <f t="shared" si="43"/>
        <v>46173</v>
      </c>
      <c r="E248" s="454" t="s">
        <v>576</v>
      </c>
      <c r="F248" s="517"/>
      <c r="G248" s="512"/>
      <c r="H248" s="505"/>
      <c r="I248" s="505"/>
      <c r="J248" s="541" cm="1">
        <f t="array" aca="1" ref="J248" ca="1">IFERROR(_xlfn.LET(_xlpm.produto,TRIM(F248)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48" s="541" cm="1">
        <f t="array" aca="1" ref="K248" ca="1">IFERROR(_xlfn.LET(_xlpm.produto,TRIM(G248)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48" s="541"/>
      <c r="M248" s="541" cm="1">
        <f t="array" aca="1" ref="M248" ca="1">IFERROR(_xlfn.LET(_xlpm.produto,TRIM(H248)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48" s="556"/>
      <c r="O248" s="556"/>
      <c r="P248" s="556"/>
    </row>
    <row r="249" spans="1:20" x14ac:dyDescent="0.25">
      <c r="A249" s="753"/>
      <c r="C249" s="452" t="s">
        <v>1034</v>
      </c>
      <c r="D249" s="449">
        <f t="shared" si="43"/>
        <v>46173</v>
      </c>
      <c r="E249" s="454" t="s">
        <v>167</v>
      </c>
      <c r="F249" s="517"/>
      <c r="G249" s="512"/>
      <c r="H249" s="505"/>
      <c r="I249" s="505"/>
      <c r="J249" s="540"/>
      <c r="K249" s="540"/>
      <c r="L249" s="540"/>
      <c r="M249" s="540"/>
      <c r="N249" s="565" t="e">
        <f>J249*INDEX([2]Pedidos!$Q:$Q,MATCH(F249,[2]Pedidos!$E:$E,0))</f>
        <v>#N/A</v>
      </c>
      <c r="O249" s="565" t="e">
        <f>K249*INDEX([2]Pedidos!$Q:$Q,MATCH(G249,[2]Pedidos!$E:$E,0))</f>
        <v>#N/A</v>
      </c>
      <c r="P249" s="565" t="e">
        <f>M249*INDEX([2]Pedidos!$Q:$Q,MATCH(H249,[2]Pedidos!$E:$E,0))</f>
        <v>#N/A</v>
      </c>
    </row>
    <row r="250" spans="1:20" x14ac:dyDescent="0.25">
      <c r="A250" s="753"/>
      <c r="C250" s="452" t="s">
        <v>1034</v>
      </c>
      <c r="D250" s="449">
        <f t="shared" si="43"/>
        <v>46173</v>
      </c>
      <c r="E250" s="454" t="s">
        <v>168</v>
      </c>
      <c r="F250" s="517"/>
      <c r="G250" s="512"/>
      <c r="H250" s="505"/>
      <c r="I250" s="505"/>
      <c r="J250" s="540"/>
      <c r="K250" s="540"/>
      <c r="L250" s="540"/>
      <c r="M250" s="540"/>
      <c r="N250" s="565" t="e">
        <f>J250*INDEX([2]Pedidos!$Q:$Q,MATCH(F250,[2]Pedidos!$E:$E,0))</f>
        <v>#N/A</v>
      </c>
      <c r="O250" s="565" t="e">
        <f>K250*INDEX([2]Pedidos!$Q:$Q,MATCH(G250,[2]Pedidos!$E:$E,0))</f>
        <v>#N/A</v>
      </c>
      <c r="P250" s="565" t="e">
        <f>M250*INDEX([2]Pedidos!$Q:$Q,MATCH(H250,[2]Pedidos!$E:$E,0))</f>
        <v>#N/A</v>
      </c>
    </row>
    <row r="251" spans="1:20" x14ac:dyDescent="0.25">
      <c r="A251" s="753"/>
      <c r="C251" s="452" t="s">
        <v>1034</v>
      </c>
      <c r="D251" s="449">
        <f t="shared" si="43"/>
        <v>46173</v>
      </c>
      <c r="E251" s="454" t="s">
        <v>169</v>
      </c>
      <c r="F251" s="517"/>
      <c r="G251" s="512"/>
      <c r="H251" s="505"/>
      <c r="I251" s="505"/>
      <c r="J251" s="540"/>
      <c r="K251" s="540"/>
      <c r="L251" s="540"/>
      <c r="M251" s="540"/>
      <c r="N251" s="565" t="e">
        <f>J251*INDEX([2]Pedidos!$Q:$Q,MATCH(F251,[2]Pedidos!$E:$E,0))</f>
        <v>#N/A</v>
      </c>
      <c r="O251" s="565" t="e">
        <f>K251*INDEX([2]Pedidos!$Q:$Q,MATCH(G251,[2]Pedidos!$E:$E,0))</f>
        <v>#N/A</v>
      </c>
      <c r="P251" s="565" t="e">
        <f>M251*INDEX([2]Pedidos!$Q:$Q,MATCH(H251,[2]Pedidos!$E:$E,0))</f>
        <v>#N/A</v>
      </c>
    </row>
    <row r="252" spans="1:20" x14ac:dyDescent="0.25">
      <c r="A252" s="753"/>
      <c r="C252" s="452" t="s">
        <v>1034</v>
      </c>
      <c r="D252" s="449">
        <f t="shared" si="43"/>
        <v>46173</v>
      </c>
      <c r="E252" s="454" t="s">
        <v>170</v>
      </c>
      <c r="F252" s="517"/>
      <c r="G252" s="512"/>
      <c r="H252" s="505"/>
      <c r="I252" s="505"/>
      <c r="J252" s="540"/>
      <c r="K252" s="540"/>
      <c r="L252" s="540"/>
      <c r="M252" s="540"/>
      <c r="N252" s="566" t="e">
        <f>J252*INDEX([2]Pedidos!$Q:$Q,MATCH(F252,[2]Pedidos!$E:$E,0))</f>
        <v>#N/A</v>
      </c>
      <c r="O252" s="566" t="e">
        <f>K252*INDEX([2]Pedidos!$Q:$Q,MATCH(G252,[2]Pedidos!$E:$E,0))</f>
        <v>#N/A</v>
      </c>
      <c r="P252" s="566" t="e">
        <f>M252*INDEX([2]Pedidos!$Q:$Q,MATCH(H252,[2]Pedidos!$E:$E,0))</f>
        <v>#N/A</v>
      </c>
    </row>
    <row r="253" spans="1:20" x14ac:dyDescent="0.25">
      <c r="A253" s="753"/>
      <c r="C253" s="452" t="s">
        <v>1034</v>
      </c>
      <c r="D253" s="449">
        <f t="shared" si="43"/>
        <v>46173</v>
      </c>
      <c r="E253" s="454" t="s">
        <v>585</v>
      </c>
      <c r="F253" s="505"/>
      <c r="G253" s="505"/>
      <c r="H253" s="516"/>
      <c r="I253" s="516"/>
      <c r="J253" s="516" cm="1">
        <f t="array" aca="1" ref="J253" ca="1">IFERROR(_xlfn.LET(_xlpm.produto,TRIM(F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3" s="516" cm="1">
        <f t="array" aca="1" ref="K253" ca="1">IFERROR(_xlfn.LET(_xlpm.produto,TRIM(G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3" s="516"/>
      <c r="M253" s="516" cm="1">
        <f t="array" aca="1" ref="M253" ca="1">IFERROR(_xlfn.LET(_xlpm.produto,TRIM(H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53" s="557"/>
      <c r="O253" s="557"/>
      <c r="P253" s="557"/>
    </row>
    <row r="254" spans="1:20" x14ac:dyDescent="0.25">
      <c r="A254" s="753"/>
      <c r="C254" s="452" t="s">
        <v>1034</v>
      </c>
      <c r="D254" s="449">
        <f t="shared" si="43"/>
        <v>46173</v>
      </c>
      <c r="E254" s="455" t="s">
        <v>574</v>
      </c>
      <c r="F254" s="505"/>
      <c r="G254" s="505"/>
      <c r="H254" s="516"/>
      <c r="I254" s="516"/>
      <c r="J254" s="516" cm="1">
        <f t="array" aca="1" ref="J254" ca="1">IFERROR(_xlfn.LET(_xlpm.produto,TRIM(F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4" s="516" cm="1">
        <f t="array" aca="1" ref="K254" ca="1">IFERROR(_xlfn.LET(_xlpm.produto,TRIM(G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4" s="516"/>
      <c r="M254" s="516" cm="1">
        <f t="array" aca="1" ref="M254" ca="1">IFERROR(_xlfn.LET(_xlpm.produto,TRIM(H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54" s="557"/>
      <c r="O254" s="557"/>
      <c r="P254" s="557"/>
    </row>
    <row r="255" spans="1:20" x14ac:dyDescent="0.25">
      <c r="A255" s="753"/>
      <c r="C255" s="452" t="s">
        <v>1034</v>
      </c>
      <c r="D255" s="449">
        <f t="shared" si="43"/>
        <v>46173</v>
      </c>
      <c r="E255" s="455" t="s">
        <v>575</v>
      </c>
      <c r="F255" s="506"/>
      <c r="G255" s="506"/>
      <c r="H255" s="516"/>
      <c r="I255" s="516"/>
      <c r="J255" s="516" cm="1">
        <f t="array" aca="1" ref="J255" ca="1">IFERROR(_xlfn.LET(_xlpm.produto,TRIM(F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5" s="516" cm="1">
        <f t="array" aca="1" ref="K255" ca="1">IFERROR(_xlfn.LET(_xlpm.produto,TRIM(G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5" s="516"/>
      <c r="M255" s="516" cm="1">
        <f t="array" aca="1" ref="M255" ca="1">IFERROR(_xlfn.LET(_xlpm.produto,TRIM(H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55" s="557"/>
      <c r="O255" s="557"/>
      <c r="P255" s="557"/>
    </row>
    <row r="256" spans="1:20" x14ac:dyDescent="0.25">
      <c r="A256" s="753"/>
      <c r="C256" s="452" t="s">
        <v>1034</v>
      </c>
      <c r="D256" s="449">
        <f t="shared" si="43"/>
        <v>46173</v>
      </c>
      <c r="E256" s="503" t="s">
        <v>583</v>
      </c>
      <c r="F256" s="506"/>
      <c r="G256" s="506"/>
      <c r="H256" s="516"/>
      <c r="I256" s="516"/>
      <c r="J256" s="516" cm="1">
        <f t="array" aca="1" ref="J256" ca="1">IFERROR(_xlfn.LET(_xlpm.produto,TRIM(F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6" s="516" cm="1">
        <f t="array" aca="1" ref="K256" ca="1">IFERROR(_xlfn.LET(_xlpm.produto,TRIM(G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6" s="516"/>
      <c r="M256" s="516" cm="1">
        <f t="array" aca="1" ref="M256" ca="1">IFERROR(_xlfn.LET(_xlpm.produto,TRIM(H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56" s="557"/>
      <c r="O256" s="557"/>
      <c r="P256" s="557"/>
    </row>
    <row r="257" spans="1:18" ht="15.75" thickBot="1" x14ac:dyDescent="0.3">
      <c r="A257" s="753"/>
      <c r="C257" s="530" t="s">
        <v>1034</v>
      </c>
      <c r="D257" s="451">
        <f t="shared" si="43"/>
        <v>46173</v>
      </c>
      <c r="E257" s="459" t="s">
        <v>584</v>
      </c>
      <c r="F257" s="493"/>
      <c r="G257" s="493"/>
      <c r="H257" s="513"/>
      <c r="I257" s="513"/>
      <c r="J257" s="513" cm="1">
        <f t="array" aca="1" ref="J257" ca="1">IFERROR(_xlfn.LET(_xlpm.produto,TRIM(F257)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7" s="513" cm="1">
        <f t="array" aca="1" ref="K257" ca="1">IFERROR(_xlfn.LET(_xlpm.produto,TRIM(G257)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7" s="513"/>
      <c r="M257" s="513" cm="1">
        <f t="array" aca="1" ref="M257" ca="1">IFERROR(_xlfn.LET(_xlpm.produto,TRIM(H257)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257" s="558"/>
      <c r="O257" s="558"/>
      <c r="P257" s="558"/>
    </row>
    <row r="258" spans="1:18" ht="5.25" customHeight="1" thickBot="1" x14ac:dyDescent="0.3">
      <c r="J258" s="445"/>
      <c r="K258" s="445"/>
      <c r="L258" s="445"/>
    </row>
    <row r="259" spans="1:18" ht="15.75" thickBot="1" x14ac:dyDescent="0.3">
      <c r="A259" s="753" t="s">
        <v>1786</v>
      </c>
      <c r="C259" s="538"/>
      <c r="D259" s="539"/>
      <c r="E259" s="539"/>
      <c r="F259" s="539"/>
      <c r="G259" s="539"/>
      <c r="H259" s="539"/>
      <c r="I259" s="539"/>
      <c r="J259" s="606">
        <f t="shared" ref="J259:M259" si="44">_xlfn.AGGREGATE(9,6,J260:J275)</f>
        <v>10000.000000000002</v>
      </c>
      <c r="K259" s="607">
        <f t="shared" si="44"/>
        <v>10519.04761904762</v>
      </c>
      <c r="L259" s="607"/>
      <c r="M259" s="544">
        <f t="shared" si="44"/>
        <v>0</v>
      </c>
      <c r="N259" s="560">
        <f t="shared" ref="N259:P259" si="45">_xlfn.AGGREGATE(9,6,N260:N275)</f>
        <v>5500.0000000000018</v>
      </c>
      <c r="O259" s="561">
        <f t="shared" si="45"/>
        <v>8941.1904761904752</v>
      </c>
      <c r="P259" s="562">
        <f t="shared" si="45"/>
        <v>0</v>
      </c>
      <c r="Q259" s="548">
        <f>SUM(J259:M259)</f>
        <v>20519.047619047622</v>
      </c>
      <c r="R259" s="549">
        <f>SUM(N259:P259)</f>
        <v>14441.190476190477</v>
      </c>
    </row>
    <row r="260" spans="1:18" x14ac:dyDescent="0.25">
      <c r="A260" s="753"/>
      <c r="C260" s="446" t="s">
        <v>1831</v>
      </c>
      <c r="D260" s="497">
        <f>D257+1</f>
        <v>46174</v>
      </c>
      <c r="E260" s="498" t="s">
        <v>573</v>
      </c>
      <c r="F260" s="681" t="s">
        <v>1801</v>
      </c>
      <c r="G260" s="681" t="s">
        <v>1824</v>
      </c>
      <c r="H260" s="460"/>
      <c r="I260" s="725"/>
      <c r="J260" s="683">
        <f>20000/28</f>
        <v>714.28571428571433</v>
      </c>
      <c r="K260" s="683">
        <f>16000/21</f>
        <v>761.90476190476193</v>
      </c>
      <c r="L260" s="683"/>
      <c r="M260" s="683"/>
      <c r="N260" s="695">
        <f>J260*INDEX([2]Pedidos!$Q:$Q,MATCH(F260,[2]Pedidos!$E:$E,0))</f>
        <v>392.85714285714289</v>
      </c>
      <c r="O260" s="695">
        <f>K260*INDEX([2]Pedidos!$Q:$Q,MATCH(G260,[2]Pedidos!$E:$E,0))</f>
        <v>647.61904761904759</v>
      </c>
      <c r="P260" s="695" t="e">
        <f>M260*INDEX([2]Pedidos!$Q:$Q,MATCH(H260,[2]Pedidos!$E:$E,0))</f>
        <v>#N/A</v>
      </c>
    </row>
    <row r="261" spans="1:18" x14ac:dyDescent="0.25">
      <c r="A261" s="753"/>
      <c r="C261" s="452" t="s">
        <v>1831</v>
      </c>
      <c r="D261" s="499">
        <f t="shared" ref="D261:D275" si="46">D260</f>
        <v>46174</v>
      </c>
      <c r="E261" s="500" t="s">
        <v>162</v>
      </c>
      <c r="F261" s="460" t="s">
        <v>1801</v>
      </c>
      <c r="G261" s="460" t="s">
        <v>1824</v>
      </c>
      <c r="H261" s="460"/>
      <c r="I261" s="460"/>
      <c r="J261" s="540">
        <f t="shared" ref="J261:J264" si="47">20000/28</f>
        <v>714.28571428571433</v>
      </c>
      <c r="K261" s="540">
        <f t="shared" ref="K261:K264" si="48">16000/21</f>
        <v>761.90476190476193</v>
      </c>
      <c r="L261" s="540"/>
      <c r="M261" s="540"/>
      <c r="N261" s="555">
        <f>J261*INDEX([2]Pedidos!$Q:$Q,MATCH(F261,[2]Pedidos!$E:$E,0))</f>
        <v>392.85714285714289</v>
      </c>
      <c r="O261" s="555">
        <f>K261*INDEX([2]Pedidos!$Q:$Q,MATCH(G261,[2]Pedidos!$E:$E,0))</f>
        <v>647.61904761904759</v>
      </c>
      <c r="P261" s="555" t="e">
        <f>M261*INDEX([2]Pedidos!$Q:$Q,MATCH(H261,[2]Pedidos!$E:$E,0))</f>
        <v>#N/A</v>
      </c>
    </row>
    <row r="262" spans="1:18" x14ac:dyDescent="0.25">
      <c r="A262" s="753"/>
      <c r="C262" s="452" t="s">
        <v>1831</v>
      </c>
      <c r="D262" s="449">
        <f t="shared" si="46"/>
        <v>46174</v>
      </c>
      <c r="E262" s="454" t="s">
        <v>163</v>
      </c>
      <c r="F262" s="460" t="s">
        <v>1801</v>
      </c>
      <c r="G262" s="460" t="s">
        <v>1824</v>
      </c>
      <c r="H262" s="460"/>
      <c r="I262" s="460"/>
      <c r="J262" s="540">
        <f t="shared" si="47"/>
        <v>714.28571428571433</v>
      </c>
      <c r="K262" s="540">
        <f t="shared" si="48"/>
        <v>761.90476190476193</v>
      </c>
      <c r="L262" s="540"/>
      <c r="M262" s="540"/>
      <c r="N262" s="564">
        <f>J262*INDEX([2]Pedidos!$Q:$Q,MATCH(F262,[2]Pedidos!$E:$E,0))</f>
        <v>392.85714285714289</v>
      </c>
      <c r="O262" s="564">
        <f>K262*INDEX([2]Pedidos!$Q:$Q,MATCH(G262,[2]Pedidos!$E:$E,0))</f>
        <v>647.61904761904759</v>
      </c>
      <c r="P262" s="564" t="e">
        <f>M262*INDEX([2]Pedidos!$Q:$Q,MATCH(H262,[2]Pedidos!$E:$E,0))</f>
        <v>#N/A</v>
      </c>
    </row>
    <row r="263" spans="1:18" x14ac:dyDescent="0.25">
      <c r="A263" s="753"/>
      <c r="C263" s="452" t="s">
        <v>1831</v>
      </c>
      <c r="D263" s="449">
        <f t="shared" si="46"/>
        <v>46174</v>
      </c>
      <c r="E263" s="454" t="s">
        <v>164</v>
      </c>
      <c r="F263" s="460" t="s">
        <v>1801</v>
      </c>
      <c r="G263" s="460" t="s">
        <v>1824</v>
      </c>
      <c r="H263" s="460"/>
      <c r="I263" s="460"/>
      <c r="J263" s="540">
        <f t="shared" si="47"/>
        <v>714.28571428571433</v>
      </c>
      <c r="K263" s="540">
        <f t="shared" si="48"/>
        <v>761.90476190476193</v>
      </c>
      <c r="L263" s="540"/>
      <c r="M263" s="540"/>
      <c r="N263" s="564">
        <f>J263*INDEX([2]Pedidos!$Q:$Q,MATCH(F263,[2]Pedidos!$E:$E,0))</f>
        <v>392.85714285714289</v>
      </c>
      <c r="O263" s="564">
        <f>K263*INDEX([2]Pedidos!$Q:$Q,MATCH(G263,[2]Pedidos!$E:$E,0))</f>
        <v>647.61904761904759</v>
      </c>
      <c r="P263" s="564" t="e">
        <f>M263*INDEX([2]Pedidos!$Q:$Q,MATCH(H263,[2]Pedidos!$E:$E,0))</f>
        <v>#N/A</v>
      </c>
    </row>
    <row r="264" spans="1:18" x14ac:dyDescent="0.25">
      <c r="A264" s="753"/>
      <c r="C264" s="452" t="s">
        <v>1831</v>
      </c>
      <c r="D264" s="449">
        <f t="shared" si="46"/>
        <v>46174</v>
      </c>
      <c r="E264" s="454" t="s">
        <v>165</v>
      </c>
      <c r="F264" s="460" t="s">
        <v>1801</v>
      </c>
      <c r="G264" s="460" t="s">
        <v>1824</v>
      </c>
      <c r="H264" s="460"/>
      <c r="I264" s="460"/>
      <c r="J264" s="540">
        <f t="shared" si="47"/>
        <v>714.28571428571433</v>
      </c>
      <c r="K264" s="540">
        <f t="shared" si="48"/>
        <v>761.90476190476193</v>
      </c>
      <c r="L264" s="540"/>
      <c r="M264" s="540"/>
      <c r="N264" s="564">
        <f>J264*INDEX([2]Pedidos!$Q:$Q,MATCH(F264,[2]Pedidos!$E:$E,0))</f>
        <v>392.85714285714289</v>
      </c>
      <c r="O264" s="564">
        <f>K264*INDEX([2]Pedidos!$Q:$Q,MATCH(G264,[2]Pedidos!$E:$E,0))</f>
        <v>647.61904761904759</v>
      </c>
      <c r="P264" s="564" t="e">
        <f>M264*INDEX([2]Pedidos!$Q:$Q,MATCH(H264,[2]Pedidos!$E:$E,0))</f>
        <v>#N/A</v>
      </c>
    </row>
    <row r="265" spans="1:18" x14ac:dyDescent="0.25">
      <c r="A265" s="753"/>
      <c r="C265" s="452" t="s">
        <v>1831</v>
      </c>
      <c r="D265" s="449">
        <f t="shared" si="46"/>
        <v>46174</v>
      </c>
      <c r="E265" s="454" t="s">
        <v>166</v>
      </c>
      <c r="F265" s="512"/>
      <c r="G265" s="512"/>
      <c r="H265" s="512"/>
      <c r="I265" s="512"/>
      <c r="J265" s="682"/>
      <c r="K265" s="682"/>
      <c r="L265" s="682"/>
      <c r="M265" s="682"/>
      <c r="N265" s="556"/>
      <c r="O265" s="556"/>
      <c r="P265" s="556"/>
    </row>
    <row r="266" spans="1:18" x14ac:dyDescent="0.25">
      <c r="A266" s="753"/>
      <c r="C266" s="452" t="s">
        <v>1831</v>
      </c>
      <c r="D266" s="449">
        <f t="shared" si="46"/>
        <v>46174</v>
      </c>
      <c r="E266" s="454" t="s">
        <v>576</v>
      </c>
      <c r="F266" s="461" t="s">
        <v>1801</v>
      </c>
      <c r="G266" s="460" t="s">
        <v>1824</v>
      </c>
      <c r="H266" s="460"/>
      <c r="I266" s="460"/>
      <c r="J266" s="679">
        <f t="shared" ref="J266:J271" si="49">20000/28</f>
        <v>714.28571428571433</v>
      </c>
      <c r="K266" s="679">
        <f t="shared" ref="K266:K267" si="50">16000/21</f>
        <v>761.90476190476193</v>
      </c>
      <c r="L266" s="679"/>
      <c r="M266" s="679"/>
      <c r="N266" s="565">
        <f>J266*INDEX([2]Pedidos!$Q:$Q,MATCH(F266,[2]Pedidos!$E:$E,0))</f>
        <v>392.85714285714289</v>
      </c>
      <c r="O266" s="565">
        <f>K266*INDEX([2]Pedidos!$Q:$Q,MATCH(G266,[2]Pedidos!$E:$E,0))</f>
        <v>647.61904761904759</v>
      </c>
      <c r="P266" s="565" t="e">
        <f>M266*INDEX([2]Pedidos!$Q:$Q,MATCH(H266,[2]Pedidos!$E:$E,0))</f>
        <v>#N/A</v>
      </c>
    </row>
    <row r="267" spans="1:18" x14ac:dyDescent="0.25">
      <c r="A267" s="753"/>
      <c r="C267" s="452" t="s">
        <v>1831</v>
      </c>
      <c r="D267" s="449">
        <f t="shared" si="46"/>
        <v>46174</v>
      </c>
      <c r="E267" s="454" t="s">
        <v>167</v>
      </c>
      <c r="F267" s="460" t="s">
        <v>1801</v>
      </c>
      <c r="G267" s="460" t="s">
        <v>1824</v>
      </c>
      <c r="H267" s="460"/>
      <c r="I267" s="460"/>
      <c r="J267" s="540">
        <f t="shared" si="49"/>
        <v>714.28571428571433</v>
      </c>
      <c r="K267" s="540">
        <f t="shared" si="50"/>
        <v>761.90476190476193</v>
      </c>
      <c r="L267" s="540"/>
      <c r="M267" s="540"/>
      <c r="N267" s="565">
        <f>J267*INDEX([2]Pedidos!$Q:$Q,MATCH(F267,[2]Pedidos!$E:$E,0))</f>
        <v>392.85714285714289</v>
      </c>
      <c r="O267" s="565">
        <f>K267*INDEX([2]Pedidos!$Q:$Q,MATCH(G267,[2]Pedidos!$E:$E,0))</f>
        <v>647.61904761904759</v>
      </c>
      <c r="P267" s="565" t="e">
        <f>M267*INDEX([2]Pedidos!$Q:$Q,MATCH(H267,[2]Pedidos!$E:$E,0))</f>
        <v>#N/A</v>
      </c>
    </row>
    <row r="268" spans="1:18" x14ac:dyDescent="0.25">
      <c r="A268" s="753"/>
      <c r="C268" s="452" t="s">
        <v>1831</v>
      </c>
      <c r="D268" s="449">
        <f t="shared" si="46"/>
        <v>46174</v>
      </c>
      <c r="E268" s="454" t="s">
        <v>168</v>
      </c>
      <c r="F268" s="460" t="s">
        <v>1801</v>
      </c>
      <c r="G268" s="460" t="s">
        <v>1782</v>
      </c>
      <c r="H268" s="460"/>
      <c r="I268" s="460"/>
      <c r="J268" s="540">
        <f t="shared" si="49"/>
        <v>714.28571428571433</v>
      </c>
      <c r="K268" s="540">
        <f>11000/14</f>
        <v>785.71428571428567</v>
      </c>
      <c r="L268" s="540"/>
      <c r="M268" s="540"/>
      <c r="N268" s="565">
        <f>J268*INDEX([2]Pedidos!$Q:$Q,MATCH(F268,[2]Pedidos!$E:$E,0))</f>
        <v>392.85714285714289</v>
      </c>
      <c r="O268" s="565">
        <f>K268*INDEX([2]Pedidos!$Q:$Q,MATCH(G268,[2]Pedidos!$E:$E,0))</f>
        <v>667.85714285714278</v>
      </c>
      <c r="P268" s="565" t="e">
        <f>M268*INDEX([2]Pedidos!$Q:$Q,MATCH(H268,[2]Pedidos!$E:$E,0))</f>
        <v>#N/A</v>
      </c>
    </row>
    <row r="269" spans="1:18" x14ac:dyDescent="0.25">
      <c r="A269" s="753"/>
      <c r="C269" s="452" t="s">
        <v>1831</v>
      </c>
      <c r="D269" s="449">
        <f t="shared" si="46"/>
        <v>46174</v>
      </c>
      <c r="E269" s="454" t="s">
        <v>169</v>
      </c>
      <c r="F269" s="460" t="s">
        <v>1801</v>
      </c>
      <c r="G269" s="460" t="s">
        <v>1782</v>
      </c>
      <c r="H269" s="460"/>
      <c r="I269" s="460"/>
      <c r="J269" s="540">
        <f t="shared" si="49"/>
        <v>714.28571428571433</v>
      </c>
      <c r="K269" s="540">
        <f>11000/15</f>
        <v>733.33333333333337</v>
      </c>
      <c r="L269" s="540"/>
      <c r="M269" s="540"/>
      <c r="N269" s="565">
        <f>J269*INDEX([2]Pedidos!$Q:$Q,MATCH(F269,[2]Pedidos!$E:$E,0))</f>
        <v>392.85714285714289</v>
      </c>
      <c r="O269" s="565">
        <f>K269*INDEX([2]Pedidos!$Q:$Q,MATCH(G269,[2]Pedidos!$E:$E,0))</f>
        <v>623.33333333333337</v>
      </c>
      <c r="P269" s="565" t="e">
        <f>M269*INDEX([2]Pedidos!$Q:$Q,MATCH(H269,[2]Pedidos!$E:$E,0))</f>
        <v>#N/A</v>
      </c>
    </row>
    <row r="270" spans="1:18" x14ac:dyDescent="0.25">
      <c r="A270" s="753"/>
      <c r="C270" s="452" t="s">
        <v>1831</v>
      </c>
      <c r="D270" s="449">
        <f t="shared" si="46"/>
        <v>46174</v>
      </c>
      <c r="E270" s="454" t="s">
        <v>170</v>
      </c>
      <c r="F270" s="460" t="s">
        <v>1801</v>
      </c>
      <c r="G270" s="460" t="s">
        <v>1782</v>
      </c>
      <c r="H270" s="460"/>
      <c r="I270" s="460"/>
      <c r="J270" s="540">
        <f t="shared" si="49"/>
        <v>714.28571428571433</v>
      </c>
      <c r="K270" s="540">
        <f t="shared" ref="K270:K271" si="51">11000/15</f>
        <v>733.33333333333337</v>
      </c>
      <c r="L270" s="540"/>
      <c r="M270" s="540"/>
      <c r="N270" s="566">
        <f>J270*INDEX([2]Pedidos!$Q:$Q,MATCH(F270,[2]Pedidos!$E:$E,0))</f>
        <v>392.85714285714289</v>
      </c>
      <c r="O270" s="566">
        <f>K270*INDEX([2]Pedidos!$Q:$Q,MATCH(G270,[2]Pedidos!$E:$E,0))</f>
        <v>623.33333333333337</v>
      </c>
      <c r="P270" s="566" t="e">
        <f>M270*INDEX([2]Pedidos!$Q:$Q,MATCH(H270,[2]Pedidos!$E:$E,0))</f>
        <v>#N/A</v>
      </c>
    </row>
    <row r="271" spans="1:18" x14ac:dyDescent="0.25">
      <c r="A271" s="753"/>
      <c r="C271" s="452" t="s">
        <v>1831</v>
      </c>
      <c r="D271" s="449">
        <f t="shared" si="46"/>
        <v>46174</v>
      </c>
      <c r="E271" s="454" t="s">
        <v>585</v>
      </c>
      <c r="F271" s="460" t="s">
        <v>1801</v>
      </c>
      <c r="G271" s="460" t="s">
        <v>1782</v>
      </c>
      <c r="H271" s="460"/>
      <c r="I271" s="725"/>
      <c r="J271" s="684">
        <f t="shared" si="49"/>
        <v>714.28571428571433</v>
      </c>
      <c r="K271" s="540">
        <f t="shared" si="51"/>
        <v>733.33333333333337</v>
      </c>
      <c r="L271" s="683"/>
      <c r="M271" s="684"/>
      <c r="N271" s="566">
        <f>J271*INDEX([2]Pedidos!$Q:$Q,MATCH(F271,[2]Pedidos!$E:$E,0))</f>
        <v>392.85714285714289</v>
      </c>
      <c r="O271" s="566">
        <f>K271*INDEX([2]Pedidos!$Q:$Q,MATCH(G271,[2]Pedidos!$E:$E,0))</f>
        <v>623.33333333333337</v>
      </c>
      <c r="P271" s="566" t="e">
        <f>M271*INDEX([2]Pedidos!$Q:$Q,MATCH(H271,[2]Pedidos!$E:$E,0))</f>
        <v>#N/A</v>
      </c>
    </row>
    <row r="272" spans="1:18" x14ac:dyDescent="0.25">
      <c r="A272" s="753"/>
      <c r="C272" s="448" t="s">
        <v>1831</v>
      </c>
      <c r="D272" s="449">
        <f t="shared" si="46"/>
        <v>46174</v>
      </c>
      <c r="E272" s="455" t="s">
        <v>574</v>
      </c>
      <c r="F272" s="512"/>
      <c r="G272" s="512"/>
      <c r="H272" s="512"/>
      <c r="I272" s="537"/>
      <c r="J272" s="685"/>
      <c r="K272" s="685"/>
      <c r="L272" s="685"/>
      <c r="M272" s="685"/>
      <c r="N272" s="556"/>
      <c r="O272" s="556"/>
      <c r="P272" s="556"/>
    </row>
    <row r="273" spans="1:18" x14ac:dyDescent="0.25">
      <c r="A273" s="753"/>
      <c r="C273" s="448" t="s">
        <v>1831</v>
      </c>
      <c r="D273" s="449">
        <f t="shared" si="46"/>
        <v>46174</v>
      </c>
      <c r="E273" s="455" t="s">
        <v>575</v>
      </c>
      <c r="F273" s="504" t="s">
        <v>1801</v>
      </c>
      <c r="G273" s="504" t="s">
        <v>1782</v>
      </c>
      <c r="H273" s="504"/>
      <c r="I273" s="504"/>
      <c r="J273" s="684">
        <f t="shared" ref="J273:J275" si="52">20000/28</f>
        <v>714.28571428571433</v>
      </c>
      <c r="K273" s="684">
        <f t="shared" ref="K273:K275" si="53">11000/15</f>
        <v>733.33333333333337</v>
      </c>
      <c r="L273" s="684"/>
      <c r="M273" s="684"/>
      <c r="N273" s="566">
        <f>J273*INDEX([2]Pedidos!$Q:$Q,MATCH(F273,[2]Pedidos!$E:$E,0))</f>
        <v>392.85714285714289</v>
      </c>
      <c r="O273" s="566">
        <f>K273*INDEX([2]Pedidos!$Q:$Q,MATCH(G273,[2]Pedidos!$E:$E,0))</f>
        <v>623.33333333333337</v>
      </c>
      <c r="P273" s="566" t="e">
        <f>M273*INDEX([2]Pedidos!$Q:$Q,MATCH(H273,[2]Pedidos!$E:$E,0))</f>
        <v>#N/A</v>
      </c>
    </row>
    <row r="274" spans="1:18" x14ac:dyDescent="0.25">
      <c r="A274" s="753"/>
      <c r="C274" s="448" t="s">
        <v>1831</v>
      </c>
      <c r="D274" s="449">
        <f t="shared" si="46"/>
        <v>46174</v>
      </c>
      <c r="E274" s="503" t="s">
        <v>583</v>
      </c>
      <c r="F274" s="504" t="s">
        <v>1801</v>
      </c>
      <c r="G274" s="504" t="s">
        <v>1782</v>
      </c>
      <c r="H274" s="504"/>
      <c r="I274" s="504"/>
      <c r="J274" s="684">
        <f t="shared" si="52"/>
        <v>714.28571428571433</v>
      </c>
      <c r="K274" s="684">
        <f t="shared" si="53"/>
        <v>733.33333333333337</v>
      </c>
      <c r="L274" s="684"/>
      <c r="M274" s="684"/>
      <c r="N274" s="566">
        <f>J274*INDEX([2]Pedidos!$Q:$Q,MATCH(F274,[2]Pedidos!$E:$E,0))</f>
        <v>392.85714285714289</v>
      </c>
      <c r="O274" s="566">
        <f>K274*INDEX([2]Pedidos!$Q:$Q,MATCH(G274,[2]Pedidos!$E:$E,0))</f>
        <v>623.33333333333337</v>
      </c>
      <c r="P274" s="566" t="e">
        <f>M274*INDEX([2]Pedidos!$Q:$Q,MATCH(H274,[2]Pedidos!$E:$E,0))</f>
        <v>#N/A</v>
      </c>
    </row>
    <row r="275" spans="1:18" ht="15.75" thickBot="1" x14ac:dyDescent="0.3">
      <c r="A275" s="753"/>
      <c r="C275" s="450" t="s">
        <v>1831</v>
      </c>
      <c r="D275" s="451">
        <f t="shared" si="46"/>
        <v>46174</v>
      </c>
      <c r="E275" s="459" t="s">
        <v>584</v>
      </c>
      <c r="F275" s="680" t="s">
        <v>1801</v>
      </c>
      <c r="G275" s="680" t="s">
        <v>1782</v>
      </c>
      <c r="H275" s="680"/>
      <c r="I275" s="680"/>
      <c r="J275" s="686">
        <f t="shared" si="52"/>
        <v>714.28571428571433</v>
      </c>
      <c r="K275" s="686">
        <f t="shared" si="53"/>
        <v>733.33333333333337</v>
      </c>
      <c r="L275" s="686"/>
      <c r="M275" s="686"/>
      <c r="N275" s="696">
        <f>J275*INDEX([2]Pedidos!$Q:$Q,MATCH(F275,[2]Pedidos!$E:$E,0))</f>
        <v>392.85714285714289</v>
      </c>
      <c r="O275" s="696">
        <f>K275*INDEX([2]Pedidos!$Q:$Q,MATCH(G275,[2]Pedidos!$E:$E,0))</f>
        <v>623.33333333333337</v>
      </c>
      <c r="P275" s="696" t="e">
        <f>M275*INDEX([2]Pedidos!$Q:$Q,MATCH(H275,[2]Pedidos!$E:$E,0))</f>
        <v>#N/A</v>
      </c>
    </row>
    <row r="276" spans="1:18" ht="5.25" customHeight="1" thickBot="1" x14ac:dyDescent="0.3">
      <c r="A276" s="753"/>
      <c r="K276" s="445"/>
      <c r="L276" s="445"/>
      <c r="N276" s="559"/>
      <c r="O276" s="559"/>
      <c r="P276" s="559"/>
    </row>
    <row r="277" spans="1:18" ht="15.75" thickBot="1" x14ac:dyDescent="0.3">
      <c r="A277" s="753"/>
      <c r="C277" s="538"/>
      <c r="D277" s="539"/>
      <c r="E277" s="539"/>
      <c r="F277" s="539"/>
      <c r="G277" s="539"/>
      <c r="H277" s="539"/>
      <c r="I277" s="539"/>
      <c r="J277" s="544">
        <f t="shared" ref="J277" si="54">_xlfn.AGGREGATE(9,6,J278:J293)</f>
        <v>10000.000000000002</v>
      </c>
      <c r="K277" s="607">
        <f t="shared" ref="K277" si="55">_xlfn.AGGREGATE(9,6,K278:K293)</f>
        <v>10366.666666666666</v>
      </c>
      <c r="L277" s="607"/>
      <c r="M277" s="544"/>
      <c r="N277" s="560">
        <f t="shared" ref="N277:P277" si="56">_xlfn.AGGREGATE(9,6,N278:N293)</f>
        <v>5500.0000000000018</v>
      </c>
      <c r="O277" s="561">
        <f t="shared" si="56"/>
        <v>4986.666666666667</v>
      </c>
      <c r="P277" s="562">
        <f t="shared" si="56"/>
        <v>0</v>
      </c>
      <c r="Q277" s="548">
        <f>SUM(J277:M277)</f>
        <v>20366.666666666668</v>
      </c>
      <c r="R277" s="549">
        <f>SUM(N277:P277)</f>
        <v>10486.666666666668</v>
      </c>
    </row>
    <row r="278" spans="1:18" x14ac:dyDescent="0.25">
      <c r="A278" s="753"/>
      <c r="C278" s="446" t="s">
        <v>171</v>
      </c>
      <c r="D278" s="497">
        <f>D275+1</f>
        <v>46175</v>
      </c>
      <c r="E278" s="498" t="s">
        <v>573</v>
      </c>
      <c r="F278" s="681" t="s">
        <v>1801</v>
      </c>
      <c r="G278" s="681" t="s">
        <v>1782</v>
      </c>
      <c r="H278" s="460"/>
      <c r="I278" s="725"/>
      <c r="J278" s="683">
        <f>20000/28</f>
        <v>714.28571428571433</v>
      </c>
      <c r="K278" s="683">
        <f t="shared" ref="K278:K282" si="57">11000/15</f>
        <v>733.33333333333337</v>
      </c>
      <c r="L278" s="683"/>
      <c r="M278" s="683"/>
      <c r="N278" s="695">
        <f>J278*INDEX([2]Pedidos!$Q:$Q,MATCH(F278,[2]Pedidos!$E:$E,0))</f>
        <v>392.85714285714289</v>
      </c>
      <c r="O278" s="695">
        <f>K278*INDEX([2]Pedidos!$Q:$Q,MATCH(G278,[2]Pedidos!$E:$E,0))</f>
        <v>623.33333333333337</v>
      </c>
      <c r="P278" s="695" t="e">
        <f>M278*INDEX([2]Pedidos!$Q:$Q,MATCH(H278,[2]Pedidos!$E:$E,0))</f>
        <v>#N/A</v>
      </c>
    </row>
    <row r="279" spans="1:18" x14ac:dyDescent="0.25">
      <c r="A279" s="753"/>
      <c r="C279" s="452" t="s">
        <v>171</v>
      </c>
      <c r="D279" s="499">
        <f t="shared" ref="D279:D293" si="58">D278</f>
        <v>46175</v>
      </c>
      <c r="E279" s="500" t="s">
        <v>162</v>
      </c>
      <c r="F279" s="460" t="s">
        <v>1801</v>
      </c>
      <c r="G279" s="460" t="s">
        <v>1782</v>
      </c>
      <c r="H279" s="460"/>
      <c r="I279" s="460"/>
      <c r="J279" s="540">
        <f t="shared" ref="J279:J282" si="59">20000/28</f>
        <v>714.28571428571433</v>
      </c>
      <c r="K279" s="540">
        <f t="shared" si="57"/>
        <v>733.33333333333337</v>
      </c>
      <c r="L279" s="540"/>
      <c r="M279" s="540"/>
      <c r="N279" s="555">
        <f>J279*INDEX([2]Pedidos!$Q:$Q,MATCH(F279,[2]Pedidos!$E:$E,0))</f>
        <v>392.85714285714289</v>
      </c>
      <c r="O279" s="555">
        <f>K279*INDEX([2]Pedidos!$Q:$Q,MATCH(G279,[2]Pedidos!$E:$E,0))</f>
        <v>623.33333333333337</v>
      </c>
      <c r="P279" s="555" t="e">
        <f>M279*INDEX([2]Pedidos!$Q:$Q,MATCH(H279,[2]Pedidos!$E:$E,0))</f>
        <v>#N/A</v>
      </c>
    </row>
    <row r="280" spans="1:18" x14ac:dyDescent="0.25">
      <c r="A280" s="753"/>
      <c r="C280" s="452" t="s">
        <v>171</v>
      </c>
      <c r="D280" s="449">
        <f t="shared" si="58"/>
        <v>46175</v>
      </c>
      <c r="E280" s="454" t="s">
        <v>163</v>
      </c>
      <c r="F280" s="460" t="s">
        <v>1801</v>
      </c>
      <c r="G280" s="460" t="s">
        <v>1782</v>
      </c>
      <c r="H280" s="460"/>
      <c r="I280" s="460"/>
      <c r="J280" s="540">
        <f t="shared" si="59"/>
        <v>714.28571428571433</v>
      </c>
      <c r="K280" s="540">
        <f t="shared" si="57"/>
        <v>733.33333333333337</v>
      </c>
      <c r="L280" s="540"/>
      <c r="M280" s="540"/>
      <c r="N280" s="564">
        <f>J280*INDEX([2]Pedidos!$Q:$Q,MATCH(F280,[2]Pedidos!$E:$E,0))</f>
        <v>392.85714285714289</v>
      </c>
      <c r="O280" s="564">
        <f>K280*INDEX([2]Pedidos!$Q:$Q,MATCH(G280,[2]Pedidos!$E:$E,0))</f>
        <v>623.33333333333337</v>
      </c>
      <c r="P280" s="564" t="e">
        <f>M280*INDEX([2]Pedidos!$Q:$Q,MATCH(H280,[2]Pedidos!$E:$E,0))</f>
        <v>#N/A</v>
      </c>
    </row>
    <row r="281" spans="1:18" x14ac:dyDescent="0.25">
      <c r="A281" s="753"/>
      <c r="C281" s="452" t="s">
        <v>171</v>
      </c>
      <c r="D281" s="449">
        <f t="shared" si="58"/>
        <v>46175</v>
      </c>
      <c r="E281" s="454" t="s">
        <v>164</v>
      </c>
      <c r="F281" s="460" t="s">
        <v>1801</v>
      </c>
      <c r="G281" s="460" t="s">
        <v>1782</v>
      </c>
      <c r="H281" s="460"/>
      <c r="I281" s="460"/>
      <c r="J281" s="540">
        <f t="shared" si="59"/>
        <v>714.28571428571433</v>
      </c>
      <c r="K281" s="540">
        <f t="shared" si="57"/>
        <v>733.33333333333337</v>
      </c>
      <c r="L281" s="540"/>
      <c r="M281" s="540"/>
      <c r="N281" s="564">
        <f>J281*INDEX([2]Pedidos!$Q:$Q,MATCH(F281,[2]Pedidos!$E:$E,0))</f>
        <v>392.85714285714289</v>
      </c>
      <c r="O281" s="564">
        <f>K281*INDEX([2]Pedidos!$Q:$Q,MATCH(G281,[2]Pedidos!$E:$E,0))</f>
        <v>623.33333333333337</v>
      </c>
      <c r="P281" s="564" t="e">
        <f>M281*INDEX([2]Pedidos!$Q:$Q,MATCH(H281,[2]Pedidos!$E:$E,0))</f>
        <v>#N/A</v>
      </c>
    </row>
    <row r="282" spans="1:18" x14ac:dyDescent="0.25">
      <c r="A282" s="753"/>
      <c r="C282" s="452" t="s">
        <v>171</v>
      </c>
      <c r="D282" s="449">
        <f t="shared" si="58"/>
        <v>46175</v>
      </c>
      <c r="E282" s="454" t="s">
        <v>165</v>
      </c>
      <c r="F282" s="460" t="s">
        <v>1801</v>
      </c>
      <c r="G282" s="460" t="s">
        <v>1782</v>
      </c>
      <c r="H282" s="460"/>
      <c r="I282" s="460"/>
      <c r="J282" s="540">
        <f t="shared" si="59"/>
        <v>714.28571428571433</v>
      </c>
      <c r="K282" s="540">
        <f t="shared" si="57"/>
        <v>733.33333333333337</v>
      </c>
      <c r="L282" s="540"/>
      <c r="M282" s="540"/>
      <c r="N282" s="564">
        <f>J282*INDEX([2]Pedidos!$Q:$Q,MATCH(F282,[2]Pedidos!$E:$E,0))</f>
        <v>392.85714285714289</v>
      </c>
      <c r="O282" s="564">
        <f>K282*INDEX([2]Pedidos!$Q:$Q,MATCH(G282,[2]Pedidos!$E:$E,0))</f>
        <v>623.33333333333337</v>
      </c>
      <c r="P282" s="564" t="e">
        <f>M282*INDEX([2]Pedidos!$Q:$Q,MATCH(H282,[2]Pedidos!$E:$E,0))</f>
        <v>#N/A</v>
      </c>
    </row>
    <row r="283" spans="1:18" x14ac:dyDescent="0.25">
      <c r="A283" s="753"/>
      <c r="C283" s="452" t="s">
        <v>171</v>
      </c>
      <c r="D283" s="449">
        <f t="shared" si="58"/>
        <v>46175</v>
      </c>
      <c r="E283" s="454" t="s">
        <v>166</v>
      </c>
      <c r="F283" s="512"/>
      <c r="G283" s="512"/>
      <c r="H283" s="512"/>
      <c r="I283" s="512"/>
      <c r="J283" s="682"/>
      <c r="K283" s="682"/>
      <c r="L283" s="682"/>
      <c r="M283" s="682"/>
      <c r="N283" s="556"/>
      <c r="O283" s="556"/>
      <c r="P283" s="556"/>
    </row>
    <row r="284" spans="1:18" x14ac:dyDescent="0.25">
      <c r="A284" s="753"/>
      <c r="C284" s="452" t="s">
        <v>171</v>
      </c>
      <c r="D284" s="449">
        <f t="shared" si="58"/>
        <v>46175</v>
      </c>
      <c r="E284" s="454" t="s">
        <v>576</v>
      </c>
      <c r="F284" s="461" t="s">
        <v>1801</v>
      </c>
      <c r="G284" s="460" t="s">
        <v>1782</v>
      </c>
      <c r="H284" s="460"/>
      <c r="I284" s="460"/>
      <c r="J284" s="679">
        <f t="shared" ref="J284:J289" si="60">20000/28</f>
        <v>714.28571428571433</v>
      </c>
      <c r="K284" s="679">
        <f t="shared" ref="K284:K286" si="61">11000/15</f>
        <v>733.33333333333337</v>
      </c>
      <c r="L284" s="679"/>
      <c r="M284" s="679"/>
      <c r="N284" s="565">
        <f>J284*INDEX([2]Pedidos!$Q:$Q,MATCH(F284,[2]Pedidos!$E:$E,0))</f>
        <v>392.85714285714289</v>
      </c>
      <c r="O284" s="565">
        <f>K284*INDEX([2]Pedidos!$Q:$Q,MATCH(G284,[2]Pedidos!$E:$E,0))</f>
        <v>623.33333333333337</v>
      </c>
      <c r="P284" s="565" t="e">
        <f>M284*INDEX([2]Pedidos!$Q:$Q,MATCH(H284,[2]Pedidos!$E:$E,0))</f>
        <v>#N/A</v>
      </c>
    </row>
    <row r="285" spans="1:18" x14ac:dyDescent="0.25">
      <c r="A285" s="753"/>
      <c r="C285" s="452" t="s">
        <v>171</v>
      </c>
      <c r="D285" s="449">
        <f t="shared" si="58"/>
        <v>46175</v>
      </c>
      <c r="E285" s="454" t="s">
        <v>167</v>
      </c>
      <c r="F285" s="460" t="s">
        <v>1801</v>
      </c>
      <c r="G285" s="460" t="s">
        <v>1782</v>
      </c>
      <c r="H285" s="460"/>
      <c r="I285" s="460"/>
      <c r="J285" s="540">
        <f t="shared" si="60"/>
        <v>714.28571428571433</v>
      </c>
      <c r="K285" s="540">
        <f t="shared" si="61"/>
        <v>733.33333333333337</v>
      </c>
      <c r="L285" s="540"/>
      <c r="M285" s="540"/>
      <c r="N285" s="565">
        <f>J285*INDEX([2]Pedidos!$Q:$Q,MATCH(F285,[2]Pedidos!$E:$E,0))</f>
        <v>392.85714285714289</v>
      </c>
      <c r="O285" s="565">
        <f>K285*INDEX([2]Pedidos!$Q:$Q,MATCH(G285,[2]Pedidos!$E:$E,0))</f>
        <v>623.33333333333337</v>
      </c>
      <c r="P285" s="565" t="e">
        <f>M285*INDEX([2]Pedidos!$Q:$Q,MATCH(H285,[2]Pedidos!$E:$E,0))</f>
        <v>#N/A</v>
      </c>
    </row>
    <row r="286" spans="1:18" x14ac:dyDescent="0.25">
      <c r="A286" s="753"/>
      <c r="C286" s="452" t="s">
        <v>171</v>
      </c>
      <c r="D286" s="449">
        <f t="shared" si="58"/>
        <v>46175</v>
      </c>
      <c r="E286" s="454" t="s">
        <v>168</v>
      </c>
      <c r="F286" s="460" t="s">
        <v>1801</v>
      </c>
      <c r="G286" s="460" t="s">
        <v>1782</v>
      </c>
      <c r="H286" s="460"/>
      <c r="I286" s="460"/>
      <c r="J286" s="540">
        <f t="shared" si="60"/>
        <v>714.28571428571433</v>
      </c>
      <c r="K286" s="540">
        <f t="shared" si="61"/>
        <v>733.33333333333337</v>
      </c>
      <c r="L286" s="540"/>
      <c r="M286" s="540"/>
      <c r="N286" s="565">
        <f>J286*INDEX([2]Pedidos!$Q:$Q,MATCH(F286,[2]Pedidos!$E:$E,0))</f>
        <v>392.85714285714289</v>
      </c>
      <c r="O286" s="565">
        <f>K286*INDEX([2]Pedidos!$Q:$Q,MATCH(G286,[2]Pedidos!$E:$E,0))</f>
        <v>623.33333333333337</v>
      </c>
      <c r="P286" s="565" t="e">
        <f>M286*INDEX([2]Pedidos!$Q:$Q,MATCH(H286,[2]Pedidos!$E:$E,0))</f>
        <v>#N/A</v>
      </c>
    </row>
    <row r="287" spans="1:18" x14ac:dyDescent="0.25">
      <c r="A287" s="753"/>
      <c r="C287" s="452" t="s">
        <v>171</v>
      </c>
      <c r="D287" s="449">
        <f t="shared" si="58"/>
        <v>46175</v>
      </c>
      <c r="E287" s="454" t="s">
        <v>169</v>
      </c>
      <c r="F287" s="460" t="s">
        <v>1801</v>
      </c>
      <c r="G287" s="460"/>
      <c r="H287" s="460"/>
      <c r="I287" s="460"/>
      <c r="J287" s="540">
        <f t="shared" si="60"/>
        <v>714.28571428571433</v>
      </c>
      <c r="K287" s="540">
        <f>15000/20</f>
        <v>750</v>
      </c>
      <c r="L287" s="540"/>
      <c r="M287" s="540"/>
      <c r="N287" s="565">
        <f>J287*INDEX([2]Pedidos!$Q:$Q,MATCH(F287,[2]Pedidos!$E:$E,0))</f>
        <v>392.85714285714289</v>
      </c>
      <c r="O287" s="565" t="e">
        <f>K287*INDEX([2]Pedidos!$Q:$Q,MATCH(G287,[2]Pedidos!$E:$E,0))</f>
        <v>#N/A</v>
      </c>
      <c r="P287" s="565" t="e">
        <f>M287*INDEX([2]Pedidos!$Q:$Q,MATCH(H287,[2]Pedidos!$E:$E,0))</f>
        <v>#N/A</v>
      </c>
    </row>
    <row r="288" spans="1:18" x14ac:dyDescent="0.25">
      <c r="A288" s="753"/>
      <c r="C288" s="452" t="s">
        <v>171</v>
      </c>
      <c r="D288" s="449">
        <f t="shared" si="58"/>
        <v>46175</v>
      </c>
      <c r="E288" s="454" t="s">
        <v>170</v>
      </c>
      <c r="F288" s="460" t="s">
        <v>1801</v>
      </c>
      <c r="G288" s="460"/>
      <c r="H288" s="460"/>
      <c r="I288" s="460"/>
      <c r="J288" s="540">
        <f t="shared" si="60"/>
        <v>714.28571428571433</v>
      </c>
      <c r="K288" s="540">
        <f t="shared" ref="K288:K289" si="62">15000/20</f>
        <v>750</v>
      </c>
      <c r="L288" s="540"/>
      <c r="M288" s="540"/>
      <c r="N288" s="566">
        <f>J288*INDEX([2]Pedidos!$Q:$Q,MATCH(F288,[2]Pedidos!$E:$E,0))</f>
        <v>392.85714285714289</v>
      </c>
      <c r="O288" s="566" t="e">
        <f>K288*INDEX([2]Pedidos!$Q:$Q,MATCH(G288,[2]Pedidos!$E:$E,0))</f>
        <v>#N/A</v>
      </c>
      <c r="P288" s="566" t="e">
        <f>M288*INDEX([2]Pedidos!$Q:$Q,MATCH(H288,[2]Pedidos!$E:$E,0))</f>
        <v>#N/A</v>
      </c>
    </row>
    <row r="289" spans="1:18" x14ac:dyDescent="0.25">
      <c r="A289" s="753"/>
      <c r="C289" s="452" t="s">
        <v>171</v>
      </c>
      <c r="D289" s="449">
        <f t="shared" si="58"/>
        <v>46175</v>
      </c>
      <c r="E289" s="454" t="s">
        <v>585</v>
      </c>
      <c r="F289" s="460" t="s">
        <v>1801</v>
      </c>
      <c r="G289" s="460"/>
      <c r="H289" s="460"/>
      <c r="I289" s="725"/>
      <c r="J289" s="684">
        <f t="shared" si="60"/>
        <v>714.28571428571433</v>
      </c>
      <c r="K289" s="684">
        <f t="shared" si="62"/>
        <v>750</v>
      </c>
      <c r="L289" s="684"/>
      <c r="M289" s="684"/>
      <c r="N289" s="566">
        <f>J289*INDEX([2]Pedidos!$Q:$Q,MATCH(F289,[2]Pedidos!$E:$E,0))</f>
        <v>392.85714285714289</v>
      </c>
      <c r="O289" s="566" t="e">
        <f>K289*INDEX([2]Pedidos!$Q:$Q,MATCH(G289,[2]Pedidos!$E:$E,0))</f>
        <v>#N/A</v>
      </c>
      <c r="P289" s="566" t="e">
        <f>M289*INDEX([2]Pedidos!$Q:$Q,MATCH(H289,[2]Pedidos!$E:$E,0))</f>
        <v>#N/A</v>
      </c>
    </row>
    <row r="290" spans="1:18" x14ac:dyDescent="0.25">
      <c r="A290" s="753"/>
      <c r="C290" s="448" t="s">
        <v>171</v>
      </c>
      <c r="D290" s="449">
        <f t="shared" si="58"/>
        <v>46175</v>
      </c>
      <c r="E290" s="455" t="s">
        <v>574</v>
      </c>
      <c r="F290" s="512"/>
      <c r="G290" s="512"/>
      <c r="H290" s="512"/>
      <c r="I290" s="537"/>
      <c r="J290" s="685"/>
      <c r="K290" s="685"/>
      <c r="L290" s="685"/>
      <c r="M290" s="685"/>
      <c r="N290" s="556"/>
      <c r="O290" s="556"/>
      <c r="P290" s="556"/>
    </row>
    <row r="291" spans="1:18" x14ac:dyDescent="0.25">
      <c r="A291" s="753"/>
      <c r="C291" s="448" t="s">
        <v>171</v>
      </c>
      <c r="D291" s="449">
        <f t="shared" si="58"/>
        <v>46175</v>
      </c>
      <c r="E291" s="455" t="s">
        <v>575</v>
      </c>
      <c r="F291" s="504" t="s">
        <v>1801</v>
      </c>
      <c r="G291" s="504"/>
      <c r="H291" s="504"/>
      <c r="I291" s="504"/>
      <c r="J291" s="684">
        <f t="shared" ref="J291:J293" si="63">20000/28</f>
        <v>714.28571428571433</v>
      </c>
      <c r="K291" s="684">
        <f t="shared" ref="K291:K293" si="64">15000/20</f>
        <v>750</v>
      </c>
      <c r="L291" s="684"/>
      <c r="M291" s="684"/>
      <c r="N291" s="566">
        <f>J291*INDEX([2]Pedidos!$Q:$Q,MATCH(F291,[2]Pedidos!$E:$E,0))</f>
        <v>392.85714285714289</v>
      </c>
      <c r="O291" s="566" t="e">
        <f>K291*INDEX([2]Pedidos!$Q:$Q,MATCH(G291,[2]Pedidos!$E:$E,0))</f>
        <v>#N/A</v>
      </c>
      <c r="P291" s="566" t="e">
        <f>M291*INDEX([2]Pedidos!$Q:$Q,MATCH(H291,[2]Pedidos!$E:$E,0))</f>
        <v>#N/A</v>
      </c>
    </row>
    <row r="292" spans="1:18" x14ac:dyDescent="0.25">
      <c r="A292" s="753"/>
      <c r="C292" s="448" t="s">
        <v>171</v>
      </c>
      <c r="D292" s="449">
        <f t="shared" si="58"/>
        <v>46175</v>
      </c>
      <c r="E292" s="503" t="s">
        <v>583</v>
      </c>
      <c r="F292" s="504" t="s">
        <v>1801</v>
      </c>
      <c r="G292" s="504"/>
      <c r="H292" s="504"/>
      <c r="I292" s="504"/>
      <c r="J292" s="684">
        <f t="shared" si="63"/>
        <v>714.28571428571433</v>
      </c>
      <c r="K292" s="684">
        <f t="shared" si="64"/>
        <v>750</v>
      </c>
      <c r="L292" s="684"/>
      <c r="M292" s="684"/>
      <c r="N292" s="566">
        <f>J292*INDEX([2]Pedidos!$Q:$Q,MATCH(F292,[2]Pedidos!$E:$E,0))</f>
        <v>392.85714285714289</v>
      </c>
      <c r="O292" s="566" t="e">
        <f>K292*INDEX([2]Pedidos!$Q:$Q,MATCH(G292,[2]Pedidos!$E:$E,0))</f>
        <v>#N/A</v>
      </c>
      <c r="P292" s="566" t="e">
        <f>M292*INDEX([2]Pedidos!$Q:$Q,MATCH(H292,[2]Pedidos!$E:$E,0))</f>
        <v>#N/A</v>
      </c>
    </row>
    <row r="293" spans="1:18" ht="15.75" thickBot="1" x14ac:dyDescent="0.3">
      <c r="A293" s="753"/>
      <c r="C293" s="450" t="s">
        <v>171</v>
      </c>
      <c r="D293" s="451">
        <f t="shared" si="58"/>
        <v>46175</v>
      </c>
      <c r="E293" s="459" t="s">
        <v>584</v>
      </c>
      <c r="F293" s="680" t="s">
        <v>1801</v>
      </c>
      <c r="G293" s="680"/>
      <c r="H293" s="680"/>
      <c r="I293" s="680"/>
      <c r="J293" s="686">
        <f t="shared" si="63"/>
        <v>714.28571428571433</v>
      </c>
      <c r="K293" s="686">
        <f t="shared" si="64"/>
        <v>750</v>
      </c>
      <c r="L293" s="686"/>
      <c r="M293" s="686"/>
      <c r="N293" s="696">
        <f>J293*INDEX([2]Pedidos!$Q:$Q,MATCH(F293,[2]Pedidos!$E:$E,0))</f>
        <v>392.85714285714289</v>
      </c>
      <c r="O293" s="696" t="e">
        <f>K293*INDEX([2]Pedidos!$Q:$Q,MATCH(G293,[2]Pedidos!$E:$E,0))</f>
        <v>#N/A</v>
      </c>
      <c r="P293" s="696" t="e">
        <f>M293*INDEX([2]Pedidos!$Q:$Q,MATCH(H293,[2]Pedidos!$E:$E,0))</f>
        <v>#N/A</v>
      </c>
    </row>
    <row r="294" spans="1:18" ht="5.25" customHeight="1" thickBot="1" x14ac:dyDescent="0.3">
      <c r="A294" s="753"/>
      <c r="J294" s="445"/>
      <c r="K294" s="445"/>
      <c r="L294" s="445"/>
      <c r="N294" s="559"/>
      <c r="O294" s="559"/>
      <c r="P294" s="559"/>
    </row>
    <row r="295" spans="1:18" ht="15.75" thickBot="1" x14ac:dyDescent="0.3">
      <c r="A295" s="753"/>
      <c r="C295" s="538"/>
      <c r="D295" s="539"/>
      <c r="E295" s="539"/>
      <c r="F295" s="539"/>
      <c r="G295" s="539"/>
      <c r="H295" s="539"/>
      <c r="I295" s="539"/>
      <c r="J295" s="606">
        <f t="shared" ref="J295:M295" si="65">_xlfn.AGGREGATE(9,6,J296:J311)</f>
        <v>9500</v>
      </c>
      <c r="K295" s="607">
        <f t="shared" si="65"/>
        <v>10500</v>
      </c>
      <c r="L295" s="607"/>
      <c r="M295" s="544">
        <f t="shared" si="65"/>
        <v>0</v>
      </c>
      <c r="N295" s="560">
        <f t="shared" ref="N295:P295" si="66">_xlfn.AGGREGATE(9,6,N296:N311)</f>
        <v>5224.9999999999991</v>
      </c>
      <c r="O295" s="561">
        <f t="shared" si="66"/>
        <v>0</v>
      </c>
      <c r="P295" s="562">
        <f t="shared" si="66"/>
        <v>0</v>
      </c>
      <c r="Q295" s="548">
        <f>SUM(J295:M295)</f>
        <v>20000</v>
      </c>
      <c r="R295" s="549">
        <f>SUM(N295:P295)</f>
        <v>5224.9999999999991</v>
      </c>
    </row>
    <row r="296" spans="1:18" x14ac:dyDescent="0.25">
      <c r="A296" s="753"/>
      <c r="C296" s="446" t="s">
        <v>1832</v>
      </c>
      <c r="D296" s="497">
        <f>D293+1</f>
        <v>46176</v>
      </c>
      <c r="E296" s="498" t="s">
        <v>573</v>
      </c>
      <c r="F296" s="460" t="s">
        <v>1802</v>
      </c>
      <c r="G296" s="681"/>
      <c r="H296" s="460"/>
      <c r="I296" s="725"/>
      <c r="J296" s="683">
        <f>19000/28</f>
        <v>678.57142857142856</v>
      </c>
      <c r="K296" s="683">
        <f t="shared" ref="K296:K300" si="67">15000/20</f>
        <v>750</v>
      </c>
      <c r="L296" s="683"/>
      <c r="M296" s="683"/>
      <c r="N296" s="695">
        <f>J296*INDEX([2]Pedidos!$Q:$Q,MATCH(F296,[2]Pedidos!$E:$E,0))</f>
        <v>373.21428571428572</v>
      </c>
      <c r="O296" s="695" t="e">
        <f>K296*INDEX([2]Pedidos!$Q:$Q,MATCH(G296,[2]Pedidos!$E:$E,0))</f>
        <v>#N/A</v>
      </c>
      <c r="P296" s="695" t="e">
        <f>M296*INDEX([2]Pedidos!$Q:$Q,MATCH(H296,[2]Pedidos!$E:$E,0))</f>
        <v>#N/A</v>
      </c>
    </row>
    <row r="297" spans="1:18" x14ac:dyDescent="0.25">
      <c r="A297" s="753"/>
      <c r="C297" s="452" t="s">
        <v>1832</v>
      </c>
      <c r="D297" s="499">
        <f t="shared" ref="D297:D311" si="68">D296</f>
        <v>46176</v>
      </c>
      <c r="E297" s="500" t="s">
        <v>162</v>
      </c>
      <c r="F297" s="460" t="s">
        <v>1802</v>
      </c>
      <c r="G297" s="460"/>
      <c r="H297" s="460"/>
      <c r="I297" s="460"/>
      <c r="J297" s="540">
        <f t="shared" ref="J297:J300" si="69">19000/28</f>
        <v>678.57142857142856</v>
      </c>
      <c r="K297" s="540">
        <f t="shared" si="67"/>
        <v>750</v>
      </c>
      <c r="L297" s="540"/>
      <c r="M297" s="540"/>
      <c r="N297" s="555">
        <f>J297*INDEX([2]Pedidos!$Q:$Q,MATCH(F297,[2]Pedidos!$E:$E,0))</f>
        <v>373.21428571428572</v>
      </c>
      <c r="O297" s="555" t="e">
        <f>K297*INDEX([2]Pedidos!$Q:$Q,MATCH(G297,[2]Pedidos!$E:$E,0))</f>
        <v>#N/A</v>
      </c>
      <c r="P297" s="555" t="e">
        <f>M297*INDEX([2]Pedidos!$Q:$Q,MATCH(H297,[2]Pedidos!$E:$E,0))</f>
        <v>#N/A</v>
      </c>
    </row>
    <row r="298" spans="1:18" x14ac:dyDescent="0.25">
      <c r="A298" s="753"/>
      <c r="C298" s="452" t="s">
        <v>1832</v>
      </c>
      <c r="D298" s="449">
        <f t="shared" si="68"/>
        <v>46176</v>
      </c>
      <c r="E298" s="454" t="s">
        <v>163</v>
      </c>
      <c r="F298" s="460" t="s">
        <v>1802</v>
      </c>
      <c r="G298" s="460"/>
      <c r="H298" s="460"/>
      <c r="I298" s="460"/>
      <c r="J298" s="540">
        <f t="shared" si="69"/>
        <v>678.57142857142856</v>
      </c>
      <c r="K298" s="540">
        <f t="shared" si="67"/>
        <v>750</v>
      </c>
      <c r="L298" s="540"/>
      <c r="M298" s="540"/>
      <c r="N298" s="564">
        <f>J298*INDEX([2]Pedidos!$Q:$Q,MATCH(F298,[2]Pedidos!$E:$E,0))</f>
        <v>373.21428571428572</v>
      </c>
      <c r="O298" s="564" t="e">
        <f>K298*INDEX([2]Pedidos!$Q:$Q,MATCH(G298,[2]Pedidos!$E:$E,0))</f>
        <v>#N/A</v>
      </c>
      <c r="P298" s="564" t="e">
        <f>M298*INDEX([2]Pedidos!$Q:$Q,MATCH(H298,[2]Pedidos!$E:$E,0))</f>
        <v>#N/A</v>
      </c>
    </row>
    <row r="299" spans="1:18" x14ac:dyDescent="0.25">
      <c r="A299" s="753"/>
      <c r="C299" s="452" t="s">
        <v>1832</v>
      </c>
      <c r="D299" s="449">
        <f t="shared" si="68"/>
        <v>46176</v>
      </c>
      <c r="E299" s="454" t="s">
        <v>164</v>
      </c>
      <c r="F299" s="460" t="s">
        <v>1802</v>
      </c>
      <c r="G299" s="460"/>
      <c r="H299" s="460"/>
      <c r="I299" s="460"/>
      <c r="J299" s="540">
        <f t="shared" si="69"/>
        <v>678.57142857142856</v>
      </c>
      <c r="K299" s="540">
        <f t="shared" si="67"/>
        <v>750</v>
      </c>
      <c r="L299" s="540"/>
      <c r="M299" s="540"/>
      <c r="N299" s="564">
        <f>J299*INDEX([2]Pedidos!$Q:$Q,MATCH(F299,[2]Pedidos!$E:$E,0))</f>
        <v>373.21428571428572</v>
      </c>
      <c r="O299" s="564" t="e">
        <f>K299*INDEX([2]Pedidos!$Q:$Q,MATCH(G299,[2]Pedidos!$E:$E,0))</f>
        <v>#N/A</v>
      </c>
      <c r="P299" s="564" t="e">
        <f>M299*INDEX([2]Pedidos!$Q:$Q,MATCH(H299,[2]Pedidos!$E:$E,0))</f>
        <v>#N/A</v>
      </c>
    </row>
    <row r="300" spans="1:18" x14ac:dyDescent="0.25">
      <c r="A300" s="753"/>
      <c r="C300" s="452" t="s">
        <v>1832</v>
      </c>
      <c r="D300" s="449">
        <f t="shared" si="68"/>
        <v>46176</v>
      </c>
      <c r="E300" s="454" t="s">
        <v>165</v>
      </c>
      <c r="F300" s="460" t="s">
        <v>1802</v>
      </c>
      <c r="G300" s="460"/>
      <c r="H300" s="460"/>
      <c r="I300" s="460"/>
      <c r="J300" s="540">
        <f t="shared" si="69"/>
        <v>678.57142857142856</v>
      </c>
      <c r="K300" s="540">
        <f t="shared" si="67"/>
        <v>750</v>
      </c>
      <c r="L300" s="540"/>
      <c r="M300" s="540"/>
      <c r="N300" s="564">
        <f>J300*INDEX([2]Pedidos!$Q:$Q,MATCH(F300,[2]Pedidos!$E:$E,0))</f>
        <v>373.21428571428572</v>
      </c>
      <c r="O300" s="564" t="e">
        <f>K300*INDEX([2]Pedidos!$Q:$Q,MATCH(G300,[2]Pedidos!$E:$E,0))</f>
        <v>#N/A</v>
      </c>
      <c r="P300" s="564" t="e">
        <f>M300*INDEX([2]Pedidos!$Q:$Q,MATCH(H300,[2]Pedidos!$E:$E,0))</f>
        <v>#N/A</v>
      </c>
    </row>
    <row r="301" spans="1:18" x14ac:dyDescent="0.25">
      <c r="A301" s="753"/>
      <c r="C301" s="452" t="s">
        <v>1832</v>
      </c>
      <c r="D301" s="449">
        <f t="shared" si="68"/>
        <v>46176</v>
      </c>
      <c r="E301" s="454" t="s">
        <v>166</v>
      </c>
      <c r="F301" s="512"/>
      <c r="G301" s="512"/>
      <c r="H301" s="512"/>
      <c r="I301" s="512"/>
      <c r="J301" s="682"/>
      <c r="K301" s="682"/>
      <c r="L301" s="682"/>
      <c r="M301" s="682"/>
      <c r="N301" s="556"/>
      <c r="O301" s="556"/>
      <c r="P301" s="556"/>
    </row>
    <row r="302" spans="1:18" x14ac:dyDescent="0.25">
      <c r="A302" s="753"/>
      <c r="C302" s="452" t="s">
        <v>1832</v>
      </c>
      <c r="D302" s="449">
        <f t="shared" si="68"/>
        <v>46176</v>
      </c>
      <c r="E302" s="454" t="s">
        <v>576</v>
      </c>
      <c r="F302" s="460" t="s">
        <v>1802</v>
      </c>
      <c r="G302" s="460"/>
      <c r="H302" s="460"/>
      <c r="I302" s="460"/>
      <c r="J302" s="679">
        <f t="shared" ref="J302:J307" si="70">19000/28</f>
        <v>678.57142857142856</v>
      </c>
      <c r="K302" s="679">
        <f t="shared" ref="K302:K307" si="71">15000/20</f>
        <v>750</v>
      </c>
      <c r="L302" s="679"/>
      <c r="M302" s="679"/>
      <c r="N302" s="565">
        <f>J302*INDEX([2]Pedidos!$Q:$Q,MATCH(F302,[2]Pedidos!$E:$E,0))</f>
        <v>373.21428571428572</v>
      </c>
      <c r="O302" s="565" t="e">
        <f>K302*INDEX([2]Pedidos!$Q:$Q,MATCH(G302,[2]Pedidos!$E:$E,0))</f>
        <v>#N/A</v>
      </c>
      <c r="P302" s="565" t="e">
        <f>M302*INDEX([2]Pedidos!$Q:$Q,MATCH(H302,[2]Pedidos!$E:$E,0))</f>
        <v>#N/A</v>
      </c>
    </row>
    <row r="303" spans="1:18" x14ac:dyDescent="0.25">
      <c r="A303" s="753"/>
      <c r="C303" s="452" t="s">
        <v>1832</v>
      </c>
      <c r="D303" s="449">
        <f t="shared" si="68"/>
        <v>46176</v>
      </c>
      <c r="E303" s="454" t="s">
        <v>167</v>
      </c>
      <c r="F303" s="460" t="s">
        <v>1802</v>
      </c>
      <c r="G303" s="460"/>
      <c r="H303" s="460"/>
      <c r="I303" s="460"/>
      <c r="J303" s="540">
        <f t="shared" si="70"/>
        <v>678.57142857142856</v>
      </c>
      <c r="K303" s="540">
        <f t="shared" si="71"/>
        <v>750</v>
      </c>
      <c r="L303" s="540"/>
      <c r="M303" s="540"/>
      <c r="N303" s="565">
        <f>J303*INDEX([2]Pedidos!$Q:$Q,MATCH(F303,[2]Pedidos!$E:$E,0))</f>
        <v>373.21428571428572</v>
      </c>
      <c r="O303" s="565" t="e">
        <f>K303*INDEX([2]Pedidos!$Q:$Q,MATCH(G303,[2]Pedidos!$E:$E,0))</f>
        <v>#N/A</v>
      </c>
      <c r="P303" s="565" t="e">
        <f>M303*INDEX([2]Pedidos!$Q:$Q,MATCH(H303,[2]Pedidos!$E:$E,0))</f>
        <v>#N/A</v>
      </c>
    </row>
    <row r="304" spans="1:18" x14ac:dyDescent="0.25">
      <c r="A304" s="753"/>
      <c r="C304" s="452" t="s">
        <v>1832</v>
      </c>
      <c r="D304" s="449">
        <f t="shared" si="68"/>
        <v>46176</v>
      </c>
      <c r="E304" s="454" t="s">
        <v>168</v>
      </c>
      <c r="F304" s="460" t="s">
        <v>1802</v>
      </c>
      <c r="G304" s="460"/>
      <c r="H304" s="460"/>
      <c r="I304" s="460"/>
      <c r="J304" s="540">
        <f t="shared" si="70"/>
        <v>678.57142857142856</v>
      </c>
      <c r="K304" s="540">
        <f t="shared" si="71"/>
        <v>750</v>
      </c>
      <c r="L304" s="540"/>
      <c r="M304" s="540"/>
      <c r="N304" s="565">
        <f>J304*INDEX([2]Pedidos!$Q:$Q,MATCH(F304,[2]Pedidos!$E:$E,0))</f>
        <v>373.21428571428572</v>
      </c>
      <c r="O304" s="565" t="e">
        <f>K304*INDEX([2]Pedidos!$Q:$Q,MATCH(G304,[2]Pedidos!$E:$E,0))</f>
        <v>#N/A</v>
      </c>
      <c r="P304" s="565" t="e">
        <f>M304*INDEX([2]Pedidos!$Q:$Q,MATCH(H304,[2]Pedidos!$E:$E,0))</f>
        <v>#N/A</v>
      </c>
    </row>
    <row r="305" spans="1:18" x14ac:dyDescent="0.25">
      <c r="A305" s="753"/>
      <c r="C305" s="452" t="s">
        <v>1832</v>
      </c>
      <c r="D305" s="449">
        <f t="shared" si="68"/>
        <v>46176</v>
      </c>
      <c r="E305" s="454" t="s">
        <v>169</v>
      </c>
      <c r="F305" s="460" t="s">
        <v>1802</v>
      </c>
      <c r="G305" s="460"/>
      <c r="H305" s="460"/>
      <c r="I305" s="460"/>
      <c r="J305" s="540">
        <f t="shared" si="70"/>
        <v>678.57142857142856</v>
      </c>
      <c r="K305" s="540">
        <f t="shared" si="71"/>
        <v>750</v>
      </c>
      <c r="L305" s="540"/>
      <c r="M305" s="540"/>
      <c r="N305" s="565">
        <f>J305*INDEX([2]Pedidos!$Q:$Q,MATCH(F305,[2]Pedidos!$E:$E,0))</f>
        <v>373.21428571428572</v>
      </c>
      <c r="O305" s="565" t="e">
        <f>K305*INDEX([2]Pedidos!$Q:$Q,MATCH(G305,[2]Pedidos!$E:$E,0))</f>
        <v>#N/A</v>
      </c>
      <c r="P305" s="565" t="e">
        <f>M305*INDEX([2]Pedidos!$Q:$Q,MATCH(H305,[2]Pedidos!$E:$E,0))</f>
        <v>#N/A</v>
      </c>
    </row>
    <row r="306" spans="1:18" x14ac:dyDescent="0.25">
      <c r="A306" s="753"/>
      <c r="C306" s="452" t="s">
        <v>1832</v>
      </c>
      <c r="D306" s="449">
        <f t="shared" si="68"/>
        <v>46176</v>
      </c>
      <c r="E306" s="454" t="s">
        <v>170</v>
      </c>
      <c r="F306" s="460" t="s">
        <v>1802</v>
      </c>
      <c r="G306" s="460"/>
      <c r="H306" s="460"/>
      <c r="I306" s="460"/>
      <c r="J306" s="540">
        <f t="shared" si="70"/>
        <v>678.57142857142856</v>
      </c>
      <c r="K306" s="540">
        <f t="shared" si="71"/>
        <v>750</v>
      </c>
      <c r="L306" s="540"/>
      <c r="M306" s="540"/>
      <c r="N306" s="566">
        <f>J306*INDEX([2]Pedidos!$Q:$Q,MATCH(F306,[2]Pedidos!$E:$E,0))</f>
        <v>373.21428571428572</v>
      </c>
      <c r="O306" s="566" t="e">
        <f>K306*INDEX([2]Pedidos!$Q:$Q,MATCH(G306,[2]Pedidos!$E:$E,0))</f>
        <v>#N/A</v>
      </c>
      <c r="P306" s="566" t="e">
        <f>M306*INDEX([2]Pedidos!$Q:$Q,MATCH(H306,[2]Pedidos!$E:$E,0))</f>
        <v>#N/A</v>
      </c>
    </row>
    <row r="307" spans="1:18" x14ac:dyDescent="0.25">
      <c r="A307" s="753"/>
      <c r="C307" s="452" t="s">
        <v>1832</v>
      </c>
      <c r="D307" s="449">
        <f t="shared" si="68"/>
        <v>46176</v>
      </c>
      <c r="E307" s="454" t="s">
        <v>585</v>
      </c>
      <c r="F307" s="460" t="s">
        <v>1802</v>
      </c>
      <c r="G307" s="460"/>
      <c r="H307" s="460"/>
      <c r="I307" s="725"/>
      <c r="J307" s="684">
        <f t="shared" si="70"/>
        <v>678.57142857142856</v>
      </c>
      <c r="K307" s="684">
        <f t="shared" si="71"/>
        <v>750</v>
      </c>
      <c r="L307" s="684"/>
      <c r="M307" s="684"/>
      <c r="N307" s="566">
        <f>J307*INDEX([2]Pedidos!$Q:$Q,MATCH(F307,[2]Pedidos!$E:$E,0))</f>
        <v>373.21428571428572</v>
      </c>
      <c r="O307" s="566" t="e">
        <f>K307*INDEX([2]Pedidos!$Q:$Q,MATCH(G307,[2]Pedidos!$E:$E,0))</f>
        <v>#N/A</v>
      </c>
      <c r="P307" s="566" t="e">
        <f>M307*INDEX([2]Pedidos!$Q:$Q,MATCH(H307,[2]Pedidos!$E:$E,0))</f>
        <v>#N/A</v>
      </c>
    </row>
    <row r="308" spans="1:18" x14ac:dyDescent="0.25">
      <c r="A308" s="753"/>
      <c r="C308" s="448" t="s">
        <v>1832</v>
      </c>
      <c r="D308" s="449">
        <f t="shared" si="68"/>
        <v>46176</v>
      </c>
      <c r="E308" s="455" t="s">
        <v>574</v>
      </c>
      <c r="F308" s="512"/>
      <c r="G308" s="512"/>
      <c r="H308" s="512"/>
      <c r="I308" s="537"/>
      <c r="J308" s="685"/>
      <c r="K308" s="685"/>
      <c r="L308" s="685"/>
      <c r="M308" s="685"/>
      <c r="N308" s="556"/>
      <c r="O308" s="556"/>
      <c r="P308" s="556"/>
    </row>
    <row r="309" spans="1:18" x14ac:dyDescent="0.25">
      <c r="A309" s="753"/>
      <c r="C309" s="448" t="s">
        <v>1832</v>
      </c>
      <c r="D309" s="449">
        <f t="shared" si="68"/>
        <v>46176</v>
      </c>
      <c r="E309" s="455" t="s">
        <v>575</v>
      </c>
      <c r="F309" s="504" t="s">
        <v>1802</v>
      </c>
      <c r="G309" s="504"/>
      <c r="H309" s="504"/>
      <c r="I309" s="504"/>
      <c r="J309" s="684">
        <f t="shared" ref="J309:J311" si="72">19000/28</f>
        <v>678.57142857142856</v>
      </c>
      <c r="K309" s="684">
        <f t="shared" ref="K309:K311" si="73">15000/20</f>
        <v>750</v>
      </c>
      <c r="L309" s="684"/>
      <c r="M309" s="684"/>
      <c r="N309" s="566">
        <f>J309*INDEX([2]Pedidos!$Q:$Q,MATCH(F309,[2]Pedidos!$E:$E,0))</f>
        <v>373.21428571428572</v>
      </c>
      <c r="O309" s="566" t="e">
        <f>K309*INDEX([2]Pedidos!$Q:$Q,MATCH(G309,[2]Pedidos!$E:$E,0))</f>
        <v>#N/A</v>
      </c>
      <c r="P309" s="566" t="e">
        <f>M309*INDEX([2]Pedidos!$Q:$Q,MATCH(H309,[2]Pedidos!$E:$E,0))</f>
        <v>#N/A</v>
      </c>
    </row>
    <row r="310" spans="1:18" x14ac:dyDescent="0.25">
      <c r="A310" s="753"/>
      <c r="C310" s="448" t="s">
        <v>1832</v>
      </c>
      <c r="D310" s="449">
        <f t="shared" si="68"/>
        <v>46176</v>
      </c>
      <c r="E310" s="503" t="s">
        <v>583</v>
      </c>
      <c r="F310" s="504" t="s">
        <v>1802</v>
      </c>
      <c r="G310" s="504"/>
      <c r="H310" s="504"/>
      <c r="I310" s="504"/>
      <c r="J310" s="684">
        <f t="shared" si="72"/>
        <v>678.57142857142856</v>
      </c>
      <c r="K310" s="684">
        <f t="shared" si="73"/>
        <v>750</v>
      </c>
      <c r="L310" s="684"/>
      <c r="M310" s="684"/>
      <c r="N310" s="566">
        <f>J310*INDEX([2]Pedidos!$Q:$Q,MATCH(F310,[2]Pedidos!$E:$E,0))</f>
        <v>373.21428571428572</v>
      </c>
      <c r="O310" s="566" t="e">
        <f>K310*INDEX([2]Pedidos!$Q:$Q,MATCH(G310,[2]Pedidos!$E:$E,0))</f>
        <v>#N/A</v>
      </c>
      <c r="P310" s="566" t="e">
        <f>M310*INDEX([2]Pedidos!$Q:$Q,MATCH(H310,[2]Pedidos!$E:$E,0))</f>
        <v>#N/A</v>
      </c>
    </row>
    <row r="311" spans="1:18" ht="15.75" thickBot="1" x14ac:dyDescent="0.3">
      <c r="A311" s="753"/>
      <c r="C311" s="450" t="s">
        <v>1832</v>
      </c>
      <c r="D311" s="451">
        <f t="shared" si="68"/>
        <v>46176</v>
      </c>
      <c r="E311" s="459" t="s">
        <v>584</v>
      </c>
      <c r="F311" s="680" t="s">
        <v>1802</v>
      </c>
      <c r="G311" s="680"/>
      <c r="H311" s="680"/>
      <c r="I311" s="680"/>
      <c r="J311" s="686">
        <f t="shared" si="72"/>
        <v>678.57142857142856</v>
      </c>
      <c r="K311" s="686">
        <f t="shared" si="73"/>
        <v>750</v>
      </c>
      <c r="L311" s="686"/>
      <c r="M311" s="686"/>
      <c r="N311" s="696">
        <f>J311*INDEX([2]Pedidos!$Q:$Q,MATCH(F311,[2]Pedidos!$E:$E,0))</f>
        <v>373.21428571428572</v>
      </c>
      <c r="O311" s="696" t="e">
        <f>K311*INDEX([2]Pedidos!$Q:$Q,MATCH(G311,[2]Pedidos!$E:$E,0))</f>
        <v>#N/A</v>
      </c>
      <c r="P311" s="696" t="e">
        <f>M311*INDEX([2]Pedidos!$Q:$Q,MATCH(H311,[2]Pedidos!$E:$E,0))</f>
        <v>#N/A</v>
      </c>
    </row>
    <row r="312" spans="1:18" ht="5.25" customHeight="1" thickBot="1" x14ac:dyDescent="0.3">
      <c r="A312" s="753"/>
      <c r="J312" s="445"/>
      <c r="K312" s="445"/>
      <c r="L312" s="445"/>
      <c r="N312" s="559"/>
      <c r="O312" s="559"/>
      <c r="P312" s="559"/>
    </row>
    <row r="313" spans="1:18" ht="15.75" thickBot="1" x14ac:dyDescent="0.3">
      <c r="A313" s="753"/>
      <c r="C313" s="538"/>
      <c r="D313" s="539"/>
      <c r="E313" s="539"/>
      <c r="F313" s="539"/>
      <c r="G313" s="539"/>
      <c r="H313" s="539"/>
      <c r="I313" s="539"/>
      <c r="J313" s="606">
        <f t="shared" ref="J313:M313" si="74">_xlfn.AGGREGATE(9,6,J314:J329)</f>
        <v>0</v>
      </c>
      <c r="K313" s="607">
        <f t="shared" si="74"/>
        <v>0</v>
      </c>
      <c r="L313" s="607"/>
      <c r="M313" s="544">
        <f t="shared" si="74"/>
        <v>0</v>
      </c>
      <c r="N313" s="560">
        <f t="shared" ref="N313:P313" si="75">_xlfn.AGGREGATE(9,6,N314:N329)</f>
        <v>0</v>
      </c>
      <c r="O313" s="561">
        <f t="shared" si="75"/>
        <v>0</v>
      </c>
      <c r="P313" s="562">
        <f t="shared" si="75"/>
        <v>0</v>
      </c>
      <c r="Q313" s="548">
        <f>SUM(J313:M313)</f>
        <v>0</v>
      </c>
      <c r="R313" s="549">
        <f>SUM(N313:P313)</f>
        <v>0</v>
      </c>
    </row>
    <row r="314" spans="1:18" x14ac:dyDescent="0.25">
      <c r="A314" s="753"/>
      <c r="C314" s="446" t="s">
        <v>1825</v>
      </c>
      <c r="D314" s="497">
        <f>D311+1</f>
        <v>46177</v>
      </c>
      <c r="E314" s="498" t="s">
        <v>573</v>
      </c>
      <c r="F314" s="691"/>
      <c r="G314" s="691"/>
      <c r="H314" s="512"/>
      <c r="I314" s="537"/>
      <c r="J314" s="537"/>
      <c r="K314" s="537"/>
      <c r="L314" s="537"/>
      <c r="M314" s="537"/>
      <c r="N314" s="695" t="e">
        <f>J314*INDEX([2]Pedidos!$Q:$Q,MATCH(F314,[2]Pedidos!$E:$E,0))</f>
        <v>#N/A</v>
      </c>
      <c r="O314" s="695" t="e">
        <f>K314*INDEX([2]Pedidos!$Q:$Q,MATCH(G314,[2]Pedidos!$E:$E,0))</f>
        <v>#N/A</v>
      </c>
      <c r="P314" s="695" t="e">
        <f>M314*INDEX([2]Pedidos!$Q:$Q,MATCH(H314,[2]Pedidos!$E:$E,0))</f>
        <v>#N/A</v>
      </c>
    </row>
    <row r="315" spans="1:18" x14ac:dyDescent="0.25">
      <c r="A315" s="753"/>
      <c r="C315" s="452" t="s">
        <v>1825</v>
      </c>
      <c r="D315" s="499">
        <f t="shared" ref="D315:D329" si="76">D314</f>
        <v>46177</v>
      </c>
      <c r="E315" s="500" t="s">
        <v>162</v>
      </c>
      <c r="F315" s="512"/>
      <c r="G315" s="512"/>
      <c r="H315" s="512"/>
      <c r="I315" s="512"/>
      <c r="J315" s="682"/>
      <c r="K315" s="682"/>
      <c r="L315" s="682"/>
      <c r="M315" s="692"/>
      <c r="N315" s="555" t="e">
        <f>J315*INDEX([2]Pedidos!$Q:$Q,MATCH(F315,[2]Pedidos!$E:$E,0))</f>
        <v>#N/A</v>
      </c>
      <c r="O315" s="555" t="e">
        <f>K315*INDEX([2]Pedidos!$Q:$Q,MATCH(G315,[2]Pedidos!$E:$E,0))</f>
        <v>#N/A</v>
      </c>
      <c r="P315" s="555" t="e">
        <f>M315*INDEX([2]Pedidos!$Q:$Q,MATCH(H315,[2]Pedidos!$E:$E,0))</f>
        <v>#N/A</v>
      </c>
    </row>
    <row r="316" spans="1:18" x14ac:dyDescent="0.25">
      <c r="A316" s="753"/>
      <c r="C316" s="452" t="s">
        <v>1825</v>
      </c>
      <c r="D316" s="449">
        <f t="shared" si="76"/>
        <v>46177</v>
      </c>
      <c r="E316" s="454" t="s">
        <v>163</v>
      </c>
      <c r="F316" s="512"/>
      <c r="G316" s="512"/>
      <c r="H316" s="512"/>
      <c r="I316" s="512"/>
      <c r="J316" s="682"/>
      <c r="K316" s="682"/>
      <c r="L316" s="682"/>
      <c r="M316" s="692"/>
      <c r="N316" s="564" t="e">
        <f>J316*INDEX([2]Pedidos!$Q:$Q,MATCH(F316,[2]Pedidos!$E:$E,0))</f>
        <v>#N/A</v>
      </c>
      <c r="O316" s="564" t="e">
        <f>K316*INDEX([2]Pedidos!$Q:$Q,MATCH(G316,[2]Pedidos!$E:$E,0))</f>
        <v>#N/A</v>
      </c>
      <c r="P316" s="564" t="e">
        <f>M316*INDEX([2]Pedidos!$Q:$Q,MATCH(H316,[2]Pedidos!$E:$E,0))</f>
        <v>#N/A</v>
      </c>
    </row>
    <row r="317" spans="1:18" x14ac:dyDescent="0.25">
      <c r="A317" s="753"/>
      <c r="C317" s="452" t="s">
        <v>1825</v>
      </c>
      <c r="D317" s="449">
        <f t="shared" si="76"/>
        <v>46177</v>
      </c>
      <c r="E317" s="454" t="s">
        <v>164</v>
      </c>
      <c r="F317" s="512"/>
      <c r="G317" s="512"/>
      <c r="H317" s="512"/>
      <c r="I317" s="512"/>
      <c r="J317" s="682"/>
      <c r="K317" s="682"/>
      <c r="L317" s="682"/>
      <c r="M317" s="692"/>
      <c r="N317" s="564" t="e">
        <f>J317*INDEX([2]Pedidos!$Q:$Q,MATCH(F317,[2]Pedidos!$E:$E,0))</f>
        <v>#N/A</v>
      </c>
      <c r="O317" s="564" t="e">
        <f>K317*INDEX([2]Pedidos!$Q:$Q,MATCH(G317,[2]Pedidos!$E:$E,0))</f>
        <v>#N/A</v>
      </c>
      <c r="P317" s="564" t="e">
        <f>M317*INDEX([2]Pedidos!$Q:$Q,MATCH(H317,[2]Pedidos!$E:$E,0))</f>
        <v>#N/A</v>
      </c>
    </row>
    <row r="318" spans="1:18" x14ac:dyDescent="0.25">
      <c r="A318" s="753"/>
      <c r="C318" s="452" t="s">
        <v>1825</v>
      </c>
      <c r="D318" s="449">
        <f t="shared" si="76"/>
        <v>46177</v>
      </c>
      <c r="E318" s="454" t="s">
        <v>165</v>
      </c>
      <c r="F318" s="512"/>
      <c r="G318" s="512"/>
      <c r="H318" s="512"/>
      <c r="I318" s="512"/>
      <c r="J318" s="682"/>
      <c r="K318" s="682"/>
      <c r="L318" s="682"/>
      <c r="M318" s="692"/>
      <c r="N318" s="564" t="e">
        <f>J318*INDEX([2]Pedidos!$Q:$Q,MATCH(F318,[2]Pedidos!$E:$E,0))</f>
        <v>#N/A</v>
      </c>
      <c r="O318" s="564" t="e">
        <f>K318*INDEX([2]Pedidos!$Q:$Q,MATCH(G318,[2]Pedidos!$E:$E,0))</f>
        <v>#N/A</v>
      </c>
      <c r="P318" s="564" t="e">
        <f>M318*INDEX([2]Pedidos!$Q:$Q,MATCH(H318,[2]Pedidos!$E:$E,0))</f>
        <v>#N/A</v>
      </c>
    </row>
    <row r="319" spans="1:18" x14ac:dyDescent="0.25">
      <c r="A319" s="753"/>
      <c r="C319" s="452" t="s">
        <v>1825</v>
      </c>
      <c r="D319" s="449">
        <f t="shared" si="76"/>
        <v>46177</v>
      </c>
      <c r="E319" s="454" t="s">
        <v>166</v>
      </c>
      <c r="F319" s="512"/>
      <c r="G319" s="512"/>
      <c r="H319" s="512"/>
      <c r="I319" s="512"/>
      <c r="J319" s="682"/>
      <c r="K319" s="682"/>
      <c r="L319" s="682"/>
      <c r="M319" s="692"/>
      <c r="N319" s="556"/>
      <c r="O319" s="556"/>
      <c r="P319" s="556"/>
    </row>
    <row r="320" spans="1:18" x14ac:dyDescent="0.25">
      <c r="A320" s="753"/>
      <c r="C320" s="452" t="s">
        <v>1825</v>
      </c>
      <c r="D320" s="449">
        <f t="shared" si="76"/>
        <v>46177</v>
      </c>
      <c r="E320" s="454" t="s">
        <v>576</v>
      </c>
      <c r="F320" s="517"/>
      <c r="G320" s="512"/>
      <c r="H320" s="512"/>
      <c r="I320" s="512"/>
      <c r="J320" s="693"/>
      <c r="K320" s="693"/>
      <c r="L320" s="693"/>
      <c r="M320" s="693"/>
      <c r="N320" s="565" t="e">
        <f>J320*INDEX([2]Pedidos!$Q:$Q,MATCH(F320,[2]Pedidos!$E:$E,0))</f>
        <v>#N/A</v>
      </c>
      <c r="O320" s="565" t="e">
        <f>K320*INDEX([2]Pedidos!$Q:$Q,MATCH(G320,[2]Pedidos!$E:$E,0))</f>
        <v>#N/A</v>
      </c>
      <c r="P320" s="565" t="e">
        <f>M320*INDEX([2]Pedidos!$Q:$Q,MATCH(H320,[2]Pedidos!$E:$E,0))</f>
        <v>#N/A</v>
      </c>
    </row>
    <row r="321" spans="1:18" x14ac:dyDescent="0.25">
      <c r="A321" s="753"/>
      <c r="C321" s="452" t="s">
        <v>1825</v>
      </c>
      <c r="D321" s="449">
        <f t="shared" si="76"/>
        <v>46177</v>
      </c>
      <c r="E321" s="454" t="s">
        <v>167</v>
      </c>
      <c r="F321" s="512"/>
      <c r="G321" s="512"/>
      <c r="H321" s="512"/>
      <c r="I321" s="512"/>
      <c r="J321" s="682"/>
      <c r="K321" s="682"/>
      <c r="L321" s="682"/>
      <c r="M321" s="692"/>
      <c r="N321" s="565" t="e">
        <f>J321*INDEX([2]Pedidos!$Q:$Q,MATCH(F321,[2]Pedidos!$E:$E,0))</f>
        <v>#N/A</v>
      </c>
      <c r="O321" s="565" t="e">
        <f>K321*INDEX([2]Pedidos!$Q:$Q,MATCH(G321,[2]Pedidos!$E:$E,0))</f>
        <v>#N/A</v>
      </c>
      <c r="P321" s="565" t="e">
        <f>M321*INDEX([2]Pedidos!$Q:$Q,MATCH(H321,[2]Pedidos!$E:$E,0))</f>
        <v>#N/A</v>
      </c>
    </row>
    <row r="322" spans="1:18" x14ac:dyDescent="0.25">
      <c r="A322" s="753"/>
      <c r="C322" s="452" t="s">
        <v>1825</v>
      </c>
      <c r="D322" s="449">
        <f t="shared" si="76"/>
        <v>46177</v>
      </c>
      <c r="E322" s="454" t="s">
        <v>168</v>
      </c>
      <c r="F322" s="512"/>
      <c r="G322" s="512"/>
      <c r="H322" s="512"/>
      <c r="I322" s="512"/>
      <c r="J322" s="682"/>
      <c r="K322" s="682"/>
      <c r="L322" s="682"/>
      <c r="M322" s="692"/>
      <c r="N322" s="565" t="e">
        <f>J322*INDEX([2]Pedidos!$Q:$Q,MATCH(F322,[2]Pedidos!$E:$E,0))</f>
        <v>#N/A</v>
      </c>
      <c r="O322" s="565" t="e">
        <f>K322*INDEX([2]Pedidos!$Q:$Q,MATCH(G322,[2]Pedidos!$E:$E,0))</f>
        <v>#N/A</v>
      </c>
      <c r="P322" s="565" t="e">
        <f>M322*INDEX([2]Pedidos!$Q:$Q,MATCH(H322,[2]Pedidos!$E:$E,0))</f>
        <v>#N/A</v>
      </c>
    </row>
    <row r="323" spans="1:18" x14ac:dyDescent="0.25">
      <c r="A323" s="753"/>
      <c r="C323" s="452" t="s">
        <v>1825</v>
      </c>
      <c r="D323" s="449">
        <f t="shared" si="76"/>
        <v>46177</v>
      </c>
      <c r="E323" s="454" t="s">
        <v>169</v>
      </c>
      <c r="F323" s="512"/>
      <c r="G323" s="512"/>
      <c r="H323" s="512"/>
      <c r="I323" s="512"/>
      <c r="J323" s="682"/>
      <c r="K323" s="682"/>
      <c r="L323" s="682"/>
      <c r="M323" s="692"/>
      <c r="N323" s="565" t="e">
        <f>J323*INDEX([2]Pedidos!$Q:$Q,MATCH(F323,[2]Pedidos!$E:$E,0))</f>
        <v>#N/A</v>
      </c>
      <c r="O323" s="565" t="e">
        <f>K323*INDEX([2]Pedidos!$Q:$Q,MATCH(G323,[2]Pedidos!$E:$E,0))</f>
        <v>#N/A</v>
      </c>
      <c r="P323" s="565" t="e">
        <f>M323*INDEX([2]Pedidos!$Q:$Q,MATCH(H323,[2]Pedidos!$E:$E,0))</f>
        <v>#N/A</v>
      </c>
    </row>
    <row r="324" spans="1:18" x14ac:dyDescent="0.25">
      <c r="A324" s="753"/>
      <c r="C324" s="452" t="s">
        <v>1825</v>
      </c>
      <c r="D324" s="449">
        <f t="shared" si="76"/>
        <v>46177</v>
      </c>
      <c r="E324" s="454" t="s">
        <v>170</v>
      </c>
      <c r="F324" s="512"/>
      <c r="G324" s="512"/>
      <c r="H324" s="512"/>
      <c r="I324" s="512"/>
      <c r="J324" s="682"/>
      <c r="K324" s="682"/>
      <c r="L324" s="682"/>
      <c r="M324" s="692"/>
      <c r="N324" s="566" t="e">
        <f>J324*INDEX([2]Pedidos!$Q:$Q,MATCH(F324,[2]Pedidos!$E:$E,0))</f>
        <v>#N/A</v>
      </c>
      <c r="O324" s="566" t="e">
        <f>K324*INDEX([2]Pedidos!$Q:$Q,MATCH(G324,[2]Pedidos!$E:$E,0))</f>
        <v>#N/A</v>
      </c>
      <c r="P324" s="566" t="e">
        <f>M324*INDEX([2]Pedidos!$Q:$Q,MATCH(H324,[2]Pedidos!$E:$E,0))</f>
        <v>#N/A</v>
      </c>
    </row>
    <row r="325" spans="1:18" x14ac:dyDescent="0.25">
      <c r="A325" s="753"/>
      <c r="C325" s="452" t="s">
        <v>1825</v>
      </c>
      <c r="D325" s="449">
        <f t="shared" si="76"/>
        <v>46177</v>
      </c>
      <c r="E325" s="454" t="s">
        <v>585</v>
      </c>
      <c r="F325" s="512"/>
      <c r="G325" s="512"/>
      <c r="H325" s="516"/>
      <c r="I325" s="516"/>
      <c r="J325" s="516"/>
      <c r="K325" s="516"/>
      <c r="L325" s="516"/>
      <c r="M325" s="516"/>
      <c r="N325" s="566" t="e">
        <f>J325*INDEX([2]Pedidos!$Q:$Q,MATCH(F325,[2]Pedidos!$E:$E,0))</f>
        <v>#N/A</v>
      </c>
      <c r="O325" s="566" t="e">
        <f>K325*INDEX([2]Pedidos!$Q:$Q,MATCH(G325,[2]Pedidos!$E:$E,0))</f>
        <v>#N/A</v>
      </c>
      <c r="P325" s="566" t="e">
        <f>M325*INDEX([2]Pedidos!$Q:$Q,MATCH(H325,[2]Pedidos!$E:$E,0))</f>
        <v>#N/A</v>
      </c>
    </row>
    <row r="326" spans="1:18" x14ac:dyDescent="0.25">
      <c r="A326" s="753"/>
      <c r="C326" s="448" t="s">
        <v>1825</v>
      </c>
      <c r="D326" s="449">
        <f t="shared" si="76"/>
        <v>46177</v>
      </c>
      <c r="E326" s="455" t="s">
        <v>574</v>
      </c>
      <c r="F326" s="512"/>
      <c r="G326" s="512"/>
      <c r="H326" s="516"/>
      <c r="I326" s="516"/>
      <c r="J326" s="516"/>
      <c r="K326" s="516"/>
      <c r="L326" s="516"/>
      <c r="M326" s="516"/>
      <c r="N326" s="556"/>
      <c r="O326" s="556"/>
      <c r="P326" s="556"/>
    </row>
    <row r="327" spans="1:18" x14ac:dyDescent="0.25">
      <c r="A327" s="753"/>
      <c r="C327" s="448" t="s">
        <v>1825</v>
      </c>
      <c r="D327" s="449">
        <f t="shared" si="76"/>
        <v>46177</v>
      </c>
      <c r="E327" s="455" t="s">
        <v>575</v>
      </c>
      <c r="F327" s="516"/>
      <c r="G327" s="516"/>
      <c r="H327" s="516"/>
      <c r="I327" s="516"/>
      <c r="J327" s="516"/>
      <c r="K327" s="516"/>
      <c r="L327" s="516"/>
      <c r="M327" s="516"/>
      <c r="N327" s="566" t="e">
        <f>J327*INDEX([2]Pedidos!$Q:$Q,MATCH(F327,[2]Pedidos!$E:$E,0))</f>
        <v>#N/A</v>
      </c>
      <c r="O327" s="566" t="e">
        <f>K327*INDEX([2]Pedidos!$Q:$Q,MATCH(G327,[2]Pedidos!$E:$E,0))</f>
        <v>#N/A</v>
      </c>
      <c r="P327" s="566" t="e">
        <f>M327*INDEX([2]Pedidos!$Q:$Q,MATCH(H327,[2]Pedidos!$E:$E,0))</f>
        <v>#N/A</v>
      </c>
    </row>
    <row r="328" spans="1:18" x14ac:dyDescent="0.25">
      <c r="A328" s="753"/>
      <c r="C328" s="448" t="s">
        <v>1825</v>
      </c>
      <c r="D328" s="449">
        <f t="shared" si="76"/>
        <v>46177</v>
      </c>
      <c r="E328" s="503" t="s">
        <v>583</v>
      </c>
      <c r="F328" s="516"/>
      <c r="G328" s="516"/>
      <c r="H328" s="516"/>
      <c r="I328" s="516"/>
      <c r="J328" s="516"/>
      <c r="K328" s="516"/>
      <c r="L328" s="516"/>
      <c r="M328" s="516"/>
      <c r="N328" s="566" t="e">
        <f>J328*INDEX([2]Pedidos!$Q:$Q,MATCH(F328,[2]Pedidos!$E:$E,0))</f>
        <v>#N/A</v>
      </c>
      <c r="O328" s="566" t="e">
        <f>K328*INDEX([2]Pedidos!$Q:$Q,MATCH(G328,[2]Pedidos!$E:$E,0))</f>
        <v>#N/A</v>
      </c>
      <c r="P328" s="566" t="e">
        <f>M328*INDEX([2]Pedidos!$Q:$Q,MATCH(H328,[2]Pedidos!$E:$E,0))</f>
        <v>#N/A</v>
      </c>
    </row>
    <row r="329" spans="1:18" ht="15.75" thickBot="1" x14ac:dyDescent="0.3">
      <c r="A329" s="753"/>
      <c r="C329" s="450" t="s">
        <v>1825</v>
      </c>
      <c r="D329" s="451">
        <f t="shared" si="76"/>
        <v>46177</v>
      </c>
      <c r="E329" s="459" t="s">
        <v>584</v>
      </c>
      <c r="F329" s="513"/>
      <c r="G329" s="513"/>
      <c r="H329" s="513"/>
      <c r="I329" s="513"/>
      <c r="J329" s="513"/>
      <c r="K329" s="513"/>
      <c r="L329" s="513"/>
      <c r="M329" s="513"/>
      <c r="N329" s="696" t="e">
        <f>J329*INDEX([2]Pedidos!$Q:$Q,MATCH(F329,[2]Pedidos!$E:$E,0))</f>
        <v>#N/A</v>
      </c>
      <c r="O329" s="696" t="e">
        <f>K329*INDEX([2]Pedidos!$Q:$Q,MATCH(G329,[2]Pedidos!$E:$E,0))</f>
        <v>#N/A</v>
      </c>
      <c r="P329" s="696" t="e">
        <f>M329*INDEX([2]Pedidos!$Q:$Q,MATCH(H329,[2]Pedidos!$E:$E,0))</f>
        <v>#N/A</v>
      </c>
    </row>
    <row r="330" spans="1:18" ht="4.5" customHeight="1" thickBot="1" x14ac:dyDescent="0.3">
      <c r="A330" s="753"/>
      <c r="J330" s="445"/>
      <c r="K330" s="445"/>
      <c r="L330" s="445"/>
      <c r="N330" s="559"/>
      <c r="O330" s="559"/>
      <c r="P330" s="559"/>
    </row>
    <row r="331" spans="1:18" ht="15.75" thickBot="1" x14ac:dyDescent="0.3">
      <c r="A331" s="753"/>
      <c r="C331" s="546">
        <f>SUM(J259:M259,J277:M277,J295:M295,J313:M313,J331:M331)</f>
        <v>79586.71428571429</v>
      </c>
      <c r="D331" s="547">
        <f>SUM(R331,R313,R295,R277,R259)</f>
        <v>43198.707142857143</v>
      </c>
      <c r="E331" s="539"/>
      <c r="F331" s="539"/>
      <c r="G331" s="539"/>
      <c r="H331" s="539"/>
      <c r="I331" s="539"/>
      <c r="J331" s="606">
        <f t="shared" ref="J331:M331" si="77">_xlfn.AGGREGATE(9,6,J332:J347)</f>
        <v>9500</v>
      </c>
      <c r="K331" s="607">
        <f t="shared" si="77"/>
        <v>9200.9999999999982</v>
      </c>
      <c r="L331" s="607"/>
      <c r="M331" s="544">
        <f t="shared" si="77"/>
        <v>0</v>
      </c>
      <c r="N331" s="560">
        <f t="shared" ref="N331:P331" si="78">_xlfn.AGGREGATE(9,6,N332:N347)</f>
        <v>5224.9999999999991</v>
      </c>
      <c r="O331" s="561">
        <f t="shared" si="78"/>
        <v>7820.8499999999985</v>
      </c>
      <c r="P331" s="562">
        <f t="shared" si="78"/>
        <v>0</v>
      </c>
      <c r="Q331" s="548">
        <f>SUM(J331:M331)</f>
        <v>18701</v>
      </c>
      <c r="R331" s="549">
        <f>SUM(N331:P331)</f>
        <v>13045.849999999999</v>
      </c>
    </row>
    <row r="332" spans="1:18" x14ac:dyDescent="0.25">
      <c r="A332" s="753"/>
      <c r="C332" s="446" t="s">
        <v>1826</v>
      </c>
      <c r="D332" s="497">
        <f>D329+1</f>
        <v>46178</v>
      </c>
      <c r="E332" s="498" t="s">
        <v>573</v>
      </c>
      <c r="F332" s="460" t="s">
        <v>1802</v>
      </c>
      <c r="G332" s="460" t="s">
        <v>1902</v>
      </c>
      <c r="H332" s="460"/>
      <c r="I332" s="725"/>
      <c r="J332" s="683">
        <f t="shared" ref="J332:J347" si="79">19000/28</f>
        <v>678.57142857142856</v>
      </c>
      <c r="K332" s="683">
        <f>9201/14</f>
        <v>657.21428571428567</v>
      </c>
      <c r="L332" s="683"/>
      <c r="M332" s="702"/>
      <c r="N332" s="695">
        <f>J332*INDEX([2]Pedidos!$Q:$Q,MATCH(F332,[2]Pedidos!$E:$E,0))</f>
        <v>373.21428571428572</v>
      </c>
      <c r="O332" s="695">
        <f>K332*INDEX([2]Pedidos!$Q:$Q,MATCH(G332,[2]Pedidos!$E:$E,0))</f>
        <v>558.63214285714275</v>
      </c>
      <c r="P332" s="695" t="e">
        <f>M332*INDEX([2]Pedidos!$Q:$Q,MATCH(H332,[2]Pedidos!$E:$E,0))</f>
        <v>#N/A</v>
      </c>
    </row>
    <row r="333" spans="1:18" x14ac:dyDescent="0.25">
      <c r="A333" s="753"/>
      <c r="C333" s="452" t="s">
        <v>1826</v>
      </c>
      <c r="D333" s="499">
        <f t="shared" ref="D333:D347" si="80">D332</f>
        <v>46178</v>
      </c>
      <c r="E333" s="500" t="s">
        <v>162</v>
      </c>
      <c r="F333" s="460" t="s">
        <v>1802</v>
      </c>
      <c r="G333" s="460" t="s">
        <v>1902</v>
      </c>
      <c r="H333" s="460"/>
      <c r="I333" s="460"/>
      <c r="J333" s="540">
        <f t="shared" si="79"/>
        <v>678.57142857142856</v>
      </c>
      <c r="K333" s="540">
        <f>9201/14</f>
        <v>657.21428571428567</v>
      </c>
      <c r="L333" s="540"/>
      <c r="M333" s="703"/>
      <c r="N333" s="555">
        <f>J333*INDEX([2]Pedidos!$Q:$Q,MATCH(F333,[2]Pedidos!$E:$E,0))</f>
        <v>373.21428571428572</v>
      </c>
      <c r="O333" s="555">
        <f>K333*INDEX([2]Pedidos!$Q:$Q,MATCH(G333,[2]Pedidos!$E:$E,0))</f>
        <v>558.63214285714275</v>
      </c>
      <c r="P333" s="555" t="e">
        <f>M333*INDEX([2]Pedidos!$Q:$Q,MATCH(H333,[2]Pedidos!$E:$E,0))</f>
        <v>#N/A</v>
      </c>
    </row>
    <row r="334" spans="1:18" x14ac:dyDescent="0.25">
      <c r="A334" s="753"/>
      <c r="C334" s="452" t="s">
        <v>1826</v>
      </c>
      <c r="D334" s="449">
        <f t="shared" si="80"/>
        <v>46178</v>
      </c>
      <c r="E334" s="454" t="s">
        <v>163</v>
      </c>
      <c r="F334" s="460" t="s">
        <v>1802</v>
      </c>
      <c r="G334" s="460" t="s">
        <v>1902</v>
      </c>
      <c r="H334" s="460"/>
      <c r="I334" s="460"/>
      <c r="J334" s="540">
        <f t="shared" si="79"/>
        <v>678.57142857142856</v>
      </c>
      <c r="K334" s="540">
        <f>9201/14</f>
        <v>657.21428571428567</v>
      </c>
      <c r="L334" s="540"/>
      <c r="M334" s="703"/>
      <c r="N334" s="564">
        <f>J334*INDEX([2]Pedidos!$Q:$Q,MATCH(F334,[2]Pedidos!$E:$E,0))</f>
        <v>373.21428571428572</v>
      </c>
      <c r="O334" s="564">
        <f>K334*INDEX([2]Pedidos!$Q:$Q,MATCH(G334,[2]Pedidos!$E:$E,0))</f>
        <v>558.63214285714275</v>
      </c>
      <c r="P334" s="564" t="e">
        <f>M334*INDEX([2]Pedidos!$Q:$Q,MATCH(H334,[2]Pedidos!$E:$E,0))</f>
        <v>#N/A</v>
      </c>
    </row>
    <row r="335" spans="1:18" x14ac:dyDescent="0.25">
      <c r="A335" s="753"/>
      <c r="C335" s="452" t="s">
        <v>1826</v>
      </c>
      <c r="D335" s="449">
        <f t="shared" si="80"/>
        <v>46178</v>
      </c>
      <c r="E335" s="454" t="s">
        <v>164</v>
      </c>
      <c r="F335" s="460" t="s">
        <v>1802</v>
      </c>
      <c r="G335" s="460" t="s">
        <v>1902</v>
      </c>
      <c r="H335" s="460"/>
      <c r="I335" s="460"/>
      <c r="J335" s="540">
        <f t="shared" si="79"/>
        <v>678.57142857142856</v>
      </c>
      <c r="K335" s="540">
        <f>9201/14</f>
        <v>657.21428571428567</v>
      </c>
      <c r="L335" s="540"/>
      <c r="M335" s="703"/>
      <c r="N335" s="564">
        <f>J335*INDEX([2]Pedidos!$Q:$Q,MATCH(F335,[2]Pedidos!$E:$E,0))</f>
        <v>373.21428571428572</v>
      </c>
      <c r="O335" s="564">
        <f>K335*INDEX([2]Pedidos!$Q:$Q,MATCH(G335,[2]Pedidos!$E:$E,0))</f>
        <v>558.63214285714275</v>
      </c>
      <c r="P335" s="564" t="e">
        <f>M335*INDEX([2]Pedidos!$Q:$Q,MATCH(H335,[2]Pedidos!$E:$E,0))</f>
        <v>#N/A</v>
      </c>
    </row>
    <row r="336" spans="1:18" x14ac:dyDescent="0.25">
      <c r="A336" s="753"/>
      <c r="C336" s="452" t="s">
        <v>1826</v>
      </c>
      <c r="D336" s="449">
        <f t="shared" si="80"/>
        <v>46178</v>
      </c>
      <c r="E336" s="454" t="s">
        <v>165</v>
      </c>
      <c r="F336" s="460" t="s">
        <v>1802</v>
      </c>
      <c r="G336" s="460" t="s">
        <v>1902</v>
      </c>
      <c r="H336" s="460"/>
      <c r="I336" s="460"/>
      <c r="J336" s="540">
        <f t="shared" si="79"/>
        <v>678.57142857142856</v>
      </c>
      <c r="K336" s="540">
        <f>9201/14</f>
        <v>657.21428571428567</v>
      </c>
      <c r="L336" s="540"/>
      <c r="M336" s="703"/>
      <c r="N336" s="564">
        <f>J336*INDEX([2]Pedidos!$Q:$Q,MATCH(F336,[2]Pedidos!$E:$E,0))</f>
        <v>373.21428571428572</v>
      </c>
      <c r="O336" s="564">
        <f>K336*INDEX([2]Pedidos!$Q:$Q,MATCH(G336,[2]Pedidos!$E:$E,0))</f>
        <v>558.63214285714275</v>
      </c>
      <c r="P336" s="564" t="e">
        <f>M336*INDEX([2]Pedidos!$Q:$Q,MATCH(H336,[2]Pedidos!$E:$E,0))</f>
        <v>#N/A</v>
      </c>
    </row>
    <row r="337" spans="1:18" x14ac:dyDescent="0.25">
      <c r="A337" s="753"/>
      <c r="C337" s="452" t="s">
        <v>1826</v>
      </c>
      <c r="D337" s="449">
        <f t="shared" si="80"/>
        <v>46178</v>
      </c>
      <c r="E337" s="454" t="s">
        <v>166</v>
      </c>
      <c r="F337" s="512"/>
      <c r="G337" s="512"/>
      <c r="H337" s="512"/>
      <c r="I337" s="512"/>
      <c r="J337" s="682"/>
      <c r="K337" s="682"/>
      <c r="L337" s="682"/>
      <c r="M337" s="682"/>
      <c r="N337" s="556"/>
      <c r="O337" s="556"/>
      <c r="P337" s="556"/>
    </row>
    <row r="338" spans="1:18" x14ac:dyDescent="0.25">
      <c r="A338" s="753"/>
      <c r="C338" s="452" t="s">
        <v>1826</v>
      </c>
      <c r="D338" s="449">
        <f t="shared" si="80"/>
        <v>46178</v>
      </c>
      <c r="E338" s="454" t="s">
        <v>576</v>
      </c>
      <c r="F338" s="460" t="s">
        <v>1802</v>
      </c>
      <c r="G338" s="460" t="s">
        <v>1902</v>
      </c>
      <c r="H338" s="460"/>
      <c r="I338" s="460"/>
      <c r="J338" s="540">
        <f t="shared" si="79"/>
        <v>678.57142857142856</v>
      </c>
      <c r="K338" s="679">
        <f t="shared" ref="K338:K343" si="81">9201/14</f>
        <v>657.21428571428567</v>
      </c>
      <c r="L338" s="679"/>
      <c r="M338" s="704"/>
      <c r="N338" s="565">
        <f>J338*INDEX([2]Pedidos!$Q:$Q,MATCH(F338,[2]Pedidos!$E:$E,0))</f>
        <v>373.21428571428572</v>
      </c>
      <c r="O338" s="565">
        <f>K338*INDEX([2]Pedidos!$Q:$Q,MATCH(G338,[2]Pedidos!$E:$E,0))</f>
        <v>558.63214285714275</v>
      </c>
      <c r="P338" s="565" t="e">
        <f>M338*INDEX([2]Pedidos!$Q:$Q,MATCH(H338,[2]Pedidos!$E:$E,0))</f>
        <v>#N/A</v>
      </c>
    </row>
    <row r="339" spans="1:18" x14ac:dyDescent="0.25">
      <c r="A339" s="753"/>
      <c r="C339" s="452" t="s">
        <v>1826</v>
      </c>
      <c r="D339" s="449">
        <f t="shared" si="80"/>
        <v>46178</v>
      </c>
      <c r="E339" s="454" t="s">
        <v>167</v>
      </c>
      <c r="F339" s="460" t="s">
        <v>1802</v>
      </c>
      <c r="G339" s="460" t="s">
        <v>1902</v>
      </c>
      <c r="H339" s="460"/>
      <c r="I339" s="460"/>
      <c r="J339" s="540">
        <f t="shared" si="79"/>
        <v>678.57142857142856</v>
      </c>
      <c r="K339" s="540">
        <f t="shared" si="81"/>
        <v>657.21428571428567</v>
      </c>
      <c r="L339" s="540"/>
      <c r="M339" s="703"/>
      <c r="N339" s="565">
        <f>J339*INDEX([2]Pedidos!$Q:$Q,MATCH(F339,[2]Pedidos!$E:$E,0))</f>
        <v>373.21428571428572</v>
      </c>
      <c r="O339" s="565">
        <f>K339*INDEX([2]Pedidos!$Q:$Q,MATCH(G339,[2]Pedidos!$E:$E,0))</f>
        <v>558.63214285714275</v>
      </c>
      <c r="P339" s="565" t="e">
        <f>M339*INDEX([2]Pedidos!$Q:$Q,MATCH(H339,[2]Pedidos!$E:$E,0))</f>
        <v>#N/A</v>
      </c>
    </row>
    <row r="340" spans="1:18" x14ac:dyDescent="0.25">
      <c r="A340" s="753"/>
      <c r="C340" s="452" t="s">
        <v>1826</v>
      </c>
      <c r="D340" s="449">
        <f t="shared" si="80"/>
        <v>46178</v>
      </c>
      <c r="E340" s="454" t="s">
        <v>168</v>
      </c>
      <c r="F340" s="460" t="s">
        <v>1802</v>
      </c>
      <c r="G340" s="460" t="s">
        <v>1902</v>
      </c>
      <c r="H340" s="460"/>
      <c r="I340" s="460"/>
      <c r="J340" s="540">
        <f t="shared" si="79"/>
        <v>678.57142857142856</v>
      </c>
      <c r="K340" s="540">
        <f t="shared" si="81"/>
        <v>657.21428571428567</v>
      </c>
      <c r="L340" s="540"/>
      <c r="M340" s="703"/>
      <c r="N340" s="565">
        <f>J340*INDEX([2]Pedidos!$Q:$Q,MATCH(F340,[2]Pedidos!$E:$E,0))</f>
        <v>373.21428571428572</v>
      </c>
      <c r="O340" s="565">
        <f>K340*INDEX([2]Pedidos!$Q:$Q,MATCH(G340,[2]Pedidos!$E:$E,0))</f>
        <v>558.63214285714275</v>
      </c>
      <c r="P340" s="565" t="e">
        <f>M340*INDEX([2]Pedidos!$Q:$Q,MATCH(H340,[2]Pedidos!$E:$E,0))</f>
        <v>#N/A</v>
      </c>
    </row>
    <row r="341" spans="1:18" x14ac:dyDescent="0.25">
      <c r="A341" s="753"/>
      <c r="C341" s="452" t="s">
        <v>1826</v>
      </c>
      <c r="D341" s="449">
        <f t="shared" si="80"/>
        <v>46178</v>
      </c>
      <c r="E341" s="454" t="s">
        <v>169</v>
      </c>
      <c r="F341" s="460" t="s">
        <v>1802</v>
      </c>
      <c r="G341" s="460" t="s">
        <v>1902</v>
      </c>
      <c r="H341" s="460"/>
      <c r="I341" s="460"/>
      <c r="J341" s="540">
        <f t="shared" si="79"/>
        <v>678.57142857142856</v>
      </c>
      <c r="K341" s="540">
        <f t="shared" si="81"/>
        <v>657.21428571428567</v>
      </c>
      <c r="L341" s="540"/>
      <c r="M341" s="703"/>
      <c r="N341" s="565">
        <f>J341*INDEX([2]Pedidos!$Q:$Q,MATCH(F341,[2]Pedidos!$E:$E,0))</f>
        <v>373.21428571428572</v>
      </c>
      <c r="O341" s="565">
        <f>K341*INDEX([2]Pedidos!$Q:$Q,MATCH(G341,[2]Pedidos!$E:$E,0))</f>
        <v>558.63214285714275</v>
      </c>
      <c r="P341" s="565" t="e">
        <f>M341*INDEX([2]Pedidos!$Q:$Q,MATCH(H341,[2]Pedidos!$E:$E,0))</f>
        <v>#N/A</v>
      </c>
    </row>
    <row r="342" spans="1:18" x14ac:dyDescent="0.25">
      <c r="A342" s="753"/>
      <c r="C342" s="452" t="s">
        <v>1826</v>
      </c>
      <c r="D342" s="449">
        <f t="shared" si="80"/>
        <v>46178</v>
      </c>
      <c r="E342" s="454" t="s">
        <v>170</v>
      </c>
      <c r="F342" s="460" t="s">
        <v>1802</v>
      </c>
      <c r="G342" s="460" t="s">
        <v>1902</v>
      </c>
      <c r="H342" s="460"/>
      <c r="I342" s="460"/>
      <c r="J342" s="540">
        <f t="shared" si="79"/>
        <v>678.57142857142856</v>
      </c>
      <c r="K342" s="540">
        <f t="shared" si="81"/>
        <v>657.21428571428567</v>
      </c>
      <c r="L342" s="540"/>
      <c r="M342" s="703"/>
      <c r="N342" s="566">
        <f>J342*INDEX([2]Pedidos!$Q:$Q,MATCH(F342,[2]Pedidos!$E:$E,0))</f>
        <v>373.21428571428572</v>
      </c>
      <c r="O342" s="566">
        <f>K342*INDEX([2]Pedidos!$Q:$Q,MATCH(G342,[2]Pedidos!$E:$E,0))</f>
        <v>558.63214285714275</v>
      </c>
      <c r="P342" s="566" t="e">
        <f>M342*INDEX([2]Pedidos!$Q:$Q,MATCH(H342,[2]Pedidos!$E:$E,0))</f>
        <v>#N/A</v>
      </c>
    </row>
    <row r="343" spans="1:18" x14ac:dyDescent="0.25">
      <c r="A343" s="753"/>
      <c r="C343" s="452" t="s">
        <v>1826</v>
      </c>
      <c r="D343" s="449">
        <f t="shared" si="80"/>
        <v>46178</v>
      </c>
      <c r="E343" s="454" t="s">
        <v>585</v>
      </c>
      <c r="F343" s="460" t="s">
        <v>1802</v>
      </c>
      <c r="G343" s="460" t="s">
        <v>1902</v>
      </c>
      <c r="H343" s="460"/>
      <c r="I343" s="460"/>
      <c r="J343" s="540">
        <f t="shared" si="79"/>
        <v>678.57142857142856</v>
      </c>
      <c r="K343" s="684">
        <f t="shared" si="81"/>
        <v>657.21428571428567</v>
      </c>
      <c r="L343" s="684"/>
      <c r="M343" s="705"/>
      <c r="N343" s="566">
        <f>J343*INDEX([2]Pedidos!$Q:$Q,MATCH(F343,[2]Pedidos!$E:$E,0))</f>
        <v>373.21428571428572</v>
      </c>
      <c r="O343" s="566">
        <f>K343*INDEX([2]Pedidos!$Q:$Q,MATCH(G343,[2]Pedidos!$E:$E,0))</f>
        <v>558.63214285714275</v>
      </c>
      <c r="P343" s="566" t="e">
        <f>M343*INDEX([2]Pedidos!$Q:$Q,MATCH(H343,[2]Pedidos!$E:$E,0))</f>
        <v>#N/A</v>
      </c>
    </row>
    <row r="344" spans="1:18" x14ac:dyDescent="0.25">
      <c r="A344" s="753"/>
      <c r="C344" s="448" t="s">
        <v>1826</v>
      </c>
      <c r="D344" s="449">
        <f t="shared" si="80"/>
        <v>46178</v>
      </c>
      <c r="E344" s="455" t="s">
        <v>574</v>
      </c>
      <c r="F344" s="512"/>
      <c r="G344" s="512"/>
      <c r="H344" s="512"/>
      <c r="I344" s="537"/>
      <c r="J344" s="685"/>
      <c r="K344" s="685"/>
      <c r="L344" s="685"/>
      <c r="M344" s="685"/>
      <c r="N344" s="556"/>
      <c r="O344" s="556"/>
      <c r="P344" s="556"/>
    </row>
    <row r="345" spans="1:18" x14ac:dyDescent="0.25">
      <c r="A345" s="753"/>
      <c r="C345" s="448" t="s">
        <v>1826</v>
      </c>
      <c r="D345" s="449">
        <f t="shared" si="80"/>
        <v>46178</v>
      </c>
      <c r="E345" s="455" t="s">
        <v>575</v>
      </c>
      <c r="F345" s="504" t="s">
        <v>1802</v>
      </c>
      <c r="G345" s="504" t="s">
        <v>1902</v>
      </c>
      <c r="H345" s="504"/>
      <c r="I345" s="504"/>
      <c r="J345" s="684">
        <f t="shared" si="79"/>
        <v>678.57142857142856</v>
      </c>
      <c r="K345" s="684">
        <f>9201/14</f>
        <v>657.21428571428567</v>
      </c>
      <c r="L345" s="684"/>
      <c r="M345" s="705"/>
      <c r="N345" s="566">
        <f>J345*INDEX([2]Pedidos!$Q:$Q,MATCH(F345,[2]Pedidos!$E:$E,0))</f>
        <v>373.21428571428572</v>
      </c>
      <c r="O345" s="566">
        <f>K345*INDEX([2]Pedidos!$Q:$Q,MATCH(G345,[2]Pedidos!$E:$E,0))</f>
        <v>558.63214285714275</v>
      </c>
      <c r="P345" s="566" t="e">
        <f>M345*INDEX([2]Pedidos!$Q:$Q,MATCH(H345,[2]Pedidos!$E:$E,0))</f>
        <v>#N/A</v>
      </c>
    </row>
    <row r="346" spans="1:18" x14ac:dyDescent="0.25">
      <c r="A346" s="753"/>
      <c r="C346" s="448" t="s">
        <v>1826</v>
      </c>
      <c r="D346" s="449">
        <f t="shared" si="80"/>
        <v>46178</v>
      </c>
      <c r="E346" s="503" t="s">
        <v>583</v>
      </c>
      <c r="F346" s="504" t="s">
        <v>1802</v>
      </c>
      <c r="G346" s="504" t="s">
        <v>1902</v>
      </c>
      <c r="H346" s="504"/>
      <c r="I346" s="504"/>
      <c r="J346" s="684">
        <f t="shared" si="79"/>
        <v>678.57142857142856</v>
      </c>
      <c r="K346" s="684">
        <f>9201/14</f>
        <v>657.21428571428567</v>
      </c>
      <c r="L346" s="684"/>
      <c r="M346" s="705"/>
      <c r="N346" s="566">
        <f>J346*INDEX([2]Pedidos!$Q:$Q,MATCH(F346,[2]Pedidos!$E:$E,0))</f>
        <v>373.21428571428572</v>
      </c>
      <c r="O346" s="566">
        <f>K346*INDEX([2]Pedidos!$Q:$Q,MATCH(G346,[2]Pedidos!$E:$E,0))</f>
        <v>558.63214285714275</v>
      </c>
      <c r="P346" s="566" t="e">
        <f>M346*INDEX([2]Pedidos!$Q:$Q,MATCH(H346,[2]Pedidos!$E:$E,0))</f>
        <v>#N/A</v>
      </c>
    </row>
    <row r="347" spans="1:18" ht="15.75" thickBot="1" x14ac:dyDescent="0.3">
      <c r="A347" s="753"/>
      <c r="C347" s="450" t="s">
        <v>1826</v>
      </c>
      <c r="D347" s="451">
        <f t="shared" si="80"/>
        <v>46178</v>
      </c>
      <c r="E347" s="459" t="s">
        <v>584</v>
      </c>
      <c r="F347" s="680" t="s">
        <v>1802</v>
      </c>
      <c r="G347" s="680" t="s">
        <v>1902</v>
      </c>
      <c r="H347" s="680"/>
      <c r="I347" s="680"/>
      <c r="J347" s="686">
        <f t="shared" si="79"/>
        <v>678.57142857142856</v>
      </c>
      <c r="K347" s="686">
        <f>9201/14</f>
        <v>657.21428571428567</v>
      </c>
      <c r="L347" s="686"/>
      <c r="M347" s="706"/>
      <c r="N347" s="696">
        <f>J347*INDEX([2]Pedidos!$Q:$Q,MATCH(F347,[2]Pedidos!$E:$E,0))</f>
        <v>373.21428571428572</v>
      </c>
      <c r="O347" s="696">
        <f>K347*INDEX([2]Pedidos!$Q:$Q,MATCH(G347,[2]Pedidos!$E:$E,0))</f>
        <v>558.63214285714275</v>
      </c>
      <c r="P347" s="696" t="e">
        <f>M347*INDEX([2]Pedidos!$Q:$Q,MATCH(H347,[2]Pedidos!$E:$E,0))</f>
        <v>#N/A</v>
      </c>
    </row>
    <row r="348" spans="1:18" ht="3.75" customHeight="1" thickBot="1" x14ac:dyDescent="0.3">
      <c r="A348" s="753"/>
      <c r="J348" s="445"/>
      <c r="K348" s="445"/>
      <c r="L348" s="445"/>
      <c r="N348" s="559"/>
      <c r="O348" s="559"/>
      <c r="P348" s="559"/>
    </row>
    <row r="349" spans="1:18" ht="15.75" thickBot="1" x14ac:dyDescent="0.3">
      <c r="A349" s="753"/>
      <c r="C349" s="538"/>
      <c r="D349" s="539"/>
      <c r="E349" s="539"/>
      <c r="F349" s="539"/>
      <c r="G349" s="539"/>
      <c r="H349" s="539"/>
      <c r="I349" s="539"/>
      <c r="J349" s="606">
        <f t="shared" ref="J349:M349" ca="1" si="82">_xlfn.AGGREGATE(9,6,J350:J365)</f>
        <v>0</v>
      </c>
      <c r="K349" s="607">
        <f t="shared" ca="1" si="82"/>
        <v>0</v>
      </c>
      <c r="L349" s="607"/>
      <c r="M349" s="544">
        <f t="shared" ca="1" si="82"/>
        <v>0</v>
      </c>
      <c r="N349" s="560">
        <f t="shared" ref="N349:P349" si="83">_xlfn.AGGREGATE(9,6,N350:N365)</f>
        <v>0</v>
      </c>
      <c r="O349" s="561">
        <f t="shared" si="83"/>
        <v>0</v>
      </c>
      <c r="P349" s="562">
        <f t="shared" si="83"/>
        <v>0</v>
      </c>
      <c r="Q349" s="548">
        <f ca="1">SUM(J349:M349)</f>
        <v>0</v>
      </c>
      <c r="R349" s="549">
        <f>SUM(N349:P349)</f>
        <v>0</v>
      </c>
    </row>
    <row r="350" spans="1:18" x14ac:dyDescent="0.25">
      <c r="A350" s="753"/>
      <c r="C350" s="529" t="s">
        <v>1033</v>
      </c>
      <c r="D350" s="447">
        <f>D347+1</f>
        <v>46179</v>
      </c>
      <c r="E350" s="498" t="s">
        <v>573</v>
      </c>
      <c r="F350" s="514"/>
      <c r="G350" s="514"/>
      <c r="H350" s="514"/>
      <c r="I350" s="724"/>
      <c r="J350" s="537" cm="1">
        <f t="array" aca="1" ref="J350" ca="1">IFERROR(_xlfn.LET(_xlpm.produto,TRIM(F350)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50" s="537" cm="1">
        <f t="array" aca="1" ref="K350" ca="1">IFERROR(_xlfn.LET(_xlpm.produto,TRIM(G350)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50" s="537"/>
      <c r="M350" s="537" cm="1">
        <f t="array" aca="1" ref="M350" ca="1">IFERROR(_xlfn.LET(_xlpm.produto,TRIM(H350)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50" s="563"/>
      <c r="O350" s="563"/>
      <c r="P350" s="563"/>
    </row>
    <row r="351" spans="1:18" x14ac:dyDescent="0.25">
      <c r="A351" s="753"/>
      <c r="C351" s="452" t="s">
        <v>1033</v>
      </c>
      <c r="D351" s="453">
        <f t="shared" ref="D351:D365" si="84">D350</f>
        <v>46179</v>
      </c>
      <c r="E351" s="500" t="s">
        <v>162</v>
      </c>
      <c r="F351" s="517"/>
      <c r="G351" s="517"/>
      <c r="H351" s="517"/>
      <c r="I351" s="512"/>
      <c r="J351" s="540"/>
      <c r="K351" s="540"/>
      <c r="L351" s="540"/>
      <c r="M351" s="540"/>
      <c r="N351" s="555" t="e">
        <f>J351*INDEX([2]Pedidos!$Q:$Q,MATCH(F351,[2]Pedidos!$E:$E,0))</f>
        <v>#N/A</v>
      </c>
      <c r="O351" s="555" t="e">
        <f>K351*INDEX([2]Pedidos!$Q:$Q,MATCH(G351,[2]Pedidos!$E:$E,0))</f>
        <v>#N/A</v>
      </c>
      <c r="P351" s="555" t="e">
        <f>M351*INDEX([2]Pedidos!$Q:$Q,MATCH(H351,[2]Pedidos!$E:$E,0))</f>
        <v>#N/A</v>
      </c>
    </row>
    <row r="352" spans="1:18" x14ac:dyDescent="0.25">
      <c r="A352" s="753"/>
      <c r="C352" s="452" t="s">
        <v>1033</v>
      </c>
      <c r="D352" s="453">
        <f t="shared" si="84"/>
        <v>46179</v>
      </c>
      <c r="E352" s="454" t="s">
        <v>163</v>
      </c>
      <c r="F352" s="517"/>
      <c r="G352" s="512"/>
      <c r="H352" s="505"/>
      <c r="I352" s="505"/>
      <c r="J352" s="540"/>
      <c r="K352" s="540"/>
      <c r="L352" s="540"/>
      <c r="M352" s="540"/>
      <c r="N352" s="564" t="e">
        <f>J352*INDEX([2]Pedidos!$Q:$Q,MATCH(F352,[2]Pedidos!$E:$E,0))</f>
        <v>#N/A</v>
      </c>
      <c r="O352" s="564" t="e">
        <f>K352*INDEX([2]Pedidos!$Q:$Q,MATCH(G352,[2]Pedidos!$E:$E,0))</f>
        <v>#N/A</v>
      </c>
      <c r="P352" s="564" t="e">
        <f>M352*INDEX([2]Pedidos!$Q:$Q,MATCH(H352,[2]Pedidos!$E:$E,0))</f>
        <v>#N/A</v>
      </c>
    </row>
    <row r="353" spans="1:18" x14ac:dyDescent="0.25">
      <c r="A353" s="753"/>
      <c r="C353" s="452" t="s">
        <v>1033</v>
      </c>
      <c r="D353" s="453">
        <f t="shared" si="84"/>
        <v>46179</v>
      </c>
      <c r="E353" s="454" t="s">
        <v>164</v>
      </c>
      <c r="F353" s="517"/>
      <c r="G353" s="512"/>
      <c r="H353" s="505"/>
      <c r="I353" s="505"/>
      <c r="J353" s="540"/>
      <c r="K353" s="540"/>
      <c r="L353" s="540"/>
      <c r="M353" s="540"/>
      <c r="N353" s="564" t="e">
        <f>J353*INDEX([2]Pedidos!$Q:$Q,MATCH(F353,[2]Pedidos!$E:$E,0))</f>
        <v>#N/A</v>
      </c>
      <c r="O353" s="564" t="e">
        <f>K353*INDEX([2]Pedidos!$Q:$Q,MATCH(G353,[2]Pedidos!$E:$E,0))</f>
        <v>#N/A</v>
      </c>
      <c r="P353" s="564" t="e">
        <f>M353*INDEX([2]Pedidos!$Q:$Q,MATCH(H353,[2]Pedidos!$E:$E,0))</f>
        <v>#N/A</v>
      </c>
    </row>
    <row r="354" spans="1:18" x14ac:dyDescent="0.25">
      <c r="A354" s="753"/>
      <c r="C354" s="452" t="s">
        <v>1033</v>
      </c>
      <c r="D354" s="453">
        <f t="shared" si="84"/>
        <v>46179</v>
      </c>
      <c r="E354" s="454" t="s">
        <v>165</v>
      </c>
      <c r="F354" s="517"/>
      <c r="G354" s="512"/>
      <c r="H354" s="505"/>
      <c r="I354" s="505"/>
      <c r="J354" s="540"/>
      <c r="K354" s="540"/>
      <c r="L354" s="540"/>
      <c r="M354" s="540"/>
      <c r="N354" s="564" t="e">
        <f>J354*INDEX([2]Pedidos!$Q:$Q,MATCH(F354,[2]Pedidos!$E:$E,0))</f>
        <v>#N/A</v>
      </c>
      <c r="O354" s="564" t="e">
        <f>K354*INDEX([2]Pedidos!$Q:$Q,MATCH(G354,[2]Pedidos!$E:$E,0))</f>
        <v>#N/A</v>
      </c>
      <c r="P354" s="564" t="e">
        <f>M354*INDEX([2]Pedidos!$Q:$Q,MATCH(H354,[2]Pedidos!$E:$E,0))</f>
        <v>#N/A</v>
      </c>
    </row>
    <row r="355" spans="1:18" x14ac:dyDescent="0.25">
      <c r="A355" s="753"/>
      <c r="C355" s="452" t="s">
        <v>1033</v>
      </c>
      <c r="D355" s="453">
        <f t="shared" si="84"/>
        <v>46179</v>
      </c>
      <c r="E355" s="454" t="s">
        <v>166</v>
      </c>
      <c r="F355" s="517"/>
      <c r="G355" s="512"/>
      <c r="H355" s="505"/>
      <c r="I355" s="505"/>
      <c r="J355" s="540"/>
      <c r="K355" s="540"/>
      <c r="L355" s="540"/>
      <c r="M355" s="540"/>
      <c r="N355" s="564" t="e">
        <f>J355*INDEX([2]Pedidos!$Q:$Q,MATCH(F355,[2]Pedidos!$E:$E,0))</f>
        <v>#N/A</v>
      </c>
      <c r="O355" s="564" t="e">
        <f>K355*INDEX([2]Pedidos!$Q:$Q,MATCH(G355,[2]Pedidos!$E:$E,0))</f>
        <v>#N/A</v>
      </c>
      <c r="P355" s="564" t="e">
        <f>M355*INDEX([2]Pedidos!$Q:$Q,MATCH(H355,[2]Pedidos!$E:$E,0))</f>
        <v>#N/A</v>
      </c>
    </row>
    <row r="356" spans="1:18" x14ac:dyDescent="0.25">
      <c r="A356" s="753"/>
      <c r="C356" s="452" t="s">
        <v>1033</v>
      </c>
      <c r="D356" s="453">
        <f t="shared" si="84"/>
        <v>46179</v>
      </c>
      <c r="E356" s="454" t="s">
        <v>576</v>
      </c>
      <c r="F356" s="517"/>
      <c r="G356" s="512"/>
      <c r="H356" s="505"/>
      <c r="I356" s="505"/>
      <c r="J356" s="541"/>
      <c r="K356" s="541" cm="1">
        <f t="array" aca="1" ref="K356" ca="1">IFERROR(_xlfn.LET(_xlpm.produto,TRIM(G356)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56" s="541"/>
      <c r="M356" s="541" cm="1">
        <f t="array" aca="1" ref="M356" ca="1">IFERROR(_xlfn.LET(_xlpm.produto,TRIM(H356)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56" s="556"/>
      <c r="O356" s="556"/>
      <c r="P356" s="556"/>
    </row>
    <row r="357" spans="1:18" x14ac:dyDescent="0.25">
      <c r="A357" s="753"/>
      <c r="C357" s="452" t="s">
        <v>1033</v>
      </c>
      <c r="D357" s="449">
        <f t="shared" si="84"/>
        <v>46179</v>
      </c>
      <c r="E357" s="454" t="s">
        <v>167</v>
      </c>
      <c r="F357" s="517"/>
      <c r="G357" s="512"/>
      <c r="H357" s="505"/>
      <c r="I357" s="505"/>
      <c r="J357" s="540"/>
      <c r="K357" s="540"/>
      <c r="L357" s="540"/>
      <c r="M357" s="540"/>
      <c r="N357" s="565" t="e">
        <f>J357*INDEX([2]Pedidos!$Q:$Q,MATCH(F357,[2]Pedidos!$E:$E,0))</f>
        <v>#N/A</v>
      </c>
      <c r="O357" s="565" t="e">
        <f>K357*INDEX([2]Pedidos!$Q:$Q,MATCH(G357,[2]Pedidos!$E:$E,0))</f>
        <v>#N/A</v>
      </c>
      <c r="P357" s="565" t="e">
        <f>M357*INDEX([2]Pedidos!$Q:$Q,MATCH(H357,[2]Pedidos!$E:$E,0))</f>
        <v>#N/A</v>
      </c>
    </row>
    <row r="358" spans="1:18" x14ac:dyDescent="0.25">
      <c r="A358" s="753"/>
      <c r="C358" s="452" t="s">
        <v>1033</v>
      </c>
      <c r="D358" s="449">
        <f t="shared" si="84"/>
        <v>46179</v>
      </c>
      <c r="E358" s="454" t="s">
        <v>168</v>
      </c>
      <c r="F358" s="517"/>
      <c r="G358" s="512"/>
      <c r="H358" s="505"/>
      <c r="I358" s="505"/>
      <c r="J358" s="540"/>
      <c r="K358" s="540"/>
      <c r="L358" s="540"/>
      <c r="M358" s="540"/>
      <c r="N358" s="565" t="e">
        <f>J358*INDEX([2]Pedidos!$Q:$Q,MATCH(F358,[2]Pedidos!$E:$E,0))</f>
        <v>#N/A</v>
      </c>
      <c r="O358" s="565" t="e">
        <f>K358*INDEX([2]Pedidos!$Q:$Q,MATCH(G358,[2]Pedidos!$E:$E,0))</f>
        <v>#N/A</v>
      </c>
      <c r="P358" s="565" t="e">
        <f>M358*INDEX([2]Pedidos!$Q:$Q,MATCH(H358,[2]Pedidos!$E:$E,0))</f>
        <v>#N/A</v>
      </c>
    </row>
    <row r="359" spans="1:18" x14ac:dyDescent="0.25">
      <c r="A359" s="753"/>
      <c r="C359" s="452" t="s">
        <v>1033</v>
      </c>
      <c r="D359" s="449">
        <f t="shared" si="84"/>
        <v>46179</v>
      </c>
      <c r="E359" s="454" t="s">
        <v>169</v>
      </c>
      <c r="F359" s="517"/>
      <c r="G359" s="512"/>
      <c r="H359" s="505"/>
      <c r="I359" s="505"/>
      <c r="J359" s="540"/>
      <c r="K359" s="540"/>
      <c r="L359" s="540"/>
      <c r="M359" s="540"/>
      <c r="N359" s="565" t="e">
        <f>J359*INDEX([2]Pedidos!$Q:$Q,MATCH(F359,[2]Pedidos!$E:$E,0))</f>
        <v>#N/A</v>
      </c>
      <c r="O359" s="565" t="e">
        <f>K359*INDEX([2]Pedidos!$Q:$Q,MATCH(G359,[2]Pedidos!$E:$E,0))</f>
        <v>#N/A</v>
      </c>
      <c r="P359" s="565" t="e">
        <f>M359*INDEX([2]Pedidos!$Q:$Q,MATCH(H359,[2]Pedidos!$E:$E,0))</f>
        <v>#N/A</v>
      </c>
    </row>
    <row r="360" spans="1:18" x14ac:dyDescent="0.25">
      <c r="A360" s="753"/>
      <c r="C360" s="452" t="s">
        <v>1033</v>
      </c>
      <c r="D360" s="449">
        <f t="shared" si="84"/>
        <v>46179</v>
      </c>
      <c r="E360" s="454" t="s">
        <v>170</v>
      </c>
      <c r="F360" s="517"/>
      <c r="G360" s="512"/>
      <c r="H360" s="505"/>
      <c r="I360" s="505"/>
      <c r="J360" s="540"/>
      <c r="K360" s="540"/>
      <c r="L360" s="540"/>
      <c r="M360" s="540"/>
      <c r="N360" s="566" t="e">
        <f>J360*INDEX([2]Pedidos!$Q:$Q,MATCH(F360,[2]Pedidos!$E:$E,0))</f>
        <v>#N/A</v>
      </c>
      <c r="O360" s="566" t="e">
        <f>K360*INDEX([2]Pedidos!$Q:$Q,MATCH(G360,[2]Pedidos!$E:$E,0))</f>
        <v>#N/A</v>
      </c>
      <c r="P360" s="566" t="e">
        <f>M360*INDEX([2]Pedidos!$Q:$Q,MATCH(H360,[2]Pedidos!$E:$E,0))</f>
        <v>#N/A</v>
      </c>
    </row>
    <row r="361" spans="1:18" x14ac:dyDescent="0.25">
      <c r="A361" s="753"/>
      <c r="C361" s="452" t="s">
        <v>1033</v>
      </c>
      <c r="D361" s="449">
        <f t="shared" si="84"/>
        <v>46179</v>
      </c>
      <c r="E361" s="454" t="s">
        <v>585</v>
      </c>
      <c r="F361" s="505"/>
      <c r="G361" s="505"/>
      <c r="H361" s="516"/>
      <c r="I361" s="516"/>
      <c r="J361" s="516" cm="1">
        <f t="array" aca="1" ref="J361" ca="1">IFERROR(_xlfn.LET(_xlpm.produto,TRIM(F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1" s="516" cm="1">
        <f t="array" aca="1" ref="K361" ca="1">IFERROR(_xlfn.LET(_xlpm.produto,TRIM(G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1" s="516"/>
      <c r="M361" s="516" cm="1">
        <f t="array" aca="1" ref="M361" ca="1">IFERROR(_xlfn.LET(_xlpm.produto,TRIM(H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1" s="557"/>
      <c r="O361" s="557"/>
      <c r="P361" s="557"/>
    </row>
    <row r="362" spans="1:18" x14ac:dyDescent="0.25">
      <c r="A362" s="753"/>
      <c r="C362" s="452" t="s">
        <v>1033</v>
      </c>
      <c r="D362" s="449">
        <f t="shared" si="84"/>
        <v>46179</v>
      </c>
      <c r="E362" s="455" t="s">
        <v>574</v>
      </c>
      <c r="F362" s="505"/>
      <c r="G362" s="505"/>
      <c r="H362" s="516"/>
      <c r="I362" s="516"/>
      <c r="J362" s="516" cm="1">
        <f t="array" aca="1" ref="J362" ca="1">IFERROR(_xlfn.LET(_xlpm.produto,TRIM(F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2" s="516" cm="1">
        <f t="array" aca="1" ref="K362" ca="1">IFERROR(_xlfn.LET(_xlpm.produto,TRIM(G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2" s="516"/>
      <c r="M362" s="516" cm="1">
        <f t="array" aca="1" ref="M362" ca="1">IFERROR(_xlfn.LET(_xlpm.produto,TRIM(H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2" s="557"/>
      <c r="O362" s="557"/>
      <c r="P362" s="557"/>
    </row>
    <row r="363" spans="1:18" x14ac:dyDescent="0.25">
      <c r="A363" s="753"/>
      <c r="C363" s="452" t="s">
        <v>1033</v>
      </c>
      <c r="D363" s="449">
        <f t="shared" si="84"/>
        <v>46179</v>
      </c>
      <c r="E363" s="455" t="s">
        <v>575</v>
      </c>
      <c r="F363" s="506"/>
      <c r="G363" s="506"/>
      <c r="H363" s="516"/>
      <c r="I363" s="516"/>
      <c r="J363" s="516" cm="1">
        <f t="array" aca="1" ref="J363" ca="1">IFERROR(_xlfn.LET(_xlpm.produto,TRIM(F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3" s="516" cm="1">
        <f t="array" aca="1" ref="K363" ca="1">IFERROR(_xlfn.LET(_xlpm.produto,TRIM(G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3" s="516"/>
      <c r="M363" s="516" cm="1">
        <f t="array" aca="1" ref="M363" ca="1">IFERROR(_xlfn.LET(_xlpm.produto,TRIM(H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3" s="557"/>
      <c r="O363" s="557"/>
      <c r="P363" s="557"/>
    </row>
    <row r="364" spans="1:18" x14ac:dyDescent="0.25">
      <c r="A364" s="753"/>
      <c r="C364" s="452" t="s">
        <v>1033</v>
      </c>
      <c r="D364" s="449">
        <f t="shared" si="84"/>
        <v>46179</v>
      </c>
      <c r="E364" s="503" t="s">
        <v>583</v>
      </c>
      <c r="F364" s="506"/>
      <c r="G364" s="506"/>
      <c r="H364" s="516"/>
      <c r="I364" s="516"/>
      <c r="J364" s="516" cm="1">
        <f t="array" aca="1" ref="J364" ca="1">IFERROR(_xlfn.LET(_xlpm.produto,TRIM(F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4" s="516" cm="1">
        <f t="array" aca="1" ref="K364" ca="1">IFERROR(_xlfn.LET(_xlpm.produto,TRIM(G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4" s="516"/>
      <c r="M364" s="516" cm="1">
        <f t="array" aca="1" ref="M364" ca="1">IFERROR(_xlfn.LET(_xlpm.produto,TRIM(H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4" s="557"/>
      <c r="O364" s="557"/>
      <c r="P364" s="557"/>
    </row>
    <row r="365" spans="1:18" ht="15.75" thickBot="1" x14ac:dyDescent="0.3">
      <c r="A365" s="753"/>
      <c r="C365" s="530" t="s">
        <v>1033</v>
      </c>
      <c r="D365" s="451">
        <f t="shared" si="84"/>
        <v>46179</v>
      </c>
      <c r="E365" s="459" t="s">
        <v>584</v>
      </c>
      <c r="F365" s="493"/>
      <c r="G365" s="493"/>
      <c r="H365" s="513"/>
      <c r="I365" s="513"/>
      <c r="J365" s="513" cm="1">
        <f t="array" aca="1" ref="J365" ca="1">IFERROR(_xlfn.LET(_xlpm.produto,TRIM(F365)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5" s="513" cm="1">
        <f t="array" aca="1" ref="K365" ca="1">IFERROR(_xlfn.LET(_xlpm.produto,TRIM(G365)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5" s="513"/>
      <c r="M365" s="513" cm="1">
        <f t="array" aca="1" ref="M365" ca="1">IFERROR(_xlfn.LET(_xlpm.produto,TRIM(H365)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5" s="558"/>
      <c r="O365" s="558"/>
      <c r="P365" s="558"/>
    </row>
    <row r="366" spans="1:18" ht="5.25" customHeight="1" thickBot="1" x14ac:dyDescent="0.3">
      <c r="A366" s="753"/>
      <c r="J366" s="445"/>
      <c r="K366" s="445"/>
      <c r="L366" s="445"/>
      <c r="N366" s="559"/>
      <c r="O366" s="559"/>
      <c r="P366" s="559"/>
    </row>
    <row r="367" spans="1:18" ht="15.75" thickBot="1" x14ac:dyDescent="0.3">
      <c r="A367" s="753"/>
      <c r="C367" s="538"/>
      <c r="D367" s="539"/>
      <c r="E367" s="539"/>
      <c r="F367" s="539"/>
      <c r="G367" s="539"/>
      <c r="H367" s="539"/>
      <c r="I367" s="539"/>
      <c r="J367" s="606">
        <f ca="1">_xlfn.AGGREGATE(9,6,J368:J473)</f>
        <v>76660.000000000015</v>
      </c>
      <c r="K367" s="607">
        <f ca="1">_xlfn.AGGREGATE(9,6,K368:K473)</f>
        <v>68620.000000000029</v>
      </c>
      <c r="L367" s="607"/>
      <c r="M367" s="544">
        <f ca="1">_xlfn.AGGREGATE(9,6,M368:M473)</f>
        <v>40000.000000000029</v>
      </c>
      <c r="N367" s="560">
        <f t="shared" ref="N367:P367" si="85">_xlfn.AGGREGATE(9,6,N368:N383)</f>
        <v>0</v>
      </c>
      <c r="O367" s="561">
        <f t="shared" si="85"/>
        <v>0</v>
      </c>
      <c r="P367" s="562">
        <f t="shared" si="85"/>
        <v>0</v>
      </c>
      <c r="Q367" s="548">
        <f ca="1">SUM(J367:M367)</f>
        <v>185280.00000000009</v>
      </c>
      <c r="R367" s="549">
        <f>SUM(N367:P367)</f>
        <v>0</v>
      </c>
    </row>
    <row r="368" spans="1:18" x14ac:dyDescent="0.25">
      <c r="A368" s="753"/>
      <c r="C368" s="529" t="s">
        <v>1034</v>
      </c>
      <c r="D368" s="447">
        <f>D365+1</f>
        <v>46180</v>
      </c>
      <c r="E368" s="498" t="s">
        <v>573</v>
      </c>
      <c r="F368" s="514"/>
      <c r="G368" s="514"/>
      <c r="H368" s="514"/>
      <c r="I368" s="724"/>
      <c r="J368" s="537" cm="1">
        <f t="array" aca="1" ref="J368" ca="1">IFERROR(_xlfn.LET(_xlpm.produto,TRIM(F368)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8" s="537" cm="1">
        <f t="array" aca="1" ref="K368" ca="1">IFERROR(_xlfn.LET(_xlpm.produto,TRIM(G368)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8" s="537"/>
      <c r="M368" s="537" cm="1">
        <f t="array" aca="1" ref="M368" ca="1">IFERROR(_xlfn.LET(_xlpm.produto,TRIM(H368)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68" s="563"/>
      <c r="O368" s="563"/>
      <c r="P368" s="563"/>
    </row>
    <row r="369" spans="1:16" x14ac:dyDescent="0.25">
      <c r="A369" s="753"/>
      <c r="C369" s="452" t="s">
        <v>1034</v>
      </c>
      <c r="D369" s="453">
        <f t="shared" ref="D369:D383" si="86">D368</f>
        <v>46180</v>
      </c>
      <c r="E369" s="500" t="s">
        <v>162</v>
      </c>
      <c r="F369" s="517"/>
      <c r="G369" s="517"/>
      <c r="H369" s="517"/>
      <c r="I369" s="512"/>
      <c r="J369" s="540"/>
      <c r="K369" s="540"/>
      <c r="L369" s="540"/>
      <c r="M369" s="540"/>
      <c r="N369" s="555" t="e">
        <f>J369*INDEX([2]Pedidos!$Q:$Q,MATCH(F369,[2]Pedidos!$E:$E,0))</f>
        <v>#N/A</v>
      </c>
      <c r="O369" s="555" t="e">
        <f>K369*INDEX([2]Pedidos!$Q:$Q,MATCH(G369,[2]Pedidos!$E:$E,0))</f>
        <v>#N/A</v>
      </c>
      <c r="P369" s="555" t="e">
        <f>M369*INDEX([2]Pedidos!$Q:$Q,MATCH(H369,[2]Pedidos!$E:$E,0))</f>
        <v>#N/A</v>
      </c>
    </row>
    <row r="370" spans="1:16" x14ac:dyDescent="0.25">
      <c r="A370" s="753"/>
      <c r="C370" s="452" t="s">
        <v>1034</v>
      </c>
      <c r="D370" s="453">
        <f t="shared" si="86"/>
        <v>46180</v>
      </c>
      <c r="E370" s="454" t="s">
        <v>163</v>
      </c>
      <c r="F370" s="517"/>
      <c r="G370" s="512"/>
      <c r="H370" s="505"/>
      <c r="I370" s="505"/>
      <c r="J370" s="540"/>
      <c r="K370" s="540"/>
      <c r="L370" s="540"/>
      <c r="M370" s="540"/>
      <c r="N370" s="564" t="e">
        <f>J370*INDEX([2]Pedidos!$Q:$Q,MATCH(F370,[2]Pedidos!$E:$E,0))</f>
        <v>#N/A</v>
      </c>
      <c r="O370" s="564" t="e">
        <f>K370*INDEX([2]Pedidos!$Q:$Q,MATCH(G370,[2]Pedidos!$E:$E,0))</f>
        <v>#N/A</v>
      </c>
      <c r="P370" s="564" t="e">
        <f>M370*INDEX([2]Pedidos!$Q:$Q,MATCH(H370,[2]Pedidos!$E:$E,0))</f>
        <v>#N/A</v>
      </c>
    </row>
    <row r="371" spans="1:16" x14ac:dyDescent="0.25">
      <c r="A371" s="753"/>
      <c r="C371" s="452" t="s">
        <v>1034</v>
      </c>
      <c r="D371" s="453">
        <f t="shared" si="86"/>
        <v>46180</v>
      </c>
      <c r="E371" s="454" t="s">
        <v>164</v>
      </c>
      <c r="F371" s="517"/>
      <c r="G371" s="512"/>
      <c r="H371" s="505"/>
      <c r="I371" s="505"/>
      <c r="J371" s="540"/>
      <c r="K371" s="540"/>
      <c r="L371" s="540"/>
      <c r="M371" s="540"/>
      <c r="N371" s="564" t="e">
        <f>J371*INDEX([2]Pedidos!$Q:$Q,MATCH(F371,[2]Pedidos!$E:$E,0))</f>
        <v>#N/A</v>
      </c>
      <c r="O371" s="564" t="e">
        <f>K371*INDEX([2]Pedidos!$Q:$Q,MATCH(G371,[2]Pedidos!$E:$E,0))</f>
        <v>#N/A</v>
      </c>
      <c r="P371" s="564" t="e">
        <f>M371*INDEX([2]Pedidos!$Q:$Q,MATCH(H371,[2]Pedidos!$E:$E,0))</f>
        <v>#N/A</v>
      </c>
    </row>
    <row r="372" spans="1:16" x14ac:dyDescent="0.25">
      <c r="A372" s="753"/>
      <c r="C372" s="452" t="s">
        <v>1034</v>
      </c>
      <c r="D372" s="453">
        <f t="shared" si="86"/>
        <v>46180</v>
      </c>
      <c r="E372" s="454" t="s">
        <v>165</v>
      </c>
      <c r="F372" s="517"/>
      <c r="G372" s="512"/>
      <c r="H372" s="505"/>
      <c r="I372" s="505"/>
      <c r="J372" s="540"/>
      <c r="K372" s="540"/>
      <c r="L372" s="540"/>
      <c r="M372" s="540"/>
      <c r="N372" s="564" t="e">
        <f>J372*INDEX([2]Pedidos!$Q:$Q,MATCH(F372,[2]Pedidos!$E:$E,0))</f>
        <v>#N/A</v>
      </c>
      <c r="O372" s="564" t="e">
        <f>K372*INDEX([2]Pedidos!$Q:$Q,MATCH(G372,[2]Pedidos!$E:$E,0))</f>
        <v>#N/A</v>
      </c>
      <c r="P372" s="564" t="e">
        <f>M372*INDEX([2]Pedidos!$Q:$Q,MATCH(H372,[2]Pedidos!$E:$E,0))</f>
        <v>#N/A</v>
      </c>
    </row>
    <row r="373" spans="1:16" x14ac:dyDescent="0.25">
      <c r="A373" s="753"/>
      <c r="C373" s="452" t="s">
        <v>1034</v>
      </c>
      <c r="D373" s="453">
        <f t="shared" si="86"/>
        <v>46180</v>
      </c>
      <c r="E373" s="454" t="s">
        <v>166</v>
      </c>
      <c r="F373" s="517"/>
      <c r="G373" s="512"/>
      <c r="H373" s="505"/>
      <c r="I373" s="505"/>
      <c r="J373" s="540"/>
      <c r="K373" s="540"/>
      <c r="L373" s="540"/>
      <c r="M373" s="540"/>
      <c r="N373" s="564" t="e">
        <f>J373*INDEX([2]Pedidos!$Q:$Q,MATCH(F373,[2]Pedidos!$E:$E,0))</f>
        <v>#N/A</v>
      </c>
      <c r="O373" s="564" t="e">
        <f>K373*INDEX([2]Pedidos!$Q:$Q,MATCH(G373,[2]Pedidos!$E:$E,0))</f>
        <v>#N/A</v>
      </c>
      <c r="P373" s="564" t="e">
        <f>M373*INDEX([2]Pedidos!$Q:$Q,MATCH(H373,[2]Pedidos!$E:$E,0))</f>
        <v>#N/A</v>
      </c>
    </row>
    <row r="374" spans="1:16" x14ac:dyDescent="0.25">
      <c r="A374" s="753"/>
      <c r="C374" s="452" t="s">
        <v>1034</v>
      </c>
      <c r="D374" s="453">
        <f t="shared" si="86"/>
        <v>46180</v>
      </c>
      <c r="E374" s="454" t="s">
        <v>576</v>
      </c>
      <c r="F374" s="517"/>
      <c r="G374" s="512"/>
      <c r="H374" s="505"/>
      <c r="I374" s="505"/>
      <c r="J374" s="541" cm="1">
        <f t="array" aca="1" ref="J374" ca="1">IFERROR(_xlfn.LET(_xlpm.produto,TRIM(F374)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4" s="541" cm="1">
        <f t="array" aca="1" ref="K374" ca="1">IFERROR(_xlfn.LET(_xlpm.produto,TRIM(G374)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4" s="541"/>
      <c r="M374" s="541" cm="1">
        <f t="array" aca="1" ref="M374" ca="1">IFERROR(_xlfn.LET(_xlpm.produto,TRIM(H374)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74" s="556"/>
      <c r="O374" s="556"/>
      <c r="P374" s="556"/>
    </row>
    <row r="375" spans="1:16" x14ac:dyDescent="0.25">
      <c r="A375" s="753"/>
      <c r="C375" s="452" t="s">
        <v>1034</v>
      </c>
      <c r="D375" s="449">
        <f t="shared" si="86"/>
        <v>46180</v>
      </c>
      <c r="E375" s="454" t="s">
        <v>167</v>
      </c>
      <c r="F375" s="517"/>
      <c r="G375" s="512"/>
      <c r="H375" s="505"/>
      <c r="I375" s="505"/>
      <c r="J375" s="540"/>
      <c r="K375" s="540"/>
      <c r="L375" s="540"/>
      <c r="M375" s="540"/>
      <c r="N375" s="565" t="e">
        <f>J375*INDEX([2]Pedidos!$Q:$Q,MATCH(F375,[2]Pedidos!$E:$E,0))</f>
        <v>#N/A</v>
      </c>
      <c r="O375" s="565" t="e">
        <f>K375*INDEX([2]Pedidos!$Q:$Q,MATCH(G375,[2]Pedidos!$E:$E,0))</f>
        <v>#N/A</v>
      </c>
      <c r="P375" s="565" t="e">
        <f>M375*INDEX([2]Pedidos!$Q:$Q,MATCH(H375,[2]Pedidos!$E:$E,0))</f>
        <v>#N/A</v>
      </c>
    </row>
    <row r="376" spans="1:16" x14ac:dyDescent="0.25">
      <c r="A376" s="753"/>
      <c r="C376" s="452" t="s">
        <v>1034</v>
      </c>
      <c r="D376" s="449">
        <f t="shared" si="86"/>
        <v>46180</v>
      </c>
      <c r="E376" s="454" t="s">
        <v>168</v>
      </c>
      <c r="F376" s="517"/>
      <c r="G376" s="512"/>
      <c r="H376" s="505"/>
      <c r="I376" s="505"/>
      <c r="J376" s="540"/>
      <c r="K376" s="540"/>
      <c r="L376" s="540"/>
      <c r="M376" s="540"/>
      <c r="N376" s="565" t="e">
        <f>J376*INDEX([2]Pedidos!$Q:$Q,MATCH(F376,[2]Pedidos!$E:$E,0))</f>
        <v>#N/A</v>
      </c>
      <c r="O376" s="565" t="e">
        <f>K376*INDEX([2]Pedidos!$Q:$Q,MATCH(G376,[2]Pedidos!$E:$E,0))</f>
        <v>#N/A</v>
      </c>
      <c r="P376" s="565" t="e">
        <f>M376*INDEX([2]Pedidos!$Q:$Q,MATCH(H376,[2]Pedidos!$E:$E,0))</f>
        <v>#N/A</v>
      </c>
    </row>
    <row r="377" spans="1:16" x14ac:dyDescent="0.25">
      <c r="A377" s="753"/>
      <c r="C377" s="452" t="s">
        <v>1034</v>
      </c>
      <c r="D377" s="449">
        <f t="shared" si="86"/>
        <v>46180</v>
      </c>
      <c r="E377" s="454" t="s">
        <v>169</v>
      </c>
      <c r="F377" s="517"/>
      <c r="G377" s="512"/>
      <c r="H377" s="505"/>
      <c r="I377" s="505"/>
      <c r="J377" s="540"/>
      <c r="K377" s="540"/>
      <c r="L377" s="540"/>
      <c r="M377" s="540"/>
      <c r="N377" s="565" t="e">
        <f>J377*INDEX([2]Pedidos!$Q:$Q,MATCH(F377,[2]Pedidos!$E:$E,0))</f>
        <v>#N/A</v>
      </c>
      <c r="O377" s="565" t="e">
        <f>K377*INDEX([2]Pedidos!$Q:$Q,MATCH(G377,[2]Pedidos!$E:$E,0))</f>
        <v>#N/A</v>
      </c>
      <c r="P377" s="565" t="e">
        <f>M377*INDEX([2]Pedidos!$Q:$Q,MATCH(H377,[2]Pedidos!$E:$E,0))</f>
        <v>#N/A</v>
      </c>
    </row>
    <row r="378" spans="1:16" x14ac:dyDescent="0.25">
      <c r="A378" s="753"/>
      <c r="C378" s="452" t="s">
        <v>1034</v>
      </c>
      <c r="D378" s="449">
        <f t="shared" si="86"/>
        <v>46180</v>
      </c>
      <c r="E378" s="454" t="s">
        <v>170</v>
      </c>
      <c r="F378" s="517"/>
      <c r="G378" s="512"/>
      <c r="H378" s="505"/>
      <c r="I378" s="505"/>
      <c r="J378" s="540"/>
      <c r="K378" s="540"/>
      <c r="L378" s="540"/>
      <c r="M378" s="540"/>
      <c r="N378" s="566" t="e">
        <f>J378*INDEX([2]Pedidos!$Q:$Q,MATCH(F378,[2]Pedidos!$E:$E,0))</f>
        <v>#N/A</v>
      </c>
      <c r="O378" s="566" t="e">
        <f>K378*INDEX([2]Pedidos!$Q:$Q,MATCH(G378,[2]Pedidos!$E:$E,0))</f>
        <v>#N/A</v>
      </c>
      <c r="P378" s="566" t="e">
        <f>M378*INDEX([2]Pedidos!$Q:$Q,MATCH(H378,[2]Pedidos!$E:$E,0))</f>
        <v>#N/A</v>
      </c>
    </row>
    <row r="379" spans="1:16" x14ac:dyDescent="0.25">
      <c r="A379" s="753"/>
      <c r="C379" s="452" t="s">
        <v>1034</v>
      </c>
      <c r="D379" s="449">
        <f t="shared" si="86"/>
        <v>46180</v>
      </c>
      <c r="E379" s="454" t="s">
        <v>585</v>
      </c>
      <c r="F379" s="505"/>
      <c r="G379" s="505"/>
      <c r="H379" s="516"/>
      <c r="I379" s="516"/>
      <c r="J379" s="516" cm="1">
        <f t="array" aca="1" ref="J379" ca="1">IFERROR(_xlfn.LET(_xlpm.produto,TRIM(F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9" s="516" cm="1">
        <f t="array" aca="1" ref="K379" ca="1">IFERROR(_xlfn.LET(_xlpm.produto,TRIM(G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9" s="516"/>
      <c r="M379" s="516" cm="1">
        <f t="array" aca="1" ref="M379" ca="1">IFERROR(_xlfn.LET(_xlpm.produto,TRIM(H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79" s="557"/>
      <c r="O379" s="557"/>
      <c r="P379" s="557"/>
    </row>
    <row r="380" spans="1:16" x14ac:dyDescent="0.25">
      <c r="A380" s="753"/>
      <c r="C380" s="452" t="s">
        <v>1034</v>
      </c>
      <c r="D380" s="449">
        <f t="shared" si="86"/>
        <v>46180</v>
      </c>
      <c r="E380" s="455" t="s">
        <v>574</v>
      </c>
      <c r="F380" s="505"/>
      <c r="G380" s="505"/>
      <c r="H380" s="516"/>
      <c r="I380" s="516"/>
      <c r="J380" s="516" cm="1">
        <f t="array" aca="1" ref="J380" ca="1">IFERROR(_xlfn.LET(_xlpm.produto,TRIM(F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0" s="516" cm="1">
        <f t="array" aca="1" ref="K380" ca="1">IFERROR(_xlfn.LET(_xlpm.produto,TRIM(G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0" s="516"/>
      <c r="M380" s="516" cm="1">
        <f t="array" aca="1" ref="M380" ca="1">IFERROR(_xlfn.LET(_xlpm.produto,TRIM(H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80" s="557"/>
      <c r="O380" s="557"/>
      <c r="P380" s="557"/>
    </row>
    <row r="381" spans="1:16" x14ac:dyDescent="0.25">
      <c r="A381" s="753"/>
      <c r="C381" s="452" t="s">
        <v>1034</v>
      </c>
      <c r="D381" s="449">
        <f t="shared" si="86"/>
        <v>46180</v>
      </c>
      <c r="E381" s="455" t="s">
        <v>575</v>
      </c>
      <c r="F381" s="506"/>
      <c r="G381" s="506"/>
      <c r="H381" s="516"/>
      <c r="I381" s="516"/>
      <c r="J381" s="516" cm="1">
        <f t="array" aca="1" ref="J381" ca="1">IFERROR(_xlfn.LET(_xlpm.produto,TRIM(F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1" s="516" cm="1">
        <f t="array" aca="1" ref="K381" ca="1">IFERROR(_xlfn.LET(_xlpm.produto,TRIM(G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1" s="516"/>
      <c r="M381" s="516" cm="1">
        <f t="array" aca="1" ref="M381" ca="1">IFERROR(_xlfn.LET(_xlpm.produto,TRIM(H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81" s="557"/>
      <c r="O381" s="557"/>
      <c r="P381" s="557"/>
    </row>
    <row r="382" spans="1:16" x14ac:dyDescent="0.25">
      <c r="A382" s="753"/>
      <c r="C382" s="452" t="s">
        <v>1034</v>
      </c>
      <c r="D382" s="449">
        <f t="shared" si="86"/>
        <v>46180</v>
      </c>
      <c r="E382" s="503" t="s">
        <v>583</v>
      </c>
      <c r="F382" s="506"/>
      <c r="G382" s="506"/>
      <c r="H382" s="516"/>
      <c r="I382" s="516"/>
      <c r="J382" s="516" cm="1">
        <f t="array" aca="1" ref="J382" ca="1">IFERROR(_xlfn.LET(_xlpm.produto,TRIM(F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2" s="516" cm="1">
        <f t="array" aca="1" ref="K382" ca="1">IFERROR(_xlfn.LET(_xlpm.produto,TRIM(G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2" s="516"/>
      <c r="M382" s="516" cm="1">
        <f t="array" aca="1" ref="M382" ca="1">IFERROR(_xlfn.LET(_xlpm.produto,TRIM(H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82" s="557"/>
      <c r="O382" s="557"/>
      <c r="P382" s="557"/>
    </row>
    <row r="383" spans="1:16" ht="15.75" thickBot="1" x14ac:dyDescent="0.3">
      <c r="A383" s="753"/>
      <c r="C383" s="530" t="s">
        <v>1034</v>
      </c>
      <c r="D383" s="451">
        <f t="shared" si="86"/>
        <v>46180</v>
      </c>
      <c r="E383" s="459" t="s">
        <v>584</v>
      </c>
      <c r="F383" s="493"/>
      <c r="G383" s="493"/>
      <c r="H383" s="513"/>
      <c r="I383" s="516"/>
      <c r="J383" s="516" cm="1">
        <f t="array" aca="1" ref="J383" ca="1">IFERROR(_xlfn.LET(_xlpm.produto,TRIM(F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3" s="516" cm="1">
        <f t="array" aca="1" ref="K383" ca="1">IFERROR(_xlfn.LET(_xlpm.produto,TRIM(G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3" s="516"/>
      <c r="M383" s="516" cm="1">
        <f t="array" aca="1" ref="M383" ca="1">IFERROR(_xlfn.LET(_xlpm.produto,TRIM(H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383" s="558"/>
      <c r="O383" s="558"/>
      <c r="P383" s="558"/>
    </row>
    <row r="384" spans="1:16" ht="15.75" thickBot="1" x14ac:dyDescent="0.3"/>
    <row r="385" spans="1:18" ht="15.75" thickBot="1" x14ac:dyDescent="0.3">
      <c r="A385" s="753" t="s">
        <v>1789</v>
      </c>
      <c r="C385" s="538"/>
      <c r="D385" s="539"/>
      <c r="E385" s="539"/>
      <c r="F385" s="539"/>
      <c r="G385" s="539"/>
      <c r="H385" s="539"/>
      <c r="I385" s="539"/>
      <c r="J385" s="606">
        <f t="shared" ref="J385:M385" si="87">_xlfn.AGGREGATE(9,6,J386:J401)</f>
        <v>10610.526315789471</v>
      </c>
      <c r="K385" s="607">
        <f t="shared" si="87"/>
        <v>9500</v>
      </c>
      <c r="L385" s="607"/>
      <c r="M385" s="544">
        <f t="shared" si="87"/>
        <v>10000.000000000002</v>
      </c>
      <c r="N385" s="560">
        <f t="shared" ref="N385:P385" si="88">_xlfn.AGGREGATE(9,6,N386:N401)</f>
        <v>0</v>
      </c>
      <c r="O385" s="561">
        <f t="shared" si="88"/>
        <v>5224.9999999999991</v>
      </c>
      <c r="P385" s="562">
        <f t="shared" si="88"/>
        <v>0</v>
      </c>
      <c r="Q385" s="548">
        <f>SUM(J385:M385)</f>
        <v>30110.526315789473</v>
      </c>
      <c r="R385" s="549">
        <f>SUM(N385:P385)</f>
        <v>5224.9999999999991</v>
      </c>
    </row>
    <row r="386" spans="1:18" x14ac:dyDescent="0.25">
      <c r="A386" s="753"/>
      <c r="C386" s="496" t="s">
        <v>161</v>
      </c>
      <c r="D386" s="507">
        <f>D347+3</f>
        <v>46181</v>
      </c>
      <c r="E386" s="498" t="s">
        <v>573</v>
      </c>
      <c r="F386" s="681"/>
      <c r="G386" s="460" t="s">
        <v>1803</v>
      </c>
      <c r="H386" s="460"/>
      <c r="I386" s="725"/>
      <c r="J386" s="683">
        <f>14400/19</f>
        <v>757.89473684210532</v>
      </c>
      <c r="K386" s="683">
        <f>19000/28</f>
        <v>678.57142857142856</v>
      </c>
      <c r="L386" s="683"/>
      <c r="M386" s="683">
        <f>10000/14</f>
        <v>714.28571428571433</v>
      </c>
      <c r="N386" s="695" t="e">
        <f>J386*INDEX([2]Pedidos!$Q:$Q,MATCH(F386,[2]Pedidos!$E:$E,0))</f>
        <v>#N/A</v>
      </c>
      <c r="O386" s="695">
        <f>K386*INDEX([2]Pedidos!$Q:$Q,MATCH(G386,[2]Pedidos!$E:$E,0))</f>
        <v>373.21428571428572</v>
      </c>
      <c r="P386" s="695" t="e">
        <f>M386*INDEX([2]Pedidos!$Q:$Q,MATCH(H386,[2]Pedidos!$E:$E,0))</f>
        <v>#N/A</v>
      </c>
    </row>
    <row r="387" spans="1:18" x14ac:dyDescent="0.25">
      <c r="A387" s="753"/>
      <c r="C387" s="525" t="s">
        <v>161</v>
      </c>
      <c r="D387" s="453">
        <f t="shared" ref="D387:D401" si="89">D386</f>
        <v>46181</v>
      </c>
      <c r="E387" s="500" t="s">
        <v>162</v>
      </c>
      <c r="F387" s="460"/>
      <c r="G387" s="460" t="s">
        <v>1803</v>
      </c>
      <c r="H387" s="460"/>
      <c r="I387" s="460"/>
      <c r="J387" s="540">
        <f t="shared" ref="J387:J390" si="90">14400/19</f>
        <v>757.89473684210532</v>
      </c>
      <c r="K387" s="540">
        <f t="shared" ref="K387:K401" si="91">19000/28</f>
        <v>678.57142857142856</v>
      </c>
      <c r="L387" s="540"/>
      <c r="M387" s="540">
        <f t="shared" ref="M387:M390" si="92">10000/14</f>
        <v>714.28571428571433</v>
      </c>
      <c r="N387" s="555" t="e">
        <f>J387*INDEX([2]Pedidos!$Q:$Q,MATCH(F387,[2]Pedidos!$E:$E,0))</f>
        <v>#N/A</v>
      </c>
      <c r="O387" s="555">
        <f>K387*INDEX([2]Pedidos!$Q:$Q,MATCH(G387,[2]Pedidos!$E:$E,0))</f>
        <v>373.21428571428572</v>
      </c>
      <c r="P387" s="555" t="e">
        <f>M387*INDEX([2]Pedidos!$Q:$Q,MATCH(H387,[2]Pedidos!$E:$E,0))</f>
        <v>#N/A</v>
      </c>
    </row>
    <row r="388" spans="1:18" x14ac:dyDescent="0.25">
      <c r="A388" s="753"/>
      <c r="C388" s="526" t="s">
        <v>161</v>
      </c>
      <c r="D388" s="453">
        <f t="shared" si="89"/>
        <v>46181</v>
      </c>
      <c r="E388" s="454" t="s">
        <v>163</v>
      </c>
      <c r="F388" s="460"/>
      <c r="G388" s="460" t="s">
        <v>1803</v>
      </c>
      <c r="H388" s="460"/>
      <c r="I388" s="460"/>
      <c r="J388" s="540">
        <f t="shared" si="90"/>
        <v>757.89473684210532</v>
      </c>
      <c r="K388" s="540">
        <f t="shared" si="91"/>
        <v>678.57142857142856</v>
      </c>
      <c r="L388" s="540"/>
      <c r="M388" s="540">
        <f t="shared" si="92"/>
        <v>714.28571428571433</v>
      </c>
      <c r="N388" s="564" t="e">
        <f>J388*INDEX([2]Pedidos!$Q:$Q,MATCH(F388,[2]Pedidos!$E:$E,0))</f>
        <v>#N/A</v>
      </c>
      <c r="O388" s="564">
        <f>K388*INDEX([2]Pedidos!$Q:$Q,MATCH(G388,[2]Pedidos!$E:$E,0))</f>
        <v>373.21428571428572</v>
      </c>
      <c r="P388" s="564" t="e">
        <f>M388*INDEX([2]Pedidos!$Q:$Q,MATCH(H388,[2]Pedidos!$E:$E,0))</f>
        <v>#N/A</v>
      </c>
    </row>
    <row r="389" spans="1:18" x14ac:dyDescent="0.25">
      <c r="A389" s="753"/>
      <c r="C389" s="526" t="s">
        <v>161</v>
      </c>
      <c r="D389" s="453">
        <f t="shared" si="89"/>
        <v>46181</v>
      </c>
      <c r="E389" s="454" t="s">
        <v>164</v>
      </c>
      <c r="F389" s="460"/>
      <c r="G389" s="460" t="s">
        <v>1803</v>
      </c>
      <c r="H389" s="460"/>
      <c r="I389" s="460"/>
      <c r="J389" s="540">
        <f t="shared" si="90"/>
        <v>757.89473684210532</v>
      </c>
      <c r="K389" s="540">
        <f t="shared" si="91"/>
        <v>678.57142857142856</v>
      </c>
      <c r="L389" s="540"/>
      <c r="M389" s="540">
        <f t="shared" si="92"/>
        <v>714.28571428571433</v>
      </c>
      <c r="N389" s="564" t="e">
        <f>J389*INDEX([2]Pedidos!$Q:$Q,MATCH(F389,[2]Pedidos!$E:$E,0))</f>
        <v>#N/A</v>
      </c>
      <c r="O389" s="564">
        <f>K389*INDEX([2]Pedidos!$Q:$Q,MATCH(G389,[2]Pedidos!$E:$E,0))</f>
        <v>373.21428571428572</v>
      </c>
      <c r="P389" s="564" t="e">
        <f>M389*INDEX([2]Pedidos!$Q:$Q,MATCH(H389,[2]Pedidos!$E:$E,0))</f>
        <v>#N/A</v>
      </c>
    </row>
    <row r="390" spans="1:18" x14ac:dyDescent="0.25">
      <c r="A390" s="753"/>
      <c r="C390" s="526" t="s">
        <v>161</v>
      </c>
      <c r="D390" s="453">
        <f t="shared" si="89"/>
        <v>46181</v>
      </c>
      <c r="E390" s="454" t="s">
        <v>165</v>
      </c>
      <c r="F390" s="460"/>
      <c r="G390" s="460" t="s">
        <v>1803</v>
      </c>
      <c r="H390" s="460"/>
      <c r="I390" s="460"/>
      <c r="J390" s="540">
        <f t="shared" si="90"/>
        <v>757.89473684210532</v>
      </c>
      <c r="K390" s="540">
        <f t="shared" si="91"/>
        <v>678.57142857142856</v>
      </c>
      <c r="L390" s="540"/>
      <c r="M390" s="540">
        <f t="shared" si="92"/>
        <v>714.28571428571433</v>
      </c>
      <c r="N390" s="564" t="e">
        <f>J390*INDEX([2]Pedidos!$Q:$Q,MATCH(F390,[2]Pedidos!$E:$E,0))</f>
        <v>#N/A</v>
      </c>
      <c r="O390" s="564">
        <f>K390*INDEX([2]Pedidos!$Q:$Q,MATCH(G390,[2]Pedidos!$E:$E,0))</f>
        <v>373.21428571428572</v>
      </c>
      <c r="P390" s="564" t="e">
        <f>M390*INDEX([2]Pedidos!$Q:$Q,MATCH(H390,[2]Pedidos!$E:$E,0))</f>
        <v>#N/A</v>
      </c>
    </row>
    <row r="391" spans="1:18" x14ac:dyDescent="0.25">
      <c r="A391" s="753"/>
      <c r="C391" s="526" t="s">
        <v>161</v>
      </c>
      <c r="D391" s="453">
        <f t="shared" si="89"/>
        <v>46181</v>
      </c>
      <c r="E391" s="454" t="s">
        <v>166</v>
      </c>
      <c r="F391" s="512"/>
      <c r="G391" s="512"/>
      <c r="H391" s="512"/>
      <c r="I391" s="512"/>
      <c r="J391" s="682"/>
      <c r="K391" s="682"/>
      <c r="L391" s="682"/>
      <c r="M391" s="682"/>
      <c r="N391" s="556"/>
      <c r="O391" s="556"/>
      <c r="P391" s="556"/>
    </row>
    <row r="392" spans="1:18" x14ac:dyDescent="0.25">
      <c r="A392" s="753"/>
      <c r="C392" s="526" t="s">
        <v>161</v>
      </c>
      <c r="D392" s="453">
        <f t="shared" si="89"/>
        <v>46181</v>
      </c>
      <c r="E392" s="454" t="s">
        <v>576</v>
      </c>
      <c r="F392" s="461"/>
      <c r="G392" s="460" t="s">
        <v>1803</v>
      </c>
      <c r="H392" s="460"/>
      <c r="I392" s="460"/>
      <c r="J392" s="679">
        <f t="shared" ref="J392:J401" si="93">14400/19</f>
        <v>757.89473684210532</v>
      </c>
      <c r="K392" s="679">
        <f t="shared" si="91"/>
        <v>678.57142857142856</v>
      </c>
      <c r="L392" s="679"/>
      <c r="M392" s="679">
        <f t="shared" ref="M392:M397" si="94">10000/14</f>
        <v>714.28571428571433</v>
      </c>
      <c r="N392" s="565" t="e">
        <f>J392*INDEX([2]Pedidos!$Q:$Q,MATCH(F392,[2]Pedidos!$E:$E,0))</f>
        <v>#N/A</v>
      </c>
      <c r="O392" s="565">
        <f>K392*INDEX([2]Pedidos!$Q:$Q,MATCH(G392,[2]Pedidos!$E:$E,0))</f>
        <v>373.21428571428572</v>
      </c>
      <c r="P392" s="565" t="e">
        <f>M392*INDEX([2]Pedidos!$Q:$Q,MATCH(H392,[2]Pedidos!$E:$E,0))</f>
        <v>#N/A</v>
      </c>
    </row>
    <row r="393" spans="1:18" x14ac:dyDescent="0.25">
      <c r="A393" s="753"/>
      <c r="C393" s="527" t="s">
        <v>161</v>
      </c>
      <c r="D393" s="449">
        <f t="shared" si="89"/>
        <v>46181</v>
      </c>
      <c r="E393" s="454" t="s">
        <v>167</v>
      </c>
      <c r="F393" s="460"/>
      <c r="G393" s="460" t="s">
        <v>1803</v>
      </c>
      <c r="H393" s="460"/>
      <c r="I393" s="460"/>
      <c r="J393" s="540">
        <f t="shared" si="93"/>
        <v>757.89473684210532</v>
      </c>
      <c r="K393" s="540">
        <f t="shared" si="91"/>
        <v>678.57142857142856</v>
      </c>
      <c r="L393" s="540"/>
      <c r="M393" s="540">
        <f t="shared" si="94"/>
        <v>714.28571428571433</v>
      </c>
      <c r="N393" s="565" t="e">
        <f>J393*INDEX([2]Pedidos!$Q:$Q,MATCH(F393,[2]Pedidos!$E:$E,0))</f>
        <v>#N/A</v>
      </c>
      <c r="O393" s="565">
        <f>K393*INDEX([2]Pedidos!$Q:$Q,MATCH(G393,[2]Pedidos!$E:$E,0))</f>
        <v>373.21428571428572</v>
      </c>
      <c r="P393" s="565" t="e">
        <f>M393*INDEX([2]Pedidos!$Q:$Q,MATCH(H393,[2]Pedidos!$E:$E,0))</f>
        <v>#N/A</v>
      </c>
    </row>
    <row r="394" spans="1:18" x14ac:dyDescent="0.25">
      <c r="A394" s="753"/>
      <c r="C394" s="527" t="s">
        <v>161</v>
      </c>
      <c r="D394" s="449">
        <f t="shared" si="89"/>
        <v>46181</v>
      </c>
      <c r="E394" s="454" t="s">
        <v>168</v>
      </c>
      <c r="F394" s="460"/>
      <c r="G394" s="460" t="s">
        <v>1803</v>
      </c>
      <c r="H394" s="460"/>
      <c r="I394" s="460"/>
      <c r="J394" s="540">
        <f t="shared" si="93"/>
        <v>757.89473684210532</v>
      </c>
      <c r="K394" s="540">
        <f t="shared" si="91"/>
        <v>678.57142857142856</v>
      </c>
      <c r="L394" s="540"/>
      <c r="M394" s="540">
        <f t="shared" si="94"/>
        <v>714.28571428571433</v>
      </c>
      <c r="N394" s="565" t="e">
        <f>J394*INDEX([2]Pedidos!$Q:$Q,MATCH(F394,[2]Pedidos!$E:$E,0))</f>
        <v>#N/A</v>
      </c>
      <c r="O394" s="565">
        <f>K394*INDEX([2]Pedidos!$Q:$Q,MATCH(G394,[2]Pedidos!$E:$E,0))</f>
        <v>373.21428571428572</v>
      </c>
      <c r="P394" s="565" t="e">
        <f>M394*INDEX([2]Pedidos!$Q:$Q,MATCH(H394,[2]Pedidos!$E:$E,0))</f>
        <v>#N/A</v>
      </c>
    </row>
    <row r="395" spans="1:18" x14ac:dyDescent="0.25">
      <c r="A395" s="753"/>
      <c r="C395" s="527" t="s">
        <v>161</v>
      </c>
      <c r="D395" s="449">
        <f t="shared" si="89"/>
        <v>46181</v>
      </c>
      <c r="E395" s="454" t="s">
        <v>169</v>
      </c>
      <c r="F395" s="460"/>
      <c r="G395" s="460" t="s">
        <v>1803</v>
      </c>
      <c r="H395" s="460"/>
      <c r="I395" s="460"/>
      <c r="J395" s="540">
        <f t="shared" si="93"/>
        <v>757.89473684210532</v>
      </c>
      <c r="K395" s="540">
        <f t="shared" si="91"/>
        <v>678.57142857142856</v>
      </c>
      <c r="L395" s="540"/>
      <c r="M395" s="540">
        <f t="shared" si="94"/>
        <v>714.28571428571433</v>
      </c>
      <c r="N395" s="565" t="e">
        <f>J395*INDEX([2]Pedidos!$Q:$Q,MATCH(F395,[2]Pedidos!$E:$E,0))</f>
        <v>#N/A</v>
      </c>
      <c r="O395" s="565">
        <f>K395*INDEX([2]Pedidos!$Q:$Q,MATCH(G395,[2]Pedidos!$E:$E,0))</f>
        <v>373.21428571428572</v>
      </c>
      <c r="P395" s="565" t="e">
        <f>M395*INDEX([2]Pedidos!$Q:$Q,MATCH(H395,[2]Pedidos!$E:$E,0))</f>
        <v>#N/A</v>
      </c>
    </row>
    <row r="396" spans="1:18" x14ac:dyDescent="0.25">
      <c r="A396" s="753"/>
      <c r="C396" s="527" t="s">
        <v>161</v>
      </c>
      <c r="D396" s="453">
        <f t="shared" si="89"/>
        <v>46181</v>
      </c>
      <c r="E396" s="454" t="s">
        <v>170</v>
      </c>
      <c r="F396" s="460"/>
      <c r="G396" s="460" t="s">
        <v>1803</v>
      </c>
      <c r="H396" s="460"/>
      <c r="I396" s="460"/>
      <c r="J396" s="540">
        <f t="shared" si="93"/>
        <v>757.89473684210532</v>
      </c>
      <c r="K396" s="540">
        <f t="shared" si="91"/>
        <v>678.57142857142856</v>
      </c>
      <c r="L396" s="540"/>
      <c r="M396" s="540">
        <f t="shared" si="94"/>
        <v>714.28571428571433</v>
      </c>
      <c r="N396" s="566" t="e">
        <f>J396*INDEX([2]Pedidos!$Q:$Q,MATCH(F396,[2]Pedidos!$E:$E,0))</f>
        <v>#N/A</v>
      </c>
      <c r="O396" s="566">
        <f>K396*INDEX([2]Pedidos!$Q:$Q,MATCH(G396,[2]Pedidos!$E:$E,0))</f>
        <v>373.21428571428572</v>
      </c>
      <c r="P396" s="566" t="e">
        <f>M396*INDEX([2]Pedidos!$Q:$Q,MATCH(H396,[2]Pedidos!$E:$E,0))</f>
        <v>#N/A</v>
      </c>
    </row>
    <row r="397" spans="1:18" x14ac:dyDescent="0.25">
      <c r="A397" s="753"/>
      <c r="C397" s="527" t="s">
        <v>161</v>
      </c>
      <c r="D397" s="453">
        <f t="shared" si="89"/>
        <v>46181</v>
      </c>
      <c r="E397" s="454" t="s">
        <v>585</v>
      </c>
      <c r="F397" s="460"/>
      <c r="G397" s="460" t="s">
        <v>1803</v>
      </c>
      <c r="H397" s="460"/>
      <c r="I397" s="725"/>
      <c r="J397" s="684">
        <f t="shared" si="93"/>
        <v>757.89473684210532</v>
      </c>
      <c r="K397" s="684">
        <f t="shared" si="91"/>
        <v>678.57142857142856</v>
      </c>
      <c r="L397" s="684"/>
      <c r="M397" s="684">
        <f t="shared" si="94"/>
        <v>714.28571428571433</v>
      </c>
      <c r="N397" s="566" t="e">
        <f>J397*INDEX([2]Pedidos!$Q:$Q,MATCH(F397,[2]Pedidos!$E:$E,0))</f>
        <v>#N/A</v>
      </c>
      <c r="O397" s="566">
        <f>K397*INDEX([2]Pedidos!$Q:$Q,MATCH(G397,[2]Pedidos!$E:$E,0))</f>
        <v>373.21428571428572</v>
      </c>
      <c r="P397" s="566" t="e">
        <f>M397*INDEX([2]Pedidos!$Q:$Q,MATCH(H397,[2]Pedidos!$E:$E,0))</f>
        <v>#N/A</v>
      </c>
    </row>
    <row r="398" spans="1:18" x14ac:dyDescent="0.25">
      <c r="A398" s="753"/>
      <c r="C398" s="527" t="s">
        <v>161</v>
      </c>
      <c r="D398" s="453">
        <f t="shared" si="89"/>
        <v>46181</v>
      </c>
      <c r="E398" s="455" t="s">
        <v>574</v>
      </c>
      <c r="F398" s="512"/>
      <c r="G398" s="512"/>
      <c r="H398" s="512"/>
      <c r="I398" s="537"/>
      <c r="J398" s="685"/>
      <c r="K398" s="685"/>
      <c r="L398" s="685"/>
      <c r="M398" s="685"/>
      <c r="N398" s="556"/>
      <c r="O398" s="556"/>
      <c r="P398" s="556"/>
    </row>
    <row r="399" spans="1:18" x14ac:dyDescent="0.25">
      <c r="A399" s="753"/>
      <c r="C399" s="527" t="s">
        <v>161</v>
      </c>
      <c r="D399" s="453">
        <f t="shared" si="89"/>
        <v>46181</v>
      </c>
      <c r="E399" s="455" t="s">
        <v>575</v>
      </c>
      <c r="F399" s="504"/>
      <c r="G399" s="504" t="s">
        <v>1803</v>
      </c>
      <c r="H399" s="504"/>
      <c r="I399" s="504"/>
      <c r="J399" s="684">
        <f t="shared" si="93"/>
        <v>757.89473684210532</v>
      </c>
      <c r="K399" s="684">
        <f t="shared" si="91"/>
        <v>678.57142857142856</v>
      </c>
      <c r="L399" s="684"/>
      <c r="M399" s="684">
        <f t="shared" ref="M399:M401" si="95">10000/14</f>
        <v>714.28571428571433</v>
      </c>
      <c r="N399" s="566" t="e">
        <f>J399*INDEX([2]Pedidos!$Q:$Q,MATCH(F399,[2]Pedidos!$E:$E,0))</f>
        <v>#N/A</v>
      </c>
      <c r="O399" s="566">
        <f>K399*INDEX([2]Pedidos!$Q:$Q,MATCH(G399,[2]Pedidos!$E:$E,0))</f>
        <v>373.21428571428572</v>
      </c>
      <c r="P399" s="566" t="e">
        <f>M399*INDEX([2]Pedidos!$Q:$Q,MATCH(H399,[2]Pedidos!$E:$E,0))</f>
        <v>#N/A</v>
      </c>
    </row>
    <row r="400" spans="1:18" x14ac:dyDescent="0.25">
      <c r="A400" s="753"/>
      <c r="C400" s="527" t="s">
        <v>161</v>
      </c>
      <c r="D400" s="453">
        <f t="shared" si="89"/>
        <v>46181</v>
      </c>
      <c r="E400" s="503" t="s">
        <v>583</v>
      </c>
      <c r="F400" s="504"/>
      <c r="G400" s="504" t="s">
        <v>1803</v>
      </c>
      <c r="H400" s="504"/>
      <c r="I400" s="504"/>
      <c r="J400" s="684">
        <f t="shared" si="93"/>
        <v>757.89473684210532</v>
      </c>
      <c r="K400" s="684">
        <f t="shared" si="91"/>
        <v>678.57142857142856</v>
      </c>
      <c r="L400" s="684"/>
      <c r="M400" s="684">
        <f t="shared" si="95"/>
        <v>714.28571428571433</v>
      </c>
      <c r="N400" s="566" t="e">
        <f>J400*INDEX([2]Pedidos!$Q:$Q,MATCH(F400,[2]Pedidos!$E:$E,0))</f>
        <v>#N/A</v>
      </c>
      <c r="O400" s="566">
        <f>K400*INDEX([2]Pedidos!$Q:$Q,MATCH(G400,[2]Pedidos!$E:$E,0))</f>
        <v>373.21428571428572</v>
      </c>
      <c r="P400" s="566" t="e">
        <f>M400*INDEX([2]Pedidos!$Q:$Q,MATCH(H400,[2]Pedidos!$E:$E,0))</f>
        <v>#N/A</v>
      </c>
    </row>
    <row r="401" spans="1:18" ht="15.75" thickBot="1" x14ac:dyDescent="0.3">
      <c r="A401" s="753"/>
      <c r="C401" s="528" t="s">
        <v>161</v>
      </c>
      <c r="D401" s="451">
        <f t="shared" si="89"/>
        <v>46181</v>
      </c>
      <c r="E401" s="459" t="s">
        <v>584</v>
      </c>
      <c r="F401" s="680"/>
      <c r="G401" s="680" t="s">
        <v>1803</v>
      </c>
      <c r="H401" s="680"/>
      <c r="I401" s="680"/>
      <c r="J401" s="686">
        <f t="shared" si="93"/>
        <v>757.89473684210532</v>
      </c>
      <c r="K401" s="686">
        <f t="shared" si="91"/>
        <v>678.57142857142856</v>
      </c>
      <c r="L401" s="686"/>
      <c r="M401" s="686">
        <f t="shared" si="95"/>
        <v>714.28571428571433</v>
      </c>
      <c r="N401" s="696" t="e">
        <f>J401*INDEX([2]Pedidos!$Q:$Q,MATCH(F401,[2]Pedidos!$E:$E,0))</f>
        <v>#N/A</v>
      </c>
      <c r="O401" s="696">
        <f>K401*INDEX([2]Pedidos!$Q:$Q,MATCH(G401,[2]Pedidos!$E:$E,0))</f>
        <v>373.21428571428572</v>
      </c>
      <c r="P401" s="696" t="e">
        <f>M401*INDEX([2]Pedidos!$Q:$Q,MATCH(H401,[2]Pedidos!$E:$E,0))</f>
        <v>#N/A</v>
      </c>
    </row>
    <row r="402" spans="1:18" ht="8.25" customHeight="1" thickBot="1" x14ac:dyDescent="0.3">
      <c r="A402" s="753"/>
      <c r="J402" s="445"/>
      <c r="K402" s="445"/>
      <c r="L402" s="445"/>
      <c r="N402" s="559"/>
      <c r="O402" s="559"/>
      <c r="P402" s="559"/>
    </row>
    <row r="403" spans="1:18" ht="15.75" thickBot="1" x14ac:dyDescent="0.3">
      <c r="A403" s="753"/>
      <c r="C403" s="538"/>
      <c r="D403" s="539"/>
      <c r="E403" s="539"/>
      <c r="F403" s="539"/>
      <c r="G403" s="539"/>
      <c r="H403" s="539"/>
      <c r="I403" s="539"/>
      <c r="J403" s="606">
        <f t="shared" ref="J403:M403" si="96">_xlfn.AGGREGATE(9,6,J404:J419)</f>
        <v>10269.473684210527</v>
      </c>
      <c r="K403" s="607">
        <f t="shared" si="96"/>
        <v>10000.000000000002</v>
      </c>
      <c r="L403" s="607"/>
      <c r="M403" s="544">
        <f t="shared" si="96"/>
        <v>10000.000000000002</v>
      </c>
      <c r="N403" s="560">
        <f t="shared" ref="N403:P403" si="97">_xlfn.AGGREGATE(9,6,N404:N419)</f>
        <v>0</v>
      </c>
      <c r="O403" s="561">
        <f t="shared" si="97"/>
        <v>5500.0000000000018</v>
      </c>
      <c r="P403" s="562">
        <f t="shared" si="97"/>
        <v>0</v>
      </c>
      <c r="Q403" s="548">
        <f>SUM(J403:M403)</f>
        <v>30269.473684210527</v>
      </c>
      <c r="R403" s="549">
        <f>SUM(N403:P403)</f>
        <v>5500.0000000000018</v>
      </c>
    </row>
    <row r="404" spans="1:18" x14ac:dyDescent="0.25">
      <c r="A404" s="753"/>
      <c r="C404" s="446" t="s">
        <v>171</v>
      </c>
      <c r="D404" s="497">
        <f>D401+1</f>
        <v>46182</v>
      </c>
      <c r="E404" s="498" t="s">
        <v>573</v>
      </c>
      <c r="F404" s="681"/>
      <c r="G404" s="460" t="s">
        <v>1803</v>
      </c>
      <c r="H404" s="460"/>
      <c r="I404" s="725"/>
      <c r="J404" s="683">
        <f t="shared" ref="J404:J408" si="98">14400/19</f>
        <v>757.89473684210532</v>
      </c>
      <c r="K404" s="683">
        <f>10000/14</f>
        <v>714.28571428571433</v>
      </c>
      <c r="L404" s="683"/>
      <c r="M404" s="683">
        <f>10000/14</f>
        <v>714.28571428571433</v>
      </c>
      <c r="N404" s="695" t="e">
        <f>J404*INDEX([2]Pedidos!$Q:$Q,MATCH(F404,[2]Pedidos!$E:$E,0))</f>
        <v>#N/A</v>
      </c>
      <c r="O404" s="695">
        <f>K404*INDEX([2]Pedidos!$Q:$Q,MATCH(G404,[2]Pedidos!$E:$E,0))</f>
        <v>392.85714285714289</v>
      </c>
      <c r="P404" s="695" t="e">
        <f>M404*INDEX([2]Pedidos!$Q:$Q,MATCH(H404,[2]Pedidos!$E:$E,0))</f>
        <v>#N/A</v>
      </c>
    </row>
    <row r="405" spans="1:18" x14ac:dyDescent="0.25">
      <c r="A405" s="753"/>
      <c r="C405" s="452" t="s">
        <v>171</v>
      </c>
      <c r="D405" s="499">
        <f t="shared" ref="D405:D419" si="99">D404</f>
        <v>46182</v>
      </c>
      <c r="E405" s="500" t="s">
        <v>162</v>
      </c>
      <c r="F405" s="460"/>
      <c r="G405" s="460" t="s">
        <v>1803</v>
      </c>
      <c r="H405" s="460"/>
      <c r="I405" s="460"/>
      <c r="J405" s="540">
        <f t="shared" si="98"/>
        <v>757.89473684210532</v>
      </c>
      <c r="K405" s="540">
        <f t="shared" ref="K405:M408" si="100">10000/14</f>
        <v>714.28571428571433</v>
      </c>
      <c r="L405" s="540"/>
      <c r="M405" s="540">
        <f t="shared" si="100"/>
        <v>714.28571428571433</v>
      </c>
      <c r="N405" s="555" t="e">
        <f>J405*INDEX([2]Pedidos!$Q:$Q,MATCH(F405,[2]Pedidos!$E:$E,0))</f>
        <v>#N/A</v>
      </c>
      <c r="O405" s="555">
        <f>K405*INDEX([2]Pedidos!$Q:$Q,MATCH(G405,[2]Pedidos!$E:$E,0))</f>
        <v>392.85714285714289</v>
      </c>
      <c r="P405" s="555" t="e">
        <f>M405*INDEX([2]Pedidos!$Q:$Q,MATCH(H405,[2]Pedidos!$E:$E,0))</f>
        <v>#N/A</v>
      </c>
    </row>
    <row r="406" spans="1:18" x14ac:dyDescent="0.25">
      <c r="A406" s="753"/>
      <c r="C406" s="452" t="s">
        <v>171</v>
      </c>
      <c r="D406" s="449">
        <f t="shared" si="99"/>
        <v>46182</v>
      </c>
      <c r="E406" s="454" t="s">
        <v>163</v>
      </c>
      <c r="F406" s="460"/>
      <c r="G406" s="460" t="s">
        <v>1803</v>
      </c>
      <c r="H406" s="460"/>
      <c r="I406" s="460"/>
      <c r="J406" s="540">
        <f t="shared" si="98"/>
        <v>757.89473684210532</v>
      </c>
      <c r="K406" s="540">
        <f t="shared" si="100"/>
        <v>714.28571428571433</v>
      </c>
      <c r="L406" s="540"/>
      <c r="M406" s="540">
        <f t="shared" si="100"/>
        <v>714.28571428571433</v>
      </c>
      <c r="N406" s="564" t="e">
        <f>J406*INDEX([2]Pedidos!$Q:$Q,MATCH(F406,[2]Pedidos!$E:$E,0))</f>
        <v>#N/A</v>
      </c>
      <c r="O406" s="564">
        <f>K406*INDEX([2]Pedidos!$Q:$Q,MATCH(G406,[2]Pedidos!$E:$E,0))</f>
        <v>392.85714285714289</v>
      </c>
      <c r="P406" s="564" t="e">
        <f>M406*INDEX([2]Pedidos!$Q:$Q,MATCH(H406,[2]Pedidos!$E:$E,0))</f>
        <v>#N/A</v>
      </c>
    </row>
    <row r="407" spans="1:18" x14ac:dyDescent="0.25">
      <c r="A407" s="753"/>
      <c r="C407" s="452" t="s">
        <v>171</v>
      </c>
      <c r="D407" s="449">
        <f t="shared" si="99"/>
        <v>46182</v>
      </c>
      <c r="E407" s="454" t="s">
        <v>164</v>
      </c>
      <c r="F407" s="460"/>
      <c r="G407" s="460" t="s">
        <v>1803</v>
      </c>
      <c r="H407" s="460"/>
      <c r="I407" s="460"/>
      <c r="J407" s="540">
        <f t="shared" si="98"/>
        <v>757.89473684210532</v>
      </c>
      <c r="K407" s="540">
        <f t="shared" si="100"/>
        <v>714.28571428571433</v>
      </c>
      <c r="L407" s="540"/>
      <c r="M407" s="540">
        <f t="shared" si="100"/>
        <v>714.28571428571433</v>
      </c>
      <c r="N407" s="564" t="e">
        <f>J407*INDEX([2]Pedidos!$Q:$Q,MATCH(F407,[2]Pedidos!$E:$E,0))</f>
        <v>#N/A</v>
      </c>
      <c r="O407" s="564">
        <f>K407*INDEX([2]Pedidos!$Q:$Q,MATCH(G407,[2]Pedidos!$E:$E,0))</f>
        <v>392.85714285714289</v>
      </c>
      <c r="P407" s="564" t="e">
        <f>M407*INDEX([2]Pedidos!$Q:$Q,MATCH(H407,[2]Pedidos!$E:$E,0))</f>
        <v>#N/A</v>
      </c>
    </row>
    <row r="408" spans="1:18" x14ac:dyDescent="0.25">
      <c r="A408" s="753"/>
      <c r="C408" s="452" t="s">
        <v>171</v>
      </c>
      <c r="D408" s="449">
        <f t="shared" si="99"/>
        <v>46182</v>
      </c>
      <c r="E408" s="454" t="s">
        <v>165</v>
      </c>
      <c r="F408" s="460"/>
      <c r="G408" s="460" t="s">
        <v>1803</v>
      </c>
      <c r="H408" s="460"/>
      <c r="I408" s="460"/>
      <c r="J408" s="540">
        <f t="shared" si="98"/>
        <v>757.89473684210532</v>
      </c>
      <c r="K408" s="540">
        <f t="shared" si="100"/>
        <v>714.28571428571433</v>
      </c>
      <c r="L408" s="540"/>
      <c r="M408" s="540">
        <f t="shared" si="100"/>
        <v>714.28571428571433</v>
      </c>
      <c r="N408" s="564" t="e">
        <f>J408*INDEX([2]Pedidos!$Q:$Q,MATCH(F408,[2]Pedidos!$E:$E,0))</f>
        <v>#N/A</v>
      </c>
      <c r="O408" s="564">
        <f>K408*INDEX([2]Pedidos!$Q:$Q,MATCH(G408,[2]Pedidos!$E:$E,0))</f>
        <v>392.85714285714289</v>
      </c>
      <c r="P408" s="564" t="e">
        <f>M408*INDEX([2]Pedidos!$Q:$Q,MATCH(H408,[2]Pedidos!$E:$E,0))</f>
        <v>#N/A</v>
      </c>
    </row>
    <row r="409" spans="1:18" x14ac:dyDescent="0.25">
      <c r="A409" s="753"/>
      <c r="C409" s="452" t="s">
        <v>171</v>
      </c>
      <c r="D409" s="449">
        <f t="shared" si="99"/>
        <v>46182</v>
      </c>
      <c r="E409" s="454" t="s">
        <v>166</v>
      </c>
      <c r="F409" s="512"/>
      <c r="G409" s="512"/>
      <c r="H409" s="512"/>
      <c r="I409" s="512"/>
      <c r="J409" s="682"/>
      <c r="K409" s="682"/>
      <c r="L409" s="682"/>
      <c r="M409" s="682"/>
      <c r="N409" s="556"/>
      <c r="O409" s="556"/>
      <c r="P409" s="556"/>
    </row>
    <row r="410" spans="1:18" x14ac:dyDescent="0.25">
      <c r="A410" s="753"/>
      <c r="C410" s="452" t="s">
        <v>171</v>
      </c>
      <c r="D410" s="449">
        <f t="shared" si="99"/>
        <v>46182</v>
      </c>
      <c r="E410" s="454" t="s">
        <v>576</v>
      </c>
      <c r="F410" s="461"/>
      <c r="G410" s="460" t="s">
        <v>1803</v>
      </c>
      <c r="H410" s="460"/>
      <c r="I410" s="460"/>
      <c r="J410" s="540">
        <f>14400/20</f>
        <v>720</v>
      </c>
      <c r="K410" s="679">
        <f t="shared" ref="K410:M415" si="101">10000/14</f>
        <v>714.28571428571433</v>
      </c>
      <c r="L410" s="679"/>
      <c r="M410" s="679">
        <f t="shared" si="101"/>
        <v>714.28571428571433</v>
      </c>
      <c r="N410" s="565" t="e">
        <f>J410*INDEX([2]Pedidos!$Q:$Q,MATCH(F410,[2]Pedidos!$E:$E,0))</f>
        <v>#N/A</v>
      </c>
      <c r="O410" s="565">
        <f>K410*INDEX([2]Pedidos!$Q:$Q,MATCH(G410,[2]Pedidos!$E:$E,0))</f>
        <v>392.85714285714289</v>
      </c>
      <c r="P410" s="565" t="e">
        <f>M410*INDEX([2]Pedidos!$Q:$Q,MATCH(H410,[2]Pedidos!$E:$E,0))</f>
        <v>#N/A</v>
      </c>
    </row>
    <row r="411" spans="1:18" x14ac:dyDescent="0.25">
      <c r="A411" s="753"/>
      <c r="C411" s="452" t="s">
        <v>171</v>
      </c>
      <c r="D411" s="449">
        <f t="shared" si="99"/>
        <v>46182</v>
      </c>
      <c r="E411" s="454" t="s">
        <v>167</v>
      </c>
      <c r="F411" s="460"/>
      <c r="G411" s="460" t="s">
        <v>1803</v>
      </c>
      <c r="H411" s="460"/>
      <c r="I411" s="460"/>
      <c r="J411" s="540">
        <f t="shared" ref="J411:J415" si="102">14400/20</f>
        <v>720</v>
      </c>
      <c r="K411" s="540">
        <f t="shared" si="101"/>
        <v>714.28571428571433</v>
      </c>
      <c r="L411" s="540"/>
      <c r="M411" s="540">
        <f t="shared" si="101"/>
        <v>714.28571428571433</v>
      </c>
      <c r="N411" s="565" t="e">
        <f>J411*INDEX([2]Pedidos!$Q:$Q,MATCH(F411,[2]Pedidos!$E:$E,0))</f>
        <v>#N/A</v>
      </c>
      <c r="O411" s="565">
        <f>K411*INDEX([2]Pedidos!$Q:$Q,MATCH(G411,[2]Pedidos!$E:$E,0))</f>
        <v>392.85714285714289</v>
      </c>
      <c r="P411" s="565" t="e">
        <f>M411*INDEX([2]Pedidos!$Q:$Q,MATCH(H411,[2]Pedidos!$E:$E,0))</f>
        <v>#N/A</v>
      </c>
    </row>
    <row r="412" spans="1:18" x14ac:dyDescent="0.25">
      <c r="A412" s="753"/>
      <c r="C412" s="452" t="s">
        <v>171</v>
      </c>
      <c r="D412" s="449">
        <f t="shared" si="99"/>
        <v>46182</v>
      </c>
      <c r="E412" s="454" t="s">
        <v>168</v>
      </c>
      <c r="F412" s="460"/>
      <c r="G412" s="460" t="s">
        <v>1803</v>
      </c>
      <c r="H412" s="460"/>
      <c r="I412" s="460"/>
      <c r="J412" s="540">
        <f t="shared" si="102"/>
        <v>720</v>
      </c>
      <c r="K412" s="540">
        <f t="shared" si="101"/>
        <v>714.28571428571433</v>
      </c>
      <c r="L412" s="540"/>
      <c r="M412" s="540">
        <f t="shared" si="101"/>
        <v>714.28571428571433</v>
      </c>
      <c r="N412" s="565" t="e">
        <f>J412*INDEX([2]Pedidos!$Q:$Q,MATCH(F412,[2]Pedidos!$E:$E,0))</f>
        <v>#N/A</v>
      </c>
      <c r="O412" s="565">
        <f>K412*INDEX([2]Pedidos!$Q:$Q,MATCH(G412,[2]Pedidos!$E:$E,0))</f>
        <v>392.85714285714289</v>
      </c>
      <c r="P412" s="565" t="e">
        <f>M412*INDEX([2]Pedidos!$Q:$Q,MATCH(H412,[2]Pedidos!$E:$E,0))</f>
        <v>#N/A</v>
      </c>
    </row>
    <row r="413" spans="1:18" x14ac:dyDescent="0.25">
      <c r="A413" s="753"/>
      <c r="C413" s="452" t="s">
        <v>171</v>
      </c>
      <c r="D413" s="449">
        <f t="shared" si="99"/>
        <v>46182</v>
      </c>
      <c r="E413" s="454" t="s">
        <v>169</v>
      </c>
      <c r="F413" s="460"/>
      <c r="G413" s="460" t="s">
        <v>1803</v>
      </c>
      <c r="H413" s="460"/>
      <c r="I413" s="460"/>
      <c r="J413" s="540">
        <f t="shared" si="102"/>
        <v>720</v>
      </c>
      <c r="K413" s="540">
        <f t="shared" si="101"/>
        <v>714.28571428571433</v>
      </c>
      <c r="L413" s="540"/>
      <c r="M413" s="540">
        <f t="shared" si="101"/>
        <v>714.28571428571433</v>
      </c>
      <c r="N413" s="565" t="e">
        <f>J413*INDEX([2]Pedidos!$Q:$Q,MATCH(F413,[2]Pedidos!$E:$E,0))</f>
        <v>#N/A</v>
      </c>
      <c r="O413" s="565">
        <f>K413*INDEX([2]Pedidos!$Q:$Q,MATCH(G413,[2]Pedidos!$E:$E,0))</f>
        <v>392.85714285714289</v>
      </c>
      <c r="P413" s="565" t="e">
        <f>M413*INDEX([2]Pedidos!$Q:$Q,MATCH(H413,[2]Pedidos!$E:$E,0))</f>
        <v>#N/A</v>
      </c>
    </row>
    <row r="414" spans="1:18" x14ac:dyDescent="0.25">
      <c r="A414" s="753"/>
      <c r="C414" s="452" t="s">
        <v>171</v>
      </c>
      <c r="D414" s="449">
        <f t="shared" si="99"/>
        <v>46182</v>
      </c>
      <c r="E414" s="454" t="s">
        <v>170</v>
      </c>
      <c r="F414" s="460"/>
      <c r="G414" s="460" t="s">
        <v>1803</v>
      </c>
      <c r="H414" s="460"/>
      <c r="I414" s="460"/>
      <c r="J414" s="540">
        <f t="shared" si="102"/>
        <v>720</v>
      </c>
      <c r="K414" s="540">
        <f t="shared" si="101"/>
        <v>714.28571428571433</v>
      </c>
      <c r="L414" s="540"/>
      <c r="M414" s="540">
        <f t="shared" si="101"/>
        <v>714.28571428571433</v>
      </c>
      <c r="N414" s="566" t="e">
        <f>J414*INDEX([2]Pedidos!$Q:$Q,MATCH(F414,[2]Pedidos!$E:$E,0))</f>
        <v>#N/A</v>
      </c>
      <c r="O414" s="566">
        <f>K414*INDEX([2]Pedidos!$Q:$Q,MATCH(G414,[2]Pedidos!$E:$E,0))</f>
        <v>392.85714285714289</v>
      </c>
      <c r="P414" s="566" t="e">
        <f>M414*INDEX([2]Pedidos!$Q:$Q,MATCH(H414,[2]Pedidos!$E:$E,0))</f>
        <v>#N/A</v>
      </c>
    </row>
    <row r="415" spans="1:18" x14ac:dyDescent="0.25">
      <c r="A415" s="753"/>
      <c r="C415" s="452" t="s">
        <v>171</v>
      </c>
      <c r="D415" s="449">
        <f t="shared" si="99"/>
        <v>46182</v>
      </c>
      <c r="E415" s="454" t="s">
        <v>585</v>
      </c>
      <c r="F415" s="460"/>
      <c r="G415" s="460" t="s">
        <v>1803</v>
      </c>
      <c r="H415" s="460"/>
      <c r="I415" s="725"/>
      <c r="J415" s="684">
        <f t="shared" si="102"/>
        <v>720</v>
      </c>
      <c r="K415" s="684">
        <f t="shared" si="101"/>
        <v>714.28571428571433</v>
      </c>
      <c r="L415" s="684"/>
      <c r="M415" s="684">
        <f t="shared" si="101"/>
        <v>714.28571428571433</v>
      </c>
      <c r="N415" s="566" t="e">
        <f>J415*INDEX([2]Pedidos!$Q:$Q,MATCH(F415,[2]Pedidos!$E:$E,0))</f>
        <v>#N/A</v>
      </c>
      <c r="O415" s="566">
        <f>K415*INDEX([2]Pedidos!$Q:$Q,MATCH(G415,[2]Pedidos!$E:$E,0))</f>
        <v>392.85714285714289</v>
      </c>
      <c r="P415" s="566" t="e">
        <f>M415*INDEX([2]Pedidos!$Q:$Q,MATCH(H415,[2]Pedidos!$E:$E,0))</f>
        <v>#N/A</v>
      </c>
    </row>
    <row r="416" spans="1:18" x14ac:dyDescent="0.25">
      <c r="A416" s="753"/>
      <c r="C416" s="448" t="s">
        <v>171</v>
      </c>
      <c r="D416" s="449">
        <f t="shared" si="99"/>
        <v>46182</v>
      </c>
      <c r="E416" s="455" t="s">
        <v>574</v>
      </c>
      <c r="F416" s="512"/>
      <c r="G416" s="512"/>
      <c r="H416" s="512"/>
      <c r="I416" s="537"/>
      <c r="J416" s="685"/>
      <c r="K416" s="685"/>
      <c r="L416" s="685"/>
      <c r="M416" s="685"/>
      <c r="N416" s="556"/>
      <c r="O416" s="556"/>
      <c r="P416" s="556"/>
    </row>
    <row r="417" spans="1:18" x14ac:dyDescent="0.25">
      <c r="A417" s="753"/>
      <c r="C417" s="448" t="s">
        <v>171</v>
      </c>
      <c r="D417" s="449">
        <f t="shared" si="99"/>
        <v>46182</v>
      </c>
      <c r="E417" s="455" t="s">
        <v>575</v>
      </c>
      <c r="F417" s="504"/>
      <c r="G417" s="504" t="s">
        <v>1803</v>
      </c>
      <c r="H417" s="504"/>
      <c r="I417" s="504"/>
      <c r="J417" s="684">
        <f t="shared" ref="J417:J419" si="103">14400/20</f>
        <v>720</v>
      </c>
      <c r="K417" s="684">
        <f t="shared" ref="K417:M419" si="104">10000/14</f>
        <v>714.28571428571433</v>
      </c>
      <c r="L417" s="684"/>
      <c r="M417" s="684">
        <f t="shared" si="104"/>
        <v>714.28571428571433</v>
      </c>
      <c r="N417" s="566" t="e">
        <f>J417*INDEX([2]Pedidos!$Q:$Q,MATCH(F417,[2]Pedidos!$E:$E,0))</f>
        <v>#N/A</v>
      </c>
      <c r="O417" s="566">
        <f>K417*INDEX([2]Pedidos!$Q:$Q,MATCH(G417,[2]Pedidos!$E:$E,0))</f>
        <v>392.85714285714289</v>
      </c>
      <c r="P417" s="566" t="e">
        <f>M417*INDEX([2]Pedidos!$Q:$Q,MATCH(H417,[2]Pedidos!$E:$E,0))</f>
        <v>#N/A</v>
      </c>
    </row>
    <row r="418" spans="1:18" x14ac:dyDescent="0.25">
      <c r="A418" s="753"/>
      <c r="C418" s="448" t="s">
        <v>171</v>
      </c>
      <c r="D418" s="449">
        <f t="shared" si="99"/>
        <v>46182</v>
      </c>
      <c r="E418" s="503" t="s">
        <v>583</v>
      </c>
      <c r="F418" s="504"/>
      <c r="G418" s="504" t="s">
        <v>1803</v>
      </c>
      <c r="H418" s="504"/>
      <c r="I418" s="504"/>
      <c r="J418" s="684">
        <f t="shared" si="103"/>
        <v>720</v>
      </c>
      <c r="K418" s="684">
        <f t="shared" si="104"/>
        <v>714.28571428571433</v>
      </c>
      <c r="L418" s="684"/>
      <c r="M418" s="684">
        <f t="shared" si="104"/>
        <v>714.28571428571433</v>
      </c>
      <c r="N418" s="566" t="e">
        <f>J418*INDEX([2]Pedidos!$Q:$Q,MATCH(F418,[2]Pedidos!$E:$E,0))</f>
        <v>#N/A</v>
      </c>
      <c r="O418" s="566">
        <f>K418*INDEX([2]Pedidos!$Q:$Q,MATCH(G418,[2]Pedidos!$E:$E,0))</f>
        <v>392.85714285714289</v>
      </c>
      <c r="P418" s="566" t="e">
        <f>M418*INDEX([2]Pedidos!$Q:$Q,MATCH(H418,[2]Pedidos!$E:$E,0))</f>
        <v>#N/A</v>
      </c>
    </row>
    <row r="419" spans="1:18" ht="16.5" customHeight="1" thickBot="1" x14ac:dyDescent="0.3">
      <c r="A419" s="753"/>
      <c r="C419" s="450" t="s">
        <v>171</v>
      </c>
      <c r="D419" s="451">
        <f t="shared" si="99"/>
        <v>46182</v>
      </c>
      <c r="E419" s="459" t="s">
        <v>584</v>
      </c>
      <c r="F419" s="680"/>
      <c r="G419" s="680" t="s">
        <v>1803</v>
      </c>
      <c r="H419" s="680"/>
      <c r="I419" s="680"/>
      <c r="J419" s="686">
        <f t="shared" si="103"/>
        <v>720</v>
      </c>
      <c r="K419" s="686">
        <f t="shared" si="104"/>
        <v>714.28571428571433</v>
      </c>
      <c r="L419" s="686"/>
      <c r="M419" s="686">
        <f t="shared" si="104"/>
        <v>714.28571428571433</v>
      </c>
      <c r="N419" s="696" t="e">
        <f>J419*INDEX([2]Pedidos!$Q:$Q,MATCH(F419,[2]Pedidos!$E:$E,0))</f>
        <v>#N/A</v>
      </c>
      <c r="O419" s="696">
        <f>K419*INDEX([2]Pedidos!$Q:$Q,MATCH(G419,[2]Pedidos!$E:$E,0))</f>
        <v>392.85714285714289</v>
      </c>
      <c r="P419" s="696" t="e">
        <f>M419*INDEX([2]Pedidos!$Q:$Q,MATCH(H419,[2]Pedidos!$E:$E,0))</f>
        <v>#N/A</v>
      </c>
    </row>
    <row r="420" spans="1:18" ht="7.5" customHeight="1" thickBot="1" x14ac:dyDescent="0.3">
      <c r="A420" s="753"/>
      <c r="J420" s="445"/>
      <c r="N420" s="559"/>
      <c r="O420" s="559"/>
      <c r="P420" s="559"/>
    </row>
    <row r="421" spans="1:18" ht="15.75" thickBot="1" x14ac:dyDescent="0.3">
      <c r="A421" s="753"/>
      <c r="C421" s="538"/>
      <c r="D421" s="539"/>
      <c r="E421" s="539"/>
      <c r="F421" s="539"/>
      <c r="G421" s="539"/>
      <c r="H421" s="539"/>
      <c r="I421" s="539"/>
      <c r="J421" s="606">
        <f t="shared" ref="J421:M421" ca="1" si="105">_xlfn.AGGREGATE(9,6,J422:J437)</f>
        <v>5400</v>
      </c>
      <c r="K421" s="544">
        <f ca="1">_xlfn.AGGREGATE(9,6,K422:K437)</f>
        <v>2400</v>
      </c>
      <c r="L421" s="544"/>
      <c r="M421" s="544">
        <f t="shared" ca="1" si="105"/>
        <v>0</v>
      </c>
      <c r="N421" s="560">
        <f t="shared" ref="N421:P421" si="106">_xlfn.AGGREGATE(9,6,N422:N437)</f>
        <v>2970</v>
      </c>
      <c r="O421" s="561">
        <f t="shared" si="106"/>
        <v>1320</v>
      </c>
      <c r="P421" s="562">
        <f t="shared" si="106"/>
        <v>0</v>
      </c>
      <c r="Q421" s="548">
        <f ca="1">SUM(J421:M421)</f>
        <v>7800</v>
      </c>
      <c r="R421" s="549">
        <f>SUM(N421:P421)</f>
        <v>4290</v>
      </c>
    </row>
    <row r="422" spans="1:18" x14ac:dyDescent="0.25">
      <c r="A422" s="753"/>
      <c r="C422" s="446" t="s">
        <v>172</v>
      </c>
      <c r="D422" s="497">
        <f>D419+1</f>
        <v>46183</v>
      </c>
      <c r="E422" s="498" t="s">
        <v>573</v>
      </c>
      <c r="F422" s="512"/>
      <c r="G422" s="512"/>
      <c r="H422" s="512"/>
      <c r="I422" s="512"/>
      <c r="J422" s="512"/>
      <c r="K422" s="512" t="s">
        <v>489</v>
      </c>
      <c r="L422" s="512"/>
      <c r="M422" s="512"/>
      <c r="N422" s="512"/>
      <c r="O422" s="512"/>
      <c r="P422" s="512"/>
    </row>
    <row r="423" spans="1:18" x14ac:dyDescent="0.25">
      <c r="A423" s="753"/>
      <c r="C423" s="452" t="s">
        <v>172</v>
      </c>
      <c r="D423" s="499">
        <f t="shared" ref="D423:D437" si="107">D422</f>
        <v>46183</v>
      </c>
      <c r="E423" s="500" t="s">
        <v>162</v>
      </c>
      <c r="F423" s="460" t="s">
        <v>1804</v>
      </c>
      <c r="G423" s="460"/>
      <c r="H423" s="460"/>
      <c r="I423" s="725"/>
      <c r="J423" s="684">
        <v>600</v>
      </c>
      <c r="K423" s="540"/>
      <c r="L423" s="540"/>
      <c r="M423" s="540"/>
      <c r="N423" s="555">
        <f>J423*INDEX([2]Pedidos!$Q:$Q,MATCH(F423,[2]Pedidos!$E:$E,0))</f>
        <v>330</v>
      </c>
      <c r="O423" s="564" t="e">
        <f>K423*INDEX([2]Pedidos!$Q:$Q,MATCH(G422,[2]Pedidos!$E:$E,0))</f>
        <v>#N/A</v>
      </c>
      <c r="P423" s="555" t="e">
        <f>M423*INDEX([2]Pedidos!$Q:$Q,MATCH(H423,[2]Pedidos!$E:$E,0))</f>
        <v>#N/A</v>
      </c>
    </row>
    <row r="424" spans="1:18" x14ac:dyDescent="0.25">
      <c r="A424" s="753"/>
      <c r="C424" s="452" t="s">
        <v>172</v>
      </c>
      <c r="D424" s="449">
        <f t="shared" si="107"/>
        <v>46183</v>
      </c>
      <c r="E424" s="454" t="s">
        <v>163</v>
      </c>
      <c r="F424" s="460" t="s">
        <v>1804</v>
      </c>
      <c r="G424" s="460"/>
      <c r="H424" s="460"/>
      <c r="I424" s="725"/>
      <c r="J424" s="684">
        <v>600</v>
      </c>
      <c r="K424" s="540"/>
      <c r="L424" s="540"/>
      <c r="M424" s="540"/>
      <c r="N424" s="564">
        <f>J424*INDEX([2]Pedidos!$Q:$Q,MATCH(F424,[2]Pedidos!$E:$E,0))</f>
        <v>330</v>
      </c>
      <c r="O424" s="564" t="e">
        <f>K424*INDEX([2]Pedidos!$Q:$Q,MATCH(G423,[2]Pedidos!$E:$E,0))</f>
        <v>#N/A</v>
      </c>
      <c r="P424" s="564" t="e">
        <f>M424*INDEX([2]Pedidos!$Q:$Q,MATCH(H424,[2]Pedidos!$E:$E,0))</f>
        <v>#N/A</v>
      </c>
    </row>
    <row r="425" spans="1:18" x14ac:dyDescent="0.25">
      <c r="A425" s="753"/>
      <c r="C425" s="452" t="s">
        <v>172</v>
      </c>
      <c r="D425" s="449">
        <f t="shared" si="107"/>
        <v>46183</v>
      </c>
      <c r="E425" s="454" t="s">
        <v>164</v>
      </c>
      <c r="F425" s="460" t="s">
        <v>1804</v>
      </c>
      <c r="G425" s="460"/>
      <c r="H425" s="460"/>
      <c r="I425" s="725"/>
      <c r="J425" s="684">
        <v>600</v>
      </c>
      <c r="K425" s="540"/>
      <c r="L425" s="540"/>
      <c r="M425" s="540"/>
      <c r="N425" s="564">
        <f>J425*INDEX([2]Pedidos!$Q:$Q,MATCH(F425,[2]Pedidos!$E:$E,0))</f>
        <v>330</v>
      </c>
      <c r="O425" s="564" t="e">
        <f>K425*INDEX([2]Pedidos!$Q:$Q,MATCH(G425,[2]Pedidos!$E:$E,0))</f>
        <v>#N/A</v>
      </c>
      <c r="P425" s="564" t="e">
        <f>M425*INDEX([2]Pedidos!$Q:$Q,MATCH(H425,[2]Pedidos!$E:$E,0))</f>
        <v>#N/A</v>
      </c>
    </row>
    <row r="426" spans="1:18" x14ac:dyDescent="0.25">
      <c r="A426" s="753"/>
      <c r="C426" s="452" t="s">
        <v>172</v>
      </c>
      <c r="D426" s="449">
        <f t="shared" si="107"/>
        <v>46183</v>
      </c>
      <c r="E426" s="454" t="s">
        <v>165</v>
      </c>
      <c r="F426" s="460" t="s">
        <v>1804</v>
      </c>
      <c r="G426" s="460"/>
      <c r="H426" s="460"/>
      <c r="I426" s="725"/>
      <c r="J426" s="684">
        <v>600</v>
      </c>
      <c r="K426" s="540"/>
      <c r="L426" s="540"/>
      <c r="M426" s="540"/>
      <c r="N426" s="564">
        <f>J427*INDEX([2]Pedidos!$Q:$Q,MATCH(F426,[2]Pedidos!$E:$E,0))</f>
        <v>330</v>
      </c>
      <c r="O426" s="564" t="e">
        <f>K426*INDEX([2]Pedidos!$Q:$Q,MATCH(G426,[2]Pedidos!$E:$E,0))</f>
        <v>#N/A</v>
      </c>
      <c r="P426" s="564" t="e">
        <f>M426*INDEX([2]Pedidos!$Q:$Q,MATCH(H426,[2]Pedidos!$E:$E,0))</f>
        <v>#N/A</v>
      </c>
    </row>
    <row r="427" spans="1:18" x14ac:dyDescent="0.25">
      <c r="A427" s="753"/>
      <c r="C427" s="452" t="s">
        <v>172</v>
      </c>
      <c r="D427" s="449">
        <f t="shared" si="107"/>
        <v>46183</v>
      </c>
      <c r="E427" s="454" t="s">
        <v>166</v>
      </c>
      <c r="F427" s="460" t="s">
        <v>1804</v>
      </c>
      <c r="G427" s="460"/>
      <c r="H427" s="460"/>
      <c r="I427" s="725"/>
      <c r="J427" s="684">
        <v>600</v>
      </c>
      <c r="K427" s="540"/>
      <c r="L427" s="540"/>
      <c r="M427" s="540"/>
      <c r="N427" s="565">
        <f>J427*INDEX([2]Pedidos!$Q:$Q,MATCH(F427,[2]Pedidos!$E:$E,0))</f>
        <v>330</v>
      </c>
      <c r="O427" s="564" t="e">
        <f>K427*INDEX([2]Pedidos!$Q:$Q,MATCH(G427,[2]Pedidos!$E:$E,0))</f>
        <v>#N/A</v>
      </c>
      <c r="P427" s="564" t="e">
        <f>M427*INDEX([2]Pedidos!$Q:$Q,MATCH(H427,[2]Pedidos!$E:$E,0))</f>
        <v>#N/A</v>
      </c>
    </row>
    <row r="428" spans="1:18" x14ac:dyDescent="0.25">
      <c r="A428" s="753"/>
      <c r="C428" s="452" t="s">
        <v>172</v>
      </c>
      <c r="D428" s="449">
        <f t="shared" si="107"/>
        <v>46183</v>
      </c>
      <c r="E428" s="454" t="s">
        <v>576</v>
      </c>
      <c r="F428" s="512"/>
      <c r="G428" s="512"/>
      <c r="H428" s="512"/>
      <c r="I428" s="512"/>
      <c r="J428" s="541" cm="1">
        <f t="array" aca="1" ref="J428" ca="1">IFERROR(_xlfn.LET(_xlpm.produto,TRIM(F428)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28" s="541" cm="1">
        <f t="array" aca="1" ref="K428" ca="1">IFERROR(_xlfn.LET(_xlpm.produto,TRIM(G428)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28" s="541"/>
      <c r="M428" s="541" cm="1">
        <f t="array" aca="1" ref="M428" ca="1">IFERROR(_xlfn.LET(_xlpm.produto,TRIM(H428)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28" s="541"/>
      <c r="O428" s="541"/>
      <c r="P428" s="541"/>
    </row>
    <row r="429" spans="1:18" x14ac:dyDescent="0.25">
      <c r="A429" s="753"/>
      <c r="C429" s="452" t="s">
        <v>172</v>
      </c>
      <c r="D429" s="449">
        <f t="shared" si="107"/>
        <v>46183</v>
      </c>
      <c r="E429" s="454" t="s">
        <v>167</v>
      </c>
      <c r="F429" s="460" t="s">
        <v>1804</v>
      </c>
      <c r="G429" s="460" t="s">
        <v>1803</v>
      </c>
      <c r="H429" s="460"/>
      <c r="I429" s="725"/>
      <c r="J429" s="684">
        <v>600</v>
      </c>
      <c r="K429" s="684">
        <v>600</v>
      </c>
      <c r="L429" s="683"/>
      <c r="M429" s="540"/>
      <c r="N429" s="565">
        <f>J429*INDEX([2]Pedidos!$Q:$Q,MATCH(F429,[2]Pedidos!$E:$E,0))</f>
        <v>330</v>
      </c>
      <c r="O429" s="565">
        <f>K429*INDEX([2]Pedidos!$Q:$Q,MATCH(G429,[2]Pedidos!$E:$E,0))</f>
        <v>330</v>
      </c>
      <c r="P429" s="565" t="e">
        <f>M429*INDEX([2]Pedidos!$Q:$Q,MATCH(H429,[2]Pedidos!$E:$E,0))</f>
        <v>#N/A</v>
      </c>
    </row>
    <row r="430" spans="1:18" x14ac:dyDescent="0.25">
      <c r="A430" s="753"/>
      <c r="C430" s="452" t="s">
        <v>172</v>
      </c>
      <c r="D430" s="449">
        <f t="shared" si="107"/>
        <v>46183</v>
      </c>
      <c r="E430" s="454" t="s">
        <v>168</v>
      </c>
      <c r="F430" s="460" t="s">
        <v>1804</v>
      </c>
      <c r="G430" s="460" t="s">
        <v>1803</v>
      </c>
      <c r="H430" s="460"/>
      <c r="I430" s="725"/>
      <c r="J430" s="684">
        <v>600</v>
      </c>
      <c r="K430" s="684">
        <v>600</v>
      </c>
      <c r="L430" s="683"/>
      <c r="M430" s="540"/>
      <c r="N430" s="565">
        <f>J430*INDEX([2]Pedidos!$Q:$Q,MATCH(F430,[2]Pedidos!$E:$E,0))</f>
        <v>330</v>
      </c>
      <c r="O430" s="565">
        <f>K430*INDEX([2]Pedidos!$Q:$Q,MATCH(G430,[2]Pedidos!$E:$E,0))</f>
        <v>330</v>
      </c>
      <c r="P430" s="565" t="e">
        <f>M430*INDEX([2]Pedidos!$Q:$Q,MATCH(H430,[2]Pedidos!$E:$E,0))</f>
        <v>#N/A</v>
      </c>
    </row>
    <row r="431" spans="1:18" x14ac:dyDescent="0.25">
      <c r="A431" s="753"/>
      <c r="C431" s="452" t="s">
        <v>172</v>
      </c>
      <c r="D431" s="449">
        <f t="shared" si="107"/>
        <v>46183</v>
      </c>
      <c r="E431" s="454" t="s">
        <v>169</v>
      </c>
      <c r="F431" s="460" t="s">
        <v>1806</v>
      </c>
      <c r="G431" s="460" t="s">
        <v>1806</v>
      </c>
      <c r="H431" s="460"/>
      <c r="I431" s="725"/>
      <c r="J431" s="684">
        <v>600</v>
      </c>
      <c r="K431" s="684">
        <v>600</v>
      </c>
      <c r="L431" s="683"/>
      <c r="M431" s="540"/>
      <c r="N431" s="565">
        <f>J431*INDEX([2]Pedidos!$Q:$Q,MATCH(F431,[2]Pedidos!$E:$E,0))</f>
        <v>330</v>
      </c>
      <c r="O431" s="565">
        <f>K431*INDEX([2]Pedidos!$Q:$Q,MATCH(G431,[2]Pedidos!$E:$E,0))</f>
        <v>330</v>
      </c>
      <c r="P431" s="565" t="e">
        <f>M431*INDEX([2]Pedidos!$Q:$Q,MATCH(H431,[2]Pedidos!$E:$E,0))</f>
        <v>#N/A</v>
      </c>
    </row>
    <row r="432" spans="1:18" x14ac:dyDescent="0.25">
      <c r="A432" s="753"/>
      <c r="C432" s="452" t="s">
        <v>172</v>
      </c>
      <c r="D432" s="449">
        <f t="shared" si="107"/>
        <v>46183</v>
      </c>
      <c r="E432" s="454" t="s">
        <v>170</v>
      </c>
      <c r="F432" s="460" t="s">
        <v>1806</v>
      </c>
      <c r="G432" s="460" t="s">
        <v>1806</v>
      </c>
      <c r="H432" s="460"/>
      <c r="I432" s="725"/>
      <c r="J432" s="684">
        <v>600</v>
      </c>
      <c r="K432" s="684">
        <v>600</v>
      </c>
      <c r="L432" s="683"/>
      <c r="M432" s="540"/>
      <c r="N432" s="566">
        <f>J432*INDEX([2]Pedidos!$Q:$Q,MATCH(F432,[2]Pedidos!$E:$E,0))</f>
        <v>330</v>
      </c>
      <c r="O432" s="566">
        <f>K432*INDEX([2]Pedidos!$Q:$Q,MATCH(G432,[2]Pedidos!$E:$E,0))</f>
        <v>330</v>
      </c>
      <c r="P432" s="566" t="e">
        <f>M432*INDEX([2]Pedidos!$Q:$Q,MATCH(H432,[2]Pedidos!$E:$E,0))</f>
        <v>#N/A</v>
      </c>
    </row>
    <row r="433" spans="1:18" x14ac:dyDescent="0.25">
      <c r="A433" s="753"/>
      <c r="C433" s="452" t="s">
        <v>172</v>
      </c>
      <c r="D433" s="449">
        <f t="shared" si="107"/>
        <v>46183</v>
      </c>
      <c r="E433" s="454" t="s">
        <v>585</v>
      </c>
      <c r="F433" s="512"/>
      <c r="G433" s="512"/>
      <c r="H433" s="512"/>
      <c r="I433" s="537"/>
      <c r="J433" s="516" cm="1">
        <f t="array" aca="1" ref="J433" ca="1">IFERROR(_xlfn.LET(_xlpm.produto,TRIM(F433)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33" s="516" cm="1">
        <f t="array" aca="1" ref="K433" ca="1">IFERROR(_xlfn.LET(_xlpm.produto,TRIM(G433)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33" s="516"/>
      <c r="M433" s="516" cm="1">
        <f t="array" aca="1" ref="M433" ca="1">IFERROR(_xlfn.LET(_xlpm.produto,TRIM(H433)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33" s="557"/>
      <c r="O433" s="557"/>
      <c r="P433" s="557"/>
    </row>
    <row r="434" spans="1:18" x14ac:dyDescent="0.25">
      <c r="A434" s="753"/>
      <c r="C434" s="448" t="s">
        <v>172</v>
      </c>
      <c r="D434" s="449">
        <f t="shared" si="107"/>
        <v>46183</v>
      </c>
      <c r="E434" s="455" t="s">
        <v>574</v>
      </c>
      <c r="F434" s="512"/>
      <c r="G434" s="512"/>
      <c r="H434" s="512"/>
      <c r="I434" s="537"/>
      <c r="J434" s="516" cm="1">
        <f t="array" aca="1" ref="J434" ca="1">IFERROR(_xlfn.LET(_xlpm.produto,TRIM(F434)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34" s="516" cm="1">
        <f t="array" aca="1" ref="K434" ca="1">IFERROR(_xlfn.LET(_xlpm.produto,TRIM(G434)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34" s="516"/>
      <c r="M434" s="516" cm="1">
        <f t="array" aca="1" ref="M434" ca="1">IFERROR(_xlfn.LET(_xlpm.produto,TRIM(H434)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34" s="557"/>
      <c r="O434" s="557"/>
      <c r="P434" s="557"/>
    </row>
    <row r="435" spans="1:18" x14ac:dyDescent="0.25">
      <c r="A435" s="753"/>
      <c r="C435" s="448" t="s">
        <v>172</v>
      </c>
      <c r="D435" s="449">
        <f t="shared" si="107"/>
        <v>46183</v>
      </c>
      <c r="E435" s="455" t="s">
        <v>575</v>
      </c>
      <c r="F435" s="512"/>
      <c r="G435" s="512"/>
      <c r="H435" s="512"/>
      <c r="I435" s="537"/>
      <c r="J435" s="516" cm="1">
        <f t="array" aca="1" ref="J435" ca="1">IFERROR(_xlfn.LET(_xlpm.produto,TRIM(F435)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35" s="516" cm="1">
        <f t="array" aca="1" ref="K435" ca="1">IFERROR(_xlfn.LET(_xlpm.produto,TRIM(G435)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35" s="516"/>
      <c r="M435" s="516" cm="1">
        <f t="array" aca="1" ref="M435" ca="1">IFERROR(_xlfn.LET(_xlpm.produto,TRIM(H435)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35" s="557"/>
      <c r="O435" s="557"/>
      <c r="P435" s="557"/>
    </row>
    <row r="436" spans="1:18" x14ac:dyDescent="0.25">
      <c r="A436" s="753"/>
      <c r="C436" s="448" t="s">
        <v>172</v>
      </c>
      <c r="D436" s="449">
        <f t="shared" si="107"/>
        <v>46183</v>
      </c>
      <c r="E436" s="503" t="s">
        <v>583</v>
      </c>
      <c r="F436" s="512"/>
      <c r="G436" s="512"/>
      <c r="H436" s="512"/>
      <c r="I436" s="537"/>
      <c r="J436" s="516" cm="1">
        <f t="array" aca="1" ref="J436" ca="1">IFERROR(_xlfn.LET(_xlpm.produto,TRIM(F436)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36" s="516" cm="1">
        <f t="array" aca="1" ref="K436" ca="1">IFERROR(_xlfn.LET(_xlpm.produto,TRIM(G436)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36" s="516"/>
      <c r="M436" s="516" cm="1">
        <f t="array" aca="1" ref="M436" ca="1">IFERROR(_xlfn.LET(_xlpm.produto,TRIM(H436)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36" s="557"/>
      <c r="O436" s="557"/>
      <c r="P436" s="557"/>
    </row>
    <row r="437" spans="1:18" ht="15.75" thickBot="1" x14ac:dyDescent="0.3">
      <c r="A437" s="753"/>
      <c r="C437" s="450" t="s">
        <v>172</v>
      </c>
      <c r="D437" s="451">
        <f t="shared" si="107"/>
        <v>46183</v>
      </c>
      <c r="E437" s="459" t="s">
        <v>584</v>
      </c>
      <c r="F437" s="513"/>
      <c r="G437" s="513"/>
      <c r="H437" s="513"/>
      <c r="I437" s="513"/>
      <c r="J437" s="513" cm="1">
        <f t="array" aca="1" ref="J437" ca="1">IFERROR(_xlfn.LET(_xlpm.produto,TRIM(F437)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37" s="513" cm="1">
        <f t="array" aca="1" ref="K437" ca="1">IFERROR(_xlfn.LET(_xlpm.produto,TRIM(G437)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37" s="513"/>
      <c r="M437" s="513" cm="1">
        <f t="array" aca="1" ref="M437" ca="1">IFERROR(_xlfn.LET(_xlpm.produto,TRIM(H437)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37" s="558"/>
      <c r="O437" s="557"/>
      <c r="P437" s="558"/>
    </row>
    <row r="438" spans="1:18" ht="8.25" customHeight="1" thickBot="1" x14ac:dyDescent="0.3">
      <c r="A438" s="753"/>
      <c r="J438" s="445"/>
      <c r="K438" s="445"/>
      <c r="L438" s="445"/>
      <c r="N438" s="559"/>
      <c r="O438" s="715"/>
      <c r="P438" s="559"/>
    </row>
    <row r="439" spans="1:18" ht="15.75" thickBot="1" x14ac:dyDescent="0.3">
      <c r="A439" s="753"/>
      <c r="C439" s="538"/>
      <c r="D439" s="539"/>
      <c r="E439" s="539"/>
      <c r="F439" s="539"/>
      <c r="G439" s="539"/>
      <c r="H439" s="539"/>
      <c r="I439" s="539"/>
      <c r="J439" s="606">
        <f t="shared" ref="J439:M439" ca="1" si="108">_xlfn.AGGREGATE(9,6,J440:J455)</f>
        <v>5400</v>
      </c>
      <c r="K439" s="607">
        <f t="shared" ca="1" si="108"/>
        <v>5400</v>
      </c>
      <c r="L439" s="607"/>
      <c r="M439" s="544">
        <f t="shared" ca="1" si="108"/>
        <v>0</v>
      </c>
      <c r="N439" s="560">
        <f t="shared" ref="N439:P439" ca="1" si="109">_xlfn.AGGREGATE(9,6,N440:N455)</f>
        <v>3180</v>
      </c>
      <c r="O439" s="561">
        <f t="shared" ca="1" si="109"/>
        <v>2640</v>
      </c>
      <c r="P439" s="562">
        <f t="shared" ca="1" si="109"/>
        <v>0</v>
      </c>
      <c r="Q439" s="548">
        <f ca="1">SUM(J439:M439)</f>
        <v>10800</v>
      </c>
      <c r="R439" s="549">
        <f ca="1">SUM(N439:P439)</f>
        <v>5820</v>
      </c>
    </row>
    <row r="440" spans="1:18" x14ac:dyDescent="0.25">
      <c r="A440" s="753"/>
      <c r="C440" s="446" t="s">
        <v>173</v>
      </c>
      <c r="D440" s="497">
        <f>D437+1</f>
        <v>46184</v>
      </c>
      <c r="E440" s="498" t="s">
        <v>573</v>
      </c>
      <c r="F440" s="512"/>
      <c r="G440" s="512"/>
      <c r="H440" s="512"/>
      <c r="I440" s="512"/>
      <c r="J440" s="512"/>
      <c r="K440" s="512"/>
      <c r="L440" s="512"/>
      <c r="M440" s="512"/>
      <c r="N440" s="512"/>
      <c r="O440" s="512"/>
      <c r="P440" s="512"/>
    </row>
    <row r="441" spans="1:18" x14ac:dyDescent="0.25">
      <c r="A441" s="753"/>
      <c r="C441" s="452" t="s">
        <v>173</v>
      </c>
      <c r="D441" s="499">
        <f t="shared" ref="D441:D455" si="110">D440</f>
        <v>46184</v>
      </c>
      <c r="E441" s="500" t="s">
        <v>162</v>
      </c>
      <c r="F441" s="460" t="s">
        <v>1806</v>
      </c>
      <c r="G441" s="460" t="s">
        <v>1806</v>
      </c>
      <c r="H441" s="460"/>
      <c r="I441" s="725"/>
      <c r="J441" s="684">
        <v>600</v>
      </c>
      <c r="K441" s="684">
        <v>600</v>
      </c>
      <c r="L441" s="683"/>
      <c r="M441" s="540"/>
      <c r="N441" s="555">
        <f>J441*INDEX([2]Pedidos!$Q:$Q,MATCH(F441,[2]Pedidos!$E:$E,0))</f>
        <v>330</v>
      </c>
      <c r="O441" s="555" t="e">
        <f>K441*INDEX([2]Pedidos!$Q:$Q,MATCH(#REF!,[2]Pedidos!$E:$E,0))</f>
        <v>#REF!</v>
      </c>
      <c r="P441" s="555" t="e">
        <f>M441*INDEX([2]Pedidos!$Q:$Q,MATCH(H441,[2]Pedidos!$E:$E,0))</f>
        <v>#N/A</v>
      </c>
    </row>
    <row r="442" spans="1:18" x14ac:dyDescent="0.25">
      <c r="A442" s="753"/>
      <c r="C442" s="452" t="s">
        <v>173</v>
      </c>
      <c r="D442" s="449">
        <f t="shared" si="110"/>
        <v>46184</v>
      </c>
      <c r="E442" s="454" t="s">
        <v>163</v>
      </c>
      <c r="F442" s="460" t="s">
        <v>1806</v>
      </c>
      <c r="G442" s="460" t="s">
        <v>1806</v>
      </c>
      <c r="H442" s="460"/>
      <c r="I442" s="725"/>
      <c r="J442" s="684">
        <v>600</v>
      </c>
      <c r="K442" s="684">
        <v>600</v>
      </c>
      <c r="L442" s="683"/>
      <c r="M442" s="540"/>
      <c r="N442" s="564">
        <f>J442*INDEX([2]Pedidos!$Q:$Q,MATCH(F442,[2]Pedidos!$E:$E,0))</f>
        <v>330</v>
      </c>
      <c r="O442" s="564">
        <f>K442*INDEX([2]Pedidos!$Q:$Q,MATCH(G441,[2]Pedidos!$E:$E,0))</f>
        <v>330</v>
      </c>
      <c r="P442" s="564" t="e">
        <f>M442*INDEX([2]Pedidos!$Q:$Q,MATCH(H442,[2]Pedidos!$E:$E,0))</f>
        <v>#N/A</v>
      </c>
    </row>
    <row r="443" spans="1:18" x14ac:dyDescent="0.25">
      <c r="A443" s="753"/>
      <c r="C443" s="452" t="s">
        <v>173</v>
      </c>
      <c r="D443" s="449">
        <f t="shared" si="110"/>
        <v>46184</v>
      </c>
      <c r="E443" s="454" t="s">
        <v>164</v>
      </c>
      <c r="F443" s="460" t="s">
        <v>1806</v>
      </c>
      <c r="G443" s="460" t="s">
        <v>1806</v>
      </c>
      <c r="H443" s="460"/>
      <c r="I443" s="725"/>
      <c r="J443" s="684">
        <v>600</v>
      </c>
      <c r="K443" s="684">
        <v>600</v>
      </c>
      <c r="L443" s="683"/>
      <c r="M443" s="540"/>
      <c r="N443" s="564">
        <f>J443*INDEX([2]Pedidos!$Q:$Q,MATCH(F443,[2]Pedidos!$E:$E,0))</f>
        <v>330</v>
      </c>
      <c r="O443" s="564">
        <f>K443*INDEX([2]Pedidos!$Q:$Q,MATCH(G443,[2]Pedidos!$E:$E,0))</f>
        <v>330</v>
      </c>
      <c r="P443" s="564" t="e">
        <f>M443*INDEX([2]Pedidos!$Q:$Q,MATCH(H443,[2]Pedidos!$E:$E,0))</f>
        <v>#N/A</v>
      </c>
    </row>
    <row r="444" spans="1:18" x14ac:dyDescent="0.25">
      <c r="A444" s="753"/>
      <c r="C444" s="452" t="s">
        <v>173</v>
      </c>
      <c r="D444" s="449">
        <f t="shared" si="110"/>
        <v>46184</v>
      </c>
      <c r="E444" s="454" t="s">
        <v>165</v>
      </c>
      <c r="F444" s="460" t="s">
        <v>1806</v>
      </c>
      <c r="G444" s="460" t="s">
        <v>1806</v>
      </c>
      <c r="H444" s="460"/>
      <c r="I444" s="725"/>
      <c r="J444" s="684">
        <v>600</v>
      </c>
      <c r="K444" s="684">
        <v>600</v>
      </c>
      <c r="L444" s="683"/>
      <c r="M444" s="540"/>
      <c r="N444" s="564">
        <f ca="1">J446*INDEX([2]Pedidos!$Q:$Q,MATCH(F444,[2]Pedidos!$E:$E,0))</f>
        <v>0</v>
      </c>
      <c r="O444" s="564">
        <f>K444*INDEX([2]Pedidos!$Q:$Q,MATCH(G444,[2]Pedidos!$E:$E,0))</f>
        <v>330</v>
      </c>
      <c r="P444" s="564" t="e">
        <f>M444*INDEX([2]Pedidos!$Q:$Q,MATCH(H444,[2]Pedidos!$E:$E,0))</f>
        <v>#N/A</v>
      </c>
    </row>
    <row r="445" spans="1:18" x14ac:dyDescent="0.25">
      <c r="A445" s="753"/>
      <c r="C445" s="452" t="s">
        <v>173</v>
      </c>
      <c r="D445" s="449">
        <f t="shared" si="110"/>
        <v>46184</v>
      </c>
      <c r="E445" s="454" t="s">
        <v>166</v>
      </c>
      <c r="F445" s="460" t="s">
        <v>1806</v>
      </c>
      <c r="G445" s="460" t="s">
        <v>1806</v>
      </c>
      <c r="H445" s="460"/>
      <c r="I445" s="725"/>
      <c r="J445" s="684">
        <v>600</v>
      </c>
      <c r="K445" s="684">
        <v>600</v>
      </c>
      <c r="L445" s="683"/>
      <c r="M445" s="540"/>
      <c r="N445" s="564">
        <f>J447*INDEX([2]Pedidos!$Q:$Q,MATCH(F445,[2]Pedidos!$E:$E,0))</f>
        <v>330</v>
      </c>
      <c r="O445" s="564">
        <f>K445*INDEX([2]Pedidos!$Q:$Q,MATCH(G445,[2]Pedidos!$E:$E,0))</f>
        <v>330</v>
      </c>
      <c r="P445" s="564" t="e">
        <f>M445*INDEX([2]Pedidos!$Q:$Q,MATCH(H445,[2]Pedidos!$E:$E,0))</f>
        <v>#N/A</v>
      </c>
    </row>
    <row r="446" spans="1:18" x14ac:dyDescent="0.25">
      <c r="A446" s="753"/>
      <c r="C446" s="452" t="s">
        <v>173</v>
      </c>
      <c r="D446" s="449">
        <f t="shared" si="110"/>
        <v>46184</v>
      </c>
      <c r="E446" s="454" t="s">
        <v>576</v>
      </c>
      <c r="F446" s="512"/>
      <c r="G446" s="512"/>
      <c r="H446" s="512"/>
      <c r="I446" s="512"/>
      <c r="J446" s="541" cm="1">
        <f t="array" aca="1" ref="J446" ca="1">IFERROR(_xlfn.LET(_xlpm.produto,TRIM(F445)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46" s="541" cm="1">
        <f t="array" aca="1" ref="K446" ca="1">IFERROR(_xlfn.LET(_xlpm.produto,TRIM(G445)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46" s="541"/>
      <c r="M446" s="541" cm="1">
        <f t="array" aca="1" ref="M446" ca="1">IFERROR(_xlfn.LET(_xlpm.produto,TRIM(H445)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46" s="541" cm="1">
        <f t="array" aca="1" ref="N446" ca="1">IFERROR(_xlfn.LET(_xlpm.produto,TRIM(J446)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46" s="541" cm="1">
        <f t="array" aca="1" ref="O446" ca="1">IFERROR(_xlfn.LET(_xlpm.produto,TRIM(K446)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46" s="541" cm="1">
        <f t="array" aca="1" ref="P446" ca="1">IFERROR(_xlfn.LET(_xlpm.produto,TRIM(M446)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47" spans="1:18" x14ac:dyDescent="0.25">
      <c r="A447" s="753"/>
      <c r="C447" s="452" t="s">
        <v>173</v>
      </c>
      <c r="D447" s="449">
        <f t="shared" si="110"/>
        <v>46184</v>
      </c>
      <c r="E447" s="454" t="s">
        <v>167</v>
      </c>
      <c r="F447" s="460" t="s">
        <v>1806</v>
      </c>
      <c r="G447" s="460" t="s">
        <v>1806</v>
      </c>
      <c r="H447" s="460"/>
      <c r="I447" s="725"/>
      <c r="J447" s="684">
        <v>600</v>
      </c>
      <c r="K447" s="684">
        <v>600</v>
      </c>
      <c r="L447" s="683"/>
      <c r="M447" s="540"/>
      <c r="N447" s="565">
        <f>J447*INDEX([2]Pedidos!$Q:$Q,MATCH(F447,[2]Pedidos!$E:$E,0))</f>
        <v>330</v>
      </c>
      <c r="O447" s="565">
        <f>K447*INDEX([2]Pedidos!$Q:$Q,MATCH(G447,[2]Pedidos!$E:$E,0))</f>
        <v>330</v>
      </c>
      <c r="P447" s="565" t="e">
        <f>M447*INDEX([2]Pedidos!$Q:$Q,MATCH(H447,[2]Pedidos!$E:$E,0))</f>
        <v>#N/A</v>
      </c>
    </row>
    <row r="448" spans="1:18" x14ac:dyDescent="0.25">
      <c r="A448" s="753"/>
      <c r="C448" s="452" t="s">
        <v>173</v>
      </c>
      <c r="D448" s="449">
        <f t="shared" si="110"/>
        <v>46184</v>
      </c>
      <c r="E448" s="454" t="s">
        <v>168</v>
      </c>
      <c r="F448" s="460" t="s">
        <v>1902</v>
      </c>
      <c r="G448" s="460" t="s">
        <v>1806</v>
      </c>
      <c r="H448" s="460"/>
      <c r="I448" s="725"/>
      <c r="J448" s="684">
        <v>600</v>
      </c>
      <c r="K448" s="684">
        <v>600</v>
      </c>
      <c r="L448" s="683"/>
      <c r="M448" s="540"/>
      <c r="N448" s="565">
        <f>J448*INDEX([2]Pedidos!$Q:$Q,MATCH(F448,[2]Pedidos!$E:$E,0))</f>
        <v>510</v>
      </c>
      <c r="O448" s="565">
        <f>K448*INDEX([2]Pedidos!$Q:$Q,MATCH(G448,[2]Pedidos!$E:$E,0))</f>
        <v>330</v>
      </c>
      <c r="P448" s="565" t="e">
        <f>M448*INDEX([2]Pedidos!$Q:$Q,MATCH(H448,[2]Pedidos!$E:$E,0))</f>
        <v>#N/A</v>
      </c>
    </row>
    <row r="449" spans="1:18" x14ac:dyDescent="0.25">
      <c r="A449" s="753"/>
      <c r="C449" s="452" t="s">
        <v>173</v>
      </c>
      <c r="D449" s="449">
        <f t="shared" si="110"/>
        <v>46184</v>
      </c>
      <c r="E449" s="454" t="s">
        <v>169</v>
      </c>
      <c r="F449" s="460" t="s">
        <v>1902</v>
      </c>
      <c r="G449" s="460" t="s">
        <v>1806</v>
      </c>
      <c r="H449" s="460"/>
      <c r="I449" s="725"/>
      <c r="J449" s="684">
        <v>600</v>
      </c>
      <c r="K449" s="684">
        <v>600</v>
      </c>
      <c r="L449" s="683"/>
      <c r="M449" s="540"/>
      <c r="N449" s="565">
        <f>J449*INDEX([2]Pedidos!$Q:$Q,MATCH(F449,[2]Pedidos!$E:$E,0))</f>
        <v>510</v>
      </c>
      <c r="O449" s="565">
        <f>K449*INDEX([2]Pedidos!$Q:$Q,MATCH(G449,[2]Pedidos!$E:$E,0))</f>
        <v>330</v>
      </c>
      <c r="P449" s="565" t="e">
        <f>M449*INDEX([2]Pedidos!$Q:$Q,MATCH(H449,[2]Pedidos!$E:$E,0))</f>
        <v>#N/A</v>
      </c>
    </row>
    <row r="450" spans="1:18" x14ac:dyDescent="0.25">
      <c r="A450" s="753"/>
      <c r="C450" s="452" t="s">
        <v>173</v>
      </c>
      <c r="D450" s="449">
        <f t="shared" si="110"/>
        <v>46184</v>
      </c>
      <c r="E450" s="454" t="s">
        <v>170</v>
      </c>
      <c r="F450" s="460" t="s">
        <v>1902</v>
      </c>
      <c r="G450" s="460" t="s">
        <v>1806</v>
      </c>
      <c r="H450" s="460"/>
      <c r="I450" s="725"/>
      <c r="J450" s="684">
        <v>600</v>
      </c>
      <c r="K450" s="684">
        <v>600</v>
      </c>
      <c r="L450" s="683"/>
      <c r="M450" s="540"/>
      <c r="N450" s="566">
        <f>J450*INDEX([2]Pedidos!$Q:$Q,MATCH(F450,[2]Pedidos!$E:$E,0))</f>
        <v>510</v>
      </c>
      <c r="O450" s="566">
        <f>K450*INDEX([2]Pedidos!$Q:$Q,MATCH(G450,[2]Pedidos!$E:$E,0))</f>
        <v>330</v>
      </c>
      <c r="P450" s="566" t="e">
        <f>M450*INDEX([2]Pedidos!$Q:$Q,MATCH(H450,[2]Pedidos!$E:$E,0))</f>
        <v>#N/A</v>
      </c>
    </row>
    <row r="451" spans="1:18" x14ac:dyDescent="0.25">
      <c r="A451" s="753"/>
      <c r="C451" s="452" t="s">
        <v>173</v>
      </c>
      <c r="D451" s="449">
        <f t="shared" si="110"/>
        <v>46184</v>
      </c>
      <c r="E451" s="454" t="s">
        <v>585</v>
      </c>
      <c r="F451" s="512"/>
      <c r="G451" s="512"/>
      <c r="H451" s="512"/>
      <c r="I451" s="537"/>
      <c r="J451" s="516" cm="1">
        <f t="array" aca="1" ref="J451" ca="1">IFERROR(_xlfn.LET(_xlpm.produto,TRIM(F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51" s="516" cm="1">
        <f t="array" aca="1" ref="K451" ca="1">IFERROR(_xlfn.LET(_xlpm.produto,TRIM(G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51" s="516"/>
      <c r="M451" s="516" cm="1">
        <f t="array" aca="1" ref="M451" ca="1">IFERROR(_xlfn.LET(_xlpm.produto,TRIM(H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51" s="541" cm="1">
        <f t="array" aca="1" ref="N451" ca="1">IFERROR(_xlfn.LET(_xlpm.produto,TRIM(J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51" s="541" cm="1">
        <f t="array" aca="1" ref="O451" ca="1">IFERROR(_xlfn.LET(_xlpm.produto,TRIM(K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51" s="541" cm="1">
        <f t="array" aca="1" ref="P451" ca="1">IFERROR(_xlfn.LET(_xlpm.produto,TRIM(M451)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52" spans="1:18" x14ac:dyDescent="0.25">
      <c r="A452" s="753"/>
      <c r="C452" s="448" t="s">
        <v>173</v>
      </c>
      <c r="D452" s="449">
        <f t="shared" si="110"/>
        <v>46184</v>
      </c>
      <c r="E452" s="455" t="s">
        <v>574</v>
      </c>
      <c r="F452" s="512"/>
      <c r="G452" s="512"/>
      <c r="H452" s="512"/>
      <c r="I452" s="537"/>
      <c r="J452" s="516" cm="1">
        <f t="array" aca="1" ref="J452" ca="1">IFERROR(_xlfn.LET(_xlpm.produto,TRIM(F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52" s="516" cm="1">
        <f t="array" aca="1" ref="K452" ca="1">IFERROR(_xlfn.LET(_xlpm.produto,TRIM(G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52" s="516"/>
      <c r="M452" s="516" cm="1">
        <f t="array" aca="1" ref="M452" ca="1">IFERROR(_xlfn.LET(_xlpm.produto,TRIM(H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52" s="541" cm="1">
        <f t="array" aca="1" ref="N452" ca="1">IFERROR(_xlfn.LET(_xlpm.produto,TRIM(J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52" s="541" cm="1">
        <f t="array" aca="1" ref="O452" ca="1">IFERROR(_xlfn.LET(_xlpm.produto,TRIM(K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52" s="541" cm="1">
        <f t="array" aca="1" ref="P452" ca="1">IFERROR(_xlfn.LET(_xlpm.produto,TRIM(M452)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53" spans="1:18" x14ac:dyDescent="0.25">
      <c r="A453" s="753"/>
      <c r="C453" s="448" t="s">
        <v>173</v>
      </c>
      <c r="D453" s="449">
        <f t="shared" si="110"/>
        <v>46184</v>
      </c>
      <c r="E453" s="455" t="s">
        <v>575</v>
      </c>
      <c r="F453" s="512"/>
      <c r="G453" s="512"/>
      <c r="H453" s="512"/>
      <c r="I453" s="537"/>
      <c r="J453" s="516" cm="1">
        <f t="array" aca="1" ref="J453" ca="1">IFERROR(_xlfn.LET(_xlpm.produto,TRIM(F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53" s="516" cm="1">
        <f t="array" aca="1" ref="K453" ca="1">IFERROR(_xlfn.LET(_xlpm.produto,TRIM(G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53" s="516"/>
      <c r="M453" s="516" cm="1">
        <f t="array" aca="1" ref="M453" ca="1">IFERROR(_xlfn.LET(_xlpm.produto,TRIM(H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53" s="541" cm="1">
        <f t="array" aca="1" ref="N453" ca="1">IFERROR(_xlfn.LET(_xlpm.produto,TRIM(J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53" s="541" cm="1">
        <f t="array" aca="1" ref="O453" ca="1">IFERROR(_xlfn.LET(_xlpm.produto,TRIM(K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53" s="541" cm="1">
        <f t="array" aca="1" ref="P453" ca="1">IFERROR(_xlfn.LET(_xlpm.produto,TRIM(M453)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54" spans="1:18" x14ac:dyDescent="0.25">
      <c r="A454" s="753"/>
      <c r="C454" s="448" t="s">
        <v>173</v>
      </c>
      <c r="D454" s="449">
        <f t="shared" si="110"/>
        <v>46184</v>
      </c>
      <c r="E454" s="503" t="s">
        <v>583</v>
      </c>
      <c r="F454" s="512"/>
      <c r="G454" s="512"/>
      <c r="H454" s="512"/>
      <c r="I454" s="537"/>
      <c r="J454" s="516" cm="1">
        <f t="array" aca="1" ref="J454" ca="1">IFERROR(_xlfn.LET(_xlpm.produto,TRIM(F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54" s="516" cm="1">
        <f t="array" aca="1" ref="K454" ca="1">IFERROR(_xlfn.LET(_xlpm.produto,TRIM(G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54" s="516"/>
      <c r="M454" s="516" cm="1">
        <f t="array" aca="1" ref="M454" ca="1">IFERROR(_xlfn.LET(_xlpm.produto,TRIM(H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54" s="541" cm="1">
        <f t="array" aca="1" ref="N454" ca="1">IFERROR(_xlfn.LET(_xlpm.produto,TRIM(J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54" s="541" cm="1">
        <f t="array" aca="1" ref="O454" ca="1">IFERROR(_xlfn.LET(_xlpm.produto,TRIM(K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54" s="541" cm="1">
        <f t="array" aca="1" ref="P454" ca="1">IFERROR(_xlfn.LET(_xlpm.produto,TRIM(M454)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55" spans="1:18" ht="15.75" thickBot="1" x14ac:dyDescent="0.3">
      <c r="A455" s="753"/>
      <c r="C455" s="450" t="s">
        <v>173</v>
      </c>
      <c r="D455" s="451">
        <f t="shared" si="110"/>
        <v>46184</v>
      </c>
      <c r="E455" s="459" t="s">
        <v>584</v>
      </c>
      <c r="F455" s="512"/>
      <c r="G455" s="512"/>
      <c r="H455" s="512"/>
      <c r="I455" s="537"/>
      <c r="J455" s="516" cm="1">
        <f t="array" aca="1" ref="J455" ca="1">IFERROR(_xlfn.LET(_xlpm.produto,TRIM(F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55" s="516" cm="1">
        <f t="array" aca="1" ref="K455" ca="1">IFERROR(_xlfn.LET(_xlpm.produto,TRIM(G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55" s="516"/>
      <c r="M455" s="516" cm="1">
        <f t="array" aca="1" ref="M455" ca="1">IFERROR(_xlfn.LET(_xlpm.produto,TRIM(H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55" s="541" cm="1">
        <f t="array" aca="1" ref="N455" ca="1">IFERROR(_xlfn.LET(_xlpm.produto,TRIM(J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455" s="541" cm="1">
        <f t="array" aca="1" ref="O455" ca="1">IFERROR(_xlfn.LET(_xlpm.produto,TRIM(K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455" s="541" cm="1">
        <f t="array" aca="1" ref="P455" ca="1">IFERROR(_xlfn.LET(_xlpm.produto,TRIM(M455)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456" spans="1:18" ht="8.25" customHeight="1" thickBot="1" x14ac:dyDescent="0.3">
      <c r="A456" s="753"/>
      <c r="J456" s="716"/>
      <c r="K456" s="716"/>
      <c r="L456" s="445"/>
      <c r="N456" s="559"/>
      <c r="O456" s="559"/>
      <c r="P456" s="559"/>
    </row>
    <row r="457" spans="1:18" ht="15.75" thickBot="1" x14ac:dyDescent="0.3">
      <c r="A457" s="753"/>
      <c r="C457" s="546">
        <f ca="1">SUM(J385:M385,J403:M403,J421:M421,J439:M439,J457:M457)</f>
        <v>92640</v>
      </c>
      <c r="D457" s="547">
        <f ca="1">SUM(R457,R439,R421,R403,R385)</f>
        <v>32308.5</v>
      </c>
      <c r="E457" s="539"/>
      <c r="F457" s="539"/>
      <c r="G457" s="539"/>
      <c r="H457" s="539"/>
      <c r="I457" s="539"/>
      <c r="J457" s="606">
        <f ca="1">_xlfn.AGGREGATE(9,6,J458:J473)</f>
        <v>6650</v>
      </c>
      <c r="K457" s="607">
        <f ca="1">_xlfn.AGGREGATE(9,6,K458:K473)</f>
        <v>7010</v>
      </c>
      <c r="L457" s="607"/>
      <c r="M457" s="544">
        <f ca="1">_xlfn.AGGREGATE(9,6,M458:M473)</f>
        <v>0</v>
      </c>
      <c r="N457" s="560">
        <f t="shared" ref="N457:P457" si="111">_xlfn.AGGREGATE(9,6,N458:N473)</f>
        <v>6205</v>
      </c>
      <c r="O457" s="561">
        <f t="shared" si="111"/>
        <v>5268.5</v>
      </c>
      <c r="P457" s="562">
        <f t="shared" si="111"/>
        <v>0</v>
      </c>
      <c r="Q457" s="548">
        <f ca="1">SUM(J457:M457)</f>
        <v>13660</v>
      </c>
      <c r="R457" s="549">
        <f>SUM(N457:P457)</f>
        <v>11473.5</v>
      </c>
    </row>
    <row r="458" spans="1:18" x14ac:dyDescent="0.25">
      <c r="A458" s="753"/>
      <c r="C458" s="446" t="s">
        <v>1826</v>
      </c>
      <c r="D458" s="497">
        <f>D455+1</f>
        <v>46185</v>
      </c>
      <c r="E458" s="498" t="s">
        <v>573</v>
      </c>
      <c r="F458" s="512"/>
      <c r="G458" s="512"/>
      <c r="H458" s="512"/>
      <c r="I458" s="512"/>
      <c r="J458" s="512"/>
      <c r="K458" s="512"/>
      <c r="L458" s="512"/>
      <c r="M458" s="512"/>
      <c r="N458" s="512"/>
      <c r="O458" s="512"/>
      <c r="P458" s="512"/>
    </row>
    <row r="459" spans="1:18" x14ac:dyDescent="0.25">
      <c r="A459" s="753"/>
      <c r="C459" s="452" t="s">
        <v>1826</v>
      </c>
      <c r="D459" s="499">
        <f t="shared" ref="D459:D473" si="112">D458</f>
        <v>46185</v>
      </c>
      <c r="E459" s="500" t="s">
        <v>162</v>
      </c>
      <c r="F459" s="460" t="s">
        <v>1902</v>
      </c>
      <c r="G459" s="460" t="s">
        <v>1806</v>
      </c>
      <c r="H459" s="460"/>
      <c r="I459" s="725"/>
      <c r="J459" s="684">
        <v>600</v>
      </c>
      <c r="K459" s="684">
        <v>600</v>
      </c>
      <c r="L459" s="683"/>
      <c r="M459" s="540"/>
      <c r="N459" s="555">
        <f>J459*INDEX([2]Pedidos!$Q:$Q,MATCH(F459,[2]Pedidos!$E:$E,0))</f>
        <v>510</v>
      </c>
      <c r="O459" s="555" t="e">
        <f>K459*INDEX([2]Pedidos!$Q:$Q,MATCH(#REF!,[2]Pedidos!$E:$E,0))</f>
        <v>#REF!</v>
      </c>
      <c r="P459" s="555" t="e">
        <f>M459*INDEX([2]Pedidos!$Q:$Q,MATCH(H459,[2]Pedidos!$E:$E,0))</f>
        <v>#N/A</v>
      </c>
    </row>
    <row r="460" spans="1:18" x14ac:dyDescent="0.25">
      <c r="A460" s="753"/>
      <c r="C460" s="452" t="s">
        <v>1826</v>
      </c>
      <c r="D460" s="449">
        <f t="shared" si="112"/>
        <v>46185</v>
      </c>
      <c r="E460" s="454" t="s">
        <v>163</v>
      </c>
      <c r="F460" s="460" t="s">
        <v>1902</v>
      </c>
      <c r="G460" s="460" t="s">
        <v>1806</v>
      </c>
      <c r="H460" s="460"/>
      <c r="I460" s="725"/>
      <c r="J460" s="684">
        <v>600</v>
      </c>
      <c r="K460" s="684">
        <v>600</v>
      </c>
      <c r="L460" s="683"/>
      <c r="M460" s="540"/>
      <c r="N460" s="564">
        <f>J460*INDEX([2]Pedidos!$Q:$Q,MATCH(F460,[2]Pedidos!$E:$E,0))</f>
        <v>510</v>
      </c>
      <c r="O460" s="564">
        <f>K460*INDEX([2]Pedidos!$Q:$Q,MATCH(G459,[2]Pedidos!$E:$E,0))</f>
        <v>330</v>
      </c>
      <c r="P460" s="564" t="e">
        <f>M460*INDEX([2]Pedidos!$Q:$Q,MATCH(H460,[2]Pedidos!$E:$E,0))</f>
        <v>#N/A</v>
      </c>
    </row>
    <row r="461" spans="1:18" x14ac:dyDescent="0.25">
      <c r="A461" s="753"/>
      <c r="C461" s="452" t="s">
        <v>1826</v>
      </c>
      <c r="D461" s="449">
        <f t="shared" si="112"/>
        <v>46185</v>
      </c>
      <c r="E461" s="454" t="s">
        <v>164</v>
      </c>
      <c r="F461" s="460" t="s">
        <v>1902</v>
      </c>
      <c r="G461" s="460" t="s">
        <v>1787</v>
      </c>
      <c r="H461" s="460"/>
      <c r="I461" s="725"/>
      <c r="J461" s="684">
        <v>600</v>
      </c>
      <c r="K461" s="684">
        <v>830</v>
      </c>
      <c r="L461" s="683"/>
      <c r="M461" s="540"/>
      <c r="N461" s="564">
        <f>J461*INDEX([2]Pedidos!$Q:$Q,MATCH(F461,[2]Pedidos!$E:$E,0))</f>
        <v>510</v>
      </c>
      <c r="O461" s="564">
        <f>K461*INDEX([2]Pedidos!$Q:$Q,MATCH(G461,[2]Pedidos!$E:$E,0))</f>
        <v>705.50000000000011</v>
      </c>
      <c r="P461" s="564" t="e">
        <f>M461*INDEX([2]Pedidos!$Q:$Q,MATCH(H461,[2]Pedidos!$E:$E,0))</f>
        <v>#N/A</v>
      </c>
    </row>
    <row r="462" spans="1:18" x14ac:dyDescent="0.25">
      <c r="A462" s="753"/>
      <c r="C462" s="452" t="s">
        <v>1826</v>
      </c>
      <c r="D462" s="449">
        <f t="shared" si="112"/>
        <v>46185</v>
      </c>
      <c r="E462" s="454" t="s">
        <v>165</v>
      </c>
      <c r="F462" s="460" t="s">
        <v>1902</v>
      </c>
      <c r="G462" s="460" t="s">
        <v>1787</v>
      </c>
      <c r="H462" s="460"/>
      <c r="I462" s="725"/>
      <c r="J462" s="684">
        <v>600</v>
      </c>
      <c r="K462" s="684">
        <v>830</v>
      </c>
      <c r="L462" s="683"/>
      <c r="M462" s="540"/>
      <c r="N462" s="564" t="e">
        <f>#REF!*INDEX([2]Pedidos!$Q:$Q,MATCH(F462,[2]Pedidos!$E:$E,0))</f>
        <v>#REF!</v>
      </c>
      <c r="O462" s="564">
        <f>K462*INDEX([2]Pedidos!$Q:$Q,MATCH(G462,[2]Pedidos!$E:$E,0))</f>
        <v>705.50000000000011</v>
      </c>
      <c r="P462" s="564" t="e">
        <f>M462*INDEX([2]Pedidos!$Q:$Q,MATCH(H462,[2]Pedidos!$E:$E,0))</f>
        <v>#N/A</v>
      </c>
    </row>
    <row r="463" spans="1:18" x14ac:dyDescent="0.25">
      <c r="A463" s="753"/>
      <c r="C463" s="452" t="s">
        <v>1826</v>
      </c>
      <c r="D463" s="449">
        <f t="shared" si="112"/>
        <v>46185</v>
      </c>
      <c r="E463" s="454" t="s">
        <v>166</v>
      </c>
      <c r="F463" s="512"/>
      <c r="G463" s="512"/>
      <c r="H463" s="512"/>
      <c r="I463" s="512"/>
      <c r="J463" s="541" cm="1">
        <f t="array" aca="1" ref="J463" ca="1">IFERROR(_xlfn.LET(_xlpm.produto,TRIM(F464)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63" s="541" cm="1">
        <f t="array" aca="1" ref="K463" ca="1">IFERROR(_xlfn.LET(_xlpm.produto,TRIM(G464)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63" s="541"/>
      <c r="M463" s="541" cm="1">
        <f t="array" aca="1" ref="M463" ca="1">IFERROR(_xlfn.LET(_xlpm.produto,TRIM(H464)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63" s="557"/>
      <c r="O463" s="557"/>
      <c r="P463" s="557"/>
    </row>
    <row r="464" spans="1:18" x14ac:dyDescent="0.25">
      <c r="A464" s="753"/>
      <c r="C464" s="452" t="s">
        <v>1826</v>
      </c>
      <c r="D464" s="449">
        <f t="shared" si="112"/>
        <v>46185</v>
      </c>
      <c r="E464" s="454" t="s">
        <v>576</v>
      </c>
      <c r="F464" s="460" t="s">
        <v>1854</v>
      </c>
      <c r="G464" s="460" t="s">
        <v>1787</v>
      </c>
      <c r="H464" s="460"/>
      <c r="I464" s="725"/>
      <c r="J464" s="684">
        <v>850</v>
      </c>
      <c r="K464" s="684">
        <v>830</v>
      </c>
      <c r="L464" s="727"/>
      <c r="N464" s="565">
        <f>J464*INDEX([2]Pedidos!$Q:$Q,MATCH(F464,[2]Pedidos!$E:$E,0))</f>
        <v>935.00000000000011</v>
      </c>
      <c r="O464" s="565">
        <f>K464*INDEX([2]Pedidos!$Q:$Q,MATCH(G464,[2]Pedidos!$E:$E,0))</f>
        <v>705.50000000000011</v>
      </c>
      <c r="P464" s="565" t="e">
        <f>M464*INDEX([2]Pedidos!$Q:$Q,MATCH(H464,[2]Pedidos!$E:$E,0))</f>
        <v>#N/A</v>
      </c>
    </row>
    <row r="465" spans="1:18" x14ac:dyDescent="0.25">
      <c r="A465" s="753"/>
      <c r="C465" s="452" t="s">
        <v>1826</v>
      </c>
      <c r="D465" s="449">
        <f t="shared" si="112"/>
        <v>46185</v>
      </c>
      <c r="E465" s="454" t="s">
        <v>167</v>
      </c>
      <c r="F465" s="460" t="s">
        <v>1854</v>
      </c>
      <c r="G465" s="460" t="s">
        <v>1787</v>
      </c>
      <c r="H465" s="460"/>
      <c r="I465" s="725"/>
      <c r="J465" s="684">
        <v>850</v>
      </c>
      <c r="K465" s="684">
        <v>830</v>
      </c>
      <c r="L465" s="683"/>
      <c r="M465" s="540"/>
      <c r="N465" s="565">
        <f>J465*INDEX([2]Pedidos!$Q:$Q,MATCH(F465,[2]Pedidos!$E:$E,0))</f>
        <v>935.00000000000011</v>
      </c>
      <c r="O465" s="565">
        <f>K465*INDEX([2]Pedidos!$Q:$Q,MATCH(G465,[2]Pedidos!$E:$E,0))</f>
        <v>705.50000000000011</v>
      </c>
      <c r="P465" s="565" t="e">
        <f>M465*INDEX([2]Pedidos!$Q:$Q,MATCH(H465,[2]Pedidos!$E:$E,0))</f>
        <v>#N/A</v>
      </c>
    </row>
    <row r="466" spans="1:18" x14ac:dyDescent="0.25">
      <c r="A466" s="753"/>
      <c r="C466" s="452" t="s">
        <v>1826</v>
      </c>
      <c r="D466" s="449">
        <f t="shared" si="112"/>
        <v>46185</v>
      </c>
      <c r="E466" s="454" t="s">
        <v>168</v>
      </c>
      <c r="F466" s="460" t="s">
        <v>1854</v>
      </c>
      <c r="G466" s="460" t="s">
        <v>1787</v>
      </c>
      <c r="H466" s="460"/>
      <c r="I466" s="725"/>
      <c r="J466" s="684">
        <v>850</v>
      </c>
      <c r="K466" s="684">
        <v>830</v>
      </c>
      <c r="L466" s="683"/>
      <c r="M466" s="540"/>
      <c r="N466" s="565">
        <f>J466*INDEX([2]Pedidos!$Q:$Q,MATCH(F466,[2]Pedidos!$E:$E,0))</f>
        <v>935.00000000000011</v>
      </c>
      <c r="O466" s="565">
        <f>K466*INDEX([2]Pedidos!$Q:$Q,MATCH(G466,[2]Pedidos!$E:$E,0))</f>
        <v>705.50000000000011</v>
      </c>
      <c r="P466" s="565" t="e">
        <f>M466*INDEX([2]Pedidos!$Q:$Q,MATCH(H466,[2]Pedidos!$E:$E,0))</f>
        <v>#N/A</v>
      </c>
    </row>
    <row r="467" spans="1:18" x14ac:dyDescent="0.25">
      <c r="A467" s="753"/>
      <c r="C467" s="452" t="s">
        <v>1826</v>
      </c>
      <c r="D467" s="449">
        <f t="shared" si="112"/>
        <v>46185</v>
      </c>
      <c r="E467" s="454" t="s">
        <v>169</v>
      </c>
      <c r="F467" s="460" t="s">
        <v>1854</v>
      </c>
      <c r="G467" s="460" t="s">
        <v>1787</v>
      </c>
      <c r="H467" s="460"/>
      <c r="I467" s="725"/>
      <c r="J467" s="684">
        <v>850</v>
      </c>
      <c r="K467" s="684">
        <v>830</v>
      </c>
      <c r="L467" s="683"/>
      <c r="M467" s="540"/>
      <c r="N467" s="565">
        <f>J467*INDEX([2]Pedidos!$Q:$Q,MATCH(F467,[2]Pedidos!$E:$E,0))</f>
        <v>935.00000000000011</v>
      </c>
      <c r="O467" s="565">
        <f>K467*INDEX([2]Pedidos!$Q:$Q,MATCH(G467,[2]Pedidos!$E:$E,0))</f>
        <v>705.50000000000011</v>
      </c>
      <c r="P467" s="565" t="e">
        <f>M467*INDEX([2]Pedidos!$Q:$Q,MATCH(H467,[2]Pedidos!$E:$E,0))</f>
        <v>#N/A</v>
      </c>
    </row>
    <row r="468" spans="1:18" x14ac:dyDescent="0.25">
      <c r="A468" s="753"/>
      <c r="C468" s="452" t="s">
        <v>1826</v>
      </c>
      <c r="D468" s="449">
        <f t="shared" si="112"/>
        <v>46185</v>
      </c>
      <c r="E468" s="454" t="s">
        <v>170</v>
      </c>
      <c r="F468" s="460" t="s">
        <v>1854</v>
      </c>
      <c r="G468" s="460" t="s">
        <v>1787</v>
      </c>
      <c r="H468" s="460"/>
      <c r="I468" s="725"/>
      <c r="J468" s="684">
        <v>850</v>
      </c>
      <c r="K468" s="684">
        <v>830</v>
      </c>
      <c r="L468" s="683"/>
      <c r="M468" s="540"/>
      <c r="N468" s="566">
        <f>J468*INDEX([2]Pedidos!$Q:$Q,MATCH(F468,[2]Pedidos!$E:$E,0))</f>
        <v>935.00000000000011</v>
      </c>
      <c r="O468" s="566">
        <f>K468*INDEX([2]Pedidos!$Q:$Q,MATCH(G468,[2]Pedidos!$E:$E,0))</f>
        <v>705.50000000000011</v>
      </c>
      <c r="P468" s="566" t="e">
        <f>M468*INDEX([2]Pedidos!$Q:$Q,MATCH(H468,[2]Pedidos!$E:$E,0))</f>
        <v>#N/A</v>
      </c>
    </row>
    <row r="469" spans="1:18" x14ac:dyDescent="0.25">
      <c r="A469" s="753"/>
      <c r="C469" s="452" t="s">
        <v>1826</v>
      </c>
      <c r="D469" s="449">
        <f t="shared" si="112"/>
        <v>46185</v>
      </c>
      <c r="E469" s="454" t="s">
        <v>585</v>
      </c>
      <c r="F469" s="512"/>
      <c r="G469" s="512"/>
      <c r="H469" s="512"/>
      <c r="I469" s="537"/>
      <c r="J469" s="516" cm="1">
        <f t="array" aca="1" ref="J469" ca="1">IFERROR(_xlfn.LET(_xlpm.produto,TRIM(F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69" s="516" cm="1">
        <f t="array" aca="1" ref="K469" ca="1">IFERROR(_xlfn.LET(_xlpm.produto,TRIM(G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69" s="516"/>
      <c r="M469" s="516" cm="1">
        <f t="array" aca="1" ref="M469" ca="1">IFERROR(_xlfn.LET(_xlpm.produto,TRIM(H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69" s="557"/>
      <c r="O469" s="557"/>
      <c r="P469" s="557"/>
    </row>
    <row r="470" spans="1:18" x14ac:dyDescent="0.25">
      <c r="A470" s="753"/>
      <c r="C470" s="448" t="s">
        <v>1826</v>
      </c>
      <c r="D470" s="449">
        <f t="shared" si="112"/>
        <v>46185</v>
      </c>
      <c r="E470" s="455" t="s">
        <v>574</v>
      </c>
      <c r="F470" s="512"/>
      <c r="G470" s="512"/>
      <c r="H470" s="512"/>
      <c r="I470" s="537"/>
      <c r="J470" s="516" cm="1">
        <f t="array" aca="1" ref="J470" ca="1">IFERROR(_xlfn.LET(_xlpm.produto,TRIM(F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0" s="516" cm="1">
        <f t="array" aca="1" ref="K470" ca="1">IFERROR(_xlfn.LET(_xlpm.produto,TRIM(G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0" s="516"/>
      <c r="M470" s="516" cm="1">
        <f t="array" aca="1" ref="M470" ca="1">IFERROR(_xlfn.LET(_xlpm.produto,TRIM(H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70" s="565" t="e">
        <f>#REF!*INDEX([2]Pedidos!$Q:$Q,MATCH(F470,[2]Pedidos!$E:$E,0))</f>
        <v>#REF!</v>
      </c>
      <c r="O470" s="565" t="e">
        <f>#REF!*INDEX([2]Pedidos!$Q:$Q,MATCH(G470,[2]Pedidos!$E:$E,0))</f>
        <v>#REF!</v>
      </c>
      <c r="P470" s="565" t="e">
        <f>#REF!*INDEX([2]Pedidos!$Q:$Q,MATCH(H470,[2]Pedidos!$E:$E,0))</f>
        <v>#REF!</v>
      </c>
    </row>
    <row r="471" spans="1:18" x14ac:dyDescent="0.25">
      <c r="A471" s="753"/>
      <c r="C471" s="448" t="s">
        <v>1826</v>
      </c>
      <c r="D471" s="449">
        <f t="shared" si="112"/>
        <v>46185</v>
      </c>
      <c r="E471" s="455" t="s">
        <v>575</v>
      </c>
      <c r="F471" s="512"/>
      <c r="G471" s="512"/>
      <c r="H471" s="512"/>
      <c r="I471" s="537"/>
      <c r="J471" s="516" cm="1">
        <f t="array" aca="1" ref="J471" ca="1">IFERROR(_xlfn.LET(_xlpm.produto,TRIM(F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1" s="516" cm="1">
        <f t="array" aca="1" ref="K471" ca="1">IFERROR(_xlfn.LET(_xlpm.produto,TRIM(G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1" s="516"/>
      <c r="M471" s="516" cm="1">
        <f t="array" aca="1" ref="M471" ca="1">IFERROR(_xlfn.LET(_xlpm.produto,TRIM(H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71" s="565" t="e">
        <f>#REF!*INDEX([2]Pedidos!$Q:$Q,MATCH(F471,[2]Pedidos!$E:$E,0))</f>
        <v>#REF!</v>
      </c>
      <c r="O471" s="565" t="e">
        <f>#REF!*INDEX([2]Pedidos!$Q:$Q,MATCH(G471,[2]Pedidos!$E:$E,0))</f>
        <v>#REF!</v>
      </c>
      <c r="P471" s="565" t="e">
        <f>#REF!*INDEX([2]Pedidos!$Q:$Q,MATCH(H471,[2]Pedidos!$E:$E,0))</f>
        <v>#REF!</v>
      </c>
    </row>
    <row r="472" spans="1:18" x14ac:dyDescent="0.25">
      <c r="A472" s="753"/>
      <c r="C472" s="448" t="s">
        <v>1826</v>
      </c>
      <c r="D472" s="449">
        <f t="shared" si="112"/>
        <v>46185</v>
      </c>
      <c r="E472" s="503" t="s">
        <v>583</v>
      </c>
      <c r="F472" s="512"/>
      <c r="G472" s="512"/>
      <c r="H472" s="512"/>
      <c r="I472" s="537"/>
      <c r="J472" s="516" cm="1">
        <f t="array" aca="1" ref="J472" ca="1">IFERROR(_xlfn.LET(_xlpm.produto,TRIM(F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2" s="516" cm="1">
        <f t="array" aca="1" ref="K472" ca="1">IFERROR(_xlfn.LET(_xlpm.produto,TRIM(G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2" s="516"/>
      <c r="M472" s="516" cm="1">
        <f t="array" aca="1" ref="M472" ca="1">IFERROR(_xlfn.LET(_xlpm.produto,TRIM(H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72" s="565" t="e">
        <f>#REF!*INDEX([2]Pedidos!$Q:$Q,MATCH(F472,[2]Pedidos!$E:$E,0))</f>
        <v>#REF!</v>
      </c>
      <c r="O472" s="565" t="e">
        <f>#REF!*INDEX([2]Pedidos!$Q:$Q,MATCH(G472,[2]Pedidos!$E:$E,0))</f>
        <v>#REF!</v>
      </c>
      <c r="P472" s="565" t="e">
        <f>#REF!*INDEX([2]Pedidos!$Q:$Q,MATCH(H472,[2]Pedidos!$E:$E,0))</f>
        <v>#REF!</v>
      </c>
    </row>
    <row r="473" spans="1:18" ht="15.75" thickBot="1" x14ac:dyDescent="0.3">
      <c r="A473" s="753"/>
      <c r="C473" s="450" t="s">
        <v>1826</v>
      </c>
      <c r="D473" s="451">
        <f t="shared" si="112"/>
        <v>46185</v>
      </c>
      <c r="E473" s="459" t="s">
        <v>584</v>
      </c>
      <c r="F473" s="512"/>
      <c r="G473" s="512"/>
      <c r="H473" s="512"/>
      <c r="I473" s="537"/>
      <c r="J473" s="513" cm="1">
        <f t="array" aca="1" ref="J473" ca="1">IFERROR(_xlfn.LET(_xlpm.produto,TRIM(F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3" s="513" cm="1">
        <f t="array" aca="1" ref="K473" ca="1">IFERROR(_xlfn.LET(_xlpm.produto,TRIM(G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3" s="513"/>
      <c r="M473" s="513" cm="1">
        <f t="array" aca="1" ref="M473" ca="1">IFERROR(_xlfn.LET(_xlpm.produto,TRIM(H383)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73" s="696" t="e">
        <f>#REF!*INDEX([2]Pedidos!$Q:$Q,MATCH(F473,[2]Pedidos!$E:$E,0))</f>
        <v>#REF!</v>
      </c>
      <c r="O473" s="696" t="e">
        <f>#REF!*INDEX([2]Pedidos!$Q:$Q,MATCH(G473,[2]Pedidos!$E:$E,0))</f>
        <v>#REF!</v>
      </c>
      <c r="P473" s="696" t="e">
        <f>#REF!*INDEX([2]Pedidos!$Q:$Q,MATCH(H473,[2]Pedidos!$E:$E,0))</f>
        <v>#REF!</v>
      </c>
    </row>
    <row r="474" spans="1:18" ht="6" customHeight="1" thickBot="1" x14ac:dyDescent="0.3">
      <c r="A474" s="753"/>
      <c r="F474" s="717"/>
      <c r="G474" s="718"/>
      <c r="H474" s="719"/>
      <c r="I474" s="718"/>
      <c r="J474" s="721"/>
      <c r="K474" s="445"/>
      <c r="L474" s="445"/>
      <c r="N474" s="559"/>
      <c r="O474" s="559"/>
      <c r="P474" s="559"/>
    </row>
    <row r="475" spans="1:18" ht="15.75" thickBot="1" x14ac:dyDescent="0.3">
      <c r="A475" s="753"/>
      <c r="C475" s="538"/>
      <c r="D475" s="539"/>
      <c r="E475" s="539"/>
      <c r="F475" s="538"/>
      <c r="G475" s="539"/>
      <c r="H475" s="720"/>
      <c r="I475" s="539"/>
      <c r="J475" s="607">
        <f t="shared" ref="J475:M475" ca="1" si="113">_xlfn.AGGREGATE(9,6,J476:J491)</f>
        <v>0</v>
      </c>
      <c r="K475" s="607">
        <f t="shared" ca="1" si="113"/>
        <v>0</v>
      </c>
      <c r="L475" s="607"/>
      <c r="M475" s="544">
        <f t="shared" ca="1" si="113"/>
        <v>0</v>
      </c>
      <c r="N475" s="560">
        <f t="shared" ref="N475:P475" si="114">_xlfn.AGGREGATE(9,6,N476:N491)</f>
        <v>0</v>
      </c>
      <c r="O475" s="561">
        <f t="shared" si="114"/>
        <v>0</v>
      </c>
      <c r="P475" s="562">
        <f t="shared" si="114"/>
        <v>0</v>
      </c>
      <c r="Q475" s="548">
        <f ca="1">SUM(J475:M475)</f>
        <v>0</v>
      </c>
      <c r="R475" s="549">
        <f>SUM(N475:P475)</f>
        <v>0</v>
      </c>
    </row>
    <row r="476" spans="1:18" x14ac:dyDescent="0.25">
      <c r="A476" s="753"/>
      <c r="C476" s="529" t="s">
        <v>1033</v>
      </c>
      <c r="D476" s="447">
        <f>D473+1</f>
        <v>46186</v>
      </c>
      <c r="E476" s="498" t="s">
        <v>573</v>
      </c>
      <c r="F476" s="514"/>
      <c r="G476" s="514"/>
      <c r="H476" s="514"/>
      <c r="I476" s="724"/>
      <c r="J476" s="537" cm="1">
        <f t="array" aca="1" ref="J476" ca="1">IFERROR(_xlfn.LET(_xlpm.produto,TRIM(F476)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6" s="537" cm="1">
        <f t="array" aca="1" ref="K476" ca="1">IFERROR(_xlfn.LET(_xlpm.produto,TRIM(G476)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6" s="537"/>
      <c r="M476" s="537" cm="1">
        <f t="array" aca="1" ref="M476" ca="1">IFERROR(_xlfn.LET(_xlpm.produto,TRIM(H476)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76" s="563"/>
      <c r="O476" s="563"/>
      <c r="P476" s="563"/>
    </row>
    <row r="477" spans="1:18" x14ac:dyDescent="0.25">
      <c r="A477" s="753"/>
      <c r="C477" s="452" t="s">
        <v>1033</v>
      </c>
      <c r="D477" s="453">
        <f t="shared" ref="D477:D491" si="115">D476</f>
        <v>46186</v>
      </c>
      <c r="E477" s="500" t="s">
        <v>162</v>
      </c>
      <c r="F477" s="517"/>
      <c r="G477" s="517"/>
      <c r="H477" s="517"/>
      <c r="I477" s="512"/>
      <c r="J477" s="540"/>
      <c r="K477" s="540"/>
      <c r="L477" s="540"/>
      <c r="M477" s="540"/>
      <c r="N477" s="555" t="e">
        <f>J477*INDEX([2]Pedidos!$Q:$Q,MATCH(F477,[2]Pedidos!$E:$E,0))</f>
        <v>#N/A</v>
      </c>
      <c r="O477" s="555" t="e">
        <f>K477*INDEX([2]Pedidos!$Q:$Q,MATCH(G477,[2]Pedidos!$E:$E,0))</f>
        <v>#N/A</v>
      </c>
      <c r="P477" s="555" t="e">
        <f>M477*INDEX([2]Pedidos!$Q:$Q,MATCH(H477,[2]Pedidos!$E:$E,0))</f>
        <v>#N/A</v>
      </c>
    </row>
    <row r="478" spans="1:18" x14ac:dyDescent="0.25">
      <c r="A478" s="753"/>
      <c r="C478" s="452" t="s">
        <v>1033</v>
      </c>
      <c r="D478" s="453">
        <f t="shared" si="115"/>
        <v>46186</v>
      </c>
      <c r="E478" s="454" t="s">
        <v>163</v>
      </c>
      <c r="F478" s="517"/>
      <c r="G478" s="512"/>
      <c r="H478" s="505"/>
      <c r="I478" s="505"/>
      <c r="J478" s="540"/>
      <c r="K478" s="540"/>
      <c r="L478" s="540"/>
      <c r="M478" s="540"/>
      <c r="N478" s="564" t="e">
        <f>J478*INDEX([2]Pedidos!$Q:$Q,MATCH(F478,[2]Pedidos!$E:$E,0))</f>
        <v>#N/A</v>
      </c>
      <c r="O478" s="564" t="e">
        <f>K478*INDEX([2]Pedidos!$Q:$Q,MATCH(G478,[2]Pedidos!$E:$E,0))</f>
        <v>#N/A</v>
      </c>
      <c r="P478" s="564" t="e">
        <f>M478*INDEX([2]Pedidos!$Q:$Q,MATCH(H478,[2]Pedidos!$E:$E,0))</f>
        <v>#N/A</v>
      </c>
    </row>
    <row r="479" spans="1:18" x14ac:dyDescent="0.25">
      <c r="A479" s="753"/>
      <c r="C479" s="452" t="s">
        <v>1033</v>
      </c>
      <c r="D479" s="453">
        <f t="shared" si="115"/>
        <v>46186</v>
      </c>
      <c r="E479" s="454" t="s">
        <v>164</v>
      </c>
      <c r="F479" s="517"/>
      <c r="G479" s="512"/>
      <c r="H479" s="505"/>
      <c r="I479" s="505"/>
      <c r="J479" s="540"/>
      <c r="K479" s="540"/>
      <c r="L479" s="540"/>
      <c r="M479" s="540"/>
      <c r="N479" s="564" t="e">
        <f>J479*INDEX([2]Pedidos!$Q:$Q,MATCH(F479,[2]Pedidos!$E:$E,0))</f>
        <v>#N/A</v>
      </c>
      <c r="O479" s="564" t="e">
        <f>K479*INDEX([2]Pedidos!$Q:$Q,MATCH(G479,[2]Pedidos!$E:$E,0))</f>
        <v>#N/A</v>
      </c>
      <c r="P479" s="564" t="e">
        <f>M479*INDEX([2]Pedidos!$Q:$Q,MATCH(H479,[2]Pedidos!$E:$E,0))</f>
        <v>#N/A</v>
      </c>
    </row>
    <row r="480" spans="1:18" x14ac:dyDescent="0.25">
      <c r="A480" s="753"/>
      <c r="C480" s="452" t="s">
        <v>1033</v>
      </c>
      <c r="D480" s="453">
        <f t="shared" si="115"/>
        <v>46186</v>
      </c>
      <c r="E480" s="454" t="s">
        <v>165</v>
      </c>
      <c r="F480" s="517"/>
      <c r="G480" s="512"/>
      <c r="H480" s="505"/>
      <c r="I480" s="505"/>
      <c r="J480" s="540"/>
      <c r="K480" s="540"/>
      <c r="L480" s="540"/>
      <c r="M480" s="540"/>
      <c r="N480" s="564" t="e">
        <f>J480*INDEX([2]Pedidos!$Q:$Q,MATCH(F480,[2]Pedidos!$E:$E,0))</f>
        <v>#N/A</v>
      </c>
      <c r="O480" s="564" t="e">
        <f>K480*INDEX([2]Pedidos!$Q:$Q,MATCH(G480,[2]Pedidos!$E:$E,0))</f>
        <v>#N/A</v>
      </c>
      <c r="P480" s="564" t="e">
        <f>M480*INDEX([2]Pedidos!$Q:$Q,MATCH(H480,[2]Pedidos!$E:$E,0))</f>
        <v>#N/A</v>
      </c>
    </row>
    <row r="481" spans="1:18" x14ac:dyDescent="0.25">
      <c r="A481" s="753"/>
      <c r="C481" s="452" t="s">
        <v>1033</v>
      </c>
      <c r="D481" s="453">
        <f t="shared" si="115"/>
        <v>46186</v>
      </c>
      <c r="E481" s="454" t="s">
        <v>166</v>
      </c>
      <c r="F481" s="517"/>
      <c r="G481" s="512"/>
      <c r="H481" s="505"/>
      <c r="I481" s="505"/>
      <c r="J481" s="540"/>
      <c r="K481" s="540"/>
      <c r="L481" s="540"/>
      <c r="M481" s="540"/>
      <c r="N481" s="564" t="e">
        <f>J481*INDEX([2]Pedidos!$Q:$Q,MATCH(F481,[2]Pedidos!$E:$E,0))</f>
        <v>#N/A</v>
      </c>
      <c r="O481" s="564" t="e">
        <f>K481*INDEX([2]Pedidos!$Q:$Q,MATCH(G481,[2]Pedidos!$E:$E,0))</f>
        <v>#N/A</v>
      </c>
      <c r="P481" s="564" t="e">
        <f>M481*INDEX([2]Pedidos!$Q:$Q,MATCH(H481,[2]Pedidos!$E:$E,0))</f>
        <v>#N/A</v>
      </c>
    </row>
    <row r="482" spans="1:18" x14ac:dyDescent="0.25">
      <c r="A482" s="753"/>
      <c r="C482" s="452" t="s">
        <v>1033</v>
      </c>
      <c r="D482" s="453">
        <f t="shared" si="115"/>
        <v>46186</v>
      </c>
      <c r="E482" s="454" t="s">
        <v>576</v>
      </c>
      <c r="F482" s="517"/>
      <c r="G482" s="512"/>
      <c r="H482" s="505"/>
      <c r="I482" s="505"/>
      <c r="J482" s="541" cm="1">
        <f t="array" aca="1" ref="J482" ca="1">IFERROR(_xlfn.LET(_xlpm.produto,TRIM(F482)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2" s="541" cm="1">
        <f t="array" aca="1" ref="K482" ca="1">IFERROR(_xlfn.LET(_xlpm.produto,TRIM(G482)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2" s="541"/>
      <c r="M482" s="541" cm="1">
        <f t="array" aca="1" ref="M482" ca="1">IFERROR(_xlfn.LET(_xlpm.produto,TRIM(H482)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82" s="556"/>
      <c r="O482" s="556"/>
      <c r="P482" s="556"/>
    </row>
    <row r="483" spans="1:18" x14ac:dyDescent="0.25">
      <c r="A483" s="753"/>
      <c r="C483" s="452" t="s">
        <v>1033</v>
      </c>
      <c r="D483" s="449">
        <f t="shared" si="115"/>
        <v>46186</v>
      </c>
      <c r="E483" s="454" t="s">
        <v>167</v>
      </c>
      <c r="F483" s="517"/>
      <c r="G483" s="512"/>
      <c r="H483" s="505"/>
      <c r="I483" s="505"/>
      <c r="J483" s="540"/>
      <c r="K483" s="540"/>
      <c r="L483" s="540"/>
      <c r="M483" s="540"/>
      <c r="N483" s="565" t="e">
        <f>J483*INDEX([2]Pedidos!$Q:$Q,MATCH(F483,[2]Pedidos!$E:$E,0))</f>
        <v>#N/A</v>
      </c>
      <c r="O483" s="565" t="e">
        <f>K483*INDEX([2]Pedidos!$Q:$Q,MATCH(G483,[2]Pedidos!$E:$E,0))</f>
        <v>#N/A</v>
      </c>
      <c r="P483" s="565" t="e">
        <f>M483*INDEX([2]Pedidos!$Q:$Q,MATCH(H483,[2]Pedidos!$E:$E,0))</f>
        <v>#N/A</v>
      </c>
    </row>
    <row r="484" spans="1:18" x14ac:dyDescent="0.25">
      <c r="A484" s="753"/>
      <c r="C484" s="452" t="s">
        <v>1033</v>
      </c>
      <c r="D484" s="449">
        <f t="shared" si="115"/>
        <v>46186</v>
      </c>
      <c r="E484" s="454" t="s">
        <v>168</v>
      </c>
      <c r="F484" s="517"/>
      <c r="G484" s="512"/>
      <c r="H484" s="505"/>
      <c r="I484" s="505"/>
      <c r="J484" s="540"/>
      <c r="K484" s="540"/>
      <c r="L484" s="540"/>
      <c r="M484" s="540"/>
      <c r="N484" s="565" t="e">
        <f>J484*INDEX([2]Pedidos!$Q:$Q,MATCH(F484,[2]Pedidos!$E:$E,0))</f>
        <v>#N/A</v>
      </c>
      <c r="O484" s="565" t="e">
        <f>K484*INDEX([2]Pedidos!$Q:$Q,MATCH(G484,[2]Pedidos!$E:$E,0))</f>
        <v>#N/A</v>
      </c>
      <c r="P484" s="565" t="e">
        <f>M484*INDEX([2]Pedidos!$Q:$Q,MATCH(H484,[2]Pedidos!$E:$E,0))</f>
        <v>#N/A</v>
      </c>
    </row>
    <row r="485" spans="1:18" x14ac:dyDescent="0.25">
      <c r="A485" s="753"/>
      <c r="C485" s="452" t="s">
        <v>1033</v>
      </c>
      <c r="D485" s="449">
        <f t="shared" si="115"/>
        <v>46186</v>
      </c>
      <c r="E485" s="454" t="s">
        <v>169</v>
      </c>
      <c r="F485" s="517"/>
      <c r="G485" s="512"/>
      <c r="H485" s="505"/>
      <c r="I485" s="505"/>
      <c r="J485" s="540"/>
      <c r="K485" s="540"/>
      <c r="L485" s="540"/>
      <c r="M485" s="540"/>
      <c r="N485" s="565" t="e">
        <f>J485*INDEX([2]Pedidos!$Q:$Q,MATCH(F485,[2]Pedidos!$E:$E,0))</f>
        <v>#N/A</v>
      </c>
      <c r="O485" s="565" t="e">
        <f>K485*INDEX([2]Pedidos!$Q:$Q,MATCH(G485,[2]Pedidos!$E:$E,0))</f>
        <v>#N/A</v>
      </c>
      <c r="P485" s="565" t="e">
        <f>M485*INDEX([2]Pedidos!$Q:$Q,MATCH(H485,[2]Pedidos!$E:$E,0))</f>
        <v>#N/A</v>
      </c>
    </row>
    <row r="486" spans="1:18" x14ac:dyDescent="0.25">
      <c r="A486" s="753"/>
      <c r="C486" s="452" t="s">
        <v>1033</v>
      </c>
      <c r="D486" s="449">
        <f t="shared" si="115"/>
        <v>46186</v>
      </c>
      <c r="E486" s="454" t="s">
        <v>170</v>
      </c>
      <c r="F486" s="517"/>
      <c r="G486" s="512"/>
      <c r="H486" s="505"/>
      <c r="I486" s="505"/>
      <c r="J486" s="540"/>
      <c r="K486" s="540"/>
      <c r="L486" s="540"/>
      <c r="M486" s="540"/>
      <c r="N486" s="566" t="e">
        <f>J486*INDEX([2]Pedidos!$Q:$Q,MATCH(F486,[2]Pedidos!$E:$E,0))</f>
        <v>#N/A</v>
      </c>
      <c r="O486" s="566" t="e">
        <f>K486*INDEX([2]Pedidos!$Q:$Q,MATCH(G486,[2]Pedidos!$E:$E,0))</f>
        <v>#N/A</v>
      </c>
      <c r="P486" s="566" t="e">
        <f>M486*INDEX([2]Pedidos!$Q:$Q,MATCH(H486,[2]Pedidos!$E:$E,0))</f>
        <v>#N/A</v>
      </c>
    </row>
    <row r="487" spans="1:18" x14ac:dyDescent="0.25">
      <c r="A487" s="753"/>
      <c r="C487" s="452" t="s">
        <v>1033</v>
      </c>
      <c r="D487" s="449">
        <f t="shared" si="115"/>
        <v>46186</v>
      </c>
      <c r="E487" s="454" t="s">
        <v>585</v>
      </c>
      <c r="F487" s="505"/>
      <c r="G487" s="505"/>
      <c r="H487" s="516"/>
      <c r="I487" s="516"/>
      <c r="J487" s="516" cm="1">
        <f t="array" aca="1" ref="J487" ca="1">IFERROR(_xlfn.LET(_xlpm.produto,TRIM(F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7" s="516" cm="1">
        <f t="array" aca="1" ref="K487" ca="1">IFERROR(_xlfn.LET(_xlpm.produto,TRIM(G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7" s="516"/>
      <c r="M487" s="516" cm="1">
        <f t="array" aca="1" ref="M487" ca="1">IFERROR(_xlfn.LET(_xlpm.produto,TRIM(H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87" s="557"/>
      <c r="O487" s="557"/>
      <c r="P487" s="557"/>
    </row>
    <row r="488" spans="1:18" x14ac:dyDescent="0.25">
      <c r="A488" s="753"/>
      <c r="C488" s="452" t="s">
        <v>1033</v>
      </c>
      <c r="D488" s="449">
        <f t="shared" si="115"/>
        <v>46186</v>
      </c>
      <c r="E488" s="455" t="s">
        <v>574</v>
      </c>
      <c r="F488" s="505"/>
      <c r="G488" s="505"/>
      <c r="H488" s="516"/>
      <c r="I488" s="516"/>
      <c r="J488" s="516" cm="1">
        <f t="array" aca="1" ref="J488" ca="1">IFERROR(_xlfn.LET(_xlpm.produto,TRIM(F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8" s="516" cm="1">
        <f t="array" aca="1" ref="K488" ca="1">IFERROR(_xlfn.LET(_xlpm.produto,TRIM(G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8" s="516"/>
      <c r="M488" s="516" cm="1">
        <f t="array" aca="1" ref="M488" ca="1">IFERROR(_xlfn.LET(_xlpm.produto,TRIM(H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88" s="557"/>
      <c r="O488" s="557"/>
      <c r="P488" s="557"/>
    </row>
    <row r="489" spans="1:18" x14ac:dyDescent="0.25">
      <c r="A489" s="753"/>
      <c r="C489" s="452" t="s">
        <v>1033</v>
      </c>
      <c r="D489" s="449">
        <f t="shared" si="115"/>
        <v>46186</v>
      </c>
      <c r="E489" s="455" t="s">
        <v>575</v>
      </c>
      <c r="F489" s="506"/>
      <c r="G489" s="506"/>
      <c r="H489" s="516"/>
      <c r="I489" s="516"/>
      <c r="J489" s="516" cm="1">
        <f t="array" aca="1" ref="J489" ca="1">IFERROR(_xlfn.LET(_xlpm.produto,TRIM(F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9" s="516" cm="1">
        <f t="array" aca="1" ref="K489" ca="1">IFERROR(_xlfn.LET(_xlpm.produto,TRIM(G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9" s="516"/>
      <c r="M489" s="516" cm="1">
        <f t="array" aca="1" ref="M489" ca="1">IFERROR(_xlfn.LET(_xlpm.produto,TRIM(H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89" s="557"/>
      <c r="O489" s="557"/>
      <c r="P489" s="557"/>
    </row>
    <row r="490" spans="1:18" x14ac:dyDescent="0.25">
      <c r="A490" s="753"/>
      <c r="C490" s="452" t="s">
        <v>1033</v>
      </c>
      <c r="D490" s="449">
        <f t="shared" si="115"/>
        <v>46186</v>
      </c>
      <c r="E490" s="503" t="s">
        <v>583</v>
      </c>
      <c r="F490" s="506"/>
      <c r="G490" s="506"/>
      <c r="H490" s="516"/>
      <c r="I490" s="516"/>
      <c r="J490" s="516" cm="1">
        <f t="array" aca="1" ref="J490" ca="1">IFERROR(_xlfn.LET(_xlpm.produto,TRIM(F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0" s="516" cm="1">
        <f t="array" aca="1" ref="K490" ca="1">IFERROR(_xlfn.LET(_xlpm.produto,TRIM(G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0" s="516"/>
      <c r="M490" s="516" cm="1">
        <f t="array" aca="1" ref="M490" ca="1">IFERROR(_xlfn.LET(_xlpm.produto,TRIM(H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90" s="557"/>
      <c r="O490" s="557"/>
      <c r="P490" s="557"/>
    </row>
    <row r="491" spans="1:18" ht="15.75" thickBot="1" x14ac:dyDescent="0.3">
      <c r="A491" s="753"/>
      <c r="C491" s="530" t="s">
        <v>1033</v>
      </c>
      <c r="D491" s="451">
        <f t="shared" si="115"/>
        <v>46186</v>
      </c>
      <c r="E491" s="459" t="s">
        <v>584</v>
      </c>
      <c r="F491" s="493"/>
      <c r="G491" s="493"/>
      <c r="H491" s="513"/>
      <c r="I491" s="513"/>
      <c r="J491" s="513" cm="1">
        <f t="array" aca="1" ref="J491" ca="1">IFERROR(_xlfn.LET(_xlpm.produto,TRIM(F491)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1" s="513" cm="1">
        <f t="array" aca="1" ref="K491" ca="1">IFERROR(_xlfn.LET(_xlpm.produto,TRIM(G491)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1" s="513"/>
      <c r="M491" s="513" cm="1">
        <f t="array" aca="1" ref="M491" ca="1">IFERROR(_xlfn.LET(_xlpm.produto,TRIM(H491)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91" s="558"/>
      <c r="O491" s="558"/>
      <c r="P491" s="558"/>
    </row>
    <row r="492" spans="1:18" ht="8.25" customHeight="1" thickBot="1" x14ac:dyDescent="0.3">
      <c r="A492" s="753"/>
      <c r="J492" s="445"/>
      <c r="K492" s="445"/>
      <c r="L492" s="445"/>
      <c r="N492" s="559"/>
      <c r="O492" s="559"/>
      <c r="P492" s="559"/>
    </row>
    <row r="493" spans="1:18" ht="15.75" thickBot="1" x14ac:dyDescent="0.3">
      <c r="A493" s="753"/>
      <c r="C493" s="538"/>
      <c r="D493" s="539"/>
      <c r="E493" s="539"/>
      <c r="F493" s="539"/>
      <c r="G493" s="539"/>
      <c r="H493" s="539"/>
      <c r="I493" s="539"/>
      <c r="J493" s="606">
        <f t="shared" ref="J493:M493" ca="1" si="116">_xlfn.AGGREGATE(9,6,J494:J509)</f>
        <v>0</v>
      </c>
      <c r="K493" s="607">
        <f t="shared" ca="1" si="116"/>
        <v>0</v>
      </c>
      <c r="L493" s="607"/>
      <c r="M493" s="544">
        <f t="shared" ca="1" si="116"/>
        <v>0</v>
      </c>
      <c r="N493" s="560">
        <f t="shared" ref="N493:P493" si="117">_xlfn.AGGREGATE(9,6,N494:N509)</f>
        <v>0</v>
      </c>
      <c r="O493" s="561">
        <f t="shared" si="117"/>
        <v>0</v>
      </c>
      <c r="P493" s="562">
        <f t="shared" si="117"/>
        <v>0</v>
      </c>
      <c r="Q493" s="548">
        <f ca="1">SUM(J493:M493)</f>
        <v>0</v>
      </c>
      <c r="R493" s="549">
        <f>SUM(N493:P493)</f>
        <v>0</v>
      </c>
    </row>
    <row r="494" spans="1:18" x14ac:dyDescent="0.25">
      <c r="A494" s="753"/>
      <c r="C494" s="529" t="s">
        <v>1034</v>
      </c>
      <c r="D494" s="447">
        <f>D491+1</f>
        <v>46187</v>
      </c>
      <c r="E494" s="498" t="s">
        <v>573</v>
      </c>
      <c r="F494" s="514"/>
      <c r="G494" s="514"/>
      <c r="H494" s="514"/>
      <c r="I494" s="724"/>
      <c r="J494" s="537" cm="1">
        <f t="array" aca="1" ref="J494" ca="1">IFERROR(_xlfn.LET(_xlpm.produto,TRIM(F494)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4" s="537" cm="1">
        <f t="array" aca="1" ref="K494" ca="1">IFERROR(_xlfn.LET(_xlpm.produto,TRIM(G494)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4" s="537"/>
      <c r="M494" s="537" cm="1">
        <f t="array" aca="1" ref="M494" ca="1">IFERROR(_xlfn.LET(_xlpm.produto,TRIM(H494)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494" s="563"/>
      <c r="O494" s="563"/>
      <c r="P494" s="563"/>
    </row>
    <row r="495" spans="1:18" x14ac:dyDescent="0.25">
      <c r="A495" s="753"/>
      <c r="C495" s="452" t="s">
        <v>1034</v>
      </c>
      <c r="D495" s="453">
        <f t="shared" ref="D495:D509" si="118">D494</f>
        <v>46187</v>
      </c>
      <c r="E495" s="500" t="s">
        <v>162</v>
      </c>
      <c r="F495" s="517"/>
      <c r="G495" s="517"/>
      <c r="H495" s="517"/>
      <c r="I495" s="512"/>
      <c r="J495" s="540"/>
      <c r="K495" s="540"/>
      <c r="L495" s="540"/>
      <c r="M495" s="540"/>
      <c r="N495" s="555" t="e">
        <f>J495*INDEX([2]Pedidos!$Q:$Q,MATCH(F495,[2]Pedidos!$E:$E,0))</f>
        <v>#N/A</v>
      </c>
      <c r="O495" s="555" t="e">
        <f>K495*INDEX([2]Pedidos!$Q:$Q,MATCH(G495,[2]Pedidos!$E:$E,0))</f>
        <v>#N/A</v>
      </c>
      <c r="P495" s="555" t="e">
        <f>M495*INDEX([2]Pedidos!$Q:$Q,MATCH(H495,[2]Pedidos!$E:$E,0))</f>
        <v>#N/A</v>
      </c>
    </row>
    <row r="496" spans="1:18" x14ac:dyDescent="0.25">
      <c r="A496" s="753"/>
      <c r="C496" s="452" t="s">
        <v>1034</v>
      </c>
      <c r="D496" s="453">
        <f t="shared" si="118"/>
        <v>46187</v>
      </c>
      <c r="E496" s="454" t="s">
        <v>163</v>
      </c>
      <c r="F496" s="517"/>
      <c r="G496" s="512"/>
      <c r="H496" s="505"/>
      <c r="I496" s="505"/>
      <c r="J496" s="540"/>
      <c r="K496" s="540"/>
      <c r="L496" s="540"/>
      <c r="M496" s="540"/>
      <c r="N496" s="564" t="e">
        <f>J496*INDEX([2]Pedidos!$Q:$Q,MATCH(F496,[2]Pedidos!$E:$E,0))</f>
        <v>#N/A</v>
      </c>
      <c r="O496" s="564" t="e">
        <f>K496*INDEX([2]Pedidos!$Q:$Q,MATCH(G496,[2]Pedidos!$E:$E,0))</f>
        <v>#N/A</v>
      </c>
      <c r="P496" s="564" t="e">
        <f>M496*INDEX([2]Pedidos!$Q:$Q,MATCH(H496,[2]Pedidos!$E:$E,0))</f>
        <v>#N/A</v>
      </c>
    </row>
    <row r="497" spans="1:18" x14ac:dyDescent="0.25">
      <c r="A497" s="753"/>
      <c r="C497" s="452" t="s">
        <v>1034</v>
      </c>
      <c r="D497" s="453">
        <f t="shared" si="118"/>
        <v>46187</v>
      </c>
      <c r="E497" s="454" t="s">
        <v>164</v>
      </c>
      <c r="F497" s="517"/>
      <c r="G497" s="512"/>
      <c r="H497" s="505"/>
      <c r="I497" s="505"/>
      <c r="J497" s="540"/>
      <c r="K497" s="540"/>
      <c r="L497" s="540"/>
      <c r="M497" s="540"/>
      <c r="N497" s="564" t="e">
        <f>J497*INDEX([2]Pedidos!$Q:$Q,MATCH(F497,[2]Pedidos!$E:$E,0))</f>
        <v>#N/A</v>
      </c>
      <c r="O497" s="564" t="e">
        <f>K497*INDEX([2]Pedidos!$Q:$Q,MATCH(G497,[2]Pedidos!$E:$E,0))</f>
        <v>#N/A</v>
      </c>
      <c r="P497" s="564" t="e">
        <f>M497*INDEX([2]Pedidos!$Q:$Q,MATCH(H497,[2]Pedidos!$E:$E,0))</f>
        <v>#N/A</v>
      </c>
    </row>
    <row r="498" spans="1:18" x14ac:dyDescent="0.25">
      <c r="A498" s="753"/>
      <c r="C498" s="452" t="s">
        <v>1034</v>
      </c>
      <c r="D498" s="453">
        <f t="shared" si="118"/>
        <v>46187</v>
      </c>
      <c r="E498" s="454" t="s">
        <v>165</v>
      </c>
      <c r="F498" s="517"/>
      <c r="G498" s="512"/>
      <c r="H498" s="505"/>
      <c r="I498" s="505"/>
      <c r="J498" s="540"/>
      <c r="K498" s="540"/>
      <c r="L498" s="540"/>
      <c r="M498" s="540"/>
      <c r="N498" s="564" t="e">
        <f>J498*INDEX([2]Pedidos!$Q:$Q,MATCH(F498,[2]Pedidos!$E:$E,0))</f>
        <v>#N/A</v>
      </c>
      <c r="O498" s="564" t="e">
        <f>K498*INDEX([2]Pedidos!$Q:$Q,MATCH(G498,[2]Pedidos!$E:$E,0))</f>
        <v>#N/A</v>
      </c>
      <c r="P498" s="564" t="e">
        <f>M498*INDEX([2]Pedidos!$Q:$Q,MATCH(H498,[2]Pedidos!$E:$E,0))</f>
        <v>#N/A</v>
      </c>
    </row>
    <row r="499" spans="1:18" x14ac:dyDescent="0.25">
      <c r="A499" s="753"/>
      <c r="C499" s="452" t="s">
        <v>1034</v>
      </c>
      <c r="D499" s="453">
        <f t="shared" si="118"/>
        <v>46187</v>
      </c>
      <c r="E499" s="454" t="s">
        <v>166</v>
      </c>
      <c r="F499" s="517"/>
      <c r="G499" s="512"/>
      <c r="H499" s="505"/>
      <c r="I499" s="505"/>
      <c r="J499" s="540"/>
      <c r="K499" s="540"/>
      <c r="L499" s="540"/>
      <c r="M499" s="540"/>
      <c r="N499" s="564" t="e">
        <f>J499*INDEX([2]Pedidos!$Q:$Q,MATCH(F499,[2]Pedidos!$E:$E,0))</f>
        <v>#N/A</v>
      </c>
      <c r="O499" s="564" t="e">
        <f>K499*INDEX([2]Pedidos!$Q:$Q,MATCH(G499,[2]Pedidos!$E:$E,0))</f>
        <v>#N/A</v>
      </c>
      <c r="P499" s="564" t="e">
        <f>M499*INDEX([2]Pedidos!$Q:$Q,MATCH(H499,[2]Pedidos!$E:$E,0))</f>
        <v>#N/A</v>
      </c>
    </row>
    <row r="500" spans="1:18" x14ac:dyDescent="0.25">
      <c r="A500" s="753"/>
      <c r="C500" s="452" t="s">
        <v>1034</v>
      </c>
      <c r="D500" s="453">
        <f t="shared" si="118"/>
        <v>46187</v>
      </c>
      <c r="E500" s="454" t="s">
        <v>576</v>
      </c>
      <c r="F500" s="517"/>
      <c r="G500" s="512"/>
      <c r="H500" s="505"/>
      <c r="I500" s="505"/>
      <c r="J500" s="541" cm="1">
        <f t="array" aca="1" ref="J500" ca="1">IFERROR(_xlfn.LET(_xlpm.produto,TRIM(F500)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0" s="541" cm="1">
        <f t="array" aca="1" ref="K500" ca="1">IFERROR(_xlfn.LET(_xlpm.produto,TRIM(G500)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0" s="541"/>
      <c r="M500" s="541" cm="1">
        <f t="array" aca="1" ref="M500" ca="1">IFERROR(_xlfn.LET(_xlpm.produto,TRIM(H500)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0" s="556"/>
      <c r="O500" s="556"/>
      <c r="P500" s="556"/>
    </row>
    <row r="501" spans="1:18" x14ac:dyDescent="0.25">
      <c r="A501" s="753"/>
      <c r="C501" s="452" t="s">
        <v>1034</v>
      </c>
      <c r="D501" s="449">
        <f t="shared" si="118"/>
        <v>46187</v>
      </c>
      <c r="E501" s="454" t="s">
        <v>167</v>
      </c>
      <c r="F501" s="517"/>
      <c r="G501" s="512"/>
      <c r="H501" s="505"/>
      <c r="I501" s="505"/>
      <c r="J501" s="540"/>
      <c r="K501" s="540"/>
      <c r="L501" s="540"/>
      <c r="M501" s="540"/>
      <c r="N501" s="565" t="e">
        <f>J501*INDEX([2]Pedidos!$Q:$Q,MATCH(F501,[2]Pedidos!$E:$E,0))</f>
        <v>#N/A</v>
      </c>
      <c r="O501" s="565" t="e">
        <f>K501*INDEX([2]Pedidos!$Q:$Q,MATCH(G501,[2]Pedidos!$E:$E,0))</f>
        <v>#N/A</v>
      </c>
      <c r="P501" s="565" t="e">
        <f>M501*INDEX([2]Pedidos!$Q:$Q,MATCH(H501,[2]Pedidos!$E:$E,0))</f>
        <v>#N/A</v>
      </c>
    </row>
    <row r="502" spans="1:18" x14ac:dyDescent="0.25">
      <c r="A502" s="753"/>
      <c r="C502" s="452" t="s">
        <v>1034</v>
      </c>
      <c r="D502" s="449">
        <f t="shared" si="118"/>
        <v>46187</v>
      </c>
      <c r="E502" s="454" t="s">
        <v>168</v>
      </c>
      <c r="F502" s="517"/>
      <c r="G502" s="512"/>
      <c r="H502" s="505"/>
      <c r="I502" s="505"/>
      <c r="J502" s="540"/>
      <c r="K502" s="540"/>
      <c r="L502" s="540"/>
      <c r="M502" s="540"/>
      <c r="N502" s="565" t="e">
        <f>J502*INDEX([2]Pedidos!$Q:$Q,MATCH(F502,[2]Pedidos!$E:$E,0))</f>
        <v>#N/A</v>
      </c>
      <c r="O502" s="565" t="e">
        <f>K502*INDEX([2]Pedidos!$Q:$Q,MATCH(G502,[2]Pedidos!$E:$E,0))</f>
        <v>#N/A</v>
      </c>
      <c r="P502" s="565" t="e">
        <f>M502*INDEX([2]Pedidos!$Q:$Q,MATCH(H502,[2]Pedidos!$E:$E,0))</f>
        <v>#N/A</v>
      </c>
    </row>
    <row r="503" spans="1:18" x14ac:dyDescent="0.25">
      <c r="A503" s="753"/>
      <c r="C503" s="452" t="s">
        <v>1034</v>
      </c>
      <c r="D503" s="449">
        <f t="shared" si="118"/>
        <v>46187</v>
      </c>
      <c r="E503" s="454" t="s">
        <v>169</v>
      </c>
      <c r="F503" s="517"/>
      <c r="G503" s="512"/>
      <c r="H503" s="505"/>
      <c r="I503" s="505"/>
      <c r="J503" s="540"/>
      <c r="K503" s="540"/>
      <c r="L503" s="540"/>
      <c r="M503" s="540"/>
      <c r="N503" s="565" t="e">
        <f>J503*INDEX([2]Pedidos!$Q:$Q,MATCH(F503,[2]Pedidos!$E:$E,0))</f>
        <v>#N/A</v>
      </c>
      <c r="O503" s="565" t="e">
        <f>K503*INDEX([2]Pedidos!$Q:$Q,MATCH(G503,[2]Pedidos!$E:$E,0))</f>
        <v>#N/A</v>
      </c>
      <c r="P503" s="565" t="e">
        <f>M503*INDEX([2]Pedidos!$Q:$Q,MATCH(H503,[2]Pedidos!$E:$E,0))</f>
        <v>#N/A</v>
      </c>
    </row>
    <row r="504" spans="1:18" x14ac:dyDescent="0.25">
      <c r="A504" s="753"/>
      <c r="C504" s="452" t="s">
        <v>1034</v>
      </c>
      <c r="D504" s="449">
        <f t="shared" si="118"/>
        <v>46187</v>
      </c>
      <c r="E504" s="454" t="s">
        <v>170</v>
      </c>
      <c r="F504" s="517"/>
      <c r="G504" s="512"/>
      <c r="H504" s="505"/>
      <c r="I504" s="505"/>
      <c r="J504" s="540"/>
      <c r="K504" s="540"/>
      <c r="L504" s="540"/>
      <c r="M504" s="540"/>
      <c r="N504" s="566" t="e">
        <f>J504*INDEX([2]Pedidos!$Q:$Q,MATCH(F504,[2]Pedidos!$E:$E,0))</f>
        <v>#N/A</v>
      </c>
      <c r="O504" s="566" t="e">
        <f>K504*INDEX([2]Pedidos!$Q:$Q,MATCH(G504,[2]Pedidos!$E:$E,0))</f>
        <v>#N/A</v>
      </c>
      <c r="P504" s="566" t="e">
        <f>M504*INDEX([2]Pedidos!$Q:$Q,MATCH(H504,[2]Pedidos!$E:$E,0))</f>
        <v>#N/A</v>
      </c>
    </row>
    <row r="505" spans="1:18" x14ac:dyDescent="0.25">
      <c r="A505" s="753"/>
      <c r="C505" s="452" t="s">
        <v>1034</v>
      </c>
      <c r="D505" s="449">
        <f t="shared" si="118"/>
        <v>46187</v>
      </c>
      <c r="E505" s="454" t="s">
        <v>585</v>
      </c>
      <c r="F505" s="505"/>
      <c r="G505" s="505"/>
      <c r="H505" s="516"/>
      <c r="I505" s="516"/>
      <c r="J505" s="516" cm="1">
        <f t="array" aca="1" ref="J505" ca="1">IFERROR(_xlfn.LET(_xlpm.produto,TRIM(F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5" s="516" cm="1">
        <f t="array" aca="1" ref="K505" ca="1">IFERROR(_xlfn.LET(_xlpm.produto,TRIM(G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5" s="516"/>
      <c r="M505" s="516" cm="1">
        <f t="array" aca="1" ref="M505" ca="1">IFERROR(_xlfn.LET(_xlpm.produto,TRIM(H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5" s="557"/>
      <c r="O505" s="557"/>
      <c r="P505" s="557"/>
    </row>
    <row r="506" spans="1:18" x14ac:dyDescent="0.25">
      <c r="A506" s="753"/>
      <c r="C506" s="452" t="s">
        <v>1034</v>
      </c>
      <c r="D506" s="449">
        <f t="shared" si="118"/>
        <v>46187</v>
      </c>
      <c r="E506" s="455" t="s">
        <v>574</v>
      </c>
      <c r="F506" s="505"/>
      <c r="G506" s="505"/>
      <c r="H506" s="516"/>
      <c r="I506" s="516"/>
      <c r="J506" s="516" cm="1">
        <f t="array" aca="1" ref="J506" ca="1">IFERROR(_xlfn.LET(_xlpm.produto,TRIM(F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6" s="516" cm="1">
        <f t="array" aca="1" ref="K506" ca="1">IFERROR(_xlfn.LET(_xlpm.produto,TRIM(G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6" s="516"/>
      <c r="M506" s="516" cm="1">
        <f t="array" aca="1" ref="M506" ca="1">IFERROR(_xlfn.LET(_xlpm.produto,TRIM(H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6" s="557"/>
      <c r="O506" s="557"/>
      <c r="P506" s="557"/>
    </row>
    <row r="507" spans="1:18" x14ac:dyDescent="0.25">
      <c r="A507" s="753"/>
      <c r="C507" s="452" t="s">
        <v>1034</v>
      </c>
      <c r="D507" s="449">
        <f t="shared" si="118"/>
        <v>46187</v>
      </c>
      <c r="E507" s="455" t="s">
        <v>575</v>
      </c>
      <c r="F507" s="506"/>
      <c r="G507" s="506"/>
      <c r="H507" s="516"/>
      <c r="I507" s="516"/>
      <c r="J507" s="516" cm="1">
        <f t="array" aca="1" ref="J507" ca="1">IFERROR(_xlfn.LET(_xlpm.produto,TRIM(F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7" s="516" cm="1">
        <f t="array" aca="1" ref="K507" ca="1">IFERROR(_xlfn.LET(_xlpm.produto,TRIM(G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7" s="516"/>
      <c r="M507" s="516" cm="1">
        <f t="array" aca="1" ref="M507" ca="1">IFERROR(_xlfn.LET(_xlpm.produto,TRIM(H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7" s="557"/>
      <c r="O507" s="557"/>
      <c r="P507" s="557"/>
    </row>
    <row r="508" spans="1:18" x14ac:dyDescent="0.25">
      <c r="A508" s="753"/>
      <c r="C508" s="452" t="s">
        <v>1034</v>
      </c>
      <c r="D508" s="449">
        <f t="shared" si="118"/>
        <v>46187</v>
      </c>
      <c r="E508" s="503" t="s">
        <v>583</v>
      </c>
      <c r="F508" s="506"/>
      <c r="G508" s="506"/>
      <c r="H508" s="516"/>
      <c r="I508" s="516"/>
      <c r="J508" s="516" cm="1">
        <f t="array" aca="1" ref="J508" ca="1">IFERROR(_xlfn.LET(_xlpm.produto,TRIM(F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8" s="516" cm="1">
        <f t="array" aca="1" ref="K508" ca="1">IFERROR(_xlfn.LET(_xlpm.produto,TRIM(G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8" s="516"/>
      <c r="M508" s="516" cm="1">
        <f t="array" aca="1" ref="M508" ca="1">IFERROR(_xlfn.LET(_xlpm.produto,TRIM(H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8" s="557"/>
      <c r="O508" s="557"/>
      <c r="P508" s="557"/>
    </row>
    <row r="509" spans="1:18" ht="15.75" thickBot="1" x14ac:dyDescent="0.3">
      <c r="A509" s="753"/>
      <c r="C509" s="530" t="s">
        <v>1034</v>
      </c>
      <c r="D509" s="451">
        <f t="shared" si="118"/>
        <v>46187</v>
      </c>
      <c r="E509" s="459" t="s">
        <v>584</v>
      </c>
      <c r="F509" s="493"/>
      <c r="G509" s="493"/>
      <c r="H509" s="513"/>
      <c r="I509" s="513"/>
      <c r="J509" s="513" cm="1">
        <f t="array" aca="1" ref="J509" ca="1">IFERROR(_xlfn.LET(_xlpm.produto,TRIM(F509)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9" s="513" cm="1">
        <f t="array" aca="1" ref="K509" ca="1">IFERROR(_xlfn.LET(_xlpm.produto,TRIM(G509)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9" s="513"/>
      <c r="M509" s="513" cm="1">
        <f t="array" aca="1" ref="M509" ca="1">IFERROR(_xlfn.LET(_xlpm.produto,TRIM(H509)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09" s="558"/>
      <c r="O509" s="558"/>
      <c r="P509" s="558"/>
    </row>
    <row r="510" spans="1:18" ht="15.75" thickBot="1" x14ac:dyDescent="0.3"/>
    <row r="511" spans="1:18" ht="15.75" thickBot="1" x14ac:dyDescent="0.3">
      <c r="A511" s="753" t="s">
        <v>1789</v>
      </c>
      <c r="C511" s="538"/>
      <c r="D511" s="539"/>
      <c r="E511" s="539"/>
      <c r="F511" s="539"/>
      <c r="G511" s="539"/>
      <c r="H511" s="539"/>
      <c r="I511" s="539"/>
      <c r="J511" s="606">
        <f t="shared" ref="J511:M511" ca="1" si="119">_xlfn.AGGREGATE(9,6,J512:J527)</f>
        <v>11900</v>
      </c>
      <c r="K511" s="607">
        <f t="shared" ca="1" si="119"/>
        <v>10240</v>
      </c>
      <c r="L511" s="607"/>
      <c r="M511" s="544">
        <f t="shared" ca="1" si="119"/>
        <v>0</v>
      </c>
      <c r="N511" s="560">
        <f t="shared" ref="N511:P511" si="120">_xlfn.AGGREGATE(9,6,N512:N527)</f>
        <v>8585</v>
      </c>
      <c r="O511" s="561">
        <f t="shared" si="120"/>
        <v>10604</v>
      </c>
      <c r="P511" s="562">
        <f t="shared" si="120"/>
        <v>0</v>
      </c>
      <c r="Q511" s="548">
        <f ca="1">SUM(J511:M511)</f>
        <v>22140</v>
      </c>
      <c r="R511" s="549">
        <f>SUM(N511:P511)</f>
        <v>19189</v>
      </c>
    </row>
    <row r="512" spans="1:18" x14ac:dyDescent="0.25">
      <c r="A512" s="753"/>
      <c r="C512" s="452" t="s">
        <v>1831</v>
      </c>
      <c r="D512" s="497">
        <f>D509+1</f>
        <v>46188</v>
      </c>
      <c r="E512" s="498" t="s">
        <v>573</v>
      </c>
      <c r="F512" s="681" t="s">
        <v>1787</v>
      </c>
      <c r="G512" s="460" t="s">
        <v>1854</v>
      </c>
      <c r="H512" s="460"/>
      <c r="I512" s="725"/>
      <c r="J512" s="684">
        <v>850</v>
      </c>
      <c r="K512" s="684">
        <v>830</v>
      </c>
      <c r="L512" s="683"/>
      <c r="M512" s="683"/>
      <c r="N512" s="695">
        <f>J512*INDEX([2]Pedidos!$Q:$Q,MATCH(F512,[2]Pedidos!$E:$E,0))</f>
        <v>722.50000000000011</v>
      </c>
      <c r="O512" s="695">
        <f>K512*INDEX([2]Pedidos!$Q:$Q,MATCH(G512,[2]Pedidos!$E:$E,0))</f>
        <v>913.00000000000011</v>
      </c>
      <c r="P512" s="695" t="e">
        <f>M512*INDEX([2]Pedidos!$Q:$Q,MATCH(H512,[2]Pedidos!$E:$E,0))</f>
        <v>#N/A</v>
      </c>
    </row>
    <row r="513" spans="1:16" x14ac:dyDescent="0.25">
      <c r="A513" s="753"/>
      <c r="C513" s="452" t="s">
        <v>1831</v>
      </c>
      <c r="D513" s="499">
        <f t="shared" ref="D513:D527" si="121">D512</f>
        <v>46188</v>
      </c>
      <c r="E513" s="500" t="s">
        <v>162</v>
      </c>
      <c r="F513" s="460" t="s">
        <v>1787</v>
      </c>
      <c r="G513" s="460" t="s">
        <v>1854</v>
      </c>
      <c r="H513" s="460"/>
      <c r="I513" s="725"/>
      <c r="J513" s="684">
        <v>850</v>
      </c>
      <c r="K513" s="684">
        <v>830</v>
      </c>
      <c r="L513" s="683"/>
      <c r="M513" s="540"/>
      <c r="N513" s="555">
        <f>J513*INDEX([2]Pedidos!$Q:$Q,MATCH(F513,[2]Pedidos!$E:$E,0))</f>
        <v>722.50000000000011</v>
      </c>
      <c r="O513" s="555">
        <f>K513*INDEX([2]Pedidos!$Q:$Q,MATCH(G513,[2]Pedidos!$E:$E,0))</f>
        <v>913.00000000000011</v>
      </c>
      <c r="P513" s="555" t="e">
        <f>M513*INDEX([2]Pedidos!$Q:$Q,MATCH(H513,[2]Pedidos!$E:$E,0))</f>
        <v>#N/A</v>
      </c>
    </row>
    <row r="514" spans="1:16" x14ac:dyDescent="0.25">
      <c r="A514" s="753"/>
      <c r="C514" s="452" t="s">
        <v>1831</v>
      </c>
      <c r="D514" s="449">
        <f t="shared" si="121"/>
        <v>46188</v>
      </c>
      <c r="E514" s="454" t="s">
        <v>163</v>
      </c>
      <c r="F514" s="460" t="s">
        <v>1787</v>
      </c>
      <c r="G514" s="460" t="s">
        <v>1854</v>
      </c>
      <c r="H514" s="460"/>
      <c r="I514" s="725"/>
      <c r="J514" s="684">
        <v>850</v>
      </c>
      <c r="K514" s="684">
        <v>830</v>
      </c>
      <c r="L514" s="683"/>
      <c r="M514" s="540"/>
      <c r="N514" s="564">
        <f>J514*INDEX([2]Pedidos!$Q:$Q,MATCH(F514,[2]Pedidos!$E:$E,0))</f>
        <v>722.50000000000011</v>
      </c>
      <c r="O514" s="564">
        <f>K514*INDEX([2]Pedidos!$Q:$Q,MATCH(G514,[2]Pedidos!$E:$E,0))</f>
        <v>913.00000000000011</v>
      </c>
      <c r="P514" s="564" t="e">
        <f>M514*INDEX([2]Pedidos!$Q:$Q,MATCH(H514,[2]Pedidos!$E:$E,0))</f>
        <v>#N/A</v>
      </c>
    </row>
    <row r="515" spans="1:16" x14ac:dyDescent="0.25">
      <c r="A515" s="753"/>
      <c r="C515" s="452" t="s">
        <v>1831</v>
      </c>
      <c r="D515" s="449">
        <f t="shared" si="121"/>
        <v>46188</v>
      </c>
      <c r="E515" s="454" t="s">
        <v>164</v>
      </c>
      <c r="F515" s="460" t="s">
        <v>1787</v>
      </c>
      <c r="G515" s="460" t="s">
        <v>1854</v>
      </c>
      <c r="H515" s="460"/>
      <c r="I515" s="725"/>
      <c r="J515" s="684">
        <v>850</v>
      </c>
      <c r="K515" s="684">
        <v>830</v>
      </c>
      <c r="L515" s="683"/>
      <c r="M515" s="540"/>
      <c r="N515" s="564">
        <f>J515*INDEX([2]Pedidos!$Q:$Q,MATCH(F515,[2]Pedidos!$E:$E,0))</f>
        <v>722.50000000000011</v>
      </c>
      <c r="O515" s="564">
        <f>K515*INDEX([2]Pedidos!$Q:$Q,MATCH(G515,[2]Pedidos!$E:$E,0))</f>
        <v>913.00000000000011</v>
      </c>
      <c r="P515" s="564" t="e">
        <f>M515*INDEX([2]Pedidos!$Q:$Q,MATCH(H515,[2]Pedidos!$E:$E,0))</f>
        <v>#N/A</v>
      </c>
    </row>
    <row r="516" spans="1:16" x14ac:dyDescent="0.25">
      <c r="A516" s="753"/>
      <c r="C516" s="452" t="s">
        <v>1831</v>
      </c>
      <c r="D516" s="449">
        <f t="shared" si="121"/>
        <v>46188</v>
      </c>
      <c r="E516" s="454" t="s">
        <v>165</v>
      </c>
      <c r="F516" s="460" t="s">
        <v>1788</v>
      </c>
      <c r="G516" s="460" t="s">
        <v>1854</v>
      </c>
      <c r="H516" s="460"/>
      <c r="I516" s="725"/>
      <c r="J516" s="684">
        <v>850</v>
      </c>
      <c r="K516" s="540">
        <v>830</v>
      </c>
      <c r="L516" s="540"/>
      <c r="M516" s="540"/>
      <c r="N516" s="564">
        <f>J516*INDEX([2]Pedidos!$Q:$Q,MATCH(F516,[2]Pedidos!$E:$E,0))</f>
        <v>722.5</v>
      </c>
      <c r="O516" s="564">
        <f>K516*INDEX([2]Pedidos!$Q:$Q,MATCH(G516,[2]Pedidos!$E:$E,0))</f>
        <v>913.00000000000011</v>
      </c>
      <c r="P516" s="564" t="e">
        <f>M516*INDEX([2]Pedidos!$Q:$Q,MATCH(H516,[2]Pedidos!$E:$E,0))</f>
        <v>#N/A</v>
      </c>
    </row>
    <row r="517" spans="1:16" x14ac:dyDescent="0.25">
      <c r="A517" s="753"/>
      <c r="C517" s="452" t="s">
        <v>1831</v>
      </c>
      <c r="D517" s="449">
        <f t="shared" si="121"/>
        <v>46188</v>
      </c>
      <c r="E517" s="454" t="s">
        <v>166</v>
      </c>
      <c r="F517" s="512"/>
      <c r="G517" s="512"/>
      <c r="H517" s="512"/>
      <c r="I517" s="512"/>
      <c r="J517" s="541" cm="1">
        <f t="array" aca="1" ref="J517" ca="1">IFERROR(_xlfn.LET(_xlpm.produto,TRIM(F517)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17" s="541" cm="1">
        <f t="array" aca="1" ref="K517" ca="1">IFERROR(_xlfn.LET(_xlpm.produto,TRIM(G517)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17" s="541"/>
      <c r="M517" s="541" cm="1">
        <f t="array" aca="1" ref="M517" ca="1">IFERROR(_xlfn.LET(_xlpm.produto,TRIM(H517)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17" s="556"/>
      <c r="O517" s="556"/>
      <c r="P517" s="556"/>
    </row>
    <row r="518" spans="1:16" x14ac:dyDescent="0.25">
      <c r="A518" s="753"/>
      <c r="C518" s="452" t="s">
        <v>1831</v>
      </c>
      <c r="D518" s="449">
        <f t="shared" si="121"/>
        <v>46188</v>
      </c>
      <c r="E518" s="454" t="s">
        <v>576</v>
      </c>
      <c r="F518" s="461" t="s">
        <v>1788</v>
      </c>
      <c r="G518" s="460" t="s">
        <v>1854</v>
      </c>
      <c r="H518" s="460"/>
      <c r="I518" s="725"/>
      <c r="J518" s="684">
        <v>850</v>
      </c>
      <c r="K518" s="540">
        <v>830</v>
      </c>
      <c r="L518" s="679"/>
      <c r="M518" s="679"/>
      <c r="N518" s="565">
        <f>J518*INDEX([2]Pedidos!$Q:$Q,MATCH(F518,[2]Pedidos!$E:$E,0))</f>
        <v>722.5</v>
      </c>
      <c r="O518" s="565">
        <f>K518*INDEX([2]Pedidos!$Q:$Q,MATCH(G518,[2]Pedidos!$E:$E,0))</f>
        <v>913.00000000000011</v>
      </c>
      <c r="P518" s="565" t="e">
        <f>M518*INDEX([2]Pedidos!$Q:$Q,MATCH(H518,[2]Pedidos!$E:$E,0))</f>
        <v>#N/A</v>
      </c>
    </row>
    <row r="519" spans="1:16" x14ac:dyDescent="0.25">
      <c r="A519" s="753"/>
      <c r="C519" s="452" t="s">
        <v>1831</v>
      </c>
      <c r="D519" s="449">
        <f t="shared" si="121"/>
        <v>46188</v>
      </c>
      <c r="E519" s="454" t="s">
        <v>167</v>
      </c>
      <c r="F519" s="460" t="s">
        <v>1788</v>
      </c>
      <c r="G519" s="460" t="s">
        <v>1854</v>
      </c>
      <c r="H519" s="460"/>
      <c r="I519" s="725"/>
      <c r="J519" s="684">
        <v>850</v>
      </c>
      <c r="K519" s="540">
        <v>830</v>
      </c>
      <c r="L519" s="540"/>
      <c r="M519" s="540"/>
      <c r="N519" s="565">
        <f>J519*INDEX([2]Pedidos!$Q:$Q,MATCH(F519,[2]Pedidos!$E:$E,0))</f>
        <v>722.5</v>
      </c>
      <c r="O519" s="565">
        <f>K519*INDEX([2]Pedidos!$Q:$Q,MATCH(G519,[2]Pedidos!$E:$E,0))</f>
        <v>913.00000000000011</v>
      </c>
      <c r="P519" s="565" t="e">
        <f>M519*INDEX([2]Pedidos!$Q:$Q,MATCH(H519,[2]Pedidos!$E:$E,0))</f>
        <v>#N/A</v>
      </c>
    </row>
    <row r="520" spans="1:16" x14ac:dyDescent="0.25">
      <c r="A520" s="753"/>
      <c r="C520" s="452" t="s">
        <v>1831</v>
      </c>
      <c r="D520" s="449">
        <f t="shared" si="121"/>
        <v>46188</v>
      </c>
      <c r="E520" s="454" t="s">
        <v>168</v>
      </c>
      <c r="F520" s="460" t="s">
        <v>1788</v>
      </c>
      <c r="G520" s="460" t="s">
        <v>1854</v>
      </c>
      <c r="H520" s="460"/>
      <c r="I520" s="725"/>
      <c r="J520" s="684">
        <v>850</v>
      </c>
      <c r="K520" s="540">
        <v>830</v>
      </c>
      <c r="L520" s="540"/>
      <c r="M520" s="540"/>
      <c r="N520" s="565">
        <f>J520*INDEX([2]Pedidos!$Q:$Q,MATCH(F520,[2]Pedidos!$E:$E,0))</f>
        <v>722.5</v>
      </c>
      <c r="O520" s="565">
        <f>K520*INDEX([2]Pedidos!$Q:$Q,MATCH(G520,[2]Pedidos!$E:$E,0))</f>
        <v>913.00000000000011</v>
      </c>
      <c r="P520" s="565" t="e">
        <f>M520*INDEX([2]Pedidos!$Q:$Q,MATCH(H520,[2]Pedidos!$E:$E,0))</f>
        <v>#N/A</v>
      </c>
    </row>
    <row r="521" spans="1:16" x14ac:dyDescent="0.25">
      <c r="A521" s="753"/>
      <c r="C521" s="452" t="s">
        <v>1831</v>
      </c>
      <c r="D521" s="449">
        <f t="shared" si="121"/>
        <v>46188</v>
      </c>
      <c r="E521" s="454" t="s">
        <v>169</v>
      </c>
      <c r="F521" s="460" t="s">
        <v>1805</v>
      </c>
      <c r="G521" s="460" t="s">
        <v>1854</v>
      </c>
      <c r="H521" s="460"/>
      <c r="I521" s="725"/>
      <c r="J521" s="684">
        <v>850</v>
      </c>
      <c r="K521" s="540">
        <v>600</v>
      </c>
      <c r="L521" s="540"/>
      <c r="M521" s="540"/>
      <c r="N521" s="565">
        <f>J521*INDEX([2]Pedidos!$Q:$Q,MATCH(F521,[2]Pedidos!$E:$E,0))</f>
        <v>467.50000000000006</v>
      </c>
      <c r="O521" s="565">
        <f>K521*INDEX([2]Pedidos!$Q:$Q,MATCH(G521,[2]Pedidos!$E:$E,0))</f>
        <v>660</v>
      </c>
      <c r="P521" s="565" t="e">
        <f>M521*INDEX([2]Pedidos!$Q:$Q,MATCH(H521,[2]Pedidos!$E:$E,0))</f>
        <v>#N/A</v>
      </c>
    </row>
    <row r="522" spans="1:16" x14ac:dyDescent="0.25">
      <c r="A522" s="753"/>
      <c r="C522" s="452" t="s">
        <v>1831</v>
      </c>
      <c r="D522" s="449">
        <f t="shared" si="121"/>
        <v>46188</v>
      </c>
      <c r="E522" s="454" t="s">
        <v>170</v>
      </c>
      <c r="F522" s="460" t="s">
        <v>1805</v>
      </c>
      <c r="G522" s="460" t="s">
        <v>1854</v>
      </c>
      <c r="H522" s="460"/>
      <c r="I522" s="725"/>
      <c r="J522" s="684">
        <v>850</v>
      </c>
      <c r="K522" s="540">
        <v>600</v>
      </c>
      <c r="L522" s="540"/>
      <c r="M522" s="540"/>
      <c r="N522" s="566">
        <f>J522*INDEX([2]Pedidos!$Q:$Q,MATCH(F522,[2]Pedidos!$E:$E,0))</f>
        <v>467.50000000000006</v>
      </c>
      <c r="O522" s="566">
        <f>K522*INDEX([2]Pedidos!$Q:$Q,MATCH(G522,[2]Pedidos!$E:$E,0))</f>
        <v>660</v>
      </c>
      <c r="P522" s="566" t="e">
        <f>M522*INDEX([2]Pedidos!$Q:$Q,MATCH(H522,[2]Pedidos!$E:$E,0))</f>
        <v>#N/A</v>
      </c>
    </row>
    <row r="523" spans="1:16" x14ac:dyDescent="0.25">
      <c r="A523" s="753"/>
      <c r="C523" s="452" t="s">
        <v>1831</v>
      </c>
      <c r="D523" s="449">
        <f t="shared" si="121"/>
        <v>46188</v>
      </c>
      <c r="E523" s="454" t="s">
        <v>585</v>
      </c>
      <c r="F523" s="460" t="s">
        <v>1805</v>
      </c>
      <c r="G523" s="460" t="s">
        <v>1854</v>
      </c>
      <c r="H523" s="460"/>
      <c r="I523" s="725"/>
      <c r="J523" s="684">
        <v>850</v>
      </c>
      <c r="K523" s="540">
        <v>600</v>
      </c>
      <c r="L523" s="683"/>
      <c r="M523" s="684"/>
      <c r="N523" s="566">
        <f>J523*INDEX([2]Pedidos!$Q:$Q,MATCH(F523,[2]Pedidos!$E:$E,0))</f>
        <v>467.50000000000006</v>
      </c>
      <c r="O523" s="566">
        <f>K523*INDEX([2]Pedidos!$Q:$Q,MATCH(G523,[2]Pedidos!$E:$E,0))</f>
        <v>660</v>
      </c>
      <c r="P523" s="566" t="e">
        <f>M523*INDEX([2]Pedidos!$Q:$Q,MATCH(H523,[2]Pedidos!$E:$E,0))</f>
        <v>#N/A</v>
      </c>
    </row>
    <row r="524" spans="1:16" x14ac:dyDescent="0.25">
      <c r="A524" s="753"/>
      <c r="C524" s="452" t="s">
        <v>1831</v>
      </c>
      <c r="D524" s="449">
        <f t="shared" si="121"/>
        <v>46188</v>
      </c>
      <c r="E524" s="455" t="s">
        <v>574</v>
      </c>
      <c r="F524" s="512"/>
      <c r="G524" s="512"/>
      <c r="H524" s="512"/>
      <c r="I524" s="512"/>
      <c r="J524" s="541" cm="1">
        <f t="array" aca="1" ref="J524" ca="1">IFERROR(_xlfn.LET(_xlpm.produto,TRIM(F524)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24" s="541" cm="1">
        <f t="array" aca="1" ref="K524" ca="1">IFERROR(_xlfn.LET(_xlpm.produto,TRIM(G524)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24" s="541"/>
      <c r="M524" s="541" cm="1">
        <f t="array" aca="1" ref="M524" ca="1">IFERROR(_xlfn.LET(_xlpm.produto,TRIM(H524)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24" s="556"/>
      <c r="O524" s="556"/>
      <c r="P524" s="556"/>
    </row>
    <row r="525" spans="1:16" x14ac:dyDescent="0.25">
      <c r="A525" s="753"/>
      <c r="C525" s="452" t="s">
        <v>1831</v>
      </c>
      <c r="D525" s="449">
        <f t="shared" si="121"/>
        <v>46188</v>
      </c>
      <c r="E525" s="455" t="s">
        <v>575</v>
      </c>
      <c r="F525" s="504" t="s">
        <v>1805</v>
      </c>
      <c r="G525" s="504" t="s">
        <v>1854</v>
      </c>
      <c r="H525" s="504"/>
      <c r="I525" s="504"/>
      <c r="J525" s="684">
        <v>850</v>
      </c>
      <c r="K525" s="540">
        <v>600</v>
      </c>
      <c r="L525" s="683"/>
      <c r="M525" s="684"/>
      <c r="N525" s="566">
        <f>J525*INDEX([2]Pedidos!$Q:$Q,MATCH(F525,[2]Pedidos!$E:$E,0))</f>
        <v>467.50000000000006</v>
      </c>
      <c r="O525" s="566">
        <f>K525*INDEX([2]Pedidos!$Q:$Q,MATCH(G525,[2]Pedidos!$E:$E,0))</f>
        <v>660</v>
      </c>
      <c r="P525" s="566" t="e">
        <f>M525*INDEX([2]Pedidos!$Q:$Q,MATCH(H525,[2]Pedidos!$E:$E,0))</f>
        <v>#N/A</v>
      </c>
    </row>
    <row r="526" spans="1:16" x14ac:dyDescent="0.25">
      <c r="A526" s="753"/>
      <c r="C526" s="452" t="s">
        <v>1831</v>
      </c>
      <c r="D526" s="449">
        <f t="shared" si="121"/>
        <v>46188</v>
      </c>
      <c r="E526" s="503" t="s">
        <v>583</v>
      </c>
      <c r="F526" s="504" t="s">
        <v>1805</v>
      </c>
      <c r="G526" s="504" t="s">
        <v>1805</v>
      </c>
      <c r="H526" s="504"/>
      <c r="I526" s="504"/>
      <c r="J526" s="684">
        <v>850</v>
      </c>
      <c r="K526" s="540">
        <v>600</v>
      </c>
      <c r="L526" s="683"/>
      <c r="M526" s="684"/>
      <c r="N526" s="566">
        <f>J526*INDEX([2]Pedidos!$Q:$Q,MATCH(F526,[2]Pedidos!$E:$E,0))</f>
        <v>467.50000000000006</v>
      </c>
      <c r="O526" s="566">
        <f>K526*INDEX([2]Pedidos!$Q:$Q,MATCH(G526,[2]Pedidos!$E:$E,0))</f>
        <v>330</v>
      </c>
      <c r="P526" s="566" t="e">
        <f>M526*INDEX([2]Pedidos!$Q:$Q,MATCH(H526,[2]Pedidos!$E:$E,0))</f>
        <v>#N/A</v>
      </c>
    </row>
    <row r="527" spans="1:16" ht="15.75" thickBot="1" x14ac:dyDescent="0.3">
      <c r="A527" s="753"/>
      <c r="C527" s="450" t="s">
        <v>1831</v>
      </c>
      <c r="D527" s="451">
        <f t="shared" si="121"/>
        <v>46188</v>
      </c>
      <c r="E527" s="459" t="s">
        <v>584</v>
      </c>
      <c r="F527" s="680" t="s">
        <v>1805</v>
      </c>
      <c r="G527" s="680" t="s">
        <v>1805</v>
      </c>
      <c r="H527" s="680"/>
      <c r="I527" s="680"/>
      <c r="J527" s="686">
        <v>850</v>
      </c>
      <c r="K527" s="714">
        <v>600</v>
      </c>
      <c r="L527" s="728"/>
      <c r="M527" s="686"/>
      <c r="N527" s="696">
        <f>J527*INDEX([2]Pedidos!$Q:$Q,MATCH(F527,[2]Pedidos!$E:$E,0))</f>
        <v>467.50000000000006</v>
      </c>
      <c r="O527" s="696">
        <f>K527*INDEX([2]Pedidos!$Q:$Q,MATCH(G527,[2]Pedidos!$E:$E,0))</f>
        <v>330</v>
      </c>
      <c r="P527" s="696" t="e">
        <f>M527*INDEX([2]Pedidos!$Q:$Q,MATCH(H527,[2]Pedidos!$E:$E,0))</f>
        <v>#N/A</v>
      </c>
    </row>
    <row r="528" spans="1:16" ht="8.25" customHeight="1" thickBot="1" x14ac:dyDescent="0.3">
      <c r="A528" s="753"/>
      <c r="J528" s="445"/>
      <c r="K528" s="445"/>
      <c r="L528" s="445"/>
      <c r="N528" s="559"/>
      <c r="O528" s="559"/>
      <c r="P528" s="559"/>
    </row>
    <row r="529" spans="1:18" ht="15.75" thickBot="1" x14ac:dyDescent="0.3">
      <c r="A529" s="753"/>
      <c r="C529" s="538"/>
      <c r="D529" s="539"/>
      <c r="E529" s="539"/>
      <c r="F529" s="539"/>
      <c r="G529" s="539"/>
      <c r="H529" s="539"/>
      <c r="I529" s="539"/>
      <c r="J529" s="606">
        <f t="shared" ref="J529:M529" ca="1" si="122">_xlfn.AGGREGATE(9,6,J530:J545)</f>
        <v>8650</v>
      </c>
      <c r="K529" s="607">
        <f t="shared" ca="1" si="122"/>
        <v>8400</v>
      </c>
      <c r="L529" s="607"/>
      <c r="M529" s="544">
        <f t="shared" ca="1" si="122"/>
        <v>0</v>
      </c>
      <c r="N529" s="560">
        <f t="shared" ref="N529:P529" si="123">_xlfn.AGGREGATE(9,6,N530:N545)</f>
        <v>4757.5</v>
      </c>
      <c r="O529" s="561">
        <f t="shared" si="123"/>
        <v>4620</v>
      </c>
      <c r="P529" s="562">
        <f t="shared" si="123"/>
        <v>0</v>
      </c>
      <c r="Q529" s="548">
        <f ca="1">SUM(J529:M529)</f>
        <v>17050</v>
      </c>
      <c r="R529" s="549">
        <f>SUM(N529:P529)</f>
        <v>9377.5</v>
      </c>
    </row>
    <row r="530" spans="1:18" x14ac:dyDescent="0.25">
      <c r="A530" s="753"/>
      <c r="C530" s="452" t="s">
        <v>1938</v>
      </c>
      <c r="D530" s="497">
        <f>D527+1</f>
        <v>46189</v>
      </c>
      <c r="E530" s="498" t="s">
        <v>573</v>
      </c>
      <c r="F530" s="681" t="s">
        <v>1805</v>
      </c>
      <c r="G530" s="460" t="s">
        <v>1805</v>
      </c>
      <c r="H530" s="460"/>
      <c r="I530" s="725"/>
      <c r="J530" s="684">
        <v>850</v>
      </c>
      <c r="K530" s="540">
        <v>600</v>
      </c>
      <c r="L530" s="683"/>
      <c r="M530" s="683"/>
      <c r="N530" s="695">
        <f>J530*INDEX([2]Pedidos!$Q:$Q,MATCH(F530,[2]Pedidos!$E:$E,0))</f>
        <v>467.50000000000006</v>
      </c>
      <c r="O530" s="695">
        <f>K530*INDEX([2]Pedidos!$Q:$Q,MATCH(G530,[2]Pedidos!$E:$E,0))</f>
        <v>330</v>
      </c>
      <c r="P530" s="695" t="e">
        <f>M530*INDEX([2]Pedidos!$Q:$Q,MATCH(H530,[2]Pedidos!$E:$E,0))</f>
        <v>#N/A</v>
      </c>
    </row>
    <row r="531" spans="1:18" x14ac:dyDescent="0.25">
      <c r="A531" s="753"/>
      <c r="C531" s="452" t="s">
        <v>1938</v>
      </c>
      <c r="D531" s="499">
        <f t="shared" ref="D531:D545" si="124">D530</f>
        <v>46189</v>
      </c>
      <c r="E531" s="500" t="s">
        <v>162</v>
      </c>
      <c r="F531" s="460" t="s">
        <v>1805</v>
      </c>
      <c r="G531" s="460" t="s">
        <v>1805</v>
      </c>
      <c r="H531" s="460"/>
      <c r="I531" s="460"/>
      <c r="J531" s="540">
        <v>600</v>
      </c>
      <c r="K531" s="540">
        <v>600</v>
      </c>
      <c r="L531" s="540"/>
      <c r="M531" s="540"/>
      <c r="N531" s="555">
        <f>J531*INDEX([2]Pedidos!$Q:$Q,MATCH(F531,[2]Pedidos!$E:$E,0))</f>
        <v>330</v>
      </c>
      <c r="O531" s="555">
        <f>K531*INDEX([2]Pedidos!$Q:$Q,MATCH(G531,[2]Pedidos!$E:$E,0))</f>
        <v>330</v>
      </c>
      <c r="P531" s="555" t="e">
        <f>M531*INDEX([2]Pedidos!$Q:$Q,MATCH(H531,[2]Pedidos!$E:$E,0))</f>
        <v>#N/A</v>
      </c>
    </row>
    <row r="532" spans="1:18" x14ac:dyDescent="0.25">
      <c r="A532" s="753"/>
      <c r="C532" s="452" t="s">
        <v>1938</v>
      </c>
      <c r="D532" s="449">
        <f t="shared" si="124"/>
        <v>46189</v>
      </c>
      <c r="E532" s="454" t="s">
        <v>163</v>
      </c>
      <c r="F532" s="460" t="s">
        <v>1805</v>
      </c>
      <c r="G532" s="460" t="s">
        <v>1805</v>
      </c>
      <c r="H532" s="460"/>
      <c r="I532" s="460"/>
      <c r="J532" s="540">
        <v>600</v>
      </c>
      <c r="K532" s="540">
        <v>600</v>
      </c>
      <c r="L532" s="540"/>
      <c r="M532" s="540"/>
      <c r="N532" s="564">
        <f>J532*INDEX([2]Pedidos!$Q:$Q,MATCH(F532,[2]Pedidos!$E:$E,0))</f>
        <v>330</v>
      </c>
      <c r="O532" s="564">
        <f>K532*INDEX([2]Pedidos!$Q:$Q,MATCH(G532,[2]Pedidos!$E:$E,0))</f>
        <v>330</v>
      </c>
      <c r="P532" s="564" t="e">
        <f>M532*INDEX([2]Pedidos!$Q:$Q,MATCH(H532,[2]Pedidos!$E:$E,0))</f>
        <v>#N/A</v>
      </c>
    </row>
    <row r="533" spans="1:18" x14ac:dyDescent="0.25">
      <c r="A533" s="753"/>
      <c r="C533" s="452" t="s">
        <v>1938</v>
      </c>
      <c r="D533" s="449">
        <f t="shared" si="124"/>
        <v>46189</v>
      </c>
      <c r="E533" s="454" t="s">
        <v>164</v>
      </c>
      <c r="F533" s="460" t="s">
        <v>1805</v>
      </c>
      <c r="G533" s="460" t="s">
        <v>1805</v>
      </c>
      <c r="H533" s="460"/>
      <c r="I533" s="460"/>
      <c r="J533" s="540">
        <v>600</v>
      </c>
      <c r="K533" s="540">
        <v>600</v>
      </c>
      <c r="L533" s="540"/>
      <c r="M533" s="540"/>
      <c r="N533" s="564">
        <f>J533*INDEX([2]Pedidos!$Q:$Q,MATCH(F533,[2]Pedidos!$E:$E,0))</f>
        <v>330</v>
      </c>
      <c r="O533" s="564">
        <f>K533*INDEX([2]Pedidos!$Q:$Q,MATCH(G533,[2]Pedidos!$E:$E,0))</f>
        <v>330</v>
      </c>
      <c r="P533" s="564" t="e">
        <f>M533*INDEX([2]Pedidos!$Q:$Q,MATCH(H533,[2]Pedidos!$E:$E,0))</f>
        <v>#N/A</v>
      </c>
    </row>
    <row r="534" spans="1:18" x14ac:dyDescent="0.25">
      <c r="A534" s="753"/>
      <c r="C534" s="452" t="s">
        <v>1938</v>
      </c>
      <c r="D534" s="449">
        <f t="shared" si="124"/>
        <v>46189</v>
      </c>
      <c r="E534" s="454" t="s">
        <v>165</v>
      </c>
      <c r="F534" s="460" t="s">
        <v>1805</v>
      </c>
      <c r="G534" s="460" t="s">
        <v>1805</v>
      </c>
      <c r="H534" s="460"/>
      <c r="I534" s="460"/>
      <c r="J534" s="540">
        <v>600</v>
      </c>
      <c r="K534" s="540">
        <v>600</v>
      </c>
      <c r="L534" s="540"/>
      <c r="M534" s="540"/>
      <c r="N534" s="564">
        <f>J534*INDEX([2]Pedidos!$Q:$Q,MATCH(F534,[2]Pedidos!$E:$E,0))</f>
        <v>330</v>
      </c>
      <c r="O534" s="564">
        <f>K534*INDEX([2]Pedidos!$Q:$Q,MATCH(G534,[2]Pedidos!$E:$E,0))</f>
        <v>330</v>
      </c>
      <c r="P534" s="564" t="e">
        <f>M534*INDEX([2]Pedidos!$Q:$Q,MATCH(H534,[2]Pedidos!$E:$E,0))</f>
        <v>#N/A</v>
      </c>
    </row>
    <row r="535" spans="1:18" x14ac:dyDescent="0.25">
      <c r="A535" s="753"/>
      <c r="C535" s="452" t="s">
        <v>1938</v>
      </c>
      <c r="D535" s="449">
        <f t="shared" si="124"/>
        <v>46189</v>
      </c>
      <c r="E535" s="454" t="s">
        <v>166</v>
      </c>
      <c r="F535" s="512"/>
      <c r="G535" s="512"/>
      <c r="H535" s="512"/>
      <c r="I535" s="512"/>
      <c r="J535" s="541" cm="1">
        <f t="array" aca="1" ref="J535" ca="1">IFERROR(_xlfn.LET(_xlpm.produto,TRIM(F535)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35" s="541" cm="1">
        <f t="array" aca="1" ref="K535" ca="1">IFERROR(_xlfn.LET(_xlpm.produto,TRIM(G535)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35" s="541"/>
      <c r="M535" s="541" cm="1">
        <f t="array" aca="1" ref="M535" ca="1">IFERROR(_xlfn.LET(_xlpm.produto,TRIM(H535)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35" s="556"/>
      <c r="O535" s="556"/>
      <c r="P535" s="556"/>
    </row>
    <row r="536" spans="1:18" x14ac:dyDescent="0.25">
      <c r="A536" s="753"/>
      <c r="C536" s="452" t="s">
        <v>1938</v>
      </c>
      <c r="D536" s="449">
        <f t="shared" si="124"/>
        <v>46189</v>
      </c>
      <c r="E536" s="454" t="s">
        <v>576</v>
      </c>
      <c r="F536" s="461" t="s">
        <v>1805</v>
      </c>
      <c r="G536" s="460" t="s">
        <v>1805</v>
      </c>
      <c r="H536" s="460"/>
      <c r="I536" s="460"/>
      <c r="J536" s="540">
        <v>600</v>
      </c>
      <c r="K536" s="540">
        <v>600</v>
      </c>
      <c r="L536" s="679"/>
      <c r="M536" s="679"/>
      <c r="N536" s="565">
        <f>J536*INDEX([2]Pedidos!$Q:$Q,MATCH(F536,[2]Pedidos!$E:$E,0))</f>
        <v>330</v>
      </c>
      <c r="O536" s="565">
        <f>K536*INDEX([2]Pedidos!$Q:$Q,MATCH(G536,[2]Pedidos!$E:$E,0))</f>
        <v>330</v>
      </c>
      <c r="P536" s="565" t="e">
        <f>M536*INDEX([2]Pedidos!$Q:$Q,MATCH(H536,[2]Pedidos!$E:$E,0))</f>
        <v>#N/A</v>
      </c>
    </row>
    <row r="537" spans="1:18" x14ac:dyDescent="0.25">
      <c r="A537" s="753"/>
      <c r="C537" s="452" t="s">
        <v>1938</v>
      </c>
      <c r="D537" s="449">
        <f t="shared" si="124"/>
        <v>46189</v>
      </c>
      <c r="E537" s="454" t="s">
        <v>167</v>
      </c>
      <c r="F537" s="460" t="s">
        <v>1864</v>
      </c>
      <c r="G537" s="460" t="s">
        <v>1864</v>
      </c>
      <c r="H537" s="460"/>
      <c r="I537" s="460"/>
      <c r="J537" s="540">
        <v>600</v>
      </c>
      <c r="K537" s="540">
        <v>600</v>
      </c>
      <c r="L537" s="540"/>
      <c r="M537" s="540"/>
      <c r="N537" s="565">
        <f>J537*INDEX([2]Pedidos!$Q:$Q,MATCH(F537,[2]Pedidos!$E:$E,0))</f>
        <v>330</v>
      </c>
      <c r="O537" s="565">
        <f>K537*INDEX([2]Pedidos!$Q:$Q,MATCH(G537,[2]Pedidos!$E:$E,0))</f>
        <v>330</v>
      </c>
      <c r="P537" s="565" t="e">
        <f>M537*INDEX([2]Pedidos!$Q:$Q,MATCH(H537,[2]Pedidos!$E:$E,0))</f>
        <v>#N/A</v>
      </c>
    </row>
    <row r="538" spans="1:18" x14ac:dyDescent="0.25">
      <c r="A538" s="753"/>
      <c r="C538" s="452" t="s">
        <v>1938</v>
      </c>
      <c r="D538" s="449">
        <f t="shared" si="124"/>
        <v>46189</v>
      </c>
      <c r="E538" s="454" t="s">
        <v>168</v>
      </c>
      <c r="F538" s="460" t="s">
        <v>1864</v>
      </c>
      <c r="G538" s="460" t="s">
        <v>1864</v>
      </c>
      <c r="H538" s="460"/>
      <c r="I538" s="460"/>
      <c r="J538" s="540">
        <v>600</v>
      </c>
      <c r="K538" s="540">
        <v>600</v>
      </c>
      <c r="L538" s="540"/>
      <c r="M538" s="540"/>
      <c r="N538" s="565">
        <f>J538*INDEX([2]Pedidos!$Q:$Q,MATCH(F538,[2]Pedidos!$E:$E,0))</f>
        <v>330</v>
      </c>
      <c r="O538" s="565">
        <f>K538*INDEX([2]Pedidos!$Q:$Q,MATCH(G538,[2]Pedidos!$E:$E,0))</f>
        <v>330</v>
      </c>
      <c r="P538" s="565" t="e">
        <f>M538*INDEX([2]Pedidos!$Q:$Q,MATCH(H538,[2]Pedidos!$E:$E,0))</f>
        <v>#N/A</v>
      </c>
    </row>
    <row r="539" spans="1:18" x14ac:dyDescent="0.25">
      <c r="A539" s="753"/>
      <c r="C539" s="452" t="s">
        <v>1938</v>
      </c>
      <c r="D539" s="449">
        <f t="shared" si="124"/>
        <v>46189</v>
      </c>
      <c r="E539" s="454" t="s">
        <v>169</v>
      </c>
      <c r="F539" s="460" t="s">
        <v>1864</v>
      </c>
      <c r="G539" s="460" t="s">
        <v>1864</v>
      </c>
      <c r="H539" s="460"/>
      <c r="I539" s="460"/>
      <c r="J539" s="540">
        <v>600</v>
      </c>
      <c r="K539" s="540">
        <v>600</v>
      </c>
      <c r="L539" s="540"/>
      <c r="M539" s="540"/>
      <c r="N539" s="565">
        <f>J539*INDEX([2]Pedidos!$Q:$Q,MATCH(F539,[2]Pedidos!$E:$E,0))</f>
        <v>330</v>
      </c>
      <c r="O539" s="565">
        <f>K539*INDEX([2]Pedidos!$Q:$Q,MATCH(G539,[2]Pedidos!$E:$E,0))</f>
        <v>330</v>
      </c>
      <c r="P539" s="565" t="e">
        <f>M539*INDEX([2]Pedidos!$Q:$Q,MATCH(H539,[2]Pedidos!$E:$E,0))</f>
        <v>#N/A</v>
      </c>
    </row>
    <row r="540" spans="1:18" x14ac:dyDescent="0.25">
      <c r="A540" s="753"/>
      <c r="C540" s="452" t="s">
        <v>1938</v>
      </c>
      <c r="D540" s="449">
        <f t="shared" si="124"/>
        <v>46189</v>
      </c>
      <c r="E540" s="454" t="s">
        <v>170</v>
      </c>
      <c r="F540" s="460" t="s">
        <v>1864</v>
      </c>
      <c r="G540" s="460" t="s">
        <v>1864</v>
      </c>
      <c r="H540" s="460"/>
      <c r="I540" s="460"/>
      <c r="J540" s="540">
        <v>600</v>
      </c>
      <c r="K540" s="540">
        <v>600</v>
      </c>
      <c r="L540" s="540"/>
      <c r="M540" s="540"/>
      <c r="N540" s="566">
        <f>J540*INDEX([2]Pedidos!$Q:$Q,MATCH(F540,[2]Pedidos!$E:$E,0))</f>
        <v>330</v>
      </c>
      <c r="O540" s="566">
        <f>K540*INDEX([2]Pedidos!$Q:$Q,MATCH(G540,[2]Pedidos!$E:$E,0))</f>
        <v>330</v>
      </c>
      <c r="P540" s="566" t="e">
        <f>M540*INDEX([2]Pedidos!$Q:$Q,MATCH(H540,[2]Pedidos!$E:$E,0))</f>
        <v>#N/A</v>
      </c>
    </row>
    <row r="541" spans="1:18" x14ac:dyDescent="0.25">
      <c r="A541" s="753"/>
      <c r="C541" s="452" t="s">
        <v>1938</v>
      </c>
      <c r="D541" s="449">
        <f t="shared" si="124"/>
        <v>46189</v>
      </c>
      <c r="E541" s="454" t="s">
        <v>585</v>
      </c>
      <c r="F541" s="460" t="s">
        <v>1864</v>
      </c>
      <c r="G541" s="460" t="s">
        <v>1864</v>
      </c>
      <c r="H541" s="460"/>
      <c r="I541" s="460"/>
      <c r="J541" s="540">
        <v>600</v>
      </c>
      <c r="K541" s="540">
        <v>600</v>
      </c>
      <c r="L541" s="683"/>
      <c r="M541" s="684"/>
      <c r="N541" s="566">
        <f>J541*INDEX([2]Pedidos!$Q:$Q,MATCH(F541,[2]Pedidos!$E:$E,0))</f>
        <v>330</v>
      </c>
      <c r="O541" s="566">
        <f>K541*INDEX([2]Pedidos!$Q:$Q,MATCH(G541,[2]Pedidos!$E:$E,0))</f>
        <v>330</v>
      </c>
      <c r="P541" s="566" t="e">
        <f>M541*INDEX([2]Pedidos!$Q:$Q,MATCH(H541,[2]Pedidos!$E:$E,0))</f>
        <v>#N/A</v>
      </c>
    </row>
    <row r="542" spans="1:18" x14ac:dyDescent="0.25">
      <c r="A542" s="753"/>
      <c r="C542" s="452" t="s">
        <v>1938</v>
      </c>
      <c r="D542" s="449">
        <f t="shared" si="124"/>
        <v>46189</v>
      </c>
      <c r="E542" s="455" t="s">
        <v>574</v>
      </c>
      <c r="F542" s="512"/>
      <c r="G542" s="512"/>
      <c r="H542" s="512"/>
      <c r="I542" s="512"/>
      <c r="J542" s="541" cm="1">
        <f t="array" aca="1" ref="J542" ca="1">IFERROR(_xlfn.LET(_xlpm.produto,TRIM(F542)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42" s="541" cm="1">
        <f t="array" aca="1" ref="K542" ca="1">IFERROR(_xlfn.LET(_xlpm.produto,TRIM(G542)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42" s="541"/>
      <c r="M542" s="541" cm="1">
        <f t="array" aca="1" ref="M542" ca="1">IFERROR(_xlfn.LET(_xlpm.produto,TRIM(H542)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42" s="556"/>
      <c r="O542" s="556"/>
      <c r="P542" s="556"/>
    </row>
    <row r="543" spans="1:18" x14ac:dyDescent="0.25">
      <c r="A543" s="753"/>
      <c r="C543" s="452" t="s">
        <v>1938</v>
      </c>
      <c r="D543" s="449">
        <f t="shared" si="124"/>
        <v>46189</v>
      </c>
      <c r="E543" s="455" t="s">
        <v>575</v>
      </c>
      <c r="F543" s="504" t="s">
        <v>1864</v>
      </c>
      <c r="G543" s="504" t="s">
        <v>1864</v>
      </c>
      <c r="H543" s="504"/>
      <c r="I543" s="725"/>
      <c r="J543" s="540">
        <v>600</v>
      </c>
      <c r="K543" s="540">
        <v>600</v>
      </c>
      <c r="L543" s="683"/>
      <c r="M543" s="684"/>
      <c r="N543" s="566">
        <f>J543*INDEX([2]Pedidos!$Q:$Q,MATCH(F543,[2]Pedidos!$E:$E,0))</f>
        <v>330</v>
      </c>
      <c r="O543" s="566">
        <f>K543*INDEX([2]Pedidos!$Q:$Q,MATCH(G543,[2]Pedidos!$E:$E,0))</f>
        <v>330</v>
      </c>
      <c r="P543" s="566" t="e">
        <f>M543*INDEX([2]Pedidos!$Q:$Q,MATCH(H543,[2]Pedidos!$E:$E,0))</f>
        <v>#N/A</v>
      </c>
    </row>
    <row r="544" spans="1:18" x14ac:dyDescent="0.25">
      <c r="A544" s="753"/>
      <c r="C544" s="452" t="s">
        <v>1938</v>
      </c>
      <c r="D544" s="449">
        <f t="shared" si="124"/>
        <v>46189</v>
      </c>
      <c r="E544" s="503" t="s">
        <v>583</v>
      </c>
      <c r="F544" s="504" t="s">
        <v>1864</v>
      </c>
      <c r="G544" s="504" t="s">
        <v>1864</v>
      </c>
      <c r="H544" s="504"/>
      <c r="I544" s="725"/>
      <c r="J544" s="540">
        <v>600</v>
      </c>
      <c r="K544" s="540">
        <v>600</v>
      </c>
      <c r="L544" s="683"/>
      <c r="M544" s="684"/>
      <c r="N544" s="566">
        <f>J544*INDEX([2]Pedidos!$Q:$Q,MATCH(F544,[2]Pedidos!$E:$E,0))</f>
        <v>330</v>
      </c>
      <c r="O544" s="566">
        <f>K544*INDEX([2]Pedidos!$Q:$Q,MATCH(G544,[2]Pedidos!$E:$E,0))</f>
        <v>330</v>
      </c>
      <c r="P544" s="566" t="e">
        <f>M544*INDEX([2]Pedidos!$Q:$Q,MATCH(H544,[2]Pedidos!$E:$E,0))</f>
        <v>#N/A</v>
      </c>
    </row>
    <row r="545" spans="1:18" ht="15.75" thickBot="1" x14ac:dyDescent="0.3">
      <c r="A545" s="753"/>
      <c r="C545" s="450" t="s">
        <v>1938</v>
      </c>
      <c r="D545" s="451">
        <f t="shared" si="124"/>
        <v>46189</v>
      </c>
      <c r="E545" s="459" t="s">
        <v>584</v>
      </c>
      <c r="F545" s="680" t="s">
        <v>1864</v>
      </c>
      <c r="G545" s="680" t="s">
        <v>1864</v>
      </c>
      <c r="H545" s="680"/>
      <c r="I545" s="726"/>
      <c r="J545" s="714">
        <v>600</v>
      </c>
      <c r="K545" s="714">
        <v>600</v>
      </c>
      <c r="L545" s="728"/>
      <c r="M545" s="686"/>
      <c r="N545" s="696">
        <f>J545*INDEX([2]Pedidos!$Q:$Q,MATCH(F545,[2]Pedidos!$E:$E,0))</f>
        <v>330</v>
      </c>
      <c r="O545" s="696">
        <f>K545*INDEX([2]Pedidos!$Q:$Q,MATCH(G545,[2]Pedidos!$E:$E,0))</f>
        <v>330</v>
      </c>
      <c r="P545" s="696" t="e">
        <f>M545*INDEX([2]Pedidos!$Q:$Q,MATCH(H545,[2]Pedidos!$E:$E,0))</f>
        <v>#N/A</v>
      </c>
    </row>
    <row r="546" spans="1:18" ht="7.5" customHeight="1" thickBot="1" x14ac:dyDescent="0.3">
      <c r="A546" s="753"/>
      <c r="J546" s="445"/>
      <c r="K546" s="445"/>
      <c r="L546" s="445"/>
      <c r="N546" s="559"/>
      <c r="O546" s="559"/>
      <c r="P546" s="559"/>
    </row>
    <row r="547" spans="1:18" ht="15.75" thickBot="1" x14ac:dyDescent="0.3">
      <c r="A547" s="753"/>
      <c r="C547" s="538"/>
      <c r="D547" s="539"/>
      <c r="E547" s="539"/>
      <c r="F547" s="539"/>
      <c r="G547" s="539"/>
      <c r="H547" s="539"/>
      <c r="I547" s="539"/>
      <c r="J547" s="606">
        <f t="shared" ref="J547:M547" ca="1" si="125">_xlfn.AGGREGATE(9,6,J548:J563)</f>
        <v>8400</v>
      </c>
      <c r="K547" s="607">
        <f t="shared" ca="1" si="125"/>
        <v>8400</v>
      </c>
      <c r="L547" s="607"/>
      <c r="M547" s="544">
        <f t="shared" ca="1" si="125"/>
        <v>0</v>
      </c>
      <c r="N547" s="560">
        <f t="shared" ref="N547:P547" si="126">_xlfn.AGGREGATE(9,6,N548:N563)</f>
        <v>1170</v>
      </c>
      <c r="O547" s="561">
        <f t="shared" si="126"/>
        <v>4620</v>
      </c>
      <c r="P547" s="562">
        <f t="shared" si="126"/>
        <v>0</v>
      </c>
      <c r="Q547" s="548">
        <f ca="1">SUM(J547:M547)</f>
        <v>16800</v>
      </c>
      <c r="R547" s="549">
        <f>SUM(N547:P547)</f>
        <v>5790</v>
      </c>
    </row>
    <row r="548" spans="1:18" x14ac:dyDescent="0.25">
      <c r="A548" s="753"/>
      <c r="C548" s="452" t="s">
        <v>1832</v>
      </c>
      <c r="D548" s="497">
        <f>D545+1</f>
        <v>46190</v>
      </c>
      <c r="E548" s="498" t="s">
        <v>573</v>
      </c>
      <c r="F548" s="681" t="s">
        <v>1902</v>
      </c>
      <c r="G548" s="460" t="s">
        <v>1864</v>
      </c>
      <c r="H548" s="460"/>
      <c r="I548" s="460"/>
      <c r="J548" s="540">
        <v>600</v>
      </c>
      <c r="K548" s="540">
        <v>600</v>
      </c>
      <c r="L548" s="683"/>
      <c r="M548" s="683"/>
      <c r="N548" s="695">
        <f>J548*INDEX([2]Pedidos!$Q:$Q,MATCH(F548,[2]Pedidos!$E:$E,0))</f>
        <v>510</v>
      </c>
      <c r="O548" s="695">
        <f>K548*INDEX([2]Pedidos!$Q:$Q,MATCH(G548,[2]Pedidos!$E:$E,0))</f>
        <v>330</v>
      </c>
      <c r="P548" s="695" t="e">
        <f>M548*INDEX([2]Pedidos!$Q:$Q,MATCH(H548,[2]Pedidos!$E:$E,0))</f>
        <v>#N/A</v>
      </c>
    </row>
    <row r="549" spans="1:18" x14ac:dyDescent="0.25">
      <c r="A549" s="753"/>
      <c r="C549" s="452" t="s">
        <v>1832</v>
      </c>
      <c r="D549" s="499">
        <f t="shared" ref="D549:D563" si="127">D548</f>
        <v>46190</v>
      </c>
      <c r="E549" s="500" t="s">
        <v>162</v>
      </c>
      <c r="F549" s="460"/>
      <c r="G549" s="460" t="s">
        <v>1864</v>
      </c>
      <c r="H549" s="460"/>
      <c r="I549" s="460"/>
      <c r="J549" s="540">
        <v>600</v>
      </c>
      <c r="K549" s="540">
        <v>600</v>
      </c>
      <c r="L549" s="540"/>
      <c r="M549" s="540"/>
      <c r="N549" s="555" t="e">
        <f>J549*INDEX([2]Pedidos!$Q:$Q,MATCH(F549,[2]Pedidos!$E:$E,0))</f>
        <v>#N/A</v>
      </c>
      <c r="O549" s="555">
        <f>K549*INDEX([2]Pedidos!$Q:$Q,MATCH(G549,[2]Pedidos!$E:$E,0))</f>
        <v>330</v>
      </c>
      <c r="P549" s="555" t="e">
        <f>M549*INDEX([2]Pedidos!$Q:$Q,MATCH(H549,[2]Pedidos!$E:$E,0))</f>
        <v>#N/A</v>
      </c>
    </row>
    <row r="550" spans="1:18" x14ac:dyDescent="0.25">
      <c r="A550" s="753"/>
      <c r="C550" s="452" t="s">
        <v>1832</v>
      </c>
      <c r="D550" s="449">
        <f t="shared" si="127"/>
        <v>46190</v>
      </c>
      <c r="E550" s="454" t="s">
        <v>163</v>
      </c>
      <c r="F550" s="460"/>
      <c r="G550" s="460" t="s">
        <v>1864</v>
      </c>
      <c r="H550" s="460"/>
      <c r="I550" s="460"/>
      <c r="J550" s="540">
        <v>600</v>
      </c>
      <c r="K550" s="540">
        <v>600</v>
      </c>
      <c r="L550" s="540"/>
      <c r="M550" s="540"/>
      <c r="N550" s="564" t="e">
        <f>J550*INDEX([2]Pedidos!$Q:$Q,MATCH(F550,[2]Pedidos!$E:$E,0))</f>
        <v>#N/A</v>
      </c>
      <c r="O550" s="564">
        <f>K550*INDEX([2]Pedidos!$Q:$Q,MATCH(G550,[2]Pedidos!$E:$E,0))</f>
        <v>330</v>
      </c>
      <c r="P550" s="564" t="e">
        <f>M550*INDEX([2]Pedidos!$Q:$Q,MATCH(H550,[2]Pedidos!$E:$E,0))</f>
        <v>#N/A</v>
      </c>
    </row>
    <row r="551" spans="1:18" x14ac:dyDescent="0.25">
      <c r="A551" s="753"/>
      <c r="C551" s="452" t="s">
        <v>1832</v>
      </c>
      <c r="D551" s="449">
        <f t="shared" si="127"/>
        <v>46190</v>
      </c>
      <c r="E551" s="454" t="s">
        <v>164</v>
      </c>
      <c r="F551" s="460" t="s">
        <v>1805</v>
      </c>
      <c r="G551" s="460" t="s">
        <v>1864</v>
      </c>
      <c r="H551" s="460"/>
      <c r="I551" s="460"/>
      <c r="J551" s="540">
        <v>600</v>
      </c>
      <c r="K551" s="540">
        <v>600</v>
      </c>
      <c r="L551" s="540"/>
      <c r="M551" s="540"/>
      <c r="N551" s="564" t="e">
        <f>J551*INDEX([2]Pedidos!$Q:$Q,MATCH(#REF!,[2]Pedidos!$E:$E,0))</f>
        <v>#REF!</v>
      </c>
      <c r="O551" s="564">
        <f>K551*INDEX([2]Pedidos!$Q:$Q,MATCH(G551,[2]Pedidos!$E:$E,0))</f>
        <v>330</v>
      </c>
      <c r="P551" s="564" t="e">
        <f>M551*INDEX([2]Pedidos!$Q:$Q,MATCH(H551,[2]Pedidos!$E:$E,0))</f>
        <v>#N/A</v>
      </c>
    </row>
    <row r="552" spans="1:18" x14ac:dyDescent="0.25">
      <c r="A552" s="753"/>
      <c r="C552" s="452" t="s">
        <v>1832</v>
      </c>
      <c r="D552" s="449">
        <f t="shared" si="127"/>
        <v>46190</v>
      </c>
      <c r="E552" s="454" t="s">
        <v>165</v>
      </c>
      <c r="F552" s="460" t="s">
        <v>1805</v>
      </c>
      <c r="G552" s="460" t="s">
        <v>1864</v>
      </c>
      <c r="H552" s="460"/>
      <c r="I552" s="460"/>
      <c r="J552" s="540">
        <v>600</v>
      </c>
      <c r="K552" s="540">
        <v>600</v>
      </c>
      <c r="L552" s="540"/>
      <c r="M552" s="540"/>
      <c r="N552" s="564">
        <f>J552*INDEX([2]Pedidos!$Q:$Q,MATCH(F551,[2]Pedidos!$E:$E,0))</f>
        <v>330</v>
      </c>
      <c r="O552" s="564">
        <f>K552*INDEX([2]Pedidos!$Q:$Q,MATCH(G552,[2]Pedidos!$E:$E,0))</f>
        <v>330</v>
      </c>
      <c r="P552" s="564" t="e">
        <f>M552*INDEX([2]Pedidos!$Q:$Q,MATCH(H552,[2]Pedidos!$E:$E,0))</f>
        <v>#N/A</v>
      </c>
    </row>
    <row r="553" spans="1:18" x14ac:dyDescent="0.25">
      <c r="A553" s="753"/>
      <c r="C553" s="452" t="s">
        <v>1832</v>
      </c>
      <c r="D553" s="449">
        <f t="shared" si="127"/>
        <v>46190</v>
      </c>
      <c r="E553" s="454" t="s">
        <v>166</v>
      </c>
      <c r="F553" s="512"/>
      <c r="G553" s="512"/>
      <c r="H553" s="512"/>
      <c r="I553" s="512"/>
      <c r="J553" s="541" cm="1">
        <f t="array" aca="1" ref="J553" ca="1">IFERROR(_xlfn.LET(_xlpm.produto,TRIM(F553)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53" s="541" cm="1">
        <f t="array" aca="1" ref="K553" ca="1">IFERROR(_xlfn.LET(_xlpm.produto,TRIM(G553)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53" s="541"/>
      <c r="M553" s="541" cm="1">
        <f t="array" aca="1" ref="M553" ca="1">IFERROR(_xlfn.LET(_xlpm.produto,TRIM(H553)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53" s="556"/>
      <c r="O553" s="556"/>
      <c r="P553" s="556"/>
    </row>
    <row r="554" spans="1:18" x14ac:dyDescent="0.25">
      <c r="A554" s="753"/>
      <c r="C554" s="452" t="s">
        <v>1832</v>
      </c>
      <c r="D554" s="449">
        <f t="shared" si="127"/>
        <v>46190</v>
      </c>
      <c r="E554" s="454" t="s">
        <v>576</v>
      </c>
      <c r="F554" s="461" t="s">
        <v>1805</v>
      </c>
      <c r="G554" s="460" t="s">
        <v>1864</v>
      </c>
      <c r="H554" s="460"/>
      <c r="I554" s="460"/>
      <c r="J554" s="540">
        <v>600</v>
      </c>
      <c r="K554" s="540">
        <v>600</v>
      </c>
      <c r="L554" s="679"/>
      <c r="M554" s="679"/>
      <c r="N554" s="565">
        <f>J554*INDEX([2]Pedidos!$Q:$Q,MATCH(F554,[2]Pedidos!$E:$E,0))</f>
        <v>330</v>
      </c>
      <c r="O554" s="565">
        <f>K554*INDEX([2]Pedidos!$Q:$Q,MATCH(G554,[2]Pedidos!$E:$E,0))</f>
        <v>330</v>
      </c>
      <c r="P554" s="565" t="e">
        <f>M554*INDEX([2]Pedidos!$Q:$Q,MATCH(H554,[2]Pedidos!$E:$E,0))</f>
        <v>#N/A</v>
      </c>
    </row>
    <row r="555" spans="1:18" x14ac:dyDescent="0.25">
      <c r="A555" s="753"/>
      <c r="C555" s="452" t="s">
        <v>1832</v>
      </c>
      <c r="D555" s="449">
        <f t="shared" si="127"/>
        <v>46190</v>
      </c>
      <c r="E555" s="454" t="s">
        <v>167</v>
      </c>
      <c r="F555" s="460" t="s">
        <v>1857</v>
      </c>
      <c r="G555" s="460" t="s">
        <v>1864</v>
      </c>
      <c r="H555" s="460"/>
      <c r="I555" s="460"/>
      <c r="J555" s="540">
        <v>600</v>
      </c>
      <c r="K555" s="540">
        <v>600</v>
      </c>
      <c r="L555" s="540"/>
      <c r="M555" s="540"/>
      <c r="N555" s="565">
        <f>J555*INDEX([2]Pedidos!$Q:$Q,MATCH(F555,[2]Pedidos!$E:$E,0))</f>
        <v>0</v>
      </c>
      <c r="O555" s="565">
        <f>K555*INDEX([2]Pedidos!$Q:$Q,MATCH(G555,[2]Pedidos!$E:$E,0))</f>
        <v>330</v>
      </c>
      <c r="P555" s="565" t="e">
        <f>M555*INDEX([2]Pedidos!$Q:$Q,MATCH(H555,[2]Pedidos!$E:$E,0))</f>
        <v>#N/A</v>
      </c>
    </row>
    <row r="556" spans="1:18" x14ac:dyDescent="0.25">
      <c r="A556" s="753"/>
      <c r="C556" s="452" t="s">
        <v>1832</v>
      </c>
      <c r="D556" s="449">
        <f t="shared" si="127"/>
        <v>46190</v>
      </c>
      <c r="E556" s="454" t="s">
        <v>168</v>
      </c>
      <c r="F556" s="460" t="s">
        <v>1857</v>
      </c>
      <c r="G556" s="460" t="s">
        <v>1864</v>
      </c>
      <c r="H556" s="460"/>
      <c r="I556" s="460"/>
      <c r="J556" s="540">
        <v>600</v>
      </c>
      <c r="K556" s="540">
        <v>600</v>
      </c>
      <c r="L556" s="540"/>
      <c r="M556" s="540"/>
      <c r="N556" s="565">
        <f>J556*INDEX([2]Pedidos!$Q:$Q,MATCH(F556,[2]Pedidos!$E:$E,0))</f>
        <v>0</v>
      </c>
      <c r="O556" s="565">
        <f>K556*INDEX([2]Pedidos!$Q:$Q,MATCH(G556,[2]Pedidos!$E:$E,0))</f>
        <v>330</v>
      </c>
      <c r="P556" s="565" t="e">
        <f>M556*INDEX([2]Pedidos!$Q:$Q,MATCH(H556,[2]Pedidos!$E:$E,0))</f>
        <v>#N/A</v>
      </c>
    </row>
    <row r="557" spans="1:18" x14ac:dyDescent="0.25">
      <c r="A557" s="753"/>
      <c r="C557" s="452" t="s">
        <v>1832</v>
      </c>
      <c r="D557" s="449">
        <f t="shared" si="127"/>
        <v>46190</v>
      </c>
      <c r="E557" s="454" t="s">
        <v>169</v>
      </c>
      <c r="F557" s="460" t="s">
        <v>1857</v>
      </c>
      <c r="G557" s="460" t="s">
        <v>1864</v>
      </c>
      <c r="H557" s="460"/>
      <c r="I557" s="460"/>
      <c r="J557" s="540">
        <v>600</v>
      </c>
      <c r="K557" s="540">
        <v>600</v>
      </c>
      <c r="L557" s="540"/>
      <c r="M557" s="540"/>
      <c r="N557" s="565">
        <f>J557*INDEX([2]Pedidos!$Q:$Q,MATCH(F557,[2]Pedidos!$E:$E,0))</f>
        <v>0</v>
      </c>
      <c r="O557" s="565">
        <f>K557*INDEX([2]Pedidos!$Q:$Q,MATCH(G557,[2]Pedidos!$E:$E,0))</f>
        <v>330</v>
      </c>
      <c r="P557" s="565" t="e">
        <f>M557*INDEX([2]Pedidos!$Q:$Q,MATCH(H557,[2]Pedidos!$E:$E,0))</f>
        <v>#N/A</v>
      </c>
    </row>
    <row r="558" spans="1:18" x14ac:dyDescent="0.25">
      <c r="A558" s="753"/>
      <c r="C558" s="452" t="s">
        <v>1832</v>
      </c>
      <c r="D558" s="449">
        <f t="shared" si="127"/>
        <v>46190</v>
      </c>
      <c r="E558" s="454" t="s">
        <v>170</v>
      </c>
      <c r="F558" s="460" t="s">
        <v>1857</v>
      </c>
      <c r="G558" s="460" t="s">
        <v>1864</v>
      </c>
      <c r="H558" s="460"/>
      <c r="I558" s="460"/>
      <c r="J558" s="540">
        <v>600</v>
      </c>
      <c r="K558" s="540">
        <v>600</v>
      </c>
      <c r="L558" s="540"/>
      <c r="M558" s="540"/>
      <c r="N558" s="566">
        <f>J558*INDEX([2]Pedidos!$Q:$Q,MATCH(F558,[2]Pedidos!$E:$E,0))</f>
        <v>0</v>
      </c>
      <c r="O558" s="566">
        <f>K558*INDEX([2]Pedidos!$Q:$Q,MATCH(G558,[2]Pedidos!$E:$E,0))</f>
        <v>330</v>
      </c>
      <c r="P558" s="566" t="e">
        <f>M558*INDEX([2]Pedidos!$Q:$Q,MATCH(H558,[2]Pedidos!$E:$E,0))</f>
        <v>#N/A</v>
      </c>
    </row>
    <row r="559" spans="1:18" x14ac:dyDescent="0.25">
      <c r="A559" s="753"/>
      <c r="C559" s="452" t="s">
        <v>1832</v>
      </c>
      <c r="D559" s="449">
        <f t="shared" si="127"/>
        <v>46190</v>
      </c>
      <c r="E559" s="454" t="s">
        <v>585</v>
      </c>
      <c r="F559" s="460" t="s">
        <v>1857</v>
      </c>
      <c r="G559" s="460" t="s">
        <v>1864</v>
      </c>
      <c r="H559" s="460"/>
      <c r="I559" s="460"/>
      <c r="J559" s="540">
        <v>600</v>
      </c>
      <c r="K559" s="540">
        <v>600</v>
      </c>
      <c r="L559" s="683"/>
      <c r="M559" s="684"/>
      <c r="N559" s="566">
        <f>J559*INDEX([2]Pedidos!$Q:$Q,MATCH(F559,[2]Pedidos!$E:$E,0))</f>
        <v>0</v>
      </c>
      <c r="O559" s="566">
        <f>K559*INDEX([2]Pedidos!$Q:$Q,MATCH(G559,[2]Pedidos!$E:$E,0))</f>
        <v>330</v>
      </c>
      <c r="P559" s="566" t="e">
        <f>M559*INDEX([2]Pedidos!$Q:$Q,MATCH(H559,[2]Pedidos!$E:$E,0))</f>
        <v>#N/A</v>
      </c>
    </row>
    <row r="560" spans="1:18" x14ac:dyDescent="0.25">
      <c r="A560" s="753"/>
      <c r="C560" s="452" t="s">
        <v>1832</v>
      </c>
      <c r="D560" s="449">
        <f t="shared" si="127"/>
        <v>46190</v>
      </c>
      <c r="E560" s="455" t="s">
        <v>574</v>
      </c>
      <c r="F560" s="512"/>
      <c r="G560" s="512"/>
      <c r="H560" s="512"/>
      <c r="I560" s="512"/>
      <c r="J560" s="541" cm="1">
        <f t="array" aca="1" ref="J560" ca="1">IFERROR(_xlfn.LET(_xlpm.produto,TRIM(F560)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60" s="541" cm="1">
        <f t="array" aca="1" ref="K560" ca="1">IFERROR(_xlfn.LET(_xlpm.produto,TRIM(G560)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60" s="541"/>
      <c r="M560" s="541" cm="1">
        <f t="array" aca="1" ref="M560" ca="1">IFERROR(_xlfn.LET(_xlpm.produto,TRIM(H560)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60" s="556"/>
      <c r="O560" s="556"/>
      <c r="P560" s="556"/>
    </row>
    <row r="561" spans="1:18" x14ac:dyDescent="0.25">
      <c r="A561" s="753"/>
      <c r="C561" s="452" t="s">
        <v>1832</v>
      </c>
      <c r="D561" s="449">
        <f t="shared" si="127"/>
        <v>46190</v>
      </c>
      <c r="E561" s="455" t="s">
        <v>575</v>
      </c>
      <c r="F561" s="504" t="s">
        <v>1857</v>
      </c>
      <c r="G561" s="504" t="s">
        <v>1864</v>
      </c>
      <c r="H561" s="504"/>
      <c r="I561" s="725"/>
      <c r="J561" s="540">
        <v>600</v>
      </c>
      <c r="K561" s="540">
        <v>600</v>
      </c>
      <c r="L561" s="683"/>
      <c r="M561" s="684"/>
      <c r="N561" s="566">
        <f>J561*INDEX([2]Pedidos!$Q:$Q,MATCH(F561,[2]Pedidos!$E:$E,0))</f>
        <v>0</v>
      </c>
      <c r="O561" s="566">
        <f>K561*INDEX([2]Pedidos!$Q:$Q,MATCH(G561,[2]Pedidos!$E:$E,0))</f>
        <v>330</v>
      </c>
      <c r="P561" s="566" t="e">
        <f>M561*INDEX([2]Pedidos!$Q:$Q,MATCH(H561,[2]Pedidos!$E:$E,0))</f>
        <v>#N/A</v>
      </c>
    </row>
    <row r="562" spans="1:18" x14ac:dyDescent="0.25">
      <c r="A562" s="753"/>
      <c r="C562" s="452" t="s">
        <v>1832</v>
      </c>
      <c r="D562" s="449">
        <f t="shared" si="127"/>
        <v>46190</v>
      </c>
      <c r="E562" s="503" t="s">
        <v>583</v>
      </c>
      <c r="F562" s="504" t="s">
        <v>1857</v>
      </c>
      <c r="G562" s="504" t="s">
        <v>1864</v>
      </c>
      <c r="H562" s="504"/>
      <c r="I562" s="725"/>
      <c r="J562" s="540">
        <v>600</v>
      </c>
      <c r="K562" s="540">
        <v>600</v>
      </c>
      <c r="L562" s="683"/>
      <c r="M562" s="684"/>
      <c r="N562" s="566">
        <f>J562*INDEX([2]Pedidos!$Q:$Q,MATCH(F562,[2]Pedidos!$E:$E,0))</f>
        <v>0</v>
      </c>
      <c r="O562" s="566">
        <f>K562*INDEX([2]Pedidos!$Q:$Q,MATCH(G562,[2]Pedidos!$E:$E,0))</f>
        <v>330</v>
      </c>
      <c r="P562" s="566" t="e">
        <f>M562*INDEX([2]Pedidos!$Q:$Q,MATCH(H562,[2]Pedidos!$E:$E,0))</f>
        <v>#N/A</v>
      </c>
    </row>
    <row r="563" spans="1:18" ht="15.75" thickBot="1" x14ac:dyDescent="0.3">
      <c r="A563" s="753"/>
      <c r="C563" s="450" t="s">
        <v>1832</v>
      </c>
      <c r="D563" s="451">
        <f t="shared" si="127"/>
        <v>46190</v>
      </c>
      <c r="E563" s="459" t="s">
        <v>584</v>
      </c>
      <c r="F563" s="680" t="s">
        <v>1857</v>
      </c>
      <c r="G563" s="680" t="s">
        <v>1864</v>
      </c>
      <c r="H563" s="680"/>
      <c r="I563" s="726"/>
      <c r="J563" s="714">
        <v>600</v>
      </c>
      <c r="K563" s="714">
        <v>600</v>
      </c>
      <c r="L563" s="728"/>
      <c r="M563" s="686"/>
      <c r="N563" s="696">
        <f>J563*INDEX([2]Pedidos!$Q:$Q,MATCH(F563,[2]Pedidos!$E:$E,0))</f>
        <v>0</v>
      </c>
      <c r="O563" s="696">
        <f>K563*INDEX([2]Pedidos!$Q:$Q,MATCH(G563,[2]Pedidos!$E:$E,0))</f>
        <v>330</v>
      </c>
      <c r="P563" s="696" t="e">
        <f>M563*INDEX([2]Pedidos!$Q:$Q,MATCH(H563,[2]Pedidos!$E:$E,0))</f>
        <v>#N/A</v>
      </c>
    </row>
    <row r="564" spans="1:18" ht="8.25" customHeight="1" thickBot="1" x14ac:dyDescent="0.3">
      <c r="A564" s="753"/>
      <c r="J564" s="445"/>
      <c r="K564" s="445"/>
      <c r="L564" s="445"/>
      <c r="N564" s="559"/>
      <c r="O564" s="559"/>
      <c r="P564" s="559"/>
    </row>
    <row r="565" spans="1:18" ht="15.75" thickBot="1" x14ac:dyDescent="0.3">
      <c r="A565" s="753"/>
      <c r="C565" s="538"/>
      <c r="D565" s="539"/>
      <c r="E565" s="539"/>
      <c r="F565" s="539"/>
      <c r="G565" s="539"/>
      <c r="H565" s="539"/>
      <c r="I565" s="539"/>
      <c r="J565" s="606">
        <f t="shared" ref="J565:M565" ca="1" si="128">_xlfn.AGGREGATE(9,6,J566:J581)</f>
        <v>8400</v>
      </c>
      <c r="K565" s="607">
        <f t="shared" ca="1" si="128"/>
        <v>9000</v>
      </c>
      <c r="L565" s="607"/>
      <c r="M565" s="544">
        <f t="shared" ca="1" si="128"/>
        <v>0</v>
      </c>
      <c r="N565" s="560">
        <f t="shared" ref="N565:P565" si="129">_xlfn.AGGREGATE(9,6,N566:N581)</f>
        <v>0</v>
      </c>
      <c r="O565" s="561">
        <f t="shared" si="129"/>
        <v>4950</v>
      </c>
      <c r="P565" s="562">
        <f t="shared" si="129"/>
        <v>0</v>
      </c>
      <c r="Q565" s="548">
        <f ca="1">SUM(J565:M565)</f>
        <v>17400</v>
      </c>
      <c r="R565" s="549">
        <f>SUM(N565:P565)</f>
        <v>4950</v>
      </c>
    </row>
    <row r="566" spans="1:18" x14ac:dyDescent="0.25">
      <c r="A566" s="753"/>
      <c r="C566" s="452" t="s">
        <v>1825</v>
      </c>
      <c r="D566" s="497">
        <f>D563+1</f>
        <v>46191</v>
      </c>
      <c r="E566" s="498" t="s">
        <v>573</v>
      </c>
      <c r="F566" s="681" t="s">
        <v>1857</v>
      </c>
      <c r="G566" s="460" t="s">
        <v>1864</v>
      </c>
      <c r="H566" s="460"/>
      <c r="I566" s="460"/>
      <c r="J566" s="540">
        <v>600</v>
      </c>
      <c r="K566" s="540">
        <v>600</v>
      </c>
      <c r="L566" s="683"/>
      <c r="M566" s="683"/>
      <c r="N566" s="695">
        <f>J566*INDEX([2]Pedidos!$Q:$Q,MATCH(F566,[2]Pedidos!$E:$E,0))</f>
        <v>0</v>
      </c>
      <c r="O566" s="695">
        <f>K566*INDEX([2]Pedidos!$Q:$Q,MATCH(G566,[2]Pedidos!$E:$E,0))</f>
        <v>330</v>
      </c>
      <c r="P566" s="695" t="e">
        <f>M566*INDEX([2]Pedidos!$Q:$Q,MATCH(H566,[2]Pedidos!$E:$E,0))</f>
        <v>#N/A</v>
      </c>
    </row>
    <row r="567" spans="1:18" x14ac:dyDescent="0.25">
      <c r="A567" s="753"/>
      <c r="C567" s="452" t="s">
        <v>1825</v>
      </c>
      <c r="D567" s="499">
        <f t="shared" ref="D567:D581" si="130">D566</f>
        <v>46191</v>
      </c>
      <c r="E567" s="500" t="s">
        <v>162</v>
      </c>
      <c r="F567" s="460" t="s">
        <v>1857</v>
      </c>
      <c r="G567" s="460" t="s">
        <v>1864</v>
      </c>
      <c r="H567" s="460"/>
      <c r="I567" s="460"/>
      <c r="J567" s="540">
        <v>600</v>
      </c>
      <c r="K567" s="540">
        <v>600</v>
      </c>
      <c r="L567" s="540"/>
      <c r="M567" s="540"/>
      <c r="N567" s="555">
        <f>J567*INDEX([2]Pedidos!$Q:$Q,MATCH(F567,[2]Pedidos!$E:$E,0))</f>
        <v>0</v>
      </c>
      <c r="O567" s="555">
        <f>K567*INDEX([2]Pedidos!$Q:$Q,MATCH(G567,[2]Pedidos!$E:$E,0))</f>
        <v>330</v>
      </c>
      <c r="P567" s="555" t="e">
        <f>M567*INDEX([2]Pedidos!$Q:$Q,MATCH(H567,[2]Pedidos!$E:$E,0))</f>
        <v>#N/A</v>
      </c>
    </row>
    <row r="568" spans="1:18" x14ac:dyDescent="0.25">
      <c r="A568" s="753"/>
      <c r="C568" s="452" t="s">
        <v>1825</v>
      </c>
      <c r="D568" s="449">
        <f t="shared" si="130"/>
        <v>46191</v>
      </c>
      <c r="E568" s="454" t="s">
        <v>163</v>
      </c>
      <c r="F568" s="460" t="s">
        <v>1857</v>
      </c>
      <c r="G568" s="460" t="s">
        <v>1864</v>
      </c>
      <c r="H568" s="460"/>
      <c r="I568" s="460"/>
      <c r="J568" s="540">
        <v>600</v>
      </c>
      <c r="K568" s="540">
        <v>600</v>
      </c>
      <c r="L568" s="540"/>
      <c r="M568" s="540"/>
      <c r="N568" s="564">
        <f>J568*INDEX([2]Pedidos!$Q:$Q,MATCH(F568,[2]Pedidos!$E:$E,0))</f>
        <v>0</v>
      </c>
      <c r="O568" s="564">
        <f>K568*INDEX([2]Pedidos!$Q:$Q,MATCH(G568,[2]Pedidos!$E:$E,0))</f>
        <v>330</v>
      </c>
      <c r="P568" s="564" t="e">
        <f>M568*INDEX([2]Pedidos!$Q:$Q,MATCH(H568,[2]Pedidos!$E:$E,0))</f>
        <v>#N/A</v>
      </c>
    </row>
    <row r="569" spans="1:18" x14ac:dyDescent="0.25">
      <c r="A569" s="753"/>
      <c r="C569" s="452" t="s">
        <v>1825</v>
      </c>
      <c r="D569" s="449">
        <f t="shared" si="130"/>
        <v>46191</v>
      </c>
      <c r="E569" s="454" t="s">
        <v>164</v>
      </c>
      <c r="F569" s="460" t="s">
        <v>1857</v>
      </c>
      <c r="G569" s="460" t="s">
        <v>1864</v>
      </c>
      <c r="H569" s="460"/>
      <c r="I569" s="460"/>
      <c r="J569" s="540">
        <v>600</v>
      </c>
      <c r="K569" s="540">
        <v>600</v>
      </c>
      <c r="L569" s="540"/>
      <c r="M569" s="540"/>
      <c r="N569" s="564">
        <f>J569*INDEX([2]Pedidos!$Q:$Q,MATCH(F569,[2]Pedidos!$E:$E,0))</f>
        <v>0</v>
      </c>
      <c r="O569" s="564">
        <f>K569*INDEX([2]Pedidos!$Q:$Q,MATCH(G569,[2]Pedidos!$E:$E,0))</f>
        <v>330</v>
      </c>
      <c r="P569" s="564" t="e">
        <f>M569*INDEX([2]Pedidos!$Q:$Q,MATCH(H569,[2]Pedidos!$E:$E,0))</f>
        <v>#N/A</v>
      </c>
    </row>
    <row r="570" spans="1:18" x14ac:dyDescent="0.25">
      <c r="A570" s="753"/>
      <c r="C570" s="452" t="s">
        <v>1825</v>
      </c>
      <c r="D570" s="449">
        <f t="shared" si="130"/>
        <v>46191</v>
      </c>
      <c r="E570" s="454" t="s">
        <v>165</v>
      </c>
      <c r="F570" s="460" t="s">
        <v>1857</v>
      </c>
      <c r="G570" s="460" t="s">
        <v>1864</v>
      </c>
      <c r="H570" s="460"/>
      <c r="I570" s="460"/>
      <c r="J570" s="540">
        <v>600</v>
      </c>
      <c r="K570" s="540">
        <v>600</v>
      </c>
      <c r="L570" s="540"/>
      <c r="M570" s="540"/>
      <c r="N570" s="564">
        <f>J570*INDEX([2]Pedidos!$Q:$Q,MATCH(F570,[2]Pedidos!$E:$E,0))</f>
        <v>0</v>
      </c>
      <c r="O570" s="564">
        <f>K570*INDEX([2]Pedidos!$Q:$Q,MATCH(G570,[2]Pedidos!$E:$E,0))</f>
        <v>330</v>
      </c>
      <c r="P570" s="564" t="e">
        <f>M570*INDEX([2]Pedidos!$Q:$Q,MATCH(H570,[2]Pedidos!$E:$E,0))</f>
        <v>#N/A</v>
      </c>
    </row>
    <row r="571" spans="1:18" x14ac:dyDescent="0.25">
      <c r="A571" s="753"/>
      <c r="C571" s="452" t="s">
        <v>1825</v>
      </c>
      <c r="D571" s="449">
        <f t="shared" si="130"/>
        <v>46191</v>
      </c>
      <c r="E571" s="454" t="s">
        <v>166</v>
      </c>
      <c r="F571" s="512"/>
      <c r="G571" s="512"/>
      <c r="H571" s="512"/>
      <c r="I571" s="512"/>
      <c r="J571" s="541" cm="1">
        <f t="array" aca="1" ref="J571" ca="1">IFERROR(_xlfn.LET(_xlpm.produto,TRIM(F571)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71" s="541" cm="1">
        <f t="array" aca="1" ref="K571" ca="1">IFERROR(_xlfn.LET(_xlpm.produto,TRIM(G571)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71" s="541"/>
      <c r="M571" s="541" cm="1">
        <f t="array" aca="1" ref="M571" ca="1">IFERROR(_xlfn.LET(_xlpm.produto,TRIM(H571)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71" s="556"/>
      <c r="O571" s="556"/>
      <c r="P571" s="556"/>
    </row>
    <row r="572" spans="1:18" x14ac:dyDescent="0.25">
      <c r="A572" s="753"/>
      <c r="C572" s="452" t="s">
        <v>1825</v>
      </c>
      <c r="D572" s="449">
        <f t="shared" si="130"/>
        <v>46191</v>
      </c>
      <c r="E572" s="454" t="s">
        <v>576</v>
      </c>
      <c r="F572" s="461" t="s">
        <v>1857</v>
      </c>
      <c r="G572" s="460" t="s">
        <v>1864</v>
      </c>
      <c r="H572" s="460"/>
      <c r="I572" s="460"/>
      <c r="J572" s="540">
        <v>600</v>
      </c>
      <c r="K572" s="540">
        <v>600</v>
      </c>
      <c r="L572" s="679"/>
      <c r="M572" s="679"/>
      <c r="N572" s="565">
        <f>J572*INDEX([2]Pedidos!$Q:$Q,MATCH(F572,[2]Pedidos!$E:$E,0))</f>
        <v>0</v>
      </c>
      <c r="O572" s="565">
        <f>K572*INDEX([2]Pedidos!$Q:$Q,MATCH(G572,[2]Pedidos!$E:$E,0))</f>
        <v>330</v>
      </c>
      <c r="P572" s="565" t="e">
        <f>M572*INDEX([2]Pedidos!$Q:$Q,MATCH(H572,[2]Pedidos!$E:$E,0))</f>
        <v>#N/A</v>
      </c>
    </row>
    <row r="573" spans="1:18" x14ac:dyDescent="0.25">
      <c r="A573" s="753"/>
      <c r="C573" s="452" t="s">
        <v>1825</v>
      </c>
      <c r="D573" s="449">
        <f t="shared" si="130"/>
        <v>46191</v>
      </c>
      <c r="E573" s="454" t="s">
        <v>167</v>
      </c>
      <c r="F573" s="460" t="s">
        <v>1857</v>
      </c>
      <c r="G573" s="460" t="s">
        <v>1864</v>
      </c>
      <c r="H573" s="460"/>
      <c r="I573" s="460"/>
      <c r="J573" s="540">
        <v>600</v>
      </c>
      <c r="K573" s="540">
        <v>600</v>
      </c>
      <c r="L573" s="540"/>
      <c r="M573" s="540"/>
      <c r="N573" s="565">
        <f>J573*INDEX([2]Pedidos!$Q:$Q,MATCH(F573,[2]Pedidos!$E:$E,0))</f>
        <v>0</v>
      </c>
      <c r="O573" s="565">
        <f>K573*INDEX([2]Pedidos!$Q:$Q,MATCH(G573,[2]Pedidos!$E:$E,0))</f>
        <v>330</v>
      </c>
      <c r="P573" s="565" t="e">
        <f>M573*INDEX([2]Pedidos!$Q:$Q,MATCH(H573,[2]Pedidos!$E:$E,0))</f>
        <v>#N/A</v>
      </c>
    </row>
    <row r="574" spans="1:18" x14ac:dyDescent="0.25">
      <c r="A574" s="753"/>
      <c r="C574" s="452" t="s">
        <v>1825</v>
      </c>
      <c r="D574" s="449">
        <f t="shared" si="130"/>
        <v>46191</v>
      </c>
      <c r="E574" s="454" t="s">
        <v>168</v>
      </c>
      <c r="F574" s="460" t="s">
        <v>1857</v>
      </c>
      <c r="G574" s="460" t="s">
        <v>1864</v>
      </c>
      <c r="H574" s="460"/>
      <c r="I574" s="460"/>
      <c r="J574" s="540">
        <v>600</v>
      </c>
      <c r="K574" s="540">
        <v>600</v>
      </c>
      <c r="L574" s="540"/>
      <c r="M574" s="540"/>
      <c r="N574" s="565">
        <f>J574*INDEX([2]Pedidos!$Q:$Q,MATCH(F574,[2]Pedidos!$E:$E,0))</f>
        <v>0</v>
      </c>
      <c r="O574" s="565">
        <f>K574*INDEX([2]Pedidos!$Q:$Q,MATCH(G574,[2]Pedidos!$E:$E,0))</f>
        <v>330</v>
      </c>
      <c r="P574" s="565" t="e">
        <f>M574*INDEX([2]Pedidos!$Q:$Q,MATCH(H574,[2]Pedidos!$E:$E,0))</f>
        <v>#N/A</v>
      </c>
    </row>
    <row r="575" spans="1:18" x14ac:dyDescent="0.25">
      <c r="A575" s="753"/>
      <c r="C575" s="452" t="s">
        <v>1825</v>
      </c>
      <c r="D575" s="449">
        <f t="shared" si="130"/>
        <v>46191</v>
      </c>
      <c r="E575" s="454" t="s">
        <v>169</v>
      </c>
      <c r="F575" s="460" t="s">
        <v>1857</v>
      </c>
      <c r="G575" s="460" t="s">
        <v>1864</v>
      </c>
      <c r="H575" s="460"/>
      <c r="I575" s="460"/>
      <c r="J575" s="540">
        <v>600</v>
      </c>
      <c r="K575" s="540">
        <v>700</v>
      </c>
      <c r="L575" s="540"/>
      <c r="M575" s="540"/>
      <c r="N575" s="565">
        <f>J575*INDEX([2]Pedidos!$Q:$Q,MATCH(F575,[2]Pedidos!$E:$E,0))</f>
        <v>0</v>
      </c>
      <c r="O575" s="565">
        <f>K575*INDEX([2]Pedidos!$Q:$Q,MATCH(G575,[2]Pedidos!$E:$E,0))</f>
        <v>385.00000000000006</v>
      </c>
      <c r="P575" s="565" t="e">
        <f>M575*INDEX([2]Pedidos!$Q:$Q,MATCH(H575,[2]Pedidos!$E:$E,0))</f>
        <v>#N/A</v>
      </c>
    </row>
    <row r="576" spans="1:18" x14ac:dyDescent="0.25">
      <c r="A576" s="753"/>
      <c r="C576" s="452" t="s">
        <v>1825</v>
      </c>
      <c r="D576" s="449">
        <f t="shared" si="130"/>
        <v>46191</v>
      </c>
      <c r="E576" s="454" t="s">
        <v>170</v>
      </c>
      <c r="F576" s="460" t="s">
        <v>1857</v>
      </c>
      <c r="G576" s="460" t="s">
        <v>1864</v>
      </c>
      <c r="H576" s="460"/>
      <c r="I576" s="460"/>
      <c r="J576" s="540">
        <v>600</v>
      </c>
      <c r="K576" s="540">
        <v>700</v>
      </c>
      <c r="L576" s="540"/>
      <c r="M576" s="540"/>
      <c r="N576" s="566">
        <f>J576*INDEX([2]Pedidos!$Q:$Q,MATCH(F576,[2]Pedidos!$E:$E,0))</f>
        <v>0</v>
      </c>
      <c r="O576" s="566">
        <f>K576*INDEX([2]Pedidos!$Q:$Q,MATCH(G576,[2]Pedidos!$E:$E,0))</f>
        <v>385.00000000000006</v>
      </c>
      <c r="P576" s="566" t="e">
        <f>M576*INDEX([2]Pedidos!$Q:$Q,MATCH(H576,[2]Pedidos!$E:$E,0))</f>
        <v>#N/A</v>
      </c>
    </row>
    <row r="577" spans="1:18" x14ac:dyDescent="0.25">
      <c r="A577" s="753"/>
      <c r="C577" s="452" t="s">
        <v>1825</v>
      </c>
      <c r="D577" s="449">
        <f t="shared" si="130"/>
        <v>46191</v>
      </c>
      <c r="E577" s="454" t="s">
        <v>585</v>
      </c>
      <c r="F577" s="460" t="s">
        <v>1856</v>
      </c>
      <c r="G577" s="460" t="s">
        <v>1864</v>
      </c>
      <c r="H577" s="460"/>
      <c r="I577" s="460"/>
      <c r="J577" s="540">
        <v>600</v>
      </c>
      <c r="K577" s="540">
        <v>700</v>
      </c>
      <c r="L577" s="683"/>
      <c r="M577" s="684"/>
      <c r="N577" s="566">
        <f>J577*INDEX([2]Pedidos!$Q:$Q,MATCH(F577,[2]Pedidos!$E:$E,0))</f>
        <v>0</v>
      </c>
      <c r="O577" s="566">
        <f>K577*INDEX([2]Pedidos!$Q:$Q,MATCH(G577,[2]Pedidos!$E:$E,0))</f>
        <v>385.00000000000006</v>
      </c>
      <c r="P577" s="566" t="e">
        <f>M577*INDEX([2]Pedidos!$Q:$Q,MATCH(H577,[2]Pedidos!$E:$E,0))</f>
        <v>#N/A</v>
      </c>
    </row>
    <row r="578" spans="1:18" x14ac:dyDescent="0.25">
      <c r="A578" s="753"/>
      <c r="C578" s="452" t="s">
        <v>1825</v>
      </c>
      <c r="D578" s="449">
        <f t="shared" si="130"/>
        <v>46191</v>
      </c>
      <c r="E578" s="455" t="s">
        <v>574</v>
      </c>
      <c r="F578" s="512"/>
      <c r="G578" s="512"/>
      <c r="H578" s="512"/>
      <c r="I578" s="512"/>
      <c r="J578" s="541" cm="1">
        <f t="array" aca="1" ref="J578" ca="1">IFERROR(_xlfn.LET(_xlpm.produto,TRIM(F578)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78" s="541" cm="1">
        <f t="array" aca="1" ref="K578" ca="1">IFERROR(_xlfn.LET(_xlpm.produto,TRIM(G578)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78" s="541"/>
      <c r="M578" s="541" cm="1">
        <f t="array" aca="1" ref="M578" ca="1">IFERROR(_xlfn.LET(_xlpm.produto,TRIM(H578)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78" s="556"/>
      <c r="O578" s="556"/>
      <c r="P578" s="556"/>
    </row>
    <row r="579" spans="1:18" x14ac:dyDescent="0.25">
      <c r="A579" s="753"/>
      <c r="C579" s="452" t="s">
        <v>1825</v>
      </c>
      <c r="D579" s="449">
        <f t="shared" si="130"/>
        <v>46191</v>
      </c>
      <c r="E579" s="455" t="s">
        <v>575</v>
      </c>
      <c r="F579" s="504" t="s">
        <v>1856</v>
      </c>
      <c r="G579" s="504" t="s">
        <v>1864</v>
      </c>
      <c r="H579" s="504"/>
      <c r="I579" s="725"/>
      <c r="J579" s="540">
        <v>600</v>
      </c>
      <c r="K579" s="540">
        <v>700</v>
      </c>
      <c r="L579" s="683"/>
      <c r="M579" s="684"/>
      <c r="N579" s="566">
        <f>J579*INDEX([2]Pedidos!$Q:$Q,MATCH(F579,[2]Pedidos!$E:$E,0))</f>
        <v>0</v>
      </c>
      <c r="O579" s="566">
        <f>K579*INDEX([2]Pedidos!$Q:$Q,MATCH(G579,[2]Pedidos!$E:$E,0))</f>
        <v>385.00000000000006</v>
      </c>
      <c r="P579" s="566" t="e">
        <f>M579*INDEX([2]Pedidos!$Q:$Q,MATCH(H579,[2]Pedidos!$E:$E,0))</f>
        <v>#N/A</v>
      </c>
    </row>
    <row r="580" spans="1:18" x14ac:dyDescent="0.25">
      <c r="A580" s="753"/>
      <c r="C580" s="452" t="s">
        <v>1825</v>
      </c>
      <c r="D580" s="449">
        <f t="shared" si="130"/>
        <v>46191</v>
      </c>
      <c r="E580" s="503" t="s">
        <v>583</v>
      </c>
      <c r="F580" s="504" t="s">
        <v>1856</v>
      </c>
      <c r="G580" s="504" t="s">
        <v>1864</v>
      </c>
      <c r="H580" s="504"/>
      <c r="I580" s="725"/>
      <c r="J580" s="540">
        <v>600</v>
      </c>
      <c r="K580" s="540">
        <v>700</v>
      </c>
      <c r="L580" s="683"/>
      <c r="M580" s="684"/>
      <c r="N580" s="566">
        <f>J580*INDEX([2]Pedidos!$Q:$Q,MATCH(F580,[2]Pedidos!$E:$E,0))</f>
        <v>0</v>
      </c>
      <c r="O580" s="566">
        <f>K580*INDEX([2]Pedidos!$Q:$Q,MATCH(G580,[2]Pedidos!$E:$E,0))</f>
        <v>385.00000000000006</v>
      </c>
      <c r="P580" s="566" t="e">
        <f>M580*INDEX([2]Pedidos!$Q:$Q,MATCH(H580,[2]Pedidos!$E:$E,0))</f>
        <v>#N/A</v>
      </c>
    </row>
    <row r="581" spans="1:18" ht="15.75" thickBot="1" x14ac:dyDescent="0.3">
      <c r="A581" s="753"/>
      <c r="C581" s="450" t="s">
        <v>1825</v>
      </c>
      <c r="D581" s="451">
        <f t="shared" si="130"/>
        <v>46191</v>
      </c>
      <c r="E581" s="459" t="s">
        <v>584</v>
      </c>
      <c r="F581" s="680" t="s">
        <v>1856</v>
      </c>
      <c r="G581" s="680" t="s">
        <v>1864</v>
      </c>
      <c r="H581" s="680"/>
      <c r="I581" s="726"/>
      <c r="J581" s="714">
        <v>600</v>
      </c>
      <c r="K581" s="714">
        <v>700</v>
      </c>
      <c r="L581" s="728"/>
      <c r="M581" s="686"/>
      <c r="N581" s="696">
        <f>J581*INDEX([2]Pedidos!$Q:$Q,MATCH(F581,[2]Pedidos!$E:$E,0))</f>
        <v>0</v>
      </c>
      <c r="O581" s="696">
        <f>K581*INDEX([2]Pedidos!$Q:$Q,MATCH(G581,[2]Pedidos!$E:$E,0))</f>
        <v>385.00000000000006</v>
      </c>
      <c r="P581" s="696" t="e">
        <f>M581*INDEX([2]Pedidos!$Q:$Q,MATCH(H581,[2]Pedidos!$E:$E,0))</f>
        <v>#N/A</v>
      </c>
    </row>
    <row r="582" spans="1:18" ht="8.25" customHeight="1" thickBot="1" x14ac:dyDescent="0.3">
      <c r="A582" s="753"/>
      <c r="J582" s="445"/>
      <c r="K582" s="445"/>
      <c r="L582" s="445"/>
      <c r="N582" s="559"/>
      <c r="O582" s="559"/>
      <c r="P582" s="559"/>
    </row>
    <row r="583" spans="1:18" ht="15.75" thickBot="1" x14ac:dyDescent="0.3">
      <c r="A583" s="753"/>
      <c r="C583" s="546">
        <f ca="1">SUM(J511:M511,J529:M529,J547:M547,J565:M565,J583:M583)</f>
        <v>94977</v>
      </c>
      <c r="D583" s="547">
        <f>SUM(R583,R565,R547,R529,R511)</f>
        <v>46759</v>
      </c>
      <c r="E583" s="539"/>
      <c r="F583" s="539"/>
      <c r="G583" s="539"/>
      <c r="H583" s="539"/>
      <c r="I583" s="539"/>
      <c r="J583" s="606">
        <f t="shared" ref="J583:M583" ca="1" si="131">_xlfn.AGGREGATE(9,6,J584:J599)</f>
        <v>11662</v>
      </c>
      <c r="K583" s="607">
        <f t="shared" ca="1" si="131"/>
        <v>9925</v>
      </c>
      <c r="L583" s="607"/>
      <c r="M583" s="544">
        <f t="shared" ca="1" si="131"/>
        <v>0</v>
      </c>
      <c r="N583" s="560">
        <f t="shared" ref="N583:P583" si="132">_xlfn.AGGREGATE(9,6,N584:N599)</f>
        <v>0</v>
      </c>
      <c r="O583" s="561">
        <f t="shared" si="132"/>
        <v>7452.5000000000009</v>
      </c>
      <c r="P583" s="562">
        <f t="shared" si="132"/>
        <v>0</v>
      </c>
      <c r="Q583" s="548">
        <f ca="1">SUM(J583:M583)</f>
        <v>21587</v>
      </c>
      <c r="R583" s="549">
        <f>SUM(N583:P583)</f>
        <v>7452.5000000000009</v>
      </c>
    </row>
    <row r="584" spans="1:18" x14ac:dyDescent="0.25">
      <c r="A584" s="753"/>
      <c r="C584" s="452" t="s">
        <v>1826</v>
      </c>
      <c r="D584" s="497">
        <f>D581+1</f>
        <v>46192</v>
      </c>
      <c r="E584" s="498" t="s">
        <v>573</v>
      </c>
      <c r="F584" s="681" t="s">
        <v>1856</v>
      </c>
      <c r="G584" s="460" t="s">
        <v>1864</v>
      </c>
      <c r="H584" s="460"/>
      <c r="I584" s="460"/>
      <c r="J584" s="540">
        <v>833</v>
      </c>
      <c r="K584" s="540">
        <v>700</v>
      </c>
      <c r="L584" s="683"/>
      <c r="M584" s="683"/>
      <c r="N584" s="695">
        <f>J584*INDEX([2]Pedidos!$Q:$Q,MATCH(F584,[2]Pedidos!$E:$E,0))</f>
        <v>0</v>
      </c>
      <c r="O584" s="695">
        <f>K584*INDEX([2]Pedidos!$Q:$Q,MATCH(G584,[2]Pedidos!$E:$E,0))</f>
        <v>385.00000000000006</v>
      </c>
      <c r="P584" s="695" t="e">
        <f>M584*INDEX([2]Pedidos!$Q:$Q,MATCH(H584,[2]Pedidos!$E:$E,0))</f>
        <v>#N/A</v>
      </c>
    </row>
    <row r="585" spans="1:18" x14ac:dyDescent="0.25">
      <c r="A585" s="753"/>
      <c r="C585" s="452" t="s">
        <v>1826</v>
      </c>
      <c r="D585" s="499">
        <f t="shared" ref="D585:D599" si="133">D584</f>
        <v>46192</v>
      </c>
      <c r="E585" s="500" t="s">
        <v>162</v>
      </c>
      <c r="F585" s="460" t="s">
        <v>1856</v>
      </c>
      <c r="G585" s="460" t="s">
        <v>1864</v>
      </c>
      <c r="H585" s="460"/>
      <c r="I585" s="460"/>
      <c r="J585" s="540">
        <v>833</v>
      </c>
      <c r="K585" s="540">
        <v>700</v>
      </c>
      <c r="L585" s="540"/>
      <c r="M585" s="540"/>
      <c r="N585" s="555">
        <f>J585*INDEX([2]Pedidos!$Q:$Q,MATCH(F585,[2]Pedidos!$E:$E,0))</f>
        <v>0</v>
      </c>
      <c r="O585" s="555">
        <f>K585*INDEX([2]Pedidos!$Q:$Q,MATCH(G585,[2]Pedidos!$E:$E,0))</f>
        <v>385.00000000000006</v>
      </c>
      <c r="P585" s="555" t="e">
        <f>M585*INDEX([2]Pedidos!$Q:$Q,MATCH(H585,[2]Pedidos!$E:$E,0))</f>
        <v>#N/A</v>
      </c>
    </row>
    <row r="586" spans="1:18" x14ac:dyDescent="0.25">
      <c r="A586" s="753"/>
      <c r="C586" s="452" t="s">
        <v>1826</v>
      </c>
      <c r="D586" s="449">
        <f t="shared" si="133"/>
        <v>46192</v>
      </c>
      <c r="E586" s="454" t="s">
        <v>163</v>
      </c>
      <c r="F586" s="460" t="s">
        <v>1856</v>
      </c>
      <c r="G586" s="460" t="s">
        <v>1864</v>
      </c>
      <c r="H586" s="460"/>
      <c r="I586" s="460"/>
      <c r="J586" s="540">
        <v>833</v>
      </c>
      <c r="K586" s="540">
        <v>700</v>
      </c>
      <c r="L586" s="540"/>
      <c r="M586" s="540"/>
      <c r="N586" s="564">
        <f>J586*INDEX([2]Pedidos!$Q:$Q,MATCH(F586,[2]Pedidos!$E:$E,0))</f>
        <v>0</v>
      </c>
      <c r="O586" s="564">
        <f>K586*INDEX([2]Pedidos!$Q:$Q,MATCH(G586,[2]Pedidos!$E:$E,0))</f>
        <v>385.00000000000006</v>
      </c>
      <c r="P586" s="564" t="e">
        <f>M586*INDEX([2]Pedidos!$Q:$Q,MATCH(H586,[2]Pedidos!$E:$E,0))</f>
        <v>#N/A</v>
      </c>
    </row>
    <row r="587" spans="1:18" x14ac:dyDescent="0.25">
      <c r="A587" s="753"/>
      <c r="C587" s="452" t="s">
        <v>1826</v>
      </c>
      <c r="D587" s="449">
        <f t="shared" si="133"/>
        <v>46192</v>
      </c>
      <c r="E587" s="454" t="s">
        <v>164</v>
      </c>
      <c r="F587" s="460" t="s">
        <v>1856</v>
      </c>
      <c r="G587" s="460" t="s">
        <v>1864</v>
      </c>
      <c r="H587" s="460"/>
      <c r="I587" s="460"/>
      <c r="J587" s="540">
        <v>833</v>
      </c>
      <c r="K587" s="540">
        <v>700</v>
      </c>
      <c r="L587" s="540"/>
      <c r="M587" s="540"/>
      <c r="N587" s="564">
        <f>J587*INDEX([2]Pedidos!$Q:$Q,MATCH(F587,[2]Pedidos!$E:$E,0))</f>
        <v>0</v>
      </c>
      <c r="O587" s="564">
        <f>K587*INDEX([2]Pedidos!$Q:$Q,MATCH(G587,[2]Pedidos!$E:$E,0))</f>
        <v>385.00000000000006</v>
      </c>
      <c r="P587" s="564" t="e">
        <f>M587*INDEX([2]Pedidos!$Q:$Q,MATCH(H587,[2]Pedidos!$E:$E,0))</f>
        <v>#N/A</v>
      </c>
    </row>
    <row r="588" spans="1:18" x14ac:dyDescent="0.25">
      <c r="A588" s="753"/>
      <c r="C588" s="452" t="s">
        <v>1826</v>
      </c>
      <c r="D588" s="449">
        <f t="shared" si="133"/>
        <v>46192</v>
      </c>
      <c r="E588" s="454" t="s">
        <v>165</v>
      </c>
      <c r="F588" s="460" t="s">
        <v>1856</v>
      </c>
      <c r="G588" s="460" t="s">
        <v>1864</v>
      </c>
      <c r="H588" s="460"/>
      <c r="I588" s="460"/>
      <c r="J588" s="540">
        <v>833</v>
      </c>
      <c r="K588" s="540">
        <v>700</v>
      </c>
      <c r="L588" s="540"/>
      <c r="M588" s="540"/>
      <c r="N588" s="564">
        <f>J588*INDEX([2]Pedidos!$Q:$Q,MATCH(F588,[2]Pedidos!$E:$E,0))</f>
        <v>0</v>
      </c>
      <c r="O588" s="564">
        <f>K588*INDEX([2]Pedidos!$Q:$Q,MATCH(G588,[2]Pedidos!$E:$E,0))</f>
        <v>385.00000000000006</v>
      </c>
      <c r="P588" s="564" t="e">
        <f>M588*INDEX([2]Pedidos!$Q:$Q,MATCH(H588,[2]Pedidos!$E:$E,0))</f>
        <v>#N/A</v>
      </c>
    </row>
    <row r="589" spans="1:18" x14ac:dyDescent="0.25">
      <c r="A589" s="753"/>
      <c r="C589" s="452" t="s">
        <v>1826</v>
      </c>
      <c r="D589" s="449">
        <f t="shared" si="133"/>
        <v>46192</v>
      </c>
      <c r="E589" s="454" t="s">
        <v>166</v>
      </c>
      <c r="F589" s="512"/>
      <c r="G589" s="512"/>
      <c r="H589" s="512"/>
      <c r="I589" s="512"/>
      <c r="J589" s="541" cm="1">
        <f t="array" aca="1" ref="J589" ca="1">IFERROR(_xlfn.LET(_xlpm.produto,TRIM(F589)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89" s="541" cm="1">
        <f t="array" aca="1" ref="K589" ca="1">IFERROR(_xlfn.LET(_xlpm.produto,TRIM(G589)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89" s="541"/>
      <c r="M589" s="541" cm="1">
        <f t="array" aca="1" ref="M589" ca="1">IFERROR(_xlfn.LET(_xlpm.produto,TRIM(H589)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89" s="556"/>
      <c r="O589" s="556"/>
      <c r="P589" s="556"/>
    </row>
    <row r="590" spans="1:18" x14ac:dyDescent="0.25">
      <c r="A590" s="753"/>
      <c r="C590" s="452" t="s">
        <v>1826</v>
      </c>
      <c r="D590" s="449">
        <f t="shared" si="133"/>
        <v>46192</v>
      </c>
      <c r="E590" s="454" t="s">
        <v>576</v>
      </c>
      <c r="F590" s="461" t="s">
        <v>1856</v>
      </c>
      <c r="G590" s="460" t="s">
        <v>1864</v>
      </c>
      <c r="H590" s="460"/>
      <c r="I590" s="460"/>
      <c r="J590" s="540">
        <v>833</v>
      </c>
      <c r="K590" s="540">
        <v>700</v>
      </c>
      <c r="L590" s="679"/>
      <c r="M590" s="679"/>
      <c r="N590" s="565">
        <f>J590*INDEX([2]Pedidos!$Q:$Q,MATCH(F590,[2]Pedidos!$E:$E,0))</f>
        <v>0</v>
      </c>
      <c r="O590" s="565">
        <f>K590*INDEX([2]Pedidos!$Q:$Q,MATCH(G590,[2]Pedidos!$E:$E,0))</f>
        <v>385.00000000000006</v>
      </c>
      <c r="P590" s="565" t="e">
        <f>M590*INDEX([2]Pedidos!$Q:$Q,MATCH(H590,[2]Pedidos!$E:$E,0))</f>
        <v>#N/A</v>
      </c>
    </row>
    <row r="591" spans="1:18" x14ac:dyDescent="0.25">
      <c r="A591" s="753"/>
      <c r="C591" s="452" t="s">
        <v>1826</v>
      </c>
      <c r="D591" s="449">
        <f t="shared" si="133"/>
        <v>46192</v>
      </c>
      <c r="E591" s="454" t="s">
        <v>167</v>
      </c>
      <c r="F591" s="460" t="s">
        <v>1856</v>
      </c>
      <c r="G591" s="460" t="s">
        <v>1864</v>
      </c>
      <c r="H591" s="460"/>
      <c r="I591" s="460"/>
      <c r="J591" s="540">
        <v>833</v>
      </c>
      <c r="K591" s="540">
        <v>700</v>
      </c>
      <c r="L591" s="540"/>
      <c r="M591" s="540"/>
      <c r="N591" s="565">
        <f>J591*INDEX([2]Pedidos!$Q:$Q,MATCH(F591,[2]Pedidos!$E:$E,0))</f>
        <v>0</v>
      </c>
      <c r="O591" s="565">
        <f>K591*INDEX([2]Pedidos!$Q:$Q,MATCH(G591,[2]Pedidos!$E:$E,0))</f>
        <v>385.00000000000006</v>
      </c>
      <c r="P591" s="565" t="e">
        <f>M591*INDEX([2]Pedidos!$Q:$Q,MATCH(H591,[2]Pedidos!$E:$E,0))</f>
        <v>#N/A</v>
      </c>
    </row>
    <row r="592" spans="1:18" x14ac:dyDescent="0.25">
      <c r="A592" s="753"/>
      <c r="C592" s="452" t="s">
        <v>1826</v>
      </c>
      <c r="D592" s="449">
        <f t="shared" si="133"/>
        <v>46192</v>
      </c>
      <c r="E592" s="454" t="s">
        <v>168</v>
      </c>
      <c r="F592" s="460" t="s">
        <v>1856</v>
      </c>
      <c r="G592" s="460" t="s">
        <v>1864</v>
      </c>
      <c r="H592" s="460"/>
      <c r="I592" s="460"/>
      <c r="J592" s="540">
        <v>833</v>
      </c>
      <c r="K592" s="540">
        <v>700</v>
      </c>
      <c r="L592" s="540"/>
      <c r="M592" s="540"/>
      <c r="N592" s="565">
        <f>J592*INDEX([2]Pedidos!$Q:$Q,MATCH(F592,[2]Pedidos!$E:$E,0))</f>
        <v>0</v>
      </c>
      <c r="O592" s="565">
        <f>K592*INDEX([2]Pedidos!$Q:$Q,MATCH(G592,[2]Pedidos!$E:$E,0))</f>
        <v>385.00000000000006</v>
      </c>
      <c r="P592" s="565" t="e">
        <f>M592*INDEX([2]Pedidos!$Q:$Q,MATCH(H592,[2]Pedidos!$E:$E,0))</f>
        <v>#N/A</v>
      </c>
    </row>
    <row r="593" spans="1:18" x14ac:dyDescent="0.25">
      <c r="A593" s="753"/>
      <c r="C593" s="452" t="s">
        <v>1826</v>
      </c>
      <c r="D593" s="449">
        <f t="shared" si="133"/>
        <v>46192</v>
      </c>
      <c r="E593" s="454" t="s">
        <v>169</v>
      </c>
      <c r="F593" s="460" t="s">
        <v>1856</v>
      </c>
      <c r="G593" s="460" t="s">
        <v>1864</v>
      </c>
      <c r="H593" s="460"/>
      <c r="I593" s="460"/>
      <c r="J593" s="540">
        <v>833</v>
      </c>
      <c r="K593" s="540">
        <v>700</v>
      </c>
      <c r="L593" s="540"/>
      <c r="M593" s="540"/>
      <c r="N593" s="565">
        <f>J593*INDEX([2]Pedidos!$Q:$Q,MATCH(F593,[2]Pedidos!$E:$E,0))</f>
        <v>0</v>
      </c>
      <c r="O593" s="565">
        <f>K593*INDEX([2]Pedidos!$Q:$Q,MATCH(G593,[2]Pedidos!$E:$E,0))</f>
        <v>385.00000000000006</v>
      </c>
      <c r="P593" s="565" t="e">
        <f>M593*INDEX([2]Pedidos!$Q:$Q,MATCH(H593,[2]Pedidos!$E:$E,0))</f>
        <v>#N/A</v>
      </c>
    </row>
    <row r="594" spans="1:18" x14ac:dyDescent="0.25">
      <c r="A594" s="753"/>
      <c r="C594" s="452" t="s">
        <v>1826</v>
      </c>
      <c r="D594" s="449">
        <f t="shared" si="133"/>
        <v>46192</v>
      </c>
      <c r="E594" s="454" t="s">
        <v>170</v>
      </c>
      <c r="F594" s="460" t="s">
        <v>1856</v>
      </c>
      <c r="G594" s="460" t="s">
        <v>1977</v>
      </c>
      <c r="H594" s="460"/>
      <c r="I594" s="460"/>
      <c r="J594" s="540">
        <v>833</v>
      </c>
      <c r="K594" s="540">
        <v>725</v>
      </c>
      <c r="L594" s="540"/>
      <c r="M594" s="540"/>
      <c r="N594" s="566">
        <f>J594*INDEX([2]Pedidos!$Q:$Q,MATCH(F594,[2]Pedidos!$E:$E,0))</f>
        <v>0</v>
      </c>
      <c r="O594" s="566">
        <f>K594*INDEX([2]Pedidos!$Q:$Q,MATCH(G594,[2]Pedidos!$E:$E,0))</f>
        <v>797.50000000000011</v>
      </c>
      <c r="P594" s="566" t="e">
        <f>M594*INDEX([2]Pedidos!$Q:$Q,MATCH(H594,[2]Pedidos!$E:$E,0))</f>
        <v>#N/A</v>
      </c>
    </row>
    <row r="595" spans="1:18" x14ac:dyDescent="0.25">
      <c r="A595" s="753"/>
      <c r="C595" s="452" t="s">
        <v>1826</v>
      </c>
      <c r="D595" s="449">
        <f t="shared" si="133"/>
        <v>46192</v>
      </c>
      <c r="E595" s="454" t="s">
        <v>585</v>
      </c>
      <c r="F595" s="460" t="s">
        <v>1856</v>
      </c>
      <c r="G595" s="460" t="s">
        <v>1977</v>
      </c>
      <c r="H595" s="460"/>
      <c r="I595" s="460"/>
      <c r="J595" s="540">
        <v>833</v>
      </c>
      <c r="K595" s="540">
        <v>725</v>
      </c>
      <c r="L595" s="683"/>
      <c r="M595" s="684"/>
      <c r="N595" s="566">
        <f>J595*INDEX([2]Pedidos!$Q:$Q,MATCH(F595,[2]Pedidos!$E:$E,0))</f>
        <v>0</v>
      </c>
      <c r="O595" s="566">
        <f>K595*INDEX([2]Pedidos!$Q:$Q,MATCH(G595,[2]Pedidos!$E:$E,0))</f>
        <v>797.50000000000011</v>
      </c>
      <c r="P595" s="566" t="e">
        <f>M595*INDEX([2]Pedidos!$Q:$Q,MATCH(H595,[2]Pedidos!$E:$E,0))</f>
        <v>#N/A</v>
      </c>
    </row>
    <row r="596" spans="1:18" x14ac:dyDescent="0.25">
      <c r="A596" s="753"/>
      <c r="C596" s="452" t="s">
        <v>1826</v>
      </c>
      <c r="D596" s="449">
        <f t="shared" si="133"/>
        <v>46192</v>
      </c>
      <c r="E596" s="455" t="s">
        <v>574</v>
      </c>
      <c r="F596" s="512"/>
      <c r="G596" s="512"/>
      <c r="H596" s="512"/>
      <c r="I596" s="512"/>
      <c r="J596" s="541" cm="1">
        <f t="array" aca="1" ref="J596" ca="1">IFERROR(_xlfn.LET(_xlpm.produto,TRIM(F596)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96" s="541"/>
      <c r="L596" s="541"/>
      <c r="M596" s="541" cm="1">
        <f t="array" aca="1" ref="M596" ca="1">IFERROR(_xlfn.LET(_xlpm.produto,TRIM(H596)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596" s="556"/>
      <c r="O596" s="556"/>
      <c r="P596" s="556"/>
    </row>
    <row r="597" spans="1:18" x14ac:dyDescent="0.25">
      <c r="A597" s="753"/>
      <c r="C597" s="452" t="s">
        <v>1826</v>
      </c>
      <c r="D597" s="449">
        <f t="shared" si="133"/>
        <v>46192</v>
      </c>
      <c r="E597" s="455" t="s">
        <v>575</v>
      </c>
      <c r="F597" s="504" t="s">
        <v>1856</v>
      </c>
      <c r="G597" s="504" t="s">
        <v>1977</v>
      </c>
      <c r="H597" s="504"/>
      <c r="I597" s="725"/>
      <c r="J597" s="540">
        <v>833</v>
      </c>
      <c r="K597" s="540">
        <v>725</v>
      </c>
      <c r="L597" s="683"/>
      <c r="M597" s="684"/>
      <c r="N597" s="566">
        <f>J597*INDEX([2]Pedidos!$Q:$Q,MATCH(F597,[2]Pedidos!$E:$E,0))</f>
        <v>0</v>
      </c>
      <c r="O597" s="566">
        <f>K597*INDEX([2]Pedidos!$Q:$Q,MATCH(G597,[2]Pedidos!$E:$E,0))</f>
        <v>797.50000000000011</v>
      </c>
      <c r="P597" s="566" t="e">
        <f>M597*INDEX([2]Pedidos!$Q:$Q,MATCH(H597,[2]Pedidos!$E:$E,0))</f>
        <v>#N/A</v>
      </c>
    </row>
    <row r="598" spans="1:18" x14ac:dyDescent="0.25">
      <c r="A598" s="753"/>
      <c r="C598" s="452" t="s">
        <v>1826</v>
      </c>
      <c r="D598" s="449">
        <f t="shared" si="133"/>
        <v>46192</v>
      </c>
      <c r="E598" s="503" t="s">
        <v>583</v>
      </c>
      <c r="F598" s="504" t="s">
        <v>1856</v>
      </c>
      <c r="G598" s="504" t="s">
        <v>1977</v>
      </c>
      <c r="H598" s="504"/>
      <c r="I598" s="725"/>
      <c r="J598" s="540">
        <v>833</v>
      </c>
      <c r="K598" s="540">
        <v>725</v>
      </c>
      <c r="L598" s="683"/>
      <c r="M598" s="684"/>
      <c r="N598" s="566">
        <f>J598*INDEX([2]Pedidos!$Q:$Q,MATCH(F598,[2]Pedidos!$E:$E,0))</f>
        <v>0</v>
      </c>
      <c r="O598" s="566">
        <f>K598*INDEX([2]Pedidos!$Q:$Q,MATCH(G598,[2]Pedidos!$E:$E,0))</f>
        <v>797.50000000000011</v>
      </c>
      <c r="P598" s="566" t="e">
        <f>M598*INDEX([2]Pedidos!$Q:$Q,MATCH(H598,[2]Pedidos!$E:$E,0))</f>
        <v>#N/A</v>
      </c>
    </row>
    <row r="599" spans="1:18" ht="15.75" thickBot="1" x14ac:dyDescent="0.3">
      <c r="A599" s="753"/>
      <c r="C599" s="452" t="s">
        <v>1826</v>
      </c>
      <c r="D599" s="451">
        <f t="shared" si="133"/>
        <v>46192</v>
      </c>
      <c r="E599" s="459" t="s">
        <v>584</v>
      </c>
      <c r="F599" s="680" t="s">
        <v>1856</v>
      </c>
      <c r="G599" s="680" t="s">
        <v>1977</v>
      </c>
      <c r="H599" s="680"/>
      <c r="I599" s="725"/>
      <c r="J599" s="540">
        <v>833</v>
      </c>
      <c r="K599" s="540">
        <v>725</v>
      </c>
      <c r="L599" s="683"/>
      <c r="M599" s="686"/>
      <c r="N599" s="696">
        <f>J599*INDEX([2]Pedidos!$Q:$Q,MATCH(F599,[2]Pedidos!$E:$E,0))</f>
        <v>0</v>
      </c>
      <c r="O599" s="696">
        <f>K599*INDEX([2]Pedidos!$Q:$Q,MATCH(G599,[2]Pedidos!$E:$E,0))</f>
        <v>797.50000000000011</v>
      </c>
      <c r="P599" s="696" t="e">
        <f>M599*INDEX([2]Pedidos!$Q:$Q,MATCH(H599,[2]Pedidos!$E:$E,0))</f>
        <v>#N/A</v>
      </c>
    </row>
    <row r="600" spans="1:18" ht="6" customHeight="1" thickBot="1" x14ac:dyDescent="0.3">
      <c r="A600" s="753"/>
      <c r="J600" s="445"/>
      <c r="K600" s="445"/>
      <c r="L600" s="445"/>
      <c r="N600" s="559"/>
      <c r="O600" s="559"/>
      <c r="P600" s="559"/>
    </row>
    <row r="601" spans="1:18" ht="15.75" thickBot="1" x14ac:dyDescent="0.3">
      <c r="A601" s="753"/>
      <c r="C601" s="538"/>
      <c r="D601" s="539"/>
      <c r="E601" s="539"/>
      <c r="F601" s="539"/>
      <c r="G601" s="539"/>
      <c r="H601" s="539"/>
      <c r="I601" s="539"/>
      <c r="J601" s="606">
        <f t="shared" ref="J601:M601" ca="1" si="134">_xlfn.AGGREGATE(9,6,J602:J617)</f>
        <v>0</v>
      </c>
      <c r="K601" s="607">
        <f t="shared" ca="1" si="134"/>
        <v>0</v>
      </c>
      <c r="L601" s="607"/>
      <c r="M601" s="544">
        <f t="shared" ca="1" si="134"/>
        <v>0</v>
      </c>
      <c r="N601" s="560">
        <f t="shared" ref="N601:P601" si="135">_xlfn.AGGREGATE(9,6,N602:N617)</f>
        <v>0</v>
      </c>
      <c r="O601" s="561">
        <f t="shared" si="135"/>
        <v>0</v>
      </c>
      <c r="P601" s="562">
        <f t="shared" si="135"/>
        <v>0</v>
      </c>
      <c r="Q601" s="548">
        <f ca="1">SUM(J601:M601)</f>
        <v>0</v>
      </c>
      <c r="R601" s="549">
        <f>SUM(N601:P601)</f>
        <v>0</v>
      </c>
    </row>
    <row r="602" spans="1:18" x14ac:dyDescent="0.25">
      <c r="A602" s="753"/>
      <c r="C602" s="529" t="s">
        <v>1033</v>
      </c>
      <c r="D602" s="447">
        <f>D599+1</f>
        <v>46193</v>
      </c>
      <c r="E602" s="498" t="s">
        <v>573</v>
      </c>
      <c r="F602" s="514"/>
      <c r="G602" s="514"/>
      <c r="H602" s="514"/>
      <c r="I602" s="724"/>
      <c r="J602" s="537" cm="1">
        <f t="array" aca="1" ref="J602" ca="1">IFERROR(_xlfn.LET(_xlpm.produto,TRIM(F602)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02" s="537" cm="1">
        <f t="array" aca="1" ref="K602" ca="1">IFERROR(_xlfn.LET(_xlpm.produto,TRIM(G602)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02" s="537"/>
      <c r="M602" s="537" cm="1">
        <f t="array" aca="1" ref="M602" ca="1">IFERROR(_xlfn.LET(_xlpm.produto,TRIM(H602)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02" s="563"/>
      <c r="O602" s="563"/>
      <c r="P602" s="563"/>
    </row>
    <row r="603" spans="1:18" x14ac:dyDescent="0.25">
      <c r="A603" s="753"/>
      <c r="C603" s="452" t="s">
        <v>1033</v>
      </c>
      <c r="D603" s="453">
        <f t="shared" ref="D603:D617" si="136">D602</f>
        <v>46193</v>
      </c>
      <c r="E603" s="500" t="s">
        <v>162</v>
      </c>
      <c r="F603" s="517"/>
      <c r="G603" s="517"/>
      <c r="H603" s="517"/>
      <c r="I603" s="512"/>
      <c r="J603" s="540"/>
      <c r="K603" s="540"/>
      <c r="L603" s="540"/>
      <c r="M603" s="540"/>
      <c r="N603" s="555" t="e">
        <f>J603*INDEX([2]Pedidos!$Q:$Q,MATCH(F603,[2]Pedidos!$E:$E,0))</f>
        <v>#N/A</v>
      </c>
      <c r="O603" s="555" t="e">
        <f>K603*INDEX([2]Pedidos!$Q:$Q,MATCH(G603,[2]Pedidos!$E:$E,0))</f>
        <v>#N/A</v>
      </c>
      <c r="P603" s="555" t="e">
        <f>M603*INDEX([2]Pedidos!$Q:$Q,MATCH(H603,[2]Pedidos!$E:$E,0))</f>
        <v>#N/A</v>
      </c>
    </row>
    <row r="604" spans="1:18" x14ac:dyDescent="0.25">
      <c r="A604" s="753"/>
      <c r="C604" s="452" t="s">
        <v>1033</v>
      </c>
      <c r="D604" s="453">
        <f t="shared" si="136"/>
        <v>46193</v>
      </c>
      <c r="E604" s="454" t="s">
        <v>163</v>
      </c>
      <c r="F604" s="517"/>
      <c r="G604" s="512"/>
      <c r="H604" s="505"/>
      <c r="I604" s="505"/>
      <c r="J604" s="540"/>
      <c r="K604" s="540"/>
      <c r="L604" s="540"/>
      <c r="M604" s="540"/>
      <c r="N604" s="564" t="e">
        <f>J604*INDEX([2]Pedidos!$Q:$Q,MATCH(F604,[2]Pedidos!$E:$E,0))</f>
        <v>#N/A</v>
      </c>
      <c r="O604" s="564" t="e">
        <f>K604*INDEX([2]Pedidos!$Q:$Q,MATCH(G604,[2]Pedidos!$E:$E,0))</f>
        <v>#N/A</v>
      </c>
      <c r="P604" s="564" t="e">
        <f>M604*INDEX([2]Pedidos!$Q:$Q,MATCH(H604,[2]Pedidos!$E:$E,0))</f>
        <v>#N/A</v>
      </c>
    </row>
    <row r="605" spans="1:18" x14ac:dyDescent="0.25">
      <c r="A605" s="753"/>
      <c r="C605" s="452" t="s">
        <v>1033</v>
      </c>
      <c r="D605" s="453">
        <f t="shared" si="136"/>
        <v>46193</v>
      </c>
      <c r="E605" s="454" t="s">
        <v>164</v>
      </c>
      <c r="F605" s="517"/>
      <c r="G605" s="512"/>
      <c r="H605" s="505"/>
      <c r="I605" s="505"/>
      <c r="J605" s="540"/>
      <c r="K605" s="540"/>
      <c r="L605" s="540"/>
      <c r="M605" s="540"/>
      <c r="N605" s="564" t="e">
        <f>J605*INDEX([2]Pedidos!$Q:$Q,MATCH(F605,[2]Pedidos!$E:$E,0))</f>
        <v>#N/A</v>
      </c>
      <c r="O605" s="564" t="e">
        <f>K605*INDEX([2]Pedidos!$Q:$Q,MATCH(G605,[2]Pedidos!$E:$E,0))</f>
        <v>#N/A</v>
      </c>
      <c r="P605" s="564" t="e">
        <f>M605*INDEX([2]Pedidos!$Q:$Q,MATCH(H605,[2]Pedidos!$E:$E,0))</f>
        <v>#N/A</v>
      </c>
    </row>
    <row r="606" spans="1:18" x14ac:dyDescent="0.25">
      <c r="A606" s="753"/>
      <c r="C606" s="452" t="s">
        <v>1033</v>
      </c>
      <c r="D606" s="453">
        <f t="shared" si="136"/>
        <v>46193</v>
      </c>
      <c r="E606" s="454" t="s">
        <v>165</v>
      </c>
      <c r="F606" s="517"/>
      <c r="G606" s="512"/>
      <c r="H606" s="505"/>
      <c r="I606" s="505"/>
      <c r="J606" s="540"/>
      <c r="K606" s="540"/>
      <c r="L606" s="540"/>
      <c r="M606" s="540"/>
      <c r="N606" s="564" t="e">
        <f>J606*INDEX([2]Pedidos!$Q:$Q,MATCH(F606,[2]Pedidos!$E:$E,0))</f>
        <v>#N/A</v>
      </c>
      <c r="O606" s="564" t="e">
        <f>K606*INDEX([2]Pedidos!$Q:$Q,MATCH(G606,[2]Pedidos!$E:$E,0))</f>
        <v>#N/A</v>
      </c>
      <c r="P606" s="564" t="e">
        <f>M606*INDEX([2]Pedidos!$Q:$Q,MATCH(H606,[2]Pedidos!$E:$E,0))</f>
        <v>#N/A</v>
      </c>
    </row>
    <row r="607" spans="1:18" x14ac:dyDescent="0.25">
      <c r="A607" s="753"/>
      <c r="C607" s="452" t="s">
        <v>1033</v>
      </c>
      <c r="D607" s="453">
        <f t="shared" si="136"/>
        <v>46193</v>
      </c>
      <c r="E607" s="454" t="s">
        <v>166</v>
      </c>
      <c r="F607" s="517"/>
      <c r="G607" s="512"/>
      <c r="H607" s="505"/>
      <c r="I607" s="505"/>
      <c r="J607" s="540"/>
      <c r="K607" s="540"/>
      <c r="L607" s="540"/>
      <c r="M607" s="540"/>
      <c r="N607" s="564" t="e">
        <f>J607*INDEX([2]Pedidos!$Q:$Q,MATCH(F607,[2]Pedidos!$E:$E,0))</f>
        <v>#N/A</v>
      </c>
      <c r="O607" s="564" t="e">
        <f>K607*INDEX([2]Pedidos!$Q:$Q,MATCH(G607,[2]Pedidos!$E:$E,0))</f>
        <v>#N/A</v>
      </c>
      <c r="P607" s="564" t="e">
        <f>M607*INDEX([2]Pedidos!$Q:$Q,MATCH(H607,[2]Pedidos!$E:$E,0))</f>
        <v>#N/A</v>
      </c>
    </row>
    <row r="608" spans="1:18" x14ac:dyDescent="0.25">
      <c r="A608" s="753"/>
      <c r="C608" s="452" t="s">
        <v>1033</v>
      </c>
      <c r="D608" s="453">
        <f t="shared" si="136"/>
        <v>46193</v>
      </c>
      <c r="E608" s="454" t="s">
        <v>576</v>
      </c>
      <c r="F608" s="517"/>
      <c r="G608" s="512"/>
      <c r="H608" s="505"/>
      <c r="I608" s="505"/>
      <c r="J608" s="541" cm="1">
        <f t="array" aca="1" ref="J608" ca="1">IFERROR(_xlfn.LET(_xlpm.produto,TRIM(F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08" s="541" cm="1">
        <f t="array" aca="1" ref="K608" ca="1">IFERROR(_xlfn.LET(_xlpm.produto,TRIM(G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08" s="541"/>
      <c r="M608" s="541" cm="1">
        <f t="array" aca="1" ref="M608" ca="1">IFERROR(_xlfn.LET(_xlpm.produto,TRIM(H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08" s="556"/>
      <c r="O608" s="556"/>
      <c r="P608" s="556"/>
    </row>
    <row r="609" spans="1:18" x14ac:dyDescent="0.25">
      <c r="A609" s="753"/>
      <c r="C609" s="452" t="s">
        <v>1033</v>
      </c>
      <c r="D609" s="449">
        <f t="shared" si="136"/>
        <v>46193</v>
      </c>
      <c r="E609" s="454" t="s">
        <v>167</v>
      </c>
      <c r="F609" s="517"/>
      <c r="G609" s="512"/>
      <c r="H609" s="505"/>
      <c r="I609" s="505"/>
      <c r="J609" s="540"/>
      <c r="K609" s="540"/>
      <c r="L609" s="540"/>
      <c r="M609" s="540"/>
      <c r="N609" s="565" t="e">
        <f>J609*INDEX([2]Pedidos!$Q:$Q,MATCH(F609,[2]Pedidos!$E:$E,0))</f>
        <v>#N/A</v>
      </c>
      <c r="O609" s="565" t="e">
        <f>K609*INDEX([2]Pedidos!$Q:$Q,MATCH(G609,[2]Pedidos!$E:$E,0))</f>
        <v>#N/A</v>
      </c>
      <c r="P609" s="565" t="e">
        <f>M609*INDEX([2]Pedidos!$Q:$Q,MATCH(H609,[2]Pedidos!$E:$E,0))</f>
        <v>#N/A</v>
      </c>
    </row>
    <row r="610" spans="1:18" x14ac:dyDescent="0.25">
      <c r="A610" s="753"/>
      <c r="C610" s="452" t="s">
        <v>1033</v>
      </c>
      <c r="D610" s="449">
        <f t="shared" si="136"/>
        <v>46193</v>
      </c>
      <c r="E610" s="454" t="s">
        <v>168</v>
      </c>
      <c r="F610" s="517"/>
      <c r="G610" s="512"/>
      <c r="H610" s="505"/>
      <c r="I610" s="505"/>
      <c r="J610" s="540"/>
      <c r="K610" s="540"/>
      <c r="L610" s="540"/>
      <c r="M610" s="540"/>
      <c r="N610" s="565" t="e">
        <f>J610*INDEX([2]Pedidos!$Q:$Q,MATCH(F610,[2]Pedidos!$E:$E,0))</f>
        <v>#N/A</v>
      </c>
      <c r="O610" s="565" t="e">
        <f>K610*INDEX([2]Pedidos!$Q:$Q,MATCH(G610,[2]Pedidos!$E:$E,0))</f>
        <v>#N/A</v>
      </c>
      <c r="P610" s="565" t="e">
        <f>M610*INDEX([2]Pedidos!$Q:$Q,MATCH(H610,[2]Pedidos!$E:$E,0))</f>
        <v>#N/A</v>
      </c>
    </row>
    <row r="611" spans="1:18" x14ac:dyDescent="0.25">
      <c r="A611" s="753"/>
      <c r="C611" s="452" t="s">
        <v>1033</v>
      </c>
      <c r="D611" s="449">
        <f t="shared" si="136"/>
        <v>46193</v>
      </c>
      <c r="E611" s="454" t="s">
        <v>169</v>
      </c>
      <c r="F611" s="517"/>
      <c r="G611" s="512"/>
      <c r="H611" s="505"/>
      <c r="I611" s="505"/>
      <c r="J611" s="540"/>
      <c r="K611" s="540"/>
      <c r="L611" s="540"/>
      <c r="M611" s="540"/>
      <c r="N611" s="565" t="e">
        <f>J611*INDEX([2]Pedidos!$Q:$Q,MATCH(F611,[2]Pedidos!$E:$E,0))</f>
        <v>#N/A</v>
      </c>
      <c r="O611" s="565" t="e">
        <f>K611*INDEX([2]Pedidos!$Q:$Q,MATCH(G611,[2]Pedidos!$E:$E,0))</f>
        <v>#N/A</v>
      </c>
      <c r="P611" s="565" t="e">
        <f>M611*INDEX([2]Pedidos!$Q:$Q,MATCH(H611,[2]Pedidos!$E:$E,0))</f>
        <v>#N/A</v>
      </c>
    </row>
    <row r="612" spans="1:18" x14ac:dyDescent="0.25">
      <c r="A612" s="753"/>
      <c r="C612" s="452" t="s">
        <v>1033</v>
      </c>
      <c r="D612" s="449">
        <f t="shared" si="136"/>
        <v>46193</v>
      </c>
      <c r="E612" s="454" t="s">
        <v>170</v>
      </c>
      <c r="F612" s="517"/>
      <c r="G612" s="512"/>
      <c r="H612" s="505"/>
      <c r="I612" s="505"/>
      <c r="J612" s="540"/>
      <c r="K612" s="540"/>
      <c r="L612" s="540"/>
      <c r="M612" s="540"/>
      <c r="N612" s="566" t="e">
        <f>J612*INDEX([2]Pedidos!$Q:$Q,MATCH(F612,[2]Pedidos!$E:$E,0))</f>
        <v>#N/A</v>
      </c>
      <c r="O612" s="566" t="e">
        <f>K612*INDEX([2]Pedidos!$Q:$Q,MATCH(G612,[2]Pedidos!$E:$E,0))</f>
        <v>#N/A</v>
      </c>
      <c r="P612" s="566" t="e">
        <f>M612*INDEX([2]Pedidos!$Q:$Q,MATCH(H612,[2]Pedidos!$E:$E,0))</f>
        <v>#N/A</v>
      </c>
    </row>
    <row r="613" spans="1:18" x14ac:dyDescent="0.25">
      <c r="A613" s="753"/>
      <c r="C613" s="452" t="s">
        <v>1033</v>
      </c>
      <c r="D613" s="449">
        <f t="shared" si="136"/>
        <v>46193</v>
      </c>
      <c r="E613" s="454" t="s">
        <v>585</v>
      </c>
      <c r="F613" s="505"/>
      <c r="G613" s="505"/>
      <c r="H613" s="516"/>
      <c r="I613" s="516"/>
      <c r="J613" s="516" cm="1">
        <f t="array" aca="1" ref="J613" ca="1">IFERROR(_xlfn.LET(_xlpm.produto,TRIM(F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3" s="516" cm="1">
        <f t="array" aca="1" ref="K613" ca="1">IFERROR(_xlfn.LET(_xlpm.produto,TRIM(G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3" s="516"/>
      <c r="M613" s="516" cm="1">
        <f t="array" aca="1" ref="M613" ca="1">IFERROR(_xlfn.LET(_xlpm.produto,TRIM(H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13" s="557"/>
      <c r="O613" s="557"/>
      <c r="P613" s="557"/>
    </row>
    <row r="614" spans="1:18" x14ac:dyDescent="0.25">
      <c r="A614" s="753"/>
      <c r="C614" s="452" t="s">
        <v>1033</v>
      </c>
      <c r="D614" s="449">
        <f t="shared" si="136"/>
        <v>46193</v>
      </c>
      <c r="E614" s="455" t="s">
        <v>574</v>
      </c>
      <c r="F614" s="505"/>
      <c r="G614" s="505"/>
      <c r="H614" s="516"/>
      <c r="I614" s="516"/>
      <c r="J614" s="516" cm="1">
        <f t="array" aca="1" ref="J614" ca="1">IFERROR(_xlfn.LET(_xlpm.produto,TRIM(F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4" s="516" cm="1">
        <f t="array" aca="1" ref="K614" ca="1">IFERROR(_xlfn.LET(_xlpm.produto,TRIM(G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4" s="516"/>
      <c r="M614" s="516" cm="1">
        <f t="array" aca="1" ref="M614" ca="1">IFERROR(_xlfn.LET(_xlpm.produto,TRIM(H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14" s="557"/>
      <c r="O614" s="557"/>
      <c r="P614" s="557"/>
    </row>
    <row r="615" spans="1:18" x14ac:dyDescent="0.25">
      <c r="A615" s="753"/>
      <c r="C615" s="452" t="s">
        <v>1033</v>
      </c>
      <c r="D615" s="449">
        <f t="shared" si="136"/>
        <v>46193</v>
      </c>
      <c r="E615" s="455" t="s">
        <v>575</v>
      </c>
      <c r="F615" s="506"/>
      <c r="G615" s="506"/>
      <c r="H615" s="516"/>
      <c r="I615" s="516"/>
      <c r="J615" s="516" cm="1">
        <f t="array" aca="1" ref="J615" ca="1">IFERROR(_xlfn.LET(_xlpm.produto,TRIM(F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5" s="516" cm="1">
        <f t="array" aca="1" ref="K615" ca="1">IFERROR(_xlfn.LET(_xlpm.produto,TRIM(G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5" s="516"/>
      <c r="M615" s="516" cm="1">
        <f t="array" aca="1" ref="M615" ca="1">IFERROR(_xlfn.LET(_xlpm.produto,TRIM(H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15" s="557"/>
      <c r="O615" s="557"/>
      <c r="P615" s="557"/>
    </row>
    <row r="616" spans="1:18" x14ac:dyDescent="0.25">
      <c r="A616" s="753"/>
      <c r="C616" s="452" t="s">
        <v>1033</v>
      </c>
      <c r="D616" s="449">
        <f t="shared" si="136"/>
        <v>46193</v>
      </c>
      <c r="E616" s="503" t="s">
        <v>583</v>
      </c>
      <c r="F616" s="506"/>
      <c r="G616" s="506"/>
      <c r="H616" s="516"/>
      <c r="I616" s="516"/>
      <c r="J616" s="516" cm="1">
        <f t="array" aca="1" ref="J616" ca="1">IFERROR(_xlfn.LET(_xlpm.produto,TRIM(F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6" s="516" cm="1">
        <f t="array" aca="1" ref="K616" ca="1">IFERROR(_xlfn.LET(_xlpm.produto,TRIM(G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6" s="516"/>
      <c r="M616" s="516" cm="1">
        <f t="array" aca="1" ref="M616" ca="1">IFERROR(_xlfn.LET(_xlpm.produto,TRIM(H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16" s="557"/>
      <c r="O616" s="557"/>
      <c r="P616" s="557"/>
    </row>
    <row r="617" spans="1:18" ht="15.75" thickBot="1" x14ac:dyDescent="0.3">
      <c r="A617" s="753"/>
      <c r="C617" s="530" t="s">
        <v>1033</v>
      </c>
      <c r="D617" s="451">
        <f t="shared" si="136"/>
        <v>46193</v>
      </c>
      <c r="E617" s="459" t="s">
        <v>584</v>
      </c>
      <c r="F617" s="493"/>
      <c r="G617" s="493"/>
      <c r="H617" s="513"/>
      <c r="I617" s="513"/>
      <c r="J617" s="513" cm="1">
        <f t="array" aca="1" ref="J617" ca="1">IFERROR(_xlfn.LET(_xlpm.produto,TRIM(F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7" s="513" cm="1">
        <f t="array" aca="1" ref="K617" ca="1">IFERROR(_xlfn.LET(_xlpm.produto,TRIM(G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7" s="513"/>
      <c r="M617" s="513" cm="1">
        <f t="array" aca="1" ref="M617" ca="1">IFERROR(_xlfn.LET(_xlpm.produto,TRIM(H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17" s="558"/>
      <c r="O617" s="558"/>
      <c r="P617" s="558"/>
    </row>
    <row r="618" spans="1:18" ht="8.25" customHeight="1" thickBot="1" x14ac:dyDescent="0.3">
      <c r="A618" s="753"/>
      <c r="J618" s="445"/>
      <c r="K618" s="445"/>
      <c r="L618" s="445"/>
      <c r="N618" s="559"/>
      <c r="O618" s="559"/>
      <c r="P618" s="559"/>
    </row>
    <row r="619" spans="1:18" ht="15.75" thickBot="1" x14ac:dyDescent="0.3">
      <c r="A619" s="753"/>
      <c r="C619" s="538"/>
      <c r="D619" s="539"/>
      <c r="E619" s="539"/>
      <c r="F619" s="539"/>
      <c r="G619" s="539"/>
      <c r="H619" s="539"/>
      <c r="I619" s="539"/>
      <c r="J619" s="606">
        <f t="shared" ref="J619:M619" ca="1" si="137">_xlfn.AGGREGATE(9,6,J620:J635)</f>
        <v>0</v>
      </c>
      <c r="K619" s="607">
        <f t="shared" ca="1" si="137"/>
        <v>0</v>
      </c>
      <c r="L619" s="607"/>
      <c r="M619" s="544">
        <f t="shared" ca="1" si="137"/>
        <v>0</v>
      </c>
      <c r="N619" s="560">
        <f t="shared" ref="N619:P619" si="138">_xlfn.AGGREGATE(9,6,N620:N635)</f>
        <v>0</v>
      </c>
      <c r="O619" s="561">
        <f t="shared" si="138"/>
        <v>0</v>
      </c>
      <c r="P619" s="562">
        <f t="shared" si="138"/>
        <v>0</v>
      </c>
      <c r="Q619" s="548">
        <f ca="1">SUM(J619:M619)</f>
        <v>0</v>
      </c>
      <c r="R619" s="549">
        <f>SUM(N619:P619)</f>
        <v>0</v>
      </c>
    </row>
    <row r="620" spans="1:18" x14ac:dyDescent="0.25">
      <c r="A620" s="753"/>
      <c r="C620" s="529" t="s">
        <v>1034</v>
      </c>
      <c r="D620" s="447">
        <f>D617+1</f>
        <v>46194</v>
      </c>
      <c r="E620" s="498" t="s">
        <v>573</v>
      </c>
      <c r="F620" s="514"/>
      <c r="G620" s="514"/>
      <c r="H620" s="514"/>
      <c r="I620" s="724"/>
      <c r="J620" s="537" cm="1">
        <f t="array" aca="1" ref="J620" ca="1">IFERROR(_xlfn.LET(_xlpm.produto,TRIM(F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20" s="537" cm="1">
        <f t="array" aca="1" ref="K620" ca="1">IFERROR(_xlfn.LET(_xlpm.produto,TRIM(G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20" s="537"/>
      <c r="M620" s="537" cm="1">
        <f t="array" aca="1" ref="M620" ca="1">IFERROR(_xlfn.LET(_xlpm.produto,TRIM(H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20" s="563"/>
      <c r="O620" s="563"/>
      <c r="P620" s="563"/>
    </row>
    <row r="621" spans="1:18" x14ac:dyDescent="0.25">
      <c r="A621" s="753"/>
      <c r="C621" s="452" t="s">
        <v>1034</v>
      </c>
      <c r="D621" s="453">
        <f t="shared" ref="D621:D635" si="139">D620</f>
        <v>46194</v>
      </c>
      <c r="E621" s="500" t="s">
        <v>162</v>
      </c>
      <c r="F621" s="517"/>
      <c r="G621" s="517"/>
      <c r="H621" s="517"/>
      <c r="I621" s="512"/>
      <c r="J621" s="540"/>
      <c r="K621" s="540"/>
      <c r="L621" s="540"/>
      <c r="M621" s="540"/>
      <c r="N621" s="555" t="e">
        <f>J621*INDEX([2]Pedidos!$Q:$Q,MATCH(F621,[2]Pedidos!$E:$E,0))</f>
        <v>#N/A</v>
      </c>
      <c r="O621" s="555" t="e">
        <f>K621*INDEX([2]Pedidos!$Q:$Q,MATCH(G621,[2]Pedidos!$E:$E,0))</f>
        <v>#N/A</v>
      </c>
      <c r="P621" s="555" t="e">
        <f>M621*INDEX([2]Pedidos!$Q:$Q,MATCH(H621,[2]Pedidos!$E:$E,0))</f>
        <v>#N/A</v>
      </c>
    </row>
    <row r="622" spans="1:18" x14ac:dyDescent="0.25">
      <c r="A622" s="753"/>
      <c r="C622" s="452" t="s">
        <v>1034</v>
      </c>
      <c r="D622" s="453">
        <f t="shared" si="139"/>
        <v>46194</v>
      </c>
      <c r="E622" s="454" t="s">
        <v>163</v>
      </c>
      <c r="F622" s="517"/>
      <c r="G622" s="512"/>
      <c r="H622" s="505"/>
      <c r="I622" s="505"/>
      <c r="J622" s="540"/>
      <c r="K622" s="540"/>
      <c r="L622" s="540"/>
      <c r="M622" s="540"/>
      <c r="N622" s="564" t="e">
        <f>J622*INDEX([2]Pedidos!$Q:$Q,MATCH(F622,[2]Pedidos!$E:$E,0))</f>
        <v>#N/A</v>
      </c>
      <c r="O622" s="564" t="e">
        <f>K622*INDEX([2]Pedidos!$Q:$Q,MATCH(G622,[2]Pedidos!$E:$E,0))</f>
        <v>#N/A</v>
      </c>
      <c r="P622" s="564" t="e">
        <f>M622*INDEX([2]Pedidos!$Q:$Q,MATCH(H622,[2]Pedidos!$E:$E,0))</f>
        <v>#N/A</v>
      </c>
    </row>
    <row r="623" spans="1:18" x14ac:dyDescent="0.25">
      <c r="A623" s="753"/>
      <c r="C623" s="452" t="s">
        <v>1034</v>
      </c>
      <c r="D623" s="453">
        <f t="shared" si="139"/>
        <v>46194</v>
      </c>
      <c r="E623" s="454" t="s">
        <v>164</v>
      </c>
      <c r="F623" s="517"/>
      <c r="G623" s="512"/>
      <c r="H623" s="505"/>
      <c r="I623" s="505"/>
      <c r="J623" s="540"/>
      <c r="K623" s="540"/>
      <c r="L623" s="540"/>
      <c r="M623" s="540"/>
      <c r="N623" s="564" t="e">
        <f>J623*INDEX([2]Pedidos!$Q:$Q,MATCH(F623,[2]Pedidos!$E:$E,0))</f>
        <v>#N/A</v>
      </c>
      <c r="O623" s="564" t="e">
        <f>K623*INDEX([2]Pedidos!$Q:$Q,MATCH(G623,[2]Pedidos!$E:$E,0))</f>
        <v>#N/A</v>
      </c>
      <c r="P623" s="564" t="e">
        <f>M623*INDEX([2]Pedidos!$Q:$Q,MATCH(H623,[2]Pedidos!$E:$E,0))</f>
        <v>#N/A</v>
      </c>
    </row>
    <row r="624" spans="1:18" x14ac:dyDescent="0.25">
      <c r="A624" s="753"/>
      <c r="C624" s="452" t="s">
        <v>1034</v>
      </c>
      <c r="D624" s="453">
        <f t="shared" si="139"/>
        <v>46194</v>
      </c>
      <c r="E624" s="454" t="s">
        <v>165</v>
      </c>
      <c r="F624" s="517"/>
      <c r="G624" s="512"/>
      <c r="H624" s="505"/>
      <c r="I624" s="505"/>
      <c r="J624" s="540"/>
      <c r="K624" s="540"/>
      <c r="L624" s="540"/>
      <c r="M624" s="540"/>
      <c r="N624" s="564" t="e">
        <f>J624*INDEX([2]Pedidos!$Q:$Q,MATCH(F624,[2]Pedidos!$E:$E,0))</f>
        <v>#N/A</v>
      </c>
      <c r="O624" s="564" t="e">
        <f>K624*INDEX([2]Pedidos!$Q:$Q,MATCH(G624,[2]Pedidos!$E:$E,0))</f>
        <v>#N/A</v>
      </c>
      <c r="P624" s="564" t="e">
        <f>M624*INDEX([2]Pedidos!$Q:$Q,MATCH(H624,[2]Pedidos!$E:$E,0))</f>
        <v>#N/A</v>
      </c>
    </row>
    <row r="625" spans="1:25" x14ac:dyDescent="0.25">
      <c r="A625" s="753"/>
      <c r="C625" s="452" t="s">
        <v>1034</v>
      </c>
      <c r="D625" s="453">
        <f t="shared" si="139"/>
        <v>46194</v>
      </c>
      <c r="E625" s="454" t="s">
        <v>166</v>
      </c>
      <c r="F625" s="517"/>
      <c r="G625" s="512"/>
      <c r="H625" s="505"/>
      <c r="I625" s="505"/>
      <c r="J625" s="540"/>
      <c r="K625" s="540"/>
      <c r="L625" s="540"/>
      <c r="M625" s="540"/>
      <c r="N625" s="564" t="e">
        <f>J625*INDEX([2]Pedidos!$Q:$Q,MATCH(F625,[2]Pedidos!$E:$E,0))</f>
        <v>#N/A</v>
      </c>
      <c r="O625" s="564" t="e">
        <f>K625*INDEX([2]Pedidos!$Q:$Q,MATCH(G625,[2]Pedidos!$E:$E,0))</f>
        <v>#N/A</v>
      </c>
      <c r="P625" s="564" t="e">
        <f>M625*INDEX([2]Pedidos!$Q:$Q,MATCH(H625,[2]Pedidos!$E:$E,0))</f>
        <v>#N/A</v>
      </c>
    </row>
    <row r="626" spans="1:25" x14ac:dyDescent="0.25">
      <c r="A626" s="753"/>
      <c r="C626" s="452" t="s">
        <v>1034</v>
      </c>
      <c r="D626" s="453">
        <f t="shared" si="139"/>
        <v>46194</v>
      </c>
      <c r="E626" s="454" t="s">
        <v>576</v>
      </c>
      <c r="F626" s="517"/>
      <c r="G626" s="512"/>
      <c r="H626" s="505"/>
      <c r="I626" s="505"/>
      <c r="J626" s="541" cm="1">
        <f t="array" aca="1" ref="J626" ca="1">IFERROR(_xlfn.LET(_xlpm.produto,TRIM(F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26" s="541" cm="1">
        <f t="array" aca="1" ref="K626" ca="1">IFERROR(_xlfn.LET(_xlpm.produto,TRIM(G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26" s="541"/>
      <c r="M626" s="541" cm="1">
        <f t="array" aca="1" ref="M626" ca="1">IFERROR(_xlfn.LET(_xlpm.produto,TRIM(H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26" s="556"/>
      <c r="O626" s="556"/>
      <c r="P626" s="556"/>
    </row>
    <row r="627" spans="1:25" x14ac:dyDescent="0.25">
      <c r="A627" s="753"/>
      <c r="C627" s="452" t="s">
        <v>1034</v>
      </c>
      <c r="D627" s="449">
        <f t="shared" si="139"/>
        <v>46194</v>
      </c>
      <c r="E627" s="454" t="s">
        <v>167</v>
      </c>
      <c r="F627" s="517"/>
      <c r="G627" s="512"/>
      <c r="H627" s="505"/>
      <c r="I627" s="505"/>
      <c r="J627" s="540"/>
      <c r="K627" s="540"/>
      <c r="L627" s="540"/>
      <c r="M627" s="540"/>
      <c r="N627" s="565" t="e">
        <f>J627*INDEX([2]Pedidos!$Q:$Q,MATCH(F627,[2]Pedidos!$E:$E,0))</f>
        <v>#N/A</v>
      </c>
      <c r="O627" s="565" t="e">
        <f>K627*INDEX([2]Pedidos!$Q:$Q,MATCH(G627,[2]Pedidos!$E:$E,0))</f>
        <v>#N/A</v>
      </c>
      <c r="P627" s="565" t="e">
        <f>M627*INDEX([2]Pedidos!$Q:$Q,MATCH(H627,[2]Pedidos!$E:$E,0))</f>
        <v>#N/A</v>
      </c>
    </row>
    <row r="628" spans="1:25" x14ac:dyDescent="0.25">
      <c r="A628" s="753"/>
      <c r="C628" s="452" t="s">
        <v>1034</v>
      </c>
      <c r="D628" s="449">
        <f t="shared" si="139"/>
        <v>46194</v>
      </c>
      <c r="E628" s="454" t="s">
        <v>168</v>
      </c>
      <c r="F628" s="517"/>
      <c r="G628" s="512"/>
      <c r="H628" s="505"/>
      <c r="I628" s="505"/>
      <c r="J628" s="540"/>
      <c r="K628" s="540"/>
      <c r="L628" s="540"/>
      <c r="M628" s="540"/>
      <c r="N628" s="565" t="e">
        <f>J628*INDEX([2]Pedidos!$Q:$Q,MATCH(F628,[2]Pedidos!$E:$E,0))</f>
        <v>#N/A</v>
      </c>
      <c r="O628" s="565" t="e">
        <f>K628*INDEX([2]Pedidos!$Q:$Q,MATCH(G628,[2]Pedidos!$E:$E,0))</f>
        <v>#N/A</v>
      </c>
      <c r="P628" s="565" t="e">
        <f>M628*INDEX([2]Pedidos!$Q:$Q,MATCH(H628,[2]Pedidos!$E:$E,0))</f>
        <v>#N/A</v>
      </c>
    </row>
    <row r="629" spans="1:25" x14ac:dyDescent="0.25">
      <c r="A629" s="753"/>
      <c r="C629" s="452" t="s">
        <v>1034</v>
      </c>
      <c r="D629" s="449">
        <f t="shared" si="139"/>
        <v>46194</v>
      </c>
      <c r="E629" s="454" t="s">
        <v>169</v>
      </c>
      <c r="F629" s="517"/>
      <c r="G629" s="512"/>
      <c r="H629" s="505"/>
      <c r="I629" s="505"/>
      <c r="J629" s="540"/>
      <c r="K629" s="540"/>
      <c r="L629" s="540"/>
      <c r="M629" s="540"/>
      <c r="N629" s="565" t="e">
        <f>J629*INDEX([2]Pedidos!$Q:$Q,MATCH(F629,[2]Pedidos!$E:$E,0))</f>
        <v>#N/A</v>
      </c>
      <c r="O629" s="565" t="e">
        <f>K629*INDEX([2]Pedidos!$Q:$Q,MATCH(G629,[2]Pedidos!$E:$E,0))</f>
        <v>#N/A</v>
      </c>
      <c r="P629" s="565" t="e">
        <f>M629*INDEX([2]Pedidos!$Q:$Q,MATCH(H629,[2]Pedidos!$E:$E,0))</f>
        <v>#N/A</v>
      </c>
    </row>
    <row r="630" spans="1:25" x14ac:dyDescent="0.25">
      <c r="A630" s="753"/>
      <c r="C630" s="452" t="s">
        <v>1034</v>
      </c>
      <c r="D630" s="449">
        <f t="shared" si="139"/>
        <v>46194</v>
      </c>
      <c r="E630" s="454" t="s">
        <v>170</v>
      </c>
      <c r="F630" s="517"/>
      <c r="G630" s="512"/>
      <c r="H630" s="505"/>
      <c r="I630" s="505"/>
      <c r="J630" s="540"/>
      <c r="K630" s="540"/>
      <c r="L630" s="540"/>
      <c r="M630" s="540"/>
      <c r="N630" s="566" t="e">
        <f>J630*INDEX([2]Pedidos!$Q:$Q,MATCH(F630,[2]Pedidos!$E:$E,0))</f>
        <v>#N/A</v>
      </c>
      <c r="O630" s="566" t="e">
        <f>K630*INDEX([2]Pedidos!$Q:$Q,MATCH(G630,[2]Pedidos!$E:$E,0))</f>
        <v>#N/A</v>
      </c>
      <c r="P630" s="566" t="e">
        <f>M630*INDEX([2]Pedidos!$Q:$Q,MATCH(H630,[2]Pedidos!$E:$E,0))</f>
        <v>#N/A</v>
      </c>
    </row>
    <row r="631" spans="1:25" x14ac:dyDescent="0.25">
      <c r="A631" s="753"/>
      <c r="C631" s="452" t="s">
        <v>1034</v>
      </c>
      <c r="D631" s="449">
        <f t="shared" si="139"/>
        <v>46194</v>
      </c>
      <c r="E631" s="454" t="s">
        <v>585</v>
      </c>
      <c r="F631" s="505"/>
      <c r="G631" s="505"/>
      <c r="H631" s="516"/>
      <c r="I631" s="516"/>
      <c r="J631" s="516" cm="1">
        <f t="array" aca="1" ref="J631" ca="1">IFERROR(_xlfn.LET(_xlpm.produto,TRIM(F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1" s="516" cm="1">
        <f t="array" aca="1" ref="K631" ca="1">IFERROR(_xlfn.LET(_xlpm.produto,TRIM(G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1" s="516"/>
      <c r="M631" s="516" cm="1">
        <f t="array" aca="1" ref="M631" ca="1">IFERROR(_xlfn.LET(_xlpm.produto,TRIM(H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31" s="557"/>
      <c r="O631" s="557"/>
      <c r="P631" s="557"/>
    </row>
    <row r="632" spans="1:25" x14ac:dyDescent="0.25">
      <c r="A632" s="753"/>
      <c r="C632" s="452" t="s">
        <v>1034</v>
      </c>
      <c r="D632" s="449">
        <f t="shared" si="139"/>
        <v>46194</v>
      </c>
      <c r="E632" s="455" t="s">
        <v>574</v>
      </c>
      <c r="F632" s="505"/>
      <c r="G632" s="505"/>
      <c r="H632" s="516"/>
      <c r="I632" s="516"/>
      <c r="J632" s="516" cm="1">
        <f t="array" aca="1" ref="J632" ca="1">IFERROR(_xlfn.LET(_xlpm.produto,TRIM(F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2" s="516" cm="1">
        <f t="array" aca="1" ref="K632" ca="1">IFERROR(_xlfn.LET(_xlpm.produto,TRIM(G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2" s="516"/>
      <c r="M632" s="516" cm="1">
        <f t="array" aca="1" ref="M632" ca="1">IFERROR(_xlfn.LET(_xlpm.produto,TRIM(H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32" s="557"/>
      <c r="O632" s="557"/>
      <c r="P632" s="557"/>
    </row>
    <row r="633" spans="1:25" x14ac:dyDescent="0.25">
      <c r="A633" s="753"/>
      <c r="C633" s="452" t="s">
        <v>1034</v>
      </c>
      <c r="D633" s="449">
        <f t="shared" si="139"/>
        <v>46194</v>
      </c>
      <c r="E633" s="455" t="s">
        <v>575</v>
      </c>
      <c r="F633" s="506"/>
      <c r="G633" s="506"/>
      <c r="H633" s="516"/>
      <c r="I633" s="516"/>
      <c r="J633" s="516" cm="1">
        <f t="array" aca="1" ref="J633" ca="1">IFERROR(_xlfn.LET(_xlpm.produto,TRIM(F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3" s="516" cm="1">
        <f t="array" aca="1" ref="K633" ca="1">IFERROR(_xlfn.LET(_xlpm.produto,TRIM(G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3" s="516"/>
      <c r="M633" s="516" cm="1">
        <f t="array" aca="1" ref="M633" ca="1">IFERROR(_xlfn.LET(_xlpm.produto,TRIM(H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33" s="557"/>
      <c r="O633" s="557"/>
      <c r="P633" s="557"/>
    </row>
    <row r="634" spans="1:25" x14ac:dyDescent="0.25">
      <c r="A634" s="753"/>
      <c r="C634" s="452" t="s">
        <v>1034</v>
      </c>
      <c r="D634" s="449">
        <f t="shared" si="139"/>
        <v>46194</v>
      </c>
      <c r="E634" s="503" t="s">
        <v>583</v>
      </c>
      <c r="F634" s="506"/>
      <c r="G634" s="506"/>
      <c r="H634" s="516"/>
      <c r="I634" s="516"/>
      <c r="J634" s="516" cm="1">
        <f t="array" aca="1" ref="J634" ca="1">IFERROR(_xlfn.LET(_xlpm.produto,TRIM(F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4" s="516" cm="1">
        <f t="array" aca="1" ref="K634" ca="1">IFERROR(_xlfn.LET(_xlpm.produto,TRIM(G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4" s="516"/>
      <c r="M634" s="516" cm="1">
        <f t="array" aca="1" ref="M634" ca="1">IFERROR(_xlfn.LET(_xlpm.produto,TRIM(H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34" s="557"/>
      <c r="O634" s="557"/>
      <c r="P634" s="557"/>
    </row>
    <row r="635" spans="1:25" ht="15.75" thickBot="1" x14ac:dyDescent="0.3">
      <c r="A635" s="753"/>
      <c r="C635" s="530" t="s">
        <v>1034</v>
      </c>
      <c r="D635" s="451">
        <f t="shared" si="139"/>
        <v>46194</v>
      </c>
      <c r="E635" s="459" t="s">
        <v>584</v>
      </c>
      <c r="F635" s="493"/>
      <c r="G635" s="493"/>
      <c r="H635" s="513"/>
      <c r="I635" s="513"/>
      <c r="J635" s="513" cm="1">
        <f t="array" aca="1" ref="J635" ca="1">IFERROR(_xlfn.LET(_xlpm.produto,TRIM(F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5" s="513" cm="1">
        <f t="array" aca="1" ref="K635" ca="1">IFERROR(_xlfn.LET(_xlpm.produto,TRIM(G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5" s="513"/>
      <c r="M635" s="513" cm="1">
        <f t="array" aca="1" ref="M635" ca="1">IFERROR(_xlfn.LET(_xlpm.produto,TRIM(H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35" s="558"/>
      <c r="O635" s="558"/>
      <c r="P635" s="558"/>
    </row>
    <row r="636" spans="1:25" ht="15.75" thickBot="1" x14ac:dyDescent="0.3"/>
    <row r="637" spans="1:25" ht="15.75" customHeight="1" thickBot="1" x14ac:dyDescent="0.3">
      <c r="A637" s="752" t="e">
        <f>A511+1</f>
        <v>#VALUE!</v>
      </c>
      <c r="C637" s="538"/>
      <c r="D637" s="539"/>
      <c r="E637" s="539"/>
      <c r="F637" s="539"/>
      <c r="G637" s="539"/>
      <c r="H637" s="539"/>
      <c r="I637" s="539"/>
      <c r="J637" s="606">
        <f t="shared" ref="J637:P637" ca="1" si="140">_xlfn.AGGREGATE(9,6,J638:J653)</f>
        <v>7497</v>
      </c>
      <c r="K637" s="607">
        <f t="shared" ca="1" si="140"/>
        <v>7497</v>
      </c>
      <c r="L637" s="607"/>
      <c r="M637" s="544">
        <f t="shared" ca="1" si="140"/>
        <v>0</v>
      </c>
      <c r="N637" s="560">
        <f t="shared" si="140"/>
        <v>2748.9</v>
      </c>
      <c r="O637" s="561">
        <f t="shared" si="140"/>
        <v>0</v>
      </c>
      <c r="P637" s="562">
        <f t="shared" si="140"/>
        <v>0</v>
      </c>
      <c r="Q637" s="548">
        <f ca="1">SUM(J637:M637)</f>
        <v>14994</v>
      </c>
      <c r="R637" s="549">
        <f>SUM(N637:P637)</f>
        <v>2748.9</v>
      </c>
      <c r="V637" s="570" t="s">
        <v>437</v>
      </c>
      <c r="W637" s="571" t="str">
        <f>"Qtd. Total "&amp;TEXT(D638,"dd/mm/aaaa")&amp;" - "&amp;TEXT(D710,"dd/mm/aaaa")</f>
        <v>Qtd. Total 22/06/2026 - 26/06/2026</v>
      </c>
      <c r="X637" s="571" t="str">
        <f>"Produzido "&amp;TEXT(D638,"dd/mm/aaaa")&amp;" - "&amp;TEXT(D710,"dd/mm/aaaa")</f>
        <v>Produzido 22/06/2026 - 26/06/2026</v>
      </c>
      <c r="Y637" s="572" t="s">
        <v>1536</v>
      </c>
    </row>
    <row r="638" spans="1:25" x14ac:dyDescent="0.25">
      <c r="A638" s="752"/>
      <c r="C638" s="496" t="s">
        <v>161</v>
      </c>
      <c r="D638" s="507">
        <f>D599+3</f>
        <v>46195</v>
      </c>
      <c r="E638" s="498" t="s">
        <v>573</v>
      </c>
      <c r="F638" s="512"/>
      <c r="G638" s="512"/>
      <c r="H638" s="512"/>
      <c r="I638" s="512"/>
      <c r="J638" s="512"/>
      <c r="K638" s="512"/>
      <c r="L638" s="512"/>
      <c r="M638" s="512"/>
      <c r="N638" s="512"/>
      <c r="O638" s="512"/>
      <c r="P638" s="512"/>
      <c r="V638" s="591" t="str" cm="1">
        <f t="array" aca="1" ref="V63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38" s="576" t="str">
        <f t="shared" ref="W638:W651" ca="1" si="141">_xlfn.LET(_xlpm.base,IF(ROW()&lt;95,7,IF(ROW()&lt;221,97,INT((ROW()-221)/90)*90+223)),_xlpm.h,IF(ROW()&lt;221,IF(ROW()&lt;95,88,124),88),_xlpm.rF,OFFSET(F$1,_xlpm.base-1,0,_xlpm.h,1),_xlpm.rG,OFFSET(G$1,_xlpm.base-1,0,_xlpm.h,1),_xlpm.rH,OFFSET(H$1,_xlpm.base-1,0,_xlpm.h,1),_xlpm.rI,OFFSET(J$1,_xlpm.base-1,0,_xlpm.h,1),_xlpm.rJ,OFFSET(K$1,_xlpm.base-1,0,_xlpm.h,1),_xlpm.rK,OFFSET(M$1,_xlpm.base-1,0,_xlpm.h,1),_xlpm.p,V638,IF(_xlpm.p&lt;&gt;"",SUMIF(_xlpm.rF,_xlpm.p,_xlpm.rI)+SUMIF(_xlpm.rG,_xlpm.p,_xlpm.rJ)+SUMIF(_xlpm.rH,_xlpm.p,_xlpm.rK),""))</f>
        <v/>
      </c>
      <c r="X638" s="585"/>
      <c r="Y638" s="581">
        <f ca="1">IFERROR(X638*INDEX([2]Pedidos!$Q:$Q,MATCH(V638,[2]Pedidos!$E:$E,0)),0)</f>
        <v>0</v>
      </c>
    </row>
    <row r="639" spans="1:25" x14ac:dyDescent="0.25">
      <c r="A639" s="752"/>
      <c r="C639" s="525" t="s">
        <v>161</v>
      </c>
      <c r="D639" s="453">
        <f t="shared" ref="D639:D653" si="142">D638</f>
        <v>46195</v>
      </c>
      <c r="E639" s="500" t="s">
        <v>162</v>
      </c>
      <c r="F639" s="460" t="s">
        <v>1856</v>
      </c>
      <c r="G639" s="460" t="s">
        <v>1858</v>
      </c>
      <c r="H639" s="460"/>
      <c r="I639" s="460"/>
      <c r="J639" s="540">
        <v>833</v>
      </c>
      <c r="K639" s="540">
        <v>833</v>
      </c>
      <c r="L639" s="540"/>
      <c r="M639" s="545"/>
      <c r="N639" s="555">
        <f>J639*INDEX([2]Pedidos!$Q:$Q,MATCH(F639,[2]Pedidos!$E:$E,0))</f>
        <v>0</v>
      </c>
      <c r="O639" s="564">
        <f>K639*INDEX([2]Pedidos!$Q:$Q,MATCH(G639,[2]Pedidos!$E:$E,0))</f>
        <v>0</v>
      </c>
      <c r="P639" s="555" t="e">
        <f>M639*INDEX([2]Pedidos!$Q:$Q,MATCH(H639,[2]Pedidos!$E:$E,0))</f>
        <v>#N/A</v>
      </c>
      <c r="V639" s="592" t="str" cm="1">
        <f t="array" aca="1" ref="V63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39" s="576" t="str">
        <f t="shared" ca="1" si="141"/>
        <v/>
      </c>
      <c r="X639" s="586"/>
      <c r="Y639" s="582">
        <f ca="1">IFERROR(X639*INDEX([2]Pedidos!$Q:$Q,MATCH(V639,[2]Pedidos!$E:$E,0)),0)</f>
        <v>0</v>
      </c>
    </row>
    <row r="640" spans="1:25" x14ac:dyDescent="0.25">
      <c r="A640" s="752"/>
      <c r="C640" s="526" t="s">
        <v>161</v>
      </c>
      <c r="D640" s="453">
        <f t="shared" si="142"/>
        <v>46195</v>
      </c>
      <c r="E640" s="454" t="s">
        <v>163</v>
      </c>
      <c r="F640" s="460" t="s">
        <v>1856</v>
      </c>
      <c r="G640" s="460" t="s">
        <v>1858</v>
      </c>
      <c r="H640" s="460"/>
      <c r="I640" s="460"/>
      <c r="J640" s="540">
        <v>833</v>
      </c>
      <c r="K640" s="540">
        <v>833</v>
      </c>
      <c r="L640" s="540"/>
      <c r="M640" s="545"/>
      <c r="N640" s="564">
        <f>J640*INDEX([2]Pedidos!$Q:$Q,MATCH(F640,[2]Pedidos!$E:$E,0))</f>
        <v>0</v>
      </c>
      <c r="O640" s="564">
        <f>K640*INDEX([2]Pedidos!$Q:$Q,MATCH(G640,[2]Pedidos!$E:$E,0))</f>
        <v>0</v>
      </c>
      <c r="P640" s="564" t="e">
        <f>M640*INDEX([2]Pedidos!$Q:$Q,MATCH(H640,[2]Pedidos!$E:$E,0))</f>
        <v>#N/A</v>
      </c>
      <c r="V640" s="591" t="str" cm="1">
        <f t="array" aca="1" ref="V64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0" s="576" t="str">
        <f t="shared" ca="1" si="141"/>
        <v/>
      </c>
      <c r="X640" s="586"/>
      <c r="Y640" s="582">
        <f ca="1">IFERROR(X640*INDEX([2]Pedidos!$Q:$Q,MATCH(V640,[2]Pedidos!$E:$E,0)),0)</f>
        <v>0</v>
      </c>
    </row>
    <row r="641" spans="1:25" x14ac:dyDescent="0.25">
      <c r="A641" s="752"/>
      <c r="C641" s="526" t="s">
        <v>161</v>
      </c>
      <c r="D641" s="453">
        <f t="shared" si="142"/>
        <v>46195</v>
      </c>
      <c r="E641" s="454" t="s">
        <v>164</v>
      </c>
      <c r="F641" s="460" t="s">
        <v>1856</v>
      </c>
      <c r="G641" s="460" t="s">
        <v>1858</v>
      </c>
      <c r="H641" s="460"/>
      <c r="I641" s="460"/>
      <c r="J641" s="540">
        <v>833</v>
      </c>
      <c r="K641" s="540">
        <v>833</v>
      </c>
      <c r="L641" s="540"/>
      <c r="M641" s="545"/>
      <c r="N641" s="564">
        <f>J641*INDEX([2]Pedidos!$Q:$Q,MATCH(F641,[2]Pedidos!$E:$E,0))</f>
        <v>0</v>
      </c>
      <c r="O641" s="564">
        <f>K641*INDEX([2]Pedidos!$Q:$Q,MATCH(G641,[2]Pedidos!$E:$E,0))</f>
        <v>0</v>
      </c>
      <c r="P641" s="564" t="e">
        <f>M641*INDEX([2]Pedidos!$Q:$Q,MATCH(H641,[2]Pedidos!$E:$E,0))</f>
        <v>#N/A</v>
      </c>
      <c r="V641" s="592" t="str" cm="1">
        <f t="array" aca="1" ref="V64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1" s="576" t="str">
        <f t="shared" ca="1" si="141"/>
        <v/>
      </c>
      <c r="X641" s="586"/>
      <c r="Y641" s="582">
        <f ca="1">IFERROR(X641*INDEX([2]Pedidos!$Q:$Q,MATCH(V641,[2]Pedidos!$E:$E,0)),0)</f>
        <v>0</v>
      </c>
    </row>
    <row r="642" spans="1:25" x14ac:dyDescent="0.25">
      <c r="A642" s="752"/>
      <c r="C642" s="526" t="s">
        <v>161</v>
      </c>
      <c r="D642" s="453">
        <f t="shared" si="142"/>
        <v>46195</v>
      </c>
      <c r="E642" s="454" t="s">
        <v>165</v>
      </c>
      <c r="F642" s="460" t="s">
        <v>1856</v>
      </c>
      <c r="G642" s="460" t="s">
        <v>1858</v>
      </c>
      <c r="H642" s="460"/>
      <c r="I642" s="460"/>
      <c r="J642" s="540">
        <v>833</v>
      </c>
      <c r="K642" s="540">
        <v>833</v>
      </c>
      <c r="L642" s="540"/>
      <c r="M642" s="545"/>
      <c r="N642" s="564">
        <f>J642*INDEX([2]Pedidos!$Q:$Q,MATCH(F642,[2]Pedidos!$E:$E,0))</f>
        <v>0</v>
      </c>
      <c r="O642" s="564">
        <f>K642*INDEX([2]Pedidos!$Q:$Q,MATCH(G642,[2]Pedidos!$E:$E,0))</f>
        <v>0</v>
      </c>
      <c r="P642" s="564" t="e">
        <f>M642*INDEX([2]Pedidos!$Q:$Q,MATCH(H642,[2]Pedidos!$E:$E,0))</f>
        <v>#N/A</v>
      </c>
      <c r="V642" s="591" t="str" cm="1">
        <f t="array" aca="1" ref="V64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2" s="576" t="str">
        <f t="shared" ca="1" si="141"/>
        <v/>
      </c>
      <c r="X642" s="586"/>
      <c r="Y642" s="582">
        <f ca="1">IFERROR(X642*INDEX([2]Pedidos!$Q:$Q,MATCH(V642,[2]Pedidos!$E:$E,0)),0)</f>
        <v>0</v>
      </c>
    </row>
    <row r="643" spans="1:25" x14ac:dyDescent="0.25">
      <c r="A643" s="752"/>
      <c r="C643" s="526" t="s">
        <v>161</v>
      </c>
      <c r="D643" s="453">
        <f t="shared" si="142"/>
        <v>46195</v>
      </c>
      <c r="E643" s="454" t="s">
        <v>166</v>
      </c>
      <c r="F643" s="460" t="s">
        <v>1856</v>
      </c>
      <c r="G643" s="460" t="s">
        <v>1858</v>
      </c>
      <c r="H643" s="460"/>
      <c r="I643" s="460"/>
      <c r="J643" s="540">
        <v>833</v>
      </c>
      <c r="K643" s="540">
        <v>833</v>
      </c>
      <c r="L643" s="540"/>
      <c r="M643" s="545"/>
      <c r="N643" s="564">
        <f>J643*INDEX([2]Pedidos!$Q:$Q,MATCH(F643,[2]Pedidos!$E:$E,0))</f>
        <v>0</v>
      </c>
      <c r="O643" s="564">
        <f>K643*INDEX([2]Pedidos!$Q:$Q,MATCH(G643,[2]Pedidos!$E:$E,0))</f>
        <v>0</v>
      </c>
      <c r="P643" s="564" t="e">
        <f>M643*INDEX([2]Pedidos!$Q:$Q,MATCH(H643,[2]Pedidos!$E:$E,0))</f>
        <v>#N/A</v>
      </c>
      <c r="V643" s="592" t="str" cm="1">
        <f t="array" aca="1" ref="V64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3" s="576" t="str">
        <f t="shared" ca="1" si="141"/>
        <v/>
      </c>
      <c r="X643" s="586"/>
      <c r="Y643" s="582">
        <f ca="1">IFERROR(X643*INDEX([2]Pedidos!$Q:$Q,MATCH(V643,[2]Pedidos!$E:$E,0)),0)</f>
        <v>0</v>
      </c>
    </row>
    <row r="644" spans="1:25" x14ac:dyDescent="0.25">
      <c r="A644" s="752"/>
      <c r="C644" s="526" t="s">
        <v>161</v>
      </c>
      <c r="D644" s="453">
        <f t="shared" si="142"/>
        <v>46195</v>
      </c>
      <c r="E644" s="454" t="s">
        <v>576</v>
      </c>
      <c r="F644" s="512"/>
      <c r="G644" s="512"/>
      <c r="H644" s="512"/>
      <c r="I644" s="512"/>
      <c r="J644" s="541" cm="1">
        <f t="array" aca="1" ref="J644" ca="1">IFERROR(_xlfn.LET(_xlpm.produto,TRIM(F643)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44" s="541" cm="1">
        <f t="array" aca="1" ref="K644" ca="1">IFERROR(_xlfn.LET(_xlpm.produto,TRIM(G643)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44" s="541"/>
      <c r="M644" s="541" cm="1">
        <f t="array" aca="1" ref="M644" ca="1">IFERROR(_xlfn.LET(_xlpm.produto,TRIM(H643)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44" s="556"/>
      <c r="O644" s="556"/>
      <c r="P644" s="556"/>
      <c r="V644" s="591" t="str" cm="1">
        <f t="array" aca="1" ref="V64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4" s="576" t="str">
        <f t="shared" ca="1" si="141"/>
        <v/>
      </c>
      <c r="X644" s="586"/>
      <c r="Y644" s="582">
        <f ca="1">IFERROR(X644*INDEX([2]Pedidos!$Q:$Q,MATCH(V644,[2]Pedidos!$E:$E,0)),0)</f>
        <v>0</v>
      </c>
    </row>
    <row r="645" spans="1:25" x14ac:dyDescent="0.25">
      <c r="A645" s="752"/>
      <c r="C645" s="527" t="s">
        <v>161</v>
      </c>
      <c r="D645" s="449">
        <f t="shared" si="142"/>
        <v>46195</v>
      </c>
      <c r="E645" s="454" t="s">
        <v>167</v>
      </c>
      <c r="F645" s="460" t="s">
        <v>1856</v>
      </c>
      <c r="G645" s="460" t="s">
        <v>1858</v>
      </c>
      <c r="H645" s="460"/>
      <c r="I645" s="460"/>
      <c r="J645" s="540">
        <v>833</v>
      </c>
      <c r="K645" s="540">
        <v>833</v>
      </c>
      <c r="L645" s="540"/>
      <c r="M645" s="545"/>
      <c r="N645" s="565">
        <f>J645*INDEX([2]Pedidos!$Q:$Q,MATCH(F645,[2]Pedidos!$E:$E,0))</f>
        <v>0</v>
      </c>
      <c r="O645" s="564">
        <f>K645*INDEX([2]Pedidos!$Q:$Q,MATCH(G645,[2]Pedidos!$E:$E,0))</f>
        <v>0</v>
      </c>
      <c r="P645" s="565" t="e">
        <f>M645*INDEX([2]Pedidos!$Q:$Q,MATCH(H645,[2]Pedidos!$E:$E,0))</f>
        <v>#N/A</v>
      </c>
      <c r="V645" s="592" t="str" cm="1">
        <f t="array" aca="1" ref="V64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5" s="576" t="str">
        <f t="shared" ca="1" si="141"/>
        <v/>
      </c>
      <c r="X645" s="586"/>
      <c r="Y645" s="582">
        <f ca="1">IFERROR(X645*INDEX([2]Pedidos!$Q:$Q,MATCH(V645,[2]Pedidos!$E:$E,0)),0)</f>
        <v>0</v>
      </c>
    </row>
    <row r="646" spans="1:25" x14ac:dyDescent="0.25">
      <c r="A646" s="752"/>
      <c r="C646" s="527" t="s">
        <v>161</v>
      </c>
      <c r="D646" s="449">
        <f t="shared" si="142"/>
        <v>46195</v>
      </c>
      <c r="E646" s="454" t="s">
        <v>168</v>
      </c>
      <c r="F646" s="460" t="s">
        <v>1977</v>
      </c>
      <c r="G646" s="460" t="s">
        <v>1858</v>
      </c>
      <c r="H646" s="460"/>
      <c r="I646" s="460"/>
      <c r="J646" s="540">
        <v>833</v>
      </c>
      <c r="K646" s="540">
        <v>833</v>
      </c>
      <c r="L646" s="540"/>
      <c r="M646" s="545"/>
      <c r="N646" s="565">
        <f>J646*INDEX([2]Pedidos!$Q:$Q,MATCH(F646,[2]Pedidos!$E:$E,0))</f>
        <v>916.30000000000007</v>
      </c>
      <c r="O646" s="564">
        <f>K646*INDEX([2]Pedidos!$Q:$Q,MATCH(G646,[2]Pedidos!$E:$E,0))</f>
        <v>0</v>
      </c>
      <c r="P646" s="565" t="e">
        <f>M646*INDEX([2]Pedidos!$Q:$Q,MATCH(H646,[2]Pedidos!$E:$E,0))</f>
        <v>#N/A</v>
      </c>
      <c r="V646" s="591" t="str" cm="1">
        <f t="array" aca="1" ref="V64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6" s="576" t="str">
        <f t="shared" ca="1" si="141"/>
        <v/>
      </c>
      <c r="X646" s="586"/>
      <c r="Y646" s="582">
        <f ca="1">IFERROR(X646*INDEX([2]Pedidos!$Q:$Q,MATCH(V646,[2]Pedidos!$E:$E,0)),0)</f>
        <v>0</v>
      </c>
    </row>
    <row r="647" spans="1:25" x14ac:dyDescent="0.25">
      <c r="A647" s="752"/>
      <c r="C647" s="527" t="s">
        <v>161</v>
      </c>
      <c r="D647" s="449">
        <f t="shared" si="142"/>
        <v>46195</v>
      </c>
      <c r="E647" s="454" t="s">
        <v>169</v>
      </c>
      <c r="F647" s="460" t="s">
        <v>1977</v>
      </c>
      <c r="G647" s="460" t="s">
        <v>1858</v>
      </c>
      <c r="H647" s="460"/>
      <c r="I647" s="460"/>
      <c r="J647" s="540">
        <v>833</v>
      </c>
      <c r="K647" s="540">
        <v>833</v>
      </c>
      <c r="L647" s="540"/>
      <c r="M647" s="545"/>
      <c r="N647" s="565">
        <f>J647*INDEX([2]Pedidos!$Q:$Q,MATCH(F647,[2]Pedidos!$E:$E,0))</f>
        <v>916.30000000000007</v>
      </c>
      <c r="O647" s="564">
        <f>K647*INDEX([2]Pedidos!$Q:$Q,MATCH(G647,[2]Pedidos!$E:$E,0))</f>
        <v>0</v>
      </c>
      <c r="P647" s="565" t="e">
        <f>M647*INDEX([2]Pedidos!$Q:$Q,MATCH(H647,[2]Pedidos!$E:$E,0))</f>
        <v>#N/A</v>
      </c>
      <c r="V647" s="592" t="str" cm="1">
        <f t="array" aca="1" ref="V64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7" s="576" t="str">
        <f t="shared" ca="1" si="141"/>
        <v/>
      </c>
      <c r="X647" s="586"/>
      <c r="Y647" s="582">
        <f ca="1">IFERROR(X647*INDEX([2]Pedidos!$Q:$Q,MATCH(V647,[2]Pedidos!$E:$E,0)),0)</f>
        <v>0</v>
      </c>
    </row>
    <row r="648" spans="1:25" x14ac:dyDescent="0.25">
      <c r="A648" s="752"/>
      <c r="C648" s="527" t="s">
        <v>161</v>
      </c>
      <c r="D648" s="453">
        <f t="shared" si="142"/>
        <v>46195</v>
      </c>
      <c r="E648" s="454" t="s">
        <v>170</v>
      </c>
      <c r="F648" s="460" t="s">
        <v>1977</v>
      </c>
      <c r="G648" s="460" t="s">
        <v>1858</v>
      </c>
      <c r="H648" s="460"/>
      <c r="I648" s="460"/>
      <c r="J648" s="540">
        <v>833</v>
      </c>
      <c r="K648" s="540">
        <v>833</v>
      </c>
      <c r="L648" s="540"/>
      <c r="M648" s="545"/>
      <c r="N648" s="566">
        <f>J648*INDEX([2]Pedidos!$Q:$Q,MATCH(F648,[2]Pedidos!$E:$E,0))</f>
        <v>916.30000000000007</v>
      </c>
      <c r="O648" s="564">
        <f>K648*INDEX([2]Pedidos!$Q:$Q,MATCH(G648,[2]Pedidos!$E:$E,0))</f>
        <v>0</v>
      </c>
      <c r="P648" s="566" t="e">
        <f>M648*INDEX([2]Pedidos!$Q:$Q,MATCH(H648,[2]Pedidos!$E:$E,0))</f>
        <v>#N/A</v>
      </c>
      <c r="V648" s="591" t="str" cm="1">
        <f t="array" aca="1" ref="V64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8" s="576" t="str">
        <f t="shared" ca="1" si="141"/>
        <v/>
      </c>
      <c r="X648" s="586"/>
      <c r="Y648" s="582">
        <f ca="1">IFERROR(X648*INDEX([2]Pedidos!$Q:$Q,MATCH(V648,[2]Pedidos!$E:$E,0)),0)</f>
        <v>0</v>
      </c>
    </row>
    <row r="649" spans="1:25" x14ac:dyDescent="0.25">
      <c r="A649" s="752"/>
      <c r="C649" s="527" t="s">
        <v>161</v>
      </c>
      <c r="D649" s="453">
        <f t="shared" si="142"/>
        <v>46195</v>
      </c>
      <c r="E649" s="454" t="s">
        <v>585</v>
      </c>
      <c r="F649" s="512"/>
      <c r="G649" s="505"/>
      <c r="H649" s="505"/>
      <c r="I649" s="505"/>
      <c r="J649" s="516" cm="1">
        <f t="array" aca="1" ref="J649" ca="1">IFERROR(_xlfn.LET(_xlpm.produto,TRIM(F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49" s="516" cm="1">
        <f t="array" aca="1" ref="K649" ca="1">IFERROR(_xlfn.LET(_xlpm.produto,TRIM(G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49" s="516"/>
      <c r="M649" s="516" cm="1">
        <f t="array" aca="1" ref="M649" ca="1">IFERROR(_xlfn.LET(_xlpm.produto,TRIM(H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49" s="557"/>
      <c r="O649" s="557"/>
      <c r="P649" s="557"/>
      <c r="V649" s="592" t="str" cm="1">
        <f t="array" aca="1" ref="V64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49" s="576" t="str">
        <f t="shared" ca="1" si="141"/>
        <v/>
      </c>
      <c r="X649" s="586"/>
      <c r="Y649" s="582">
        <f ca="1">IFERROR(X649*INDEX([2]Pedidos!$Q:$Q,MATCH(V649,[2]Pedidos!$E:$E,0)),0)</f>
        <v>0</v>
      </c>
    </row>
    <row r="650" spans="1:25" x14ac:dyDescent="0.25">
      <c r="A650" s="752"/>
      <c r="C650" s="527" t="s">
        <v>161</v>
      </c>
      <c r="D650" s="453">
        <f t="shared" si="142"/>
        <v>46195</v>
      </c>
      <c r="E650" s="455" t="s">
        <v>574</v>
      </c>
      <c r="F650" s="512"/>
      <c r="G650" s="512"/>
      <c r="H650" s="505"/>
      <c r="I650" s="505"/>
      <c r="J650" s="516" cm="1">
        <f t="array" aca="1" ref="J650" ca="1">IFERROR(_xlfn.LET(_xlpm.produto,TRIM(F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50" s="516" cm="1">
        <f t="array" aca="1" ref="K650" ca="1">IFERROR(_xlfn.LET(_xlpm.produto,TRIM(G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50" s="516"/>
      <c r="M650" s="516" cm="1">
        <f t="array" aca="1" ref="M650" ca="1">IFERROR(_xlfn.LET(_xlpm.produto,TRIM(H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50" s="557"/>
      <c r="O650" s="557"/>
      <c r="P650" s="557"/>
      <c r="V650" s="591" t="str" cm="1">
        <f t="array" aca="1" ref="V65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50" s="576" t="str">
        <f t="shared" ca="1" si="141"/>
        <v/>
      </c>
      <c r="X650" s="586"/>
      <c r="Y650" s="582">
        <f ca="1">IFERROR(X650*INDEX([2]Pedidos!$Q:$Q,MATCH(V650,[2]Pedidos!$E:$E,0)),0)</f>
        <v>0</v>
      </c>
    </row>
    <row r="651" spans="1:25" x14ac:dyDescent="0.25">
      <c r="A651" s="752"/>
      <c r="C651" s="527" t="s">
        <v>161</v>
      </c>
      <c r="D651" s="453">
        <f t="shared" si="142"/>
        <v>46195</v>
      </c>
      <c r="E651" s="455" t="s">
        <v>575</v>
      </c>
      <c r="F651" s="512"/>
      <c r="G651" s="512"/>
      <c r="H651" s="505"/>
      <c r="I651" s="505"/>
      <c r="J651" s="516" cm="1">
        <f t="array" aca="1" ref="J651" ca="1">IFERROR(_xlfn.LET(_xlpm.produto,TRIM(F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51" s="516" cm="1">
        <f t="array" aca="1" ref="K651" ca="1">IFERROR(_xlfn.LET(_xlpm.produto,TRIM(G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51" s="516"/>
      <c r="M651" s="516" cm="1">
        <f t="array" aca="1" ref="M651" ca="1">IFERROR(_xlfn.LET(_xlpm.produto,TRIM(H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51" s="557"/>
      <c r="O651" s="557"/>
      <c r="P651" s="557"/>
      <c r="V651" s="592" t="str" cm="1">
        <f t="array" aca="1" ref="V65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W651" s="576" t="str">
        <f t="shared" ca="1" si="141"/>
        <v/>
      </c>
      <c r="X651" s="587"/>
      <c r="Y651" s="583">
        <f ca="1">IFERROR(X651*INDEX([2]Pedidos!$Q:$Q,MATCH(V651,[2]Pedidos!$E:$E,0)),0)</f>
        <v>0</v>
      </c>
    </row>
    <row r="652" spans="1:25" x14ac:dyDescent="0.25">
      <c r="A652" s="752"/>
      <c r="C652" s="527" t="s">
        <v>161</v>
      </c>
      <c r="D652" s="453">
        <f t="shared" si="142"/>
        <v>46195</v>
      </c>
      <c r="E652" s="503" t="s">
        <v>583</v>
      </c>
      <c r="F652" s="512"/>
      <c r="G652" s="512"/>
      <c r="H652" s="505"/>
      <c r="I652" s="505"/>
      <c r="J652" s="516" cm="1">
        <f t="array" aca="1" ref="J652" ca="1">IFERROR(_xlfn.LET(_xlpm.produto,TRIM(F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52" s="516" cm="1">
        <f t="array" aca="1" ref="K652" ca="1">IFERROR(_xlfn.LET(_xlpm.produto,TRIM(G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52" s="516"/>
      <c r="M652" s="516" cm="1">
        <f t="array" aca="1" ref="M652" ca="1">IFERROR(_xlfn.LET(_xlpm.produto,TRIM(H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52" s="557"/>
      <c r="O652" s="557"/>
      <c r="P652" s="557"/>
      <c r="V652" s="573" t="s">
        <v>1521</v>
      </c>
      <c r="W652" s="574">
        <f ca="1">SUM(W638:W651)</f>
        <v>0</v>
      </c>
      <c r="X652" s="574">
        <f>SUM(X638:X651)</f>
        <v>0</v>
      </c>
      <c r="Y652" s="584">
        <f ca="1">SUM(Y638:Y651)</f>
        <v>0</v>
      </c>
    </row>
    <row r="653" spans="1:25" ht="15.75" thickBot="1" x14ac:dyDescent="0.3">
      <c r="A653" s="752"/>
      <c r="C653" s="528" t="s">
        <v>161</v>
      </c>
      <c r="D653" s="451">
        <f t="shared" si="142"/>
        <v>46195</v>
      </c>
      <c r="E653" s="459" t="s">
        <v>584</v>
      </c>
      <c r="F653" s="512"/>
      <c r="G653" s="512"/>
      <c r="H653" s="505"/>
      <c r="I653" s="505"/>
      <c r="J653" s="516" cm="1">
        <f t="array" aca="1" ref="J653" ca="1">IFERROR(_xlfn.LET(_xlpm.produto,TRIM(F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53" s="516" cm="1">
        <f t="array" aca="1" ref="K653" ca="1">IFERROR(_xlfn.LET(_xlpm.produto,TRIM(G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53" s="516"/>
      <c r="M653" s="516" cm="1">
        <f t="array" aca="1" ref="M653" ca="1">IFERROR(_xlfn.LET(_xlpm.produto,TRIM(H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53" s="557"/>
      <c r="O653" s="557"/>
      <c r="P653" s="557"/>
    </row>
    <row r="654" spans="1:25" ht="8.25" customHeight="1" thickBot="1" x14ac:dyDescent="0.3">
      <c r="A654" s="752"/>
      <c r="F654" s="722"/>
      <c r="J654" s="445"/>
      <c r="K654" s="445"/>
      <c r="L654" s="445"/>
      <c r="M654" s="722"/>
      <c r="N654" s="715"/>
      <c r="O654" s="715"/>
      <c r="P654" s="559"/>
    </row>
    <row r="655" spans="1:25" ht="15.75" thickBot="1" x14ac:dyDescent="0.3">
      <c r="A655" s="752"/>
      <c r="C655" s="538"/>
      <c r="D655" s="539"/>
      <c r="E655" s="539"/>
      <c r="F655" s="539"/>
      <c r="G655" s="539"/>
      <c r="H655" s="539"/>
      <c r="I655" s="539"/>
      <c r="J655" s="606">
        <f t="shared" ref="J655:P655" ca="1" si="143">_xlfn.AGGREGATE(9,6,J656:J671)</f>
        <v>5082</v>
      </c>
      <c r="K655" s="607">
        <f t="shared" ca="1" si="143"/>
        <v>7211</v>
      </c>
      <c r="L655" s="607"/>
      <c r="M655" s="544">
        <f t="shared" ca="1" si="143"/>
        <v>0</v>
      </c>
      <c r="N655" s="560">
        <f t="shared" ca="1" si="143"/>
        <v>5590.2000000000007</v>
      </c>
      <c r="O655" s="561">
        <f t="shared" ca="1" si="143"/>
        <v>0</v>
      </c>
      <c r="P655" s="562">
        <f t="shared" ca="1" si="143"/>
        <v>0</v>
      </c>
      <c r="Q655" s="548">
        <f ca="1">SUM(J655:M655)</f>
        <v>12293</v>
      </c>
      <c r="R655" s="549">
        <f ca="1">SUM(N655:P655)</f>
        <v>5590.2000000000007</v>
      </c>
    </row>
    <row r="656" spans="1:25" x14ac:dyDescent="0.25">
      <c r="A656" s="752"/>
      <c r="C656" s="496" t="s">
        <v>1938</v>
      </c>
      <c r="D656" s="507">
        <f>D617+3</f>
        <v>46196</v>
      </c>
      <c r="E656" s="498" t="s">
        <v>573</v>
      </c>
      <c r="F656" s="512"/>
      <c r="G656" s="512"/>
      <c r="H656" s="512"/>
      <c r="I656" s="512"/>
      <c r="J656" s="512"/>
      <c r="K656" s="512"/>
      <c r="L656" s="512"/>
      <c r="M656" s="512"/>
      <c r="N656" s="563"/>
      <c r="O656" s="563"/>
      <c r="P656" s="563"/>
    </row>
    <row r="657" spans="1:16" x14ac:dyDescent="0.25">
      <c r="A657" s="752"/>
      <c r="C657" s="525" t="s">
        <v>1938</v>
      </c>
      <c r="D657" s="453">
        <f t="shared" ref="D657:D671" si="144">D656</f>
        <v>46196</v>
      </c>
      <c r="E657" s="500" t="s">
        <v>162</v>
      </c>
      <c r="F657" s="460" t="s">
        <v>1977</v>
      </c>
      <c r="G657" s="460" t="s">
        <v>1858</v>
      </c>
      <c r="H657" s="460"/>
      <c r="I657" s="460"/>
      <c r="J657" s="540">
        <v>726</v>
      </c>
      <c r="K657" s="540">
        <v>833</v>
      </c>
      <c r="L657" s="540"/>
      <c r="M657" s="545"/>
      <c r="N657" s="555">
        <f>J657*INDEX([2]Pedidos!$Q:$Q,MATCH(F657,[2]Pedidos!$E:$E,0))</f>
        <v>798.6</v>
      </c>
      <c r="O657" s="564">
        <f>K657*INDEX([2]Pedidos!$Q:$Q,MATCH(G657,[2]Pedidos!$E:$E,0))</f>
        <v>0</v>
      </c>
      <c r="P657" s="555" t="e">
        <f>M657*INDEX([2]Pedidos!$Q:$Q,MATCH(H657,[2]Pedidos!$E:$E,0))</f>
        <v>#N/A</v>
      </c>
    </row>
    <row r="658" spans="1:16" x14ac:dyDescent="0.25">
      <c r="A658" s="752"/>
      <c r="C658" s="526" t="s">
        <v>1938</v>
      </c>
      <c r="D658" s="453">
        <f t="shared" si="144"/>
        <v>46196</v>
      </c>
      <c r="E658" s="454" t="s">
        <v>163</v>
      </c>
      <c r="F658" s="460" t="s">
        <v>1977</v>
      </c>
      <c r="G658" s="460" t="s">
        <v>1858</v>
      </c>
      <c r="H658" s="460"/>
      <c r="I658" s="460"/>
      <c r="J658" s="540">
        <v>726</v>
      </c>
      <c r="K658" s="540">
        <v>833</v>
      </c>
      <c r="L658" s="540"/>
      <c r="M658" s="545"/>
      <c r="N658" s="564">
        <f>J658*INDEX([2]Pedidos!$Q:$Q,MATCH(F658,[2]Pedidos!$E:$E,0))</f>
        <v>798.6</v>
      </c>
      <c r="O658" s="564">
        <f>K658*INDEX([2]Pedidos!$Q:$Q,MATCH(G658,[2]Pedidos!$E:$E,0))</f>
        <v>0</v>
      </c>
      <c r="P658" s="564" t="e">
        <f>M658*INDEX([2]Pedidos!$Q:$Q,MATCH(H658,[2]Pedidos!$E:$E,0))</f>
        <v>#N/A</v>
      </c>
    </row>
    <row r="659" spans="1:16" x14ac:dyDescent="0.25">
      <c r="A659" s="752"/>
      <c r="C659" s="526" t="s">
        <v>1938</v>
      </c>
      <c r="D659" s="453">
        <f t="shared" si="144"/>
        <v>46196</v>
      </c>
      <c r="E659" s="454" t="s">
        <v>164</v>
      </c>
      <c r="F659" s="460" t="s">
        <v>1977</v>
      </c>
      <c r="G659" s="460" t="s">
        <v>1858</v>
      </c>
      <c r="H659" s="460"/>
      <c r="I659" s="460"/>
      <c r="J659" s="540">
        <v>726</v>
      </c>
      <c r="K659" s="540">
        <v>833</v>
      </c>
      <c r="L659" s="540"/>
      <c r="M659" s="545"/>
      <c r="N659" s="564">
        <f>J659*INDEX([2]Pedidos!$Q:$Q,MATCH(F659,[2]Pedidos!$E:$E,0))</f>
        <v>798.6</v>
      </c>
      <c r="O659" s="564">
        <f>K659*INDEX([2]Pedidos!$Q:$Q,MATCH(G659,[2]Pedidos!$E:$E,0))</f>
        <v>0</v>
      </c>
      <c r="P659" s="564" t="e">
        <f>M659*INDEX([2]Pedidos!$Q:$Q,MATCH(H659,[2]Pedidos!$E:$E,0))</f>
        <v>#N/A</v>
      </c>
    </row>
    <row r="660" spans="1:16" x14ac:dyDescent="0.25">
      <c r="A660" s="752"/>
      <c r="C660" s="526" t="s">
        <v>1938</v>
      </c>
      <c r="D660" s="453">
        <f t="shared" si="144"/>
        <v>46196</v>
      </c>
      <c r="E660" s="454" t="s">
        <v>165</v>
      </c>
      <c r="F660" s="460" t="s">
        <v>1977</v>
      </c>
      <c r="G660" s="460" t="s">
        <v>1858</v>
      </c>
      <c r="H660" s="460"/>
      <c r="I660" s="460"/>
      <c r="J660" s="540">
        <v>726</v>
      </c>
      <c r="K660" s="540">
        <v>833</v>
      </c>
      <c r="L660" s="540"/>
      <c r="M660" s="545"/>
      <c r="N660" s="564">
        <f>J660*INDEX([2]Pedidos!$Q:$Q,MATCH(F660,[2]Pedidos!$E:$E,0))</f>
        <v>798.6</v>
      </c>
      <c r="O660" s="564">
        <f>K660*INDEX([2]Pedidos!$Q:$Q,MATCH(G660,[2]Pedidos!$E:$E,0))</f>
        <v>0</v>
      </c>
      <c r="P660" s="564" t="e">
        <f>M660*INDEX([2]Pedidos!$Q:$Q,MATCH(H660,[2]Pedidos!$E:$E,0))</f>
        <v>#N/A</v>
      </c>
    </row>
    <row r="661" spans="1:16" x14ac:dyDescent="0.25">
      <c r="A661" s="752"/>
      <c r="C661" s="526" t="s">
        <v>1938</v>
      </c>
      <c r="D661" s="453">
        <f t="shared" si="144"/>
        <v>46196</v>
      </c>
      <c r="E661" s="454" t="s">
        <v>166</v>
      </c>
      <c r="F661" s="460" t="s">
        <v>1977</v>
      </c>
      <c r="G661" s="460" t="s">
        <v>1858</v>
      </c>
      <c r="H661" s="460"/>
      <c r="I661" s="460"/>
      <c r="J661" s="540">
        <v>726</v>
      </c>
      <c r="K661" s="540">
        <v>833</v>
      </c>
      <c r="L661" s="540"/>
      <c r="M661" s="545"/>
      <c r="N661" s="564">
        <f>J661*INDEX([2]Pedidos!$Q:$Q,MATCH(F661,[2]Pedidos!$E:$E,0))</f>
        <v>798.6</v>
      </c>
      <c r="O661" s="564">
        <f>K661*INDEX([2]Pedidos!$Q:$Q,MATCH(G661,[2]Pedidos!$E:$E,0))</f>
        <v>0</v>
      </c>
      <c r="P661" s="564" t="e">
        <f>M661*INDEX([2]Pedidos!$Q:$Q,MATCH(H661,[2]Pedidos!$E:$E,0))</f>
        <v>#N/A</v>
      </c>
    </row>
    <row r="662" spans="1:16" x14ac:dyDescent="0.25">
      <c r="A662" s="752"/>
      <c r="C662" s="526" t="s">
        <v>1938</v>
      </c>
      <c r="D662" s="453">
        <f t="shared" si="144"/>
        <v>46196</v>
      </c>
      <c r="E662" s="454" t="s">
        <v>576</v>
      </c>
      <c r="F662" s="512"/>
      <c r="G662" s="512"/>
      <c r="H662" s="512"/>
      <c r="I662" s="512"/>
      <c r="J662" s="541" cm="1">
        <f t="array" aca="1" ref="J662" ca="1">IFERROR(_xlfn.LET(_xlpm.produto,TRIM(F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62" s="541" cm="1">
        <f t="array" aca="1" ref="K662" ca="1">IFERROR(_xlfn.LET(_xlpm.produto,TRIM(G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62" s="541"/>
      <c r="M662" s="541" cm="1">
        <f t="array" aca="1" ref="M662" ca="1">IFERROR(_xlfn.LET(_xlpm.produto,TRIM(H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62" s="556"/>
      <c r="O662" s="556"/>
      <c r="P662" s="556"/>
    </row>
    <row r="663" spans="1:16" x14ac:dyDescent="0.25">
      <c r="A663" s="752"/>
      <c r="C663" s="527" t="s">
        <v>1938</v>
      </c>
      <c r="D663" s="449">
        <f t="shared" si="144"/>
        <v>46196</v>
      </c>
      <c r="E663" s="454" t="s">
        <v>167</v>
      </c>
      <c r="F663" s="460" t="s">
        <v>1977</v>
      </c>
      <c r="G663" s="460" t="s">
        <v>1858</v>
      </c>
      <c r="H663" s="460"/>
      <c r="I663" s="460"/>
      <c r="J663" s="540">
        <v>726</v>
      </c>
      <c r="K663" s="540">
        <v>833</v>
      </c>
      <c r="L663" s="540"/>
      <c r="M663" s="545"/>
      <c r="N663" s="565">
        <f>J663*INDEX([2]Pedidos!$Q:$Q,MATCH(F663,[2]Pedidos!$E:$E,0))</f>
        <v>798.6</v>
      </c>
      <c r="O663" s="564">
        <f>K663*INDEX([2]Pedidos!$Q:$Q,MATCH(G663,[2]Pedidos!$E:$E,0))</f>
        <v>0</v>
      </c>
      <c r="P663" s="565" t="e">
        <f>M663*INDEX([2]Pedidos!$Q:$Q,MATCH(H663,[2]Pedidos!$E:$E,0))</f>
        <v>#N/A</v>
      </c>
    </row>
    <row r="664" spans="1:16" x14ac:dyDescent="0.25">
      <c r="A664" s="752"/>
      <c r="C664" s="527" t="s">
        <v>1938</v>
      </c>
      <c r="D664" s="449">
        <f t="shared" si="144"/>
        <v>46196</v>
      </c>
      <c r="E664" s="454" t="s">
        <v>168</v>
      </c>
      <c r="F664" s="460" t="s">
        <v>1977</v>
      </c>
      <c r="G664" s="460" t="s">
        <v>1858</v>
      </c>
      <c r="H664" s="460"/>
      <c r="I664" s="460"/>
      <c r="J664" s="540">
        <v>726</v>
      </c>
      <c r="K664" s="540">
        <v>833</v>
      </c>
      <c r="L664" s="540"/>
      <c r="M664" s="545"/>
      <c r="N664" s="565">
        <f>J664*INDEX([2]Pedidos!$Q:$Q,MATCH(F664,[2]Pedidos!$E:$E,0))</f>
        <v>798.6</v>
      </c>
      <c r="O664" s="564">
        <f>K664*INDEX([2]Pedidos!$Q:$Q,MATCH(G664,[2]Pedidos!$E:$E,0))</f>
        <v>0</v>
      </c>
      <c r="P664" s="565" t="e">
        <f>M664*INDEX([2]Pedidos!$Q:$Q,MATCH(H664,[2]Pedidos!$E:$E,0))</f>
        <v>#N/A</v>
      </c>
    </row>
    <row r="665" spans="1:16" x14ac:dyDescent="0.25">
      <c r="A665" s="752"/>
      <c r="C665" s="527" t="s">
        <v>1938</v>
      </c>
      <c r="D665" s="449">
        <f t="shared" si="144"/>
        <v>46196</v>
      </c>
      <c r="E665" s="454" t="s">
        <v>169</v>
      </c>
      <c r="F665" s="460" t="s">
        <v>1977</v>
      </c>
      <c r="G665" s="460" t="s">
        <v>1858</v>
      </c>
      <c r="H665" s="460"/>
      <c r="I665" s="460"/>
      <c r="J665" s="540"/>
      <c r="K665" s="540">
        <v>690</v>
      </c>
      <c r="L665" s="540"/>
      <c r="M665" s="545"/>
      <c r="N665" s="565">
        <f>J665*INDEX([2]Pedidos!$Q:$Q,MATCH(F665,[2]Pedidos!$E:$E,0))</f>
        <v>0</v>
      </c>
      <c r="O665" s="564">
        <f>K665*INDEX([2]Pedidos!$Q:$Q,MATCH(G665,[2]Pedidos!$E:$E,0))</f>
        <v>0</v>
      </c>
      <c r="P665" s="565" t="e">
        <f>M665*INDEX([2]Pedidos!$Q:$Q,MATCH(H665,[2]Pedidos!$E:$E,0))</f>
        <v>#N/A</v>
      </c>
    </row>
    <row r="666" spans="1:16" x14ac:dyDescent="0.25">
      <c r="A666" s="752"/>
      <c r="C666" s="527" t="s">
        <v>1938</v>
      </c>
      <c r="D666" s="453">
        <f t="shared" si="144"/>
        <v>46196</v>
      </c>
      <c r="E666" s="454" t="s">
        <v>170</v>
      </c>
      <c r="F666" s="460" t="s">
        <v>1977</v>
      </c>
      <c r="G666" s="460" t="s">
        <v>1858</v>
      </c>
      <c r="H666" s="460"/>
      <c r="I666" s="460"/>
      <c r="J666" s="540"/>
      <c r="K666" s="540">
        <v>690</v>
      </c>
      <c r="L666" s="540"/>
      <c r="M666" s="545"/>
      <c r="N666" s="566">
        <f>J666*INDEX([2]Pedidos!$Q:$Q,MATCH(F666,[2]Pedidos!$E:$E,0))</f>
        <v>0</v>
      </c>
      <c r="O666" s="564">
        <f>K666*INDEX([2]Pedidos!$Q:$Q,MATCH(G666,[2]Pedidos!$E:$E,0))</f>
        <v>0</v>
      </c>
      <c r="P666" s="566" t="e">
        <f>M666*INDEX([2]Pedidos!$Q:$Q,MATCH(H666,[2]Pedidos!$E:$E,0))</f>
        <v>#N/A</v>
      </c>
    </row>
    <row r="667" spans="1:16" x14ac:dyDescent="0.25">
      <c r="A667" s="752"/>
      <c r="C667" s="527" t="s">
        <v>1938</v>
      </c>
      <c r="D667" s="453">
        <f t="shared" si="144"/>
        <v>46196</v>
      </c>
      <c r="E667" s="454" t="s">
        <v>585</v>
      </c>
      <c r="F667" s="512"/>
      <c r="G667" s="505"/>
      <c r="H667" s="505"/>
      <c r="I667" s="724"/>
      <c r="J667" s="516" cm="1">
        <f t="array" aca="1" ref="J667" ca="1">IFERROR(_xlfn.LET(_xlpm.produto,TRIM(F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67" s="516" cm="1">
        <f t="array" aca="1" ref="K667" ca="1">IFERROR(_xlfn.LET(_xlpm.produto,TRIM(G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67" s="516"/>
      <c r="M667" s="516" cm="1">
        <f t="array" aca="1" ref="M667" ca="1">IFERROR(_xlfn.LET(_xlpm.produto,TRIM(H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67" s="516" cm="1">
        <f t="array" aca="1" ref="N667" ca="1">IFERROR(_xlfn.LET(_xlpm.produto,TRIM(J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667" s="516" cm="1">
        <f t="array" aca="1" ref="O667" ca="1">IFERROR(_xlfn.LET(_xlpm.produto,TRIM(K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667" s="516" cm="1">
        <f t="array" aca="1" ref="P667" ca="1">IFERROR(_xlfn.LET(_xlpm.produto,TRIM(M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668" spans="1:16" x14ac:dyDescent="0.25">
      <c r="A668" s="752"/>
      <c r="C668" s="527" t="s">
        <v>1938</v>
      </c>
      <c r="D668" s="453">
        <f t="shared" si="144"/>
        <v>46196</v>
      </c>
      <c r="E668" s="455" t="s">
        <v>574</v>
      </c>
      <c r="F668" s="512"/>
      <c r="G668" s="512"/>
      <c r="H668" s="512"/>
      <c r="I668" s="537"/>
      <c r="J668" s="516" cm="1">
        <f t="array" aca="1" ref="J668" ca="1">IFERROR(_xlfn.LET(_xlpm.produto,TRIM(F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68" s="516" cm="1">
        <f t="array" aca="1" ref="K668" ca="1">IFERROR(_xlfn.LET(_xlpm.produto,TRIM(G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68" s="516"/>
      <c r="M668" s="516" cm="1">
        <f t="array" aca="1" ref="M668" ca="1">IFERROR(_xlfn.LET(_xlpm.produto,TRIM(H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68" s="516" cm="1">
        <f t="array" aca="1" ref="N668" ca="1">IFERROR(_xlfn.LET(_xlpm.produto,TRIM(J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668" s="516" cm="1">
        <f t="array" aca="1" ref="O668" ca="1">IFERROR(_xlfn.LET(_xlpm.produto,TRIM(K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668" s="516" cm="1">
        <f t="array" aca="1" ref="P668" ca="1">IFERROR(_xlfn.LET(_xlpm.produto,TRIM(M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669" spans="1:16" x14ac:dyDescent="0.25">
      <c r="A669" s="752"/>
      <c r="C669" s="527" t="s">
        <v>1938</v>
      </c>
      <c r="D669" s="453">
        <f t="shared" si="144"/>
        <v>46196</v>
      </c>
      <c r="E669" s="455" t="s">
        <v>575</v>
      </c>
      <c r="F669" s="512"/>
      <c r="G669" s="512"/>
      <c r="H669" s="512"/>
      <c r="I669" s="537"/>
      <c r="J669" s="516" cm="1">
        <f t="array" aca="1" ref="J669" ca="1">IFERROR(_xlfn.LET(_xlpm.produto,TRIM(F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69" s="516" cm="1">
        <f t="array" aca="1" ref="K669" ca="1">IFERROR(_xlfn.LET(_xlpm.produto,TRIM(G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69" s="516"/>
      <c r="M669" s="516" cm="1">
        <f t="array" aca="1" ref="M669" ca="1">IFERROR(_xlfn.LET(_xlpm.produto,TRIM(H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69" s="516" cm="1">
        <f t="array" aca="1" ref="N669" ca="1">IFERROR(_xlfn.LET(_xlpm.produto,TRIM(J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669" s="516" cm="1">
        <f t="array" aca="1" ref="O669" ca="1">IFERROR(_xlfn.LET(_xlpm.produto,TRIM(K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669" s="516" cm="1">
        <f t="array" aca="1" ref="P669" ca="1">IFERROR(_xlfn.LET(_xlpm.produto,TRIM(M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670" spans="1:16" x14ac:dyDescent="0.25">
      <c r="A670" s="752"/>
      <c r="C670" s="527" t="s">
        <v>1938</v>
      </c>
      <c r="D670" s="453">
        <f t="shared" si="144"/>
        <v>46196</v>
      </c>
      <c r="E670" s="503" t="s">
        <v>583</v>
      </c>
      <c r="F670" s="512"/>
      <c r="G670" s="512"/>
      <c r="H670" s="512"/>
      <c r="I670" s="537"/>
      <c r="J670" s="516" cm="1">
        <f t="array" aca="1" ref="J670" ca="1">IFERROR(_xlfn.LET(_xlpm.produto,TRIM(F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70" s="516" cm="1">
        <f t="array" aca="1" ref="K670" ca="1">IFERROR(_xlfn.LET(_xlpm.produto,TRIM(G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70" s="516"/>
      <c r="M670" s="516" cm="1">
        <f t="array" aca="1" ref="M670" ca="1">IFERROR(_xlfn.LET(_xlpm.produto,TRIM(H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70" s="516" cm="1">
        <f t="array" aca="1" ref="N670" ca="1">IFERROR(_xlfn.LET(_xlpm.produto,TRIM(J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670" s="516" cm="1">
        <f t="array" aca="1" ref="O670" ca="1">IFERROR(_xlfn.LET(_xlpm.produto,TRIM(K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670" s="516" cm="1">
        <f t="array" aca="1" ref="P670" ca="1">IFERROR(_xlfn.LET(_xlpm.produto,TRIM(M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671" spans="1:16" ht="15.75" thickBot="1" x14ac:dyDescent="0.3">
      <c r="A671" s="752"/>
      <c r="C671" s="528" t="s">
        <v>1938</v>
      </c>
      <c r="D671" s="451">
        <f t="shared" si="144"/>
        <v>46196</v>
      </c>
      <c r="E671" s="459" t="s">
        <v>584</v>
      </c>
      <c r="F671" s="512"/>
      <c r="G671" s="512"/>
      <c r="H671" s="512"/>
      <c r="I671" s="537"/>
      <c r="J671" s="516" cm="1">
        <f t="array" aca="1" ref="J671" ca="1">IFERROR(_xlfn.LET(_xlpm.produto,TRIM(F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71" s="516" cm="1">
        <f t="array" aca="1" ref="K671" ca="1">IFERROR(_xlfn.LET(_xlpm.produto,TRIM(G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71" s="516"/>
      <c r="M671" s="516" cm="1">
        <f t="array" aca="1" ref="M671" ca="1">IFERROR(_xlfn.LET(_xlpm.produto,TRIM(H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71" s="516" cm="1">
        <f t="array" aca="1" ref="N671" ca="1">IFERROR(_xlfn.LET(_xlpm.produto,TRIM(J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671" s="516" cm="1">
        <f t="array" aca="1" ref="O671" ca="1">IFERROR(_xlfn.LET(_xlpm.produto,TRIM(K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671" s="516" cm="1">
        <f t="array" aca="1" ref="P671" ca="1">IFERROR(_xlfn.LET(_xlpm.produto,TRIM(M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672" spans="1:16" ht="7.5" customHeight="1" thickBot="1" x14ac:dyDescent="0.3">
      <c r="A672" s="752"/>
      <c r="J672" s="445"/>
      <c r="K672" s="445"/>
      <c r="L672" s="445"/>
      <c r="N672" s="559"/>
      <c r="O672" s="559"/>
      <c r="P672" s="559"/>
    </row>
    <row r="673" spans="1:18" ht="15.75" thickBot="1" x14ac:dyDescent="0.3">
      <c r="A673" s="752"/>
      <c r="C673" s="538"/>
      <c r="D673" s="539"/>
      <c r="E673" s="539"/>
      <c r="F673" s="539"/>
      <c r="G673" s="539"/>
      <c r="H673" s="539"/>
      <c r="I673" s="539"/>
      <c r="J673" s="606">
        <f t="shared" ref="J673:P673" ca="1" si="145">_xlfn.AGGREGATE(9,6,J674:J689)</f>
        <v>6282</v>
      </c>
      <c r="K673" s="607">
        <f t="shared" ca="1" si="145"/>
        <v>6210</v>
      </c>
      <c r="L673" s="607"/>
      <c r="M673" s="544">
        <f t="shared" ca="1" si="145"/>
        <v>6210</v>
      </c>
      <c r="N673" s="560">
        <f t="shared" si="145"/>
        <v>5863.2000000000007</v>
      </c>
      <c r="O673" s="561">
        <f t="shared" si="145"/>
        <v>5278.5</v>
      </c>
      <c r="P673" s="562">
        <f t="shared" si="145"/>
        <v>12420</v>
      </c>
      <c r="Q673" s="548">
        <f ca="1">SUM(J673:M673)</f>
        <v>18702</v>
      </c>
      <c r="R673" s="549">
        <f>SUM(N673:P673)</f>
        <v>23561.7</v>
      </c>
    </row>
    <row r="674" spans="1:18" x14ac:dyDescent="0.25">
      <c r="A674" s="752"/>
      <c r="C674" s="496" t="s">
        <v>1832</v>
      </c>
      <c r="D674" s="507">
        <f>D635+3</f>
        <v>46197</v>
      </c>
      <c r="E674" s="498" t="s">
        <v>573</v>
      </c>
      <c r="F674" s="514"/>
      <c r="G674" s="514"/>
      <c r="H674" s="514"/>
      <c r="I674" s="724"/>
      <c r="J674" s="537"/>
      <c r="K674" s="537"/>
      <c r="L674" s="537"/>
      <c r="M674" s="537"/>
      <c r="N674" s="563"/>
      <c r="O674" s="563"/>
      <c r="P674" s="563"/>
    </row>
    <row r="675" spans="1:18" x14ac:dyDescent="0.25">
      <c r="A675" s="752"/>
      <c r="C675" s="525" t="s">
        <v>1832</v>
      </c>
      <c r="D675" s="453">
        <f t="shared" ref="D675:D689" si="146">D674</f>
        <v>46197</v>
      </c>
      <c r="E675" s="500" t="s">
        <v>162</v>
      </c>
      <c r="F675" s="460" t="s">
        <v>1977</v>
      </c>
      <c r="G675" s="460" t="s">
        <v>1963</v>
      </c>
      <c r="H675" s="460" t="s">
        <v>1964</v>
      </c>
      <c r="I675" s="460"/>
      <c r="J675" s="540">
        <v>698</v>
      </c>
      <c r="K675" s="540">
        <v>690</v>
      </c>
      <c r="L675" s="540"/>
      <c r="M675" s="545">
        <v>690</v>
      </c>
      <c r="N675" s="555">
        <f>J675*INDEX([2]Pedidos!$Q:$Q,MATCH(F675,[2]Pedidos!$E:$E,0))</f>
        <v>767.80000000000007</v>
      </c>
      <c r="O675" s="564">
        <f>K675*INDEX([2]Pedidos!$Q:$Q,MATCH(G675,[2]Pedidos!$E:$E,0))</f>
        <v>586.5</v>
      </c>
      <c r="P675" s="555">
        <f>M675*INDEX([2]Pedidos!$Q:$Q,MATCH(H675,[2]Pedidos!$E:$E,0))</f>
        <v>1380</v>
      </c>
    </row>
    <row r="676" spans="1:18" x14ac:dyDescent="0.25">
      <c r="A676" s="752"/>
      <c r="C676" s="526" t="s">
        <v>1832</v>
      </c>
      <c r="D676" s="453">
        <f t="shared" si="146"/>
        <v>46197</v>
      </c>
      <c r="E676" s="454" t="s">
        <v>163</v>
      </c>
      <c r="F676" s="460" t="s">
        <v>1977</v>
      </c>
      <c r="G676" s="460" t="s">
        <v>1963</v>
      </c>
      <c r="H676" s="460" t="s">
        <v>1964</v>
      </c>
      <c r="I676" s="460"/>
      <c r="J676" s="540">
        <v>698</v>
      </c>
      <c r="K676" s="540">
        <v>690</v>
      </c>
      <c r="L676" s="540"/>
      <c r="M676" s="545">
        <v>690</v>
      </c>
      <c r="N676" s="564">
        <f>J676*INDEX([2]Pedidos!$Q:$Q,MATCH(F676,[2]Pedidos!$E:$E,0))</f>
        <v>767.80000000000007</v>
      </c>
      <c r="O676" s="564">
        <f>K676*INDEX([2]Pedidos!$Q:$Q,MATCH(G676,[2]Pedidos!$E:$E,0))</f>
        <v>586.5</v>
      </c>
      <c r="P676" s="564">
        <f>M676*INDEX([2]Pedidos!$Q:$Q,MATCH(H676,[2]Pedidos!$E:$E,0))</f>
        <v>1380</v>
      </c>
    </row>
    <row r="677" spans="1:18" x14ac:dyDescent="0.25">
      <c r="A677" s="752"/>
      <c r="C677" s="526" t="s">
        <v>1832</v>
      </c>
      <c r="D677" s="453">
        <f t="shared" si="146"/>
        <v>46197</v>
      </c>
      <c r="E677" s="454" t="s">
        <v>164</v>
      </c>
      <c r="F677" s="460" t="s">
        <v>1977</v>
      </c>
      <c r="G677" s="460" t="s">
        <v>1963</v>
      </c>
      <c r="H677" s="460" t="s">
        <v>1964</v>
      </c>
      <c r="I677" s="460"/>
      <c r="J677" s="540">
        <v>698</v>
      </c>
      <c r="K677" s="540">
        <v>690</v>
      </c>
      <c r="L677" s="540"/>
      <c r="M677" s="545">
        <v>690</v>
      </c>
      <c r="N677" s="564">
        <f>J677*INDEX([2]Pedidos!$Q:$Q,MATCH(F677,[2]Pedidos!$E:$E,0))</f>
        <v>767.80000000000007</v>
      </c>
      <c r="O677" s="564">
        <f>K677*INDEX([2]Pedidos!$Q:$Q,MATCH(G677,[2]Pedidos!$E:$E,0))</f>
        <v>586.5</v>
      </c>
      <c r="P677" s="564">
        <f>M677*INDEX([2]Pedidos!$Q:$Q,MATCH(H677,[2]Pedidos!$E:$E,0))</f>
        <v>1380</v>
      </c>
    </row>
    <row r="678" spans="1:18" x14ac:dyDescent="0.25">
      <c r="A678" s="752"/>
      <c r="C678" s="526" t="s">
        <v>1832</v>
      </c>
      <c r="D678" s="453">
        <f t="shared" si="146"/>
        <v>46197</v>
      </c>
      <c r="E678" s="454" t="s">
        <v>165</v>
      </c>
      <c r="F678" s="460" t="s">
        <v>1783</v>
      </c>
      <c r="G678" s="460" t="s">
        <v>1963</v>
      </c>
      <c r="H678" s="460" t="s">
        <v>1964</v>
      </c>
      <c r="I678" s="460"/>
      <c r="J678" s="540">
        <v>698</v>
      </c>
      <c r="K678" s="540">
        <v>690</v>
      </c>
      <c r="L678" s="540"/>
      <c r="M678" s="545">
        <v>690</v>
      </c>
      <c r="N678" s="564">
        <f>J678*INDEX([2]Pedidos!$Q:$Q,MATCH(F678,[2]Pedidos!$E:$E,0))</f>
        <v>593.29999999999995</v>
      </c>
      <c r="O678" s="564">
        <f>K678*INDEX([2]Pedidos!$Q:$Q,MATCH(G678,[2]Pedidos!$E:$E,0))</f>
        <v>586.5</v>
      </c>
      <c r="P678" s="564">
        <f>M678*INDEX([2]Pedidos!$Q:$Q,MATCH(H678,[2]Pedidos!$E:$E,0))</f>
        <v>1380</v>
      </c>
    </row>
    <row r="679" spans="1:18" x14ac:dyDescent="0.25">
      <c r="A679" s="752"/>
      <c r="C679" s="526" t="s">
        <v>1832</v>
      </c>
      <c r="D679" s="453">
        <f t="shared" si="146"/>
        <v>46197</v>
      </c>
      <c r="E679" s="454" t="s">
        <v>166</v>
      </c>
      <c r="F679" s="460" t="s">
        <v>1783</v>
      </c>
      <c r="G679" s="460" t="s">
        <v>1963</v>
      </c>
      <c r="H679" s="460" t="s">
        <v>1964</v>
      </c>
      <c r="I679" s="460"/>
      <c r="J679" s="540">
        <v>698</v>
      </c>
      <c r="K679" s="540">
        <v>690</v>
      </c>
      <c r="L679" s="540"/>
      <c r="M679" s="545">
        <v>690</v>
      </c>
      <c r="N679" s="564">
        <f>J679*INDEX([2]Pedidos!$Q:$Q,MATCH(F679,[2]Pedidos!$E:$E,0))</f>
        <v>593.29999999999995</v>
      </c>
      <c r="O679" s="564">
        <f>K679*INDEX([2]Pedidos!$Q:$Q,MATCH(G679,[2]Pedidos!$E:$E,0))</f>
        <v>586.5</v>
      </c>
      <c r="P679" s="564">
        <f>M679*INDEX([2]Pedidos!$Q:$Q,MATCH(H679,[2]Pedidos!$E:$E,0))</f>
        <v>1380</v>
      </c>
    </row>
    <row r="680" spans="1:18" x14ac:dyDescent="0.25">
      <c r="A680" s="752"/>
      <c r="C680" s="526" t="s">
        <v>1832</v>
      </c>
      <c r="D680" s="453">
        <f t="shared" si="146"/>
        <v>46197</v>
      </c>
      <c r="E680" s="454" t="s">
        <v>576</v>
      </c>
      <c r="F680" s="512"/>
      <c r="G680" s="512"/>
      <c r="H680" s="512"/>
      <c r="I680" s="512"/>
      <c r="J680" s="541" cm="1">
        <f t="array" aca="1" ref="J680" ca="1">IFERROR(_xlfn.LET(_xlpm.produto,TRIM(F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0" s="541" cm="1">
        <f t="array" aca="1" ref="K680" ca="1">IFERROR(_xlfn.LET(_xlpm.produto,TRIM(G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0" s="541"/>
      <c r="M680" s="541" cm="1">
        <f t="array" aca="1" ref="M680" ca="1">IFERROR(_xlfn.LET(_xlpm.produto,TRIM(H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0" s="556"/>
      <c r="O680" s="556"/>
      <c r="P680" s="556"/>
    </row>
    <row r="681" spans="1:18" x14ac:dyDescent="0.25">
      <c r="A681" s="752"/>
      <c r="C681" s="527" t="s">
        <v>1832</v>
      </c>
      <c r="D681" s="449">
        <f t="shared" si="146"/>
        <v>46197</v>
      </c>
      <c r="E681" s="454" t="s">
        <v>167</v>
      </c>
      <c r="F681" s="460" t="s">
        <v>1783</v>
      </c>
      <c r="G681" s="460" t="s">
        <v>1963</v>
      </c>
      <c r="H681" s="460" t="s">
        <v>1964</v>
      </c>
      <c r="I681" s="460"/>
      <c r="J681" s="540">
        <v>698</v>
      </c>
      <c r="K681" s="540">
        <v>690</v>
      </c>
      <c r="L681" s="540"/>
      <c r="M681" s="545">
        <v>690</v>
      </c>
      <c r="N681" s="565">
        <f>J681*INDEX([2]Pedidos!$Q:$Q,MATCH(F681,[2]Pedidos!$E:$E,0))</f>
        <v>593.29999999999995</v>
      </c>
      <c r="O681" s="564">
        <f>K681*INDEX([2]Pedidos!$Q:$Q,MATCH(G681,[2]Pedidos!$E:$E,0))</f>
        <v>586.5</v>
      </c>
      <c r="P681" s="565">
        <f>M681*INDEX([2]Pedidos!$Q:$Q,MATCH(H681,[2]Pedidos!$E:$E,0))</f>
        <v>1380</v>
      </c>
    </row>
    <row r="682" spans="1:18" x14ac:dyDescent="0.25">
      <c r="A682" s="752"/>
      <c r="C682" s="527" t="s">
        <v>1832</v>
      </c>
      <c r="D682" s="449">
        <f t="shared" si="146"/>
        <v>46197</v>
      </c>
      <c r="E682" s="454" t="s">
        <v>168</v>
      </c>
      <c r="F682" s="460" t="s">
        <v>1783</v>
      </c>
      <c r="G682" s="460" t="s">
        <v>1963</v>
      </c>
      <c r="H682" s="460" t="s">
        <v>1964</v>
      </c>
      <c r="I682" s="460"/>
      <c r="J682" s="540">
        <v>698</v>
      </c>
      <c r="K682" s="540">
        <v>690</v>
      </c>
      <c r="L682" s="540"/>
      <c r="M682" s="545">
        <v>690</v>
      </c>
      <c r="N682" s="565">
        <f>J682*INDEX([2]Pedidos!$Q:$Q,MATCH(F682,[2]Pedidos!$E:$E,0))</f>
        <v>593.29999999999995</v>
      </c>
      <c r="O682" s="564">
        <f>K682*INDEX([2]Pedidos!$Q:$Q,MATCH(G682,[2]Pedidos!$E:$E,0))</f>
        <v>586.5</v>
      </c>
      <c r="P682" s="565">
        <f>M682*INDEX([2]Pedidos!$Q:$Q,MATCH(H682,[2]Pedidos!$E:$E,0))</f>
        <v>1380</v>
      </c>
    </row>
    <row r="683" spans="1:18" x14ac:dyDescent="0.25">
      <c r="A683" s="752"/>
      <c r="C683" s="527" t="s">
        <v>1832</v>
      </c>
      <c r="D683" s="449">
        <f t="shared" si="146"/>
        <v>46197</v>
      </c>
      <c r="E683" s="454" t="s">
        <v>169</v>
      </c>
      <c r="F683" s="460" t="s">
        <v>1783</v>
      </c>
      <c r="G683" s="460" t="s">
        <v>1963</v>
      </c>
      <c r="H683" s="460" t="s">
        <v>1969</v>
      </c>
      <c r="I683" s="460"/>
      <c r="J683" s="540">
        <v>698</v>
      </c>
      <c r="K683" s="540">
        <v>690</v>
      </c>
      <c r="L683" s="540"/>
      <c r="M683" s="545">
        <v>690</v>
      </c>
      <c r="N683" s="565">
        <f>J683*INDEX([2]Pedidos!$Q:$Q,MATCH(F683,[2]Pedidos!$E:$E,0))</f>
        <v>593.29999999999995</v>
      </c>
      <c r="O683" s="564">
        <f>K683*INDEX([2]Pedidos!$Q:$Q,MATCH(G683,[2]Pedidos!$E:$E,0))</f>
        <v>586.5</v>
      </c>
      <c r="P683" s="565">
        <f>M683*INDEX([2]Pedidos!$Q:$Q,MATCH(H683,[2]Pedidos!$E:$E,0))</f>
        <v>1380</v>
      </c>
    </row>
    <row r="684" spans="1:18" x14ac:dyDescent="0.25">
      <c r="A684" s="752"/>
      <c r="C684" s="527" t="s">
        <v>1832</v>
      </c>
      <c r="D684" s="453">
        <f t="shared" si="146"/>
        <v>46197</v>
      </c>
      <c r="E684" s="454" t="s">
        <v>170</v>
      </c>
      <c r="F684" s="460" t="s">
        <v>1783</v>
      </c>
      <c r="G684" s="460" t="s">
        <v>1963</v>
      </c>
      <c r="H684" s="460" t="s">
        <v>1969</v>
      </c>
      <c r="I684" s="460"/>
      <c r="J684" s="540">
        <v>698</v>
      </c>
      <c r="K684" s="540">
        <v>690</v>
      </c>
      <c r="L684" s="540"/>
      <c r="M684" s="545">
        <v>690</v>
      </c>
      <c r="N684" s="566">
        <f>J684*INDEX([2]Pedidos!$Q:$Q,MATCH(F684,[2]Pedidos!$E:$E,0))</f>
        <v>593.29999999999995</v>
      </c>
      <c r="O684" s="564">
        <f>K684*INDEX([2]Pedidos!$Q:$Q,MATCH(G684,[2]Pedidos!$E:$E,0))</f>
        <v>586.5</v>
      </c>
      <c r="P684" s="566">
        <f>M684*INDEX([2]Pedidos!$Q:$Q,MATCH(H684,[2]Pedidos!$E:$E,0))</f>
        <v>1380</v>
      </c>
    </row>
    <row r="685" spans="1:18" x14ac:dyDescent="0.25">
      <c r="A685" s="752"/>
      <c r="C685" s="527" t="s">
        <v>1832</v>
      </c>
      <c r="D685" s="453">
        <f t="shared" si="146"/>
        <v>46197</v>
      </c>
      <c r="E685" s="454" t="s">
        <v>585</v>
      </c>
      <c r="F685" s="512"/>
      <c r="G685" s="505"/>
      <c r="H685" s="505"/>
      <c r="I685" s="724"/>
      <c r="J685" s="516" cm="1">
        <f t="array" aca="1" ref="J685" ca="1">IFERROR(_xlfn.LET(_xlpm.produto,TRIM(F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5" s="516" cm="1">
        <f t="array" aca="1" ref="K685" ca="1">IFERROR(_xlfn.LET(_xlpm.produto,TRIM(G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5" s="516"/>
      <c r="M685" s="516" cm="1">
        <f t="array" aca="1" ref="M685" ca="1">IFERROR(_xlfn.LET(_xlpm.produto,TRIM(H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5" s="557"/>
      <c r="O685" s="557"/>
      <c r="P685" s="557"/>
    </row>
    <row r="686" spans="1:18" x14ac:dyDescent="0.25">
      <c r="A686" s="752"/>
      <c r="C686" s="527" t="s">
        <v>1832</v>
      </c>
      <c r="D686" s="453">
        <f t="shared" si="146"/>
        <v>46197</v>
      </c>
      <c r="E686" s="455" t="s">
        <v>574</v>
      </c>
      <c r="F686" s="512"/>
      <c r="G686" s="512"/>
      <c r="H686" s="512"/>
      <c r="I686" s="537"/>
      <c r="J686" s="516" cm="1">
        <f t="array" aca="1" ref="J686" ca="1">IFERROR(_xlfn.LET(_xlpm.produto,TRIM(F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6" s="516" cm="1">
        <f t="array" aca="1" ref="K686" ca="1">IFERROR(_xlfn.LET(_xlpm.produto,TRIM(G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6" s="516"/>
      <c r="M686" s="516" cm="1">
        <f t="array" aca="1" ref="M686" ca="1">IFERROR(_xlfn.LET(_xlpm.produto,TRIM(H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6" s="557"/>
      <c r="O686" s="557"/>
      <c r="P686" s="557"/>
    </row>
    <row r="687" spans="1:18" x14ac:dyDescent="0.25">
      <c r="A687" s="752"/>
      <c r="C687" s="527" t="s">
        <v>1832</v>
      </c>
      <c r="D687" s="453">
        <f t="shared" si="146"/>
        <v>46197</v>
      </c>
      <c r="E687" s="455" t="s">
        <v>575</v>
      </c>
      <c r="F687" s="512"/>
      <c r="G687" s="512"/>
      <c r="H687" s="512"/>
      <c r="I687" s="537"/>
      <c r="J687" s="516" cm="1">
        <f t="array" aca="1" ref="J687" ca="1">IFERROR(_xlfn.LET(_xlpm.produto,TRIM(F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7" s="516" cm="1">
        <f t="array" aca="1" ref="K687" ca="1">IFERROR(_xlfn.LET(_xlpm.produto,TRIM(G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7" s="516"/>
      <c r="M687" s="516" cm="1">
        <f t="array" aca="1" ref="M687" ca="1">IFERROR(_xlfn.LET(_xlpm.produto,TRIM(H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7" s="557"/>
      <c r="O687" s="557"/>
      <c r="P687" s="557"/>
    </row>
    <row r="688" spans="1:18" x14ac:dyDescent="0.25">
      <c r="A688" s="752"/>
      <c r="C688" s="527" t="s">
        <v>1832</v>
      </c>
      <c r="D688" s="453">
        <f t="shared" si="146"/>
        <v>46197</v>
      </c>
      <c r="E688" s="503" t="s">
        <v>583</v>
      </c>
      <c r="F688" s="512"/>
      <c r="G688" s="512"/>
      <c r="H688" s="512"/>
      <c r="I688" s="537"/>
      <c r="J688" s="516" cm="1">
        <f t="array" aca="1" ref="J688" ca="1">IFERROR(_xlfn.LET(_xlpm.produto,TRIM(F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8" s="516" cm="1">
        <f t="array" aca="1" ref="K688" ca="1">IFERROR(_xlfn.LET(_xlpm.produto,TRIM(G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8" s="516"/>
      <c r="M688" s="516" cm="1">
        <f t="array" aca="1" ref="M688" ca="1">IFERROR(_xlfn.LET(_xlpm.produto,TRIM(H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8" s="557"/>
      <c r="O688" s="557"/>
      <c r="P688" s="557"/>
    </row>
    <row r="689" spans="1:18" ht="15.75" thickBot="1" x14ac:dyDescent="0.3">
      <c r="A689" s="752"/>
      <c r="C689" s="528" t="s">
        <v>1832</v>
      </c>
      <c r="D689" s="451">
        <f t="shared" si="146"/>
        <v>46197</v>
      </c>
      <c r="E689" s="459" t="s">
        <v>584</v>
      </c>
      <c r="F689" s="512"/>
      <c r="G689" s="512"/>
      <c r="H689" s="512"/>
      <c r="I689" s="537"/>
      <c r="J689" s="516" cm="1">
        <f t="array" aca="1" ref="J689" ca="1">IFERROR(_xlfn.LET(_xlpm.produto,TRIM(F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89" s="516" cm="1">
        <f t="array" aca="1" ref="K689" ca="1">IFERROR(_xlfn.LET(_xlpm.produto,TRIM(G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89" s="516"/>
      <c r="M689" s="516" cm="1">
        <f t="array" aca="1" ref="M689" ca="1">IFERROR(_xlfn.LET(_xlpm.produto,TRIM(H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89" s="557"/>
      <c r="O689" s="557"/>
      <c r="P689" s="557"/>
    </row>
    <row r="690" spans="1:18" ht="8.25" customHeight="1" thickBot="1" x14ac:dyDescent="0.3">
      <c r="A690" s="752"/>
      <c r="J690" s="445"/>
      <c r="K690" s="445"/>
      <c r="L690" s="445"/>
      <c r="N690" s="559"/>
      <c r="O690" s="559"/>
      <c r="P690" s="559"/>
    </row>
    <row r="691" spans="1:18" ht="15.75" thickBot="1" x14ac:dyDescent="0.3">
      <c r="A691" s="752"/>
      <c r="C691" s="538"/>
      <c r="D691" s="539"/>
      <c r="E691" s="539"/>
      <c r="F691" s="539"/>
      <c r="G691" s="539"/>
      <c r="H691" s="539"/>
      <c r="I691" s="539"/>
      <c r="J691" s="606">
        <f t="shared" ref="J691:P691" ca="1" si="147">_xlfn.AGGREGATE(9,6,J692:J707)</f>
        <v>6497</v>
      </c>
      <c r="K691" s="607">
        <f t="shared" ca="1" si="147"/>
        <v>6210</v>
      </c>
      <c r="L691" s="607"/>
      <c r="M691" s="544">
        <f t="shared" ca="1" si="147"/>
        <v>6210</v>
      </c>
      <c r="N691" s="560">
        <f t="shared" si="147"/>
        <v>6559.8499999999995</v>
      </c>
      <c r="O691" s="561">
        <f t="shared" si="147"/>
        <v>5278.5</v>
      </c>
      <c r="P691" s="562">
        <f t="shared" si="147"/>
        <v>12420</v>
      </c>
      <c r="Q691" s="548">
        <f ca="1">SUM(J691:M691)</f>
        <v>18917</v>
      </c>
      <c r="R691" s="549">
        <f>SUM(N691:P691)</f>
        <v>24258.35</v>
      </c>
    </row>
    <row r="692" spans="1:18" x14ac:dyDescent="0.25">
      <c r="A692" s="752"/>
      <c r="C692" s="496" t="s">
        <v>1825</v>
      </c>
      <c r="D692" s="507">
        <f>D653+3</f>
        <v>46198</v>
      </c>
      <c r="E692" s="498" t="s">
        <v>573</v>
      </c>
      <c r="F692" s="512"/>
      <c r="G692" s="512"/>
      <c r="H692" s="512"/>
      <c r="I692" s="512"/>
      <c r="J692" s="512"/>
      <c r="K692" s="512"/>
      <c r="L692" s="512"/>
      <c r="M692" s="512"/>
      <c r="N692" s="512"/>
      <c r="O692" s="512"/>
      <c r="P692" s="512"/>
    </row>
    <row r="693" spans="1:18" x14ac:dyDescent="0.25">
      <c r="A693" s="752"/>
      <c r="C693" s="525" t="s">
        <v>1825</v>
      </c>
      <c r="D693" s="453">
        <f t="shared" ref="D693:D707" si="148">D692</f>
        <v>46198</v>
      </c>
      <c r="E693" s="500" t="s">
        <v>162</v>
      </c>
      <c r="F693" s="460" t="s">
        <v>1783</v>
      </c>
      <c r="G693" s="460" t="s">
        <v>1963</v>
      </c>
      <c r="H693" s="460" t="s">
        <v>1969</v>
      </c>
      <c r="I693" s="460"/>
      <c r="J693" s="540">
        <v>698</v>
      </c>
      <c r="K693" s="540">
        <v>690</v>
      </c>
      <c r="L693" s="540"/>
      <c r="M693" s="545">
        <v>690</v>
      </c>
      <c r="N693" s="555">
        <f>J693*INDEX([2]Pedidos!$Q:$Q,MATCH(F693,[2]Pedidos!$E:$E,0))</f>
        <v>593.29999999999995</v>
      </c>
      <c r="O693" s="564">
        <f>K693*INDEX([2]Pedidos!$Q:$Q,MATCH(G693,[2]Pedidos!$E:$E,0))</f>
        <v>586.5</v>
      </c>
      <c r="P693" s="555">
        <f>M693*INDEX([2]Pedidos!$Q:$Q,MATCH(H693,[2]Pedidos!$E:$E,0))</f>
        <v>1380</v>
      </c>
    </row>
    <row r="694" spans="1:18" x14ac:dyDescent="0.25">
      <c r="A694" s="752"/>
      <c r="C694" s="526" t="s">
        <v>1825</v>
      </c>
      <c r="D694" s="453">
        <f t="shared" si="148"/>
        <v>46198</v>
      </c>
      <c r="E694" s="454" t="s">
        <v>163</v>
      </c>
      <c r="F694" s="460" t="s">
        <v>1783</v>
      </c>
      <c r="G694" s="460" t="s">
        <v>1963</v>
      </c>
      <c r="H694" s="460" t="s">
        <v>1969</v>
      </c>
      <c r="I694" s="460"/>
      <c r="J694" s="540">
        <v>698</v>
      </c>
      <c r="K694" s="540">
        <v>690</v>
      </c>
      <c r="L694" s="540"/>
      <c r="M694" s="545">
        <v>690</v>
      </c>
      <c r="N694" s="564">
        <f>J694*INDEX([2]Pedidos!$Q:$Q,MATCH(F694,[2]Pedidos!$E:$E,0))</f>
        <v>593.29999999999995</v>
      </c>
      <c r="O694" s="564">
        <f>K694*INDEX([2]Pedidos!$Q:$Q,MATCH(G694,[2]Pedidos!$E:$E,0))</f>
        <v>586.5</v>
      </c>
      <c r="P694" s="564">
        <f>M694*INDEX([2]Pedidos!$Q:$Q,MATCH(H694,[2]Pedidos!$E:$E,0))</f>
        <v>1380</v>
      </c>
    </row>
    <row r="695" spans="1:18" x14ac:dyDescent="0.25">
      <c r="A695" s="752"/>
      <c r="C695" s="526" t="s">
        <v>1825</v>
      </c>
      <c r="D695" s="453">
        <f t="shared" si="148"/>
        <v>46198</v>
      </c>
      <c r="E695" s="454" t="s">
        <v>164</v>
      </c>
      <c r="F695" s="460" t="s">
        <v>1783</v>
      </c>
      <c r="G695" s="460" t="s">
        <v>1963</v>
      </c>
      <c r="H695" s="460" t="s">
        <v>1969</v>
      </c>
      <c r="I695" s="460"/>
      <c r="J695" s="540">
        <v>698</v>
      </c>
      <c r="K695" s="540">
        <v>690</v>
      </c>
      <c r="L695" s="540"/>
      <c r="M695" s="545">
        <v>690</v>
      </c>
      <c r="N695" s="564">
        <f>J695*INDEX([2]Pedidos!$Q:$Q,MATCH(F695,[2]Pedidos!$E:$E,0))</f>
        <v>593.29999999999995</v>
      </c>
      <c r="O695" s="564">
        <f>K695*INDEX([2]Pedidos!$Q:$Q,MATCH(G695,[2]Pedidos!$E:$E,0))</f>
        <v>586.5</v>
      </c>
      <c r="P695" s="564">
        <f>M695*INDEX([2]Pedidos!$Q:$Q,MATCH(H695,[2]Pedidos!$E:$E,0))</f>
        <v>1380</v>
      </c>
    </row>
    <row r="696" spans="1:18" x14ac:dyDescent="0.25">
      <c r="A696" s="752"/>
      <c r="C696" s="526" t="s">
        <v>1825</v>
      </c>
      <c r="D696" s="453">
        <f t="shared" si="148"/>
        <v>46198</v>
      </c>
      <c r="E696" s="454" t="s">
        <v>165</v>
      </c>
      <c r="F696" s="460" t="s">
        <v>1783</v>
      </c>
      <c r="G696" s="460" t="s">
        <v>1963</v>
      </c>
      <c r="H696" s="460" t="s">
        <v>1969</v>
      </c>
      <c r="I696" s="460"/>
      <c r="J696" s="540">
        <v>698</v>
      </c>
      <c r="K696" s="540">
        <v>690</v>
      </c>
      <c r="L696" s="540"/>
      <c r="M696" s="545">
        <v>690</v>
      </c>
      <c r="N696" s="564">
        <f>J696*INDEX([2]Pedidos!$Q:$Q,MATCH(F696,[2]Pedidos!$E:$E,0))</f>
        <v>593.29999999999995</v>
      </c>
      <c r="O696" s="564">
        <f>K696*INDEX([2]Pedidos!$Q:$Q,MATCH(G696,[2]Pedidos!$E:$E,0))</f>
        <v>586.5</v>
      </c>
      <c r="P696" s="564">
        <f>M696*INDEX([2]Pedidos!$Q:$Q,MATCH(H696,[2]Pedidos!$E:$E,0))</f>
        <v>1380</v>
      </c>
    </row>
    <row r="697" spans="1:18" x14ac:dyDescent="0.25">
      <c r="A697" s="752"/>
      <c r="C697" s="526" t="s">
        <v>1825</v>
      </c>
      <c r="D697" s="453">
        <f t="shared" si="148"/>
        <v>46198</v>
      </c>
      <c r="E697" s="454" t="s">
        <v>166</v>
      </c>
      <c r="F697" s="613" t="s">
        <v>1783</v>
      </c>
      <c r="G697" s="460" t="s">
        <v>1963</v>
      </c>
      <c r="H697" s="460" t="s">
        <v>1969</v>
      </c>
      <c r="I697" s="460"/>
      <c r="J697" s="540">
        <v>741</v>
      </c>
      <c r="K697" s="540">
        <v>690</v>
      </c>
      <c r="L697" s="540"/>
      <c r="M697" s="545">
        <v>690</v>
      </c>
      <c r="N697" s="564">
        <f>J697*INDEX([2]Pedidos!$Q:$Q,MATCH(F697,[2]Pedidos!$E:$E,0))</f>
        <v>629.85</v>
      </c>
      <c r="O697" s="564">
        <f>K697*INDEX([2]Pedidos!$Q:$Q,MATCH(G697,[2]Pedidos!$E:$E,0))</f>
        <v>586.5</v>
      </c>
      <c r="P697" s="564">
        <f>M697*INDEX([2]Pedidos!$Q:$Q,MATCH(H697,[2]Pedidos!$E:$E,0))</f>
        <v>1380</v>
      </c>
    </row>
    <row r="698" spans="1:18" x14ac:dyDescent="0.25">
      <c r="A698" s="752"/>
      <c r="C698" s="526" t="s">
        <v>1825</v>
      </c>
      <c r="D698" s="453">
        <f t="shared" si="148"/>
        <v>46198</v>
      </c>
      <c r="E698" s="454" t="s">
        <v>576</v>
      </c>
      <c r="F698" s="512"/>
      <c r="G698" s="512"/>
      <c r="H698" s="512"/>
      <c r="I698" s="512"/>
      <c r="J698" s="554" cm="1">
        <f t="array" aca="1" ref="J698" ca="1">IFERROR(_xlfn.LET(_xlpm.produto,TRIM(F697)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98" s="554" cm="1">
        <f t="array" aca="1" ref="K698" ca="1">IFERROR(_xlfn.LET(_xlpm.produto,TRIM(G697)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98" s="554"/>
      <c r="M698" s="554" cm="1">
        <f t="array" aca="1" ref="M698" ca="1">IFERROR(_xlfn.LET(_xlpm.produto,TRIM(H697)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698" s="556"/>
      <c r="O698" s="556"/>
      <c r="P698" s="556"/>
    </row>
    <row r="699" spans="1:18" x14ac:dyDescent="0.25">
      <c r="A699" s="752"/>
      <c r="C699" s="527" t="s">
        <v>1825</v>
      </c>
      <c r="D699" s="449">
        <f t="shared" si="148"/>
        <v>46198</v>
      </c>
      <c r="E699" s="454" t="s">
        <v>167</v>
      </c>
      <c r="F699" s="460" t="s">
        <v>1766</v>
      </c>
      <c r="G699" s="460" t="s">
        <v>1963</v>
      </c>
      <c r="H699" s="460" t="s">
        <v>1969</v>
      </c>
      <c r="I699" s="460"/>
      <c r="J699" s="540">
        <v>741</v>
      </c>
      <c r="K699" s="540">
        <v>690</v>
      </c>
      <c r="L699" s="540"/>
      <c r="M699" s="545">
        <v>690</v>
      </c>
      <c r="N699" s="565">
        <f>J699*INDEX([2]Pedidos!$Q:$Q,MATCH(F699,[2]Pedidos!$E:$E,0))</f>
        <v>889.19999999999993</v>
      </c>
      <c r="O699" s="564">
        <f>K699*INDEX([2]Pedidos!$Q:$Q,MATCH(G699,[2]Pedidos!$E:$E,0))</f>
        <v>586.5</v>
      </c>
      <c r="P699" s="565">
        <f>M699*INDEX([2]Pedidos!$Q:$Q,MATCH(H699,[2]Pedidos!$E:$E,0))</f>
        <v>1380</v>
      </c>
    </row>
    <row r="700" spans="1:18" x14ac:dyDescent="0.25">
      <c r="A700" s="752"/>
      <c r="C700" s="527" t="s">
        <v>1825</v>
      </c>
      <c r="D700" s="449">
        <f t="shared" si="148"/>
        <v>46198</v>
      </c>
      <c r="E700" s="454" t="s">
        <v>168</v>
      </c>
      <c r="F700" s="460" t="s">
        <v>1766</v>
      </c>
      <c r="G700" s="460" t="s">
        <v>1963</v>
      </c>
      <c r="H700" s="460" t="s">
        <v>1969</v>
      </c>
      <c r="I700" s="460"/>
      <c r="J700" s="540">
        <v>741</v>
      </c>
      <c r="K700" s="540">
        <v>690</v>
      </c>
      <c r="L700" s="540"/>
      <c r="M700" s="545">
        <v>690</v>
      </c>
      <c r="N700" s="565">
        <f>J700*INDEX([2]Pedidos!$Q:$Q,MATCH(F700,[2]Pedidos!$E:$E,0))</f>
        <v>889.19999999999993</v>
      </c>
      <c r="O700" s="564">
        <f>K700*INDEX([2]Pedidos!$Q:$Q,MATCH(G700,[2]Pedidos!$E:$E,0))</f>
        <v>586.5</v>
      </c>
      <c r="P700" s="565">
        <f>M700*INDEX([2]Pedidos!$Q:$Q,MATCH(H700,[2]Pedidos!$E:$E,0))</f>
        <v>1380</v>
      </c>
    </row>
    <row r="701" spans="1:18" x14ac:dyDescent="0.25">
      <c r="A701" s="752"/>
      <c r="C701" s="527" t="s">
        <v>1825</v>
      </c>
      <c r="D701" s="449">
        <f t="shared" si="148"/>
        <v>46198</v>
      </c>
      <c r="E701" s="454" t="s">
        <v>169</v>
      </c>
      <c r="F701" s="460" t="s">
        <v>1766</v>
      </c>
      <c r="G701" s="460" t="s">
        <v>1963</v>
      </c>
      <c r="H701" s="460" t="s">
        <v>1969</v>
      </c>
      <c r="I701" s="460"/>
      <c r="J701" s="540">
        <v>741</v>
      </c>
      <c r="K701" s="540">
        <v>690</v>
      </c>
      <c r="L701" s="540"/>
      <c r="M701" s="545">
        <v>690</v>
      </c>
      <c r="N701" s="565">
        <f>J701*INDEX([2]Pedidos!$Q:$Q,MATCH(F701,[2]Pedidos!$E:$E,0))</f>
        <v>889.19999999999993</v>
      </c>
      <c r="O701" s="564">
        <f>K701*INDEX([2]Pedidos!$Q:$Q,MATCH(G701,[2]Pedidos!$E:$E,0))</f>
        <v>586.5</v>
      </c>
      <c r="P701" s="565">
        <f>M701*INDEX([2]Pedidos!$Q:$Q,MATCH(H701,[2]Pedidos!$E:$E,0))</f>
        <v>1380</v>
      </c>
    </row>
    <row r="702" spans="1:18" x14ac:dyDescent="0.25">
      <c r="A702" s="752"/>
      <c r="C702" s="527" t="s">
        <v>1825</v>
      </c>
      <c r="D702" s="453">
        <f t="shared" si="148"/>
        <v>46198</v>
      </c>
      <c r="E702" s="454" t="s">
        <v>170</v>
      </c>
      <c r="F702" s="460" t="s">
        <v>1766</v>
      </c>
      <c r="G702" s="460" t="s">
        <v>1963</v>
      </c>
      <c r="H702" s="460" t="s">
        <v>1969</v>
      </c>
      <c r="I702" s="460"/>
      <c r="J702" s="540">
        <v>741</v>
      </c>
      <c r="K702" s="540">
        <v>690</v>
      </c>
      <c r="L702" s="540"/>
      <c r="M702" s="545">
        <v>690</v>
      </c>
      <c r="N702" s="566">
        <f>J702*INDEX([2]Pedidos!$Q:$Q,MATCH(F702,[2]Pedidos!$E:$E,0))</f>
        <v>889.19999999999993</v>
      </c>
      <c r="O702" s="564">
        <f>K702*INDEX([2]Pedidos!$Q:$Q,MATCH(G702,[2]Pedidos!$E:$E,0))</f>
        <v>586.5</v>
      </c>
      <c r="P702" s="566">
        <f>M702*INDEX([2]Pedidos!$Q:$Q,MATCH(H702,[2]Pedidos!$E:$E,0))</f>
        <v>1380</v>
      </c>
    </row>
    <row r="703" spans="1:18" x14ac:dyDescent="0.25">
      <c r="A703" s="752"/>
      <c r="C703" s="527" t="s">
        <v>1825</v>
      </c>
      <c r="D703" s="453">
        <f t="shared" si="148"/>
        <v>46198</v>
      </c>
      <c r="E703" s="454" t="s">
        <v>585</v>
      </c>
      <c r="F703" s="512"/>
      <c r="G703" s="505"/>
      <c r="H703" s="505"/>
      <c r="I703" s="512"/>
      <c r="J703" s="516" cm="1">
        <f t="array" aca="1" ref="J703" ca="1">IFERROR(_xlfn.LET(_xlpm.produto,TRIM(F703)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03" s="516" cm="1">
        <f t="array" aca="1" ref="K703" ca="1">IFERROR(_xlfn.LET(_xlpm.produto,TRIM(G703)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03" s="516"/>
      <c r="M703" s="516" cm="1">
        <f t="array" aca="1" ref="M703" ca="1">IFERROR(_xlfn.LET(_xlpm.produto,TRIM(H703)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03" s="557"/>
      <c r="O703" s="557"/>
      <c r="P703" s="557"/>
    </row>
    <row r="704" spans="1:18" x14ac:dyDescent="0.25">
      <c r="A704" s="752"/>
      <c r="C704" s="527" t="s">
        <v>1825</v>
      </c>
      <c r="D704" s="453">
        <f t="shared" si="148"/>
        <v>46198</v>
      </c>
      <c r="E704" s="455" t="s">
        <v>574</v>
      </c>
      <c r="F704" s="512"/>
      <c r="G704" s="512"/>
      <c r="H704" s="512"/>
      <c r="I704" s="512"/>
      <c r="J704" s="516" cm="1">
        <f t="array" aca="1" ref="J704" ca="1">IFERROR(_xlfn.LET(_xlpm.produto,TRIM(F704)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04" s="516" cm="1">
        <f t="array" aca="1" ref="K704" ca="1">IFERROR(_xlfn.LET(_xlpm.produto,TRIM(G704)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04" s="516"/>
      <c r="M704" s="516" cm="1">
        <f t="array" aca="1" ref="M704" ca="1">IFERROR(_xlfn.LET(_xlpm.produto,TRIM(H704)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04" s="557"/>
      <c r="O704" s="557"/>
      <c r="P704" s="557"/>
    </row>
    <row r="705" spans="1:18" x14ac:dyDescent="0.25">
      <c r="A705" s="752"/>
      <c r="C705" s="527" t="s">
        <v>1825</v>
      </c>
      <c r="D705" s="453">
        <f t="shared" si="148"/>
        <v>46198</v>
      </c>
      <c r="E705" s="455" t="s">
        <v>575</v>
      </c>
      <c r="F705" s="512"/>
      <c r="G705" s="512"/>
      <c r="H705" s="512"/>
      <c r="I705" s="512"/>
      <c r="J705" s="516" cm="1">
        <f t="array" aca="1" ref="J705" ca="1">IFERROR(_xlfn.LET(_xlpm.produto,TRIM(F705)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05" s="516" cm="1">
        <f t="array" aca="1" ref="K705" ca="1">IFERROR(_xlfn.LET(_xlpm.produto,TRIM(G705)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05" s="516"/>
      <c r="M705" s="516" cm="1">
        <f t="array" aca="1" ref="M705" ca="1">IFERROR(_xlfn.LET(_xlpm.produto,TRIM(H705)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05" s="557"/>
      <c r="O705" s="557"/>
      <c r="P705" s="557"/>
    </row>
    <row r="706" spans="1:18" x14ac:dyDescent="0.25">
      <c r="A706" s="752"/>
      <c r="C706" s="527" t="s">
        <v>1825</v>
      </c>
      <c r="D706" s="453">
        <f t="shared" si="148"/>
        <v>46198</v>
      </c>
      <c r="E706" s="503" t="s">
        <v>583</v>
      </c>
      <c r="F706" s="512"/>
      <c r="G706" s="512"/>
      <c r="H706" s="512"/>
      <c r="I706" s="512"/>
      <c r="J706" s="516" cm="1">
        <f t="array" aca="1" ref="J706" ca="1">IFERROR(_xlfn.LET(_xlpm.produto,TRIM(F706)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06" s="516" cm="1">
        <f t="array" aca="1" ref="K706" ca="1">IFERROR(_xlfn.LET(_xlpm.produto,TRIM(G706)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06" s="516"/>
      <c r="M706" s="516" cm="1">
        <f t="array" aca="1" ref="M706" ca="1">IFERROR(_xlfn.LET(_xlpm.produto,TRIM(H706)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06" s="557"/>
      <c r="O706" s="557"/>
      <c r="P706" s="557"/>
    </row>
    <row r="707" spans="1:18" ht="15.75" thickBot="1" x14ac:dyDescent="0.3">
      <c r="A707" s="752"/>
      <c r="C707" s="528" t="s">
        <v>1825</v>
      </c>
      <c r="D707" s="451">
        <f t="shared" si="148"/>
        <v>46198</v>
      </c>
      <c r="E707" s="459" t="s">
        <v>584</v>
      </c>
      <c r="F707" s="512"/>
      <c r="G707" s="512"/>
      <c r="H707" s="512"/>
      <c r="I707" s="512"/>
      <c r="J707" s="516" cm="1">
        <f t="array" aca="1" ref="J707" ca="1">IFERROR(_xlfn.LET(_xlpm.produto,TRIM(F707)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07" s="516" cm="1">
        <f t="array" aca="1" ref="K707" ca="1">IFERROR(_xlfn.LET(_xlpm.produto,TRIM(G707)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07" s="516"/>
      <c r="M707" s="516" cm="1">
        <f t="array" aca="1" ref="M707" ca="1">IFERROR(_xlfn.LET(_xlpm.produto,TRIM(H707)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07" s="557"/>
      <c r="O707" s="557"/>
      <c r="P707" s="557"/>
    </row>
    <row r="708" spans="1:18" ht="8.25" customHeight="1" thickBot="1" x14ac:dyDescent="0.3">
      <c r="A708" s="752"/>
      <c r="J708" s="608"/>
      <c r="K708" s="608"/>
      <c r="L708" s="608"/>
      <c r="M708" s="420"/>
      <c r="N708" s="559"/>
      <c r="O708" s="559"/>
      <c r="P708" s="559"/>
    </row>
    <row r="709" spans="1:18" ht="15.75" thickBot="1" x14ac:dyDescent="0.3">
      <c r="A709" s="752"/>
      <c r="C709" s="546">
        <f ca="1">SUM(J637:M637,J655:M655,J673:M673,J691:M691,J709:M709)</f>
        <v>81874</v>
      </c>
      <c r="D709" s="547">
        <f ca="1">SUM(R709,R691,R673,R655,R637)</f>
        <v>74864.749999999985</v>
      </c>
      <c r="E709" s="539"/>
      <c r="F709" s="539"/>
      <c r="G709" s="539"/>
      <c r="H709" s="539"/>
      <c r="I709" s="539"/>
      <c r="J709" s="606">
        <f t="shared" ref="J709:P709" ca="1" si="149">_xlfn.AGGREGATE(9,6,J710:J725)</f>
        <v>5928</v>
      </c>
      <c r="K709" s="607">
        <f t="shared" ca="1" si="149"/>
        <v>5520</v>
      </c>
      <c r="L709" s="607"/>
      <c r="M709" s="544">
        <f t="shared" ca="1" si="149"/>
        <v>5520</v>
      </c>
      <c r="N709" s="560">
        <f t="shared" ca="1" si="149"/>
        <v>7113.5999999999995</v>
      </c>
      <c r="O709" s="561">
        <f t="shared" ca="1" si="149"/>
        <v>4692</v>
      </c>
      <c r="P709" s="562">
        <f t="shared" ca="1" si="149"/>
        <v>6900</v>
      </c>
      <c r="Q709" s="548">
        <f ca="1">SUM(J709:M709)</f>
        <v>16968</v>
      </c>
      <c r="R709" s="549">
        <f ca="1">SUM(N709:P709)</f>
        <v>18705.599999999999</v>
      </c>
    </row>
    <row r="710" spans="1:18" x14ac:dyDescent="0.25">
      <c r="A710" s="752"/>
      <c r="C710" s="529" t="s">
        <v>174</v>
      </c>
      <c r="D710" s="447">
        <f>D707+1</f>
        <v>46199</v>
      </c>
      <c r="E710" s="498" t="s">
        <v>573</v>
      </c>
      <c r="F710" s="514"/>
      <c r="G710" s="514"/>
      <c r="H710" s="514"/>
      <c r="I710" s="724"/>
      <c r="J710" s="537"/>
      <c r="K710" s="537"/>
      <c r="L710" s="537"/>
      <c r="M710" s="537"/>
      <c r="N710" s="563"/>
      <c r="O710" s="563"/>
      <c r="P710" s="563"/>
    </row>
    <row r="711" spans="1:18" x14ac:dyDescent="0.25">
      <c r="A711" s="752"/>
      <c r="C711" s="452" t="s">
        <v>174</v>
      </c>
      <c r="D711" s="453">
        <f t="shared" ref="D711:D725" si="150">D710</f>
        <v>46199</v>
      </c>
      <c r="E711" s="500" t="s">
        <v>162</v>
      </c>
      <c r="F711" s="460" t="s">
        <v>1766</v>
      </c>
      <c r="G711" s="460" t="s">
        <v>1963</v>
      </c>
      <c r="H711" s="460"/>
      <c r="I711" s="460"/>
      <c r="J711" s="540">
        <v>741</v>
      </c>
      <c r="K711" s="540">
        <v>690</v>
      </c>
      <c r="L711" s="540"/>
      <c r="M711" s="545">
        <v>690</v>
      </c>
      <c r="N711" s="555">
        <f>J711*INDEX([2]Pedidos!$Q:$Q,MATCH(F711,[2]Pedidos!$E:$E,0))</f>
        <v>889.19999999999993</v>
      </c>
      <c r="O711" s="564">
        <f>K711*INDEX([2]Pedidos!$Q:$Q,MATCH(G711,[2]Pedidos!$E:$E,0))</f>
        <v>586.5</v>
      </c>
      <c r="P711" s="555" t="e">
        <f>M711*INDEX([2]Pedidos!$Q:$Q,MATCH(H711,[2]Pedidos!$E:$E,0))</f>
        <v>#N/A</v>
      </c>
    </row>
    <row r="712" spans="1:18" x14ac:dyDescent="0.25">
      <c r="A712" s="752"/>
      <c r="C712" s="452" t="s">
        <v>174</v>
      </c>
      <c r="D712" s="453">
        <f t="shared" si="150"/>
        <v>46199</v>
      </c>
      <c r="E712" s="454" t="s">
        <v>163</v>
      </c>
      <c r="F712" s="460" t="s">
        <v>1766</v>
      </c>
      <c r="G712" s="460" t="s">
        <v>1963</v>
      </c>
      <c r="H712" s="460"/>
      <c r="I712" s="460"/>
      <c r="J712" s="540">
        <v>741</v>
      </c>
      <c r="K712" s="540">
        <v>690</v>
      </c>
      <c r="L712" s="540"/>
      <c r="M712" s="545">
        <v>690</v>
      </c>
      <c r="N712" s="564">
        <f>J712*INDEX([2]Pedidos!$Q:$Q,MATCH(F712,[2]Pedidos!$E:$E,0))</f>
        <v>889.19999999999993</v>
      </c>
      <c r="O712" s="564">
        <f>K712*INDEX([2]Pedidos!$Q:$Q,MATCH(G712,[2]Pedidos!$E:$E,0))</f>
        <v>586.5</v>
      </c>
      <c r="P712" s="564" t="e">
        <f>M712*INDEX([2]Pedidos!$Q:$Q,MATCH(H712,[2]Pedidos!$E:$E,0))</f>
        <v>#N/A</v>
      </c>
    </row>
    <row r="713" spans="1:18" x14ac:dyDescent="0.25">
      <c r="A713" s="752"/>
      <c r="C713" s="452" t="s">
        <v>174</v>
      </c>
      <c r="D713" s="453">
        <f t="shared" si="150"/>
        <v>46199</v>
      </c>
      <c r="E713" s="454" t="s">
        <v>164</v>
      </c>
      <c r="F713" s="460" t="s">
        <v>1766</v>
      </c>
      <c r="G713" s="460" t="s">
        <v>1963</v>
      </c>
      <c r="H713" s="460"/>
      <c r="I713" s="460"/>
      <c r="J713" s="540">
        <v>741</v>
      </c>
      <c r="K713" s="540">
        <v>690</v>
      </c>
      <c r="L713" s="540"/>
      <c r="M713" s="545">
        <v>690</v>
      </c>
      <c r="N713" s="564">
        <f>J713*INDEX([2]Pedidos!$Q:$Q,MATCH(F713,[2]Pedidos!$E:$E,0))</f>
        <v>889.19999999999993</v>
      </c>
      <c r="O713" s="564">
        <f>K713*INDEX([2]Pedidos!$Q:$Q,MATCH(G713,[2]Pedidos!$E:$E,0))</f>
        <v>586.5</v>
      </c>
      <c r="P713" s="564" t="e">
        <f>M713*INDEX([2]Pedidos!$Q:$Q,MATCH(H713,[2]Pedidos!$E:$E,0))</f>
        <v>#N/A</v>
      </c>
    </row>
    <row r="714" spans="1:18" x14ac:dyDescent="0.25">
      <c r="A714" s="752"/>
      <c r="C714" s="452" t="s">
        <v>174</v>
      </c>
      <c r="D714" s="453">
        <f t="shared" si="150"/>
        <v>46199</v>
      </c>
      <c r="E714" s="454" t="s">
        <v>165</v>
      </c>
      <c r="F714" s="460" t="s">
        <v>1766</v>
      </c>
      <c r="G714" s="460" t="s">
        <v>1963</v>
      </c>
      <c r="H714" s="460" t="s">
        <v>1730</v>
      </c>
      <c r="I714" s="460"/>
      <c r="J714" s="540">
        <v>741</v>
      </c>
      <c r="K714" s="540">
        <v>690</v>
      </c>
      <c r="L714" s="540"/>
      <c r="M714" s="545">
        <v>690</v>
      </c>
      <c r="N714" s="564">
        <f>J714*INDEX([2]Pedidos!$Q:$Q,MATCH(F714,[2]Pedidos!$E:$E,0))</f>
        <v>889.19999999999993</v>
      </c>
      <c r="O714" s="564">
        <f>K714*INDEX([2]Pedidos!$Q:$Q,MATCH(G714,[2]Pedidos!$E:$E,0))</f>
        <v>586.5</v>
      </c>
      <c r="P714" s="564">
        <f>M714*INDEX([2]Pedidos!$Q:$Q,MATCH(H714,[2]Pedidos!$E:$E,0))</f>
        <v>1380</v>
      </c>
    </row>
    <row r="715" spans="1:18" x14ac:dyDescent="0.25">
      <c r="A715" s="752"/>
      <c r="C715" s="452" t="s">
        <v>174</v>
      </c>
      <c r="D715" s="453">
        <f t="shared" si="150"/>
        <v>46199</v>
      </c>
      <c r="E715" s="454" t="s">
        <v>166</v>
      </c>
      <c r="F715" s="460" t="s">
        <v>1766</v>
      </c>
      <c r="G715" s="460" t="s">
        <v>1963</v>
      </c>
      <c r="H715" s="460" t="s">
        <v>1730</v>
      </c>
      <c r="I715" s="460"/>
      <c r="J715" s="540">
        <v>741</v>
      </c>
      <c r="K715" s="540">
        <v>690</v>
      </c>
      <c r="L715" s="540"/>
      <c r="M715" s="545">
        <v>690</v>
      </c>
      <c r="N715" s="564">
        <f>J715*INDEX([2]Pedidos!$Q:$Q,MATCH(F715,[2]Pedidos!$E:$E,0))</f>
        <v>889.19999999999993</v>
      </c>
      <c r="O715" s="564">
        <f>K715*INDEX([2]Pedidos!$Q:$Q,MATCH(G715,[2]Pedidos!$E:$E,0))</f>
        <v>586.5</v>
      </c>
      <c r="P715" s="564">
        <f>M715*INDEX([2]Pedidos!$Q:$Q,MATCH(H715,[2]Pedidos!$E:$E,0))</f>
        <v>1380</v>
      </c>
    </row>
    <row r="716" spans="1:18" x14ac:dyDescent="0.25">
      <c r="A716" s="752"/>
      <c r="C716" s="452" t="s">
        <v>174</v>
      </c>
      <c r="D716" s="453">
        <f t="shared" si="150"/>
        <v>46199</v>
      </c>
      <c r="E716" s="454" t="s">
        <v>576</v>
      </c>
      <c r="F716" s="512"/>
      <c r="G716" s="512"/>
      <c r="H716" s="512"/>
      <c r="I716" s="512"/>
      <c r="J716" s="541" cm="1">
        <f t="array" aca="1" ref="J716" ca="1">IFERROR(_xlfn.LET(_xlpm.produto,TRIM(F716)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16" s="541" cm="1">
        <f t="array" aca="1" ref="K716" ca="1">IFERROR(_xlfn.LET(_xlpm.produto,TRIM(G716)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16" s="541"/>
      <c r="M716" s="541" cm="1">
        <f t="array" aca="1" ref="M716" ca="1">IFERROR(_xlfn.LET(_xlpm.produto,TRIM(H716)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16" s="556"/>
      <c r="O716" s="556"/>
      <c r="P716" s="556"/>
    </row>
    <row r="717" spans="1:18" x14ac:dyDescent="0.25">
      <c r="A717" s="752"/>
      <c r="C717" s="452" t="s">
        <v>174</v>
      </c>
      <c r="D717" s="449">
        <f t="shared" si="150"/>
        <v>46199</v>
      </c>
      <c r="E717" s="454" t="s">
        <v>167</v>
      </c>
      <c r="F717" s="460" t="s">
        <v>1766</v>
      </c>
      <c r="G717" s="460" t="s">
        <v>1963</v>
      </c>
      <c r="H717" s="460" t="s">
        <v>1967</v>
      </c>
      <c r="I717" s="460"/>
      <c r="J717" s="540">
        <v>741</v>
      </c>
      <c r="K717" s="540">
        <v>690</v>
      </c>
      <c r="L717" s="540"/>
      <c r="M717" s="545">
        <v>690</v>
      </c>
      <c r="N717" s="565">
        <f>J717*INDEX([2]Pedidos!$Q:$Q,MATCH(F717,[2]Pedidos!$E:$E,0))</f>
        <v>889.19999999999993</v>
      </c>
      <c r="O717" s="564">
        <f>K717*INDEX([2]Pedidos!$Q:$Q,MATCH(G717,[2]Pedidos!$E:$E,0))</f>
        <v>586.5</v>
      </c>
      <c r="P717" s="565">
        <f>M717*INDEX([2]Pedidos!$Q:$Q,MATCH(H717,[2]Pedidos!$E:$E,0))</f>
        <v>1380</v>
      </c>
    </row>
    <row r="718" spans="1:18" x14ac:dyDescent="0.25">
      <c r="A718" s="752"/>
      <c r="C718" s="452" t="s">
        <v>174</v>
      </c>
      <c r="D718" s="449">
        <f t="shared" si="150"/>
        <v>46199</v>
      </c>
      <c r="E718" s="454" t="s">
        <v>168</v>
      </c>
      <c r="F718" s="460" t="s">
        <v>1766</v>
      </c>
      <c r="G718" s="460" t="s">
        <v>1963</v>
      </c>
      <c r="H718" s="460" t="s">
        <v>1967</v>
      </c>
      <c r="I718" s="460"/>
      <c r="J718" s="540">
        <v>741</v>
      </c>
      <c r="K718" s="540">
        <v>690</v>
      </c>
      <c r="L718" s="540"/>
      <c r="M718" s="545">
        <v>690</v>
      </c>
      <c r="N718" s="565">
        <f>J718*INDEX([2]Pedidos!$Q:$Q,MATCH(F718,[2]Pedidos!$E:$E,0))</f>
        <v>889.19999999999993</v>
      </c>
      <c r="O718" s="564">
        <f>K718*INDEX([2]Pedidos!$Q:$Q,MATCH(G718,[2]Pedidos!$E:$E,0))</f>
        <v>586.5</v>
      </c>
      <c r="P718" s="565">
        <f>M718*INDEX([2]Pedidos!$Q:$Q,MATCH(H718,[2]Pedidos!$E:$E,0))</f>
        <v>1380</v>
      </c>
    </row>
    <row r="719" spans="1:18" x14ac:dyDescent="0.25">
      <c r="A719" s="752"/>
      <c r="C719" s="452" t="s">
        <v>174</v>
      </c>
      <c r="D719" s="449">
        <f t="shared" si="150"/>
        <v>46199</v>
      </c>
      <c r="E719" s="454" t="s">
        <v>169</v>
      </c>
      <c r="F719" s="460" t="s">
        <v>1766</v>
      </c>
      <c r="G719" s="460" t="s">
        <v>1963</v>
      </c>
      <c r="H719" s="460" t="s">
        <v>1967</v>
      </c>
      <c r="I719" s="460"/>
      <c r="J719" s="540">
        <v>741</v>
      </c>
      <c r="K719" s="540">
        <v>690</v>
      </c>
      <c r="L719" s="540"/>
      <c r="M719" s="545">
        <v>690</v>
      </c>
      <c r="N719" s="565">
        <f>J719*INDEX([2]Pedidos!$Q:$Q,MATCH(F719,[2]Pedidos!$E:$E,0))</f>
        <v>889.19999999999993</v>
      </c>
      <c r="O719" s="564">
        <f>K719*INDEX([2]Pedidos!$Q:$Q,MATCH(G719,[2]Pedidos!$E:$E,0))</f>
        <v>586.5</v>
      </c>
      <c r="P719" s="565">
        <f>M719*INDEX([2]Pedidos!$Q:$Q,MATCH(H719,[2]Pedidos!$E:$E,0))</f>
        <v>1380</v>
      </c>
    </row>
    <row r="720" spans="1:18" x14ac:dyDescent="0.25">
      <c r="A720" s="752"/>
      <c r="C720" s="452" t="s">
        <v>174</v>
      </c>
      <c r="D720" s="449">
        <f t="shared" si="150"/>
        <v>46199</v>
      </c>
      <c r="E720" s="454" t="s">
        <v>170</v>
      </c>
      <c r="F720" s="505"/>
      <c r="G720" s="505"/>
      <c r="H720" s="505"/>
      <c r="I720" s="512"/>
      <c r="J720" s="516" cm="1">
        <f t="array" aca="1" ref="J720" ca="1">IFERROR(_xlfn.LET(_xlpm.produto,TRIM(F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0" s="516" cm="1">
        <f t="array" aca="1" ref="K720" ca="1">IFERROR(_xlfn.LET(_xlpm.produto,TRIM(G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0" s="516"/>
      <c r="M720" s="516" cm="1">
        <f t="array" aca="1" ref="M720" ca="1">IFERROR(_xlfn.LET(_xlpm.produto,TRIM(H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0" s="516" cm="1">
        <f t="array" aca="1" ref="N720" ca="1">IFERROR(_xlfn.LET(_xlpm.produto,TRIM(J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20" s="516" cm="1">
        <f t="array" aca="1" ref="O720" ca="1">IFERROR(_xlfn.LET(_xlpm.produto,TRIM(K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20" s="516" cm="1">
        <f t="array" aca="1" ref="P720" ca="1">IFERROR(_xlfn.LET(_xlpm.produto,TRIM(M720)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21" spans="1:18" x14ac:dyDescent="0.25">
      <c r="A721" s="752"/>
      <c r="C721" s="452" t="s">
        <v>174</v>
      </c>
      <c r="D721" s="449">
        <f t="shared" si="150"/>
        <v>46199</v>
      </c>
      <c r="E721" s="454" t="s">
        <v>585</v>
      </c>
      <c r="F721" s="505"/>
      <c r="G721" s="505"/>
      <c r="H721" s="505"/>
      <c r="I721" s="512"/>
      <c r="J721" s="516" cm="1">
        <f t="array" aca="1" ref="J721" ca="1">IFERROR(_xlfn.LET(_xlpm.produto,TRIM(F721)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1" s="516" cm="1">
        <f t="array" aca="1" ref="K721" ca="1">IFERROR(_xlfn.LET(_xlpm.produto,TRIM(G721)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1" s="516"/>
      <c r="M721" s="516" cm="1">
        <f t="array" aca="1" ref="M721" ca="1">IFERROR(_xlfn.LET(_xlpm.produto,TRIM(H721)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1" s="557"/>
      <c r="O721" s="557"/>
      <c r="P721" s="557"/>
    </row>
    <row r="722" spans="1:18" x14ac:dyDescent="0.25">
      <c r="A722" s="752"/>
      <c r="C722" s="452" t="s">
        <v>174</v>
      </c>
      <c r="D722" s="449">
        <f t="shared" si="150"/>
        <v>46199</v>
      </c>
      <c r="E722" s="455" t="s">
        <v>574</v>
      </c>
      <c r="F722" s="505"/>
      <c r="G722" s="505"/>
      <c r="H722" s="505"/>
      <c r="I722" s="512"/>
      <c r="J722" s="516" cm="1">
        <f t="array" aca="1" ref="J722" ca="1">IFERROR(_xlfn.LET(_xlpm.produto,TRIM(F722)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2" s="516" cm="1">
        <f t="array" aca="1" ref="K722" ca="1">IFERROR(_xlfn.LET(_xlpm.produto,TRIM(G722)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2" s="516"/>
      <c r="M722" s="516" cm="1">
        <f t="array" aca="1" ref="M722" ca="1">IFERROR(_xlfn.LET(_xlpm.produto,TRIM(H722)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2" s="557"/>
      <c r="O722" s="557"/>
      <c r="P722" s="557"/>
    </row>
    <row r="723" spans="1:18" x14ac:dyDescent="0.25">
      <c r="A723" s="752"/>
      <c r="C723" s="452" t="s">
        <v>174</v>
      </c>
      <c r="D723" s="449">
        <f t="shared" si="150"/>
        <v>46199</v>
      </c>
      <c r="E723" s="455" t="s">
        <v>575</v>
      </c>
      <c r="F723" s="506"/>
      <c r="G723" s="506"/>
      <c r="H723" s="506"/>
      <c r="I723" s="506"/>
      <c r="J723" s="516" cm="1">
        <f t="array" aca="1" ref="J723" ca="1">IFERROR(_xlfn.LET(_xlpm.produto,TRIM(F723)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3" s="516" cm="1">
        <f t="array" aca="1" ref="K723" ca="1">IFERROR(_xlfn.LET(_xlpm.produto,TRIM(G723)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3" s="516"/>
      <c r="M723" s="516" cm="1">
        <f t="array" aca="1" ref="M723" ca="1">IFERROR(_xlfn.LET(_xlpm.produto,TRIM(H723)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3" s="557"/>
      <c r="O723" s="557"/>
      <c r="P723" s="557"/>
    </row>
    <row r="724" spans="1:18" x14ac:dyDescent="0.25">
      <c r="A724" s="752"/>
      <c r="C724" s="452" t="s">
        <v>174</v>
      </c>
      <c r="D724" s="502">
        <f t="shared" si="150"/>
        <v>46199</v>
      </c>
      <c r="E724" s="503" t="s">
        <v>583</v>
      </c>
      <c r="F724" s="506"/>
      <c r="G724" s="506"/>
      <c r="H724" s="506"/>
      <c r="I724" s="506"/>
      <c r="J724" s="516" cm="1">
        <f t="array" aca="1" ref="J724" ca="1">IFERROR(_xlfn.LET(_xlpm.produto,TRIM(F724)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4" s="516" cm="1">
        <f t="array" aca="1" ref="K724" ca="1">IFERROR(_xlfn.LET(_xlpm.produto,TRIM(G724)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4" s="516"/>
      <c r="M724" s="516" cm="1">
        <f t="array" aca="1" ref="M724" ca="1">IFERROR(_xlfn.LET(_xlpm.produto,TRIM(H724)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4" s="557"/>
      <c r="O724" s="557"/>
      <c r="P724" s="557"/>
    </row>
    <row r="725" spans="1:18" ht="15.75" thickBot="1" x14ac:dyDescent="0.3">
      <c r="A725" s="752"/>
      <c r="C725" s="530" t="s">
        <v>174</v>
      </c>
      <c r="D725" s="451">
        <f t="shared" si="150"/>
        <v>46199</v>
      </c>
      <c r="E725" s="459" t="s">
        <v>584</v>
      </c>
      <c r="F725" s="493"/>
      <c r="G725" s="493"/>
      <c r="H725" s="493"/>
      <c r="I725" s="493"/>
      <c r="J725" s="513" cm="1">
        <f t="array" aca="1" ref="J725" ca="1">IFERROR(_xlfn.LET(_xlpm.produto,TRIM(F725)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5" s="513" cm="1">
        <f t="array" aca="1" ref="K725" ca="1">IFERROR(_xlfn.LET(_xlpm.produto,TRIM(G725)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5" s="513"/>
      <c r="M725" s="513" cm="1">
        <f t="array" aca="1" ref="M725" ca="1">IFERROR(_xlfn.LET(_xlpm.produto,TRIM(H725)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5" s="558"/>
      <c r="O725" s="558"/>
      <c r="P725" s="558"/>
    </row>
    <row r="726" spans="1:18" ht="6" customHeight="1" thickBot="1" x14ac:dyDescent="0.3">
      <c r="A726" s="752"/>
      <c r="J726" s="445"/>
      <c r="K726" s="445"/>
      <c r="L726" s="445"/>
      <c r="N726" s="559"/>
      <c r="O726" s="559"/>
      <c r="P726" s="559"/>
    </row>
    <row r="727" spans="1:18" ht="15.75" thickBot="1" x14ac:dyDescent="0.3">
      <c r="A727" s="752"/>
      <c r="C727" s="538"/>
      <c r="D727" s="539"/>
      <c r="E727" s="539"/>
      <c r="F727" s="539"/>
      <c r="G727" s="539"/>
      <c r="H727" s="539"/>
      <c r="I727" s="539"/>
      <c r="J727" s="606">
        <f t="shared" ref="J727:P727" ca="1" si="151">_xlfn.AGGREGATE(9,6,J728:J743)</f>
        <v>0</v>
      </c>
      <c r="K727" s="607">
        <f t="shared" ca="1" si="151"/>
        <v>0</v>
      </c>
      <c r="L727" s="607">
        <f t="shared" ca="1" si="151"/>
        <v>0</v>
      </c>
      <c r="M727" s="544">
        <f t="shared" ca="1" si="151"/>
        <v>0</v>
      </c>
      <c r="N727" s="560">
        <f t="shared" si="151"/>
        <v>0</v>
      </c>
      <c r="O727" s="561">
        <f t="shared" si="151"/>
        <v>0</v>
      </c>
      <c r="P727" s="562">
        <f t="shared" si="151"/>
        <v>0</v>
      </c>
      <c r="Q727" s="548">
        <f ca="1">SUM(J727:M727)</f>
        <v>0</v>
      </c>
      <c r="R727" s="549">
        <f>SUM(N727:P727)</f>
        <v>0</v>
      </c>
    </row>
    <row r="728" spans="1:18" x14ac:dyDescent="0.25">
      <c r="A728" s="752"/>
      <c r="C728" s="529" t="s">
        <v>1033</v>
      </c>
      <c r="D728" s="447">
        <f>D725+1</f>
        <v>46200</v>
      </c>
      <c r="E728" s="498" t="s">
        <v>573</v>
      </c>
      <c r="F728" s="514"/>
      <c r="G728" s="514"/>
      <c r="H728" s="514"/>
      <c r="I728" s="724"/>
      <c r="J728" s="537" cm="1">
        <f t="array" aca="1" ref="J728" ca="1">IFERROR(_xlfn.LET(_xlpm.produto,TRIM(F728)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28" s="537" cm="1">
        <f t="array" aca="1" ref="K728" ca="1">IFERROR(_xlfn.LET(_xlpm.produto,TRIM(G728)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28" s="537" cm="1">
        <f t="array" aca="1" ref="L728" ca="1">IFERROR(_xlfn.LET(_xlpm.produto,TRIM(H728)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28" s="537" cm="1">
        <f t="array" aca="1" ref="M728" ca="1">IFERROR(_xlfn.LET(_xlpm.produto,TRIM(H728)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28" s="563"/>
      <c r="O728" s="563"/>
      <c r="P728" s="563"/>
    </row>
    <row r="729" spans="1:18" x14ac:dyDescent="0.25">
      <c r="A729" s="752"/>
      <c r="C729" s="452" t="s">
        <v>1033</v>
      </c>
      <c r="D729" s="453">
        <f t="shared" ref="D729:D743" si="152">D728</f>
        <v>46200</v>
      </c>
      <c r="E729" s="500" t="s">
        <v>162</v>
      </c>
      <c r="F729" s="517"/>
      <c r="G729" s="517"/>
      <c r="H729" s="517"/>
      <c r="I729" s="512"/>
      <c r="J729" s="540"/>
      <c r="K729" s="540"/>
      <c r="L729" s="540"/>
      <c r="M729" s="540"/>
      <c r="N729" s="555" t="e">
        <f>J729*INDEX([2]Pedidos!$Q:$Q,MATCH(F729,[2]Pedidos!$E:$E,0))</f>
        <v>#N/A</v>
      </c>
      <c r="O729" s="555" t="e">
        <f>K729*INDEX([2]Pedidos!$Q:$Q,MATCH(G729,[2]Pedidos!$E:$E,0))</f>
        <v>#N/A</v>
      </c>
      <c r="P729" s="555" t="e">
        <f>M729*INDEX([2]Pedidos!$Q:$Q,MATCH(H729,[2]Pedidos!$E:$E,0))</f>
        <v>#N/A</v>
      </c>
    </row>
    <row r="730" spans="1:18" x14ac:dyDescent="0.25">
      <c r="A730" s="752"/>
      <c r="C730" s="452" t="s">
        <v>1033</v>
      </c>
      <c r="D730" s="453">
        <f t="shared" si="152"/>
        <v>46200</v>
      </c>
      <c r="E730" s="454" t="s">
        <v>163</v>
      </c>
      <c r="F730" s="517"/>
      <c r="G730" s="512"/>
      <c r="H730" s="505"/>
      <c r="I730" s="505"/>
      <c r="J730" s="540"/>
      <c r="K730" s="540"/>
      <c r="L730" s="540"/>
      <c r="M730" s="540"/>
      <c r="N730" s="564" t="e">
        <f>J730*INDEX([2]Pedidos!$Q:$Q,MATCH(F730,[2]Pedidos!$E:$E,0))</f>
        <v>#N/A</v>
      </c>
      <c r="O730" s="564" t="e">
        <f>K730*INDEX([2]Pedidos!$Q:$Q,MATCH(G730,[2]Pedidos!$E:$E,0))</f>
        <v>#N/A</v>
      </c>
      <c r="P730" s="564" t="e">
        <f>M730*INDEX([2]Pedidos!$Q:$Q,MATCH(H730,[2]Pedidos!$E:$E,0))</f>
        <v>#N/A</v>
      </c>
    </row>
    <row r="731" spans="1:18" x14ac:dyDescent="0.25">
      <c r="A731" s="752"/>
      <c r="C731" s="452" t="s">
        <v>1033</v>
      </c>
      <c r="D731" s="453">
        <f t="shared" si="152"/>
        <v>46200</v>
      </c>
      <c r="E731" s="454" t="s">
        <v>164</v>
      </c>
      <c r="F731" s="517"/>
      <c r="G731" s="512"/>
      <c r="H731" s="505"/>
      <c r="I731" s="505"/>
      <c r="J731" s="540"/>
      <c r="K731" s="540"/>
      <c r="L731" s="540"/>
      <c r="M731" s="540"/>
      <c r="N731" s="564" t="e">
        <f>J731*INDEX([2]Pedidos!$Q:$Q,MATCH(F731,[2]Pedidos!$E:$E,0))</f>
        <v>#N/A</v>
      </c>
      <c r="O731" s="564" t="e">
        <f>K731*INDEX([2]Pedidos!$Q:$Q,MATCH(G731,[2]Pedidos!$E:$E,0))</f>
        <v>#N/A</v>
      </c>
      <c r="P731" s="564" t="e">
        <f>M731*INDEX([2]Pedidos!$Q:$Q,MATCH(H731,[2]Pedidos!$E:$E,0))</f>
        <v>#N/A</v>
      </c>
    </row>
    <row r="732" spans="1:18" x14ac:dyDescent="0.25">
      <c r="A732" s="752"/>
      <c r="C732" s="452" t="s">
        <v>1033</v>
      </c>
      <c r="D732" s="453">
        <f t="shared" si="152"/>
        <v>46200</v>
      </c>
      <c r="E732" s="454" t="s">
        <v>165</v>
      </c>
      <c r="F732" s="517"/>
      <c r="G732" s="512"/>
      <c r="H732" s="505"/>
      <c r="I732" s="505"/>
      <c r="J732" s="540"/>
      <c r="K732" s="540"/>
      <c r="L732" s="540"/>
      <c r="M732" s="540"/>
      <c r="N732" s="564" t="e">
        <f>J732*INDEX([2]Pedidos!$Q:$Q,MATCH(F732,[2]Pedidos!$E:$E,0))</f>
        <v>#N/A</v>
      </c>
      <c r="O732" s="564" t="e">
        <f>K732*INDEX([2]Pedidos!$Q:$Q,MATCH(G732,[2]Pedidos!$E:$E,0))</f>
        <v>#N/A</v>
      </c>
      <c r="P732" s="564" t="e">
        <f>M732*INDEX([2]Pedidos!$Q:$Q,MATCH(H732,[2]Pedidos!$E:$E,0))</f>
        <v>#N/A</v>
      </c>
    </row>
    <row r="733" spans="1:18" x14ac:dyDescent="0.25">
      <c r="A733" s="752"/>
      <c r="C733" s="452" t="s">
        <v>1033</v>
      </c>
      <c r="D733" s="453">
        <f t="shared" si="152"/>
        <v>46200</v>
      </c>
      <c r="E733" s="454" t="s">
        <v>166</v>
      </c>
      <c r="F733" s="517"/>
      <c r="G733" s="512"/>
      <c r="H733" s="505"/>
      <c r="I733" s="505"/>
      <c r="J733" s="540"/>
      <c r="K733" s="540"/>
      <c r="L733" s="540"/>
      <c r="M733" s="540"/>
      <c r="N733" s="564" t="e">
        <f>J733*INDEX([2]Pedidos!$Q:$Q,MATCH(F733,[2]Pedidos!$E:$E,0))</f>
        <v>#N/A</v>
      </c>
      <c r="O733" s="564" t="e">
        <f>K733*INDEX([2]Pedidos!$Q:$Q,MATCH(G733,[2]Pedidos!$E:$E,0))</f>
        <v>#N/A</v>
      </c>
      <c r="P733" s="564" t="e">
        <f>M733*INDEX([2]Pedidos!$Q:$Q,MATCH(H733,[2]Pedidos!$E:$E,0))</f>
        <v>#N/A</v>
      </c>
    </row>
    <row r="734" spans="1:18" x14ac:dyDescent="0.25">
      <c r="A734" s="752"/>
      <c r="C734" s="452" t="s">
        <v>1033</v>
      </c>
      <c r="D734" s="453">
        <f t="shared" si="152"/>
        <v>46200</v>
      </c>
      <c r="E734" s="454" t="s">
        <v>576</v>
      </c>
      <c r="F734" s="517"/>
      <c r="G734" s="512"/>
      <c r="H734" s="505"/>
      <c r="I734" s="505"/>
      <c r="J734" s="541" cm="1">
        <f t="array" aca="1" ref="J734" ca="1">IFERROR(_xlfn.LET(_xlpm.produto,TRIM(F734)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34" s="541" cm="1">
        <f t="array" aca="1" ref="K734" ca="1">IFERROR(_xlfn.LET(_xlpm.produto,TRIM(G734)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34" s="541" cm="1">
        <f t="array" aca="1" ref="L734" ca="1">IFERROR(_xlfn.LET(_xlpm.produto,TRIM(H734)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34" s="541" cm="1">
        <f t="array" aca="1" ref="M734" ca="1">IFERROR(_xlfn.LET(_xlpm.produto,TRIM(H734)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34" s="556"/>
      <c r="O734" s="556"/>
      <c r="P734" s="556"/>
    </row>
    <row r="735" spans="1:18" x14ac:dyDescent="0.25">
      <c r="A735" s="752"/>
      <c r="C735" s="452" t="s">
        <v>1033</v>
      </c>
      <c r="D735" s="449">
        <f t="shared" si="152"/>
        <v>46200</v>
      </c>
      <c r="E735" s="454" t="s">
        <v>167</v>
      </c>
      <c r="F735" s="517"/>
      <c r="G735" s="512"/>
      <c r="H735" s="505"/>
      <c r="I735" s="505"/>
      <c r="J735" s="540"/>
      <c r="K735" s="540"/>
      <c r="L735" s="540"/>
      <c r="M735" s="540"/>
      <c r="N735" s="565" t="e">
        <f>J735*INDEX([2]Pedidos!$Q:$Q,MATCH(F735,[2]Pedidos!$E:$E,0))</f>
        <v>#N/A</v>
      </c>
      <c r="O735" s="565" t="e">
        <f>K735*INDEX([2]Pedidos!$Q:$Q,MATCH(G735,[2]Pedidos!$E:$E,0))</f>
        <v>#N/A</v>
      </c>
      <c r="P735" s="565" t="e">
        <f>M735*INDEX([2]Pedidos!$Q:$Q,MATCH(H735,[2]Pedidos!$E:$E,0))</f>
        <v>#N/A</v>
      </c>
    </row>
    <row r="736" spans="1:18" x14ac:dyDescent="0.25">
      <c r="A736" s="752"/>
      <c r="C736" s="452" t="s">
        <v>1033</v>
      </c>
      <c r="D736" s="449">
        <f t="shared" si="152"/>
        <v>46200</v>
      </c>
      <c r="E736" s="454" t="s">
        <v>168</v>
      </c>
      <c r="F736" s="517"/>
      <c r="G736" s="512"/>
      <c r="H736" s="505"/>
      <c r="I736" s="505"/>
      <c r="J736" s="540"/>
      <c r="K736" s="540"/>
      <c r="L736" s="540"/>
      <c r="M736" s="540"/>
      <c r="N736" s="565" t="e">
        <f>J736*INDEX([2]Pedidos!$Q:$Q,MATCH(F736,[2]Pedidos!$E:$E,0))</f>
        <v>#N/A</v>
      </c>
      <c r="O736" s="565" t="e">
        <f>K736*INDEX([2]Pedidos!$Q:$Q,MATCH(G736,[2]Pedidos!$E:$E,0))</f>
        <v>#N/A</v>
      </c>
      <c r="P736" s="565" t="e">
        <f>M736*INDEX([2]Pedidos!$Q:$Q,MATCH(H736,[2]Pedidos!$E:$E,0))</f>
        <v>#N/A</v>
      </c>
    </row>
    <row r="737" spans="1:18" x14ac:dyDescent="0.25">
      <c r="A737" s="752"/>
      <c r="C737" s="452" t="s">
        <v>1033</v>
      </c>
      <c r="D737" s="449">
        <f t="shared" si="152"/>
        <v>46200</v>
      </c>
      <c r="E737" s="454" t="s">
        <v>169</v>
      </c>
      <c r="F737" s="517"/>
      <c r="G737" s="512"/>
      <c r="H737" s="505"/>
      <c r="I737" s="505"/>
      <c r="J737" s="540"/>
      <c r="K737" s="540"/>
      <c r="L737" s="540"/>
      <c r="M737" s="540"/>
      <c r="N737" s="565" t="e">
        <f>J737*INDEX([2]Pedidos!$Q:$Q,MATCH(F737,[2]Pedidos!$E:$E,0))</f>
        <v>#N/A</v>
      </c>
      <c r="O737" s="565" t="e">
        <f>K737*INDEX([2]Pedidos!$Q:$Q,MATCH(G737,[2]Pedidos!$E:$E,0))</f>
        <v>#N/A</v>
      </c>
      <c r="P737" s="565" t="e">
        <f>M737*INDEX([2]Pedidos!$Q:$Q,MATCH(H737,[2]Pedidos!$E:$E,0))</f>
        <v>#N/A</v>
      </c>
    </row>
    <row r="738" spans="1:18" x14ac:dyDescent="0.25">
      <c r="A738" s="752"/>
      <c r="C738" s="452" t="s">
        <v>1033</v>
      </c>
      <c r="D738" s="449">
        <f t="shared" si="152"/>
        <v>46200</v>
      </c>
      <c r="E738" s="454" t="s">
        <v>170</v>
      </c>
      <c r="F738" s="517"/>
      <c r="G738" s="512"/>
      <c r="H738" s="505"/>
      <c r="I738" s="505"/>
      <c r="J738" s="540"/>
      <c r="K738" s="540"/>
      <c r="L738" s="540"/>
      <c r="M738" s="540"/>
      <c r="N738" s="566" t="e">
        <f>J738*INDEX([2]Pedidos!$Q:$Q,MATCH(F738,[2]Pedidos!$E:$E,0))</f>
        <v>#N/A</v>
      </c>
      <c r="O738" s="566" t="e">
        <f>K738*INDEX([2]Pedidos!$Q:$Q,MATCH(G738,[2]Pedidos!$E:$E,0))</f>
        <v>#N/A</v>
      </c>
      <c r="P738" s="566" t="e">
        <f>M738*INDEX([2]Pedidos!$Q:$Q,MATCH(H738,[2]Pedidos!$E:$E,0))</f>
        <v>#N/A</v>
      </c>
    </row>
    <row r="739" spans="1:18" x14ac:dyDescent="0.25">
      <c r="A739" s="752"/>
      <c r="C739" s="452" t="s">
        <v>1033</v>
      </c>
      <c r="D739" s="449">
        <f t="shared" si="152"/>
        <v>46200</v>
      </c>
      <c r="E739" s="454" t="s">
        <v>585</v>
      </c>
      <c r="F739" s="505"/>
      <c r="G739" s="505"/>
      <c r="H739" s="516"/>
      <c r="I739" s="516"/>
      <c r="J739" s="516" cm="1">
        <f t="array" aca="1" ref="J739" ca="1">IFERROR(_xlfn.LET(_xlpm.produto,TRIM(F739)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39" s="516" cm="1">
        <f t="array" aca="1" ref="K739" ca="1">IFERROR(_xlfn.LET(_xlpm.produto,TRIM(G739)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39" s="516" cm="1">
        <f t="array" aca="1" ref="L739" ca="1">IFERROR(_xlfn.LET(_xlpm.produto,TRIM(H739)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39" s="516" cm="1">
        <f t="array" aca="1" ref="M739" ca="1">IFERROR(_xlfn.LET(_xlpm.produto,TRIM(H739)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39" s="557"/>
      <c r="O739" s="557"/>
      <c r="P739" s="557"/>
    </row>
    <row r="740" spans="1:18" x14ac:dyDescent="0.25">
      <c r="A740" s="752"/>
      <c r="C740" s="452" t="s">
        <v>1033</v>
      </c>
      <c r="D740" s="449">
        <f t="shared" si="152"/>
        <v>46200</v>
      </c>
      <c r="E740" s="455" t="s">
        <v>574</v>
      </c>
      <c r="F740" s="505"/>
      <c r="G740" s="505"/>
      <c r="H740" s="516"/>
      <c r="I740" s="516"/>
      <c r="J740" s="516" cm="1">
        <f t="array" aca="1" ref="J740" ca="1">IFERROR(_xlfn.LET(_xlpm.produto,TRIM(F740)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40" s="516" cm="1">
        <f t="array" aca="1" ref="K740" ca="1">IFERROR(_xlfn.LET(_xlpm.produto,TRIM(G740)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40" s="516" cm="1">
        <f t="array" aca="1" ref="L740" ca="1">IFERROR(_xlfn.LET(_xlpm.produto,TRIM(H740)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40" s="516" cm="1">
        <f t="array" aca="1" ref="M740" ca="1">IFERROR(_xlfn.LET(_xlpm.produto,TRIM(H740)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40" s="557"/>
      <c r="O740" s="557"/>
      <c r="P740" s="557"/>
    </row>
    <row r="741" spans="1:18" x14ac:dyDescent="0.25">
      <c r="A741" s="752"/>
      <c r="C741" s="452" t="s">
        <v>1033</v>
      </c>
      <c r="D741" s="449">
        <f t="shared" si="152"/>
        <v>46200</v>
      </c>
      <c r="E741" s="455" t="s">
        <v>575</v>
      </c>
      <c r="F741" s="506"/>
      <c r="G741" s="506"/>
      <c r="H741" s="516"/>
      <c r="I741" s="516"/>
      <c r="J741" s="516" cm="1">
        <f t="array" aca="1" ref="J741" ca="1">IFERROR(_xlfn.LET(_xlpm.produto,TRIM(F741)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41" s="516" cm="1">
        <f t="array" aca="1" ref="K741" ca="1">IFERROR(_xlfn.LET(_xlpm.produto,TRIM(G741)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41" s="516" cm="1">
        <f t="array" aca="1" ref="L741" ca="1">IFERROR(_xlfn.LET(_xlpm.produto,TRIM(H741)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41" s="516" cm="1">
        <f t="array" aca="1" ref="M741" ca="1">IFERROR(_xlfn.LET(_xlpm.produto,TRIM(H741)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41" s="557"/>
      <c r="O741" s="557"/>
      <c r="P741" s="557"/>
    </row>
    <row r="742" spans="1:18" x14ac:dyDescent="0.25">
      <c r="A742" s="752"/>
      <c r="C742" s="452" t="s">
        <v>1033</v>
      </c>
      <c r="D742" s="449">
        <f t="shared" si="152"/>
        <v>46200</v>
      </c>
      <c r="E742" s="503" t="s">
        <v>583</v>
      </c>
      <c r="F742" s="506"/>
      <c r="G742" s="506"/>
      <c r="H742" s="516"/>
      <c r="I742" s="516"/>
      <c r="J742" s="516" cm="1">
        <f t="array" aca="1" ref="J742" ca="1">IFERROR(_xlfn.LET(_xlpm.produto,TRIM(F742)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42" s="516" cm="1">
        <f t="array" aca="1" ref="K742" ca="1">IFERROR(_xlfn.LET(_xlpm.produto,TRIM(G742)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42" s="516" cm="1">
        <f t="array" aca="1" ref="L742" ca="1">IFERROR(_xlfn.LET(_xlpm.produto,TRIM(H742)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42" s="516" cm="1">
        <f t="array" aca="1" ref="M742" ca="1">IFERROR(_xlfn.LET(_xlpm.produto,TRIM(H742)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42" s="557"/>
      <c r="O742" s="557"/>
      <c r="P742" s="557"/>
    </row>
    <row r="743" spans="1:18" ht="15.75" thickBot="1" x14ac:dyDescent="0.3">
      <c r="A743" s="752"/>
      <c r="C743" s="530" t="s">
        <v>1033</v>
      </c>
      <c r="D743" s="451">
        <f t="shared" si="152"/>
        <v>46200</v>
      </c>
      <c r="E743" s="459" t="s">
        <v>584</v>
      </c>
      <c r="F743" s="493"/>
      <c r="G743" s="493"/>
      <c r="H743" s="513"/>
      <c r="I743" s="513"/>
      <c r="J743" s="513" cm="1">
        <f t="array" aca="1" ref="J743" ca="1">IFERROR(_xlfn.LET(_xlpm.produto,TRIM(F743)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43" s="513" cm="1">
        <f t="array" aca="1" ref="K743" ca="1">IFERROR(_xlfn.LET(_xlpm.produto,TRIM(G743)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43" s="516" cm="1">
        <f t="array" aca="1" ref="L743" ca="1">IFERROR(_xlfn.LET(_xlpm.produto,TRIM(H743)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43" s="513" cm="1">
        <f t="array" aca="1" ref="M743" ca="1">IFERROR(_xlfn.LET(_xlpm.produto,TRIM(H743)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43" s="558"/>
      <c r="O743" s="558"/>
      <c r="P743" s="558"/>
    </row>
    <row r="744" spans="1:18" ht="8.25" customHeight="1" thickBot="1" x14ac:dyDescent="0.3">
      <c r="A744" s="752"/>
      <c r="J744" s="445"/>
      <c r="K744" s="445"/>
      <c r="L744" s="445"/>
      <c r="N744" s="559"/>
      <c r="O744" s="559"/>
      <c r="P744" s="559"/>
    </row>
    <row r="745" spans="1:18" ht="15.75" thickBot="1" x14ac:dyDescent="0.3">
      <c r="A745" s="752"/>
      <c r="C745" s="538"/>
      <c r="D745" s="539"/>
      <c r="E745" s="539"/>
      <c r="F745" s="539"/>
      <c r="G745" s="539"/>
      <c r="H745" s="539"/>
      <c r="I745" s="539"/>
      <c r="J745" s="606">
        <f t="shared" ref="J745:P745" ca="1" si="153">_xlfn.AGGREGATE(9,6,J746:J761)</f>
        <v>0</v>
      </c>
      <c r="K745" s="607">
        <f t="shared" ca="1" si="153"/>
        <v>0</v>
      </c>
      <c r="L745" s="607">
        <f t="shared" ca="1" si="153"/>
        <v>0</v>
      </c>
      <c r="M745" s="544">
        <f t="shared" ca="1" si="153"/>
        <v>0</v>
      </c>
      <c r="N745" s="560">
        <f t="shared" si="153"/>
        <v>0</v>
      </c>
      <c r="O745" s="561">
        <f t="shared" si="153"/>
        <v>0</v>
      </c>
      <c r="P745" s="562">
        <f t="shared" si="153"/>
        <v>0</v>
      </c>
      <c r="Q745" s="548">
        <f ca="1">SUM(J745:M745)</f>
        <v>0</v>
      </c>
      <c r="R745" s="549">
        <f>SUM(N745:P745)</f>
        <v>0</v>
      </c>
    </row>
    <row r="746" spans="1:18" x14ac:dyDescent="0.25">
      <c r="A746" s="752"/>
      <c r="C746" s="529" t="s">
        <v>1034</v>
      </c>
      <c r="D746" s="447">
        <f>D743+1</f>
        <v>46201</v>
      </c>
      <c r="E746" s="498" t="s">
        <v>573</v>
      </c>
      <c r="F746" s="514"/>
      <c r="G746" s="514"/>
      <c r="H746" s="514"/>
      <c r="I746" s="724"/>
      <c r="J746" s="537" cm="1">
        <f t="array" aca="1" ref="J746" ca="1">IFERROR(_xlfn.LET(_xlpm.produto,TRIM(F746)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46" s="537" cm="1">
        <f t="array" aca="1" ref="K746" ca="1">IFERROR(_xlfn.LET(_xlpm.produto,TRIM(G746)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46" s="537" cm="1">
        <f t="array" aca="1" ref="L746" ca="1">IFERROR(_xlfn.LET(_xlpm.produto,TRIM(H746)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46" s="537" cm="1">
        <f t="array" aca="1" ref="M746" ca="1">IFERROR(_xlfn.LET(_xlpm.produto,TRIM(I746)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46" s="563"/>
      <c r="O746" s="563"/>
      <c r="P746" s="563"/>
    </row>
    <row r="747" spans="1:18" x14ac:dyDescent="0.25">
      <c r="A747" s="752"/>
      <c r="C747" s="452" t="s">
        <v>1034</v>
      </c>
      <c r="D747" s="453">
        <f t="shared" ref="D747:D761" si="154">D746</f>
        <v>46201</v>
      </c>
      <c r="E747" s="500" t="s">
        <v>162</v>
      </c>
      <c r="F747" s="517"/>
      <c r="G747" s="517"/>
      <c r="H747" s="517"/>
      <c r="I747" s="512"/>
      <c r="J747" s="540"/>
      <c r="K747" s="540"/>
      <c r="L747" s="540"/>
      <c r="M747" s="540"/>
      <c r="N747" s="555" t="e">
        <f>J747*INDEX([2]Pedidos!$Q:$Q,MATCH(F747,[2]Pedidos!$E:$E,0))</f>
        <v>#N/A</v>
      </c>
      <c r="O747" s="555" t="e">
        <f>K747*INDEX([2]Pedidos!$Q:$Q,MATCH(G747,[2]Pedidos!$E:$E,0))</f>
        <v>#N/A</v>
      </c>
      <c r="P747" s="555" t="e">
        <f>M747*INDEX([2]Pedidos!$Q:$Q,MATCH(H747,[2]Pedidos!$E:$E,0))</f>
        <v>#N/A</v>
      </c>
    </row>
    <row r="748" spans="1:18" x14ac:dyDescent="0.25">
      <c r="A748" s="752"/>
      <c r="C748" s="452" t="s">
        <v>1034</v>
      </c>
      <c r="D748" s="453">
        <f t="shared" si="154"/>
        <v>46201</v>
      </c>
      <c r="E748" s="454" t="s">
        <v>163</v>
      </c>
      <c r="F748" s="517"/>
      <c r="G748" s="512"/>
      <c r="H748" s="505"/>
      <c r="I748" s="505"/>
      <c r="J748" s="540"/>
      <c r="K748" s="540"/>
      <c r="L748" s="540"/>
      <c r="M748" s="540"/>
      <c r="N748" s="564" t="e">
        <f>J748*INDEX([2]Pedidos!$Q:$Q,MATCH(F748,[2]Pedidos!$E:$E,0))</f>
        <v>#N/A</v>
      </c>
      <c r="O748" s="564" t="e">
        <f>K748*INDEX([2]Pedidos!$Q:$Q,MATCH(G748,[2]Pedidos!$E:$E,0))</f>
        <v>#N/A</v>
      </c>
      <c r="P748" s="564" t="e">
        <f>M748*INDEX([2]Pedidos!$Q:$Q,MATCH(H748,[2]Pedidos!$E:$E,0))</f>
        <v>#N/A</v>
      </c>
    </row>
    <row r="749" spans="1:18" x14ac:dyDescent="0.25">
      <c r="A749" s="752"/>
      <c r="C749" s="452" t="s">
        <v>1034</v>
      </c>
      <c r="D749" s="453">
        <f t="shared" si="154"/>
        <v>46201</v>
      </c>
      <c r="E749" s="454" t="s">
        <v>164</v>
      </c>
      <c r="F749" s="517"/>
      <c r="G749" s="512"/>
      <c r="H749" s="505"/>
      <c r="I749" s="505"/>
      <c r="J749" s="540"/>
      <c r="K749" s="540"/>
      <c r="L749" s="540"/>
      <c r="M749" s="540"/>
      <c r="N749" s="564" t="e">
        <f>J749*INDEX([2]Pedidos!$Q:$Q,MATCH(F749,[2]Pedidos!$E:$E,0))</f>
        <v>#N/A</v>
      </c>
      <c r="O749" s="564" t="e">
        <f>K749*INDEX([2]Pedidos!$Q:$Q,MATCH(G749,[2]Pedidos!$E:$E,0))</f>
        <v>#N/A</v>
      </c>
      <c r="P749" s="564" t="e">
        <f>M749*INDEX([2]Pedidos!$Q:$Q,MATCH(H749,[2]Pedidos!$E:$E,0))</f>
        <v>#N/A</v>
      </c>
    </row>
    <row r="750" spans="1:18" x14ac:dyDescent="0.25">
      <c r="A750" s="752"/>
      <c r="C750" s="452" t="s">
        <v>1034</v>
      </c>
      <c r="D750" s="453">
        <f t="shared" si="154"/>
        <v>46201</v>
      </c>
      <c r="E750" s="454" t="s">
        <v>165</v>
      </c>
      <c r="F750" s="517"/>
      <c r="G750" s="512"/>
      <c r="H750" s="505"/>
      <c r="I750" s="505"/>
      <c r="J750" s="540"/>
      <c r="K750" s="540"/>
      <c r="L750" s="540"/>
      <c r="M750" s="540"/>
      <c r="N750" s="564" t="e">
        <f>J750*INDEX([2]Pedidos!$Q:$Q,MATCH(F750,[2]Pedidos!$E:$E,0))</f>
        <v>#N/A</v>
      </c>
      <c r="O750" s="564" t="e">
        <f>K750*INDEX([2]Pedidos!$Q:$Q,MATCH(G750,[2]Pedidos!$E:$E,0))</f>
        <v>#N/A</v>
      </c>
      <c r="P750" s="564" t="e">
        <f>M750*INDEX([2]Pedidos!$Q:$Q,MATCH(H750,[2]Pedidos!$E:$E,0))</f>
        <v>#N/A</v>
      </c>
    </row>
    <row r="751" spans="1:18" x14ac:dyDescent="0.25">
      <c r="A751" s="752"/>
      <c r="C751" s="452" t="s">
        <v>1034</v>
      </c>
      <c r="D751" s="453">
        <f t="shared" si="154"/>
        <v>46201</v>
      </c>
      <c r="E751" s="454" t="s">
        <v>166</v>
      </c>
      <c r="F751" s="517"/>
      <c r="G751" s="512"/>
      <c r="H751" s="505"/>
      <c r="I751" s="505"/>
      <c r="J751" s="540"/>
      <c r="K751" s="540"/>
      <c r="L751" s="540"/>
      <c r="M751" s="540"/>
      <c r="N751" s="564" t="e">
        <f>J751*INDEX([2]Pedidos!$Q:$Q,MATCH(F751,[2]Pedidos!$E:$E,0))</f>
        <v>#N/A</v>
      </c>
      <c r="O751" s="564" t="e">
        <f>K751*INDEX([2]Pedidos!$Q:$Q,MATCH(G751,[2]Pedidos!$E:$E,0))</f>
        <v>#N/A</v>
      </c>
      <c r="P751" s="564" t="e">
        <f>M751*INDEX([2]Pedidos!$Q:$Q,MATCH(H751,[2]Pedidos!$E:$E,0))</f>
        <v>#N/A</v>
      </c>
    </row>
    <row r="752" spans="1:18" x14ac:dyDescent="0.25">
      <c r="A752" s="752"/>
      <c r="C752" s="452" t="s">
        <v>1034</v>
      </c>
      <c r="D752" s="453">
        <f t="shared" si="154"/>
        <v>46201</v>
      </c>
      <c r="E752" s="454" t="s">
        <v>576</v>
      </c>
      <c r="F752" s="517"/>
      <c r="G752" s="512"/>
      <c r="H752" s="505"/>
      <c r="I752" s="505"/>
      <c r="J752" s="541" cm="1">
        <f t="array" aca="1" ref="J752" ca="1">IFERROR(_xlfn.LET(_xlpm.produto,TRIM(F752)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52" s="541" cm="1">
        <f t="array" aca="1" ref="K752" ca="1">IFERROR(_xlfn.LET(_xlpm.produto,TRIM(G752)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52" s="541" cm="1">
        <f t="array" aca="1" ref="L752" ca="1">IFERROR(_xlfn.LET(_xlpm.produto,TRIM(G752)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52" s="541" cm="1">
        <f t="array" aca="1" ref="M752" ca="1">IFERROR(_xlfn.LET(_xlpm.produto,TRIM(H752)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52" s="556"/>
      <c r="O752" s="556"/>
      <c r="P752" s="556"/>
    </row>
    <row r="753" spans="1:18" x14ac:dyDescent="0.25">
      <c r="A753" s="752"/>
      <c r="C753" s="452" t="s">
        <v>1034</v>
      </c>
      <c r="D753" s="449">
        <f t="shared" si="154"/>
        <v>46201</v>
      </c>
      <c r="E753" s="454" t="s">
        <v>167</v>
      </c>
      <c r="F753" s="517"/>
      <c r="G753" s="512"/>
      <c r="H753" s="505"/>
      <c r="I753" s="505"/>
      <c r="J753" s="540"/>
      <c r="K753" s="540"/>
      <c r="L753" s="540"/>
      <c r="M753" s="540"/>
      <c r="N753" s="565" t="e">
        <f>J753*INDEX([2]Pedidos!$Q:$Q,MATCH(F753,[2]Pedidos!$E:$E,0))</f>
        <v>#N/A</v>
      </c>
      <c r="O753" s="565" t="e">
        <f>K753*INDEX([2]Pedidos!$Q:$Q,MATCH(G753,[2]Pedidos!$E:$E,0))</f>
        <v>#N/A</v>
      </c>
      <c r="P753" s="565" t="e">
        <f>M753*INDEX([2]Pedidos!$Q:$Q,MATCH(H753,[2]Pedidos!$E:$E,0))</f>
        <v>#N/A</v>
      </c>
    </row>
    <row r="754" spans="1:18" x14ac:dyDescent="0.25">
      <c r="A754" s="752"/>
      <c r="C754" s="452" t="s">
        <v>1034</v>
      </c>
      <c r="D754" s="449">
        <f t="shared" si="154"/>
        <v>46201</v>
      </c>
      <c r="E754" s="454" t="s">
        <v>168</v>
      </c>
      <c r="F754" s="517"/>
      <c r="G754" s="512"/>
      <c r="H754" s="505"/>
      <c r="I754" s="505"/>
      <c r="J754" s="540"/>
      <c r="K754" s="540"/>
      <c r="L754" s="540"/>
      <c r="M754" s="540"/>
      <c r="N754" s="565" t="e">
        <f>J754*INDEX([2]Pedidos!$Q:$Q,MATCH(F754,[2]Pedidos!$E:$E,0))</f>
        <v>#N/A</v>
      </c>
      <c r="O754" s="565" t="e">
        <f>K754*INDEX([2]Pedidos!$Q:$Q,MATCH(G754,[2]Pedidos!$E:$E,0))</f>
        <v>#N/A</v>
      </c>
      <c r="P754" s="565" t="e">
        <f>M754*INDEX([2]Pedidos!$Q:$Q,MATCH(H754,[2]Pedidos!$E:$E,0))</f>
        <v>#N/A</v>
      </c>
    </row>
    <row r="755" spans="1:18" x14ac:dyDescent="0.25">
      <c r="A755" s="752"/>
      <c r="C755" s="452" t="s">
        <v>1034</v>
      </c>
      <c r="D755" s="449">
        <f t="shared" si="154"/>
        <v>46201</v>
      </c>
      <c r="E755" s="454" t="s">
        <v>169</v>
      </c>
      <c r="F755" s="517"/>
      <c r="G755" s="512"/>
      <c r="H755" s="505"/>
      <c r="I755" s="505"/>
      <c r="J755" s="540"/>
      <c r="K755" s="540"/>
      <c r="L755" s="540"/>
      <c r="M755" s="540"/>
      <c r="N755" s="565" t="e">
        <f>J755*INDEX([2]Pedidos!$Q:$Q,MATCH(F755,[2]Pedidos!$E:$E,0))</f>
        <v>#N/A</v>
      </c>
      <c r="O755" s="565" t="e">
        <f>K755*INDEX([2]Pedidos!$Q:$Q,MATCH(G755,[2]Pedidos!$E:$E,0))</f>
        <v>#N/A</v>
      </c>
      <c r="P755" s="565" t="e">
        <f>M755*INDEX([2]Pedidos!$Q:$Q,MATCH(H755,[2]Pedidos!$E:$E,0))</f>
        <v>#N/A</v>
      </c>
    </row>
    <row r="756" spans="1:18" x14ac:dyDescent="0.25">
      <c r="A756" s="752"/>
      <c r="C756" s="452" t="s">
        <v>1034</v>
      </c>
      <c r="D756" s="449">
        <f t="shared" si="154"/>
        <v>46201</v>
      </c>
      <c r="E756" s="454" t="s">
        <v>170</v>
      </c>
      <c r="F756" s="517"/>
      <c r="G756" s="512"/>
      <c r="H756" s="505"/>
      <c r="I756" s="505"/>
      <c r="J756" s="540"/>
      <c r="K756" s="540"/>
      <c r="L756" s="540"/>
      <c r="M756" s="540"/>
      <c r="N756" s="566" t="e">
        <f>J756*INDEX([2]Pedidos!$Q:$Q,MATCH(F756,[2]Pedidos!$E:$E,0))</f>
        <v>#N/A</v>
      </c>
      <c r="O756" s="566" t="e">
        <f>K756*INDEX([2]Pedidos!$Q:$Q,MATCH(G756,[2]Pedidos!$E:$E,0))</f>
        <v>#N/A</v>
      </c>
      <c r="P756" s="566" t="e">
        <f>M756*INDEX([2]Pedidos!$Q:$Q,MATCH(H756,[2]Pedidos!$E:$E,0))</f>
        <v>#N/A</v>
      </c>
    </row>
    <row r="757" spans="1:18" x14ac:dyDescent="0.25">
      <c r="A757" s="752"/>
      <c r="C757" s="452" t="s">
        <v>1034</v>
      </c>
      <c r="D757" s="449">
        <f t="shared" si="154"/>
        <v>46201</v>
      </c>
      <c r="E757" s="454" t="s">
        <v>585</v>
      </c>
      <c r="F757" s="505"/>
      <c r="G757" s="505"/>
      <c r="H757" s="516"/>
      <c r="I757" s="516"/>
      <c r="J757" s="516" cm="1">
        <f t="array" aca="1" ref="J757" ca="1">IFERROR(_xlfn.LET(_xlpm.produto,TRIM(F757)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57" s="516" cm="1">
        <f t="array" aca="1" ref="K757" ca="1">IFERROR(_xlfn.LET(_xlpm.produto,TRIM(G757)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57" s="516" cm="1">
        <f t="array" aca="1" ref="L757" ca="1">IFERROR(_xlfn.LET(_xlpm.produto,TRIM(H757)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57" s="516" cm="1">
        <f t="array" aca="1" ref="M757" ca="1">IFERROR(_xlfn.LET(_xlpm.produto,TRIM(H757)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57" s="557"/>
      <c r="O757" s="557"/>
      <c r="P757" s="557"/>
    </row>
    <row r="758" spans="1:18" x14ac:dyDescent="0.25">
      <c r="A758" s="752"/>
      <c r="C758" s="452" t="s">
        <v>1034</v>
      </c>
      <c r="D758" s="449">
        <f t="shared" si="154"/>
        <v>46201</v>
      </c>
      <c r="E758" s="455" t="s">
        <v>574</v>
      </c>
      <c r="F758" s="505"/>
      <c r="G758" s="505"/>
      <c r="H758" s="516"/>
      <c r="I758" s="516"/>
      <c r="J758" s="516" cm="1">
        <f t="array" aca="1" ref="J758" ca="1">IFERROR(_xlfn.LET(_xlpm.produto,TRIM(F758)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58" s="516" cm="1">
        <f t="array" aca="1" ref="K758" ca="1">IFERROR(_xlfn.LET(_xlpm.produto,TRIM(G758)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58" s="516" cm="1">
        <f t="array" aca="1" ref="L758" ca="1">IFERROR(_xlfn.LET(_xlpm.produto,TRIM(H758)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58" s="516" cm="1">
        <f t="array" aca="1" ref="M758" ca="1">IFERROR(_xlfn.LET(_xlpm.produto,TRIM(H758)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58" s="557"/>
      <c r="O758" s="557"/>
      <c r="P758" s="557"/>
    </row>
    <row r="759" spans="1:18" x14ac:dyDescent="0.25">
      <c r="A759" s="752"/>
      <c r="C759" s="452" t="s">
        <v>1034</v>
      </c>
      <c r="D759" s="449">
        <f t="shared" si="154"/>
        <v>46201</v>
      </c>
      <c r="E759" s="455" t="s">
        <v>575</v>
      </c>
      <c r="F759" s="506"/>
      <c r="G759" s="506"/>
      <c r="H759" s="516"/>
      <c r="I759" s="516"/>
      <c r="J759" s="516" cm="1">
        <f t="array" aca="1" ref="J759" ca="1">IFERROR(_xlfn.LET(_xlpm.produto,TRIM(F759)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59" s="516" cm="1">
        <f t="array" aca="1" ref="K759" ca="1">IFERROR(_xlfn.LET(_xlpm.produto,TRIM(G759)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59" s="516" cm="1">
        <f t="array" aca="1" ref="L759" ca="1">IFERROR(_xlfn.LET(_xlpm.produto,TRIM(H759)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59" s="516" cm="1">
        <f t="array" aca="1" ref="M759" ca="1">IFERROR(_xlfn.LET(_xlpm.produto,TRIM(H759)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59" s="557"/>
      <c r="O759" s="557"/>
      <c r="P759" s="557"/>
    </row>
    <row r="760" spans="1:18" x14ac:dyDescent="0.25">
      <c r="A760" s="752"/>
      <c r="C760" s="452" t="s">
        <v>1034</v>
      </c>
      <c r="D760" s="449">
        <f t="shared" si="154"/>
        <v>46201</v>
      </c>
      <c r="E760" s="503" t="s">
        <v>583</v>
      </c>
      <c r="F760" s="506"/>
      <c r="G760" s="506"/>
      <c r="H760" s="516"/>
      <c r="I760" s="516"/>
      <c r="J760" s="516" cm="1">
        <f t="array" aca="1" ref="J760" ca="1">IFERROR(_xlfn.LET(_xlpm.produto,TRIM(F760)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60" s="516" cm="1">
        <f t="array" aca="1" ref="K760" ca="1">IFERROR(_xlfn.LET(_xlpm.produto,TRIM(G760)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60" s="516" cm="1">
        <f t="array" aca="1" ref="L760" ca="1">IFERROR(_xlfn.LET(_xlpm.produto,TRIM(H760)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60" s="516" cm="1">
        <f t="array" aca="1" ref="M760" ca="1">IFERROR(_xlfn.LET(_xlpm.produto,TRIM(H760)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60" s="557"/>
      <c r="O760" s="557"/>
      <c r="P760" s="557"/>
    </row>
    <row r="761" spans="1:18" ht="15.75" thickBot="1" x14ac:dyDescent="0.3">
      <c r="A761" s="752"/>
      <c r="C761" s="530" t="s">
        <v>1034</v>
      </c>
      <c r="D761" s="451">
        <f t="shared" si="154"/>
        <v>46201</v>
      </c>
      <c r="E761" s="459" t="s">
        <v>584</v>
      </c>
      <c r="F761" s="493"/>
      <c r="G761" s="493"/>
      <c r="H761" s="513"/>
      <c r="I761" s="513"/>
      <c r="J761" s="513" cm="1">
        <f t="array" aca="1" ref="J761" ca="1">IFERROR(_xlfn.LET(_xlpm.produto,TRIM(F761)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61" s="513" cm="1">
        <f t="array" aca="1" ref="K761" ca="1">IFERROR(_xlfn.LET(_xlpm.produto,TRIM(G761)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61" s="516" cm="1">
        <f t="array" aca="1" ref="L761" ca="1">IFERROR(_xlfn.LET(_xlpm.produto,TRIM(H761)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61" s="513" cm="1">
        <f t="array" aca="1" ref="M761" ca="1">IFERROR(_xlfn.LET(_xlpm.produto,TRIM(H761)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61" s="558"/>
      <c r="O761" s="558"/>
      <c r="P761" s="558"/>
    </row>
    <row r="762" spans="1:18" ht="15.75" thickBot="1" x14ac:dyDescent="0.3"/>
    <row r="763" spans="1:18" ht="15.75" thickBot="1" x14ac:dyDescent="0.3">
      <c r="C763" s="546">
        <f ca="1">SUM(J691:M691,J709:M709,J727:M727,J745:M745,J763:M763)</f>
        <v>46285</v>
      </c>
      <c r="D763" s="547">
        <f ca="1">SUM(R763,R745,R727,R709,R691)</f>
        <v>47885.45</v>
      </c>
      <c r="E763" s="539"/>
      <c r="F763" s="539"/>
      <c r="G763" s="539"/>
      <c r="H763" s="539"/>
      <c r="I763" s="539"/>
      <c r="J763" s="606">
        <f t="shared" ref="J763:P763" ca="1" si="155">_xlfn.AGGREGATE(9,6,J764:J779)</f>
        <v>3650</v>
      </c>
      <c r="K763" s="607">
        <f t="shared" ca="1" si="155"/>
        <v>3600</v>
      </c>
      <c r="L763" s="607">
        <f t="shared" ca="1" si="155"/>
        <v>3150</v>
      </c>
      <c r="M763" s="544">
        <f t="shared" ca="1" si="155"/>
        <v>0</v>
      </c>
      <c r="N763" s="560">
        <f t="shared" ca="1" si="155"/>
        <v>1861.5</v>
      </c>
      <c r="O763" s="561">
        <f t="shared" ca="1" si="155"/>
        <v>3060</v>
      </c>
      <c r="P763" s="562">
        <f t="shared" ca="1" si="155"/>
        <v>0</v>
      </c>
      <c r="Q763" s="548">
        <f ca="1">SUM(J763:M763)</f>
        <v>10400</v>
      </c>
      <c r="R763" s="549">
        <f ca="1">SUM(N763:P763)</f>
        <v>4921.5</v>
      </c>
    </row>
    <row r="764" spans="1:18" x14ac:dyDescent="0.25">
      <c r="C764" s="529" t="s">
        <v>1831</v>
      </c>
      <c r="D764" s="447">
        <f>D761+1</f>
        <v>46202</v>
      </c>
      <c r="E764" s="498" t="s">
        <v>573</v>
      </c>
      <c r="F764" s="514"/>
      <c r="G764" s="514"/>
      <c r="H764" s="514"/>
      <c r="I764" s="724"/>
      <c r="J764" s="537"/>
      <c r="K764" s="537"/>
      <c r="L764" s="537"/>
      <c r="M764" s="537"/>
      <c r="N764" s="563"/>
      <c r="O764" s="563"/>
      <c r="P764" s="563"/>
    </row>
    <row r="765" spans="1:18" x14ac:dyDescent="0.25">
      <c r="C765" s="452" t="s">
        <v>1831</v>
      </c>
      <c r="D765" s="453">
        <f t="shared" ref="D765:D779" si="156">D764</f>
        <v>46202</v>
      </c>
      <c r="E765" s="500" t="s">
        <v>162</v>
      </c>
      <c r="F765" s="460" t="s">
        <v>1781</v>
      </c>
      <c r="G765" s="460" t="s">
        <v>1963</v>
      </c>
      <c r="H765" s="460" t="s">
        <v>1967</v>
      </c>
      <c r="I765" s="460"/>
      <c r="J765" s="540">
        <v>730</v>
      </c>
      <c r="K765" s="540">
        <v>720</v>
      </c>
      <c r="L765" s="540">
        <v>630</v>
      </c>
      <c r="M765" s="545"/>
      <c r="N765" s="555">
        <f>J765*INDEX([2]Pedidos!$Q:$Q,MATCH(F765,[2]Pedidos!$E:$E,0))</f>
        <v>372.3</v>
      </c>
      <c r="O765" s="564">
        <f>K765*INDEX([2]Pedidos!$Q:$Q,MATCH(G765,[2]Pedidos!$E:$E,0))</f>
        <v>612</v>
      </c>
      <c r="P765" s="555">
        <f>M765*INDEX([2]Pedidos!$Q:$Q,MATCH(H765,[2]Pedidos!$E:$E,0))</f>
        <v>0</v>
      </c>
    </row>
    <row r="766" spans="1:18" x14ac:dyDescent="0.25">
      <c r="C766" s="452" t="s">
        <v>1831</v>
      </c>
      <c r="D766" s="453">
        <f t="shared" si="156"/>
        <v>46202</v>
      </c>
      <c r="E766" s="454" t="s">
        <v>163</v>
      </c>
      <c r="F766" s="460" t="s">
        <v>1781</v>
      </c>
      <c r="G766" s="460" t="s">
        <v>1963</v>
      </c>
      <c r="H766" s="460" t="s">
        <v>1967</v>
      </c>
      <c r="I766" s="460"/>
      <c r="J766" s="540">
        <v>730</v>
      </c>
      <c r="K766" s="540">
        <v>720</v>
      </c>
      <c r="L766" s="540">
        <v>630</v>
      </c>
      <c r="M766" s="545"/>
      <c r="N766" s="564">
        <f>J766*INDEX([2]Pedidos!$Q:$Q,MATCH(F766,[2]Pedidos!$E:$E,0))</f>
        <v>372.3</v>
      </c>
      <c r="O766" s="564">
        <f>K766*INDEX([2]Pedidos!$Q:$Q,MATCH(G766,[2]Pedidos!$E:$E,0))</f>
        <v>612</v>
      </c>
      <c r="P766" s="564">
        <f>M766*INDEX([2]Pedidos!$Q:$Q,MATCH(H766,[2]Pedidos!$E:$E,0))</f>
        <v>0</v>
      </c>
    </row>
    <row r="767" spans="1:18" x14ac:dyDescent="0.25">
      <c r="C767" s="452" t="s">
        <v>1831</v>
      </c>
      <c r="D767" s="453">
        <f t="shared" si="156"/>
        <v>46202</v>
      </c>
      <c r="E767" s="454" t="s">
        <v>164</v>
      </c>
      <c r="F767" s="460" t="s">
        <v>1781</v>
      </c>
      <c r="G767" s="460" t="s">
        <v>1963</v>
      </c>
      <c r="H767" s="460" t="s">
        <v>1967</v>
      </c>
      <c r="I767" s="460"/>
      <c r="J767" s="540">
        <v>730</v>
      </c>
      <c r="K767" s="540">
        <v>720</v>
      </c>
      <c r="L767" s="540">
        <v>630</v>
      </c>
      <c r="M767" s="545"/>
      <c r="N767" s="564">
        <f>J767*INDEX([2]Pedidos!$Q:$Q,MATCH(F767,[2]Pedidos!$E:$E,0))</f>
        <v>372.3</v>
      </c>
      <c r="O767" s="564">
        <f>K767*INDEX([2]Pedidos!$Q:$Q,MATCH(G767,[2]Pedidos!$E:$E,0))</f>
        <v>612</v>
      </c>
      <c r="P767" s="564">
        <f>M767*INDEX([2]Pedidos!$Q:$Q,MATCH(H767,[2]Pedidos!$E:$E,0))</f>
        <v>0</v>
      </c>
    </row>
    <row r="768" spans="1:18" x14ac:dyDescent="0.25">
      <c r="C768" s="452" t="s">
        <v>1831</v>
      </c>
      <c r="D768" s="453">
        <f t="shared" si="156"/>
        <v>46202</v>
      </c>
      <c r="E768" s="454" t="s">
        <v>165</v>
      </c>
      <c r="F768" s="460" t="s">
        <v>1781</v>
      </c>
      <c r="G768" s="460" t="s">
        <v>1963</v>
      </c>
      <c r="H768" s="460" t="s">
        <v>1967</v>
      </c>
      <c r="I768" s="460"/>
      <c r="J768" s="540">
        <v>730</v>
      </c>
      <c r="K768" s="540">
        <v>720</v>
      </c>
      <c r="L768" s="540">
        <v>630</v>
      </c>
      <c r="M768" s="545"/>
      <c r="N768" s="564">
        <f>J768*INDEX([2]Pedidos!$Q:$Q,MATCH(F768,[2]Pedidos!$E:$E,0))</f>
        <v>372.3</v>
      </c>
      <c r="O768" s="564">
        <f>K768*INDEX([2]Pedidos!$Q:$Q,MATCH(G768,[2]Pedidos!$E:$E,0))</f>
        <v>612</v>
      </c>
      <c r="P768" s="564">
        <f>M768*INDEX([2]Pedidos!$Q:$Q,MATCH(H768,[2]Pedidos!$E:$E,0))</f>
        <v>0</v>
      </c>
    </row>
    <row r="769" spans="3:18" x14ac:dyDescent="0.25">
      <c r="C769" s="452" t="s">
        <v>1831</v>
      </c>
      <c r="D769" s="453">
        <f t="shared" si="156"/>
        <v>46202</v>
      </c>
      <c r="E769" s="454" t="s">
        <v>166</v>
      </c>
      <c r="F769" s="460" t="s">
        <v>1781</v>
      </c>
      <c r="G769" s="460" t="s">
        <v>1963</v>
      </c>
      <c r="H769" s="460" t="s">
        <v>1967</v>
      </c>
      <c r="I769" s="460"/>
      <c r="J769" s="540">
        <v>730</v>
      </c>
      <c r="K769" s="540">
        <v>720</v>
      </c>
      <c r="L769" s="540">
        <v>630</v>
      </c>
      <c r="M769" s="545"/>
      <c r="N769" s="564">
        <f>J769*INDEX([2]Pedidos!$Q:$Q,MATCH(F769,[2]Pedidos!$E:$E,0))</f>
        <v>372.3</v>
      </c>
      <c r="O769" s="564">
        <f>K769*INDEX([2]Pedidos!$Q:$Q,MATCH(G769,[2]Pedidos!$E:$E,0))</f>
        <v>612</v>
      </c>
      <c r="P769" s="564">
        <f>M769*INDEX([2]Pedidos!$Q:$Q,MATCH(H769,[2]Pedidos!$E:$E,0))</f>
        <v>0</v>
      </c>
    </row>
    <row r="770" spans="3:18" x14ac:dyDescent="0.25">
      <c r="C770" s="452" t="s">
        <v>1831</v>
      </c>
      <c r="D770" s="453">
        <f t="shared" si="156"/>
        <v>46202</v>
      </c>
      <c r="E770" s="454" t="s">
        <v>576</v>
      </c>
      <c r="F770" s="512"/>
      <c r="G770" s="512"/>
      <c r="H770" s="512"/>
      <c r="I770" s="512"/>
      <c r="J770" s="541" cm="1">
        <f t="array" aca="1" ref="J770" ca="1">IFERROR(_xlfn.LET(_xlpm.produto,TRIM(F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0" s="541" cm="1">
        <f t="array" aca="1" ref="K770" ca="1">IFERROR(_xlfn.LET(_xlpm.produto,TRIM(G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0" s="541" cm="1">
        <f t="array" aca="1" ref="L770" ca="1">IFERROR(_xlfn.LET(_xlpm.produto,TRIM(H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0" s="541" cm="1">
        <f t="array" aca="1" ref="M770" ca="1">IFERROR(_xlfn.LET(_xlpm.produto,TRIM(I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0" s="541" cm="1">
        <f t="array" aca="1" ref="N770" ca="1">IFERROR(_xlfn.LET(_xlpm.produto,TRIM(J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0" s="541" cm="1">
        <f t="array" aca="1" ref="O770" ca="1">IFERROR(_xlfn.LET(_xlpm.produto,TRIM(K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0" s="541" cm="1">
        <f t="array" aca="1" ref="P770" ca="1">IFERROR(_xlfn.LET(_xlpm.produto,TRIM(L770)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1" spans="3:18" x14ac:dyDescent="0.25">
      <c r="C771" s="452" t="s">
        <v>1831</v>
      </c>
      <c r="D771" s="449">
        <f t="shared" si="156"/>
        <v>46202</v>
      </c>
      <c r="E771" s="454" t="s">
        <v>167</v>
      </c>
      <c r="F771" s="512"/>
      <c r="G771" s="512"/>
      <c r="H771" s="512"/>
      <c r="I771" s="512"/>
      <c r="J771" s="516" cm="1">
        <f t="array" aca="1" ref="J771" ca="1">IFERROR(_xlfn.LET(_xlpm.produto,TRIM(F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1" s="516" cm="1">
        <f t="array" aca="1" ref="K771" ca="1">IFERROR(_xlfn.LET(_xlpm.produto,TRIM(G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1" s="516" cm="1">
        <f t="array" aca="1" ref="L771" ca="1">IFERROR(_xlfn.LET(_xlpm.produto,TRIM(H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1" s="516" cm="1">
        <f t="array" aca="1" ref="M771" ca="1">IFERROR(_xlfn.LET(_xlpm.produto,TRIM(I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1" s="516" cm="1">
        <f t="array" aca="1" ref="N771" ca="1">IFERROR(_xlfn.LET(_xlpm.produto,TRIM(J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1" s="516" cm="1">
        <f t="array" aca="1" ref="O771" ca="1">IFERROR(_xlfn.LET(_xlpm.produto,TRIM(K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1" s="516" cm="1">
        <f t="array" aca="1" ref="P771" ca="1">IFERROR(_xlfn.LET(_xlpm.produto,TRIM(L771)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2" spans="3:18" x14ac:dyDescent="0.25">
      <c r="C772" s="452" t="s">
        <v>1831</v>
      </c>
      <c r="D772" s="449">
        <f t="shared" si="156"/>
        <v>46202</v>
      </c>
      <c r="E772" s="454" t="s">
        <v>168</v>
      </c>
      <c r="F772" s="512"/>
      <c r="G772" s="512"/>
      <c r="H772" s="512"/>
      <c r="I772" s="512"/>
      <c r="J772" s="516" cm="1">
        <f t="array" aca="1" ref="J772" ca="1">IFERROR(_xlfn.LET(_xlpm.produto,TRIM(F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2" s="516" cm="1">
        <f t="array" aca="1" ref="K772" ca="1">IFERROR(_xlfn.LET(_xlpm.produto,TRIM(G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2" s="516" cm="1">
        <f t="array" aca="1" ref="L772" ca="1">IFERROR(_xlfn.LET(_xlpm.produto,TRIM(H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2" s="516" cm="1">
        <f t="array" aca="1" ref="M772" ca="1">IFERROR(_xlfn.LET(_xlpm.produto,TRIM(I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2" s="516" cm="1">
        <f t="array" aca="1" ref="N772" ca="1">IFERROR(_xlfn.LET(_xlpm.produto,TRIM(J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2" s="516" cm="1">
        <f t="array" aca="1" ref="O772" ca="1">IFERROR(_xlfn.LET(_xlpm.produto,TRIM(K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2" s="516" cm="1">
        <f t="array" aca="1" ref="P772" ca="1">IFERROR(_xlfn.LET(_xlpm.produto,TRIM(L772)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3" spans="3:18" x14ac:dyDescent="0.25">
      <c r="C773" s="452" t="s">
        <v>1831</v>
      </c>
      <c r="D773" s="449">
        <f t="shared" si="156"/>
        <v>46202</v>
      </c>
      <c r="E773" s="454" t="s">
        <v>169</v>
      </c>
      <c r="F773" s="512"/>
      <c r="G773" s="512"/>
      <c r="H773" s="512"/>
      <c r="I773" s="512"/>
      <c r="J773" s="516" cm="1">
        <f t="array" aca="1" ref="J773" ca="1">IFERROR(_xlfn.LET(_xlpm.produto,TRIM(F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3" s="516" cm="1">
        <f t="array" aca="1" ref="K773" ca="1">IFERROR(_xlfn.LET(_xlpm.produto,TRIM(G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3" s="516" cm="1">
        <f t="array" aca="1" ref="L773" ca="1">IFERROR(_xlfn.LET(_xlpm.produto,TRIM(H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3" s="516" cm="1">
        <f t="array" aca="1" ref="M773" ca="1">IFERROR(_xlfn.LET(_xlpm.produto,TRIM(I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3" s="516" cm="1">
        <f t="array" aca="1" ref="N773" ca="1">IFERROR(_xlfn.LET(_xlpm.produto,TRIM(J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3" s="516" cm="1">
        <f t="array" aca="1" ref="O773" ca="1">IFERROR(_xlfn.LET(_xlpm.produto,TRIM(K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3" s="516" cm="1">
        <f t="array" aca="1" ref="P773" ca="1">IFERROR(_xlfn.LET(_xlpm.produto,TRIM(L773)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4" spans="3:18" x14ac:dyDescent="0.25">
      <c r="C774" s="452" t="s">
        <v>1831</v>
      </c>
      <c r="D774" s="449">
        <f t="shared" si="156"/>
        <v>46202</v>
      </c>
      <c r="E774" s="454" t="s">
        <v>170</v>
      </c>
      <c r="F774" s="512"/>
      <c r="G774" s="512"/>
      <c r="H774" s="512"/>
      <c r="I774" s="512"/>
      <c r="J774" s="516" cm="1">
        <f t="array" aca="1" ref="J774" ca="1">IFERROR(_xlfn.LET(_xlpm.produto,TRIM(F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4" s="516" cm="1">
        <f t="array" aca="1" ref="K774" ca="1">IFERROR(_xlfn.LET(_xlpm.produto,TRIM(G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4" s="516" cm="1">
        <f t="array" aca="1" ref="L774" ca="1">IFERROR(_xlfn.LET(_xlpm.produto,TRIM(H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4" s="516" cm="1">
        <f t="array" aca="1" ref="M774" ca="1">IFERROR(_xlfn.LET(_xlpm.produto,TRIM(I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4" s="516" cm="1">
        <f t="array" aca="1" ref="N774" ca="1">IFERROR(_xlfn.LET(_xlpm.produto,TRIM(J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4" s="516" cm="1">
        <f t="array" aca="1" ref="O774" ca="1">IFERROR(_xlfn.LET(_xlpm.produto,TRIM(K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4" s="516" cm="1">
        <f t="array" aca="1" ref="P774" ca="1">IFERROR(_xlfn.LET(_xlpm.produto,TRIM(L774)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5" spans="3:18" x14ac:dyDescent="0.25">
      <c r="C775" s="452" t="s">
        <v>1831</v>
      </c>
      <c r="D775" s="449">
        <f t="shared" si="156"/>
        <v>46202</v>
      </c>
      <c r="E775" s="454" t="s">
        <v>585</v>
      </c>
      <c r="F775" s="505"/>
      <c r="G775" s="505"/>
      <c r="H775" s="505"/>
      <c r="I775" s="512"/>
      <c r="J775" s="516" cm="1">
        <f t="array" aca="1" ref="J775" ca="1">IFERROR(_xlfn.LET(_xlpm.produto,TRIM(F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5" s="516" cm="1">
        <f t="array" aca="1" ref="K775" ca="1">IFERROR(_xlfn.LET(_xlpm.produto,TRIM(G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5" s="516" cm="1">
        <f t="array" aca="1" ref="L775" ca="1">IFERROR(_xlfn.LET(_xlpm.produto,TRIM(H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5" s="516" cm="1">
        <f t="array" aca="1" ref="M775" ca="1">IFERROR(_xlfn.LET(_xlpm.produto,TRIM(H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5" s="516" cm="1">
        <f t="array" aca="1" ref="N775" ca="1">IFERROR(_xlfn.LET(_xlpm.produto,TRIM(J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5" s="516" cm="1">
        <f t="array" aca="1" ref="O775" ca="1">IFERROR(_xlfn.LET(_xlpm.produto,TRIM(K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5" s="516" cm="1">
        <f t="array" aca="1" ref="P775" ca="1">IFERROR(_xlfn.LET(_xlpm.produto,TRIM(L775)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6" spans="3:18" x14ac:dyDescent="0.25">
      <c r="C776" s="452" t="s">
        <v>1831</v>
      </c>
      <c r="D776" s="449">
        <f t="shared" si="156"/>
        <v>46202</v>
      </c>
      <c r="E776" s="455" t="s">
        <v>574</v>
      </c>
      <c r="F776" s="505"/>
      <c r="G776" s="505"/>
      <c r="H776" s="505"/>
      <c r="I776" s="724"/>
      <c r="J776" s="516" cm="1">
        <f t="array" aca="1" ref="J776" ca="1">IFERROR(_xlfn.LET(_xlpm.produto,TRIM(F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6" s="516" cm="1">
        <f t="array" aca="1" ref="K776" ca="1">IFERROR(_xlfn.LET(_xlpm.produto,TRIM(G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6" s="516" cm="1">
        <f t="array" aca="1" ref="L776" ca="1">IFERROR(_xlfn.LET(_xlpm.produto,TRIM(H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6" s="516" cm="1">
        <f t="array" aca="1" ref="M776" ca="1">IFERROR(_xlfn.LET(_xlpm.produto,TRIM(H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6" s="516" cm="1">
        <f t="array" aca="1" ref="N776" ca="1">IFERROR(_xlfn.LET(_xlpm.produto,TRIM(J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6" s="516" cm="1">
        <f t="array" aca="1" ref="O776" ca="1">IFERROR(_xlfn.LET(_xlpm.produto,TRIM(K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6" s="516" cm="1">
        <f t="array" aca="1" ref="P776" ca="1">IFERROR(_xlfn.LET(_xlpm.produto,TRIM(L776)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7" spans="3:18" x14ac:dyDescent="0.25">
      <c r="C777" s="452" t="s">
        <v>1831</v>
      </c>
      <c r="D777" s="449">
        <f t="shared" si="156"/>
        <v>46202</v>
      </c>
      <c r="E777" s="455" t="s">
        <v>575</v>
      </c>
      <c r="F777" s="506"/>
      <c r="G777" s="506"/>
      <c r="H777" s="506"/>
      <c r="I777" s="506"/>
      <c r="J777" s="516" cm="1">
        <f t="array" aca="1" ref="J777" ca="1">IFERROR(_xlfn.LET(_xlpm.produto,TRIM(F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7" s="516" cm="1">
        <f t="array" aca="1" ref="K777" ca="1">IFERROR(_xlfn.LET(_xlpm.produto,TRIM(G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7" s="516" cm="1">
        <f t="array" aca="1" ref="L777" ca="1">IFERROR(_xlfn.LET(_xlpm.produto,TRIM(H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7" s="516" cm="1">
        <f t="array" aca="1" ref="M777" ca="1">IFERROR(_xlfn.LET(_xlpm.produto,TRIM(H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7" s="516" cm="1">
        <f t="array" aca="1" ref="N777" ca="1">IFERROR(_xlfn.LET(_xlpm.produto,TRIM(J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7" s="516" cm="1">
        <f t="array" aca="1" ref="O777" ca="1">IFERROR(_xlfn.LET(_xlpm.produto,TRIM(K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7" s="516" cm="1">
        <f t="array" aca="1" ref="P777" ca="1">IFERROR(_xlfn.LET(_xlpm.produto,TRIM(L777)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8" spans="3:18" x14ac:dyDescent="0.25">
      <c r="C778" s="452" t="s">
        <v>1831</v>
      </c>
      <c r="D778" s="502">
        <f t="shared" si="156"/>
        <v>46202</v>
      </c>
      <c r="E778" s="503" t="s">
        <v>583</v>
      </c>
      <c r="F778" s="506"/>
      <c r="G778" s="506"/>
      <c r="H778" s="506"/>
      <c r="I778" s="506"/>
      <c r="J778" s="516" cm="1">
        <f t="array" aca="1" ref="J778" ca="1">IFERROR(_xlfn.LET(_xlpm.produto,TRIM(F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8" s="516" cm="1">
        <f t="array" aca="1" ref="K778" ca="1">IFERROR(_xlfn.LET(_xlpm.produto,TRIM(G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8" s="516" cm="1">
        <f t="array" aca="1" ref="L778" ca="1">IFERROR(_xlfn.LET(_xlpm.produto,TRIM(H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8" s="516" cm="1">
        <f t="array" aca="1" ref="M778" ca="1">IFERROR(_xlfn.LET(_xlpm.produto,TRIM(H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8" s="516" cm="1">
        <f t="array" aca="1" ref="N778" ca="1">IFERROR(_xlfn.LET(_xlpm.produto,TRIM(J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8" s="516" cm="1">
        <f t="array" aca="1" ref="O778" ca="1">IFERROR(_xlfn.LET(_xlpm.produto,TRIM(K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8" s="516" cm="1">
        <f t="array" aca="1" ref="P778" ca="1">IFERROR(_xlfn.LET(_xlpm.produto,TRIM(L778)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79" spans="3:18" ht="15.75" thickBot="1" x14ac:dyDescent="0.3">
      <c r="C779" s="530" t="s">
        <v>1831</v>
      </c>
      <c r="D779" s="451">
        <f t="shared" si="156"/>
        <v>46202</v>
      </c>
      <c r="E779" s="459" t="s">
        <v>584</v>
      </c>
      <c r="F779" s="493"/>
      <c r="G779" s="493"/>
      <c r="H779" s="493"/>
      <c r="I779" s="493"/>
      <c r="J779" s="513" cm="1">
        <f t="array" aca="1" ref="J779" ca="1">IFERROR(_xlfn.LET(_xlpm.produto,TRIM(F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79" s="513" cm="1">
        <f t="array" aca="1" ref="K779" ca="1">IFERROR(_xlfn.LET(_xlpm.produto,TRIM(G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79" s="516" cm="1">
        <f t="array" aca="1" ref="L779" ca="1">IFERROR(_xlfn.LET(_xlpm.produto,TRIM(H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79" s="513" cm="1">
        <f t="array" aca="1" ref="M779" ca="1">IFERROR(_xlfn.LET(_xlpm.produto,TRIM(H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79" s="516" cm="1">
        <f t="array" aca="1" ref="N779" ca="1">IFERROR(_xlfn.LET(_xlpm.produto,TRIM(J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O779" s="516" cm="1">
        <f t="array" aca="1" ref="O779" ca="1">IFERROR(_xlfn.LET(_xlpm.produto,TRIM(K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P779" s="516" cm="1">
        <f t="array" aca="1" ref="P779" ca="1">IFERROR(_xlfn.LET(_xlpm.produto,TRIM(L779)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row>
    <row r="780" spans="3:18" ht="6" customHeight="1" thickBot="1" x14ac:dyDescent="0.3"/>
    <row r="781" spans="3:18" ht="15.75" thickBot="1" x14ac:dyDescent="0.3">
      <c r="C781" s="546">
        <f ca="1">SUM(J709:M709,J727:M727,J745:M745,J763:M763,J781:M781)</f>
        <v>46478</v>
      </c>
      <c r="D781" s="547">
        <f ca="1">SUM(R781,R763,R745,R727,R709)</f>
        <v>34464.899999999994</v>
      </c>
      <c r="E781" s="539"/>
      <c r="F781" s="539"/>
      <c r="G781" s="539"/>
      <c r="H781" s="539"/>
      <c r="I781" s="539"/>
      <c r="J781" s="606">
        <f t="shared" ref="J781:P781" ca="1" si="157">_xlfn.AGGREGATE(9,6,J782:J797)</f>
        <v>6960</v>
      </c>
      <c r="K781" s="607">
        <f t="shared" ca="1" si="157"/>
        <v>6480</v>
      </c>
      <c r="L781" s="607">
        <f t="shared" ca="1" si="157"/>
        <v>5670</v>
      </c>
      <c r="M781" s="544">
        <f t="shared" ca="1" si="157"/>
        <v>0</v>
      </c>
      <c r="N781" s="560">
        <f t="shared" si="157"/>
        <v>5329.8</v>
      </c>
      <c r="O781" s="561">
        <f t="shared" si="157"/>
        <v>5508</v>
      </c>
      <c r="P781" s="562">
        <f t="shared" si="157"/>
        <v>0</v>
      </c>
      <c r="Q781" s="548">
        <f ca="1">SUM(J781:M781)</f>
        <v>19110</v>
      </c>
      <c r="R781" s="549">
        <f>SUM(N781:P781)</f>
        <v>10837.8</v>
      </c>
    </row>
    <row r="782" spans="3:18" x14ac:dyDescent="0.25">
      <c r="C782" s="529" t="s">
        <v>1938</v>
      </c>
      <c r="D782" s="447">
        <f>D779+1</f>
        <v>46203</v>
      </c>
      <c r="E782" s="498" t="s">
        <v>573</v>
      </c>
      <c r="F782" s="514"/>
      <c r="G782" s="514"/>
      <c r="H782" s="514"/>
      <c r="I782" s="724"/>
      <c r="J782" s="537"/>
      <c r="K782" s="537"/>
      <c r="L782" s="537"/>
      <c r="M782" s="537"/>
      <c r="N782" s="563"/>
      <c r="O782" s="563"/>
      <c r="P782" s="563"/>
    </row>
    <row r="783" spans="3:18" x14ac:dyDescent="0.25">
      <c r="C783" s="452" t="s">
        <v>1938</v>
      </c>
      <c r="D783" s="453">
        <f t="shared" ref="D783:D797" si="158">D782</f>
        <v>46203</v>
      </c>
      <c r="E783" s="500" t="s">
        <v>162</v>
      </c>
      <c r="F783" s="460" t="s">
        <v>1781</v>
      </c>
      <c r="G783" s="460" t="s">
        <v>1963</v>
      </c>
      <c r="H783" s="460" t="s">
        <v>1966</v>
      </c>
      <c r="I783" s="460"/>
      <c r="J783" s="540">
        <v>730</v>
      </c>
      <c r="K783" s="540">
        <v>720</v>
      </c>
      <c r="L783" s="540">
        <v>630</v>
      </c>
      <c r="M783" s="545"/>
      <c r="N783" s="555">
        <f>J783*INDEX([2]Pedidos!$Q:$Q,MATCH(F783,[2]Pedidos!$E:$E,0))</f>
        <v>372.3</v>
      </c>
      <c r="O783" s="564">
        <f>K783*INDEX([2]Pedidos!$Q:$Q,MATCH(G783,[2]Pedidos!$E:$E,0))</f>
        <v>612</v>
      </c>
      <c r="P783" s="555">
        <f>M783*INDEX([2]Pedidos!$Q:$Q,MATCH(H783,[2]Pedidos!$E:$E,0))</f>
        <v>0</v>
      </c>
    </row>
    <row r="784" spans="3:18" x14ac:dyDescent="0.25">
      <c r="C784" s="452" t="s">
        <v>1938</v>
      </c>
      <c r="D784" s="453">
        <f t="shared" si="158"/>
        <v>46203</v>
      </c>
      <c r="E784" s="454" t="s">
        <v>163</v>
      </c>
      <c r="F784" s="460" t="s">
        <v>1781</v>
      </c>
      <c r="G784" s="460" t="s">
        <v>1963</v>
      </c>
      <c r="H784" s="460" t="s">
        <v>1966</v>
      </c>
      <c r="I784" s="460"/>
      <c r="J784" s="540">
        <v>730</v>
      </c>
      <c r="K784" s="540">
        <v>720</v>
      </c>
      <c r="L784" s="540">
        <v>630</v>
      </c>
      <c r="M784" s="545"/>
      <c r="N784" s="564">
        <f>J784*INDEX([2]Pedidos!$Q:$Q,MATCH(F784,[2]Pedidos!$E:$E,0))</f>
        <v>372.3</v>
      </c>
      <c r="O784" s="564">
        <f>K784*INDEX([2]Pedidos!$Q:$Q,MATCH(G784,[2]Pedidos!$E:$E,0))</f>
        <v>612</v>
      </c>
      <c r="P784" s="564">
        <f>M784*INDEX([2]Pedidos!$Q:$Q,MATCH(H784,[2]Pedidos!$E:$E,0))</f>
        <v>0</v>
      </c>
    </row>
    <row r="785" spans="3:18" x14ac:dyDescent="0.25">
      <c r="C785" s="452" t="s">
        <v>1938</v>
      </c>
      <c r="D785" s="453">
        <f t="shared" si="158"/>
        <v>46203</v>
      </c>
      <c r="E785" s="454" t="s">
        <v>164</v>
      </c>
      <c r="F785" s="460" t="s">
        <v>1781</v>
      </c>
      <c r="G785" s="460" t="s">
        <v>1963</v>
      </c>
      <c r="H785" s="460" t="s">
        <v>1966</v>
      </c>
      <c r="I785" s="460"/>
      <c r="J785" s="540">
        <v>730</v>
      </c>
      <c r="K785" s="540">
        <v>720</v>
      </c>
      <c r="L785" s="540">
        <v>630</v>
      </c>
      <c r="M785" s="545"/>
      <c r="N785" s="564">
        <f>J785*INDEX([2]Pedidos!$Q:$Q,MATCH(F785,[2]Pedidos!$E:$E,0))</f>
        <v>372.3</v>
      </c>
      <c r="O785" s="564">
        <f>K785*INDEX([2]Pedidos!$Q:$Q,MATCH(G785,[2]Pedidos!$E:$E,0))</f>
        <v>612</v>
      </c>
      <c r="P785" s="564">
        <f>M785*INDEX([2]Pedidos!$Q:$Q,MATCH(H785,[2]Pedidos!$E:$E,0))</f>
        <v>0</v>
      </c>
    </row>
    <row r="786" spans="3:18" x14ac:dyDescent="0.25">
      <c r="C786" s="452" t="s">
        <v>1938</v>
      </c>
      <c r="D786" s="453">
        <f t="shared" si="158"/>
        <v>46203</v>
      </c>
      <c r="E786" s="454" t="s">
        <v>165</v>
      </c>
      <c r="F786" s="460" t="s">
        <v>1781</v>
      </c>
      <c r="G786" s="460" t="s">
        <v>1963</v>
      </c>
      <c r="H786" s="460" t="s">
        <v>1966</v>
      </c>
      <c r="I786" s="460"/>
      <c r="J786" s="540">
        <v>730</v>
      </c>
      <c r="K786" s="540">
        <v>720</v>
      </c>
      <c r="L786" s="540">
        <v>630</v>
      </c>
      <c r="M786" s="545"/>
      <c r="N786" s="564">
        <f>J786*INDEX([2]Pedidos!$Q:$Q,MATCH(F786,[2]Pedidos!$E:$E,0))</f>
        <v>372.3</v>
      </c>
      <c r="O786" s="564">
        <f>K786*INDEX([2]Pedidos!$Q:$Q,MATCH(G786,[2]Pedidos!$E:$E,0))</f>
        <v>612</v>
      </c>
      <c r="P786" s="564">
        <f>M786*INDEX([2]Pedidos!$Q:$Q,MATCH(H786,[2]Pedidos!$E:$E,0))</f>
        <v>0</v>
      </c>
    </row>
    <row r="787" spans="3:18" x14ac:dyDescent="0.25">
      <c r="C787" s="452" t="s">
        <v>1938</v>
      </c>
      <c r="D787" s="453">
        <f t="shared" si="158"/>
        <v>46203</v>
      </c>
      <c r="E787" s="454" t="s">
        <v>166</v>
      </c>
      <c r="F787" s="460" t="s">
        <v>1781</v>
      </c>
      <c r="G787" s="460" t="s">
        <v>1963</v>
      </c>
      <c r="H787" s="460" t="s">
        <v>1966</v>
      </c>
      <c r="I787" s="460"/>
      <c r="J787" s="540">
        <v>730</v>
      </c>
      <c r="K787" s="540">
        <v>720</v>
      </c>
      <c r="L787" s="540">
        <v>630</v>
      </c>
      <c r="M787" s="545"/>
      <c r="N787" s="564">
        <f>J787*INDEX([2]Pedidos!$Q:$Q,MATCH(F787,[2]Pedidos!$E:$E,0))</f>
        <v>372.3</v>
      </c>
      <c r="O787" s="564">
        <f>K787*INDEX([2]Pedidos!$Q:$Q,MATCH(G787,[2]Pedidos!$E:$E,0))</f>
        <v>612</v>
      </c>
      <c r="P787" s="564">
        <f>M787*INDEX([2]Pedidos!$Q:$Q,MATCH(H787,[2]Pedidos!$E:$E,0))</f>
        <v>0</v>
      </c>
    </row>
    <row r="788" spans="3:18" x14ac:dyDescent="0.25">
      <c r="C788" s="452" t="s">
        <v>1938</v>
      </c>
      <c r="D788" s="453">
        <f t="shared" si="158"/>
        <v>46203</v>
      </c>
      <c r="E788" s="454" t="s">
        <v>576</v>
      </c>
      <c r="F788" s="512"/>
      <c r="G788" s="512"/>
      <c r="H788" s="512"/>
      <c r="I788" s="512"/>
      <c r="J788" s="541" cm="1">
        <f t="array" aca="1" ref="J788" ca="1">IFERROR(_xlfn.LET(_xlpm.produto,TRIM(F788)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88" s="541" cm="1">
        <f t="array" aca="1" ref="K788" ca="1">IFERROR(_xlfn.LET(_xlpm.produto,TRIM(G788)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88" s="541" cm="1">
        <f t="array" aca="1" ref="L788" ca="1">IFERROR(_xlfn.LET(_xlpm.produto,TRIM(H788)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88" s="541" cm="1">
        <f t="array" aca="1" ref="M788" ca="1">IFERROR(_xlfn.LET(_xlpm.produto,TRIM(H788)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88" s="556"/>
      <c r="O788" s="556"/>
      <c r="P788" s="556"/>
    </row>
    <row r="789" spans="3:18" x14ac:dyDescent="0.25">
      <c r="C789" s="452" t="s">
        <v>1938</v>
      </c>
      <c r="D789" s="449">
        <f t="shared" si="158"/>
        <v>46203</v>
      </c>
      <c r="E789" s="454" t="s">
        <v>167</v>
      </c>
      <c r="F789" s="460" t="s">
        <v>2006</v>
      </c>
      <c r="G789" s="460" t="s">
        <v>1963</v>
      </c>
      <c r="H789" s="460" t="s">
        <v>1966</v>
      </c>
      <c r="I789" s="460"/>
      <c r="J789" s="540">
        <v>730</v>
      </c>
      <c r="K789" s="540">
        <v>720</v>
      </c>
      <c r="L789" s="540">
        <v>630</v>
      </c>
      <c r="M789" s="545"/>
      <c r="N789" s="565">
        <f>J789*INDEX([2]Pedidos!$Q:$Q,MATCH(F789,[2]Pedidos!$E:$E,0))</f>
        <v>372.3</v>
      </c>
      <c r="O789" s="564">
        <f>K789*INDEX([2]Pedidos!$Q:$Q,MATCH(G789,[2]Pedidos!$E:$E,0))</f>
        <v>612</v>
      </c>
      <c r="P789" s="565">
        <f>M789*INDEX([2]Pedidos!$Q:$Q,MATCH(H789,[2]Pedidos!$E:$E,0))</f>
        <v>0</v>
      </c>
    </row>
    <row r="790" spans="3:18" x14ac:dyDescent="0.25">
      <c r="C790" s="452" t="s">
        <v>1938</v>
      </c>
      <c r="D790" s="449">
        <f t="shared" si="158"/>
        <v>46203</v>
      </c>
      <c r="E790" s="454" t="s">
        <v>168</v>
      </c>
      <c r="F790" s="460" t="s">
        <v>1765</v>
      </c>
      <c r="G790" s="460" t="s">
        <v>1963</v>
      </c>
      <c r="H790" s="460" t="s">
        <v>1966</v>
      </c>
      <c r="I790" s="460"/>
      <c r="J790" s="540">
        <v>860</v>
      </c>
      <c r="K790" s="540">
        <v>720</v>
      </c>
      <c r="L790" s="540">
        <v>630</v>
      </c>
      <c r="M790" s="545"/>
      <c r="N790" s="565">
        <f>J790*INDEX([2]Pedidos!$Q:$Q,MATCH(F790,[2]Pedidos!$E:$E,0))</f>
        <v>1032</v>
      </c>
      <c r="O790" s="564">
        <f>K790*INDEX([2]Pedidos!$Q:$Q,MATCH(G790,[2]Pedidos!$E:$E,0))</f>
        <v>612</v>
      </c>
      <c r="P790" s="565">
        <f>M790*INDEX([2]Pedidos!$Q:$Q,MATCH(H790,[2]Pedidos!$E:$E,0))</f>
        <v>0</v>
      </c>
    </row>
    <row r="791" spans="3:18" x14ac:dyDescent="0.25">
      <c r="C791" s="452" t="s">
        <v>1938</v>
      </c>
      <c r="D791" s="449">
        <f t="shared" si="158"/>
        <v>46203</v>
      </c>
      <c r="E791" s="454" t="s">
        <v>169</v>
      </c>
      <c r="F791" s="460" t="s">
        <v>1765</v>
      </c>
      <c r="G791" s="460" t="s">
        <v>1963</v>
      </c>
      <c r="H791" s="460" t="s">
        <v>1966</v>
      </c>
      <c r="I791" s="460"/>
      <c r="J791" s="540">
        <v>860</v>
      </c>
      <c r="K791" s="540">
        <v>720</v>
      </c>
      <c r="L791" s="540">
        <v>630</v>
      </c>
      <c r="M791" s="545"/>
      <c r="N791" s="565">
        <f>J791*INDEX([2]Pedidos!$Q:$Q,MATCH(F791,[2]Pedidos!$E:$E,0))</f>
        <v>1032</v>
      </c>
      <c r="O791" s="564">
        <f>K791*INDEX([2]Pedidos!$Q:$Q,MATCH(G791,[2]Pedidos!$E:$E,0))</f>
        <v>612</v>
      </c>
      <c r="P791" s="565">
        <f>M791*INDEX([2]Pedidos!$Q:$Q,MATCH(H791,[2]Pedidos!$E:$E,0))</f>
        <v>0</v>
      </c>
    </row>
    <row r="792" spans="3:18" x14ac:dyDescent="0.25">
      <c r="C792" s="452" t="s">
        <v>1938</v>
      </c>
      <c r="D792" s="449">
        <f t="shared" si="158"/>
        <v>46203</v>
      </c>
      <c r="E792" s="454" t="s">
        <v>170</v>
      </c>
      <c r="F792" s="460" t="s">
        <v>1765</v>
      </c>
      <c r="G792" s="460" t="s">
        <v>1963</v>
      </c>
      <c r="H792" s="460" t="s">
        <v>1966</v>
      </c>
      <c r="I792" s="460"/>
      <c r="J792" s="540">
        <v>860</v>
      </c>
      <c r="K792" s="540">
        <v>720</v>
      </c>
      <c r="L792" s="540">
        <v>630</v>
      </c>
      <c r="M792" s="545"/>
      <c r="N792" s="566">
        <f>J792*INDEX([2]Pedidos!$Q:$Q,MATCH(F792,[2]Pedidos!$E:$E,0))</f>
        <v>1032</v>
      </c>
      <c r="O792" s="564">
        <f>K792*INDEX([2]Pedidos!$Q:$Q,MATCH(G792,[2]Pedidos!$E:$E,0))</f>
        <v>612</v>
      </c>
      <c r="P792" s="566">
        <f>M792*INDEX([2]Pedidos!$Q:$Q,MATCH(H792,[2]Pedidos!$E:$E,0))</f>
        <v>0</v>
      </c>
    </row>
    <row r="793" spans="3:18" x14ac:dyDescent="0.25">
      <c r="C793" s="452" t="s">
        <v>1938</v>
      </c>
      <c r="D793" s="449">
        <f t="shared" si="158"/>
        <v>46203</v>
      </c>
      <c r="E793" s="454" t="s">
        <v>585</v>
      </c>
      <c r="F793" s="505"/>
      <c r="G793" s="505"/>
      <c r="H793" s="505"/>
      <c r="I793" s="506"/>
      <c r="J793" s="516" cm="1">
        <f t="array" aca="1" ref="J793" ca="1">IFERROR(_xlfn.LET(_xlpm.produto,TRIM(F793)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93" s="516" cm="1">
        <f t="array" aca="1" ref="K793" ca="1">IFERROR(_xlfn.LET(_xlpm.produto,TRIM(G793)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93" s="516" cm="1">
        <f t="array" aca="1" ref="L793" ca="1">IFERROR(_xlfn.LET(_xlpm.produto,TRIM(H793)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93" s="516" cm="1">
        <f t="array" aca="1" ref="M793" ca="1">IFERROR(_xlfn.LET(_xlpm.produto,TRIM(H793)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93" s="557"/>
      <c r="O793" s="557"/>
      <c r="P793" s="557"/>
    </row>
    <row r="794" spans="3:18" x14ac:dyDescent="0.25">
      <c r="C794" s="452" t="s">
        <v>1938</v>
      </c>
      <c r="D794" s="449">
        <f t="shared" si="158"/>
        <v>46203</v>
      </c>
      <c r="E794" s="455" t="s">
        <v>574</v>
      </c>
      <c r="F794" s="505"/>
      <c r="G794" s="505"/>
      <c r="H794" s="505"/>
      <c r="I794" s="506"/>
      <c r="J794" s="516" cm="1">
        <f t="array" aca="1" ref="J794" ca="1">IFERROR(_xlfn.LET(_xlpm.produto,TRIM(F794)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94" s="516" cm="1">
        <f t="array" aca="1" ref="K794" ca="1">IFERROR(_xlfn.LET(_xlpm.produto,TRIM(G794)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94" s="516" cm="1">
        <f t="array" aca="1" ref="L794" ca="1">IFERROR(_xlfn.LET(_xlpm.produto,TRIM(H794)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94" s="516" cm="1">
        <f t="array" aca="1" ref="M794" ca="1">IFERROR(_xlfn.LET(_xlpm.produto,TRIM(H794)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94" s="557"/>
      <c r="O794" s="557"/>
      <c r="P794" s="557"/>
    </row>
    <row r="795" spans="3:18" x14ac:dyDescent="0.25">
      <c r="C795" s="452" t="s">
        <v>1938</v>
      </c>
      <c r="D795" s="449">
        <f t="shared" si="158"/>
        <v>46203</v>
      </c>
      <c r="E795" s="455" t="s">
        <v>575</v>
      </c>
      <c r="F795" s="506"/>
      <c r="G795" s="506"/>
      <c r="H795" s="506"/>
      <c r="I795" s="506"/>
      <c r="J795" s="516" cm="1">
        <f t="array" aca="1" ref="J795" ca="1">IFERROR(_xlfn.LET(_xlpm.produto,TRIM(F795)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95" s="516" cm="1">
        <f t="array" aca="1" ref="K795" ca="1">IFERROR(_xlfn.LET(_xlpm.produto,TRIM(G795)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95" s="516" cm="1">
        <f t="array" aca="1" ref="L795" ca="1">IFERROR(_xlfn.LET(_xlpm.produto,TRIM(H795)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95" s="516" cm="1">
        <f t="array" aca="1" ref="M795" ca="1">IFERROR(_xlfn.LET(_xlpm.produto,TRIM(H795)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95" s="557"/>
      <c r="O795" s="557"/>
      <c r="P795" s="557"/>
    </row>
    <row r="796" spans="3:18" x14ac:dyDescent="0.25">
      <c r="C796" s="452" t="s">
        <v>1938</v>
      </c>
      <c r="D796" s="502">
        <f t="shared" si="158"/>
        <v>46203</v>
      </c>
      <c r="E796" s="503" t="s">
        <v>583</v>
      </c>
      <c r="F796" s="506"/>
      <c r="G796" s="506"/>
      <c r="H796" s="506"/>
      <c r="I796" s="506"/>
      <c r="J796" s="516" cm="1">
        <f t="array" aca="1" ref="J796" ca="1">IFERROR(_xlfn.LET(_xlpm.produto,TRIM(F796)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96" s="516" cm="1">
        <f t="array" aca="1" ref="K796" ca="1">IFERROR(_xlfn.LET(_xlpm.produto,TRIM(G796)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96" s="516" cm="1">
        <f t="array" aca="1" ref="L796" ca="1">IFERROR(_xlfn.LET(_xlpm.produto,TRIM(H796)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96" s="516" cm="1">
        <f t="array" aca="1" ref="M796" ca="1">IFERROR(_xlfn.LET(_xlpm.produto,TRIM(H796)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96" s="557"/>
      <c r="O796" s="557"/>
      <c r="P796" s="557"/>
    </row>
    <row r="797" spans="3:18" ht="15.75" thickBot="1" x14ac:dyDescent="0.3">
      <c r="C797" s="530" t="s">
        <v>1938</v>
      </c>
      <c r="D797" s="451">
        <f t="shared" si="158"/>
        <v>46203</v>
      </c>
      <c r="E797" s="459" t="s">
        <v>584</v>
      </c>
      <c r="F797" s="493"/>
      <c r="G797" s="493"/>
      <c r="H797" s="493"/>
      <c r="I797" s="493"/>
      <c r="J797" s="513" cm="1">
        <f t="array" aca="1" ref="J797" ca="1">IFERROR(_xlfn.LET(_xlpm.produto,TRIM(F797)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97" s="513" cm="1">
        <f t="array" aca="1" ref="K797" ca="1">IFERROR(_xlfn.LET(_xlpm.produto,TRIM(G797)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97" s="516" cm="1">
        <f t="array" aca="1" ref="L797" ca="1">IFERROR(_xlfn.LET(_xlpm.produto,TRIM(H797)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797" s="513" cm="1">
        <f t="array" aca="1" ref="M797" ca="1">IFERROR(_xlfn.LET(_xlpm.produto,TRIM(H797)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797" s="558"/>
      <c r="O797" s="558"/>
      <c r="P797" s="558"/>
    </row>
    <row r="798" spans="3:18" ht="15.75" thickBot="1" x14ac:dyDescent="0.3"/>
    <row r="799" spans="3:18" ht="15.75" thickBot="1" x14ac:dyDescent="0.3">
      <c r="C799" s="546">
        <f ca="1">SUM(J727:M727,J745:M745,J763:M763,J781:M781,J799:M799)</f>
        <v>49280</v>
      </c>
      <c r="D799" s="547">
        <f ca="1">SUM(R799,R781,R763,R745,R727)</f>
        <v>24363.3</v>
      </c>
      <c r="E799" s="539"/>
      <c r="F799" s="539"/>
      <c r="G799" s="539"/>
      <c r="H799" s="539"/>
      <c r="I799" s="539"/>
      <c r="J799" s="606">
        <f t="shared" ref="J799:P799" ca="1" si="159">_xlfn.AGGREGATE(9,6,J800:J815)</f>
        <v>7620</v>
      </c>
      <c r="K799" s="607">
        <f t="shared" ca="1" si="159"/>
        <v>6480</v>
      </c>
      <c r="L799" s="607">
        <f t="shared" ca="1" si="159"/>
        <v>5670</v>
      </c>
      <c r="M799" s="544">
        <f t="shared" ca="1" si="159"/>
        <v>0</v>
      </c>
      <c r="N799" s="560">
        <f t="shared" si="159"/>
        <v>3096</v>
      </c>
      <c r="O799" s="561">
        <f t="shared" si="159"/>
        <v>5508</v>
      </c>
      <c r="P799" s="562">
        <f t="shared" si="159"/>
        <v>0</v>
      </c>
      <c r="Q799" s="548">
        <f ca="1">SUM(J799:M799)</f>
        <v>19770</v>
      </c>
      <c r="R799" s="549">
        <f>SUM(N799:P799)</f>
        <v>8604</v>
      </c>
    </row>
    <row r="800" spans="3:18" x14ac:dyDescent="0.25">
      <c r="C800" s="529" t="s">
        <v>1832</v>
      </c>
      <c r="D800" s="447">
        <f>D797+1</f>
        <v>46204</v>
      </c>
      <c r="E800" s="498" t="s">
        <v>573</v>
      </c>
      <c r="F800" s="514"/>
      <c r="G800" s="514"/>
      <c r="H800" s="514"/>
      <c r="I800" s="724"/>
      <c r="J800" s="537"/>
      <c r="K800" s="537"/>
      <c r="L800" s="537"/>
      <c r="M800" s="537"/>
      <c r="N800" s="563"/>
      <c r="O800" s="563"/>
      <c r="P800" s="563"/>
    </row>
    <row r="801" spans="3:16" x14ac:dyDescent="0.25">
      <c r="C801" s="452" t="s">
        <v>1832</v>
      </c>
      <c r="D801" s="453">
        <f t="shared" ref="D801:D815" si="160">D800</f>
        <v>46204</v>
      </c>
      <c r="E801" s="500" t="s">
        <v>162</v>
      </c>
      <c r="F801" s="460" t="s">
        <v>1765</v>
      </c>
      <c r="G801" s="460" t="s">
        <v>1963</v>
      </c>
      <c r="H801" s="460" t="s">
        <v>1966</v>
      </c>
      <c r="I801" s="460"/>
      <c r="J801" s="540">
        <v>860</v>
      </c>
      <c r="K801" s="540">
        <v>720</v>
      </c>
      <c r="L801" s="540">
        <v>630</v>
      </c>
      <c r="M801" s="545"/>
      <c r="N801" s="555">
        <f>J801*INDEX([2]Pedidos!$Q:$Q,MATCH(F801,[2]Pedidos!$E:$E,0))</f>
        <v>1032</v>
      </c>
      <c r="O801" s="564">
        <f>K801*INDEX([2]Pedidos!$Q:$Q,MATCH(G801,[2]Pedidos!$E:$E,0))</f>
        <v>612</v>
      </c>
      <c r="P801" s="555">
        <f>M801*INDEX([2]Pedidos!$Q:$Q,MATCH(H801,[2]Pedidos!$E:$E,0))</f>
        <v>0</v>
      </c>
    </row>
    <row r="802" spans="3:16" x14ac:dyDescent="0.25">
      <c r="C802" s="452" t="s">
        <v>1832</v>
      </c>
      <c r="D802" s="453">
        <f t="shared" si="160"/>
        <v>46204</v>
      </c>
      <c r="E802" s="454" t="s">
        <v>163</v>
      </c>
      <c r="F802" s="460" t="s">
        <v>1765</v>
      </c>
      <c r="G802" s="460" t="s">
        <v>1963</v>
      </c>
      <c r="H802" s="460" t="s">
        <v>1966</v>
      </c>
      <c r="I802" s="460"/>
      <c r="J802" s="540">
        <v>860</v>
      </c>
      <c r="K802" s="540">
        <v>720</v>
      </c>
      <c r="L802" s="540">
        <v>630</v>
      </c>
      <c r="M802" s="545"/>
      <c r="N802" s="564">
        <f>J802*INDEX([2]Pedidos!$Q:$Q,MATCH(F802,[2]Pedidos!$E:$E,0))</f>
        <v>1032</v>
      </c>
      <c r="O802" s="564">
        <f>K802*INDEX([2]Pedidos!$Q:$Q,MATCH(G802,[2]Pedidos!$E:$E,0))</f>
        <v>612</v>
      </c>
      <c r="P802" s="564">
        <f>M802*INDEX([2]Pedidos!$Q:$Q,MATCH(H802,[2]Pedidos!$E:$E,0))</f>
        <v>0</v>
      </c>
    </row>
    <row r="803" spans="3:16" x14ac:dyDescent="0.25">
      <c r="C803" s="452" t="s">
        <v>1832</v>
      </c>
      <c r="D803" s="453">
        <f t="shared" si="160"/>
        <v>46204</v>
      </c>
      <c r="E803" s="454" t="s">
        <v>164</v>
      </c>
      <c r="F803" s="460" t="s">
        <v>1765</v>
      </c>
      <c r="G803" s="460" t="s">
        <v>1963</v>
      </c>
      <c r="H803" s="460" t="s">
        <v>1966</v>
      </c>
      <c r="I803" s="460"/>
      <c r="J803" s="540">
        <v>860</v>
      </c>
      <c r="K803" s="540">
        <v>720</v>
      </c>
      <c r="L803" s="540">
        <v>630</v>
      </c>
      <c r="M803" s="545"/>
      <c r="N803" s="564">
        <f>J803*INDEX([2]Pedidos!$Q:$Q,MATCH(F803,[2]Pedidos!$E:$E,0))</f>
        <v>1032</v>
      </c>
      <c r="O803" s="564">
        <f>K803*INDEX([2]Pedidos!$Q:$Q,MATCH(G803,[2]Pedidos!$E:$E,0))</f>
        <v>612</v>
      </c>
      <c r="P803" s="564">
        <f>M803*INDEX([2]Pedidos!$Q:$Q,MATCH(H803,[2]Pedidos!$E:$E,0))</f>
        <v>0</v>
      </c>
    </row>
    <row r="804" spans="3:16" x14ac:dyDescent="0.25">
      <c r="C804" s="452" t="s">
        <v>1832</v>
      </c>
      <c r="D804" s="453">
        <f t="shared" si="160"/>
        <v>46204</v>
      </c>
      <c r="E804" s="454" t="s">
        <v>165</v>
      </c>
      <c r="F804" s="460" t="s">
        <v>1859</v>
      </c>
      <c r="G804" s="460" t="s">
        <v>1963</v>
      </c>
      <c r="H804" s="460" t="s">
        <v>1966</v>
      </c>
      <c r="I804" s="460"/>
      <c r="J804" s="540">
        <v>840</v>
      </c>
      <c r="K804" s="540">
        <v>720</v>
      </c>
      <c r="L804" s="540">
        <v>630</v>
      </c>
      <c r="M804" s="545"/>
      <c r="N804" s="564" t="e">
        <f>J804*INDEX([2]Pedidos!$Q:$Q,MATCH(F804,[2]Pedidos!$E:$E,0))</f>
        <v>#N/A</v>
      </c>
      <c r="O804" s="564">
        <f>K804*INDEX([2]Pedidos!$Q:$Q,MATCH(G804,[2]Pedidos!$E:$E,0))</f>
        <v>612</v>
      </c>
      <c r="P804" s="564">
        <f>M804*INDEX([2]Pedidos!$Q:$Q,MATCH(H804,[2]Pedidos!$E:$E,0))</f>
        <v>0</v>
      </c>
    </row>
    <row r="805" spans="3:16" x14ac:dyDescent="0.25">
      <c r="C805" s="452" t="s">
        <v>1832</v>
      </c>
      <c r="D805" s="453">
        <f t="shared" si="160"/>
        <v>46204</v>
      </c>
      <c r="E805" s="454" t="s">
        <v>166</v>
      </c>
      <c r="F805" s="460" t="s">
        <v>1859</v>
      </c>
      <c r="G805" s="460" t="s">
        <v>1963</v>
      </c>
      <c r="H805" s="460" t="s">
        <v>1966</v>
      </c>
      <c r="I805" s="460"/>
      <c r="J805" s="540">
        <v>840</v>
      </c>
      <c r="K805" s="540">
        <v>720</v>
      </c>
      <c r="L805" s="540">
        <v>630</v>
      </c>
      <c r="M805" s="545"/>
      <c r="N805" s="564" t="e">
        <f>J805*INDEX([2]Pedidos!$Q:$Q,MATCH(F805,[2]Pedidos!$E:$E,0))</f>
        <v>#N/A</v>
      </c>
      <c r="O805" s="564">
        <f>K805*INDEX([2]Pedidos!$Q:$Q,MATCH(G805,[2]Pedidos!$E:$E,0))</f>
        <v>612</v>
      </c>
      <c r="P805" s="564">
        <f>M805*INDEX([2]Pedidos!$Q:$Q,MATCH(H805,[2]Pedidos!$E:$E,0))</f>
        <v>0</v>
      </c>
    </row>
    <row r="806" spans="3:16" x14ac:dyDescent="0.25">
      <c r="C806" s="452" t="s">
        <v>1832</v>
      </c>
      <c r="D806" s="453">
        <f t="shared" si="160"/>
        <v>46204</v>
      </c>
      <c r="E806" s="454" t="s">
        <v>576</v>
      </c>
      <c r="F806" s="512"/>
      <c r="G806" s="512"/>
      <c r="H806" s="512"/>
      <c r="I806" s="512"/>
      <c r="J806" s="541" cm="1">
        <f t="array" aca="1" ref="J806" ca="1">IFERROR(_xlfn.LET(_xlpm.produto,TRIM(F806)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06" s="541" cm="1">
        <f t="array" aca="1" ref="K806" ca="1">IFERROR(_xlfn.LET(_xlpm.produto,TRIM(G806)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06" s="541" cm="1">
        <f t="array" aca="1" ref="L806" ca="1">IFERROR(_xlfn.LET(_xlpm.produto,TRIM(H806)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06" s="541" cm="1">
        <f t="array" aca="1" ref="M806" ca="1">IFERROR(_xlfn.LET(_xlpm.produto,TRIM(H806)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06" s="556"/>
      <c r="O806" s="556"/>
      <c r="P806" s="556"/>
    </row>
    <row r="807" spans="3:16" x14ac:dyDescent="0.25">
      <c r="C807" s="452" t="s">
        <v>1832</v>
      </c>
      <c r="D807" s="449">
        <f t="shared" si="160"/>
        <v>46204</v>
      </c>
      <c r="E807" s="454" t="s">
        <v>167</v>
      </c>
      <c r="F807" s="460" t="s">
        <v>1859</v>
      </c>
      <c r="G807" s="460" t="s">
        <v>1963</v>
      </c>
      <c r="H807" s="460" t="s">
        <v>1968</v>
      </c>
      <c r="I807" s="460"/>
      <c r="J807" s="540">
        <v>840</v>
      </c>
      <c r="K807" s="540">
        <v>720</v>
      </c>
      <c r="L807" s="540">
        <v>630</v>
      </c>
      <c r="M807" s="545"/>
      <c r="N807" s="565" t="e">
        <f>J807*INDEX([2]Pedidos!$Q:$Q,MATCH(F807,[2]Pedidos!$E:$E,0))</f>
        <v>#N/A</v>
      </c>
      <c r="O807" s="564">
        <f>K807*INDEX([2]Pedidos!$Q:$Q,MATCH(G807,[2]Pedidos!$E:$E,0))</f>
        <v>612</v>
      </c>
      <c r="P807" s="565">
        <f>M807*INDEX([2]Pedidos!$Q:$Q,MATCH(H807,[2]Pedidos!$E:$E,0))</f>
        <v>0</v>
      </c>
    </row>
    <row r="808" spans="3:16" x14ac:dyDescent="0.25">
      <c r="C808" s="452" t="s">
        <v>1832</v>
      </c>
      <c r="D808" s="449">
        <f t="shared" si="160"/>
        <v>46204</v>
      </c>
      <c r="E808" s="454" t="s">
        <v>168</v>
      </c>
      <c r="F808" s="460" t="s">
        <v>1859</v>
      </c>
      <c r="G808" s="460" t="s">
        <v>1963</v>
      </c>
      <c r="H808" s="460" t="s">
        <v>1968</v>
      </c>
      <c r="I808" s="460"/>
      <c r="J808" s="540">
        <v>840</v>
      </c>
      <c r="K808" s="540">
        <v>720</v>
      </c>
      <c r="L808" s="540">
        <v>630</v>
      </c>
      <c r="M808" s="545"/>
      <c r="N808" s="565" t="e">
        <f>J808*INDEX([2]Pedidos!$Q:$Q,MATCH(F808,[2]Pedidos!$E:$E,0))</f>
        <v>#N/A</v>
      </c>
      <c r="O808" s="564">
        <f>K808*INDEX([2]Pedidos!$Q:$Q,MATCH(G808,[2]Pedidos!$E:$E,0))</f>
        <v>612</v>
      </c>
      <c r="P808" s="565">
        <f>M808*INDEX([2]Pedidos!$Q:$Q,MATCH(H808,[2]Pedidos!$E:$E,0))</f>
        <v>0</v>
      </c>
    </row>
    <row r="809" spans="3:16" x14ac:dyDescent="0.25">
      <c r="C809" s="452" t="s">
        <v>1832</v>
      </c>
      <c r="D809" s="449">
        <f t="shared" si="160"/>
        <v>46204</v>
      </c>
      <c r="E809" s="454" t="s">
        <v>169</v>
      </c>
      <c r="F809" s="460" t="s">
        <v>1859</v>
      </c>
      <c r="G809" s="460" t="s">
        <v>1963</v>
      </c>
      <c r="H809" s="460" t="s">
        <v>1968</v>
      </c>
      <c r="I809" s="460"/>
      <c r="J809" s="540">
        <v>840</v>
      </c>
      <c r="K809" s="540">
        <v>720</v>
      </c>
      <c r="L809" s="540">
        <v>630</v>
      </c>
      <c r="M809" s="545"/>
      <c r="N809" s="565" t="e">
        <f>J809*INDEX([2]Pedidos!$Q:$Q,MATCH(F809,[2]Pedidos!$E:$E,0))</f>
        <v>#N/A</v>
      </c>
      <c r="O809" s="564">
        <f>K809*INDEX([2]Pedidos!$Q:$Q,MATCH(G809,[2]Pedidos!$E:$E,0))</f>
        <v>612</v>
      </c>
      <c r="P809" s="565">
        <f>M809*INDEX([2]Pedidos!$Q:$Q,MATCH(H809,[2]Pedidos!$E:$E,0))</f>
        <v>0</v>
      </c>
    </row>
    <row r="810" spans="3:16" x14ac:dyDescent="0.25">
      <c r="C810" s="452" t="s">
        <v>1832</v>
      </c>
      <c r="D810" s="449">
        <f t="shared" si="160"/>
        <v>46204</v>
      </c>
      <c r="E810" s="454" t="s">
        <v>170</v>
      </c>
      <c r="F810" s="460" t="s">
        <v>1859</v>
      </c>
      <c r="G810" s="460" t="s">
        <v>1963</v>
      </c>
      <c r="H810" s="460" t="s">
        <v>1968</v>
      </c>
      <c r="I810" s="460"/>
      <c r="J810" s="540">
        <v>840</v>
      </c>
      <c r="K810" s="540">
        <v>720</v>
      </c>
      <c r="L810" s="540">
        <v>630</v>
      </c>
      <c r="M810" s="545"/>
      <c r="N810" s="566" t="e">
        <f>J810*INDEX([2]Pedidos!$Q:$Q,MATCH(F810,[2]Pedidos!$E:$E,0))</f>
        <v>#N/A</v>
      </c>
      <c r="O810" s="564">
        <f>K810*INDEX([2]Pedidos!$Q:$Q,MATCH(G810,[2]Pedidos!$E:$E,0))</f>
        <v>612</v>
      </c>
      <c r="P810" s="566">
        <f>M810*INDEX([2]Pedidos!$Q:$Q,MATCH(H810,[2]Pedidos!$E:$E,0))</f>
        <v>0</v>
      </c>
    </row>
    <row r="811" spans="3:16" x14ac:dyDescent="0.25">
      <c r="C811" s="452" t="s">
        <v>1832</v>
      </c>
      <c r="D811" s="449">
        <f t="shared" si="160"/>
        <v>46204</v>
      </c>
      <c r="E811" s="454" t="s">
        <v>585</v>
      </c>
      <c r="F811" s="505"/>
      <c r="G811" s="505"/>
      <c r="H811" s="505"/>
      <c r="I811" s="724"/>
      <c r="J811" s="516" cm="1">
        <f t="array" aca="1" ref="J811" ca="1">IFERROR(_xlfn.LET(_xlpm.produto,TRIM(F811)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11" s="516" cm="1">
        <f t="array" aca="1" ref="K811" ca="1">IFERROR(_xlfn.LET(_xlpm.produto,TRIM(G811)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11" s="516" cm="1">
        <f t="array" aca="1" ref="L811" ca="1">IFERROR(_xlfn.LET(_xlpm.produto,TRIM(G811)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11" s="516" cm="1">
        <f t="array" aca="1" ref="M811" ca="1">IFERROR(_xlfn.LET(_xlpm.produto,TRIM(H811)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11" s="557"/>
      <c r="O811" s="557"/>
      <c r="P811" s="557"/>
    </row>
    <row r="812" spans="3:16" x14ac:dyDescent="0.25">
      <c r="C812" s="452" t="s">
        <v>1832</v>
      </c>
      <c r="D812" s="449">
        <f t="shared" si="160"/>
        <v>46204</v>
      </c>
      <c r="E812" s="455" t="s">
        <v>574</v>
      </c>
      <c r="F812" s="505"/>
      <c r="G812" s="505"/>
      <c r="H812" s="505"/>
      <c r="I812" s="506"/>
      <c r="J812" s="516" cm="1">
        <f t="array" aca="1" ref="J812" ca="1">IFERROR(_xlfn.LET(_xlpm.produto,TRIM(F812)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12" s="516" cm="1">
        <f t="array" aca="1" ref="K812" ca="1">IFERROR(_xlfn.LET(_xlpm.produto,TRIM(G812)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12" s="516" cm="1">
        <f t="array" aca="1" ref="L812" ca="1">IFERROR(_xlfn.LET(_xlpm.produto,TRIM(G812)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12" s="516" cm="1">
        <f t="array" aca="1" ref="M812" ca="1">IFERROR(_xlfn.LET(_xlpm.produto,TRIM(H812)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12" s="557"/>
      <c r="O812" s="557"/>
      <c r="P812" s="557"/>
    </row>
    <row r="813" spans="3:16" x14ac:dyDescent="0.25">
      <c r="C813" s="452" t="s">
        <v>1832</v>
      </c>
      <c r="D813" s="449">
        <f t="shared" si="160"/>
        <v>46204</v>
      </c>
      <c r="E813" s="455" t="s">
        <v>575</v>
      </c>
      <c r="F813" s="506"/>
      <c r="G813" s="506"/>
      <c r="H813" s="506"/>
      <c r="I813" s="506"/>
      <c r="J813" s="516" cm="1">
        <f t="array" aca="1" ref="J813" ca="1">IFERROR(_xlfn.LET(_xlpm.produto,TRIM(F813)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13" s="516" cm="1">
        <f t="array" aca="1" ref="K813" ca="1">IFERROR(_xlfn.LET(_xlpm.produto,TRIM(G813)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13" s="516" cm="1">
        <f t="array" aca="1" ref="L813" ca="1">IFERROR(_xlfn.LET(_xlpm.produto,TRIM(G813)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13" s="516" cm="1">
        <f t="array" aca="1" ref="M813" ca="1">IFERROR(_xlfn.LET(_xlpm.produto,TRIM(H813)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13" s="557"/>
      <c r="O813" s="557"/>
      <c r="P813" s="557"/>
    </row>
    <row r="814" spans="3:16" x14ac:dyDescent="0.25">
      <c r="C814" s="452" t="s">
        <v>1832</v>
      </c>
      <c r="D814" s="502">
        <f t="shared" si="160"/>
        <v>46204</v>
      </c>
      <c r="E814" s="503" t="s">
        <v>583</v>
      </c>
      <c r="F814" s="506"/>
      <c r="G814" s="506"/>
      <c r="H814" s="506"/>
      <c r="I814" s="506"/>
      <c r="J814" s="516" cm="1">
        <f t="array" aca="1" ref="J814" ca="1">IFERROR(_xlfn.LET(_xlpm.produto,TRIM(F814)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14" s="516" cm="1">
        <f t="array" aca="1" ref="K814" ca="1">IFERROR(_xlfn.LET(_xlpm.produto,TRIM(G814)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14" s="516" cm="1">
        <f t="array" aca="1" ref="L814" ca="1">IFERROR(_xlfn.LET(_xlpm.produto,TRIM(G814)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14" s="516" cm="1">
        <f t="array" aca="1" ref="M814" ca="1">IFERROR(_xlfn.LET(_xlpm.produto,TRIM(H814)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14" s="557"/>
      <c r="O814" s="557"/>
      <c r="P814" s="557"/>
    </row>
    <row r="815" spans="3:16" ht="15.75" thickBot="1" x14ac:dyDescent="0.3">
      <c r="C815" s="530" t="s">
        <v>1832</v>
      </c>
      <c r="D815" s="451">
        <f t="shared" si="160"/>
        <v>46204</v>
      </c>
      <c r="E815" s="459" t="s">
        <v>584</v>
      </c>
      <c r="F815" s="493"/>
      <c r="G815" s="493"/>
      <c r="H815" s="493"/>
      <c r="I815" s="493"/>
      <c r="J815" s="513" cm="1">
        <f t="array" aca="1" ref="J815" ca="1">IFERROR(_xlfn.LET(_xlpm.produto,TRIM(F815)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15" s="513" cm="1">
        <f t="array" aca="1" ref="K815" ca="1">IFERROR(_xlfn.LET(_xlpm.produto,TRIM(G815)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15" s="516" cm="1">
        <f t="array" aca="1" ref="L815" ca="1">IFERROR(_xlfn.LET(_xlpm.produto,TRIM(G815)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15" s="513" cm="1">
        <f t="array" aca="1" ref="M815" ca="1">IFERROR(_xlfn.LET(_xlpm.produto,TRIM(H815)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15" s="558"/>
      <c r="O815" s="558"/>
      <c r="P815" s="558"/>
    </row>
    <row r="816" spans="3:16" ht="15.75" thickBot="1" x14ac:dyDescent="0.3"/>
    <row r="817" spans="3:18" ht="15.75" thickBot="1" x14ac:dyDescent="0.3">
      <c r="C817" s="546">
        <f ca="1">SUM(J745:M745,J763:M763,J781:M781,J799:M799,J817:M817)</f>
        <v>60050</v>
      </c>
      <c r="D817" s="547">
        <f ca="1">SUM(R817,R799,R781,R763,R745)</f>
        <v>26199.3</v>
      </c>
      <c r="E817" s="539"/>
      <c r="F817" s="539"/>
      <c r="G817" s="539"/>
      <c r="H817" s="539"/>
      <c r="I817" s="539"/>
      <c r="J817" s="606">
        <f t="shared" ref="J817:P817" ca="1" si="161">_xlfn.AGGREGATE(9,6,J818:J833)</f>
        <v>6720</v>
      </c>
      <c r="K817" s="607">
        <f t="shared" ca="1" si="161"/>
        <v>2160</v>
      </c>
      <c r="L817" s="607">
        <f t="shared" ca="1" si="161"/>
        <v>1890</v>
      </c>
      <c r="M817" s="544">
        <f t="shared" ca="1" si="161"/>
        <v>0</v>
      </c>
      <c r="N817" s="560">
        <f t="shared" si="161"/>
        <v>0</v>
      </c>
      <c r="O817" s="561">
        <f t="shared" si="161"/>
        <v>1836</v>
      </c>
      <c r="P817" s="562">
        <f t="shared" si="161"/>
        <v>0</v>
      </c>
      <c r="Q817" s="548">
        <f ca="1">SUM(J817:M817)</f>
        <v>10770</v>
      </c>
      <c r="R817" s="549">
        <f>SUM(N817:P817)</f>
        <v>1836</v>
      </c>
    </row>
    <row r="818" spans="3:18" x14ac:dyDescent="0.25">
      <c r="C818" s="529" t="s">
        <v>1825</v>
      </c>
      <c r="D818" s="447">
        <f>D815+1</f>
        <v>46205</v>
      </c>
      <c r="E818" s="498" t="s">
        <v>573</v>
      </c>
      <c r="F818" s="514"/>
      <c r="G818" s="514"/>
      <c r="H818" s="514"/>
      <c r="I818" s="724"/>
      <c r="J818" s="537"/>
      <c r="K818" s="537"/>
      <c r="L818" s="537"/>
      <c r="M818" s="537"/>
      <c r="N818" s="563"/>
      <c r="O818" s="563"/>
      <c r="P818" s="563"/>
    </row>
    <row r="819" spans="3:18" x14ac:dyDescent="0.25">
      <c r="C819" s="452" t="s">
        <v>1825</v>
      </c>
      <c r="D819" s="453">
        <f t="shared" ref="D819:D833" si="162">D818</f>
        <v>46205</v>
      </c>
      <c r="E819" s="500" t="s">
        <v>162</v>
      </c>
      <c r="F819" s="460" t="s">
        <v>1859</v>
      </c>
      <c r="G819" s="460" t="s">
        <v>1963</v>
      </c>
      <c r="H819" s="460" t="s">
        <v>1968</v>
      </c>
      <c r="I819" s="460"/>
      <c r="J819" s="540">
        <v>840</v>
      </c>
      <c r="K819" s="540">
        <v>720</v>
      </c>
      <c r="L819" s="540">
        <v>630</v>
      </c>
      <c r="M819" s="545"/>
      <c r="N819" s="555" t="e">
        <f>J819*INDEX([2]Pedidos!$Q:$Q,MATCH(F819,[2]Pedidos!$E:$E,0))</f>
        <v>#N/A</v>
      </c>
      <c r="O819" s="564">
        <f>K819*INDEX([2]Pedidos!$Q:$Q,MATCH(G819,[2]Pedidos!$E:$E,0))</f>
        <v>612</v>
      </c>
      <c r="P819" s="555">
        <f>M819*INDEX([2]Pedidos!$Q:$Q,MATCH(H819,[2]Pedidos!$E:$E,0))</f>
        <v>0</v>
      </c>
    </row>
    <row r="820" spans="3:18" x14ac:dyDescent="0.25">
      <c r="C820" s="452" t="s">
        <v>1825</v>
      </c>
      <c r="D820" s="453">
        <f t="shared" si="162"/>
        <v>46205</v>
      </c>
      <c r="E820" s="454" t="s">
        <v>163</v>
      </c>
      <c r="F820" s="460" t="s">
        <v>1859</v>
      </c>
      <c r="G820" s="460" t="s">
        <v>1963</v>
      </c>
      <c r="H820" s="460" t="s">
        <v>1968</v>
      </c>
      <c r="I820" s="460"/>
      <c r="J820" s="540">
        <v>840</v>
      </c>
      <c r="K820" s="540">
        <v>720</v>
      </c>
      <c r="L820" s="540">
        <v>630</v>
      </c>
      <c r="M820" s="545"/>
      <c r="N820" s="564" t="e">
        <f>J820*INDEX([2]Pedidos!$Q:$Q,MATCH(F820,[2]Pedidos!$E:$E,0))</f>
        <v>#N/A</v>
      </c>
      <c r="O820" s="564">
        <f>K820*INDEX([2]Pedidos!$Q:$Q,MATCH(G820,[2]Pedidos!$E:$E,0))</f>
        <v>612</v>
      </c>
      <c r="P820" s="564">
        <f>M820*INDEX([2]Pedidos!$Q:$Q,MATCH(H820,[2]Pedidos!$E:$E,0))</f>
        <v>0</v>
      </c>
    </row>
    <row r="821" spans="3:18" x14ac:dyDescent="0.25">
      <c r="C821" s="452" t="s">
        <v>1825</v>
      </c>
      <c r="D821" s="453">
        <f t="shared" si="162"/>
        <v>46205</v>
      </c>
      <c r="E821" s="454" t="s">
        <v>164</v>
      </c>
      <c r="F821" s="460" t="s">
        <v>1859</v>
      </c>
      <c r="G821" s="460" t="s">
        <v>1963</v>
      </c>
      <c r="H821" s="460" t="s">
        <v>1968</v>
      </c>
      <c r="I821" s="460"/>
      <c r="J821" s="540">
        <v>840</v>
      </c>
      <c r="K821" s="540">
        <v>720</v>
      </c>
      <c r="L821" s="540">
        <v>630</v>
      </c>
      <c r="M821" s="545"/>
      <c r="N821" s="564" t="e">
        <f>J821*INDEX([2]Pedidos!$Q:$Q,MATCH(F821,[2]Pedidos!$E:$E,0))</f>
        <v>#N/A</v>
      </c>
      <c r="O821" s="564">
        <f>K821*INDEX([2]Pedidos!$Q:$Q,MATCH(G821,[2]Pedidos!$E:$E,0))</f>
        <v>612</v>
      </c>
      <c r="P821" s="564">
        <f>M821*INDEX([2]Pedidos!$Q:$Q,MATCH(H821,[2]Pedidos!$E:$E,0))</f>
        <v>0</v>
      </c>
    </row>
    <row r="822" spans="3:18" x14ac:dyDescent="0.25">
      <c r="C822" s="452" t="s">
        <v>1825</v>
      </c>
      <c r="D822" s="453">
        <f t="shared" si="162"/>
        <v>46205</v>
      </c>
      <c r="E822" s="454" t="s">
        <v>165</v>
      </c>
      <c r="F822" s="460" t="s">
        <v>1859</v>
      </c>
      <c r="G822" s="460" t="s">
        <v>1963</v>
      </c>
      <c r="H822" s="460" t="s">
        <v>1968</v>
      </c>
      <c r="I822" s="460"/>
      <c r="J822" s="540">
        <v>840</v>
      </c>
      <c r="K822" s="540"/>
      <c r="L822" s="540"/>
      <c r="M822" s="545"/>
      <c r="N822" s="564" t="e">
        <f>J822*INDEX([2]Pedidos!$Q:$Q,MATCH(F822,[2]Pedidos!$E:$E,0))</f>
        <v>#N/A</v>
      </c>
      <c r="O822" s="564">
        <f>K822*INDEX([2]Pedidos!$Q:$Q,MATCH(G822,[2]Pedidos!$E:$E,0))</f>
        <v>0</v>
      </c>
      <c r="P822" s="564">
        <f>M822*INDEX([2]Pedidos!$Q:$Q,MATCH(H822,[2]Pedidos!$E:$E,0))</f>
        <v>0</v>
      </c>
    </row>
    <row r="823" spans="3:18" x14ac:dyDescent="0.25">
      <c r="C823" s="452" t="s">
        <v>1825</v>
      </c>
      <c r="D823" s="453">
        <f t="shared" si="162"/>
        <v>46205</v>
      </c>
      <c r="E823" s="454" t="s">
        <v>166</v>
      </c>
      <c r="F823" s="460" t="s">
        <v>1859</v>
      </c>
      <c r="G823" s="460" t="s">
        <v>1963</v>
      </c>
      <c r="H823" s="460" t="s">
        <v>1968</v>
      </c>
      <c r="I823" s="460"/>
      <c r="J823" s="540">
        <v>840</v>
      </c>
      <c r="K823" s="540"/>
      <c r="L823" s="540"/>
      <c r="M823" s="545"/>
      <c r="N823" s="564" t="e">
        <f>J823*INDEX([2]Pedidos!$Q:$Q,MATCH(F823,[2]Pedidos!$E:$E,0))</f>
        <v>#N/A</v>
      </c>
      <c r="O823" s="564">
        <f>K823*INDEX([2]Pedidos!$Q:$Q,MATCH(G823,[2]Pedidos!$E:$E,0))</f>
        <v>0</v>
      </c>
      <c r="P823" s="564">
        <f>M823*INDEX([2]Pedidos!$Q:$Q,MATCH(H823,[2]Pedidos!$E:$E,0))</f>
        <v>0</v>
      </c>
    </row>
    <row r="824" spans="3:18" x14ac:dyDescent="0.25">
      <c r="C824" s="452" t="s">
        <v>1825</v>
      </c>
      <c r="D824" s="453">
        <f t="shared" si="162"/>
        <v>46205</v>
      </c>
      <c r="E824" s="454" t="s">
        <v>576</v>
      </c>
      <c r="F824" s="512"/>
      <c r="G824" s="512"/>
      <c r="H824" s="512"/>
      <c r="I824" s="512"/>
      <c r="J824" s="541" cm="1">
        <f t="array" aca="1" ref="J824" ca="1">IFERROR(_xlfn.LET(_xlpm.produto,TRIM(F824)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24" s="541" cm="1">
        <f t="array" aca="1" ref="K824" ca="1">IFERROR(_xlfn.LET(_xlpm.produto,TRIM(G824)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24" s="541" cm="1">
        <f t="array" aca="1" ref="L824" ca="1">IFERROR(_xlfn.LET(_xlpm.produto,TRIM(H824)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24" s="541" cm="1">
        <f t="array" aca="1" ref="M824" ca="1">IFERROR(_xlfn.LET(_xlpm.produto,TRIM(H824)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24" s="556"/>
      <c r="O824" s="556"/>
      <c r="P824" s="556"/>
    </row>
    <row r="825" spans="3:18" x14ac:dyDescent="0.25">
      <c r="C825" s="452" t="s">
        <v>1825</v>
      </c>
      <c r="D825" s="449">
        <f t="shared" si="162"/>
        <v>46205</v>
      </c>
      <c r="E825" s="454" t="s">
        <v>167</v>
      </c>
      <c r="F825" s="460"/>
      <c r="G825" s="460" t="s">
        <v>1963</v>
      </c>
      <c r="H825" s="460" t="s">
        <v>1968</v>
      </c>
      <c r="I825" s="460"/>
      <c r="J825" s="540">
        <v>630</v>
      </c>
      <c r="K825" s="540"/>
      <c r="L825" s="540"/>
      <c r="M825" s="545"/>
      <c r="N825" s="565" t="e">
        <f>J825*INDEX([2]Pedidos!$Q:$Q,MATCH(F825,[2]Pedidos!$E:$E,0))</f>
        <v>#N/A</v>
      </c>
      <c r="O825" s="564">
        <f>K825*INDEX([2]Pedidos!$Q:$Q,MATCH(G825,[2]Pedidos!$E:$E,0))</f>
        <v>0</v>
      </c>
      <c r="P825" s="565">
        <f>M825*INDEX([2]Pedidos!$Q:$Q,MATCH(H825,[2]Pedidos!$E:$E,0))</f>
        <v>0</v>
      </c>
    </row>
    <row r="826" spans="3:18" x14ac:dyDescent="0.25">
      <c r="C826" s="452" t="s">
        <v>1825</v>
      </c>
      <c r="D826" s="449">
        <f t="shared" si="162"/>
        <v>46205</v>
      </c>
      <c r="E826" s="454" t="s">
        <v>168</v>
      </c>
      <c r="F826" s="460"/>
      <c r="G826" s="460" t="s">
        <v>1963</v>
      </c>
      <c r="H826" s="460" t="s">
        <v>1968</v>
      </c>
      <c r="I826" s="460"/>
      <c r="J826" s="540">
        <v>630</v>
      </c>
      <c r="K826" s="540"/>
      <c r="L826" s="540"/>
      <c r="M826" s="545"/>
      <c r="N826" s="565" t="e">
        <f>J826*INDEX([2]Pedidos!$Q:$Q,MATCH(F826,[2]Pedidos!$E:$E,0))</f>
        <v>#N/A</v>
      </c>
      <c r="O826" s="564">
        <f>K826*INDEX([2]Pedidos!$Q:$Q,MATCH(G826,[2]Pedidos!$E:$E,0))</f>
        <v>0</v>
      </c>
      <c r="P826" s="565">
        <f>M826*INDEX([2]Pedidos!$Q:$Q,MATCH(H826,[2]Pedidos!$E:$E,0))</f>
        <v>0</v>
      </c>
    </row>
    <row r="827" spans="3:18" x14ac:dyDescent="0.25">
      <c r="C827" s="452" t="s">
        <v>1825</v>
      </c>
      <c r="D827" s="449">
        <f t="shared" si="162"/>
        <v>46205</v>
      </c>
      <c r="E827" s="454" t="s">
        <v>169</v>
      </c>
      <c r="F827" s="460"/>
      <c r="G827" s="460" t="s">
        <v>1963</v>
      </c>
      <c r="H827" s="460" t="s">
        <v>1968</v>
      </c>
      <c r="I827" s="460"/>
      <c r="J827" s="540">
        <v>630</v>
      </c>
      <c r="K827" s="540"/>
      <c r="L827" s="540"/>
      <c r="M827" s="545"/>
      <c r="N827" s="565" t="e">
        <f>J827*INDEX([2]Pedidos!$Q:$Q,MATCH(F827,[2]Pedidos!$E:$E,0))</f>
        <v>#N/A</v>
      </c>
      <c r="O827" s="564">
        <f>K827*INDEX([2]Pedidos!$Q:$Q,MATCH(G827,[2]Pedidos!$E:$E,0))</f>
        <v>0</v>
      </c>
      <c r="P827" s="565">
        <f>M827*INDEX([2]Pedidos!$Q:$Q,MATCH(H827,[2]Pedidos!$E:$E,0))</f>
        <v>0</v>
      </c>
    </row>
    <row r="828" spans="3:18" x14ac:dyDescent="0.25">
      <c r="C828" s="452" t="s">
        <v>1825</v>
      </c>
      <c r="D828" s="449">
        <f t="shared" si="162"/>
        <v>46205</v>
      </c>
      <c r="E828" s="454" t="s">
        <v>170</v>
      </c>
      <c r="F828" s="460"/>
      <c r="G828" s="460" t="s">
        <v>1963</v>
      </c>
      <c r="H828" s="460" t="s">
        <v>1968</v>
      </c>
      <c r="I828" s="460"/>
      <c r="J828" s="540">
        <v>630</v>
      </c>
      <c r="K828" s="540"/>
      <c r="L828" s="540"/>
      <c r="M828" s="545"/>
      <c r="N828" s="566" t="e">
        <f>J828*INDEX([2]Pedidos!$Q:$Q,MATCH(F828,[2]Pedidos!$E:$E,0))</f>
        <v>#N/A</v>
      </c>
      <c r="O828" s="564">
        <f>K828*INDEX([2]Pedidos!$Q:$Q,MATCH(G828,[2]Pedidos!$E:$E,0))</f>
        <v>0</v>
      </c>
      <c r="P828" s="566">
        <f>M828*INDEX([2]Pedidos!$Q:$Q,MATCH(H828,[2]Pedidos!$E:$E,0))</f>
        <v>0</v>
      </c>
    </row>
    <row r="829" spans="3:18" x14ac:dyDescent="0.25">
      <c r="C829" s="452" t="s">
        <v>1825</v>
      </c>
      <c r="D829" s="449">
        <f t="shared" si="162"/>
        <v>46205</v>
      </c>
      <c r="E829" s="454" t="s">
        <v>585</v>
      </c>
      <c r="F829" s="505"/>
      <c r="G829" s="505"/>
      <c r="H829" s="505"/>
      <c r="I829" s="506"/>
      <c r="J829" s="516" cm="1">
        <f t="array" aca="1" ref="J829" ca="1">IFERROR(_xlfn.LET(_xlpm.produto,TRIM(F829)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29" s="516" cm="1">
        <f t="array" aca="1" ref="K829" ca="1">IFERROR(_xlfn.LET(_xlpm.produto,TRIM(G829)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29" s="516" cm="1">
        <f t="array" aca="1" ref="L829" ca="1">IFERROR(_xlfn.LET(_xlpm.produto,TRIM(H829)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29" s="516" cm="1">
        <f t="array" aca="1" ref="M829" ca="1">IFERROR(_xlfn.LET(_xlpm.produto,TRIM(H829)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29" s="557"/>
      <c r="O829" s="557"/>
      <c r="P829" s="557"/>
    </row>
    <row r="830" spans="3:18" x14ac:dyDescent="0.25">
      <c r="C830" s="452" t="s">
        <v>1825</v>
      </c>
      <c r="D830" s="449">
        <f t="shared" si="162"/>
        <v>46205</v>
      </c>
      <c r="E830" s="455" t="s">
        <v>574</v>
      </c>
      <c r="F830" s="505"/>
      <c r="G830" s="505"/>
      <c r="H830" s="505"/>
      <c r="I830" s="506"/>
      <c r="J830" s="516" cm="1">
        <f t="array" aca="1" ref="J830" ca="1">IFERROR(_xlfn.LET(_xlpm.produto,TRIM(F830)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30" s="516" cm="1">
        <f t="array" aca="1" ref="K830" ca="1">IFERROR(_xlfn.LET(_xlpm.produto,TRIM(G830)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30" s="516" cm="1">
        <f t="array" aca="1" ref="L830" ca="1">IFERROR(_xlfn.LET(_xlpm.produto,TRIM(H830)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30" s="516" cm="1">
        <f t="array" aca="1" ref="M830" ca="1">IFERROR(_xlfn.LET(_xlpm.produto,TRIM(H830)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30" s="557"/>
      <c r="O830" s="557"/>
      <c r="P830" s="557"/>
    </row>
    <row r="831" spans="3:18" x14ac:dyDescent="0.25">
      <c r="C831" s="452" t="s">
        <v>1825</v>
      </c>
      <c r="D831" s="449">
        <f t="shared" si="162"/>
        <v>46205</v>
      </c>
      <c r="E831" s="455" t="s">
        <v>575</v>
      </c>
      <c r="F831" s="506"/>
      <c r="G831" s="506"/>
      <c r="H831" s="506"/>
      <c r="I831" s="506"/>
      <c r="J831" s="516" cm="1">
        <f t="array" aca="1" ref="J831" ca="1">IFERROR(_xlfn.LET(_xlpm.produto,TRIM(F831)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31" s="516" cm="1">
        <f t="array" aca="1" ref="K831" ca="1">IFERROR(_xlfn.LET(_xlpm.produto,TRIM(G831)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31" s="516" cm="1">
        <f t="array" aca="1" ref="L831" ca="1">IFERROR(_xlfn.LET(_xlpm.produto,TRIM(H831)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31" s="516" cm="1">
        <f t="array" aca="1" ref="M831" ca="1">IFERROR(_xlfn.LET(_xlpm.produto,TRIM(H831)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31" s="557"/>
      <c r="O831" s="557"/>
      <c r="P831" s="557"/>
    </row>
    <row r="832" spans="3:18" x14ac:dyDescent="0.25">
      <c r="C832" s="452" t="s">
        <v>1825</v>
      </c>
      <c r="D832" s="502">
        <f t="shared" si="162"/>
        <v>46205</v>
      </c>
      <c r="E832" s="503" t="s">
        <v>583</v>
      </c>
      <c r="F832" s="506"/>
      <c r="G832" s="506"/>
      <c r="H832" s="506"/>
      <c r="I832" s="506"/>
      <c r="J832" s="516" cm="1">
        <f t="array" aca="1" ref="J832" ca="1">IFERROR(_xlfn.LET(_xlpm.produto,TRIM(F832)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32" s="516" cm="1">
        <f t="array" aca="1" ref="K832" ca="1">IFERROR(_xlfn.LET(_xlpm.produto,TRIM(G832)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32" s="516" cm="1">
        <f t="array" aca="1" ref="L832" ca="1">IFERROR(_xlfn.LET(_xlpm.produto,TRIM(H832)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32" s="516" cm="1">
        <f t="array" aca="1" ref="M832" ca="1">IFERROR(_xlfn.LET(_xlpm.produto,TRIM(H832)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32" s="557"/>
      <c r="O832" s="557"/>
      <c r="P832" s="557"/>
    </row>
    <row r="833" spans="3:18" ht="15.75" thickBot="1" x14ac:dyDescent="0.3">
      <c r="C833" s="530" t="s">
        <v>1825</v>
      </c>
      <c r="D833" s="451">
        <f t="shared" si="162"/>
        <v>46205</v>
      </c>
      <c r="E833" s="459" t="s">
        <v>584</v>
      </c>
      <c r="F833" s="493"/>
      <c r="G833" s="493"/>
      <c r="H833" s="493"/>
      <c r="I833" s="493"/>
      <c r="J833" s="513" cm="1">
        <f t="array" aca="1" ref="J833" ca="1">IFERROR(_xlfn.LET(_xlpm.produto,TRIM(F833)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33" s="513" cm="1">
        <f t="array" aca="1" ref="K833" ca="1">IFERROR(_xlfn.LET(_xlpm.produto,TRIM(G833)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33" s="516" cm="1">
        <f t="array" aca="1" ref="L833" ca="1">IFERROR(_xlfn.LET(_xlpm.produto,TRIM(H833)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33" s="513" cm="1">
        <f t="array" aca="1" ref="M833" ca="1">IFERROR(_xlfn.LET(_xlpm.produto,TRIM(H833)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33" s="558"/>
      <c r="O833" s="558"/>
      <c r="P833" s="558"/>
    </row>
    <row r="834" spans="3:18" ht="15.75" thickBot="1" x14ac:dyDescent="0.3"/>
    <row r="835" spans="3:18" ht="15.75" thickBot="1" x14ac:dyDescent="0.3">
      <c r="C835" s="546">
        <f ca="1">SUM(J763:M763,J781:M781,J799:M799,J817:M817,J835:M835)</f>
        <v>60050</v>
      </c>
      <c r="D835" s="547">
        <f ca="1">SUM(R835,R817,R799,R781,R763)</f>
        <v>26199.3</v>
      </c>
      <c r="E835" s="539"/>
      <c r="F835" s="539"/>
      <c r="G835" s="539"/>
      <c r="H835" s="539"/>
      <c r="I835" s="539"/>
      <c r="J835" s="606">
        <f t="shared" ref="J835:P835" ca="1" si="163">_xlfn.AGGREGATE(9,6,J836:J851)</f>
        <v>0</v>
      </c>
      <c r="K835" s="607">
        <f t="shared" ca="1" si="163"/>
        <v>0</v>
      </c>
      <c r="L835" s="607">
        <f t="shared" ca="1" si="163"/>
        <v>0</v>
      </c>
      <c r="M835" s="544">
        <f t="shared" ca="1" si="163"/>
        <v>0</v>
      </c>
      <c r="N835" s="560">
        <f t="shared" si="163"/>
        <v>0</v>
      </c>
      <c r="O835" s="561">
        <f t="shared" si="163"/>
        <v>0</v>
      </c>
      <c r="P835" s="562">
        <f t="shared" si="163"/>
        <v>0</v>
      </c>
      <c r="Q835" s="548">
        <f ca="1">SUM(J835:M835)</f>
        <v>0</v>
      </c>
      <c r="R835" s="549">
        <f>SUM(N835:P835)</f>
        <v>0</v>
      </c>
    </row>
    <row r="836" spans="3:18" x14ac:dyDescent="0.25">
      <c r="C836" s="529" t="s">
        <v>1826</v>
      </c>
      <c r="D836" s="447">
        <f>D833+1</f>
        <v>46206</v>
      </c>
      <c r="E836" s="498" t="s">
        <v>573</v>
      </c>
      <c r="F836" s="514"/>
      <c r="G836" s="514"/>
      <c r="H836" s="514"/>
      <c r="I836" s="724"/>
      <c r="J836" s="537"/>
      <c r="K836" s="537"/>
      <c r="L836" s="537"/>
      <c r="M836" s="537"/>
      <c r="N836" s="563"/>
      <c r="O836" s="563"/>
      <c r="P836" s="563"/>
    </row>
    <row r="837" spans="3:18" x14ac:dyDescent="0.25">
      <c r="C837" s="452" t="s">
        <v>1826</v>
      </c>
      <c r="D837" s="453">
        <f t="shared" ref="D837:D851" si="164">D836</f>
        <v>46206</v>
      </c>
      <c r="E837" s="500" t="s">
        <v>162</v>
      </c>
      <c r="F837" s="460" t="s">
        <v>1963</v>
      </c>
      <c r="G837" s="460"/>
      <c r="H837" s="460" t="s">
        <v>1966</v>
      </c>
      <c r="I837" s="460"/>
      <c r="J837" s="540"/>
      <c r="K837" s="540"/>
      <c r="L837" s="540"/>
      <c r="M837" s="545"/>
      <c r="N837" s="555">
        <f>J837*INDEX([2]Pedidos!$Q:$Q,MATCH(F837,[2]Pedidos!$E:$E,0))</f>
        <v>0</v>
      </c>
      <c r="O837" s="564" t="e">
        <f>K837*INDEX([2]Pedidos!$Q:$Q,MATCH(G837,[2]Pedidos!$E:$E,0))</f>
        <v>#N/A</v>
      </c>
      <c r="P837" s="555">
        <f>M837*INDEX([2]Pedidos!$Q:$Q,MATCH(H837,[2]Pedidos!$E:$E,0))</f>
        <v>0</v>
      </c>
    </row>
    <row r="838" spans="3:18" x14ac:dyDescent="0.25">
      <c r="C838" s="452" t="s">
        <v>1826</v>
      </c>
      <c r="D838" s="453">
        <f t="shared" si="164"/>
        <v>46206</v>
      </c>
      <c r="E838" s="454" t="s">
        <v>163</v>
      </c>
      <c r="F838" s="460" t="s">
        <v>1963</v>
      </c>
      <c r="G838" s="460"/>
      <c r="H838" s="460" t="s">
        <v>1966</v>
      </c>
      <c r="I838" s="460"/>
      <c r="J838" s="540"/>
      <c r="K838" s="540"/>
      <c r="L838" s="540"/>
      <c r="M838" s="545"/>
      <c r="N838" s="564">
        <f>J838*INDEX([2]Pedidos!$Q:$Q,MATCH(F838,[2]Pedidos!$E:$E,0))</f>
        <v>0</v>
      </c>
      <c r="O838" s="564" t="e">
        <f>K838*INDEX([2]Pedidos!$Q:$Q,MATCH(G838,[2]Pedidos!$E:$E,0))</f>
        <v>#N/A</v>
      </c>
      <c r="P838" s="564">
        <f>M838*INDEX([2]Pedidos!$Q:$Q,MATCH(H838,[2]Pedidos!$E:$E,0))</f>
        <v>0</v>
      </c>
    </row>
    <row r="839" spans="3:18" x14ac:dyDescent="0.25">
      <c r="C839" s="452" t="s">
        <v>1826</v>
      </c>
      <c r="D839" s="453">
        <f t="shared" si="164"/>
        <v>46206</v>
      </c>
      <c r="E839" s="454" t="s">
        <v>164</v>
      </c>
      <c r="F839" s="460" t="s">
        <v>1963</v>
      </c>
      <c r="G839" s="460"/>
      <c r="H839" s="460" t="s">
        <v>1966</v>
      </c>
      <c r="I839" s="460"/>
      <c r="J839" s="540"/>
      <c r="K839" s="540"/>
      <c r="L839" s="540"/>
      <c r="M839" s="545"/>
      <c r="N839" s="564">
        <f>J839*INDEX([2]Pedidos!$Q:$Q,MATCH(F839,[2]Pedidos!$E:$E,0))</f>
        <v>0</v>
      </c>
      <c r="O839" s="564" t="e">
        <f>K839*INDEX([2]Pedidos!$Q:$Q,MATCH(G839,[2]Pedidos!$E:$E,0))</f>
        <v>#N/A</v>
      </c>
      <c r="P839" s="564">
        <f>M839*INDEX([2]Pedidos!$Q:$Q,MATCH(H839,[2]Pedidos!$E:$E,0))</f>
        <v>0</v>
      </c>
    </row>
    <row r="840" spans="3:18" x14ac:dyDescent="0.25">
      <c r="C840" s="452" t="s">
        <v>1826</v>
      </c>
      <c r="D840" s="453">
        <f t="shared" si="164"/>
        <v>46206</v>
      </c>
      <c r="E840" s="454" t="s">
        <v>165</v>
      </c>
      <c r="F840" s="460" t="s">
        <v>1963</v>
      </c>
      <c r="G840" s="460"/>
      <c r="H840" s="460" t="s">
        <v>1968</v>
      </c>
      <c r="I840" s="460"/>
      <c r="J840" s="540"/>
      <c r="K840" s="540"/>
      <c r="L840" s="540"/>
      <c r="M840" s="545"/>
      <c r="N840" s="564">
        <f>J840*INDEX([2]Pedidos!$Q:$Q,MATCH(F840,[2]Pedidos!$E:$E,0))</f>
        <v>0</v>
      </c>
      <c r="O840" s="564" t="e">
        <f>K840*INDEX([2]Pedidos!$Q:$Q,MATCH(G840,[2]Pedidos!$E:$E,0))</f>
        <v>#N/A</v>
      </c>
      <c r="P840" s="564">
        <f>M840*INDEX([2]Pedidos!$Q:$Q,MATCH(H840,[2]Pedidos!$E:$E,0))</f>
        <v>0</v>
      </c>
    </row>
    <row r="841" spans="3:18" x14ac:dyDescent="0.25">
      <c r="C841" s="452" t="s">
        <v>1826</v>
      </c>
      <c r="D841" s="453">
        <f t="shared" si="164"/>
        <v>46206</v>
      </c>
      <c r="E841" s="454" t="s">
        <v>166</v>
      </c>
      <c r="F841" s="460" t="s">
        <v>1963</v>
      </c>
      <c r="G841" s="460"/>
      <c r="H841" s="460" t="s">
        <v>1968</v>
      </c>
      <c r="I841" s="460"/>
      <c r="J841" s="540"/>
      <c r="K841" s="540"/>
      <c r="L841" s="540"/>
      <c r="M841" s="545"/>
      <c r="N841" s="564">
        <f>J841*INDEX([2]Pedidos!$Q:$Q,MATCH(F841,[2]Pedidos!$E:$E,0))</f>
        <v>0</v>
      </c>
      <c r="O841" s="564" t="e">
        <f>K841*INDEX([2]Pedidos!$Q:$Q,MATCH(G841,[2]Pedidos!$E:$E,0))</f>
        <v>#N/A</v>
      </c>
      <c r="P841" s="564">
        <f>M841*INDEX([2]Pedidos!$Q:$Q,MATCH(H841,[2]Pedidos!$E:$E,0))</f>
        <v>0</v>
      </c>
    </row>
    <row r="842" spans="3:18" x14ac:dyDescent="0.25">
      <c r="C842" s="452" t="s">
        <v>1826</v>
      </c>
      <c r="D842" s="453">
        <f t="shared" si="164"/>
        <v>46206</v>
      </c>
      <c r="E842" s="454" t="s">
        <v>576</v>
      </c>
      <c r="F842" s="512"/>
      <c r="G842" s="512"/>
      <c r="H842" s="512"/>
      <c r="I842" s="512"/>
      <c r="J842" s="541" cm="1">
        <f t="array" aca="1" ref="J842" ca="1">IFERROR(_xlfn.LET(_xlpm.produto,TRIM(F842)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42" s="541" cm="1">
        <f t="array" aca="1" ref="K842" ca="1">IFERROR(_xlfn.LET(_xlpm.produto,TRIM(G842)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42" s="541" cm="1">
        <f t="array" aca="1" ref="L842" ca="1">IFERROR(_xlfn.LET(_xlpm.produto,TRIM(H842)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42" s="541" cm="1">
        <f t="array" aca="1" ref="M842" ca="1">IFERROR(_xlfn.LET(_xlpm.produto,TRIM(H842)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42" s="556"/>
      <c r="O842" s="556"/>
      <c r="P842" s="556"/>
    </row>
    <row r="843" spans="3:18" x14ac:dyDescent="0.25">
      <c r="C843" s="452" t="s">
        <v>1826</v>
      </c>
      <c r="D843" s="449">
        <f t="shared" si="164"/>
        <v>46206</v>
      </c>
      <c r="E843" s="454" t="s">
        <v>167</v>
      </c>
      <c r="F843" s="460" t="s">
        <v>1963</v>
      </c>
      <c r="G843" s="460" t="s">
        <v>2046</v>
      </c>
      <c r="H843" s="460" t="s">
        <v>1968</v>
      </c>
      <c r="I843" s="460"/>
      <c r="J843" s="540"/>
      <c r="K843" s="540"/>
      <c r="L843" s="540"/>
      <c r="M843" s="545"/>
      <c r="N843" s="565">
        <f>J843*INDEX([2]Pedidos!$Q:$Q,MATCH(F843,[2]Pedidos!$E:$E,0))</f>
        <v>0</v>
      </c>
      <c r="O843" s="564">
        <f>K843*INDEX([2]Pedidos!$Q:$Q,MATCH(G843,[2]Pedidos!$E:$E,0))</f>
        <v>0</v>
      </c>
      <c r="P843" s="565">
        <f>M843*INDEX([2]Pedidos!$Q:$Q,MATCH(H843,[2]Pedidos!$E:$E,0))</f>
        <v>0</v>
      </c>
    </row>
    <row r="844" spans="3:18" x14ac:dyDescent="0.25">
      <c r="C844" s="452" t="s">
        <v>1826</v>
      </c>
      <c r="D844" s="449">
        <f t="shared" si="164"/>
        <v>46206</v>
      </c>
      <c r="E844" s="454" t="s">
        <v>168</v>
      </c>
      <c r="F844" s="460" t="s">
        <v>1963</v>
      </c>
      <c r="G844" s="460" t="s">
        <v>2046</v>
      </c>
      <c r="H844" s="460" t="s">
        <v>1968</v>
      </c>
      <c r="I844" s="460"/>
      <c r="J844" s="540"/>
      <c r="K844" s="540"/>
      <c r="L844" s="540"/>
      <c r="M844" s="545"/>
      <c r="N844" s="565">
        <f>J844*INDEX([2]Pedidos!$Q:$Q,MATCH(F844,[2]Pedidos!$E:$E,0))</f>
        <v>0</v>
      </c>
      <c r="O844" s="564">
        <f>K844*INDEX([2]Pedidos!$Q:$Q,MATCH(G844,[2]Pedidos!$E:$E,0))</f>
        <v>0</v>
      </c>
      <c r="P844" s="565">
        <f>M844*INDEX([2]Pedidos!$Q:$Q,MATCH(H844,[2]Pedidos!$E:$E,0))</f>
        <v>0</v>
      </c>
    </row>
    <row r="845" spans="3:18" x14ac:dyDescent="0.25">
      <c r="C845" s="452" t="s">
        <v>1826</v>
      </c>
      <c r="D845" s="449">
        <f t="shared" si="164"/>
        <v>46206</v>
      </c>
      <c r="E845" s="454" t="s">
        <v>169</v>
      </c>
      <c r="F845" s="460" t="s">
        <v>1963</v>
      </c>
      <c r="G845" s="460" t="s">
        <v>2046</v>
      </c>
      <c r="H845" s="460" t="s">
        <v>1968</v>
      </c>
      <c r="I845" s="460"/>
      <c r="J845" s="540"/>
      <c r="K845" s="540"/>
      <c r="L845" s="540"/>
      <c r="M845" s="545"/>
      <c r="N845" s="565">
        <f>J845*INDEX([2]Pedidos!$Q:$Q,MATCH(F845,[2]Pedidos!$E:$E,0))</f>
        <v>0</v>
      </c>
      <c r="O845" s="564">
        <f>K845*INDEX([2]Pedidos!$Q:$Q,MATCH(G845,[2]Pedidos!$E:$E,0))</f>
        <v>0</v>
      </c>
      <c r="P845" s="565">
        <f>M845*INDEX([2]Pedidos!$Q:$Q,MATCH(H845,[2]Pedidos!$E:$E,0))</f>
        <v>0</v>
      </c>
    </row>
    <row r="846" spans="3:18" x14ac:dyDescent="0.25">
      <c r="C846" s="452" t="s">
        <v>1826</v>
      </c>
      <c r="D846" s="449">
        <f t="shared" si="164"/>
        <v>46206</v>
      </c>
      <c r="E846" s="454" t="s">
        <v>170</v>
      </c>
      <c r="F846" s="460" t="s">
        <v>1963</v>
      </c>
      <c r="G846" s="460" t="s">
        <v>2046</v>
      </c>
      <c r="H846" s="460" t="s">
        <v>1968</v>
      </c>
      <c r="I846" s="460"/>
      <c r="J846" s="540"/>
      <c r="K846" s="540"/>
      <c r="L846" s="540"/>
      <c r="M846" s="545"/>
      <c r="N846" s="566">
        <f>J846*INDEX([2]Pedidos!$Q:$Q,MATCH(F846,[2]Pedidos!$E:$E,0))</f>
        <v>0</v>
      </c>
      <c r="O846" s="564">
        <f>K846*INDEX([2]Pedidos!$Q:$Q,MATCH(G846,[2]Pedidos!$E:$E,0))</f>
        <v>0</v>
      </c>
      <c r="P846" s="566">
        <f>M846*INDEX([2]Pedidos!$Q:$Q,MATCH(H846,[2]Pedidos!$E:$E,0))</f>
        <v>0</v>
      </c>
    </row>
    <row r="847" spans="3:18" x14ac:dyDescent="0.25">
      <c r="C847" s="452" t="s">
        <v>1826</v>
      </c>
      <c r="D847" s="449">
        <f t="shared" si="164"/>
        <v>46206</v>
      </c>
      <c r="E847" s="454" t="s">
        <v>585</v>
      </c>
      <c r="F847" s="505"/>
      <c r="G847" s="505"/>
      <c r="H847" s="505"/>
      <c r="I847" s="505"/>
      <c r="J847" s="516" cm="1">
        <f t="array" aca="1" ref="J847" ca="1">IFERROR(_xlfn.LET(_xlpm.produto,TRIM(F847)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47" s="516" cm="1">
        <f t="array" aca="1" ref="K847" ca="1">IFERROR(_xlfn.LET(_xlpm.produto,TRIM(G847)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47" s="516" cm="1">
        <f t="array" aca="1" ref="L847" ca="1">IFERROR(_xlfn.LET(_xlpm.produto,TRIM(H847)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47" s="516" cm="1">
        <f t="array" aca="1" ref="M847" ca="1">IFERROR(_xlfn.LET(_xlpm.produto,TRIM(H847)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47" s="557"/>
      <c r="O847" s="557"/>
      <c r="P847" s="557"/>
    </row>
    <row r="848" spans="3:18" x14ac:dyDescent="0.25">
      <c r="C848" s="452" t="s">
        <v>1826</v>
      </c>
      <c r="D848" s="449">
        <f t="shared" si="164"/>
        <v>46206</v>
      </c>
      <c r="E848" s="455" t="s">
        <v>574</v>
      </c>
      <c r="F848" s="505"/>
      <c r="G848" s="505"/>
      <c r="H848" s="505"/>
      <c r="I848" s="724"/>
      <c r="J848" s="516" cm="1">
        <f t="array" aca="1" ref="J848" ca="1">IFERROR(_xlfn.LET(_xlpm.produto,TRIM(F848)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48" s="516" cm="1">
        <f t="array" aca="1" ref="K848" ca="1">IFERROR(_xlfn.LET(_xlpm.produto,TRIM(G848)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48" s="516" cm="1">
        <f t="array" aca="1" ref="L848" ca="1">IFERROR(_xlfn.LET(_xlpm.produto,TRIM(H848)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48" s="516" cm="1">
        <f t="array" aca="1" ref="M848" ca="1">IFERROR(_xlfn.LET(_xlpm.produto,TRIM(H848)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48" s="557"/>
      <c r="O848" s="557"/>
      <c r="P848" s="557"/>
    </row>
    <row r="849" spans="3:18" x14ac:dyDescent="0.25">
      <c r="C849" s="452" t="s">
        <v>1826</v>
      </c>
      <c r="D849" s="449">
        <f t="shared" si="164"/>
        <v>46206</v>
      </c>
      <c r="E849" s="455" t="s">
        <v>575</v>
      </c>
      <c r="F849" s="506"/>
      <c r="G849" s="506"/>
      <c r="H849" s="506"/>
      <c r="I849" s="506"/>
      <c r="J849" s="516" cm="1">
        <f t="array" aca="1" ref="J849" ca="1">IFERROR(_xlfn.LET(_xlpm.produto,TRIM(F849)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49" s="516" cm="1">
        <f t="array" aca="1" ref="K849" ca="1">IFERROR(_xlfn.LET(_xlpm.produto,TRIM(G849)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49" s="516" cm="1">
        <f t="array" aca="1" ref="L849" ca="1">IFERROR(_xlfn.LET(_xlpm.produto,TRIM(H849)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49" s="516" cm="1">
        <f t="array" aca="1" ref="M849" ca="1">IFERROR(_xlfn.LET(_xlpm.produto,TRIM(H849)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49" s="557"/>
      <c r="O849" s="557"/>
      <c r="P849" s="557"/>
    </row>
    <row r="850" spans="3:18" x14ac:dyDescent="0.25">
      <c r="C850" s="452" t="s">
        <v>1826</v>
      </c>
      <c r="D850" s="502">
        <f t="shared" si="164"/>
        <v>46206</v>
      </c>
      <c r="E850" s="503" t="s">
        <v>583</v>
      </c>
      <c r="F850" s="506"/>
      <c r="G850" s="506"/>
      <c r="H850" s="506"/>
      <c r="I850" s="506"/>
      <c r="J850" s="516" cm="1">
        <f t="array" aca="1" ref="J850" ca="1">IFERROR(_xlfn.LET(_xlpm.produto,TRIM(F850)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50" s="516" cm="1">
        <f t="array" aca="1" ref="K850" ca="1">IFERROR(_xlfn.LET(_xlpm.produto,TRIM(G850)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50" s="516" cm="1">
        <f t="array" aca="1" ref="L850" ca="1">IFERROR(_xlfn.LET(_xlpm.produto,TRIM(H850)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50" s="516" cm="1">
        <f t="array" aca="1" ref="M850" ca="1">IFERROR(_xlfn.LET(_xlpm.produto,TRIM(H850)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50" s="557"/>
      <c r="O850" s="557"/>
      <c r="P850" s="557"/>
    </row>
    <row r="851" spans="3:18" ht="15.75" thickBot="1" x14ac:dyDescent="0.3">
      <c r="C851" s="530" t="s">
        <v>1826</v>
      </c>
      <c r="D851" s="451">
        <f t="shared" si="164"/>
        <v>46206</v>
      </c>
      <c r="E851" s="459" t="s">
        <v>584</v>
      </c>
      <c r="F851" s="493"/>
      <c r="G851" s="493"/>
      <c r="H851" s="493"/>
      <c r="I851" s="493"/>
      <c r="J851" s="513" cm="1">
        <f t="array" aca="1" ref="J851" ca="1">IFERROR(_xlfn.LET(_xlpm.produto,TRIM(F851)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51" s="513" cm="1">
        <f t="array" aca="1" ref="K851" ca="1">IFERROR(_xlfn.LET(_xlpm.produto,TRIM(G851)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51" s="516" cm="1">
        <f t="array" aca="1" ref="L851" ca="1">IFERROR(_xlfn.LET(_xlpm.produto,TRIM(H851)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51" s="513" cm="1">
        <f t="array" aca="1" ref="M851" ca="1">IFERROR(_xlfn.LET(_xlpm.produto,TRIM(H851)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51" s="558"/>
      <c r="O851" s="558"/>
      <c r="P851" s="558"/>
    </row>
    <row r="852" spans="3:18" ht="15.75" thickBot="1" x14ac:dyDescent="0.3"/>
    <row r="853" spans="3:18" ht="15.75" thickBot="1" x14ac:dyDescent="0.3">
      <c r="C853" s="538"/>
      <c r="D853" s="539"/>
      <c r="E853" s="539"/>
      <c r="F853" s="539"/>
      <c r="G853" s="539"/>
      <c r="H853" s="539"/>
      <c r="I853" s="539"/>
      <c r="J853" s="606">
        <f t="shared" ref="J853:L853" ca="1" si="165">_xlfn.AGGREGATE(9,6,J854:J869)</f>
        <v>0</v>
      </c>
      <c r="K853" s="607">
        <f t="shared" ca="1" si="165"/>
        <v>0</v>
      </c>
      <c r="L853" s="607">
        <f t="shared" ca="1" si="165"/>
        <v>0</v>
      </c>
      <c r="M853" s="544">
        <f t="shared" ref="M853:P853" ca="1" si="166">_xlfn.AGGREGATE(9,6,M854:M869)</f>
        <v>0</v>
      </c>
      <c r="N853" s="560">
        <f t="shared" si="166"/>
        <v>0</v>
      </c>
      <c r="O853" s="561">
        <f t="shared" si="166"/>
        <v>0</v>
      </c>
      <c r="P853" s="562">
        <f t="shared" si="166"/>
        <v>0</v>
      </c>
      <c r="Q853" s="548">
        <f ca="1">SUM(J853:M853)</f>
        <v>0</v>
      </c>
      <c r="R853" s="549">
        <f>SUM(N853:P853)</f>
        <v>0</v>
      </c>
    </row>
    <row r="854" spans="3:18" x14ac:dyDescent="0.25">
      <c r="C854" s="529" t="s">
        <v>1033</v>
      </c>
      <c r="D854" s="447">
        <f>D851+1</f>
        <v>46207</v>
      </c>
      <c r="E854" s="498" t="s">
        <v>573</v>
      </c>
      <c r="F854" s="514"/>
      <c r="G854" s="514"/>
      <c r="H854" s="514"/>
      <c r="I854" s="724"/>
      <c r="J854" s="537" cm="1">
        <f t="array" aca="1" ref="J854" ca="1">IFERROR(_xlfn.LET(_xlpm.produto,TRIM(F854)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54" s="537" cm="1">
        <f t="array" aca="1" ref="K854" ca="1">IFERROR(_xlfn.LET(_xlpm.produto,TRIM(G854)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54" s="537" cm="1">
        <f t="array" aca="1" ref="L854" ca="1">IFERROR(_xlfn.LET(_xlpm.produto,TRIM(H854)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54" s="537" cm="1">
        <f t="array" aca="1" ref="M854" ca="1">IFERROR(_xlfn.LET(_xlpm.produto,TRIM(H854)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54" s="563"/>
      <c r="O854" s="563"/>
      <c r="P854" s="563"/>
    </row>
    <row r="855" spans="3:18" x14ac:dyDescent="0.25">
      <c r="C855" s="452" t="s">
        <v>1033</v>
      </c>
      <c r="D855" s="453">
        <f t="shared" ref="D855:D869" si="167">D854</f>
        <v>46207</v>
      </c>
      <c r="E855" s="500" t="s">
        <v>162</v>
      </c>
      <c r="F855" s="517"/>
      <c r="G855" s="517"/>
      <c r="H855" s="517"/>
      <c r="I855" s="512"/>
      <c r="J855" s="540"/>
      <c r="K855" s="540"/>
      <c r="L855" s="540"/>
      <c r="M855" s="540"/>
      <c r="N855" s="555" t="e">
        <f>J855*INDEX([2]Pedidos!$Q:$Q,MATCH(F855,[2]Pedidos!$E:$E,0))</f>
        <v>#N/A</v>
      </c>
      <c r="O855" s="555" t="e">
        <f>K855*INDEX([2]Pedidos!$Q:$Q,MATCH(G855,[2]Pedidos!$E:$E,0))</f>
        <v>#N/A</v>
      </c>
      <c r="P855" s="555" t="e">
        <f>M855*INDEX([2]Pedidos!$Q:$Q,MATCH(H855,[2]Pedidos!$E:$E,0))</f>
        <v>#N/A</v>
      </c>
    </row>
    <row r="856" spans="3:18" x14ac:dyDescent="0.25">
      <c r="C856" s="452" t="s">
        <v>1033</v>
      </c>
      <c r="D856" s="453">
        <f t="shared" si="167"/>
        <v>46207</v>
      </c>
      <c r="E856" s="454" t="s">
        <v>163</v>
      </c>
      <c r="F856" s="517"/>
      <c r="G856" s="512"/>
      <c r="H856" s="505"/>
      <c r="I856" s="505"/>
      <c r="J856" s="540"/>
      <c r="K856" s="540"/>
      <c r="L856" s="540"/>
      <c r="M856" s="540"/>
      <c r="N856" s="564" t="e">
        <f>J856*INDEX([2]Pedidos!$Q:$Q,MATCH(F856,[2]Pedidos!$E:$E,0))</f>
        <v>#N/A</v>
      </c>
      <c r="O856" s="564" t="e">
        <f>K856*INDEX([2]Pedidos!$Q:$Q,MATCH(G856,[2]Pedidos!$E:$E,0))</f>
        <v>#N/A</v>
      </c>
      <c r="P856" s="564" t="e">
        <f>M856*INDEX([2]Pedidos!$Q:$Q,MATCH(H856,[2]Pedidos!$E:$E,0))</f>
        <v>#N/A</v>
      </c>
    </row>
    <row r="857" spans="3:18" x14ac:dyDescent="0.25">
      <c r="C857" s="452" t="s">
        <v>1033</v>
      </c>
      <c r="D857" s="453">
        <f t="shared" si="167"/>
        <v>46207</v>
      </c>
      <c r="E857" s="454" t="s">
        <v>164</v>
      </c>
      <c r="F857" s="517"/>
      <c r="G857" s="512"/>
      <c r="H857" s="505"/>
      <c r="I857" s="505"/>
      <c r="J857" s="540"/>
      <c r="K857" s="540"/>
      <c r="L857" s="540"/>
      <c r="M857" s="540"/>
      <c r="N857" s="564" t="e">
        <f>J857*INDEX([2]Pedidos!$Q:$Q,MATCH(F857,[2]Pedidos!$E:$E,0))</f>
        <v>#N/A</v>
      </c>
      <c r="O857" s="564" t="e">
        <f>K857*INDEX([2]Pedidos!$Q:$Q,MATCH(G857,[2]Pedidos!$E:$E,0))</f>
        <v>#N/A</v>
      </c>
      <c r="P857" s="564" t="e">
        <f>M857*INDEX([2]Pedidos!$Q:$Q,MATCH(H857,[2]Pedidos!$E:$E,0))</f>
        <v>#N/A</v>
      </c>
    </row>
    <row r="858" spans="3:18" x14ac:dyDescent="0.25">
      <c r="C858" s="452" t="s">
        <v>1033</v>
      </c>
      <c r="D858" s="453">
        <f t="shared" si="167"/>
        <v>46207</v>
      </c>
      <c r="E858" s="454" t="s">
        <v>165</v>
      </c>
      <c r="F858" s="517"/>
      <c r="G858" s="512"/>
      <c r="H858" s="505"/>
      <c r="I858" s="505"/>
      <c r="J858" s="540"/>
      <c r="K858" s="540"/>
      <c r="L858" s="540"/>
      <c r="M858" s="540"/>
      <c r="N858" s="564" t="e">
        <f>J858*INDEX([2]Pedidos!$Q:$Q,MATCH(F858,[2]Pedidos!$E:$E,0))</f>
        <v>#N/A</v>
      </c>
      <c r="O858" s="564" t="e">
        <f>K858*INDEX([2]Pedidos!$Q:$Q,MATCH(G858,[2]Pedidos!$E:$E,0))</f>
        <v>#N/A</v>
      </c>
      <c r="P858" s="564" t="e">
        <f>M858*INDEX([2]Pedidos!$Q:$Q,MATCH(H858,[2]Pedidos!$E:$E,0))</f>
        <v>#N/A</v>
      </c>
    </row>
    <row r="859" spans="3:18" x14ac:dyDescent="0.25">
      <c r="C859" s="452" t="s">
        <v>1033</v>
      </c>
      <c r="D859" s="453">
        <f t="shared" si="167"/>
        <v>46207</v>
      </c>
      <c r="E859" s="454" t="s">
        <v>166</v>
      </c>
      <c r="F859" s="517"/>
      <c r="G859" s="512"/>
      <c r="H859" s="505"/>
      <c r="I859" s="505"/>
      <c r="J859" s="540"/>
      <c r="K859" s="540"/>
      <c r="L859" s="540"/>
      <c r="M859" s="540"/>
      <c r="N859" s="564" t="e">
        <f>J859*INDEX([2]Pedidos!$Q:$Q,MATCH(F859,[2]Pedidos!$E:$E,0))</f>
        <v>#N/A</v>
      </c>
      <c r="O859" s="564" t="e">
        <f>K859*INDEX([2]Pedidos!$Q:$Q,MATCH(G859,[2]Pedidos!$E:$E,0))</f>
        <v>#N/A</v>
      </c>
      <c r="P859" s="564" t="e">
        <f>M859*INDEX([2]Pedidos!$Q:$Q,MATCH(H859,[2]Pedidos!$E:$E,0))</f>
        <v>#N/A</v>
      </c>
    </row>
    <row r="860" spans="3:18" x14ac:dyDescent="0.25">
      <c r="C860" s="452" t="s">
        <v>1033</v>
      </c>
      <c r="D860" s="453">
        <f t="shared" si="167"/>
        <v>46207</v>
      </c>
      <c r="E860" s="454" t="s">
        <v>576</v>
      </c>
      <c r="F860" s="517"/>
      <c r="G860" s="512"/>
      <c r="H860" s="505"/>
      <c r="I860" s="505"/>
      <c r="J860" s="541" cm="1">
        <f t="array" aca="1" ref="J860" ca="1">IFERROR(_xlfn.LET(_xlpm.produto,TRIM(F860)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0" s="541" cm="1">
        <f t="array" aca="1" ref="K860" ca="1">IFERROR(_xlfn.LET(_xlpm.produto,TRIM(G860)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0" s="541" cm="1">
        <f t="array" aca="1" ref="L860" ca="1">IFERROR(_xlfn.LET(_xlpm.produto,TRIM(H860)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0" s="541" cm="1">
        <f t="array" aca="1" ref="M860" ca="1">IFERROR(_xlfn.LET(_xlpm.produto,TRIM(H860)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0" s="556"/>
      <c r="O860" s="556"/>
      <c r="P860" s="556"/>
    </row>
    <row r="861" spans="3:18" x14ac:dyDescent="0.25">
      <c r="C861" s="452" t="s">
        <v>1033</v>
      </c>
      <c r="D861" s="449">
        <f t="shared" si="167"/>
        <v>46207</v>
      </c>
      <c r="E861" s="454" t="s">
        <v>167</v>
      </c>
      <c r="F861" s="517"/>
      <c r="G861" s="512"/>
      <c r="H861" s="505"/>
      <c r="I861" s="505"/>
      <c r="J861" s="540"/>
      <c r="K861" s="540"/>
      <c r="L861" s="540"/>
      <c r="M861" s="540"/>
      <c r="N861" s="565" t="e">
        <f>J861*INDEX([2]Pedidos!$Q:$Q,MATCH(F861,[2]Pedidos!$E:$E,0))</f>
        <v>#N/A</v>
      </c>
      <c r="O861" s="565" t="e">
        <f>K861*INDEX([2]Pedidos!$Q:$Q,MATCH(G861,[2]Pedidos!$E:$E,0))</f>
        <v>#N/A</v>
      </c>
      <c r="P861" s="565" t="e">
        <f>M861*INDEX([2]Pedidos!$Q:$Q,MATCH(H861,[2]Pedidos!$E:$E,0))</f>
        <v>#N/A</v>
      </c>
    </row>
    <row r="862" spans="3:18" x14ac:dyDescent="0.25">
      <c r="C862" s="452" t="s">
        <v>1033</v>
      </c>
      <c r="D862" s="449">
        <f t="shared" si="167"/>
        <v>46207</v>
      </c>
      <c r="E862" s="454" t="s">
        <v>168</v>
      </c>
      <c r="F862" s="517"/>
      <c r="G862" s="512"/>
      <c r="H862" s="505"/>
      <c r="I862" s="505"/>
      <c r="J862" s="540"/>
      <c r="K862" s="540"/>
      <c r="L862" s="540"/>
      <c r="M862" s="540"/>
      <c r="N862" s="565" t="e">
        <f>J862*INDEX([2]Pedidos!$Q:$Q,MATCH(F862,[2]Pedidos!$E:$E,0))</f>
        <v>#N/A</v>
      </c>
      <c r="O862" s="565" t="e">
        <f>K862*INDEX([2]Pedidos!$Q:$Q,MATCH(G862,[2]Pedidos!$E:$E,0))</f>
        <v>#N/A</v>
      </c>
      <c r="P862" s="565" t="e">
        <f>M862*INDEX([2]Pedidos!$Q:$Q,MATCH(H862,[2]Pedidos!$E:$E,0))</f>
        <v>#N/A</v>
      </c>
    </row>
    <row r="863" spans="3:18" x14ac:dyDescent="0.25">
      <c r="C863" s="452" t="s">
        <v>1033</v>
      </c>
      <c r="D863" s="449">
        <f t="shared" si="167"/>
        <v>46207</v>
      </c>
      <c r="E863" s="454" t="s">
        <v>169</v>
      </c>
      <c r="F863" s="517"/>
      <c r="G863" s="512"/>
      <c r="H863" s="505"/>
      <c r="I863" s="505"/>
      <c r="J863" s="540"/>
      <c r="K863" s="540"/>
      <c r="L863" s="540"/>
      <c r="M863" s="540"/>
      <c r="N863" s="565" t="e">
        <f>J863*INDEX([2]Pedidos!$Q:$Q,MATCH(F863,[2]Pedidos!$E:$E,0))</f>
        <v>#N/A</v>
      </c>
      <c r="O863" s="565" t="e">
        <f>K863*INDEX([2]Pedidos!$Q:$Q,MATCH(G863,[2]Pedidos!$E:$E,0))</f>
        <v>#N/A</v>
      </c>
      <c r="P863" s="565" t="e">
        <f>M863*INDEX([2]Pedidos!$Q:$Q,MATCH(H863,[2]Pedidos!$E:$E,0))</f>
        <v>#N/A</v>
      </c>
    </row>
    <row r="864" spans="3:18" x14ac:dyDescent="0.25">
      <c r="C864" s="452" t="s">
        <v>1033</v>
      </c>
      <c r="D864" s="449">
        <f t="shared" si="167"/>
        <v>46207</v>
      </c>
      <c r="E864" s="454" t="s">
        <v>170</v>
      </c>
      <c r="F864" s="517"/>
      <c r="G864" s="512"/>
      <c r="H864" s="505"/>
      <c r="I864" s="505"/>
      <c r="J864" s="540"/>
      <c r="K864" s="540"/>
      <c r="L864" s="540"/>
      <c r="M864" s="540"/>
      <c r="N864" s="566" t="e">
        <f>J864*INDEX([2]Pedidos!$Q:$Q,MATCH(F864,[2]Pedidos!$E:$E,0))</f>
        <v>#N/A</v>
      </c>
      <c r="O864" s="566" t="e">
        <f>K864*INDEX([2]Pedidos!$Q:$Q,MATCH(G864,[2]Pedidos!$E:$E,0))</f>
        <v>#N/A</v>
      </c>
      <c r="P864" s="566" t="e">
        <f>M864*INDEX([2]Pedidos!$Q:$Q,MATCH(H864,[2]Pedidos!$E:$E,0))</f>
        <v>#N/A</v>
      </c>
    </row>
    <row r="865" spans="3:18" x14ac:dyDescent="0.25">
      <c r="C865" s="452" t="s">
        <v>1033</v>
      </c>
      <c r="D865" s="449">
        <f t="shared" si="167"/>
        <v>46207</v>
      </c>
      <c r="E865" s="454" t="s">
        <v>585</v>
      </c>
      <c r="F865" s="505"/>
      <c r="G865" s="505"/>
      <c r="H865" s="516"/>
      <c r="I865" s="516"/>
      <c r="J865" s="516" cm="1">
        <f t="array" aca="1" ref="J865" ca="1">IFERROR(_xlfn.LET(_xlpm.produto,TRIM(F865)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5" s="516" cm="1">
        <f t="array" aca="1" ref="K865" ca="1">IFERROR(_xlfn.LET(_xlpm.produto,TRIM(G865)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5" s="516" cm="1">
        <f t="array" aca="1" ref="L865" ca="1">IFERROR(_xlfn.LET(_xlpm.produto,TRIM(G865)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5" s="516" cm="1">
        <f t="array" aca="1" ref="M865" ca="1">IFERROR(_xlfn.LET(_xlpm.produto,TRIM(H865)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5" s="557"/>
      <c r="O865" s="557"/>
      <c r="P865" s="557"/>
    </row>
    <row r="866" spans="3:18" x14ac:dyDescent="0.25">
      <c r="C866" s="452" t="s">
        <v>1033</v>
      </c>
      <c r="D866" s="449">
        <f t="shared" si="167"/>
        <v>46207</v>
      </c>
      <c r="E866" s="455" t="s">
        <v>574</v>
      </c>
      <c r="F866" s="505"/>
      <c r="G866" s="505"/>
      <c r="H866" s="516"/>
      <c r="I866" s="516"/>
      <c r="J866" s="516" cm="1">
        <f t="array" aca="1" ref="J866" ca="1">IFERROR(_xlfn.LET(_xlpm.produto,TRIM(F866)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6" s="516" cm="1">
        <f t="array" aca="1" ref="K866" ca="1">IFERROR(_xlfn.LET(_xlpm.produto,TRIM(G866)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6" s="516" cm="1">
        <f t="array" aca="1" ref="L866" ca="1">IFERROR(_xlfn.LET(_xlpm.produto,TRIM(G866)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6" s="516" cm="1">
        <f t="array" aca="1" ref="M866" ca="1">IFERROR(_xlfn.LET(_xlpm.produto,TRIM(H866)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6" s="557"/>
      <c r="O866" s="557"/>
      <c r="P866" s="557"/>
    </row>
    <row r="867" spans="3:18" x14ac:dyDescent="0.25">
      <c r="C867" s="452" t="s">
        <v>1033</v>
      </c>
      <c r="D867" s="449">
        <f t="shared" si="167"/>
        <v>46207</v>
      </c>
      <c r="E867" s="455" t="s">
        <v>575</v>
      </c>
      <c r="F867" s="506"/>
      <c r="G867" s="506"/>
      <c r="H867" s="516"/>
      <c r="I867" s="516"/>
      <c r="J867" s="516" cm="1">
        <f t="array" aca="1" ref="J867" ca="1">IFERROR(_xlfn.LET(_xlpm.produto,TRIM(F867)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7" s="516" cm="1">
        <f t="array" aca="1" ref="K867" ca="1">IFERROR(_xlfn.LET(_xlpm.produto,TRIM(G867)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7" s="516" cm="1">
        <f t="array" aca="1" ref="L867" ca="1">IFERROR(_xlfn.LET(_xlpm.produto,TRIM(G867)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7" s="516" cm="1">
        <f t="array" aca="1" ref="M867" ca="1">IFERROR(_xlfn.LET(_xlpm.produto,TRIM(H867)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7" s="557"/>
      <c r="O867" s="557"/>
      <c r="P867" s="557"/>
    </row>
    <row r="868" spans="3:18" x14ac:dyDescent="0.25">
      <c r="C868" s="452" t="s">
        <v>1033</v>
      </c>
      <c r="D868" s="449">
        <f t="shared" si="167"/>
        <v>46207</v>
      </c>
      <c r="E868" s="503" t="s">
        <v>583</v>
      </c>
      <c r="F868" s="506"/>
      <c r="G868" s="506"/>
      <c r="H868" s="516"/>
      <c r="I868" s="516"/>
      <c r="J868" s="516" cm="1">
        <f t="array" aca="1" ref="J868" ca="1">IFERROR(_xlfn.LET(_xlpm.produto,TRIM(F868)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8" s="516" cm="1">
        <f t="array" aca="1" ref="K868" ca="1">IFERROR(_xlfn.LET(_xlpm.produto,TRIM(G868)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8" s="516" cm="1">
        <f t="array" aca="1" ref="L868" ca="1">IFERROR(_xlfn.LET(_xlpm.produto,TRIM(G868)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8" s="516" cm="1">
        <f t="array" aca="1" ref="M868" ca="1">IFERROR(_xlfn.LET(_xlpm.produto,TRIM(H868)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8" s="557"/>
      <c r="O868" s="557"/>
      <c r="P868" s="557"/>
    </row>
    <row r="869" spans="3:18" ht="15.75" thickBot="1" x14ac:dyDescent="0.3">
      <c r="C869" s="530" t="s">
        <v>1033</v>
      </c>
      <c r="D869" s="451">
        <f t="shared" si="167"/>
        <v>46207</v>
      </c>
      <c r="E869" s="459" t="s">
        <v>584</v>
      </c>
      <c r="F869" s="493"/>
      <c r="G869" s="493"/>
      <c r="H869" s="513"/>
      <c r="I869" s="513"/>
      <c r="J869" s="513" cm="1">
        <f t="array" aca="1" ref="J869" ca="1">IFERROR(_xlfn.LET(_xlpm.produto,TRIM(F869)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69" s="513" cm="1">
        <f t="array" aca="1" ref="K869" ca="1">IFERROR(_xlfn.LET(_xlpm.produto,TRIM(G869)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69" s="516" cm="1">
        <f t="array" aca="1" ref="L869" ca="1">IFERROR(_xlfn.LET(_xlpm.produto,TRIM(G869)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69" s="513" cm="1">
        <f t="array" aca="1" ref="M869" ca="1">IFERROR(_xlfn.LET(_xlpm.produto,TRIM(H869)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69" s="558"/>
      <c r="O869" s="558"/>
      <c r="P869" s="558"/>
    </row>
    <row r="870" spans="3:18" ht="15.75" thickBot="1" x14ac:dyDescent="0.3">
      <c r="J870" s="445"/>
      <c r="K870" s="445"/>
      <c r="L870" s="445"/>
      <c r="N870" s="559"/>
      <c r="O870" s="559"/>
      <c r="P870" s="559"/>
    </row>
    <row r="871" spans="3:18" ht="15.75" thickBot="1" x14ac:dyDescent="0.3">
      <c r="C871" s="538"/>
      <c r="D871" s="539"/>
      <c r="E871" s="539"/>
      <c r="F871" s="539"/>
      <c r="G871" s="539"/>
      <c r="H871" s="539"/>
      <c r="I871" s="539"/>
      <c r="J871" s="606">
        <f t="shared" ref="J871:K871" ca="1" si="168">_xlfn.AGGREGATE(9,6,J872:J887)</f>
        <v>0</v>
      </c>
      <c r="K871" s="607">
        <f t="shared" ca="1" si="168"/>
        <v>0</v>
      </c>
      <c r="L871" s="544">
        <f t="shared" ref="L871:P871" ca="1" si="169">_xlfn.AGGREGATE(9,6,L872:L887)</f>
        <v>0</v>
      </c>
      <c r="M871" s="544">
        <f t="shared" ca="1" si="169"/>
        <v>0</v>
      </c>
      <c r="N871" s="560">
        <f t="shared" si="169"/>
        <v>0</v>
      </c>
      <c r="O871" s="561">
        <f t="shared" si="169"/>
        <v>0</v>
      </c>
      <c r="P871" s="562">
        <f t="shared" si="169"/>
        <v>0</v>
      </c>
      <c r="Q871" s="548">
        <f ca="1">SUM(J871:M871)</f>
        <v>0</v>
      </c>
      <c r="R871" s="549">
        <f>SUM(N871:P871)</f>
        <v>0</v>
      </c>
    </row>
    <row r="872" spans="3:18" x14ac:dyDescent="0.25">
      <c r="C872" s="529" t="s">
        <v>1034</v>
      </c>
      <c r="D872" s="447">
        <f>D869+1</f>
        <v>46208</v>
      </c>
      <c r="E872" s="498" t="s">
        <v>573</v>
      </c>
      <c r="F872" s="514"/>
      <c r="G872" s="514"/>
      <c r="H872" s="514"/>
      <c r="I872" s="724"/>
      <c r="J872" s="537" cm="1">
        <f t="array" aca="1" ref="J872" ca="1">IFERROR(_xlfn.LET(_xlpm.produto,TRIM(F872)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72" s="537" cm="1">
        <f t="array" aca="1" ref="K872" ca="1">IFERROR(_xlfn.LET(_xlpm.produto,TRIM(G872)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72" s="537" cm="1">
        <f t="array" aca="1" ref="L872" ca="1">IFERROR(_xlfn.LET(_xlpm.produto,TRIM(H872)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72" s="537" cm="1">
        <f t="array" aca="1" ref="M872" ca="1">IFERROR(_xlfn.LET(_xlpm.produto,TRIM(H872)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72" s="563"/>
      <c r="O872" s="563"/>
      <c r="P872" s="563"/>
    </row>
    <row r="873" spans="3:18" x14ac:dyDescent="0.25">
      <c r="C873" s="452" t="s">
        <v>1034</v>
      </c>
      <c r="D873" s="453">
        <f t="shared" ref="D873:D887" si="170">D872</f>
        <v>46208</v>
      </c>
      <c r="E873" s="500" t="s">
        <v>162</v>
      </c>
      <c r="F873" s="517"/>
      <c r="G873" s="517"/>
      <c r="H873" s="517"/>
      <c r="I873" s="512"/>
      <c r="J873" s="540"/>
      <c r="K873" s="540"/>
      <c r="L873" s="540"/>
      <c r="M873" s="540"/>
      <c r="N873" s="555" t="e">
        <f>J873*INDEX([2]Pedidos!$Q:$Q,MATCH(F873,[2]Pedidos!$E:$E,0))</f>
        <v>#N/A</v>
      </c>
      <c r="O873" s="555" t="e">
        <f>K873*INDEX([2]Pedidos!$Q:$Q,MATCH(G873,[2]Pedidos!$E:$E,0))</f>
        <v>#N/A</v>
      </c>
      <c r="P873" s="555" t="e">
        <f>M873*INDEX([2]Pedidos!$Q:$Q,MATCH(H873,[2]Pedidos!$E:$E,0))</f>
        <v>#N/A</v>
      </c>
    </row>
    <row r="874" spans="3:18" x14ac:dyDescent="0.25">
      <c r="C874" s="452" t="s">
        <v>1034</v>
      </c>
      <c r="D874" s="453">
        <f t="shared" si="170"/>
        <v>46208</v>
      </c>
      <c r="E874" s="454" t="s">
        <v>163</v>
      </c>
      <c r="F874" s="517"/>
      <c r="G874" s="512"/>
      <c r="H874" s="505"/>
      <c r="I874" s="505"/>
      <c r="J874" s="540"/>
      <c r="K874" s="540"/>
      <c r="L874" s="540"/>
      <c r="M874" s="540"/>
      <c r="N874" s="564" t="e">
        <f>J874*INDEX([2]Pedidos!$Q:$Q,MATCH(F874,[2]Pedidos!$E:$E,0))</f>
        <v>#N/A</v>
      </c>
      <c r="O874" s="564" t="e">
        <f>K874*INDEX([2]Pedidos!$Q:$Q,MATCH(G874,[2]Pedidos!$E:$E,0))</f>
        <v>#N/A</v>
      </c>
      <c r="P874" s="564" t="e">
        <f>M874*INDEX([2]Pedidos!$Q:$Q,MATCH(H874,[2]Pedidos!$E:$E,0))</f>
        <v>#N/A</v>
      </c>
    </row>
    <row r="875" spans="3:18" x14ac:dyDescent="0.25">
      <c r="C875" s="452" t="s">
        <v>1034</v>
      </c>
      <c r="D875" s="453">
        <f t="shared" si="170"/>
        <v>46208</v>
      </c>
      <c r="E875" s="454" t="s">
        <v>164</v>
      </c>
      <c r="F875" s="517"/>
      <c r="G875" s="512"/>
      <c r="H875" s="505"/>
      <c r="I875" s="505"/>
      <c r="J875" s="540"/>
      <c r="K875" s="540"/>
      <c r="L875" s="540"/>
      <c r="M875" s="540"/>
      <c r="N875" s="564" t="e">
        <f>J875*INDEX([2]Pedidos!$Q:$Q,MATCH(F875,[2]Pedidos!$E:$E,0))</f>
        <v>#N/A</v>
      </c>
      <c r="O875" s="564" t="e">
        <f>K875*INDEX([2]Pedidos!$Q:$Q,MATCH(G875,[2]Pedidos!$E:$E,0))</f>
        <v>#N/A</v>
      </c>
      <c r="P875" s="564" t="e">
        <f>M875*INDEX([2]Pedidos!$Q:$Q,MATCH(H875,[2]Pedidos!$E:$E,0))</f>
        <v>#N/A</v>
      </c>
    </row>
    <row r="876" spans="3:18" x14ac:dyDescent="0.25">
      <c r="C876" s="452" t="s">
        <v>1034</v>
      </c>
      <c r="D876" s="453">
        <f t="shared" si="170"/>
        <v>46208</v>
      </c>
      <c r="E876" s="454" t="s">
        <v>165</v>
      </c>
      <c r="F876" s="517"/>
      <c r="G876" s="512"/>
      <c r="H876" s="505"/>
      <c r="I876" s="505"/>
      <c r="J876" s="540"/>
      <c r="K876" s="540"/>
      <c r="L876" s="540"/>
      <c r="M876" s="540"/>
      <c r="N876" s="564" t="e">
        <f>J876*INDEX([2]Pedidos!$Q:$Q,MATCH(F876,[2]Pedidos!$E:$E,0))</f>
        <v>#N/A</v>
      </c>
      <c r="O876" s="564" t="e">
        <f>K876*INDEX([2]Pedidos!$Q:$Q,MATCH(G876,[2]Pedidos!$E:$E,0))</f>
        <v>#N/A</v>
      </c>
      <c r="P876" s="564" t="e">
        <f>M876*INDEX([2]Pedidos!$Q:$Q,MATCH(H876,[2]Pedidos!$E:$E,0))</f>
        <v>#N/A</v>
      </c>
    </row>
    <row r="877" spans="3:18" x14ac:dyDescent="0.25">
      <c r="C877" s="452" t="s">
        <v>1034</v>
      </c>
      <c r="D877" s="453">
        <f t="shared" si="170"/>
        <v>46208</v>
      </c>
      <c r="E877" s="454" t="s">
        <v>166</v>
      </c>
      <c r="F877" s="517"/>
      <c r="G877" s="512"/>
      <c r="H877" s="505"/>
      <c r="I877" s="505"/>
      <c r="J877" s="540"/>
      <c r="K877" s="540"/>
      <c r="L877" s="540"/>
      <c r="M877" s="540"/>
      <c r="N877" s="564" t="e">
        <f>J877*INDEX([2]Pedidos!$Q:$Q,MATCH(F877,[2]Pedidos!$E:$E,0))</f>
        <v>#N/A</v>
      </c>
      <c r="O877" s="564" t="e">
        <f>K877*INDEX([2]Pedidos!$Q:$Q,MATCH(G877,[2]Pedidos!$E:$E,0))</f>
        <v>#N/A</v>
      </c>
      <c r="P877" s="564" t="e">
        <f>M877*INDEX([2]Pedidos!$Q:$Q,MATCH(H877,[2]Pedidos!$E:$E,0))</f>
        <v>#N/A</v>
      </c>
    </row>
    <row r="878" spans="3:18" x14ac:dyDescent="0.25">
      <c r="C878" s="452" t="s">
        <v>1034</v>
      </c>
      <c r="D878" s="453">
        <f t="shared" si="170"/>
        <v>46208</v>
      </c>
      <c r="E878" s="454" t="s">
        <v>576</v>
      </c>
      <c r="F878" s="517"/>
      <c r="G878" s="512"/>
      <c r="H878" s="505"/>
      <c r="I878" s="505"/>
      <c r="J878" s="541" cm="1">
        <f t="array" aca="1" ref="J878" ca="1">IFERROR(_xlfn.LET(_xlpm.produto,TRIM(F878)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78" s="541" cm="1">
        <f t="array" aca="1" ref="K878" ca="1">IFERROR(_xlfn.LET(_xlpm.produto,TRIM(G878)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78" s="541" cm="1">
        <f t="array" aca="1" ref="L878" ca="1">IFERROR(_xlfn.LET(_xlpm.produto,TRIM(H878)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78" s="541" cm="1">
        <f t="array" aca="1" ref="M878" ca="1">IFERROR(_xlfn.LET(_xlpm.produto,TRIM(H878)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78" s="556"/>
      <c r="O878" s="556"/>
      <c r="P878" s="556"/>
    </row>
    <row r="879" spans="3:18" x14ac:dyDescent="0.25">
      <c r="C879" s="452" t="s">
        <v>1034</v>
      </c>
      <c r="D879" s="449">
        <f t="shared" si="170"/>
        <v>46208</v>
      </c>
      <c r="E879" s="454" t="s">
        <v>167</v>
      </c>
      <c r="F879" s="517"/>
      <c r="G879" s="512"/>
      <c r="H879" s="505"/>
      <c r="I879" s="505"/>
      <c r="J879" s="540"/>
      <c r="K879" s="540"/>
      <c r="L879" s="540"/>
      <c r="M879" s="540"/>
      <c r="N879" s="565" t="e">
        <f>J879*INDEX([2]Pedidos!$Q:$Q,MATCH(F879,[2]Pedidos!$E:$E,0))</f>
        <v>#N/A</v>
      </c>
      <c r="O879" s="565" t="e">
        <f>K879*INDEX([2]Pedidos!$Q:$Q,MATCH(G879,[2]Pedidos!$E:$E,0))</f>
        <v>#N/A</v>
      </c>
      <c r="P879" s="565" t="e">
        <f>M879*INDEX([2]Pedidos!$Q:$Q,MATCH(H879,[2]Pedidos!$E:$E,0))</f>
        <v>#N/A</v>
      </c>
    </row>
    <row r="880" spans="3:18" x14ac:dyDescent="0.25">
      <c r="C880" s="452" t="s">
        <v>1034</v>
      </c>
      <c r="D880" s="449">
        <f t="shared" si="170"/>
        <v>46208</v>
      </c>
      <c r="E880" s="454" t="s">
        <v>168</v>
      </c>
      <c r="F880" s="517"/>
      <c r="G880" s="512"/>
      <c r="H880" s="505"/>
      <c r="I880" s="505"/>
      <c r="J880" s="540"/>
      <c r="K880" s="540"/>
      <c r="L880" s="540"/>
      <c r="M880" s="540"/>
      <c r="N880" s="565" t="e">
        <f>J880*INDEX([2]Pedidos!$Q:$Q,MATCH(F880,[2]Pedidos!$E:$E,0))</f>
        <v>#N/A</v>
      </c>
      <c r="O880" s="565" t="e">
        <f>K880*INDEX([2]Pedidos!$Q:$Q,MATCH(G880,[2]Pedidos!$E:$E,0))</f>
        <v>#N/A</v>
      </c>
      <c r="P880" s="565" t="e">
        <f>M880*INDEX([2]Pedidos!$Q:$Q,MATCH(H880,[2]Pedidos!$E:$E,0))</f>
        <v>#N/A</v>
      </c>
    </row>
    <row r="881" spans="3:18" x14ac:dyDescent="0.25">
      <c r="C881" s="452" t="s">
        <v>1034</v>
      </c>
      <c r="D881" s="449">
        <f t="shared" si="170"/>
        <v>46208</v>
      </c>
      <c r="E881" s="454" t="s">
        <v>169</v>
      </c>
      <c r="F881" s="517"/>
      <c r="G881" s="512"/>
      <c r="H881" s="505"/>
      <c r="I881" s="505"/>
      <c r="J881" s="540"/>
      <c r="K881" s="540"/>
      <c r="L881" s="540"/>
      <c r="M881" s="540"/>
      <c r="N881" s="565" t="e">
        <f>J881*INDEX([2]Pedidos!$Q:$Q,MATCH(F881,[2]Pedidos!$E:$E,0))</f>
        <v>#N/A</v>
      </c>
      <c r="O881" s="565" t="e">
        <f>K881*INDEX([2]Pedidos!$Q:$Q,MATCH(G881,[2]Pedidos!$E:$E,0))</f>
        <v>#N/A</v>
      </c>
      <c r="P881" s="565" t="e">
        <f>M881*INDEX([2]Pedidos!$Q:$Q,MATCH(H881,[2]Pedidos!$E:$E,0))</f>
        <v>#N/A</v>
      </c>
    </row>
    <row r="882" spans="3:18" x14ac:dyDescent="0.25">
      <c r="C882" s="452" t="s">
        <v>1034</v>
      </c>
      <c r="D882" s="449">
        <f t="shared" si="170"/>
        <v>46208</v>
      </c>
      <c r="E882" s="454" t="s">
        <v>170</v>
      </c>
      <c r="F882" s="517"/>
      <c r="G882" s="512"/>
      <c r="H882" s="505"/>
      <c r="I882" s="505"/>
      <c r="J882" s="540"/>
      <c r="K882" s="540"/>
      <c r="L882" s="540"/>
      <c r="M882" s="540"/>
      <c r="N882" s="566" t="e">
        <f>J882*INDEX([2]Pedidos!$Q:$Q,MATCH(F882,[2]Pedidos!$E:$E,0))</f>
        <v>#N/A</v>
      </c>
      <c r="O882" s="566" t="e">
        <f>K882*INDEX([2]Pedidos!$Q:$Q,MATCH(G882,[2]Pedidos!$E:$E,0))</f>
        <v>#N/A</v>
      </c>
      <c r="P882" s="566" t="e">
        <f>M882*INDEX([2]Pedidos!$Q:$Q,MATCH(H882,[2]Pedidos!$E:$E,0))</f>
        <v>#N/A</v>
      </c>
    </row>
    <row r="883" spans="3:18" x14ac:dyDescent="0.25">
      <c r="C883" s="452" t="s">
        <v>1034</v>
      </c>
      <c r="D883" s="449">
        <f t="shared" si="170"/>
        <v>46208</v>
      </c>
      <c r="E883" s="454" t="s">
        <v>585</v>
      </c>
      <c r="F883" s="505"/>
      <c r="G883" s="505"/>
      <c r="H883" s="516"/>
      <c r="I883" s="516"/>
      <c r="J883" s="516" cm="1">
        <f t="array" aca="1" ref="J883" ca="1">IFERROR(_xlfn.LET(_xlpm.produto,TRIM(F883)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83" s="516" cm="1">
        <f t="array" aca="1" ref="K883" ca="1">IFERROR(_xlfn.LET(_xlpm.produto,TRIM(G883)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83" s="516" cm="1">
        <f t="array" aca="1" ref="L883" ca="1">IFERROR(_xlfn.LET(_xlpm.produto,TRIM(H883)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83" s="516" cm="1">
        <f t="array" aca="1" ref="M883" ca="1">IFERROR(_xlfn.LET(_xlpm.produto,TRIM(H883)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83" s="557"/>
      <c r="O883" s="557"/>
      <c r="P883" s="557"/>
    </row>
    <row r="884" spans="3:18" x14ac:dyDescent="0.25">
      <c r="C884" s="452" t="s">
        <v>1034</v>
      </c>
      <c r="D884" s="449">
        <f t="shared" si="170"/>
        <v>46208</v>
      </c>
      <c r="E884" s="455" t="s">
        <v>574</v>
      </c>
      <c r="F884" s="505"/>
      <c r="G884" s="505"/>
      <c r="H884" s="516"/>
      <c r="I884" s="516"/>
      <c r="J884" s="516" cm="1">
        <f t="array" aca="1" ref="J884" ca="1">IFERROR(_xlfn.LET(_xlpm.produto,TRIM(F884)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84" s="516" cm="1">
        <f t="array" aca="1" ref="K884" ca="1">IFERROR(_xlfn.LET(_xlpm.produto,TRIM(G884)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84" s="516" cm="1">
        <f t="array" aca="1" ref="L884" ca="1">IFERROR(_xlfn.LET(_xlpm.produto,TRIM(H884)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84" s="516" cm="1">
        <f t="array" aca="1" ref="M884" ca="1">IFERROR(_xlfn.LET(_xlpm.produto,TRIM(H884)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84" s="557"/>
      <c r="O884" s="557"/>
      <c r="P884" s="557"/>
    </row>
    <row r="885" spans="3:18" x14ac:dyDescent="0.25">
      <c r="C885" s="452" t="s">
        <v>1034</v>
      </c>
      <c r="D885" s="449">
        <f t="shared" si="170"/>
        <v>46208</v>
      </c>
      <c r="E885" s="455" t="s">
        <v>575</v>
      </c>
      <c r="F885" s="506"/>
      <c r="G885" s="506"/>
      <c r="H885" s="516"/>
      <c r="I885" s="516"/>
      <c r="J885" s="516" cm="1">
        <f t="array" aca="1" ref="J885" ca="1">IFERROR(_xlfn.LET(_xlpm.produto,TRIM(F885)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85" s="516" cm="1">
        <f t="array" aca="1" ref="K885" ca="1">IFERROR(_xlfn.LET(_xlpm.produto,TRIM(G885)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85" s="516" cm="1">
        <f t="array" aca="1" ref="L885" ca="1">IFERROR(_xlfn.LET(_xlpm.produto,TRIM(H885)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85" s="516" cm="1">
        <f t="array" aca="1" ref="M885" ca="1">IFERROR(_xlfn.LET(_xlpm.produto,TRIM(H885)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85" s="557"/>
      <c r="O885" s="557"/>
      <c r="P885" s="557"/>
    </row>
    <row r="886" spans="3:18" x14ac:dyDescent="0.25">
      <c r="C886" s="452" t="s">
        <v>1034</v>
      </c>
      <c r="D886" s="449">
        <f t="shared" si="170"/>
        <v>46208</v>
      </c>
      <c r="E886" s="503" t="s">
        <v>583</v>
      </c>
      <c r="F886" s="506"/>
      <c r="G886" s="506"/>
      <c r="H886" s="516"/>
      <c r="I886" s="516"/>
      <c r="J886" s="516" cm="1">
        <f t="array" aca="1" ref="J886" ca="1">IFERROR(_xlfn.LET(_xlpm.produto,TRIM(F886)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86" s="516" cm="1">
        <f t="array" aca="1" ref="K886" ca="1">IFERROR(_xlfn.LET(_xlpm.produto,TRIM(G886)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86" s="516" cm="1">
        <f t="array" aca="1" ref="L886" ca="1">IFERROR(_xlfn.LET(_xlpm.produto,TRIM(H886)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86" s="516" cm="1">
        <f t="array" aca="1" ref="M886" ca="1">IFERROR(_xlfn.LET(_xlpm.produto,TRIM(H886)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86" s="557"/>
      <c r="O886" s="557"/>
      <c r="P886" s="557"/>
    </row>
    <row r="887" spans="3:18" ht="15.75" thickBot="1" x14ac:dyDescent="0.3">
      <c r="C887" s="530" t="s">
        <v>1034</v>
      </c>
      <c r="D887" s="451">
        <f t="shared" si="170"/>
        <v>46208</v>
      </c>
      <c r="E887" s="459" t="s">
        <v>584</v>
      </c>
      <c r="F887" s="493"/>
      <c r="G887" s="493"/>
      <c r="H887" s="513"/>
      <c r="I887" s="513"/>
      <c r="J887" s="513" cm="1">
        <f t="array" aca="1" ref="J887" ca="1">IFERROR(_xlfn.LET(_xlpm.produto,TRIM(F887)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87" s="513" cm="1">
        <f t="array" aca="1" ref="K887" ca="1">IFERROR(_xlfn.LET(_xlpm.produto,TRIM(G887)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87" s="516" cm="1">
        <f t="array" aca="1" ref="L887" ca="1">IFERROR(_xlfn.LET(_xlpm.produto,TRIM(H887)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87" s="513" cm="1">
        <f t="array" aca="1" ref="M887" ca="1">IFERROR(_xlfn.LET(_xlpm.produto,TRIM(H887)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87" s="558"/>
      <c r="O887" s="558"/>
      <c r="P887" s="558"/>
    </row>
    <row r="888" spans="3:18" ht="15.75" thickBot="1" x14ac:dyDescent="0.3"/>
    <row r="889" spans="3:18" ht="15.75" thickBot="1" x14ac:dyDescent="0.3">
      <c r="C889" s="546">
        <f ca="1">SUM(J817:M817,J835:M835,J853:M853,J871:M871,J889:M889)</f>
        <v>12210</v>
      </c>
      <c r="D889" s="547">
        <f>SUM(R889,R871,R853,R835,R817)</f>
        <v>7168.0499999999993</v>
      </c>
      <c r="E889" s="539"/>
      <c r="F889" s="539"/>
      <c r="G889" s="539"/>
      <c r="H889" s="539"/>
      <c r="I889" s="539"/>
      <c r="J889" s="606">
        <v>0</v>
      </c>
      <c r="K889" s="607">
        <f t="shared" ref="K889" ca="1" si="171">_xlfn.AGGREGATE(9,6,K890:K905)</f>
        <v>1440</v>
      </c>
      <c r="L889" s="544">
        <f t="shared" ref="L889:P889" ca="1" si="172">_xlfn.AGGREGATE(9,6,L890:L905)</f>
        <v>0</v>
      </c>
      <c r="M889" s="544">
        <f t="shared" ca="1" si="172"/>
        <v>0</v>
      </c>
      <c r="N889" s="560">
        <f t="shared" si="172"/>
        <v>5332.0499999999993</v>
      </c>
      <c r="O889" s="561">
        <f t="shared" si="172"/>
        <v>0</v>
      </c>
      <c r="P889" s="562">
        <f t="shared" si="172"/>
        <v>0</v>
      </c>
      <c r="Q889" s="548">
        <f ca="1">SUM(J889:M889)</f>
        <v>1440</v>
      </c>
      <c r="R889" s="549">
        <f>SUM(N889:P889)</f>
        <v>5332.0499999999993</v>
      </c>
    </row>
    <row r="890" spans="3:18" x14ac:dyDescent="0.25">
      <c r="C890" s="529" t="s">
        <v>1831</v>
      </c>
      <c r="D890" s="447">
        <f>D887+1</f>
        <v>46209</v>
      </c>
      <c r="E890" s="498" t="s">
        <v>573</v>
      </c>
      <c r="F890" s="514"/>
      <c r="G890" s="514"/>
      <c r="H890" s="514"/>
      <c r="I890" s="724"/>
      <c r="J890" s="537"/>
      <c r="K890" s="537"/>
      <c r="L890" s="537"/>
      <c r="M890" s="537"/>
      <c r="N890" s="563"/>
      <c r="O890" s="563"/>
      <c r="P890" s="563"/>
    </row>
    <row r="891" spans="3:18" x14ac:dyDescent="0.25">
      <c r="C891" s="452" t="s">
        <v>1831</v>
      </c>
      <c r="D891" s="453">
        <f t="shared" ref="D891:D905" si="173">D890</f>
        <v>46209</v>
      </c>
      <c r="E891" s="500" t="s">
        <v>162</v>
      </c>
      <c r="F891" s="460" t="s">
        <v>1989</v>
      </c>
      <c r="G891" s="460" t="s">
        <v>2046</v>
      </c>
      <c r="H891" s="460" t="s">
        <v>1968</v>
      </c>
      <c r="I891" s="460"/>
      <c r="J891" s="540">
        <v>697</v>
      </c>
      <c r="K891" s="540">
        <v>160</v>
      </c>
      <c r="L891" s="540"/>
      <c r="M891" s="545"/>
      <c r="N891" s="555">
        <f>J891*INDEX([2]Pedidos!$Q:$Q,MATCH(F891,[2]Pedidos!$E:$E,0))</f>
        <v>592.44999999999993</v>
      </c>
      <c r="O891" s="564">
        <f>K891*INDEX([2]Pedidos!$Q:$Q,MATCH(G891,[2]Pedidos!$E:$E,0))</f>
        <v>0</v>
      </c>
      <c r="P891" s="555">
        <f>M891*INDEX([2]Pedidos!$Q:$Q,MATCH(H891,[2]Pedidos!$E:$E,0))</f>
        <v>0</v>
      </c>
    </row>
    <row r="892" spans="3:18" x14ac:dyDescent="0.25">
      <c r="C892" s="452" t="s">
        <v>1831</v>
      </c>
      <c r="D892" s="453">
        <f t="shared" si="173"/>
        <v>46209</v>
      </c>
      <c r="E892" s="454" t="s">
        <v>163</v>
      </c>
      <c r="F892" s="460" t="s">
        <v>1989</v>
      </c>
      <c r="G892" s="460" t="s">
        <v>2046</v>
      </c>
      <c r="H892" s="460" t="s">
        <v>1968</v>
      </c>
      <c r="I892" s="460"/>
      <c r="J892" s="540">
        <v>697</v>
      </c>
      <c r="K892" s="540">
        <v>160</v>
      </c>
      <c r="L892" s="540"/>
      <c r="M892" s="545"/>
      <c r="N892" s="564">
        <f>J892*INDEX([2]Pedidos!$Q:$Q,MATCH(F892,[2]Pedidos!$E:$E,0))</f>
        <v>592.44999999999993</v>
      </c>
      <c r="O892" s="564">
        <f>K892*INDEX([2]Pedidos!$Q:$Q,MATCH(G892,[2]Pedidos!$E:$E,0))</f>
        <v>0</v>
      </c>
      <c r="P892" s="564">
        <f>M892*INDEX([2]Pedidos!$Q:$Q,MATCH(H892,[2]Pedidos!$E:$E,0))</f>
        <v>0</v>
      </c>
    </row>
    <row r="893" spans="3:18" x14ac:dyDescent="0.25">
      <c r="C893" s="452" t="s">
        <v>1831</v>
      </c>
      <c r="D893" s="453">
        <f t="shared" si="173"/>
        <v>46209</v>
      </c>
      <c r="E893" s="454" t="s">
        <v>164</v>
      </c>
      <c r="F893" s="460" t="s">
        <v>1989</v>
      </c>
      <c r="G893" s="460" t="s">
        <v>2046</v>
      </c>
      <c r="H893" s="460" t="s">
        <v>1968</v>
      </c>
      <c r="I893" s="460"/>
      <c r="J893" s="540">
        <v>697</v>
      </c>
      <c r="K893" s="540">
        <v>160</v>
      </c>
      <c r="L893" s="540"/>
      <c r="M893" s="545"/>
      <c r="N893" s="564">
        <f>J893*INDEX([2]Pedidos!$Q:$Q,MATCH(F893,[2]Pedidos!$E:$E,0))</f>
        <v>592.44999999999993</v>
      </c>
      <c r="O893" s="564">
        <f>K893*INDEX([2]Pedidos!$Q:$Q,MATCH(G893,[2]Pedidos!$E:$E,0))</f>
        <v>0</v>
      </c>
      <c r="P893" s="564">
        <f>M893*INDEX([2]Pedidos!$Q:$Q,MATCH(H893,[2]Pedidos!$E:$E,0))</f>
        <v>0</v>
      </c>
    </row>
    <row r="894" spans="3:18" x14ac:dyDescent="0.25">
      <c r="C894" s="452" t="s">
        <v>1831</v>
      </c>
      <c r="D894" s="453">
        <f t="shared" si="173"/>
        <v>46209</v>
      </c>
      <c r="E894" s="454" t="s">
        <v>165</v>
      </c>
      <c r="F894" s="460" t="s">
        <v>1989</v>
      </c>
      <c r="G894" s="460" t="s">
        <v>2046</v>
      </c>
      <c r="H894" s="460" t="s">
        <v>1965</v>
      </c>
      <c r="I894" s="460"/>
      <c r="J894" s="540">
        <v>697</v>
      </c>
      <c r="K894" s="540">
        <v>160</v>
      </c>
      <c r="L894" s="540"/>
      <c r="M894" s="545"/>
      <c r="N894" s="564">
        <f>J894*INDEX([2]Pedidos!$Q:$Q,MATCH(F894,[2]Pedidos!$E:$E,0))</f>
        <v>592.44999999999993</v>
      </c>
      <c r="O894" s="564">
        <f>K894*INDEX([2]Pedidos!$Q:$Q,MATCH(G894,[2]Pedidos!$E:$E,0))</f>
        <v>0</v>
      </c>
      <c r="P894" s="564">
        <f>M894*INDEX([2]Pedidos!$Q:$Q,MATCH(H894,[2]Pedidos!$E:$E,0))</f>
        <v>0</v>
      </c>
    </row>
    <row r="895" spans="3:18" x14ac:dyDescent="0.25">
      <c r="C895" s="452" t="s">
        <v>1831</v>
      </c>
      <c r="D895" s="453">
        <f t="shared" si="173"/>
        <v>46209</v>
      </c>
      <c r="E895" s="454" t="s">
        <v>166</v>
      </c>
      <c r="F895" s="460" t="s">
        <v>1989</v>
      </c>
      <c r="G895" s="460" t="s">
        <v>2046</v>
      </c>
      <c r="H895" s="460" t="s">
        <v>1965</v>
      </c>
      <c r="I895" s="460"/>
      <c r="J895" s="540">
        <v>697</v>
      </c>
      <c r="K895" s="540">
        <v>160</v>
      </c>
      <c r="L895" s="540"/>
      <c r="M895" s="545"/>
      <c r="N895" s="564">
        <f>J895*INDEX([2]Pedidos!$Q:$Q,MATCH(F895,[2]Pedidos!$E:$E,0))</f>
        <v>592.44999999999993</v>
      </c>
      <c r="O895" s="564">
        <f>K895*INDEX([2]Pedidos!$Q:$Q,MATCH(G895,[2]Pedidos!$E:$E,0))</f>
        <v>0</v>
      </c>
      <c r="P895" s="564">
        <f>M895*INDEX([2]Pedidos!$Q:$Q,MATCH(H895,[2]Pedidos!$E:$E,0))</f>
        <v>0</v>
      </c>
    </row>
    <row r="896" spans="3:18" x14ac:dyDescent="0.25">
      <c r="C896" s="452" t="s">
        <v>1831</v>
      </c>
      <c r="D896" s="453">
        <f t="shared" si="173"/>
        <v>46209</v>
      </c>
      <c r="E896" s="454" t="s">
        <v>576</v>
      </c>
      <c r="F896" s="512"/>
      <c r="G896" s="512"/>
      <c r="H896" s="512"/>
      <c r="I896" s="512"/>
      <c r="J896" s="541" cm="1">
        <f t="array" aca="1" ref="J896" ca="1">IFERROR(_xlfn.LET(_xlpm.produto,TRIM(F896)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896" s="541" cm="1">
        <f t="array" aca="1" ref="K896" ca="1">IFERROR(_xlfn.LET(_xlpm.produto,TRIM(G896)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896" s="541" cm="1">
        <f t="array" aca="1" ref="L896" ca="1">IFERROR(_xlfn.LET(_xlpm.produto,TRIM(H896)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896" s="541" cm="1">
        <f t="array" aca="1" ref="M896" ca="1">IFERROR(_xlfn.LET(_xlpm.produto,TRIM(H896)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896" s="556"/>
      <c r="O896" s="556"/>
      <c r="P896" s="556"/>
    </row>
    <row r="897" spans="3:18" x14ac:dyDescent="0.25">
      <c r="C897" s="452" t="s">
        <v>1831</v>
      </c>
      <c r="D897" s="449">
        <f t="shared" si="173"/>
        <v>46209</v>
      </c>
      <c r="E897" s="454" t="s">
        <v>167</v>
      </c>
      <c r="F897" s="460" t="s">
        <v>1989</v>
      </c>
      <c r="G897" s="460" t="s">
        <v>2046</v>
      </c>
      <c r="H897" s="460" t="s">
        <v>1965</v>
      </c>
      <c r="I897" s="460"/>
      <c r="J897" s="540">
        <v>697</v>
      </c>
      <c r="K897" s="540">
        <v>160</v>
      </c>
      <c r="L897" s="540"/>
      <c r="M897" s="545"/>
      <c r="N897" s="565">
        <f>J897*INDEX([2]Pedidos!$Q:$Q,MATCH(F897,[2]Pedidos!$E:$E,0))</f>
        <v>592.44999999999993</v>
      </c>
      <c r="O897" s="564">
        <f>K897*INDEX([2]Pedidos!$Q:$Q,MATCH(G897,[2]Pedidos!$E:$E,0))</f>
        <v>0</v>
      </c>
      <c r="P897" s="565">
        <f>M897*INDEX([2]Pedidos!$Q:$Q,MATCH(H897,[2]Pedidos!$E:$E,0))</f>
        <v>0</v>
      </c>
    </row>
    <row r="898" spans="3:18" x14ac:dyDescent="0.25">
      <c r="C898" s="452" t="s">
        <v>1831</v>
      </c>
      <c r="D898" s="449">
        <f t="shared" si="173"/>
        <v>46209</v>
      </c>
      <c r="E898" s="454" t="s">
        <v>168</v>
      </c>
      <c r="F898" s="460" t="s">
        <v>1989</v>
      </c>
      <c r="G898" s="460" t="s">
        <v>2046</v>
      </c>
      <c r="H898" s="460" t="s">
        <v>1965</v>
      </c>
      <c r="I898" s="460"/>
      <c r="J898" s="540">
        <v>697</v>
      </c>
      <c r="K898" s="540">
        <v>160</v>
      </c>
      <c r="L898" s="540"/>
      <c r="M898" s="545"/>
      <c r="N898" s="565">
        <f>J898*INDEX([2]Pedidos!$Q:$Q,MATCH(F898,[2]Pedidos!$E:$E,0))</f>
        <v>592.44999999999993</v>
      </c>
      <c r="O898" s="564">
        <f>K898*INDEX([2]Pedidos!$Q:$Q,MATCH(G898,[2]Pedidos!$E:$E,0))</f>
        <v>0</v>
      </c>
      <c r="P898" s="565">
        <f>M898*INDEX([2]Pedidos!$Q:$Q,MATCH(H898,[2]Pedidos!$E:$E,0))</f>
        <v>0</v>
      </c>
    </row>
    <row r="899" spans="3:18" x14ac:dyDescent="0.25">
      <c r="C899" s="452" t="s">
        <v>1831</v>
      </c>
      <c r="D899" s="449">
        <f t="shared" si="173"/>
        <v>46209</v>
      </c>
      <c r="E899" s="454" t="s">
        <v>169</v>
      </c>
      <c r="F899" s="460" t="s">
        <v>1989</v>
      </c>
      <c r="G899" s="460" t="s">
        <v>2046</v>
      </c>
      <c r="H899" s="460" t="s">
        <v>1965</v>
      </c>
      <c r="I899" s="460"/>
      <c r="J899" s="540">
        <v>697</v>
      </c>
      <c r="K899" s="540">
        <v>160</v>
      </c>
      <c r="L899" s="540"/>
      <c r="M899" s="545"/>
      <c r="N899" s="565">
        <f>J899*INDEX([2]Pedidos!$Q:$Q,MATCH(F899,[2]Pedidos!$E:$E,0))</f>
        <v>592.44999999999993</v>
      </c>
      <c r="O899" s="564">
        <f>K899*INDEX([2]Pedidos!$Q:$Q,MATCH(G899,[2]Pedidos!$E:$E,0))</f>
        <v>0</v>
      </c>
      <c r="P899" s="565">
        <f>M899*INDEX([2]Pedidos!$Q:$Q,MATCH(H899,[2]Pedidos!$E:$E,0))</f>
        <v>0</v>
      </c>
    </row>
    <row r="900" spans="3:18" x14ac:dyDescent="0.25">
      <c r="C900" s="452" t="s">
        <v>1831</v>
      </c>
      <c r="D900" s="449">
        <f t="shared" si="173"/>
        <v>46209</v>
      </c>
      <c r="E900" s="454" t="s">
        <v>170</v>
      </c>
      <c r="F900" s="460" t="s">
        <v>1989</v>
      </c>
      <c r="G900" s="460" t="s">
        <v>2046</v>
      </c>
      <c r="H900" s="460" t="s">
        <v>1965</v>
      </c>
      <c r="I900" s="460"/>
      <c r="J900" s="540">
        <v>697</v>
      </c>
      <c r="K900" s="540">
        <v>160</v>
      </c>
      <c r="L900" s="540"/>
      <c r="M900" s="545"/>
      <c r="N900" s="566">
        <f>J900*INDEX([2]Pedidos!$Q:$Q,MATCH(F900,[2]Pedidos!$E:$E,0))</f>
        <v>592.44999999999993</v>
      </c>
      <c r="O900" s="564">
        <f>K900*INDEX([2]Pedidos!$Q:$Q,MATCH(G900,[2]Pedidos!$E:$E,0))</f>
        <v>0</v>
      </c>
      <c r="P900" s="566">
        <f>M900*INDEX([2]Pedidos!$Q:$Q,MATCH(H900,[2]Pedidos!$E:$E,0))</f>
        <v>0</v>
      </c>
    </row>
    <row r="901" spans="3:18" x14ac:dyDescent="0.25">
      <c r="C901" s="452" t="s">
        <v>1831</v>
      </c>
      <c r="D901" s="449">
        <f t="shared" si="173"/>
        <v>46209</v>
      </c>
      <c r="E901" s="454" t="s">
        <v>585</v>
      </c>
      <c r="F901" s="505"/>
      <c r="G901" s="505"/>
      <c r="H901" s="505"/>
      <c r="I901" s="724"/>
      <c r="J901" s="516" cm="1">
        <f t="array" aca="1" ref="J901" ca="1">IFERROR(_xlfn.LET(_xlpm.produto,TRIM(F901)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01" s="516" cm="1">
        <f t="array" aca="1" ref="K901" ca="1">IFERROR(_xlfn.LET(_xlpm.produto,TRIM(G901)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01" s="516" cm="1">
        <f t="array" aca="1" ref="L901" ca="1">IFERROR(_xlfn.LET(_xlpm.produto,TRIM(H901)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01" s="516" cm="1">
        <f t="array" aca="1" ref="M901" ca="1">IFERROR(_xlfn.LET(_xlpm.produto,TRIM(H901)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01" s="557"/>
      <c r="O901" s="557"/>
      <c r="P901" s="557"/>
    </row>
    <row r="902" spans="3:18" x14ac:dyDescent="0.25">
      <c r="C902" s="452" t="s">
        <v>1831</v>
      </c>
      <c r="D902" s="449">
        <f t="shared" si="173"/>
        <v>46209</v>
      </c>
      <c r="E902" s="455" t="s">
        <v>574</v>
      </c>
      <c r="F902" s="505"/>
      <c r="G902" s="505"/>
      <c r="H902" s="505"/>
      <c r="I902" s="506"/>
      <c r="J902" s="516" cm="1">
        <f t="array" aca="1" ref="J902" ca="1">IFERROR(_xlfn.LET(_xlpm.produto,TRIM(F902)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02" s="516" cm="1">
        <f t="array" aca="1" ref="K902" ca="1">IFERROR(_xlfn.LET(_xlpm.produto,TRIM(G902)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02" s="516" cm="1">
        <f t="array" aca="1" ref="L902" ca="1">IFERROR(_xlfn.LET(_xlpm.produto,TRIM(H902)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02" s="516" cm="1">
        <f t="array" aca="1" ref="M902" ca="1">IFERROR(_xlfn.LET(_xlpm.produto,TRIM(H902)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02" s="557"/>
      <c r="O902" s="557"/>
      <c r="P902" s="557"/>
    </row>
    <row r="903" spans="3:18" x14ac:dyDescent="0.25">
      <c r="C903" s="452" t="s">
        <v>1831</v>
      </c>
      <c r="D903" s="449">
        <f t="shared" si="173"/>
        <v>46209</v>
      </c>
      <c r="E903" s="455" t="s">
        <v>575</v>
      </c>
      <c r="F903" s="506"/>
      <c r="G903" s="506"/>
      <c r="H903" s="506"/>
      <c r="I903" s="506"/>
      <c r="J903" s="516" cm="1">
        <f t="array" aca="1" ref="J903" ca="1">IFERROR(_xlfn.LET(_xlpm.produto,TRIM(F903)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03" s="516" cm="1">
        <f t="array" aca="1" ref="K903" ca="1">IFERROR(_xlfn.LET(_xlpm.produto,TRIM(G903)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03" s="516" cm="1">
        <f t="array" aca="1" ref="L903" ca="1">IFERROR(_xlfn.LET(_xlpm.produto,TRIM(H903)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03" s="516" cm="1">
        <f t="array" aca="1" ref="M903" ca="1">IFERROR(_xlfn.LET(_xlpm.produto,TRIM(H903)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03" s="557"/>
      <c r="O903" s="557"/>
      <c r="P903" s="557"/>
    </row>
    <row r="904" spans="3:18" x14ac:dyDescent="0.25">
      <c r="C904" s="452" t="s">
        <v>1831</v>
      </c>
      <c r="D904" s="502">
        <f t="shared" si="173"/>
        <v>46209</v>
      </c>
      <c r="E904" s="503" t="s">
        <v>583</v>
      </c>
      <c r="F904" s="506"/>
      <c r="G904" s="506"/>
      <c r="H904" s="506"/>
      <c r="I904" s="506"/>
      <c r="J904" s="516" cm="1">
        <f t="array" aca="1" ref="J904" ca="1">IFERROR(_xlfn.LET(_xlpm.produto,TRIM(F904)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04" s="516" cm="1">
        <f t="array" aca="1" ref="K904" ca="1">IFERROR(_xlfn.LET(_xlpm.produto,TRIM(G904)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04" s="516" cm="1">
        <f t="array" aca="1" ref="L904" ca="1">IFERROR(_xlfn.LET(_xlpm.produto,TRIM(H904)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04" s="516" cm="1">
        <f t="array" aca="1" ref="M904" ca="1">IFERROR(_xlfn.LET(_xlpm.produto,TRIM(H904)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04" s="557"/>
      <c r="O904" s="557"/>
      <c r="P904" s="557"/>
    </row>
    <row r="905" spans="3:18" ht="15.75" thickBot="1" x14ac:dyDescent="0.3">
      <c r="C905" s="530" t="s">
        <v>1831</v>
      </c>
      <c r="D905" s="451">
        <f t="shared" si="173"/>
        <v>46209</v>
      </c>
      <c r="E905" s="459" t="s">
        <v>584</v>
      </c>
      <c r="F905" s="493"/>
      <c r="G905" s="493"/>
      <c r="H905" s="493"/>
      <c r="I905" s="493"/>
      <c r="J905" s="513" cm="1">
        <f t="array" aca="1" ref="J905" ca="1">IFERROR(_xlfn.LET(_xlpm.produto,TRIM(F905)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05" s="513" cm="1">
        <f t="array" aca="1" ref="K905" ca="1">IFERROR(_xlfn.LET(_xlpm.produto,TRIM(G905)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05" s="516" cm="1">
        <f t="array" aca="1" ref="L905" ca="1">IFERROR(_xlfn.LET(_xlpm.produto,TRIM(H905)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05" s="513" cm="1">
        <f t="array" aca="1" ref="M905" ca="1">IFERROR(_xlfn.LET(_xlpm.produto,TRIM(H905)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05" s="558"/>
      <c r="O905" s="558"/>
      <c r="P905" s="558"/>
    </row>
    <row r="906" spans="3:18" ht="15.75" thickBot="1" x14ac:dyDescent="0.3"/>
    <row r="907" spans="3:18" ht="15.75" thickBot="1" x14ac:dyDescent="0.3">
      <c r="C907" s="546">
        <f ca="1">SUM(J835:M835,J853:M853,J871:M871,J889:M889,J907:M907)</f>
        <v>9153</v>
      </c>
      <c r="D907" s="547">
        <f>SUM(R907,R889,R871,R853,R835)</f>
        <v>10664.099999999999</v>
      </c>
      <c r="E907" s="539"/>
      <c r="F907" s="539"/>
      <c r="G907" s="539"/>
      <c r="H907" s="539"/>
      <c r="I907" s="539"/>
      <c r="J907" s="606">
        <f t="shared" ref="J907:K907" ca="1" si="174">_xlfn.AGGREGATE(9,6,J908:J923)</f>
        <v>6273</v>
      </c>
      <c r="K907" s="607">
        <f t="shared" ca="1" si="174"/>
        <v>1440</v>
      </c>
      <c r="L907" s="607">
        <f ca="1">_xlfn.AGGREGATE(9,6,L908:L923)</f>
        <v>0</v>
      </c>
      <c r="M907" s="544">
        <f t="shared" ref="M907:P907" ca="1" si="175">_xlfn.AGGREGATE(9,6,M908:M923)</f>
        <v>0</v>
      </c>
      <c r="N907" s="560">
        <f t="shared" si="175"/>
        <v>5332.0499999999993</v>
      </c>
      <c r="O907" s="561">
        <f t="shared" si="175"/>
        <v>0</v>
      </c>
      <c r="P907" s="562">
        <f t="shared" si="175"/>
        <v>0</v>
      </c>
      <c r="Q907" s="548">
        <f ca="1">SUM(J907:M907)</f>
        <v>7713</v>
      </c>
      <c r="R907" s="549">
        <f>SUM(N907:P907)</f>
        <v>5332.0499999999993</v>
      </c>
    </row>
    <row r="908" spans="3:18" x14ac:dyDescent="0.25">
      <c r="C908" s="529" t="s">
        <v>1938</v>
      </c>
      <c r="D908" s="447">
        <f>D905+1</f>
        <v>46210</v>
      </c>
      <c r="E908" s="498" t="s">
        <v>573</v>
      </c>
      <c r="F908" s="514"/>
      <c r="G908" s="514"/>
      <c r="H908" s="514"/>
      <c r="I908" s="724"/>
      <c r="J908" s="537"/>
      <c r="K908" s="537"/>
      <c r="L908" s="537"/>
      <c r="M908" s="537"/>
      <c r="N908" s="563"/>
      <c r="O908" s="563"/>
      <c r="P908" s="563"/>
    </row>
    <row r="909" spans="3:18" x14ac:dyDescent="0.25">
      <c r="C909" s="452" t="s">
        <v>1938</v>
      </c>
      <c r="D909" s="453">
        <f t="shared" ref="D909:D923" si="176">D908</f>
        <v>46210</v>
      </c>
      <c r="E909" s="500" t="s">
        <v>162</v>
      </c>
      <c r="F909" s="460" t="s">
        <v>1989</v>
      </c>
      <c r="G909" s="460" t="s">
        <v>2046</v>
      </c>
      <c r="H909" s="460" t="s">
        <v>1965</v>
      </c>
      <c r="I909" s="460"/>
      <c r="J909" s="540">
        <v>697</v>
      </c>
      <c r="K909" s="540">
        <v>160</v>
      </c>
      <c r="L909" s="540"/>
      <c r="M909" s="545"/>
      <c r="N909" s="555">
        <f>J909*INDEX([2]Pedidos!$Q:$Q,MATCH(F909,[2]Pedidos!$E:$E,0))</f>
        <v>592.44999999999993</v>
      </c>
      <c r="O909" s="564">
        <f>K909*INDEX([2]Pedidos!$Q:$Q,MATCH(G909,[2]Pedidos!$E:$E,0))</f>
        <v>0</v>
      </c>
      <c r="P909" s="555">
        <f>M909*INDEX([2]Pedidos!$Q:$Q,MATCH(H909,[2]Pedidos!$E:$E,0))</f>
        <v>0</v>
      </c>
    </row>
    <row r="910" spans="3:18" x14ac:dyDescent="0.25">
      <c r="C910" s="452" t="s">
        <v>1938</v>
      </c>
      <c r="D910" s="453">
        <f t="shared" si="176"/>
        <v>46210</v>
      </c>
      <c r="E910" s="454" t="s">
        <v>163</v>
      </c>
      <c r="F910" s="460" t="s">
        <v>1989</v>
      </c>
      <c r="G910" s="460" t="s">
        <v>2046</v>
      </c>
      <c r="H910" s="460" t="s">
        <v>1965</v>
      </c>
      <c r="I910" s="460"/>
      <c r="J910" s="540">
        <v>697</v>
      </c>
      <c r="K910" s="540">
        <v>160</v>
      </c>
      <c r="L910" s="540"/>
      <c r="M910" s="545"/>
      <c r="N910" s="564">
        <f>J910*INDEX([2]Pedidos!$Q:$Q,MATCH(F910,[2]Pedidos!$E:$E,0))</f>
        <v>592.44999999999993</v>
      </c>
      <c r="O910" s="564">
        <f>K910*INDEX([2]Pedidos!$Q:$Q,MATCH(G910,[2]Pedidos!$E:$E,0))</f>
        <v>0</v>
      </c>
      <c r="P910" s="564">
        <f>M910*INDEX([2]Pedidos!$Q:$Q,MATCH(H910,[2]Pedidos!$E:$E,0))</f>
        <v>0</v>
      </c>
    </row>
    <row r="911" spans="3:18" x14ac:dyDescent="0.25">
      <c r="C911" s="452" t="s">
        <v>1938</v>
      </c>
      <c r="D911" s="453">
        <f t="shared" si="176"/>
        <v>46210</v>
      </c>
      <c r="E911" s="454" t="s">
        <v>164</v>
      </c>
      <c r="F911" s="460" t="s">
        <v>1989</v>
      </c>
      <c r="G911" s="460" t="s">
        <v>2046</v>
      </c>
      <c r="H911" s="460" t="s">
        <v>1965</v>
      </c>
      <c r="I911" s="460"/>
      <c r="J911" s="540">
        <v>697</v>
      </c>
      <c r="K911" s="540">
        <v>160</v>
      </c>
      <c r="L911" s="540"/>
      <c r="M911" s="545"/>
      <c r="N911" s="564">
        <f>J911*INDEX([2]Pedidos!$Q:$Q,MATCH(F911,[2]Pedidos!$E:$E,0))</f>
        <v>592.44999999999993</v>
      </c>
      <c r="O911" s="564">
        <f>K911*INDEX([2]Pedidos!$Q:$Q,MATCH(G911,[2]Pedidos!$E:$E,0))</f>
        <v>0</v>
      </c>
      <c r="P911" s="564">
        <f>M911*INDEX([2]Pedidos!$Q:$Q,MATCH(H911,[2]Pedidos!$E:$E,0))</f>
        <v>0</v>
      </c>
    </row>
    <row r="912" spans="3:18" x14ac:dyDescent="0.25">
      <c r="C912" s="452" t="s">
        <v>1938</v>
      </c>
      <c r="D912" s="453">
        <f t="shared" si="176"/>
        <v>46210</v>
      </c>
      <c r="E912" s="454" t="s">
        <v>165</v>
      </c>
      <c r="F912" s="460" t="s">
        <v>1989</v>
      </c>
      <c r="G912" s="460" t="s">
        <v>2046</v>
      </c>
      <c r="H912" s="460" t="s">
        <v>1965</v>
      </c>
      <c r="I912" s="460"/>
      <c r="J912" s="540">
        <v>697</v>
      </c>
      <c r="K912" s="540">
        <v>160</v>
      </c>
      <c r="L912" s="540"/>
      <c r="M912" s="545"/>
      <c r="N912" s="564">
        <f>J912*INDEX([2]Pedidos!$Q:$Q,MATCH(F912,[2]Pedidos!$E:$E,0))</f>
        <v>592.44999999999993</v>
      </c>
      <c r="O912" s="564">
        <f>K912*INDEX([2]Pedidos!$Q:$Q,MATCH(G912,[2]Pedidos!$E:$E,0))</f>
        <v>0</v>
      </c>
      <c r="P912" s="564">
        <f>M912*INDEX([2]Pedidos!$Q:$Q,MATCH(H912,[2]Pedidos!$E:$E,0))</f>
        <v>0</v>
      </c>
    </row>
    <row r="913" spans="3:18" x14ac:dyDescent="0.25">
      <c r="C913" s="452" t="s">
        <v>1938</v>
      </c>
      <c r="D913" s="453">
        <f t="shared" si="176"/>
        <v>46210</v>
      </c>
      <c r="E913" s="454" t="s">
        <v>166</v>
      </c>
      <c r="F913" s="460" t="s">
        <v>1989</v>
      </c>
      <c r="G913" s="460" t="s">
        <v>2046</v>
      </c>
      <c r="H913" s="460" t="s">
        <v>1965</v>
      </c>
      <c r="I913" s="460"/>
      <c r="J913" s="540">
        <v>697</v>
      </c>
      <c r="K913" s="540">
        <v>160</v>
      </c>
      <c r="L913" s="540"/>
      <c r="M913" s="545"/>
      <c r="N913" s="564">
        <f>J913*INDEX([2]Pedidos!$Q:$Q,MATCH(F913,[2]Pedidos!$E:$E,0))</f>
        <v>592.44999999999993</v>
      </c>
      <c r="O913" s="564">
        <f>K913*INDEX([2]Pedidos!$Q:$Q,MATCH(G913,[2]Pedidos!$E:$E,0))</f>
        <v>0</v>
      </c>
      <c r="P913" s="564">
        <f>M913*INDEX([2]Pedidos!$Q:$Q,MATCH(H913,[2]Pedidos!$E:$E,0))</f>
        <v>0</v>
      </c>
    </row>
    <row r="914" spans="3:18" x14ac:dyDescent="0.25">
      <c r="C914" s="452" t="s">
        <v>1938</v>
      </c>
      <c r="D914" s="453">
        <f t="shared" si="176"/>
        <v>46210</v>
      </c>
      <c r="E914" s="454" t="s">
        <v>576</v>
      </c>
      <c r="F914" s="512"/>
      <c r="G914" s="512"/>
      <c r="H914" s="512"/>
      <c r="I914" s="512"/>
      <c r="J914" s="541" cm="1">
        <f t="array" aca="1" ref="J914" ca="1">IFERROR(_xlfn.LET(_xlpm.produto,TRIM(F914)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14" s="541" cm="1">
        <f t="array" aca="1" ref="K914" ca="1">IFERROR(_xlfn.LET(_xlpm.produto,TRIM(G914)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14" s="554" cm="1">
        <f t="array" aca="1" ref="L914" ca="1">IFERROR(_xlfn.LET(_xlpm.produto,TRIM(H914)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14" s="541" cm="1">
        <f t="array" aca="1" ref="M914" ca="1">IFERROR(_xlfn.LET(_xlpm.produto,TRIM(H914)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14" s="556"/>
      <c r="O914" s="556"/>
      <c r="P914" s="556"/>
    </row>
    <row r="915" spans="3:18" x14ac:dyDescent="0.25">
      <c r="C915" s="452" t="s">
        <v>1938</v>
      </c>
      <c r="D915" s="449">
        <f t="shared" si="176"/>
        <v>46210</v>
      </c>
      <c r="E915" s="454" t="s">
        <v>167</v>
      </c>
      <c r="F915" s="460" t="s">
        <v>1989</v>
      </c>
      <c r="G915" s="460" t="s">
        <v>2046</v>
      </c>
      <c r="H915" s="460" t="s">
        <v>1965</v>
      </c>
      <c r="I915" s="460"/>
      <c r="J915" s="540">
        <v>697</v>
      </c>
      <c r="K915" s="540">
        <v>160</v>
      </c>
      <c r="L915" s="540"/>
      <c r="M915" s="545"/>
      <c r="N915" s="565">
        <f>J915*INDEX([2]Pedidos!$Q:$Q,MATCH(F915,[2]Pedidos!$E:$E,0))</f>
        <v>592.44999999999993</v>
      </c>
      <c r="O915" s="564">
        <f>K915*INDEX([2]Pedidos!$Q:$Q,MATCH(G915,[2]Pedidos!$E:$E,0))</f>
        <v>0</v>
      </c>
      <c r="P915" s="565">
        <f>M915*INDEX([2]Pedidos!$Q:$Q,MATCH(H915,[2]Pedidos!$E:$E,0))</f>
        <v>0</v>
      </c>
    </row>
    <row r="916" spans="3:18" x14ac:dyDescent="0.25">
      <c r="C916" s="452" t="s">
        <v>1938</v>
      </c>
      <c r="D916" s="449">
        <f t="shared" si="176"/>
        <v>46210</v>
      </c>
      <c r="E916" s="454" t="s">
        <v>168</v>
      </c>
      <c r="F916" s="460" t="s">
        <v>1989</v>
      </c>
      <c r="G916" s="460" t="s">
        <v>2046</v>
      </c>
      <c r="H916" s="460" t="s">
        <v>1965</v>
      </c>
      <c r="I916" s="460"/>
      <c r="J916" s="540">
        <v>697</v>
      </c>
      <c r="K916" s="540">
        <v>160</v>
      </c>
      <c r="L916" s="540"/>
      <c r="M916" s="545"/>
      <c r="N916" s="565">
        <f>J916*INDEX([2]Pedidos!$Q:$Q,MATCH(F916,[2]Pedidos!$E:$E,0))</f>
        <v>592.44999999999993</v>
      </c>
      <c r="O916" s="564">
        <f>K916*INDEX([2]Pedidos!$Q:$Q,MATCH(G916,[2]Pedidos!$E:$E,0))</f>
        <v>0</v>
      </c>
      <c r="P916" s="565">
        <f>M916*INDEX([2]Pedidos!$Q:$Q,MATCH(H916,[2]Pedidos!$E:$E,0))</f>
        <v>0</v>
      </c>
    </row>
    <row r="917" spans="3:18" x14ac:dyDescent="0.25">
      <c r="C917" s="452" t="s">
        <v>1938</v>
      </c>
      <c r="D917" s="449">
        <f t="shared" si="176"/>
        <v>46210</v>
      </c>
      <c r="E917" s="454" t="s">
        <v>169</v>
      </c>
      <c r="F917" s="460" t="s">
        <v>1989</v>
      </c>
      <c r="G917" s="460" t="s">
        <v>2046</v>
      </c>
      <c r="H917" s="460" t="s">
        <v>1965</v>
      </c>
      <c r="I917" s="460"/>
      <c r="J917" s="540">
        <v>697</v>
      </c>
      <c r="K917" s="540">
        <v>160</v>
      </c>
      <c r="L917" s="540"/>
      <c r="M917" s="545"/>
      <c r="N917" s="565">
        <f>J917*INDEX([2]Pedidos!$Q:$Q,MATCH(F917,[2]Pedidos!$E:$E,0))</f>
        <v>592.44999999999993</v>
      </c>
      <c r="O917" s="564">
        <f>K917*INDEX([2]Pedidos!$Q:$Q,MATCH(G917,[2]Pedidos!$E:$E,0))</f>
        <v>0</v>
      </c>
      <c r="P917" s="565">
        <f>M917*INDEX([2]Pedidos!$Q:$Q,MATCH(H917,[2]Pedidos!$E:$E,0))</f>
        <v>0</v>
      </c>
    </row>
    <row r="918" spans="3:18" x14ac:dyDescent="0.25">
      <c r="C918" s="452" t="s">
        <v>1938</v>
      </c>
      <c r="D918" s="449">
        <f t="shared" si="176"/>
        <v>46210</v>
      </c>
      <c r="E918" s="454" t="s">
        <v>170</v>
      </c>
      <c r="F918" s="460" t="s">
        <v>1989</v>
      </c>
      <c r="G918" s="460" t="s">
        <v>2046</v>
      </c>
      <c r="H918" s="460" t="s">
        <v>1965</v>
      </c>
      <c r="I918" s="460"/>
      <c r="J918" s="540">
        <v>697</v>
      </c>
      <c r="K918" s="540">
        <v>160</v>
      </c>
      <c r="L918" s="540"/>
      <c r="M918" s="545"/>
      <c r="N918" s="566">
        <f>J918*INDEX([2]Pedidos!$Q:$Q,MATCH(F918,[2]Pedidos!$E:$E,0))</f>
        <v>592.44999999999993</v>
      </c>
      <c r="O918" s="564">
        <f>K918*INDEX([2]Pedidos!$Q:$Q,MATCH(G918,[2]Pedidos!$E:$E,0))</f>
        <v>0</v>
      </c>
      <c r="P918" s="566">
        <f>M918*INDEX([2]Pedidos!$Q:$Q,MATCH(H918,[2]Pedidos!$E:$E,0))</f>
        <v>0</v>
      </c>
    </row>
    <row r="919" spans="3:18" x14ac:dyDescent="0.25">
      <c r="C919" s="452" t="s">
        <v>1938</v>
      </c>
      <c r="D919" s="449">
        <f t="shared" si="176"/>
        <v>46210</v>
      </c>
      <c r="E919" s="454" t="s">
        <v>585</v>
      </c>
      <c r="F919" s="505"/>
      <c r="G919" s="505"/>
      <c r="H919" s="505"/>
      <c r="I919" s="724"/>
      <c r="J919" s="516" cm="1">
        <f t="array" aca="1" ref="J919" ca="1">IFERROR(_xlfn.LET(_xlpm.produto,TRIM(F919)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19" s="516" cm="1">
        <f t="array" aca="1" ref="K919" ca="1">IFERROR(_xlfn.LET(_xlpm.produto,TRIM(G919)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19" s="516" cm="1">
        <f t="array" aca="1" ref="L919" ca="1">IFERROR(_xlfn.LET(_xlpm.produto,TRIM(H919)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19" s="516" cm="1">
        <f t="array" aca="1" ref="M919" ca="1">IFERROR(_xlfn.LET(_xlpm.produto,TRIM(H919)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19" s="557"/>
      <c r="O919" s="557"/>
      <c r="P919" s="557"/>
    </row>
    <row r="920" spans="3:18" x14ac:dyDescent="0.25">
      <c r="C920" s="452" t="s">
        <v>1938</v>
      </c>
      <c r="D920" s="449">
        <f t="shared" si="176"/>
        <v>46210</v>
      </c>
      <c r="E920" s="455" t="s">
        <v>574</v>
      </c>
      <c r="F920" s="505"/>
      <c r="G920" s="505"/>
      <c r="H920" s="505"/>
      <c r="I920" s="506"/>
      <c r="J920" s="516" cm="1">
        <f t="array" aca="1" ref="J920" ca="1">IFERROR(_xlfn.LET(_xlpm.produto,TRIM(F920)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20" s="516" cm="1">
        <f t="array" aca="1" ref="K920" ca="1">IFERROR(_xlfn.LET(_xlpm.produto,TRIM(G920)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20" s="516" cm="1">
        <f t="array" aca="1" ref="L920" ca="1">IFERROR(_xlfn.LET(_xlpm.produto,TRIM(H920)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20" s="516" cm="1">
        <f t="array" aca="1" ref="M920" ca="1">IFERROR(_xlfn.LET(_xlpm.produto,TRIM(H920)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20" s="557"/>
      <c r="O920" s="557"/>
      <c r="P920" s="557"/>
    </row>
    <row r="921" spans="3:18" x14ac:dyDescent="0.25">
      <c r="C921" s="452" t="s">
        <v>1938</v>
      </c>
      <c r="D921" s="449">
        <f t="shared" si="176"/>
        <v>46210</v>
      </c>
      <c r="E921" s="455" t="s">
        <v>575</v>
      </c>
      <c r="F921" s="506"/>
      <c r="G921" s="506"/>
      <c r="H921" s="506"/>
      <c r="I921" s="506"/>
      <c r="J921" s="516" cm="1">
        <f t="array" aca="1" ref="J921" ca="1">IFERROR(_xlfn.LET(_xlpm.produto,TRIM(F921)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21" s="516" cm="1">
        <f t="array" aca="1" ref="K921" ca="1">IFERROR(_xlfn.LET(_xlpm.produto,TRIM(G921)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21" s="516" cm="1">
        <f t="array" aca="1" ref="L921" ca="1">IFERROR(_xlfn.LET(_xlpm.produto,TRIM(H921)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21" s="516" cm="1">
        <f t="array" aca="1" ref="M921" ca="1">IFERROR(_xlfn.LET(_xlpm.produto,TRIM(H921)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21" s="557"/>
      <c r="O921" s="557"/>
      <c r="P921" s="557"/>
    </row>
    <row r="922" spans="3:18" x14ac:dyDescent="0.25">
      <c r="C922" s="452" t="s">
        <v>1938</v>
      </c>
      <c r="D922" s="502">
        <f t="shared" si="176"/>
        <v>46210</v>
      </c>
      <c r="E922" s="503" t="s">
        <v>583</v>
      </c>
      <c r="F922" s="506"/>
      <c r="G922" s="506"/>
      <c r="H922" s="506"/>
      <c r="I922" s="506"/>
      <c r="J922" s="516" cm="1">
        <f t="array" aca="1" ref="J922" ca="1">IFERROR(_xlfn.LET(_xlpm.produto,TRIM(F922)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22" s="516" cm="1">
        <f t="array" aca="1" ref="K922" ca="1">IFERROR(_xlfn.LET(_xlpm.produto,TRIM(G922)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22" s="516" cm="1">
        <f t="array" aca="1" ref="L922" ca="1">IFERROR(_xlfn.LET(_xlpm.produto,TRIM(H922)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22" s="516" cm="1">
        <f t="array" aca="1" ref="M922" ca="1">IFERROR(_xlfn.LET(_xlpm.produto,TRIM(H922)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22" s="557"/>
      <c r="O922" s="557"/>
      <c r="P922" s="557"/>
    </row>
    <row r="923" spans="3:18" ht="15.75" thickBot="1" x14ac:dyDescent="0.3">
      <c r="C923" s="530" t="s">
        <v>1938</v>
      </c>
      <c r="D923" s="451">
        <f t="shared" si="176"/>
        <v>46210</v>
      </c>
      <c r="E923" s="459" t="s">
        <v>584</v>
      </c>
      <c r="F923" s="493"/>
      <c r="G923" s="493"/>
      <c r="H923" s="493"/>
      <c r="I923" s="493"/>
      <c r="J923" s="513" cm="1">
        <f t="array" aca="1" ref="J923" ca="1">IFERROR(_xlfn.LET(_xlpm.produto,TRIM(F923)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23" s="513" cm="1">
        <f t="array" aca="1" ref="K923" ca="1">IFERROR(_xlfn.LET(_xlpm.produto,TRIM(G923)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23" s="516" cm="1">
        <f t="array" aca="1" ref="L923" ca="1">IFERROR(_xlfn.LET(_xlpm.produto,TRIM(H923)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23" s="513" cm="1">
        <f t="array" aca="1" ref="M923" ca="1">IFERROR(_xlfn.LET(_xlpm.produto,TRIM(H923)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23" s="558"/>
      <c r="O923" s="558"/>
      <c r="P923" s="558"/>
    </row>
    <row r="924" spans="3:18" ht="15.75" thickBot="1" x14ac:dyDescent="0.3"/>
    <row r="925" spans="3:18" ht="15.75" thickBot="1" x14ac:dyDescent="0.3">
      <c r="C925" s="546">
        <f ca="1">SUM(J853:M853,J871:M871,J889:M889,J907:M907,J925:M925)</f>
        <v>21906</v>
      </c>
      <c r="D925" s="547">
        <f>SUM(R925,R907,R889,R871,R853)</f>
        <v>17883.149999999998</v>
      </c>
      <c r="E925" s="539"/>
      <c r="F925" s="539"/>
      <c r="G925" s="539"/>
      <c r="H925" s="539"/>
      <c r="I925" s="539"/>
      <c r="J925" s="606">
        <f t="shared" ref="J925:K925" ca="1" si="177">_xlfn.AGGREGATE(9,6,J926:J941)</f>
        <v>6273</v>
      </c>
      <c r="K925" s="607">
        <f t="shared" ca="1" si="177"/>
        <v>6480</v>
      </c>
      <c r="L925" s="607"/>
      <c r="M925" s="544">
        <f t="shared" ref="M925:P925" ca="1" si="178">_xlfn.AGGREGATE(9,6,M926:M941)</f>
        <v>0</v>
      </c>
      <c r="N925" s="560">
        <f t="shared" si="178"/>
        <v>5332.0499999999993</v>
      </c>
      <c r="O925" s="561">
        <f t="shared" si="178"/>
        <v>1887.0000000000002</v>
      </c>
      <c r="P925" s="562">
        <f t="shared" si="178"/>
        <v>0</v>
      </c>
      <c r="Q925" s="548">
        <f ca="1">SUM(J925:M925)</f>
        <v>12753</v>
      </c>
      <c r="R925" s="549">
        <f>SUM(N925:P925)</f>
        <v>7219.0499999999993</v>
      </c>
    </row>
    <row r="926" spans="3:18" x14ac:dyDescent="0.25">
      <c r="C926" s="529" t="s">
        <v>1832</v>
      </c>
      <c r="D926" s="447">
        <f>D923+1</f>
        <v>46211</v>
      </c>
      <c r="E926" s="498" t="s">
        <v>573</v>
      </c>
      <c r="F926" s="514"/>
      <c r="G926" s="514"/>
      <c r="H926" s="514"/>
      <c r="I926" s="724"/>
      <c r="J926" s="537"/>
      <c r="K926" s="537"/>
      <c r="L926" s="537"/>
      <c r="M926" s="537"/>
      <c r="N926" s="563"/>
      <c r="O926" s="563"/>
      <c r="P926" s="563"/>
    </row>
    <row r="927" spans="3:18" x14ac:dyDescent="0.25">
      <c r="C927" s="452" t="s">
        <v>1832</v>
      </c>
      <c r="D927" s="453">
        <f t="shared" ref="D927:D941" si="179">D926</f>
        <v>46211</v>
      </c>
      <c r="E927" s="500" t="s">
        <v>162</v>
      </c>
      <c r="F927" s="460" t="s">
        <v>1989</v>
      </c>
      <c r="G927" s="460" t="s">
        <v>2044</v>
      </c>
      <c r="H927" s="460" t="s">
        <v>2049</v>
      </c>
      <c r="I927" s="460"/>
      <c r="J927" s="540">
        <v>697</v>
      </c>
      <c r="K927" s="540">
        <v>740</v>
      </c>
      <c r="L927" s="540"/>
      <c r="M927" s="545"/>
      <c r="N927" s="555">
        <f>J927*INDEX([2]Pedidos!$Q:$Q,MATCH(F927,[2]Pedidos!$E:$E,0))</f>
        <v>592.44999999999993</v>
      </c>
      <c r="O927" s="564">
        <f>K927*INDEX([2]Pedidos!$Q:$Q,MATCH(G927,[2]Pedidos!$E:$E,0))</f>
        <v>377.40000000000003</v>
      </c>
      <c r="P927" s="555">
        <f>M927*INDEX([2]Pedidos!$Q:$Q,MATCH(H927,[2]Pedidos!$E:$E,0))</f>
        <v>0</v>
      </c>
    </row>
    <row r="928" spans="3:18" x14ac:dyDescent="0.25">
      <c r="C928" s="452" t="s">
        <v>1832</v>
      </c>
      <c r="D928" s="453">
        <f t="shared" si="179"/>
        <v>46211</v>
      </c>
      <c r="E928" s="454" t="s">
        <v>163</v>
      </c>
      <c r="F928" s="460" t="s">
        <v>1989</v>
      </c>
      <c r="G928" s="460" t="s">
        <v>2044</v>
      </c>
      <c r="H928" s="460" t="s">
        <v>2049</v>
      </c>
      <c r="I928" s="460"/>
      <c r="J928" s="540">
        <v>697</v>
      </c>
      <c r="K928" s="540">
        <v>740</v>
      </c>
      <c r="L928" s="540"/>
      <c r="M928" s="545"/>
      <c r="N928" s="564">
        <f>J928*INDEX([2]Pedidos!$Q:$Q,MATCH(F928,[2]Pedidos!$E:$E,0))</f>
        <v>592.44999999999993</v>
      </c>
      <c r="O928" s="564">
        <f>K928*INDEX([2]Pedidos!$Q:$Q,MATCH(G928,[2]Pedidos!$E:$E,0))</f>
        <v>377.40000000000003</v>
      </c>
      <c r="P928" s="564">
        <f>M928*INDEX([2]Pedidos!$Q:$Q,MATCH(H928,[2]Pedidos!$E:$E,0))</f>
        <v>0</v>
      </c>
    </row>
    <row r="929" spans="3:18" x14ac:dyDescent="0.25">
      <c r="C929" s="452" t="s">
        <v>1832</v>
      </c>
      <c r="D929" s="453">
        <f t="shared" si="179"/>
        <v>46211</v>
      </c>
      <c r="E929" s="454" t="s">
        <v>164</v>
      </c>
      <c r="F929" s="460" t="s">
        <v>1989</v>
      </c>
      <c r="G929" s="460" t="s">
        <v>2044</v>
      </c>
      <c r="H929" s="460" t="s">
        <v>2049</v>
      </c>
      <c r="I929" s="460"/>
      <c r="J929" s="540">
        <v>697</v>
      </c>
      <c r="K929" s="540">
        <v>740</v>
      </c>
      <c r="L929" s="540"/>
      <c r="M929" s="545"/>
      <c r="N929" s="564">
        <f>J929*INDEX([2]Pedidos!$Q:$Q,MATCH(F929,[2]Pedidos!$E:$E,0))</f>
        <v>592.44999999999993</v>
      </c>
      <c r="O929" s="564">
        <f>K929*INDEX([2]Pedidos!$Q:$Q,MATCH(G929,[2]Pedidos!$E:$E,0))</f>
        <v>377.40000000000003</v>
      </c>
      <c r="P929" s="564">
        <f>M929*INDEX([2]Pedidos!$Q:$Q,MATCH(H929,[2]Pedidos!$E:$E,0))</f>
        <v>0</v>
      </c>
    </row>
    <row r="930" spans="3:18" x14ac:dyDescent="0.25">
      <c r="C930" s="452" t="s">
        <v>1832</v>
      </c>
      <c r="D930" s="453">
        <f t="shared" si="179"/>
        <v>46211</v>
      </c>
      <c r="E930" s="454" t="s">
        <v>165</v>
      </c>
      <c r="F930" s="460" t="s">
        <v>1989</v>
      </c>
      <c r="G930" s="460" t="s">
        <v>2044</v>
      </c>
      <c r="H930" s="460" t="s">
        <v>2049</v>
      </c>
      <c r="I930" s="460"/>
      <c r="J930" s="540">
        <v>697</v>
      </c>
      <c r="K930" s="540">
        <v>740</v>
      </c>
      <c r="L930" s="540"/>
      <c r="M930" s="545"/>
      <c r="N930" s="564">
        <f>J930*INDEX([2]Pedidos!$Q:$Q,MATCH(F930,[2]Pedidos!$E:$E,0))</f>
        <v>592.44999999999993</v>
      </c>
      <c r="O930" s="564">
        <f>K930*INDEX([2]Pedidos!$Q:$Q,MATCH(G930,[2]Pedidos!$E:$E,0))</f>
        <v>377.40000000000003</v>
      </c>
      <c r="P930" s="564">
        <f>M930*INDEX([2]Pedidos!$Q:$Q,MATCH(H930,[2]Pedidos!$E:$E,0))</f>
        <v>0</v>
      </c>
    </row>
    <row r="931" spans="3:18" x14ac:dyDescent="0.25">
      <c r="C931" s="452" t="s">
        <v>1832</v>
      </c>
      <c r="D931" s="453">
        <f t="shared" si="179"/>
        <v>46211</v>
      </c>
      <c r="E931" s="454" t="s">
        <v>166</v>
      </c>
      <c r="F931" s="460" t="s">
        <v>1989</v>
      </c>
      <c r="G931" s="460" t="s">
        <v>2044</v>
      </c>
      <c r="H931" s="460" t="s">
        <v>2049</v>
      </c>
      <c r="I931" s="460"/>
      <c r="J931" s="540">
        <v>697</v>
      </c>
      <c r="K931" s="540">
        <v>740</v>
      </c>
      <c r="L931" s="540"/>
      <c r="M931" s="545"/>
      <c r="N931" s="564">
        <f>J931*INDEX([2]Pedidos!$Q:$Q,MATCH(F931,[2]Pedidos!$E:$E,0))</f>
        <v>592.44999999999993</v>
      </c>
      <c r="O931" s="564">
        <f>K931*INDEX([2]Pedidos!$Q:$Q,MATCH(G931,[2]Pedidos!$E:$E,0))</f>
        <v>377.40000000000003</v>
      </c>
      <c r="P931" s="564">
        <f>M931*INDEX([2]Pedidos!$Q:$Q,MATCH(H931,[2]Pedidos!$E:$E,0))</f>
        <v>0</v>
      </c>
    </row>
    <row r="932" spans="3:18" x14ac:dyDescent="0.25">
      <c r="C932" s="452" t="s">
        <v>1832</v>
      </c>
      <c r="D932" s="453">
        <f t="shared" si="179"/>
        <v>46211</v>
      </c>
      <c r="E932" s="454" t="s">
        <v>576</v>
      </c>
      <c r="F932" s="512"/>
      <c r="G932" s="512"/>
      <c r="H932" s="512"/>
      <c r="I932" s="512"/>
      <c r="J932" s="541" cm="1">
        <f t="array" aca="1" ref="J932" ca="1">IFERROR(_xlfn.LET(_xlpm.produto,TRIM(F932)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32" s="541" cm="1">
        <f t="array" aca="1" ref="K932" ca="1">IFERROR(_xlfn.LET(_xlpm.produto,TRIM(G932)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32" s="541" cm="1">
        <f t="array" aca="1" ref="L932" ca="1">IFERROR(_xlfn.LET(_xlpm.produto,TRIM(H932)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32" s="541" cm="1">
        <f t="array" aca="1" ref="M932" ca="1">IFERROR(_xlfn.LET(_xlpm.produto,TRIM(H932)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32" s="556"/>
      <c r="O932" s="556"/>
      <c r="P932" s="556"/>
    </row>
    <row r="933" spans="3:18" x14ac:dyDescent="0.25">
      <c r="C933" s="452" t="s">
        <v>1832</v>
      </c>
      <c r="D933" s="449">
        <f t="shared" si="179"/>
        <v>46211</v>
      </c>
      <c r="E933" s="454" t="s">
        <v>167</v>
      </c>
      <c r="F933" s="460" t="s">
        <v>1824</v>
      </c>
      <c r="G933" s="613" t="s">
        <v>1859</v>
      </c>
      <c r="H933" s="460"/>
      <c r="I933" s="460"/>
      <c r="J933" s="540">
        <v>697</v>
      </c>
      <c r="K933" s="540">
        <v>695</v>
      </c>
      <c r="L933" s="540"/>
      <c r="M933" s="545"/>
      <c r="N933" s="565">
        <f>J933*INDEX([2]Pedidos!$Q:$Q,MATCH(F933,[2]Pedidos!$E:$E,0))</f>
        <v>592.44999999999993</v>
      </c>
      <c r="O933" s="564" t="e">
        <f>K933*INDEX([2]Pedidos!$Q:$Q,MATCH(G933,[2]Pedidos!$E:$E,0))</f>
        <v>#N/A</v>
      </c>
      <c r="P933" s="565" t="e">
        <f>M933*INDEX([2]Pedidos!$Q:$Q,MATCH(H933,[2]Pedidos!$E:$E,0))</f>
        <v>#N/A</v>
      </c>
    </row>
    <row r="934" spans="3:18" x14ac:dyDescent="0.25">
      <c r="C934" s="452" t="s">
        <v>1832</v>
      </c>
      <c r="D934" s="449">
        <f t="shared" si="179"/>
        <v>46211</v>
      </c>
      <c r="E934" s="454" t="s">
        <v>168</v>
      </c>
      <c r="F934" s="460" t="s">
        <v>1824</v>
      </c>
      <c r="G934" s="613" t="s">
        <v>1859</v>
      </c>
      <c r="H934" s="460"/>
      <c r="I934" s="460"/>
      <c r="J934" s="540">
        <v>697</v>
      </c>
      <c r="K934" s="540">
        <v>695</v>
      </c>
      <c r="L934" s="540"/>
      <c r="M934" s="545"/>
      <c r="N934" s="565">
        <f>J934*INDEX([2]Pedidos!$Q:$Q,MATCH(F934,[2]Pedidos!$E:$E,0))</f>
        <v>592.44999999999993</v>
      </c>
      <c r="O934" s="564" t="e">
        <f>K934*INDEX([2]Pedidos!$Q:$Q,MATCH(G934,[2]Pedidos!$E:$E,0))</f>
        <v>#N/A</v>
      </c>
      <c r="P934" s="565" t="e">
        <f>M934*INDEX([2]Pedidos!$Q:$Q,MATCH(H934,[2]Pedidos!$E:$E,0))</f>
        <v>#N/A</v>
      </c>
    </row>
    <row r="935" spans="3:18" x14ac:dyDescent="0.25">
      <c r="C935" s="452" t="s">
        <v>1832</v>
      </c>
      <c r="D935" s="449">
        <f t="shared" si="179"/>
        <v>46211</v>
      </c>
      <c r="E935" s="454" t="s">
        <v>169</v>
      </c>
      <c r="F935" s="460" t="s">
        <v>1824</v>
      </c>
      <c r="G935" s="613" t="s">
        <v>1859</v>
      </c>
      <c r="H935" s="460"/>
      <c r="I935" s="460"/>
      <c r="J935" s="540">
        <v>697</v>
      </c>
      <c r="K935" s="540">
        <v>695</v>
      </c>
      <c r="L935" s="540"/>
      <c r="M935" s="545"/>
      <c r="N935" s="565">
        <f>J935*INDEX([2]Pedidos!$Q:$Q,MATCH(F935,[2]Pedidos!$E:$E,0))</f>
        <v>592.44999999999993</v>
      </c>
      <c r="O935" s="564" t="e">
        <f>K935*INDEX([2]Pedidos!$Q:$Q,MATCH(G935,[2]Pedidos!$E:$E,0))</f>
        <v>#N/A</v>
      </c>
      <c r="P935" s="565" t="e">
        <f>M935*INDEX([2]Pedidos!$Q:$Q,MATCH(H935,[2]Pedidos!$E:$E,0))</f>
        <v>#N/A</v>
      </c>
    </row>
    <row r="936" spans="3:18" x14ac:dyDescent="0.25">
      <c r="C936" s="452" t="s">
        <v>1832</v>
      </c>
      <c r="D936" s="449">
        <f t="shared" si="179"/>
        <v>46211</v>
      </c>
      <c r="E936" s="454" t="s">
        <v>170</v>
      </c>
      <c r="F936" s="460" t="s">
        <v>1824</v>
      </c>
      <c r="G936" s="613" t="s">
        <v>1859</v>
      </c>
      <c r="H936" s="460"/>
      <c r="I936" s="460"/>
      <c r="J936" s="540">
        <v>697</v>
      </c>
      <c r="K936" s="540">
        <v>695</v>
      </c>
      <c r="L936" s="540"/>
      <c r="M936" s="545"/>
      <c r="N936" s="566">
        <f>J936*INDEX([2]Pedidos!$Q:$Q,MATCH(F936,[2]Pedidos!$E:$E,0))</f>
        <v>592.44999999999993</v>
      </c>
      <c r="O936" s="564" t="e">
        <f>K936*INDEX([2]Pedidos!$Q:$Q,MATCH(G936,[2]Pedidos!$E:$E,0))</f>
        <v>#N/A</v>
      </c>
      <c r="P936" s="566" t="e">
        <f>M936*INDEX([2]Pedidos!$Q:$Q,MATCH(H936,[2]Pedidos!$E:$E,0))</f>
        <v>#N/A</v>
      </c>
    </row>
    <row r="937" spans="3:18" x14ac:dyDescent="0.25">
      <c r="C937" s="452" t="s">
        <v>1832</v>
      </c>
      <c r="D937" s="449">
        <f t="shared" si="179"/>
        <v>46211</v>
      </c>
      <c r="E937" s="454" t="s">
        <v>585</v>
      </c>
      <c r="F937" s="505"/>
      <c r="G937" s="505"/>
      <c r="H937" s="505"/>
      <c r="I937" s="506"/>
      <c r="J937" s="516" cm="1">
        <f t="array" aca="1" ref="J937" ca="1">IFERROR(_xlfn.LET(_xlpm.produto,TRIM(F937)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37" s="516" cm="1">
        <f t="array" aca="1" ref="K937" ca="1">IFERROR(_xlfn.LET(_xlpm.produto,TRIM(G937)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37" s="516" cm="1">
        <f t="array" aca="1" ref="L937" ca="1">IFERROR(_xlfn.LET(_xlpm.produto,TRIM(H937)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37" s="516" cm="1">
        <f t="array" aca="1" ref="M937" ca="1">IFERROR(_xlfn.LET(_xlpm.produto,TRIM(H937)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37" s="557"/>
      <c r="O937" s="557"/>
      <c r="P937" s="557"/>
    </row>
    <row r="938" spans="3:18" x14ac:dyDescent="0.25">
      <c r="C938" s="452" t="s">
        <v>1832</v>
      </c>
      <c r="D938" s="449">
        <f t="shared" si="179"/>
        <v>46211</v>
      </c>
      <c r="E938" s="455" t="s">
        <v>574</v>
      </c>
      <c r="F938" s="505"/>
      <c r="G938" s="505"/>
      <c r="H938" s="505"/>
      <c r="I938" s="506"/>
      <c r="J938" s="516" cm="1">
        <f t="array" aca="1" ref="J938" ca="1">IFERROR(_xlfn.LET(_xlpm.produto,TRIM(F938)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38" s="516" cm="1">
        <f t="array" aca="1" ref="K938" ca="1">IFERROR(_xlfn.LET(_xlpm.produto,TRIM(G938)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38" s="516" cm="1">
        <f t="array" aca="1" ref="L938" ca="1">IFERROR(_xlfn.LET(_xlpm.produto,TRIM(H938)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38" s="516" cm="1">
        <f t="array" aca="1" ref="M938" ca="1">IFERROR(_xlfn.LET(_xlpm.produto,TRIM(H938)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38" s="557"/>
      <c r="O938" s="557"/>
      <c r="P938" s="557"/>
    </row>
    <row r="939" spans="3:18" x14ac:dyDescent="0.25">
      <c r="C939" s="452" t="s">
        <v>1832</v>
      </c>
      <c r="D939" s="449">
        <f t="shared" si="179"/>
        <v>46211</v>
      </c>
      <c r="E939" s="455" t="s">
        <v>575</v>
      </c>
      <c r="F939" s="506"/>
      <c r="G939" s="506"/>
      <c r="H939" s="506"/>
      <c r="I939" s="506"/>
      <c r="J939" s="516" cm="1">
        <f t="array" aca="1" ref="J939" ca="1">IFERROR(_xlfn.LET(_xlpm.produto,TRIM(F939)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39" s="516" cm="1">
        <f t="array" aca="1" ref="K939" ca="1">IFERROR(_xlfn.LET(_xlpm.produto,TRIM(G939)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39" s="516" cm="1">
        <f t="array" aca="1" ref="L939" ca="1">IFERROR(_xlfn.LET(_xlpm.produto,TRIM(H939)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39" s="516" cm="1">
        <f t="array" aca="1" ref="M939" ca="1">IFERROR(_xlfn.LET(_xlpm.produto,TRIM(H939)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39" s="557"/>
      <c r="O939" s="557"/>
      <c r="P939" s="557"/>
    </row>
    <row r="940" spans="3:18" x14ac:dyDescent="0.25">
      <c r="C940" s="452" t="s">
        <v>1832</v>
      </c>
      <c r="D940" s="502">
        <f t="shared" si="179"/>
        <v>46211</v>
      </c>
      <c r="E940" s="503" t="s">
        <v>583</v>
      </c>
      <c r="F940" s="506"/>
      <c r="G940" s="506"/>
      <c r="H940" s="506"/>
      <c r="I940" s="506"/>
      <c r="J940" s="516" cm="1">
        <f t="array" aca="1" ref="J940" ca="1">IFERROR(_xlfn.LET(_xlpm.produto,TRIM(F940)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40" s="516" cm="1">
        <f t="array" aca="1" ref="K940" ca="1">IFERROR(_xlfn.LET(_xlpm.produto,TRIM(G940)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40" s="516" cm="1">
        <f t="array" aca="1" ref="L940" ca="1">IFERROR(_xlfn.LET(_xlpm.produto,TRIM(H940)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40" s="516" cm="1">
        <f t="array" aca="1" ref="M940" ca="1">IFERROR(_xlfn.LET(_xlpm.produto,TRIM(H940)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40" s="557"/>
      <c r="O940" s="557"/>
      <c r="P940" s="557"/>
    </row>
    <row r="941" spans="3:18" ht="15.75" thickBot="1" x14ac:dyDescent="0.3">
      <c r="C941" s="530" t="s">
        <v>1832</v>
      </c>
      <c r="D941" s="451">
        <f t="shared" si="179"/>
        <v>46211</v>
      </c>
      <c r="E941" s="459" t="s">
        <v>584</v>
      </c>
      <c r="F941" s="493"/>
      <c r="G941" s="493"/>
      <c r="H941" s="493"/>
      <c r="I941" s="493"/>
      <c r="J941" s="513" cm="1">
        <f t="array" aca="1" ref="J941" ca="1">IFERROR(_xlfn.LET(_xlpm.produto,TRIM(F941)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41" s="513" cm="1">
        <f t="array" aca="1" ref="K941" ca="1">IFERROR(_xlfn.LET(_xlpm.produto,TRIM(G941)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41" s="516" cm="1">
        <f t="array" aca="1" ref="L941" ca="1">IFERROR(_xlfn.LET(_xlpm.produto,TRIM(H941)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41" s="513" cm="1">
        <f t="array" aca="1" ref="M941" ca="1">IFERROR(_xlfn.LET(_xlpm.produto,TRIM(H941)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41" s="558"/>
      <c r="O941" s="558"/>
      <c r="P941" s="558"/>
    </row>
    <row r="942" spans="3:18" ht="15.75" thickBot="1" x14ac:dyDescent="0.3"/>
    <row r="943" spans="3:18" ht="15.75" thickBot="1" x14ac:dyDescent="0.3">
      <c r="C943" s="546" t="s">
        <v>2007</v>
      </c>
      <c r="D943" s="547">
        <f>SUM(R943,R925,R907,R889,R871)</f>
        <v>17883.149999999998</v>
      </c>
      <c r="E943" s="539"/>
      <c r="F943" s="539"/>
      <c r="G943" s="539"/>
      <c r="H943" s="539"/>
      <c r="I943" s="539"/>
      <c r="J943" s="606">
        <f t="shared" ref="J943:L943" ca="1" si="180">_xlfn.AGGREGATE(9,6,J944:J959)</f>
        <v>0</v>
      </c>
      <c r="K943" s="607">
        <f t="shared" ca="1" si="180"/>
        <v>0</v>
      </c>
      <c r="L943" s="607">
        <f t="shared" ca="1" si="180"/>
        <v>0</v>
      </c>
      <c r="M943" s="544">
        <f t="shared" ref="M943:P943" ca="1" si="181">_xlfn.AGGREGATE(9,6,M944:M959)</f>
        <v>0</v>
      </c>
      <c r="N943" s="560">
        <f t="shared" si="181"/>
        <v>0</v>
      </c>
      <c r="O943" s="561">
        <f t="shared" si="181"/>
        <v>0</v>
      </c>
      <c r="P943" s="562">
        <f t="shared" si="181"/>
        <v>0</v>
      </c>
      <c r="Q943" s="548">
        <f ca="1">SUM(J943:M943)</f>
        <v>0</v>
      </c>
      <c r="R943" s="549">
        <f>SUM(N943:P943)</f>
        <v>0</v>
      </c>
    </row>
    <row r="944" spans="3:18" x14ac:dyDescent="0.25">
      <c r="C944" s="529" t="s">
        <v>1825</v>
      </c>
      <c r="D944" s="447">
        <f>D941+1</f>
        <v>46212</v>
      </c>
      <c r="E944" s="498" t="s">
        <v>573</v>
      </c>
      <c r="F944" s="505"/>
      <c r="G944" s="505"/>
      <c r="H944" s="505"/>
      <c r="I944" s="505"/>
      <c r="J944" s="537"/>
      <c r="K944" s="537"/>
      <c r="L944" s="537"/>
      <c r="M944" s="537"/>
      <c r="N944" s="563"/>
      <c r="O944" s="563"/>
      <c r="P944" s="563"/>
    </row>
    <row r="945" spans="3:16" x14ac:dyDescent="0.25">
      <c r="C945" s="452" t="s">
        <v>1825</v>
      </c>
      <c r="D945" s="453">
        <f t="shared" ref="D945:D959" si="182">D944</f>
        <v>46212</v>
      </c>
      <c r="E945" s="500" t="s">
        <v>162</v>
      </c>
      <c r="F945" s="505"/>
      <c r="G945" s="505"/>
      <c r="H945" s="505"/>
      <c r="I945" s="505"/>
      <c r="J945" s="540"/>
      <c r="K945" s="540"/>
      <c r="L945" s="540"/>
      <c r="M945" s="545"/>
      <c r="N945" s="555" t="e">
        <f>J945*INDEX([2]Pedidos!$Q:$Q,MATCH(F945,[2]Pedidos!$E:$E,0))</f>
        <v>#N/A</v>
      </c>
      <c r="O945" s="564" t="e">
        <f>K945*INDEX([2]Pedidos!$Q:$Q,MATCH(G945,[2]Pedidos!$E:$E,0))</f>
        <v>#N/A</v>
      </c>
      <c r="P945" s="555" t="e">
        <f>M945*INDEX([2]Pedidos!$Q:$Q,MATCH(H945,[2]Pedidos!$E:$E,0))</f>
        <v>#N/A</v>
      </c>
    </row>
    <row r="946" spans="3:16" x14ac:dyDescent="0.25">
      <c r="C946" s="452" t="s">
        <v>1825</v>
      </c>
      <c r="D946" s="453">
        <f t="shared" si="182"/>
        <v>46212</v>
      </c>
      <c r="E946" s="454" t="s">
        <v>163</v>
      </c>
      <c r="F946" s="505"/>
      <c r="G946" s="505"/>
      <c r="H946" s="505"/>
      <c r="I946" s="505"/>
      <c r="J946" s="540"/>
      <c r="K946" s="540"/>
      <c r="L946" s="540"/>
      <c r="M946" s="545"/>
      <c r="N946" s="564" t="e">
        <f>J946*INDEX([2]Pedidos!$Q:$Q,MATCH(F946,[2]Pedidos!$E:$E,0))</f>
        <v>#N/A</v>
      </c>
      <c r="O946" s="564" t="e">
        <f>K946*INDEX([2]Pedidos!$Q:$Q,MATCH(G946,[2]Pedidos!$E:$E,0))</f>
        <v>#N/A</v>
      </c>
      <c r="P946" s="564" t="e">
        <f>M946*INDEX([2]Pedidos!$Q:$Q,MATCH(H946,[2]Pedidos!$E:$E,0))</f>
        <v>#N/A</v>
      </c>
    </row>
    <row r="947" spans="3:16" x14ac:dyDescent="0.25">
      <c r="C947" s="452" t="s">
        <v>1825</v>
      </c>
      <c r="D947" s="453">
        <f t="shared" si="182"/>
        <v>46212</v>
      </c>
      <c r="E947" s="454" t="s">
        <v>164</v>
      </c>
      <c r="F947" s="505"/>
      <c r="G947" s="505"/>
      <c r="H947" s="505"/>
      <c r="I947" s="505"/>
      <c r="J947" s="540"/>
      <c r="K947" s="540"/>
      <c r="L947" s="540"/>
      <c r="M947" s="545"/>
      <c r="N947" s="564" t="e">
        <f>J947*INDEX([2]Pedidos!$Q:$Q,MATCH(F947,[2]Pedidos!$E:$E,0))</f>
        <v>#N/A</v>
      </c>
      <c r="O947" s="564" t="e">
        <f>K947*INDEX([2]Pedidos!$Q:$Q,MATCH(G947,[2]Pedidos!$E:$E,0))</f>
        <v>#N/A</v>
      </c>
      <c r="P947" s="564" t="e">
        <f>M947*INDEX([2]Pedidos!$Q:$Q,MATCH(H947,[2]Pedidos!$E:$E,0))</f>
        <v>#N/A</v>
      </c>
    </row>
    <row r="948" spans="3:16" x14ac:dyDescent="0.25">
      <c r="C948" s="452" t="s">
        <v>1825</v>
      </c>
      <c r="D948" s="453">
        <f t="shared" si="182"/>
        <v>46212</v>
      </c>
      <c r="E948" s="454" t="s">
        <v>165</v>
      </c>
      <c r="F948" s="505"/>
      <c r="G948" s="505"/>
      <c r="H948" s="505"/>
      <c r="I948" s="505"/>
      <c r="J948" s="540"/>
      <c r="K948" s="540"/>
      <c r="L948" s="540"/>
      <c r="M948" s="545"/>
      <c r="N948" s="564" t="e">
        <f>J948*INDEX([2]Pedidos!$Q:$Q,MATCH(F948,[2]Pedidos!$E:$E,0))</f>
        <v>#N/A</v>
      </c>
      <c r="O948" s="564" t="e">
        <f>K948*INDEX([2]Pedidos!$Q:$Q,MATCH(G948,[2]Pedidos!$E:$E,0))</f>
        <v>#N/A</v>
      </c>
      <c r="P948" s="564" t="e">
        <f>M948*INDEX([2]Pedidos!$Q:$Q,MATCH(H948,[2]Pedidos!$E:$E,0))</f>
        <v>#N/A</v>
      </c>
    </row>
    <row r="949" spans="3:16" x14ac:dyDescent="0.25">
      <c r="C949" s="452" t="s">
        <v>1825</v>
      </c>
      <c r="D949" s="453">
        <f t="shared" si="182"/>
        <v>46212</v>
      </c>
      <c r="E949" s="454" t="s">
        <v>166</v>
      </c>
      <c r="F949" s="505"/>
      <c r="G949" s="505"/>
      <c r="H949" s="505"/>
      <c r="I949" s="505"/>
      <c r="J949" s="540"/>
      <c r="K949" s="540"/>
      <c r="L949" s="540"/>
      <c r="M949" s="545"/>
      <c r="N949" s="564" t="e">
        <f>J949*INDEX([2]Pedidos!$Q:$Q,MATCH(F949,[2]Pedidos!$E:$E,0))</f>
        <v>#N/A</v>
      </c>
      <c r="O949" s="564" t="e">
        <f>K949*INDEX([2]Pedidos!$Q:$Q,MATCH(G949,[2]Pedidos!$E:$E,0))</f>
        <v>#N/A</v>
      </c>
      <c r="P949" s="564" t="e">
        <f>M949*INDEX([2]Pedidos!$Q:$Q,MATCH(H949,[2]Pedidos!$E:$E,0))</f>
        <v>#N/A</v>
      </c>
    </row>
    <row r="950" spans="3:16" x14ac:dyDescent="0.25">
      <c r="C950" s="452" t="s">
        <v>1825</v>
      </c>
      <c r="D950" s="453">
        <f t="shared" si="182"/>
        <v>46212</v>
      </c>
      <c r="E950" s="454" t="s">
        <v>576</v>
      </c>
      <c r="F950" s="505"/>
      <c r="G950" s="505"/>
      <c r="H950" s="505"/>
      <c r="I950" s="505"/>
      <c r="J950" s="541" cm="1">
        <f t="array" aca="1" ref="J950" ca="1">IFERROR(_xlfn.LET(_xlpm.produto,TRIM(F950)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0" s="541" cm="1">
        <f t="array" aca="1" ref="K950" ca="1">IFERROR(_xlfn.LET(_xlpm.produto,TRIM(G950)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0" s="541" cm="1">
        <f t="array" aca="1" ref="L950" ca="1">IFERROR(_xlfn.LET(_xlpm.produto,TRIM(H950)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0" s="541" cm="1">
        <f t="array" aca="1" ref="M950" ca="1">IFERROR(_xlfn.LET(_xlpm.produto,TRIM(H950)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0" s="556"/>
      <c r="O950" s="556"/>
      <c r="P950" s="556"/>
    </row>
    <row r="951" spans="3:16" x14ac:dyDescent="0.25">
      <c r="C951" s="452" t="s">
        <v>1825</v>
      </c>
      <c r="D951" s="449">
        <f t="shared" si="182"/>
        <v>46212</v>
      </c>
      <c r="E951" s="454" t="s">
        <v>167</v>
      </c>
      <c r="F951" s="505"/>
      <c r="G951" s="505"/>
      <c r="H951" s="505"/>
      <c r="I951" s="505"/>
      <c r="J951" s="540"/>
      <c r="K951" s="540"/>
      <c r="L951" s="540"/>
      <c r="M951" s="545"/>
      <c r="N951" s="565" t="e">
        <f>J951*INDEX([2]Pedidos!$Q:$Q,MATCH(F951,[2]Pedidos!$E:$E,0))</f>
        <v>#N/A</v>
      </c>
      <c r="O951" s="564" t="e">
        <f>K951*INDEX([2]Pedidos!$Q:$Q,MATCH(G951,[2]Pedidos!$E:$E,0))</f>
        <v>#N/A</v>
      </c>
      <c r="P951" s="565" t="e">
        <f>M951*INDEX([2]Pedidos!$Q:$Q,MATCH(H951,[2]Pedidos!$E:$E,0))</f>
        <v>#N/A</v>
      </c>
    </row>
    <row r="952" spans="3:16" x14ac:dyDescent="0.25">
      <c r="C952" s="452" t="s">
        <v>1825</v>
      </c>
      <c r="D952" s="449">
        <f t="shared" si="182"/>
        <v>46212</v>
      </c>
      <c r="E952" s="454" t="s">
        <v>168</v>
      </c>
      <c r="F952" s="505"/>
      <c r="G952" s="505"/>
      <c r="H952" s="505"/>
      <c r="I952" s="505"/>
      <c r="J952" s="540"/>
      <c r="K952" s="540"/>
      <c r="L952" s="540"/>
      <c r="M952" s="545"/>
      <c r="N952" s="565" t="e">
        <f>J952*INDEX([2]Pedidos!$Q:$Q,MATCH(F952,[2]Pedidos!$E:$E,0))</f>
        <v>#N/A</v>
      </c>
      <c r="O952" s="564" t="e">
        <f>K952*INDEX([2]Pedidos!$Q:$Q,MATCH(G952,[2]Pedidos!$E:$E,0))</f>
        <v>#N/A</v>
      </c>
      <c r="P952" s="565" t="e">
        <f>M952*INDEX([2]Pedidos!$Q:$Q,MATCH(H952,[2]Pedidos!$E:$E,0))</f>
        <v>#N/A</v>
      </c>
    </row>
    <row r="953" spans="3:16" x14ac:dyDescent="0.25">
      <c r="C953" s="452" t="s">
        <v>1825</v>
      </c>
      <c r="D953" s="449">
        <f t="shared" si="182"/>
        <v>46212</v>
      </c>
      <c r="E953" s="454" t="s">
        <v>169</v>
      </c>
      <c r="F953" s="505"/>
      <c r="G953" s="505"/>
      <c r="H953" s="505"/>
      <c r="I953" s="505"/>
      <c r="J953" s="540"/>
      <c r="K953" s="540"/>
      <c r="L953" s="540"/>
      <c r="M953" s="545"/>
      <c r="N953" s="565" t="e">
        <f>J953*INDEX([2]Pedidos!$Q:$Q,MATCH(F953,[2]Pedidos!$E:$E,0))</f>
        <v>#N/A</v>
      </c>
      <c r="O953" s="564" t="e">
        <f>K953*INDEX([2]Pedidos!$Q:$Q,MATCH(G953,[2]Pedidos!$E:$E,0))</f>
        <v>#N/A</v>
      </c>
      <c r="P953" s="565" t="e">
        <f>M953*INDEX([2]Pedidos!$Q:$Q,MATCH(H953,[2]Pedidos!$E:$E,0))</f>
        <v>#N/A</v>
      </c>
    </row>
    <row r="954" spans="3:16" x14ac:dyDescent="0.25">
      <c r="C954" s="452" t="s">
        <v>1825</v>
      </c>
      <c r="D954" s="449">
        <f t="shared" si="182"/>
        <v>46212</v>
      </c>
      <c r="E954" s="454" t="s">
        <v>170</v>
      </c>
      <c r="F954" s="505"/>
      <c r="G954" s="505"/>
      <c r="H954" s="505"/>
      <c r="I954" s="505"/>
      <c r="J954" s="540"/>
      <c r="K954" s="540"/>
      <c r="L954" s="540"/>
      <c r="M954" s="545"/>
      <c r="N954" s="566" t="e">
        <f>J954*INDEX([2]Pedidos!$Q:$Q,MATCH(F954,[2]Pedidos!$E:$E,0))</f>
        <v>#N/A</v>
      </c>
      <c r="O954" s="564" t="e">
        <f>K954*INDEX([2]Pedidos!$Q:$Q,MATCH(G954,[2]Pedidos!$E:$E,0))</f>
        <v>#N/A</v>
      </c>
      <c r="P954" s="566" t="e">
        <f>M954*INDEX([2]Pedidos!$Q:$Q,MATCH(H954,[2]Pedidos!$E:$E,0))</f>
        <v>#N/A</v>
      </c>
    </row>
    <row r="955" spans="3:16" x14ac:dyDescent="0.25">
      <c r="C955" s="452" t="s">
        <v>1825</v>
      </c>
      <c r="D955" s="449">
        <f t="shared" si="182"/>
        <v>46212</v>
      </c>
      <c r="E955" s="454" t="s">
        <v>585</v>
      </c>
      <c r="F955" s="505"/>
      <c r="G955" s="505"/>
      <c r="H955" s="505"/>
      <c r="I955" s="505"/>
      <c r="J955" s="516" cm="1">
        <f t="array" aca="1" ref="J955" ca="1">IFERROR(_xlfn.LET(_xlpm.produto,TRIM(F955)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5" s="516" cm="1">
        <f t="array" aca="1" ref="K955" ca="1">IFERROR(_xlfn.LET(_xlpm.produto,TRIM(G955)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5" s="516" cm="1">
        <f t="array" aca="1" ref="L955" ca="1">IFERROR(_xlfn.LET(_xlpm.produto,TRIM(H955)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5" s="516" cm="1">
        <f t="array" aca="1" ref="M955" ca="1">IFERROR(_xlfn.LET(_xlpm.produto,TRIM(H955)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5" s="557"/>
      <c r="O955" s="557"/>
      <c r="P955" s="557"/>
    </row>
    <row r="956" spans="3:16" x14ac:dyDescent="0.25">
      <c r="C956" s="452" t="s">
        <v>1825</v>
      </c>
      <c r="D956" s="449">
        <f t="shared" si="182"/>
        <v>46212</v>
      </c>
      <c r="E956" s="455" t="s">
        <v>574</v>
      </c>
      <c r="F956" s="505"/>
      <c r="G956" s="505"/>
      <c r="H956" s="505"/>
      <c r="I956" s="506"/>
      <c r="J956" s="516" cm="1">
        <f t="array" aca="1" ref="J956" ca="1">IFERROR(_xlfn.LET(_xlpm.produto,TRIM(F956)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6" s="516" cm="1">
        <f t="array" aca="1" ref="K956" ca="1">IFERROR(_xlfn.LET(_xlpm.produto,TRIM(G956)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6" s="516" cm="1">
        <f t="array" aca="1" ref="L956" ca="1">IFERROR(_xlfn.LET(_xlpm.produto,TRIM(H956)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6" s="516" cm="1">
        <f t="array" aca="1" ref="M956" ca="1">IFERROR(_xlfn.LET(_xlpm.produto,TRIM(H956)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6" s="557"/>
      <c r="O956" s="557"/>
      <c r="P956" s="557"/>
    </row>
    <row r="957" spans="3:16" x14ac:dyDescent="0.25">
      <c r="C957" s="452" t="s">
        <v>1825</v>
      </c>
      <c r="D957" s="449">
        <f t="shared" si="182"/>
        <v>46212</v>
      </c>
      <c r="E957" s="455" t="s">
        <v>575</v>
      </c>
      <c r="F957" s="506"/>
      <c r="G957" s="506"/>
      <c r="H957" s="506"/>
      <c r="I957" s="506"/>
      <c r="J957" s="516" cm="1">
        <f t="array" aca="1" ref="J957" ca="1">IFERROR(_xlfn.LET(_xlpm.produto,TRIM(F957)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7" s="516" cm="1">
        <f t="array" aca="1" ref="K957" ca="1">IFERROR(_xlfn.LET(_xlpm.produto,TRIM(G957)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7" s="516" cm="1">
        <f t="array" aca="1" ref="L957" ca="1">IFERROR(_xlfn.LET(_xlpm.produto,TRIM(H957)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7" s="516" cm="1">
        <f t="array" aca="1" ref="M957" ca="1">IFERROR(_xlfn.LET(_xlpm.produto,TRIM(H957)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7" s="557"/>
      <c r="O957" s="557"/>
      <c r="P957" s="557"/>
    </row>
    <row r="958" spans="3:16" x14ac:dyDescent="0.25">
      <c r="C958" s="452" t="s">
        <v>1825</v>
      </c>
      <c r="D958" s="502">
        <f t="shared" si="182"/>
        <v>46212</v>
      </c>
      <c r="E958" s="503" t="s">
        <v>583</v>
      </c>
      <c r="F958" s="506"/>
      <c r="G958" s="506"/>
      <c r="H958" s="506"/>
      <c r="I958" s="506"/>
      <c r="J958" s="516" cm="1">
        <f t="array" aca="1" ref="J958" ca="1">IFERROR(_xlfn.LET(_xlpm.produto,TRIM(F958)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8" s="516" cm="1">
        <f t="array" aca="1" ref="K958" ca="1">IFERROR(_xlfn.LET(_xlpm.produto,TRIM(G958)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8" s="516" cm="1">
        <f t="array" aca="1" ref="L958" ca="1">IFERROR(_xlfn.LET(_xlpm.produto,TRIM(H958)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8" s="516" cm="1">
        <f t="array" aca="1" ref="M958" ca="1">IFERROR(_xlfn.LET(_xlpm.produto,TRIM(H958)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8" s="557"/>
      <c r="O958" s="557"/>
      <c r="P958" s="557"/>
    </row>
    <row r="959" spans="3:16" ht="15.75" thickBot="1" x14ac:dyDescent="0.3">
      <c r="C959" s="530" t="s">
        <v>1825</v>
      </c>
      <c r="D959" s="451">
        <f t="shared" si="182"/>
        <v>46212</v>
      </c>
      <c r="E959" s="459" t="s">
        <v>584</v>
      </c>
      <c r="F959" s="493"/>
      <c r="G959" s="493"/>
      <c r="H959" s="493"/>
      <c r="I959" s="493"/>
      <c r="J959" s="513" cm="1">
        <f t="array" aca="1" ref="J959" ca="1">IFERROR(_xlfn.LET(_xlpm.produto,TRIM(F959)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59" s="513" cm="1">
        <f t="array" aca="1" ref="K959" ca="1">IFERROR(_xlfn.LET(_xlpm.produto,TRIM(G959)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59" s="516" cm="1">
        <f t="array" aca="1" ref="L959" ca="1">IFERROR(_xlfn.LET(_xlpm.produto,TRIM(H959)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59" s="513" cm="1">
        <f t="array" aca="1" ref="M959" ca="1">IFERROR(_xlfn.LET(_xlpm.produto,TRIM(H959)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59" s="558"/>
      <c r="O959" s="558"/>
      <c r="P959" s="558"/>
    </row>
    <row r="960" spans="3:16" ht="15.75" thickBot="1" x14ac:dyDescent="0.3"/>
    <row r="961" spans="3:18" ht="15.75" thickBot="1" x14ac:dyDescent="0.3">
      <c r="C961" s="546" t="s">
        <v>2007</v>
      </c>
      <c r="D961" s="547">
        <f>SUM(R961,R943,R925,R907,R889)</f>
        <v>25407.149999999998</v>
      </c>
      <c r="E961" s="539"/>
      <c r="F961" s="539"/>
      <c r="G961" s="539"/>
      <c r="H961" s="539"/>
      <c r="I961" s="539"/>
      <c r="J961" s="606">
        <f t="shared" ref="J961:L961" ca="1" si="183">_xlfn.AGGREGATE(9,6,J962:J977)</f>
        <v>0</v>
      </c>
      <c r="K961" s="607">
        <f t="shared" ca="1" si="183"/>
        <v>6270</v>
      </c>
      <c r="L961" s="607">
        <f t="shared" ca="1" si="183"/>
        <v>0</v>
      </c>
      <c r="M961" s="544">
        <f t="shared" ref="M961:P961" ca="1" si="184">_xlfn.AGGREGATE(9,6,M962:M977)</f>
        <v>0</v>
      </c>
      <c r="N961" s="560">
        <f t="shared" si="184"/>
        <v>0</v>
      </c>
      <c r="O961" s="561">
        <f t="shared" si="184"/>
        <v>7524.0000000000018</v>
      </c>
      <c r="P961" s="562">
        <f t="shared" si="184"/>
        <v>0</v>
      </c>
      <c r="Q961" s="548">
        <f ca="1">SUM(J961:M961)</f>
        <v>6270</v>
      </c>
      <c r="R961" s="549">
        <f>SUM(N961:P961)</f>
        <v>7524.0000000000018</v>
      </c>
    </row>
    <row r="962" spans="3:18" x14ac:dyDescent="0.25">
      <c r="C962" s="529" t="s">
        <v>1826</v>
      </c>
      <c r="D962" s="447">
        <f>D959+1</f>
        <v>46213</v>
      </c>
      <c r="E962" s="498" t="s">
        <v>573</v>
      </c>
      <c r="F962" s="514"/>
      <c r="G962" s="514"/>
      <c r="H962" s="514"/>
      <c r="I962" s="724"/>
      <c r="J962" s="537"/>
      <c r="K962" s="537"/>
      <c r="L962" s="537"/>
      <c r="M962" s="537"/>
      <c r="N962" s="563"/>
      <c r="O962" s="563"/>
      <c r="P962" s="563"/>
    </row>
    <row r="963" spans="3:18" x14ac:dyDescent="0.25">
      <c r="C963" s="452" t="s">
        <v>1826</v>
      </c>
      <c r="D963" s="453">
        <f t="shared" ref="D963:D977" si="185">D962</f>
        <v>46213</v>
      </c>
      <c r="E963" s="500" t="s">
        <v>162</v>
      </c>
      <c r="F963" s="460" t="s">
        <v>2047</v>
      </c>
      <c r="G963" s="460" t="s">
        <v>2045</v>
      </c>
      <c r="H963" s="460"/>
      <c r="I963" s="460"/>
      <c r="J963" s="540"/>
      <c r="K963" s="540">
        <v>695</v>
      </c>
      <c r="L963" s="540"/>
      <c r="M963" s="545"/>
      <c r="N963" s="555">
        <f>J963*INDEX([2]Pedidos!$Q:$Q,MATCH(F963,[2]Pedidos!$E:$E,0))</f>
        <v>0</v>
      </c>
      <c r="O963" s="564">
        <f>K963*INDEX([2]Pedidos!$Q:$Q,MATCH(G963,[2]Pedidos!$E:$E,0))</f>
        <v>834</v>
      </c>
      <c r="P963" s="555" t="e">
        <f>M963*INDEX([2]Pedidos!$Q:$Q,MATCH(H963,[2]Pedidos!$E:$E,0))</f>
        <v>#N/A</v>
      </c>
    </row>
    <row r="964" spans="3:18" x14ac:dyDescent="0.25">
      <c r="C964" s="452" t="s">
        <v>1826</v>
      </c>
      <c r="D964" s="453">
        <f t="shared" si="185"/>
        <v>46213</v>
      </c>
      <c r="E964" s="454" t="s">
        <v>163</v>
      </c>
      <c r="F964" s="460" t="s">
        <v>2047</v>
      </c>
      <c r="G964" s="460" t="s">
        <v>2045</v>
      </c>
      <c r="H964" s="460"/>
      <c r="I964" s="460"/>
      <c r="J964" s="540"/>
      <c r="K964" s="540">
        <v>695</v>
      </c>
      <c r="L964" s="540"/>
      <c r="M964" s="545"/>
      <c r="N964" s="564">
        <f>J964*INDEX([2]Pedidos!$Q:$Q,MATCH(F964,[2]Pedidos!$E:$E,0))</f>
        <v>0</v>
      </c>
      <c r="O964" s="564">
        <f>K964*INDEX([2]Pedidos!$Q:$Q,MATCH(G964,[2]Pedidos!$E:$E,0))</f>
        <v>834</v>
      </c>
      <c r="P964" s="564" t="e">
        <f>M964*INDEX([2]Pedidos!$Q:$Q,MATCH(H964,[2]Pedidos!$E:$E,0))</f>
        <v>#N/A</v>
      </c>
    </row>
    <row r="965" spans="3:18" x14ac:dyDescent="0.25">
      <c r="C965" s="452" t="s">
        <v>1826</v>
      </c>
      <c r="D965" s="453">
        <f t="shared" si="185"/>
        <v>46213</v>
      </c>
      <c r="E965" s="454" t="s">
        <v>164</v>
      </c>
      <c r="F965" s="460" t="s">
        <v>2047</v>
      </c>
      <c r="G965" s="460" t="s">
        <v>2045</v>
      </c>
      <c r="H965" s="460"/>
      <c r="I965" s="460"/>
      <c r="J965" s="540"/>
      <c r="K965" s="540">
        <v>695</v>
      </c>
      <c r="L965" s="540"/>
      <c r="M965" s="545"/>
      <c r="N965" s="564">
        <f>J965*INDEX([2]Pedidos!$Q:$Q,MATCH(F965,[2]Pedidos!$E:$E,0))</f>
        <v>0</v>
      </c>
      <c r="O965" s="564">
        <f>K965*INDEX([2]Pedidos!$Q:$Q,MATCH(G965,[2]Pedidos!$E:$E,0))</f>
        <v>834</v>
      </c>
      <c r="P965" s="564" t="e">
        <f>M965*INDEX([2]Pedidos!$Q:$Q,MATCH(H965,[2]Pedidos!$E:$E,0))</f>
        <v>#N/A</v>
      </c>
    </row>
    <row r="966" spans="3:18" x14ac:dyDescent="0.25">
      <c r="C966" s="452" t="s">
        <v>1826</v>
      </c>
      <c r="D966" s="453">
        <f t="shared" si="185"/>
        <v>46213</v>
      </c>
      <c r="E966" s="454" t="s">
        <v>165</v>
      </c>
      <c r="F966" s="460" t="s">
        <v>2047</v>
      </c>
      <c r="G966" s="460" t="s">
        <v>2045</v>
      </c>
      <c r="H966" s="460"/>
      <c r="I966" s="460"/>
      <c r="J966" s="540"/>
      <c r="K966" s="540">
        <v>695</v>
      </c>
      <c r="L966" s="540"/>
      <c r="M966" s="545"/>
      <c r="N966" s="564">
        <f>J966*INDEX([2]Pedidos!$Q:$Q,MATCH(F966,[2]Pedidos!$E:$E,0))</f>
        <v>0</v>
      </c>
      <c r="O966" s="564">
        <f>K966*INDEX([2]Pedidos!$Q:$Q,MATCH(G966,[2]Pedidos!$E:$E,0))</f>
        <v>834</v>
      </c>
      <c r="P966" s="564" t="e">
        <f>M966*INDEX([2]Pedidos!$Q:$Q,MATCH(H966,[2]Pedidos!$E:$E,0))</f>
        <v>#N/A</v>
      </c>
    </row>
    <row r="967" spans="3:18" x14ac:dyDescent="0.25">
      <c r="C967" s="452" t="s">
        <v>1826</v>
      </c>
      <c r="D967" s="453">
        <f t="shared" si="185"/>
        <v>46213</v>
      </c>
      <c r="E967" s="454" t="s">
        <v>166</v>
      </c>
      <c r="F967" s="460" t="s">
        <v>2047</v>
      </c>
      <c r="G967" s="460" t="s">
        <v>2045</v>
      </c>
      <c r="H967" s="460"/>
      <c r="I967" s="460"/>
      <c r="J967" s="540"/>
      <c r="K967" s="540">
        <v>698</v>
      </c>
      <c r="L967" s="540"/>
      <c r="M967" s="545"/>
      <c r="N967" s="564">
        <f>J967*INDEX([2]Pedidos!$Q:$Q,MATCH(F967,[2]Pedidos!$E:$E,0))</f>
        <v>0</v>
      </c>
      <c r="O967" s="564">
        <f>K967*INDEX([2]Pedidos!$Q:$Q,MATCH(G967,[2]Pedidos!$E:$E,0))</f>
        <v>837.6</v>
      </c>
      <c r="P967" s="564" t="e">
        <f>M967*INDEX([2]Pedidos!$Q:$Q,MATCH(H967,[2]Pedidos!$E:$E,0))</f>
        <v>#N/A</v>
      </c>
    </row>
    <row r="968" spans="3:18" x14ac:dyDescent="0.25">
      <c r="C968" s="452" t="s">
        <v>1826</v>
      </c>
      <c r="D968" s="453">
        <f t="shared" si="185"/>
        <v>46213</v>
      </c>
      <c r="E968" s="454" t="s">
        <v>576</v>
      </c>
      <c r="F968" s="512"/>
      <c r="G968" s="512"/>
      <c r="H968" s="512"/>
      <c r="I968" s="512"/>
      <c r="J968" s="541" cm="1">
        <f t="array" aca="1" ref="J968" ca="1">IFERROR(_xlfn.LET(_xlpm.produto,TRIM(F968)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68" s="541" cm="1">
        <f t="array" aca="1" ref="K968" ca="1">IFERROR(_xlfn.LET(_xlpm.produto,TRIM(G968)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68" s="541" cm="1">
        <f t="array" aca="1" ref="L968" ca="1">IFERROR(_xlfn.LET(_xlpm.produto,TRIM(H968)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68" s="541" cm="1">
        <f t="array" aca="1" ref="M968" ca="1">IFERROR(_xlfn.LET(_xlpm.produto,TRIM(H968)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68" s="556"/>
      <c r="O968" s="556"/>
      <c r="P968" s="556"/>
    </row>
    <row r="969" spans="3:18" x14ac:dyDescent="0.25">
      <c r="C969" s="452" t="s">
        <v>1826</v>
      </c>
      <c r="D969" s="449">
        <f t="shared" si="185"/>
        <v>46213</v>
      </c>
      <c r="E969" s="454" t="s">
        <v>167</v>
      </c>
      <c r="F969" s="460" t="s">
        <v>2047</v>
      </c>
      <c r="G969" s="460" t="s">
        <v>2045</v>
      </c>
      <c r="H969" s="460"/>
      <c r="I969" s="460"/>
      <c r="J969" s="540"/>
      <c r="K969" s="540">
        <v>698</v>
      </c>
      <c r="L969" s="540"/>
      <c r="M969" s="545"/>
      <c r="N969" s="565">
        <f>J969*INDEX([2]Pedidos!$Q:$Q,MATCH(F969,[2]Pedidos!$E:$E,0))</f>
        <v>0</v>
      </c>
      <c r="O969" s="564">
        <f>K969*INDEX([2]Pedidos!$Q:$Q,MATCH(G969,[2]Pedidos!$E:$E,0))</f>
        <v>837.6</v>
      </c>
      <c r="P969" s="565" t="e">
        <f>M969*INDEX([2]Pedidos!$Q:$Q,MATCH(H969,[2]Pedidos!$E:$E,0))</f>
        <v>#N/A</v>
      </c>
    </row>
    <row r="970" spans="3:18" x14ac:dyDescent="0.25">
      <c r="C970" s="452" t="s">
        <v>1826</v>
      </c>
      <c r="D970" s="449">
        <f t="shared" si="185"/>
        <v>46213</v>
      </c>
      <c r="E970" s="454" t="s">
        <v>168</v>
      </c>
      <c r="F970" s="460" t="s">
        <v>2047</v>
      </c>
      <c r="G970" s="460" t="s">
        <v>2045</v>
      </c>
      <c r="H970" s="460"/>
      <c r="I970" s="460"/>
      <c r="J970" s="540"/>
      <c r="K970" s="540">
        <v>698</v>
      </c>
      <c r="L970" s="540"/>
      <c r="M970" s="545"/>
      <c r="N970" s="565">
        <f>J970*INDEX([2]Pedidos!$Q:$Q,MATCH(F970,[2]Pedidos!$E:$E,0))</f>
        <v>0</v>
      </c>
      <c r="O970" s="564">
        <f>K970*INDEX([2]Pedidos!$Q:$Q,MATCH(G970,[2]Pedidos!$E:$E,0))</f>
        <v>837.6</v>
      </c>
      <c r="P970" s="565" t="e">
        <f>M970*INDEX([2]Pedidos!$Q:$Q,MATCH(H970,[2]Pedidos!$E:$E,0))</f>
        <v>#N/A</v>
      </c>
    </row>
    <row r="971" spans="3:18" x14ac:dyDescent="0.25">
      <c r="C971" s="452" t="s">
        <v>1826</v>
      </c>
      <c r="D971" s="449">
        <f t="shared" si="185"/>
        <v>46213</v>
      </c>
      <c r="E971" s="454" t="s">
        <v>169</v>
      </c>
      <c r="F971" s="460" t="s">
        <v>2047</v>
      </c>
      <c r="G971" s="460" t="s">
        <v>2045</v>
      </c>
      <c r="H971" s="460"/>
      <c r="I971" s="460"/>
      <c r="J971" s="540"/>
      <c r="K971" s="540">
        <v>698</v>
      </c>
      <c r="L971" s="540"/>
      <c r="M971" s="545"/>
      <c r="N971" s="565">
        <f>J971*INDEX([2]Pedidos!$Q:$Q,MATCH(F971,[2]Pedidos!$E:$E,0))</f>
        <v>0</v>
      </c>
      <c r="O971" s="564">
        <f>K971*INDEX([2]Pedidos!$Q:$Q,MATCH(G971,[2]Pedidos!$E:$E,0))</f>
        <v>837.6</v>
      </c>
      <c r="P971" s="565" t="e">
        <f>M971*INDEX([2]Pedidos!$Q:$Q,MATCH(H971,[2]Pedidos!$E:$E,0))</f>
        <v>#N/A</v>
      </c>
    </row>
    <row r="972" spans="3:18" x14ac:dyDescent="0.25">
      <c r="C972" s="452" t="s">
        <v>1826</v>
      </c>
      <c r="D972" s="449">
        <f t="shared" si="185"/>
        <v>46213</v>
      </c>
      <c r="E972" s="454" t="s">
        <v>170</v>
      </c>
      <c r="F972" s="460" t="s">
        <v>2047</v>
      </c>
      <c r="G972" s="460" t="s">
        <v>2045</v>
      </c>
      <c r="H972" s="460"/>
      <c r="I972" s="460"/>
      <c r="J972" s="540"/>
      <c r="K972" s="540">
        <v>698</v>
      </c>
      <c r="L972" s="540"/>
      <c r="M972" s="545"/>
      <c r="N972" s="566">
        <f>J972*INDEX([2]Pedidos!$Q:$Q,MATCH(F972,[2]Pedidos!$E:$E,0))</f>
        <v>0</v>
      </c>
      <c r="O972" s="564">
        <f>K972*INDEX([2]Pedidos!$Q:$Q,MATCH(G972,[2]Pedidos!$E:$E,0))</f>
        <v>837.6</v>
      </c>
      <c r="P972" s="566" t="e">
        <f>M972*INDEX([2]Pedidos!$Q:$Q,MATCH(H972,[2]Pedidos!$E:$E,0))</f>
        <v>#N/A</v>
      </c>
    </row>
    <row r="973" spans="3:18" x14ac:dyDescent="0.25">
      <c r="C973" s="452" t="s">
        <v>1826</v>
      </c>
      <c r="D973" s="449">
        <f t="shared" si="185"/>
        <v>46213</v>
      </c>
      <c r="E973" s="454" t="s">
        <v>585</v>
      </c>
      <c r="F973" s="505"/>
      <c r="G973" s="505"/>
      <c r="H973" s="505"/>
      <c r="I973" s="724"/>
      <c r="J973" s="516" cm="1">
        <f t="array" aca="1" ref="J973" ca="1">IFERROR(_xlfn.LET(_xlpm.produto,TRIM(F973)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3" s="516" cm="1">
        <f t="array" aca="1" ref="K973" ca="1">IFERROR(_xlfn.LET(_xlpm.produto,TRIM(G973)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3" s="516" cm="1">
        <f t="array" aca="1" ref="L973" ca="1">IFERROR(_xlfn.LET(_xlpm.produto,TRIM(H973)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73" s="516" cm="1">
        <f t="array" aca="1" ref="M973" ca="1">IFERROR(_xlfn.LET(_xlpm.produto,TRIM(H973)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73" s="557"/>
      <c r="O973" s="557"/>
      <c r="P973" s="557"/>
    </row>
    <row r="974" spans="3:18" x14ac:dyDescent="0.25">
      <c r="C974" s="452" t="s">
        <v>1826</v>
      </c>
      <c r="D974" s="449">
        <f t="shared" si="185"/>
        <v>46213</v>
      </c>
      <c r="E974" s="455" t="s">
        <v>574</v>
      </c>
      <c r="F974" s="505"/>
      <c r="G974" s="505"/>
      <c r="H974" s="505"/>
      <c r="I974" s="755" t="s">
        <v>1449</v>
      </c>
      <c r="J974" s="516" cm="1">
        <f t="array" aca="1" ref="J974" ca="1">IFERROR(_xlfn.LET(_xlpm.produto,TRIM(F974)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4" s="516" cm="1">
        <f t="array" aca="1" ref="K974" ca="1">IFERROR(_xlfn.LET(_xlpm.produto,TRIM(G974)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4" s="516" cm="1">
        <f t="array" aca="1" ref="L974" ca="1">IFERROR(_xlfn.LET(_xlpm.produto,TRIM(H974)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74" s="516" cm="1">
        <f t="array" aca="1" ref="M974" ca="1">IFERROR(_xlfn.LET(_xlpm.produto,TRIM(H974)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74" s="557"/>
      <c r="O974" s="557"/>
      <c r="P974" s="557"/>
    </row>
    <row r="975" spans="3:18" x14ac:dyDescent="0.25">
      <c r="C975" s="452" t="s">
        <v>1826</v>
      </c>
      <c r="D975" s="449">
        <f t="shared" si="185"/>
        <v>46213</v>
      </c>
      <c r="E975" s="455" t="s">
        <v>575</v>
      </c>
      <c r="F975" s="506"/>
      <c r="G975" s="506"/>
      <c r="H975" s="506"/>
      <c r="I975" s="506"/>
      <c r="J975" s="516" cm="1">
        <f t="array" aca="1" ref="J975" ca="1">IFERROR(_xlfn.LET(_xlpm.produto,TRIM(F975)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5" s="516" cm="1">
        <f t="array" aca="1" ref="K975" ca="1">IFERROR(_xlfn.LET(_xlpm.produto,TRIM(G975)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5" s="516" cm="1">
        <f t="array" aca="1" ref="L975" ca="1">IFERROR(_xlfn.LET(_xlpm.produto,TRIM(H975)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75" s="516" cm="1">
        <f t="array" aca="1" ref="M975" ca="1">IFERROR(_xlfn.LET(_xlpm.produto,TRIM(H975)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75" s="557"/>
      <c r="O975" s="557"/>
      <c r="P975" s="557"/>
    </row>
    <row r="976" spans="3:18" x14ac:dyDescent="0.25">
      <c r="C976" s="452" t="s">
        <v>1826</v>
      </c>
      <c r="D976" s="502">
        <f t="shared" si="185"/>
        <v>46213</v>
      </c>
      <c r="E976" s="503" t="s">
        <v>583</v>
      </c>
      <c r="F976" s="506"/>
      <c r="G976" s="506"/>
      <c r="H976" s="506"/>
      <c r="I976" s="506"/>
      <c r="J976" s="516" cm="1">
        <f t="array" aca="1" ref="J976" ca="1">IFERROR(_xlfn.LET(_xlpm.produto,TRIM(F976)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6" s="516" cm="1">
        <f t="array" aca="1" ref="K976" ca="1">IFERROR(_xlfn.LET(_xlpm.produto,TRIM(G976)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6" s="516" cm="1">
        <f t="array" aca="1" ref="L976" ca="1">IFERROR(_xlfn.LET(_xlpm.produto,TRIM(H976)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76" s="516" cm="1">
        <f t="array" aca="1" ref="M976" ca="1">IFERROR(_xlfn.LET(_xlpm.produto,TRIM(H976)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76" s="557"/>
      <c r="O976" s="557"/>
      <c r="P976" s="557"/>
    </row>
    <row r="977" spans="3:18" ht="15.75" thickBot="1" x14ac:dyDescent="0.3">
      <c r="C977" s="530" t="s">
        <v>1826</v>
      </c>
      <c r="D977" s="451">
        <f t="shared" si="185"/>
        <v>46213</v>
      </c>
      <c r="E977" s="459" t="s">
        <v>584</v>
      </c>
      <c r="F977" s="493"/>
      <c r="G977" s="493"/>
      <c r="H977" s="493"/>
      <c r="I977" s="493"/>
      <c r="J977" s="513" cm="1">
        <f t="array" aca="1" ref="J977" ca="1">IFERROR(_xlfn.LET(_xlpm.produto,TRIM(F977)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7" s="513" cm="1">
        <f t="array" aca="1" ref="K977" ca="1">IFERROR(_xlfn.LET(_xlpm.produto,TRIM(G977)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7" s="516" cm="1">
        <f t="array" aca="1" ref="L977" ca="1">IFERROR(_xlfn.LET(_xlpm.produto,TRIM(H977)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77" s="513" cm="1">
        <f t="array" aca="1" ref="M977" ca="1">IFERROR(_xlfn.LET(_xlpm.produto,TRIM(H977)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77" s="558"/>
      <c r="O977" s="558"/>
      <c r="P977" s="558"/>
    </row>
    <row r="978" spans="3:18" ht="15.75" thickBot="1" x14ac:dyDescent="0.3"/>
    <row r="979" spans="3:18" ht="15.75" thickBot="1" x14ac:dyDescent="0.3">
      <c r="C979" s="538"/>
      <c r="D979" s="539"/>
      <c r="E979" s="539"/>
      <c r="F979" s="539"/>
      <c r="G979" s="539"/>
      <c r="H979" s="539"/>
      <c r="I979" s="539"/>
      <c r="J979" s="606">
        <f t="shared" ref="J979:P979" ca="1" si="186">_xlfn.AGGREGATE(9,6,J980:J995)</f>
        <v>0</v>
      </c>
      <c r="K979" s="607">
        <f t="shared" ca="1" si="186"/>
        <v>0</v>
      </c>
      <c r="L979" s="607">
        <f t="shared" ca="1" si="186"/>
        <v>0</v>
      </c>
      <c r="M979" s="544">
        <f t="shared" ca="1" si="186"/>
        <v>0</v>
      </c>
      <c r="N979" s="560">
        <f t="shared" si="186"/>
        <v>0</v>
      </c>
      <c r="O979" s="561">
        <f t="shared" si="186"/>
        <v>0</v>
      </c>
      <c r="P979" s="562">
        <f t="shared" si="186"/>
        <v>0</v>
      </c>
      <c r="Q979" s="548">
        <f ca="1">SUM(J979:M979)</f>
        <v>0</v>
      </c>
      <c r="R979" s="549">
        <f>SUM(N979:P979)</f>
        <v>0</v>
      </c>
    </row>
    <row r="980" spans="3:18" x14ac:dyDescent="0.25">
      <c r="C980" s="529" t="s">
        <v>1033</v>
      </c>
      <c r="D980" s="447">
        <f>D977+1</f>
        <v>46214</v>
      </c>
      <c r="E980" s="498" t="s">
        <v>573</v>
      </c>
      <c r="F980" s="514"/>
      <c r="G980" s="514"/>
      <c r="H980" s="514"/>
      <c r="I980" s="505"/>
      <c r="J980" s="537" cm="1">
        <f t="array" aca="1" ref="J980" ca="1">IFERROR(_xlfn.LET(_xlpm.produto,TRIM(F980)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80" s="537" cm="1">
        <f t="array" aca="1" ref="K980" ca="1">IFERROR(_xlfn.LET(_xlpm.produto,TRIM(G980)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80" s="537" cm="1">
        <f t="array" aca="1" ref="L980" ca="1">IFERROR(_xlfn.LET(_xlpm.produto,TRIM(H980)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80" s="537" cm="1">
        <f t="array" aca="1" ref="M980" ca="1">IFERROR(_xlfn.LET(_xlpm.produto,TRIM(H980)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80" s="563"/>
      <c r="O980" s="563"/>
      <c r="P980" s="563"/>
    </row>
    <row r="981" spans="3:18" x14ac:dyDescent="0.25">
      <c r="C981" s="452" t="s">
        <v>1033</v>
      </c>
      <c r="D981" s="453">
        <f t="shared" ref="D981:D995" si="187">D980</f>
        <v>46214</v>
      </c>
      <c r="E981" s="500" t="s">
        <v>162</v>
      </c>
      <c r="F981" s="517"/>
      <c r="G981" s="517"/>
      <c r="H981" s="517"/>
      <c r="I981" s="505"/>
      <c r="J981" s="540"/>
      <c r="K981" s="540"/>
      <c r="L981" s="540"/>
      <c r="M981" s="540"/>
      <c r="N981" s="555" t="e">
        <f>J981*INDEX([2]Pedidos!$Q:$Q,MATCH(F981,[2]Pedidos!$E:$E,0))</f>
        <v>#N/A</v>
      </c>
      <c r="O981" s="555" t="e">
        <f>K981*INDEX([2]Pedidos!$Q:$Q,MATCH(G981,[2]Pedidos!$E:$E,0))</f>
        <v>#N/A</v>
      </c>
      <c r="P981" s="555" t="e">
        <f>M981*INDEX([2]Pedidos!$Q:$Q,MATCH(H981,[2]Pedidos!$E:$E,0))</f>
        <v>#N/A</v>
      </c>
    </row>
    <row r="982" spans="3:18" x14ac:dyDescent="0.25">
      <c r="C982" s="452" t="s">
        <v>1033</v>
      </c>
      <c r="D982" s="453">
        <f t="shared" si="187"/>
        <v>46214</v>
      </c>
      <c r="E982" s="454" t="s">
        <v>163</v>
      </c>
      <c r="F982" s="517"/>
      <c r="G982" s="512"/>
      <c r="H982" s="505"/>
      <c r="I982" s="505"/>
      <c r="J982" s="540"/>
      <c r="K982" s="540"/>
      <c r="L982" s="540"/>
      <c r="M982" s="540"/>
      <c r="N982" s="564" t="e">
        <f>J982*INDEX([2]Pedidos!$Q:$Q,MATCH(F982,[2]Pedidos!$E:$E,0))</f>
        <v>#N/A</v>
      </c>
      <c r="O982" s="564" t="e">
        <f>K982*INDEX([2]Pedidos!$Q:$Q,MATCH(G982,[2]Pedidos!$E:$E,0))</f>
        <v>#N/A</v>
      </c>
      <c r="P982" s="564" t="e">
        <f>M982*INDEX([2]Pedidos!$Q:$Q,MATCH(H982,[2]Pedidos!$E:$E,0))</f>
        <v>#N/A</v>
      </c>
    </row>
    <row r="983" spans="3:18" x14ac:dyDescent="0.25">
      <c r="C983" s="452" t="s">
        <v>1033</v>
      </c>
      <c r="D983" s="453">
        <f t="shared" si="187"/>
        <v>46214</v>
      </c>
      <c r="E983" s="454" t="s">
        <v>164</v>
      </c>
      <c r="F983" s="517"/>
      <c r="G983" s="512"/>
      <c r="H983" s="505"/>
      <c r="I983" s="505"/>
      <c r="J983" s="540"/>
      <c r="K983" s="540"/>
      <c r="L983" s="540"/>
      <c r="M983" s="540"/>
      <c r="N983" s="564" t="e">
        <f>J983*INDEX([2]Pedidos!$Q:$Q,MATCH(F983,[2]Pedidos!$E:$E,0))</f>
        <v>#N/A</v>
      </c>
      <c r="O983" s="564" t="e">
        <f>K983*INDEX([2]Pedidos!$Q:$Q,MATCH(G983,[2]Pedidos!$E:$E,0))</f>
        <v>#N/A</v>
      </c>
      <c r="P983" s="564" t="e">
        <f>M983*INDEX([2]Pedidos!$Q:$Q,MATCH(H983,[2]Pedidos!$E:$E,0))</f>
        <v>#N/A</v>
      </c>
    </row>
    <row r="984" spans="3:18" x14ac:dyDescent="0.25">
      <c r="C984" s="452" t="s">
        <v>1033</v>
      </c>
      <c r="D984" s="453">
        <f t="shared" si="187"/>
        <v>46214</v>
      </c>
      <c r="E984" s="454" t="s">
        <v>165</v>
      </c>
      <c r="F984" s="517"/>
      <c r="G984" s="512"/>
      <c r="H984" s="505"/>
      <c r="I984" s="505"/>
      <c r="J984" s="540"/>
      <c r="K984" s="540"/>
      <c r="L984" s="540"/>
      <c r="M984" s="540"/>
      <c r="N984" s="564" t="e">
        <f>J984*INDEX([2]Pedidos!$Q:$Q,MATCH(F984,[2]Pedidos!$E:$E,0))</f>
        <v>#N/A</v>
      </c>
      <c r="O984" s="564" t="e">
        <f>K984*INDEX([2]Pedidos!$Q:$Q,MATCH(G984,[2]Pedidos!$E:$E,0))</f>
        <v>#N/A</v>
      </c>
      <c r="P984" s="564" t="e">
        <f>M984*INDEX([2]Pedidos!$Q:$Q,MATCH(H984,[2]Pedidos!$E:$E,0))</f>
        <v>#N/A</v>
      </c>
    </row>
    <row r="985" spans="3:18" x14ac:dyDescent="0.25">
      <c r="C985" s="452" t="s">
        <v>1033</v>
      </c>
      <c r="D985" s="453">
        <f t="shared" si="187"/>
        <v>46214</v>
      </c>
      <c r="E985" s="454" t="s">
        <v>166</v>
      </c>
      <c r="F985" s="517"/>
      <c r="G985" s="512"/>
      <c r="H985" s="505"/>
      <c r="I985" s="505"/>
      <c r="J985" s="540"/>
      <c r="K985" s="540"/>
      <c r="L985" s="540"/>
      <c r="M985" s="540"/>
      <c r="N985" s="564" t="e">
        <f>J985*INDEX([2]Pedidos!$Q:$Q,MATCH(F985,[2]Pedidos!$E:$E,0))</f>
        <v>#N/A</v>
      </c>
      <c r="O985" s="564" t="e">
        <f>K985*INDEX([2]Pedidos!$Q:$Q,MATCH(G985,[2]Pedidos!$E:$E,0))</f>
        <v>#N/A</v>
      </c>
      <c r="P985" s="564" t="e">
        <f>M985*INDEX([2]Pedidos!$Q:$Q,MATCH(H985,[2]Pedidos!$E:$E,0))</f>
        <v>#N/A</v>
      </c>
    </row>
    <row r="986" spans="3:18" x14ac:dyDescent="0.25">
      <c r="C986" s="452" t="s">
        <v>1033</v>
      </c>
      <c r="D986" s="453">
        <f t="shared" si="187"/>
        <v>46214</v>
      </c>
      <c r="E986" s="454" t="s">
        <v>576</v>
      </c>
      <c r="F986" s="517"/>
      <c r="G986" s="512"/>
      <c r="H986" s="505"/>
      <c r="I986" s="505"/>
      <c r="J986" s="541" cm="1">
        <f t="array" aca="1" ref="J986" ca="1">IFERROR(_xlfn.LET(_xlpm.produto,TRIM(F986)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86" s="541" cm="1">
        <f t="array" aca="1" ref="K986" ca="1">IFERROR(_xlfn.LET(_xlpm.produto,TRIM(G986)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86" s="541" cm="1">
        <f t="array" aca="1" ref="L986" ca="1">IFERROR(_xlfn.LET(_xlpm.produto,TRIM(H986)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86" s="541" cm="1">
        <f t="array" aca="1" ref="M986" ca="1">IFERROR(_xlfn.LET(_xlpm.produto,TRIM(H986)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86" s="556"/>
      <c r="O986" s="556"/>
      <c r="P986" s="556"/>
    </row>
    <row r="987" spans="3:18" x14ac:dyDescent="0.25">
      <c r="C987" s="452" t="s">
        <v>1033</v>
      </c>
      <c r="D987" s="449">
        <f t="shared" si="187"/>
        <v>46214</v>
      </c>
      <c r="E987" s="454" t="s">
        <v>167</v>
      </c>
      <c r="F987" s="517"/>
      <c r="G987" s="512"/>
      <c r="H987" s="505"/>
      <c r="I987" s="505"/>
      <c r="J987" s="540"/>
      <c r="K987" s="540"/>
      <c r="L987" s="540"/>
      <c r="M987" s="540"/>
      <c r="N987" s="565" t="e">
        <f>J987*INDEX([2]Pedidos!$Q:$Q,MATCH(F987,[2]Pedidos!$E:$E,0))</f>
        <v>#N/A</v>
      </c>
      <c r="O987" s="565" t="e">
        <f>K987*INDEX([2]Pedidos!$Q:$Q,MATCH(G987,[2]Pedidos!$E:$E,0))</f>
        <v>#N/A</v>
      </c>
      <c r="P987" s="565" t="e">
        <f>M987*INDEX([2]Pedidos!$Q:$Q,MATCH(H987,[2]Pedidos!$E:$E,0))</f>
        <v>#N/A</v>
      </c>
    </row>
    <row r="988" spans="3:18" x14ac:dyDescent="0.25">
      <c r="C988" s="452" t="s">
        <v>1033</v>
      </c>
      <c r="D988" s="449">
        <f t="shared" si="187"/>
        <v>46214</v>
      </c>
      <c r="E988" s="454" t="s">
        <v>168</v>
      </c>
      <c r="F988" s="517"/>
      <c r="G988" s="512"/>
      <c r="H988" s="505"/>
      <c r="I988" s="505"/>
      <c r="J988" s="540"/>
      <c r="K988" s="540"/>
      <c r="L988" s="540"/>
      <c r="M988" s="540"/>
      <c r="N988" s="565" t="e">
        <f>J988*INDEX([2]Pedidos!$Q:$Q,MATCH(F988,[2]Pedidos!$E:$E,0))</f>
        <v>#N/A</v>
      </c>
      <c r="O988" s="565" t="e">
        <f>K988*INDEX([2]Pedidos!$Q:$Q,MATCH(G988,[2]Pedidos!$E:$E,0))</f>
        <v>#N/A</v>
      </c>
      <c r="P988" s="565" t="e">
        <f>M988*INDEX([2]Pedidos!$Q:$Q,MATCH(H988,[2]Pedidos!$E:$E,0))</f>
        <v>#N/A</v>
      </c>
    </row>
    <row r="989" spans="3:18" x14ac:dyDescent="0.25">
      <c r="C989" s="452" t="s">
        <v>1033</v>
      </c>
      <c r="D989" s="449">
        <f t="shared" si="187"/>
        <v>46214</v>
      </c>
      <c r="E989" s="454" t="s">
        <v>169</v>
      </c>
      <c r="F989" s="517"/>
      <c r="G989" s="512"/>
      <c r="H989" s="505"/>
      <c r="I989" s="505"/>
      <c r="J989" s="540"/>
      <c r="K989" s="540"/>
      <c r="L989" s="540"/>
      <c r="M989" s="540"/>
      <c r="N989" s="565" t="e">
        <f>J989*INDEX([2]Pedidos!$Q:$Q,MATCH(F989,[2]Pedidos!$E:$E,0))</f>
        <v>#N/A</v>
      </c>
      <c r="O989" s="565" t="e">
        <f>K989*INDEX([2]Pedidos!$Q:$Q,MATCH(G989,[2]Pedidos!$E:$E,0))</f>
        <v>#N/A</v>
      </c>
      <c r="P989" s="565" t="e">
        <f>M989*INDEX([2]Pedidos!$Q:$Q,MATCH(H989,[2]Pedidos!$E:$E,0))</f>
        <v>#N/A</v>
      </c>
    </row>
    <row r="990" spans="3:18" x14ac:dyDescent="0.25">
      <c r="C990" s="452" t="s">
        <v>1033</v>
      </c>
      <c r="D990" s="449">
        <f t="shared" si="187"/>
        <v>46214</v>
      </c>
      <c r="E990" s="454" t="s">
        <v>170</v>
      </c>
      <c r="F990" s="517"/>
      <c r="G990" s="512"/>
      <c r="H990" s="505"/>
      <c r="I990" s="505"/>
      <c r="J990" s="540"/>
      <c r="K990" s="540"/>
      <c r="L990" s="540"/>
      <c r="M990" s="540"/>
      <c r="N990" s="566" t="e">
        <f>J990*INDEX([2]Pedidos!$Q:$Q,MATCH(F990,[2]Pedidos!$E:$E,0))</f>
        <v>#N/A</v>
      </c>
      <c r="O990" s="566" t="e">
        <f>K990*INDEX([2]Pedidos!$Q:$Q,MATCH(G990,[2]Pedidos!$E:$E,0))</f>
        <v>#N/A</v>
      </c>
      <c r="P990" s="566" t="e">
        <f>M990*INDEX([2]Pedidos!$Q:$Q,MATCH(H990,[2]Pedidos!$E:$E,0))</f>
        <v>#N/A</v>
      </c>
    </row>
    <row r="991" spans="3:18" x14ac:dyDescent="0.25">
      <c r="C991" s="452" t="s">
        <v>1033</v>
      </c>
      <c r="D991" s="449">
        <f t="shared" si="187"/>
        <v>46214</v>
      </c>
      <c r="E991" s="454" t="s">
        <v>585</v>
      </c>
      <c r="F991" s="505"/>
      <c r="G991" s="505"/>
      <c r="H991" s="516"/>
      <c r="I991" s="516"/>
      <c r="J991" s="516" cm="1">
        <f t="array" aca="1" ref="J991" ca="1">IFERROR(_xlfn.LET(_xlpm.produto,TRIM(F991)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1" s="516" cm="1">
        <f t="array" aca="1" ref="K991" ca="1">IFERROR(_xlfn.LET(_xlpm.produto,TRIM(G991)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1" s="516" cm="1">
        <f t="array" aca="1" ref="L991" ca="1">IFERROR(_xlfn.LET(_xlpm.produto,TRIM(G991)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1" s="516" cm="1">
        <f t="array" aca="1" ref="M991" ca="1">IFERROR(_xlfn.LET(_xlpm.produto,TRIM(H991)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1" s="557"/>
      <c r="O991" s="557"/>
      <c r="P991" s="557"/>
    </row>
    <row r="992" spans="3:18" x14ac:dyDescent="0.25">
      <c r="C992" s="452" t="s">
        <v>1033</v>
      </c>
      <c r="D992" s="449">
        <f t="shared" si="187"/>
        <v>46214</v>
      </c>
      <c r="E992" s="455" t="s">
        <v>574</v>
      </c>
      <c r="F992" s="505"/>
      <c r="G992" s="505"/>
      <c r="H992" s="516"/>
      <c r="I992" s="516"/>
      <c r="J992" s="516" cm="1">
        <f t="array" aca="1" ref="J992" ca="1">IFERROR(_xlfn.LET(_xlpm.produto,TRIM(F992)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2" s="516" cm="1">
        <f t="array" aca="1" ref="K992" ca="1">IFERROR(_xlfn.LET(_xlpm.produto,TRIM(G992)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2" s="516" cm="1">
        <f t="array" aca="1" ref="L992" ca="1">IFERROR(_xlfn.LET(_xlpm.produto,TRIM(G992)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2" s="516" cm="1">
        <f t="array" aca="1" ref="M992" ca="1">IFERROR(_xlfn.LET(_xlpm.produto,TRIM(H992)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2" s="557"/>
      <c r="O992" s="557"/>
      <c r="P992" s="557"/>
    </row>
    <row r="993" spans="3:18" x14ac:dyDescent="0.25">
      <c r="C993" s="452" t="s">
        <v>1033</v>
      </c>
      <c r="D993" s="449">
        <f t="shared" si="187"/>
        <v>46214</v>
      </c>
      <c r="E993" s="455" t="s">
        <v>575</v>
      </c>
      <c r="F993" s="506"/>
      <c r="G993" s="506"/>
      <c r="H993" s="516"/>
      <c r="I993" s="516"/>
      <c r="J993" s="516" cm="1">
        <f t="array" aca="1" ref="J993" ca="1">IFERROR(_xlfn.LET(_xlpm.produto,TRIM(F993)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3" s="516" cm="1">
        <f t="array" aca="1" ref="K993" ca="1">IFERROR(_xlfn.LET(_xlpm.produto,TRIM(G993)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3" s="516" cm="1">
        <f t="array" aca="1" ref="L993" ca="1">IFERROR(_xlfn.LET(_xlpm.produto,TRIM(G993)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3" s="516" cm="1">
        <f t="array" aca="1" ref="M993" ca="1">IFERROR(_xlfn.LET(_xlpm.produto,TRIM(H993)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3" s="557"/>
      <c r="O993" s="557"/>
      <c r="P993" s="557"/>
    </row>
    <row r="994" spans="3:18" x14ac:dyDescent="0.25">
      <c r="C994" s="452" t="s">
        <v>1033</v>
      </c>
      <c r="D994" s="449">
        <f t="shared" si="187"/>
        <v>46214</v>
      </c>
      <c r="E994" s="503" t="s">
        <v>583</v>
      </c>
      <c r="F994" s="506"/>
      <c r="G994" s="506"/>
      <c r="H994" s="516"/>
      <c r="I994" s="516"/>
      <c r="J994" s="516" cm="1">
        <f t="array" aca="1" ref="J994" ca="1">IFERROR(_xlfn.LET(_xlpm.produto,TRIM(F994)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4" s="516" cm="1">
        <f t="array" aca="1" ref="K994" ca="1">IFERROR(_xlfn.LET(_xlpm.produto,TRIM(G994)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4" s="516" cm="1">
        <f t="array" aca="1" ref="L994" ca="1">IFERROR(_xlfn.LET(_xlpm.produto,TRIM(G994)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4" s="516" cm="1">
        <f t="array" aca="1" ref="M994" ca="1">IFERROR(_xlfn.LET(_xlpm.produto,TRIM(H994)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4" s="557"/>
      <c r="O994" s="557"/>
      <c r="P994" s="557"/>
    </row>
    <row r="995" spans="3:18" ht="15.75" thickBot="1" x14ac:dyDescent="0.3">
      <c r="C995" s="530" t="s">
        <v>1033</v>
      </c>
      <c r="D995" s="451">
        <f t="shared" si="187"/>
        <v>46214</v>
      </c>
      <c r="E995" s="459" t="s">
        <v>584</v>
      </c>
      <c r="F995" s="493"/>
      <c r="G995" s="493"/>
      <c r="H995" s="513"/>
      <c r="I995" s="513"/>
      <c r="J995" s="513" cm="1">
        <f t="array" aca="1" ref="J995" ca="1">IFERROR(_xlfn.LET(_xlpm.produto,TRIM(F995)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5" s="513" cm="1">
        <f t="array" aca="1" ref="K995" ca="1">IFERROR(_xlfn.LET(_xlpm.produto,TRIM(G995)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5" s="516" cm="1">
        <f t="array" aca="1" ref="L995" ca="1">IFERROR(_xlfn.LET(_xlpm.produto,TRIM(G995)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5" s="513" cm="1">
        <f t="array" aca="1" ref="M995" ca="1">IFERROR(_xlfn.LET(_xlpm.produto,TRIM(H995)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5" s="558"/>
      <c r="O995" s="558"/>
      <c r="P995" s="558"/>
    </row>
    <row r="996" spans="3:18" ht="15.75" thickBot="1" x14ac:dyDescent="0.3"/>
    <row r="997" spans="3:18" ht="15.75" thickBot="1" x14ac:dyDescent="0.3">
      <c r="C997" s="538"/>
      <c r="D997" s="539"/>
      <c r="E997" s="539"/>
      <c r="F997" s="539"/>
      <c r="G997" s="539"/>
      <c r="H997" s="539"/>
      <c r="I997" s="539"/>
      <c r="J997" s="606">
        <f t="shared" ref="J997:P997" ca="1" si="188">_xlfn.AGGREGATE(9,6,J998:J1013)</f>
        <v>0</v>
      </c>
      <c r="K997" s="607">
        <f t="shared" ca="1" si="188"/>
        <v>0</v>
      </c>
      <c r="L997" s="607">
        <f t="shared" ca="1" si="188"/>
        <v>0</v>
      </c>
      <c r="M997" s="544">
        <f t="shared" ca="1" si="188"/>
        <v>0</v>
      </c>
      <c r="N997" s="560">
        <f t="shared" si="188"/>
        <v>0</v>
      </c>
      <c r="O997" s="561">
        <f t="shared" si="188"/>
        <v>0</v>
      </c>
      <c r="P997" s="562">
        <f t="shared" si="188"/>
        <v>0</v>
      </c>
      <c r="Q997" s="548">
        <f ca="1">SUM(J997:M997)</f>
        <v>0</v>
      </c>
      <c r="R997" s="549">
        <f>SUM(N997:P997)</f>
        <v>0</v>
      </c>
    </row>
    <row r="998" spans="3:18" x14ac:dyDescent="0.25">
      <c r="C998" s="529" t="s">
        <v>1034</v>
      </c>
      <c r="D998" s="447">
        <f>D995+1</f>
        <v>46215</v>
      </c>
      <c r="E998" s="498" t="s">
        <v>573</v>
      </c>
      <c r="F998" s="514"/>
      <c r="G998" s="514"/>
      <c r="H998" s="514"/>
      <c r="I998" s="505"/>
      <c r="J998" s="537" cm="1">
        <f t="array" aca="1" ref="J998" ca="1">IFERROR(_xlfn.LET(_xlpm.produto,TRIM(F998)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98" s="537" cm="1">
        <f t="array" aca="1" ref="K998" ca="1">IFERROR(_xlfn.LET(_xlpm.produto,TRIM(G998)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98" s="537" cm="1">
        <f t="array" aca="1" ref="L998" ca="1">IFERROR(_xlfn.LET(_xlpm.produto,TRIM(H998)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998" s="537" cm="1">
        <f t="array" aca="1" ref="M998" ca="1">IFERROR(_xlfn.LET(_xlpm.produto,TRIM(H998)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998" s="563"/>
      <c r="O998" s="563"/>
      <c r="P998" s="563"/>
    </row>
    <row r="999" spans="3:18" x14ac:dyDescent="0.25">
      <c r="C999" s="452" t="s">
        <v>1034</v>
      </c>
      <c r="D999" s="453">
        <f t="shared" ref="D999:D1013" si="189">D998</f>
        <v>46215</v>
      </c>
      <c r="E999" s="500" t="s">
        <v>162</v>
      </c>
      <c r="F999" s="517"/>
      <c r="G999" s="517"/>
      <c r="H999" s="517"/>
      <c r="I999" s="505"/>
      <c r="J999" s="540"/>
      <c r="K999" s="540"/>
      <c r="L999" s="540"/>
      <c r="M999" s="540"/>
      <c r="N999" s="555" t="e">
        <f>J999*INDEX([2]Pedidos!$Q:$Q,MATCH(F999,[2]Pedidos!$E:$E,0))</f>
        <v>#N/A</v>
      </c>
      <c r="O999" s="555" t="e">
        <f>K999*INDEX([2]Pedidos!$Q:$Q,MATCH(G999,[2]Pedidos!$E:$E,0))</f>
        <v>#N/A</v>
      </c>
      <c r="P999" s="555" t="e">
        <f>M999*INDEX([2]Pedidos!$Q:$Q,MATCH(H999,[2]Pedidos!$E:$E,0))</f>
        <v>#N/A</v>
      </c>
    </row>
    <row r="1000" spans="3:18" x14ac:dyDescent="0.25">
      <c r="C1000" s="452" t="s">
        <v>1034</v>
      </c>
      <c r="D1000" s="453">
        <f t="shared" si="189"/>
        <v>46215</v>
      </c>
      <c r="E1000" s="454" t="s">
        <v>163</v>
      </c>
      <c r="F1000" s="517"/>
      <c r="G1000" s="512"/>
      <c r="H1000" s="505"/>
      <c r="I1000" s="505"/>
      <c r="J1000" s="540"/>
      <c r="K1000" s="540"/>
      <c r="L1000" s="540"/>
      <c r="M1000" s="540"/>
      <c r="N1000" s="564" t="e">
        <f>J1000*INDEX([2]Pedidos!$Q:$Q,MATCH(F1000,[2]Pedidos!$E:$E,0))</f>
        <v>#N/A</v>
      </c>
      <c r="O1000" s="564" t="e">
        <f>K1000*INDEX([2]Pedidos!$Q:$Q,MATCH(G1000,[2]Pedidos!$E:$E,0))</f>
        <v>#N/A</v>
      </c>
      <c r="P1000" s="564" t="e">
        <f>M1000*INDEX([2]Pedidos!$Q:$Q,MATCH(H1000,[2]Pedidos!$E:$E,0))</f>
        <v>#N/A</v>
      </c>
    </row>
    <row r="1001" spans="3:18" x14ac:dyDescent="0.25">
      <c r="C1001" s="452" t="s">
        <v>1034</v>
      </c>
      <c r="D1001" s="453">
        <f t="shared" si="189"/>
        <v>46215</v>
      </c>
      <c r="E1001" s="454" t="s">
        <v>164</v>
      </c>
      <c r="F1001" s="517"/>
      <c r="G1001" s="512"/>
      <c r="H1001" s="505"/>
      <c r="I1001" s="505"/>
      <c r="J1001" s="540"/>
      <c r="K1001" s="540"/>
      <c r="L1001" s="540"/>
      <c r="M1001" s="540"/>
      <c r="N1001" s="564" t="e">
        <f>J1001*INDEX([2]Pedidos!$Q:$Q,MATCH(F1001,[2]Pedidos!$E:$E,0))</f>
        <v>#N/A</v>
      </c>
      <c r="O1001" s="564" t="e">
        <f>K1001*INDEX([2]Pedidos!$Q:$Q,MATCH(G1001,[2]Pedidos!$E:$E,0))</f>
        <v>#N/A</v>
      </c>
      <c r="P1001" s="564" t="e">
        <f>M1001*INDEX([2]Pedidos!$Q:$Q,MATCH(H1001,[2]Pedidos!$E:$E,0))</f>
        <v>#N/A</v>
      </c>
    </row>
    <row r="1002" spans="3:18" x14ac:dyDescent="0.25">
      <c r="C1002" s="452" t="s">
        <v>1034</v>
      </c>
      <c r="D1002" s="453">
        <f t="shared" si="189"/>
        <v>46215</v>
      </c>
      <c r="E1002" s="454" t="s">
        <v>165</v>
      </c>
      <c r="F1002" s="517"/>
      <c r="G1002" s="512"/>
      <c r="H1002" s="505"/>
      <c r="I1002" s="505"/>
      <c r="J1002" s="540"/>
      <c r="K1002" s="540"/>
      <c r="L1002" s="540"/>
      <c r="M1002" s="540"/>
      <c r="N1002" s="564" t="e">
        <f>J1002*INDEX([2]Pedidos!$Q:$Q,MATCH(F1002,[2]Pedidos!$E:$E,0))</f>
        <v>#N/A</v>
      </c>
      <c r="O1002" s="564" t="e">
        <f>K1002*INDEX([2]Pedidos!$Q:$Q,MATCH(G1002,[2]Pedidos!$E:$E,0))</f>
        <v>#N/A</v>
      </c>
      <c r="P1002" s="564" t="e">
        <f>M1002*INDEX([2]Pedidos!$Q:$Q,MATCH(H1002,[2]Pedidos!$E:$E,0))</f>
        <v>#N/A</v>
      </c>
    </row>
    <row r="1003" spans="3:18" x14ac:dyDescent="0.25">
      <c r="C1003" s="452" t="s">
        <v>1034</v>
      </c>
      <c r="D1003" s="453">
        <f t="shared" si="189"/>
        <v>46215</v>
      </c>
      <c r="E1003" s="454" t="s">
        <v>166</v>
      </c>
      <c r="F1003" s="517"/>
      <c r="G1003" s="512"/>
      <c r="H1003" s="505"/>
      <c r="I1003" s="505"/>
      <c r="J1003" s="540"/>
      <c r="K1003" s="540"/>
      <c r="L1003" s="540"/>
      <c r="M1003" s="540"/>
      <c r="N1003" s="564" t="e">
        <f>J1003*INDEX([2]Pedidos!$Q:$Q,MATCH(F1003,[2]Pedidos!$E:$E,0))</f>
        <v>#N/A</v>
      </c>
      <c r="O1003" s="564" t="e">
        <f>K1003*INDEX([2]Pedidos!$Q:$Q,MATCH(G1003,[2]Pedidos!$E:$E,0))</f>
        <v>#N/A</v>
      </c>
      <c r="P1003" s="564" t="e">
        <f>M1003*INDEX([2]Pedidos!$Q:$Q,MATCH(H1003,[2]Pedidos!$E:$E,0))</f>
        <v>#N/A</v>
      </c>
    </row>
    <row r="1004" spans="3:18" x14ac:dyDescent="0.25">
      <c r="C1004" s="452" t="s">
        <v>1034</v>
      </c>
      <c r="D1004" s="453">
        <f t="shared" si="189"/>
        <v>46215</v>
      </c>
      <c r="E1004" s="454" t="s">
        <v>576</v>
      </c>
      <c r="F1004" s="517"/>
      <c r="G1004" s="512"/>
      <c r="H1004" s="505"/>
      <c r="I1004" s="505"/>
      <c r="J1004" s="541" cm="1">
        <f t="array" aca="1" ref="J1004" ca="1">IFERROR(_xlfn.LET(_xlpm.produto,TRIM(F1004)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04" s="541" cm="1">
        <f t="array" aca="1" ref="K1004" ca="1">IFERROR(_xlfn.LET(_xlpm.produto,TRIM(G1004)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04" s="541" cm="1">
        <f t="array" aca="1" ref="L1004" ca="1">IFERROR(_xlfn.LET(_xlpm.produto,TRIM(H1004)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04" s="541" cm="1">
        <f t="array" aca="1" ref="M1004" ca="1">IFERROR(_xlfn.LET(_xlpm.produto,TRIM(H1004)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04" s="556"/>
      <c r="O1004" s="556"/>
      <c r="P1004" s="556"/>
    </row>
    <row r="1005" spans="3:18" x14ac:dyDescent="0.25">
      <c r="C1005" s="452" t="s">
        <v>1034</v>
      </c>
      <c r="D1005" s="449">
        <f t="shared" si="189"/>
        <v>46215</v>
      </c>
      <c r="E1005" s="454" t="s">
        <v>167</v>
      </c>
      <c r="F1005" s="517"/>
      <c r="G1005" s="512"/>
      <c r="H1005" s="505"/>
      <c r="I1005" s="505"/>
      <c r="J1005" s="540"/>
      <c r="K1005" s="540"/>
      <c r="L1005" s="540"/>
      <c r="M1005" s="540"/>
      <c r="N1005" s="565" t="e">
        <f>J1005*INDEX([2]Pedidos!$Q:$Q,MATCH(F1005,[2]Pedidos!$E:$E,0))</f>
        <v>#N/A</v>
      </c>
      <c r="O1005" s="565" t="e">
        <f>K1005*INDEX([2]Pedidos!$Q:$Q,MATCH(G1005,[2]Pedidos!$E:$E,0))</f>
        <v>#N/A</v>
      </c>
      <c r="P1005" s="565" t="e">
        <f>M1005*INDEX([2]Pedidos!$Q:$Q,MATCH(H1005,[2]Pedidos!$E:$E,0))</f>
        <v>#N/A</v>
      </c>
    </row>
    <row r="1006" spans="3:18" x14ac:dyDescent="0.25">
      <c r="C1006" s="452" t="s">
        <v>1034</v>
      </c>
      <c r="D1006" s="449">
        <f t="shared" si="189"/>
        <v>46215</v>
      </c>
      <c r="E1006" s="454" t="s">
        <v>168</v>
      </c>
      <c r="F1006" s="517"/>
      <c r="G1006" s="512"/>
      <c r="H1006" s="505"/>
      <c r="I1006" s="505"/>
      <c r="J1006" s="540"/>
      <c r="K1006" s="540"/>
      <c r="L1006" s="540"/>
      <c r="M1006" s="540"/>
      <c r="N1006" s="565" t="e">
        <f>J1006*INDEX([2]Pedidos!$Q:$Q,MATCH(F1006,[2]Pedidos!$E:$E,0))</f>
        <v>#N/A</v>
      </c>
      <c r="O1006" s="565" t="e">
        <f>K1006*INDEX([2]Pedidos!$Q:$Q,MATCH(G1006,[2]Pedidos!$E:$E,0))</f>
        <v>#N/A</v>
      </c>
      <c r="P1006" s="565" t="e">
        <f>M1006*INDEX([2]Pedidos!$Q:$Q,MATCH(H1006,[2]Pedidos!$E:$E,0))</f>
        <v>#N/A</v>
      </c>
    </row>
    <row r="1007" spans="3:18" x14ac:dyDescent="0.25">
      <c r="C1007" s="452" t="s">
        <v>1034</v>
      </c>
      <c r="D1007" s="449">
        <f t="shared" si="189"/>
        <v>46215</v>
      </c>
      <c r="E1007" s="454" t="s">
        <v>169</v>
      </c>
      <c r="F1007" s="517"/>
      <c r="G1007" s="512"/>
      <c r="H1007" s="505"/>
      <c r="I1007" s="505"/>
      <c r="J1007" s="540"/>
      <c r="K1007" s="540"/>
      <c r="L1007" s="540"/>
      <c r="M1007" s="540"/>
      <c r="N1007" s="565" t="e">
        <f>J1007*INDEX([2]Pedidos!$Q:$Q,MATCH(F1007,[2]Pedidos!$E:$E,0))</f>
        <v>#N/A</v>
      </c>
      <c r="O1007" s="565" t="e">
        <f>K1007*INDEX([2]Pedidos!$Q:$Q,MATCH(G1007,[2]Pedidos!$E:$E,0))</f>
        <v>#N/A</v>
      </c>
      <c r="P1007" s="565" t="e">
        <f>M1007*INDEX([2]Pedidos!$Q:$Q,MATCH(H1007,[2]Pedidos!$E:$E,0))</f>
        <v>#N/A</v>
      </c>
    </row>
    <row r="1008" spans="3:18" x14ac:dyDescent="0.25">
      <c r="C1008" s="452" t="s">
        <v>1034</v>
      </c>
      <c r="D1008" s="449">
        <f t="shared" si="189"/>
        <v>46215</v>
      </c>
      <c r="E1008" s="454" t="s">
        <v>170</v>
      </c>
      <c r="F1008" s="517"/>
      <c r="G1008" s="512"/>
      <c r="H1008" s="505"/>
      <c r="I1008" s="505"/>
      <c r="J1008" s="540"/>
      <c r="K1008" s="540"/>
      <c r="L1008" s="540"/>
      <c r="M1008" s="540"/>
      <c r="N1008" s="566" t="e">
        <f>J1008*INDEX([2]Pedidos!$Q:$Q,MATCH(F1008,[2]Pedidos!$E:$E,0))</f>
        <v>#N/A</v>
      </c>
      <c r="O1008" s="566" t="e">
        <f>K1008*INDEX([2]Pedidos!$Q:$Q,MATCH(G1008,[2]Pedidos!$E:$E,0))</f>
        <v>#N/A</v>
      </c>
      <c r="P1008" s="566" t="e">
        <f>M1008*INDEX([2]Pedidos!$Q:$Q,MATCH(H1008,[2]Pedidos!$E:$E,0))</f>
        <v>#N/A</v>
      </c>
    </row>
    <row r="1009" spans="3:18" x14ac:dyDescent="0.25">
      <c r="C1009" s="452" t="s">
        <v>1034</v>
      </c>
      <c r="D1009" s="449">
        <f t="shared" si="189"/>
        <v>46215</v>
      </c>
      <c r="E1009" s="454" t="s">
        <v>585</v>
      </c>
      <c r="F1009" s="505"/>
      <c r="G1009" s="505"/>
      <c r="H1009" s="516"/>
      <c r="I1009" s="516"/>
      <c r="J1009" s="516" cm="1">
        <f t="array" aca="1" ref="J1009" ca="1">IFERROR(_xlfn.LET(_xlpm.produto,TRIM(F1009)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09" s="516" cm="1">
        <f t="array" aca="1" ref="K1009" ca="1">IFERROR(_xlfn.LET(_xlpm.produto,TRIM(G1009)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09" s="516" cm="1">
        <f t="array" aca="1" ref="L1009" ca="1">IFERROR(_xlfn.LET(_xlpm.produto,TRIM(G1009)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09" s="516" cm="1">
        <f t="array" aca="1" ref="M1009" ca="1">IFERROR(_xlfn.LET(_xlpm.produto,TRIM(H1009)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09" s="557"/>
      <c r="O1009" s="557"/>
      <c r="P1009" s="557"/>
    </row>
    <row r="1010" spans="3:18" x14ac:dyDescent="0.25">
      <c r="C1010" s="452" t="s">
        <v>1034</v>
      </c>
      <c r="D1010" s="449">
        <f t="shared" si="189"/>
        <v>46215</v>
      </c>
      <c r="E1010" s="455" t="s">
        <v>574</v>
      </c>
      <c r="F1010" s="505"/>
      <c r="G1010" s="505"/>
      <c r="H1010" s="516"/>
      <c r="I1010" s="516"/>
      <c r="J1010" s="516" cm="1">
        <f t="array" aca="1" ref="J1010" ca="1">IFERROR(_xlfn.LET(_xlpm.produto,TRIM(F1010)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10" s="516" cm="1">
        <f t="array" aca="1" ref="K1010" ca="1">IFERROR(_xlfn.LET(_xlpm.produto,TRIM(G1010)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10" s="516" cm="1">
        <f t="array" aca="1" ref="L1010" ca="1">IFERROR(_xlfn.LET(_xlpm.produto,TRIM(G1010)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10" s="516" cm="1">
        <f t="array" aca="1" ref="M1010" ca="1">IFERROR(_xlfn.LET(_xlpm.produto,TRIM(H1010)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10" s="557"/>
      <c r="O1010" s="557"/>
      <c r="P1010" s="557"/>
    </row>
    <row r="1011" spans="3:18" x14ac:dyDescent="0.25">
      <c r="C1011" s="452" t="s">
        <v>1034</v>
      </c>
      <c r="D1011" s="449">
        <f t="shared" si="189"/>
        <v>46215</v>
      </c>
      <c r="E1011" s="455" t="s">
        <v>575</v>
      </c>
      <c r="F1011" s="506"/>
      <c r="G1011" s="506"/>
      <c r="H1011" s="516"/>
      <c r="I1011" s="516"/>
      <c r="J1011" s="516" cm="1">
        <f t="array" aca="1" ref="J1011" ca="1">IFERROR(_xlfn.LET(_xlpm.produto,TRIM(F1011)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11" s="516" cm="1">
        <f t="array" aca="1" ref="K1011" ca="1">IFERROR(_xlfn.LET(_xlpm.produto,TRIM(G1011)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11" s="516" cm="1">
        <f t="array" aca="1" ref="L1011" ca="1">IFERROR(_xlfn.LET(_xlpm.produto,TRIM(G1011)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11" s="516" cm="1">
        <f t="array" aca="1" ref="M1011" ca="1">IFERROR(_xlfn.LET(_xlpm.produto,TRIM(H1011)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11" s="557"/>
      <c r="O1011" s="557"/>
      <c r="P1011" s="557"/>
    </row>
    <row r="1012" spans="3:18" x14ac:dyDescent="0.25">
      <c r="C1012" s="452" t="s">
        <v>1034</v>
      </c>
      <c r="D1012" s="449">
        <f t="shared" si="189"/>
        <v>46215</v>
      </c>
      <c r="E1012" s="503" t="s">
        <v>583</v>
      </c>
      <c r="F1012" s="506"/>
      <c r="G1012" s="506"/>
      <c r="H1012" s="516"/>
      <c r="I1012" s="516"/>
      <c r="J1012" s="516" cm="1">
        <f t="array" aca="1" ref="J1012" ca="1">IFERROR(_xlfn.LET(_xlpm.produto,TRIM(F1012)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12" s="516" cm="1">
        <f t="array" aca="1" ref="K1012" ca="1">IFERROR(_xlfn.LET(_xlpm.produto,TRIM(G1012)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12" s="516" cm="1">
        <f t="array" aca="1" ref="L1012" ca="1">IFERROR(_xlfn.LET(_xlpm.produto,TRIM(G1012)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12" s="516" cm="1">
        <f t="array" aca="1" ref="M1012" ca="1">IFERROR(_xlfn.LET(_xlpm.produto,TRIM(H1012)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12" s="557"/>
      <c r="O1012" s="557"/>
      <c r="P1012" s="557"/>
    </row>
    <row r="1013" spans="3:18" ht="15.75" thickBot="1" x14ac:dyDescent="0.3">
      <c r="C1013" s="530" t="s">
        <v>1034</v>
      </c>
      <c r="D1013" s="451">
        <f t="shared" si="189"/>
        <v>46215</v>
      </c>
      <c r="E1013" s="459" t="s">
        <v>584</v>
      </c>
      <c r="F1013" s="493"/>
      <c r="G1013" s="493"/>
      <c r="H1013" s="513"/>
      <c r="I1013" s="513"/>
      <c r="J1013" s="513" cm="1">
        <f t="array" aca="1" ref="J1013" ca="1">IFERROR(_xlfn.LET(_xlpm.produto,TRIM(F1013)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13" s="513" cm="1">
        <f t="array" aca="1" ref="K1013" ca="1">IFERROR(_xlfn.LET(_xlpm.produto,TRIM(G1013)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13" s="516" cm="1">
        <f t="array" aca="1" ref="L1013" ca="1">IFERROR(_xlfn.LET(_xlpm.produto,TRIM(G1013)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13" s="513" cm="1">
        <f t="array" aca="1" ref="M1013" ca="1">IFERROR(_xlfn.LET(_xlpm.produto,TRIM(H1013)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13" s="558"/>
      <c r="O1013" s="558"/>
      <c r="P1013" s="558"/>
    </row>
    <row r="1014" spans="3:18" ht="15.75" thickBot="1" x14ac:dyDescent="0.3"/>
    <row r="1015" spans="3:18" ht="15.75" thickBot="1" x14ac:dyDescent="0.3">
      <c r="C1015" s="546" t="s">
        <v>2007</v>
      </c>
      <c r="D1015" s="547">
        <f>SUM(R1015,R997,R979,R961,R943)</f>
        <v>20493.900000000001</v>
      </c>
      <c r="E1015" s="539"/>
      <c r="F1015" s="539"/>
      <c r="G1015" s="539"/>
      <c r="H1015" s="539"/>
      <c r="I1015" s="539"/>
      <c r="J1015" s="606">
        <f t="shared" ref="J1015:P1015" ca="1" si="190">_xlfn.AGGREGATE(9,6,J1016:J1031)</f>
        <v>6390</v>
      </c>
      <c r="K1015" s="607">
        <f t="shared" ca="1" si="190"/>
        <v>6282</v>
      </c>
      <c r="L1015" s="607">
        <f t="shared" ca="1" si="190"/>
        <v>0</v>
      </c>
      <c r="M1015" s="544">
        <f t="shared" ca="1" si="190"/>
        <v>0</v>
      </c>
      <c r="N1015" s="560">
        <f t="shared" si="190"/>
        <v>5431.5</v>
      </c>
      <c r="O1015" s="561">
        <f t="shared" si="190"/>
        <v>7538.4000000000015</v>
      </c>
      <c r="P1015" s="562">
        <f t="shared" si="190"/>
        <v>0</v>
      </c>
      <c r="Q1015" s="548">
        <f ca="1">SUM(J1015:M1015)</f>
        <v>12672</v>
      </c>
      <c r="R1015" s="549">
        <f>SUM(N1015:P1015)</f>
        <v>12969.900000000001</v>
      </c>
    </row>
    <row r="1016" spans="3:18" x14ac:dyDescent="0.25">
      <c r="C1016" s="529" t="s">
        <v>1831</v>
      </c>
      <c r="D1016" s="447">
        <f>D1013+1</f>
        <v>46216</v>
      </c>
      <c r="E1016" s="498" t="s">
        <v>573</v>
      </c>
      <c r="F1016" s="514"/>
      <c r="G1016" s="514"/>
      <c r="H1016" s="514"/>
      <c r="I1016" s="724"/>
      <c r="J1016" s="537"/>
      <c r="K1016" s="537"/>
      <c r="L1016" s="537"/>
      <c r="M1016" s="537"/>
      <c r="N1016" s="563"/>
      <c r="O1016" s="563"/>
      <c r="P1016" s="563"/>
    </row>
    <row r="1017" spans="3:18" x14ac:dyDescent="0.25">
      <c r="C1017" s="452" t="s">
        <v>1831</v>
      </c>
      <c r="D1017" s="453">
        <f t="shared" ref="D1017:D1031" si="191">D1016</f>
        <v>46216</v>
      </c>
      <c r="E1017" s="500" t="s">
        <v>162</v>
      </c>
      <c r="F1017" s="460" t="s">
        <v>2051</v>
      </c>
      <c r="G1017" s="460" t="s">
        <v>2045</v>
      </c>
      <c r="H1017" s="460" t="s">
        <v>2050</v>
      </c>
      <c r="I1017" s="460"/>
      <c r="J1017" s="540">
        <v>710</v>
      </c>
      <c r="K1017" s="540">
        <v>698</v>
      </c>
      <c r="L1017" s="540"/>
      <c r="M1017" s="545"/>
      <c r="N1017" s="555">
        <f>J1017*INDEX([2]Pedidos!$Q:$Q,MATCH(F1017,[2]Pedidos!$E:$E,0))</f>
        <v>603.5</v>
      </c>
      <c r="O1017" s="564">
        <f>K1017*INDEX([2]Pedidos!$Q:$Q,MATCH(G1017,[2]Pedidos!$E:$E,0))</f>
        <v>837.6</v>
      </c>
      <c r="P1017" s="555" t="e">
        <f>M1017*INDEX([2]Pedidos!$Q:$Q,MATCH(H1017,[2]Pedidos!$E:$E,0))</f>
        <v>#N/A</v>
      </c>
    </row>
    <row r="1018" spans="3:18" x14ac:dyDescent="0.25">
      <c r="C1018" s="452" t="s">
        <v>1831</v>
      </c>
      <c r="D1018" s="453">
        <f t="shared" si="191"/>
        <v>46216</v>
      </c>
      <c r="E1018" s="454" t="s">
        <v>163</v>
      </c>
      <c r="F1018" s="460" t="s">
        <v>2051</v>
      </c>
      <c r="G1018" s="460" t="s">
        <v>2045</v>
      </c>
      <c r="H1018" s="460" t="s">
        <v>2050</v>
      </c>
      <c r="I1018" s="460"/>
      <c r="J1018" s="540">
        <v>710</v>
      </c>
      <c r="K1018" s="540">
        <v>698</v>
      </c>
      <c r="L1018" s="540"/>
      <c r="M1018" s="545"/>
      <c r="N1018" s="564">
        <f>J1018*INDEX([2]Pedidos!$Q:$Q,MATCH(F1018,[2]Pedidos!$E:$E,0))</f>
        <v>603.5</v>
      </c>
      <c r="O1018" s="564">
        <f>K1018*INDEX([2]Pedidos!$Q:$Q,MATCH(G1018,[2]Pedidos!$E:$E,0))</f>
        <v>837.6</v>
      </c>
      <c r="P1018" s="564" t="e">
        <f>M1018*INDEX([2]Pedidos!$Q:$Q,MATCH(H1018,[2]Pedidos!$E:$E,0))</f>
        <v>#N/A</v>
      </c>
    </row>
    <row r="1019" spans="3:18" x14ac:dyDescent="0.25">
      <c r="C1019" s="452" t="s">
        <v>1831</v>
      </c>
      <c r="D1019" s="453">
        <f t="shared" si="191"/>
        <v>46216</v>
      </c>
      <c r="E1019" s="454" t="s">
        <v>164</v>
      </c>
      <c r="F1019" s="460" t="s">
        <v>2051</v>
      </c>
      <c r="G1019" s="460" t="s">
        <v>2045</v>
      </c>
      <c r="H1019" s="460" t="s">
        <v>2050</v>
      </c>
      <c r="I1019" s="460"/>
      <c r="J1019" s="540">
        <v>710</v>
      </c>
      <c r="K1019" s="540">
        <v>698</v>
      </c>
      <c r="L1019" s="540"/>
      <c r="M1019" s="545"/>
      <c r="N1019" s="564">
        <f>J1019*INDEX([2]Pedidos!$Q:$Q,MATCH(F1019,[2]Pedidos!$E:$E,0))</f>
        <v>603.5</v>
      </c>
      <c r="O1019" s="564">
        <f>K1019*INDEX([2]Pedidos!$Q:$Q,MATCH(G1019,[2]Pedidos!$E:$E,0))</f>
        <v>837.6</v>
      </c>
      <c r="P1019" s="564" t="e">
        <f>M1019*INDEX([2]Pedidos!$Q:$Q,MATCH(H1019,[2]Pedidos!$E:$E,0))</f>
        <v>#N/A</v>
      </c>
    </row>
    <row r="1020" spans="3:18" x14ac:dyDescent="0.25">
      <c r="C1020" s="452" t="s">
        <v>1831</v>
      </c>
      <c r="D1020" s="453">
        <f t="shared" si="191"/>
        <v>46216</v>
      </c>
      <c r="E1020" s="454" t="s">
        <v>165</v>
      </c>
      <c r="F1020" s="460" t="s">
        <v>2051</v>
      </c>
      <c r="G1020" s="460" t="s">
        <v>2045</v>
      </c>
      <c r="H1020" s="460" t="s">
        <v>2050</v>
      </c>
      <c r="I1020" s="460"/>
      <c r="J1020" s="540">
        <v>710</v>
      </c>
      <c r="K1020" s="540">
        <v>698</v>
      </c>
      <c r="L1020" s="540"/>
      <c r="M1020" s="545"/>
      <c r="N1020" s="564">
        <f>J1020*INDEX([2]Pedidos!$Q:$Q,MATCH(F1020,[2]Pedidos!$E:$E,0))</f>
        <v>603.5</v>
      </c>
      <c r="O1020" s="564">
        <f>K1020*INDEX([2]Pedidos!$Q:$Q,MATCH(G1020,[2]Pedidos!$E:$E,0))</f>
        <v>837.6</v>
      </c>
      <c r="P1020" s="564" t="e">
        <f>M1020*INDEX([2]Pedidos!$Q:$Q,MATCH(H1020,[2]Pedidos!$E:$E,0))</f>
        <v>#N/A</v>
      </c>
    </row>
    <row r="1021" spans="3:18" x14ac:dyDescent="0.25">
      <c r="C1021" s="452" t="s">
        <v>1831</v>
      </c>
      <c r="D1021" s="453">
        <f t="shared" si="191"/>
        <v>46216</v>
      </c>
      <c r="E1021" s="454" t="s">
        <v>166</v>
      </c>
      <c r="F1021" s="460" t="s">
        <v>2051</v>
      </c>
      <c r="G1021" s="460" t="s">
        <v>2045</v>
      </c>
      <c r="H1021" s="460" t="s">
        <v>2050</v>
      </c>
      <c r="I1021" s="460"/>
      <c r="J1021" s="540">
        <v>710</v>
      </c>
      <c r="K1021" s="540">
        <v>698</v>
      </c>
      <c r="L1021" s="540"/>
      <c r="M1021" s="545"/>
      <c r="N1021" s="564">
        <f>J1021*INDEX([2]Pedidos!$Q:$Q,MATCH(F1021,[2]Pedidos!$E:$E,0))</f>
        <v>603.5</v>
      </c>
      <c r="O1021" s="564">
        <f>K1021*INDEX([2]Pedidos!$Q:$Q,MATCH(G1021,[2]Pedidos!$E:$E,0))</f>
        <v>837.6</v>
      </c>
      <c r="P1021" s="564" t="e">
        <f>M1021*INDEX([2]Pedidos!$Q:$Q,MATCH(H1021,[2]Pedidos!$E:$E,0))</f>
        <v>#N/A</v>
      </c>
    </row>
    <row r="1022" spans="3:18" x14ac:dyDescent="0.25">
      <c r="C1022" s="452" t="s">
        <v>1831</v>
      </c>
      <c r="D1022" s="453">
        <f t="shared" si="191"/>
        <v>46216</v>
      </c>
      <c r="E1022" s="454" t="s">
        <v>576</v>
      </c>
      <c r="F1022" s="512"/>
      <c r="G1022" s="512"/>
      <c r="H1022" s="512"/>
      <c r="I1022" s="512"/>
      <c r="J1022" s="541" cm="1">
        <f t="array" aca="1" ref="J1022" ca="1">IFERROR(_xlfn.LET(_xlpm.produto,TRIM(F1022)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22" s="541" cm="1">
        <f t="array" aca="1" ref="K1022" ca="1">IFERROR(_xlfn.LET(_xlpm.produto,TRIM(G1022)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22" s="541" cm="1">
        <f t="array" aca="1" ref="L1022" ca="1">IFERROR(_xlfn.LET(_xlpm.produto,TRIM(H1022)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22" s="541" cm="1">
        <f t="array" aca="1" ref="M1022" ca="1">IFERROR(_xlfn.LET(_xlpm.produto,TRIM(H1022)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22" s="556"/>
      <c r="O1022" s="556"/>
      <c r="P1022" s="556"/>
    </row>
    <row r="1023" spans="3:18" x14ac:dyDescent="0.25">
      <c r="C1023" s="452" t="s">
        <v>1831</v>
      </c>
      <c r="D1023" s="449">
        <f t="shared" si="191"/>
        <v>46216</v>
      </c>
      <c r="E1023" s="454" t="s">
        <v>167</v>
      </c>
      <c r="F1023" s="460" t="s">
        <v>2051</v>
      </c>
      <c r="G1023" s="460" t="s">
        <v>2045</v>
      </c>
      <c r="H1023" s="460" t="s">
        <v>2050</v>
      </c>
      <c r="I1023" s="460"/>
      <c r="J1023" s="540">
        <v>710</v>
      </c>
      <c r="K1023" s="540">
        <v>698</v>
      </c>
      <c r="L1023" s="540"/>
      <c r="M1023" s="545"/>
      <c r="N1023" s="565">
        <f>J1023*INDEX([2]Pedidos!$Q:$Q,MATCH(F1023,[2]Pedidos!$E:$E,0))</f>
        <v>603.5</v>
      </c>
      <c r="O1023" s="564">
        <f>K1023*INDEX([2]Pedidos!$Q:$Q,MATCH(G1023,[2]Pedidos!$E:$E,0))</f>
        <v>837.6</v>
      </c>
      <c r="P1023" s="565" t="e">
        <f>M1023*INDEX([2]Pedidos!$Q:$Q,MATCH(H1023,[2]Pedidos!$E:$E,0))</f>
        <v>#N/A</v>
      </c>
    </row>
    <row r="1024" spans="3:18" x14ac:dyDescent="0.25">
      <c r="C1024" s="452" t="s">
        <v>1831</v>
      </c>
      <c r="D1024" s="449">
        <f t="shared" si="191"/>
        <v>46216</v>
      </c>
      <c r="E1024" s="454" t="s">
        <v>168</v>
      </c>
      <c r="F1024" s="460" t="s">
        <v>2051</v>
      </c>
      <c r="G1024" s="460" t="s">
        <v>2045</v>
      </c>
      <c r="H1024" s="460" t="s">
        <v>2050</v>
      </c>
      <c r="I1024" s="460"/>
      <c r="J1024" s="540">
        <v>710</v>
      </c>
      <c r="K1024" s="540">
        <v>698</v>
      </c>
      <c r="L1024" s="540"/>
      <c r="M1024" s="545"/>
      <c r="N1024" s="565">
        <f>J1024*INDEX([2]Pedidos!$Q:$Q,MATCH(F1024,[2]Pedidos!$E:$E,0))</f>
        <v>603.5</v>
      </c>
      <c r="O1024" s="564">
        <f>K1024*INDEX([2]Pedidos!$Q:$Q,MATCH(G1024,[2]Pedidos!$E:$E,0))</f>
        <v>837.6</v>
      </c>
      <c r="P1024" s="565" t="e">
        <f>M1024*INDEX([2]Pedidos!$Q:$Q,MATCH(H1024,[2]Pedidos!$E:$E,0))</f>
        <v>#N/A</v>
      </c>
    </row>
    <row r="1025" spans="3:18" x14ac:dyDescent="0.25">
      <c r="C1025" s="452" t="s">
        <v>1831</v>
      </c>
      <c r="D1025" s="449">
        <f t="shared" si="191"/>
        <v>46216</v>
      </c>
      <c r="E1025" s="454" t="s">
        <v>169</v>
      </c>
      <c r="F1025" s="460" t="s">
        <v>2051</v>
      </c>
      <c r="G1025" s="460" t="s">
        <v>2045</v>
      </c>
      <c r="H1025" s="460" t="s">
        <v>2050</v>
      </c>
      <c r="I1025" s="460"/>
      <c r="J1025" s="540">
        <v>710</v>
      </c>
      <c r="K1025" s="540">
        <v>698</v>
      </c>
      <c r="L1025" s="540"/>
      <c r="M1025" s="545"/>
      <c r="N1025" s="565">
        <f>J1025*INDEX([2]Pedidos!$Q:$Q,MATCH(F1025,[2]Pedidos!$E:$E,0))</f>
        <v>603.5</v>
      </c>
      <c r="O1025" s="564">
        <f>K1025*INDEX([2]Pedidos!$Q:$Q,MATCH(G1025,[2]Pedidos!$E:$E,0))</f>
        <v>837.6</v>
      </c>
      <c r="P1025" s="565" t="e">
        <f>M1025*INDEX([2]Pedidos!$Q:$Q,MATCH(H1025,[2]Pedidos!$E:$E,0))</f>
        <v>#N/A</v>
      </c>
    </row>
    <row r="1026" spans="3:18" x14ac:dyDescent="0.25">
      <c r="C1026" s="452" t="s">
        <v>1831</v>
      </c>
      <c r="D1026" s="449">
        <f t="shared" si="191"/>
        <v>46216</v>
      </c>
      <c r="E1026" s="454" t="s">
        <v>170</v>
      </c>
      <c r="F1026" s="460" t="s">
        <v>2051</v>
      </c>
      <c r="G1026" s="460" t="s">
        <v>2048</v>
      </c>
      <c r="H1026" s="460" t="s">
        <v>2050</v>
      </c>
      <c r="I1026" s="460"/>
      <c r="J1026" s="540">
        <v>710</v>
      </c>
      <c r="K1026" s="540">
        <v>698</v>
      </c>
      <c r="L1026" s="540"/>
      <c r="M1026" s="545"/>
      <c r="N1026" s="566">
        <f>J1026*INDEX([2]Pedidos!$Q:$Q,MATCH(F1026,[2]Pedidos!$E:$E,0))</f>
        <v>603.5</v>
      </c>
      <c r="O1026" s="564">
        <f>K1026*INDEX([2]Pedidos!$Q:$Q,MATCH(G1026,[2]Pedidos!$E:$E,0))</f>
        <v>837.6</v>
      </c>
      <c r="P1026" s="566" t="e">
        <f>M1026*INDEX([2]Pedidos!$Q:$Q,MATCH(H1026,[2]Pedidos!$E:$E,0))</f>
        <v>#N/A</v>
      </c>
    </row>
    <row r="1027" spans="3:18" x14ac:dyDescent="0.25">
      <c r="C1027" s="452" t="s">
        <v>1831</v>
      </c>
      <c r="D1027" s="449">
        <f t="shared" si="191"/>
        <v>46216</v>
      </c>
      <c r="E1027" s="454" t="s">
        <v>585</v>
      </c>
      <c r="F1027" s="505"/>
      <c r="G1027" s="505"/>
      <c r="H1027" s="505"/>
      <c r="I1027" s="506"/>
      <c r="J1027" s="516" cm="1">
        <f t="array" aca="1" ref="J1027" ca="1">IFERROR(_xlfn.LET(_xlpm.produto,TRIM(F1027)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27" s="516" cm="1">
        <f t="array" aca="1" ref="K1027" ca="1">IFERROR(_xlfn.LET(_xlpm.produto,TRIM(G1027)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27" s="516" cm="1">
        <f t="array" aca="1" ref="L1027" ca="1">IFERROR(_xlfn.LET(_xlpm.produto,TRIM(H1027)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27" s="516" cm="1">
        <f t="array" aca="1" ref="M1027" ca="1">IFERROR(_xlfn.LET(_xlpm.produto,TRIM(H1027)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27" s="557"/>
      <c r="O1027" s="557"/>
      <c r="P1027" s="557"/>
    </row>
    <row r="1028" spans="3:18" x14ac:dyDescent="0.25">
      <c r="C1028" s="452" t="s">
        <v>1831</v>
      </c>
      <c r="D1028" s="449">
        <f t="shared" si="191"/>
        <v>46216</v>
      </c>
      <c r="E1028" s="455" t="s">
        <v>574</v>
      </c>
      <c r="F1028" s="505"/>
      <c r="G1028" s="505"/>
      <c r="H1028" s="505"/>
      <c r="I1028" s="506"/>
      <c r="J1028" s="516" cm="1">
        <f t="array" aca="1" ref="J1028" ca="1">IFERROR(_xlfn.LET(_xlpm.produto,TRIM(F1028)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28" s="516" cm="1">
        <f t="array" aca="1" ref="K1028" ca="1">IFERROR(_xlfn.LET(_xlpm.produto,TRIM(G1028)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28" s="516" cm="1">
        <f t="array" aca="1" ref="L1028" ca="1">IFERROR(_xlfn.LET(_xlpm.produto,TRIM(H1028)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28" s="516" cm="1">
        <f t="array" aca="1" ref="M1028" ca="1">IFERROR(_xlfn.LET(_xlpm.produto,TRIM(H1028)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28" s="557"/>
      <c r="O1028" s="557"/>
      <c r="P1028" s="557"/>
    </row>
    <row r="1029" spans="3:18" x14ac:dyDescent="0.25">
      <c r="C1029" s="452" t="s">
        <v>1831</v>
      </c>
      <c r="D1029" s="449">
        <f t="shared" si="191"/>
        <v>46216</v>
      </c>
      <c r="E1029" s="455" t="s">
        <v>575</v>
      </c>
      <c r="F1029" s="506"/>
      <c r="G1029" s="506"/>
      <c r="H1029" s="506"/>
      <c r="I1029" s="506"/>
      <c r="J1029" s="516" cm="1">
        <f t="array" aca="1" ref="J1029" ca="1">IFERROR(_xlfn.LET(_xlpm.produto,TRIM(F1029)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29" s="516" cm="1">
        <f t="array" aca="1" ref="K1029" ca="1">IFERROR(_xlfn.LET(_xlpm.produto,TRIM(G1029)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29" s="516" cm="1">
        <f t="array" aca="1" ref="L1029" ca="1">IFERROR(_xlfn.LET(_xlpm.produto,TRIM(H1029)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29" s="516" cm="1">
        <f t="array" aca="1" ref="M1029" ca="1">IFERROR(_xlfn.LET(_xlpm.produto,TRIM(H1029)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29" s="557"/>
      <c r="O1029" s="557"/>
      <c r="P1029" s="557"/>
    </row>
    <row r="1030" spans="3:18" x14ac:dyDescent="0.25">
      <c r="C1030" s="452" t="s">
        <v>1831</v>
      </c>
      <c r="D1030" s="502">
        <f t="shared" si="191"/>
        <v>46216</v>
      </c>
      <c r="E1030" s="503" t="s">
        <v>583</v>
      </c>
      <c r="F1030" s="506"/>
      <c r="G1030" s="506"/>
      <c r="H1030" s="506"/>
      <c r="I1030" s="506"/>
      <c r="J1030" s="516" cm="1">
        <f t="array" aca="1" ref="J1030" ca="1">IFERROR(_xlfn.LET(_xlpm.produto,TRIM(F1030)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30" s="516" cm="1">
        <f t="array" aca="1" ref="K1030" ca="1">IFERROR(_xlfn.LET(_xlpm.produto,TRIM(G1030)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30" s="516" cm="1">
        <f t="array" aca="1" ref="L1030" ca="1">IFERROR(_xlfn.LET(_xlpm.produto,TRIM(H1030)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30" s="516" cm="1">
        <f t="array" aca="1" ref="M1030" ca="1">IFERROR(_xlfn.LET(_xlpm.produto,TRIM(H1030)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30" s="557"/>
      <c r="O1030" s="557"/>
      <c r="P1030" s="557"/>
    </row>
    <row r="1031" spans="3:18" ht="15.75" thickBot="1" x14ac:dyDescent="0.3">
      <c r="C1031" s="530" t="s">
        <v>1831</v>
      </c>
      <c r="D1031" s="451">
        <f t="shared" si="191"/>
        <v>46216</v>
      </c>
      <c r="E1031" s="459" t="s">
        <v>584</v>
      </c>
      <c r="F1031" s="493"/>
      <c r="G1031" s="493"/>
      <c r="H1031" s="493"/>
      <c r="I1031" s="493"/>
      <c r="J1031" s="513" cm="1">
        <f t="array" aca="1" ref="J1031" ca="1">IFERROR(_xlfn.LET(_xlpm.produto,TRIM(F1031)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31" s="513" cm="1">
        <f t="array" aca="1" ref="K1031" ca="1">IFERROR(_xlfn.LET(_xlpm.produto,TRIM(G1031)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31" s="516" cm="1">
        <f t="array" aca="1" ref="L1031" ca="1">IFERROR(_xlfn.LET(_xlpm.produto,TRIM(H1031)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31" s="513" cm="1">
        <f t="array" aca="1" ref="M1031" ca="1">IFERROR(_xlfn.LET(_xlpm.produto,TRIM(H1031)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31" s="558"/>
      <c r="O1031" s="558"/>
      <c r="P1031" s="558"/>
    </row>
    <row r="1032" spans="3:18" ht="15.75" thickBot="1" x14ac:dyDescent="0.3"/>
    <row r="1033" spans="3:18" ht="15.75" thickBot="1" x14ac:dyDescent="0.3">
      <c r="C1033" s="546" t="s">
        <v>2007</v>
      </c>
      <c r="D1033" s="547">
        <f>SUM(R1033,R1015,R997,R979,R961)</f>
        <v>23979.600000000006</v>
      </c>
      <c r="E1033" s="539"/>
      <c r="F1033" s="539"/>
      <c r="G1033" s="539"/>
      <c r="H1033" s="539"/>
      <c r="I1033" s="539"/>
      <c r="J1033" s="606">
        <f t="shared" ref="J1033:P1033" ca="1" si="192">_xlfn.AGGREGATE(9,6,J1034:J1049)</f>
        <v>2130</v>
      </c>
      <c r="K1033" s="607">
        <f t="shared" ca="1" si="192"/>
        <v>1396</v>
      </c>
      <c r="L1033" s="607">
        <f t="shared" ca="1" si="192"/>
        <v>0</v>
      </c>
      <c r="M1033" s="544">
        <f t="shared" ca="1" si="192"/>
        <v>0</v>
      </c>
      <c r="N1033" s="560">
        <f t="shared" si="192"/>
        <v>1810.5</v>
      </c>
      <c r="O1033" s="561">
        <f t="shared" si="192"/>
        <v>1675.2</v>
      </c>
      <c r="P1033" s="562">
        <f t="shared" si="192"/>
        <v>0</v>
      </c>
      <c r="Q1033" s="548">
        <f ca="1">SUM(J1033:M1033)</f>
        <v>3526</v>
      </c>
      <c r="R1033" s="549">
        <f>SUM(N1033:P1033)</f>
        <v>3485.7</v>
      </c>
    </row>
    <row r="1034" spans="3:18" x14ac:dyDescent="0.25">
      <c r="C1034" s="529" t="s">
        <v>1938</v>
      </c>
      <c r="D1034" s="447">
        <f>D1031+1</f>
        <v>46217</v>
      </c>
      <c r="E1034" s="498" t="s">
        <v>573</v>
      </c>
      <c r="F1034" s="514"/>
      <c r="G1034" s="514"/>
      <c r="H1034" s="514"/>
      <c r="I1034" s="724"/>
      <c r="J1034" s="537"/>
      <c r="K1034" s="537"/>
      <c r="L1034" s="537"/>
      <c r="M1034" s="537"/>
      <c r="N1034" s="563"/>
      <c r="O1034" s="563"/>
      <c r="P1034" s="563"/>
    </row>
    <row r="1035" spans="3:18" x14ac:dyDescent="0.25">
      <c r="C1035" s="452" t="s">
        <v>1938</v>
      </c>
      <c r="D1035" s="453">
        <f t="shared" ref="D1035:D1049" si="193">D1034</f>
        <v>46217</v>
      </c>
      <c r="E1035" s="500" t="s">
        <v>162</v>
      </c>
      <c r="F1035" s="460" t="s">
        <v>2051</v>
      </c>
      <c r="G1035" s="460" t="s">
        <v>2048</v>
      </c>
      <c r="H1035" s="460" t="s">
        <v>2050</v>
      </c>
      <c r="I1035" s="460"/>
      <c r="J1035" s="540">
        <v>710</v>
      </c>
      <c r="K1035" s="540">
        <v>698</v>
      </c>
      <c r="L1035" s="540"/>
      <c r="M1035" s="545"/>
      <c r="N1035" s="555">
        <f>J1035*INDEX([2]Pedidos!$Q:$Q,MATCH(F1035,[2]Pedidos!$E:$E,0))</f>
        <v>603.5</v>
      </c>
      <c r="O1035" s="564">
        <f>K1035*INDEX([2]Pedidos!$Q:$Q,MATCH(G1035,[2]Pedidos!$E:$E,0))</f>
        <v>837.6</v>
      </c>
      <c r="P1035" s="555" t="e">
        <f>M1035*INDEX([2]Pedidos!$Q:$Q,MATCH(H1035,[2]Pedidos!$E:$E,0))</f>
        <v>#N/A</v>
      </c>
    </row>
    <row r="1036" spans="3:18" x14ac:dyDescent="0.25">
      <c r="C1036" s="452" t="s">
        <v>1938</v>
      </c>
      <c r="D1036" s="453">
        <f t="shared" si="193"/>
        <v>46217</v>
      </c>
      <c r="E1036" s="454" t="s">
        <v>163</v>
      </c>
      <c r="F1036" s="460" t="s">
        <v>2051</v>
      </c>
      <c r="G1036" s="460" t="s">
        <v>2048</v>
      </c>
      <c r="H1036" s="460" t="s">
        <v>2050</v>
      </c>
      <c r="I1036" s="460"/>
      <c r="J1036" s="540">
        <v>710</v>
      </c>
      <c r="K1036" s="540">
        <v>698</v>
      </c>
      <c r="L1036" s="540"/>
      <c r="M1036" s="545"/>
      <c r="N1036" s="564">
        <f>J1036*INDEX([2]Pedidos!$Q:$Q,MATCH(F1036,[2]Pedidos!$E:$E,0))</f>
        <v>603.5</v>
      </c>
      <c r="O1036" s="564">
        <f>K1036*INDEX([2]Pedidos!$Q:$Q,MATCH(G1036,[2]Pedidos!$E:$E,0))</f>
        <v>837.6</v>
      </c>
      <c r="P1036" s="564" t="e">
        <f>M1036*INDEX([2]Pedidos!$Q:$Q,MATCH(H1036,[2]Pedidos!$E:$E,0))</f>
        <v>#N/A</v>
      </c>
    </row>
    <row r="1037" spans="3:18" x14ac:dyDescent="0.25">
      <c r="C1037" s="452" t="s">
        <v>1938</v>
      </c>
      <c r="D1037" s="453">
        <f t="shared" si="193"/>
        <v>46217</v>
      </c>
      <c r="E1037" s="454" t="s">
        <v>164</v>
      </c>
      <c r="F1037" s="460" t="s">
        <v>2051</v>
      </c>
      <c r="G1037" s="460" t="s">
        <v>2048</v>
      </c>
      <c r="H1037" s="460" t="s">
        <v>2050</v>
      </c>
      <c r="I1037" s="460"/>
      <c r="J1037" s="540">
        <v>710</v>
      </c>
      <c r="K1037" s="540"/>
      <c r="L1037" s="540"/>
      <c r="M1037" s="545"/>
      <c r="N1037" s="564">
        <f>J1037*INDEX([2]Pedidos!$Q:$Q,MATCH(F1037,[2]Pedidos!$E:$E,0))</f>
        <v>603.5</v>
      </c>
      <c r="O1037" s="564">
        <f>K1037*INDEX([2]Pedidos!$Q:$Q,MATCH(G1037,[2]Pedidos!$E:$E,0))</f>
        <v>0</v>
      </c>
      <c r="P1037" s="564" t="e">
        <f>M1037*INDEX([2]Pedidos!$Q:$Q,MATCH(H1037,[2]Pedidos!$E:$E,0))</f>
        <v>#N/A</v>
      </c>
    </row>
    <row r="1038" spans="3:18" x14ac:dyDescent="0.25">
      <c r="C1038" s="452" t="s">
        <v>1938</v>
      </c>
      <c r="D1038" s="453">
        <f t="shared" si="193"/>
        <v>46217</v>
      </c>
      <c r="E1038" s="454" t="s">
        <v>165</v>
      </c>
      <c r="F1038" s="460"/>
      <c r="G1038" s="460" t="s">
        <v>2048</v>
      </c>
      <c r="H1038" s="460" t="s">
        <v>2050</v>
      </c>
      <c r="I1038" s="460"/>
      <c r="J1038" s="540"/>
      <c r="K1038" s="540"/>
      <c r="L1038" s="540"/>
      <c r="M1038" s="545"/>
      <c r="N1038" s="564" t="e">
        <f>J1038*INDEX([2]Pedidos!$Q:$Q,MATCH(F1038,[2]Pedidos!$E:$E,0))</f>
        <v>#N/A</v>
      </c>
      <c r="O1038" s="564">
        <f>K1038*INDEX([2]Pedidos!$Q:$Q,MATCH(G1038,[2]Pedidos!$E:$E,0))</f>
        <v>0</v>
      </c>
      <c r="P1038" s="564" t="e">
        <f>M1038*INDEX([2]Pedidos!$Q:$Q,MATCH(H1038,[2]Pedidos!$E:$E,0))</f>
        <v>#N/A</v>
      </c>
    </row>
    <row r="1039" spans="3:18" x14ac:dyDescent="0.25">
      <c r="C1039" s="452" t="s">
        <v>1938</v>
      </c>
      <c r="D1039" s="453">
        <f t="shared" si="193"/>
        <v>46217</v>
      </c>
      <c r="E1039" s="454" t="s">
        <v>166</v>
      </c>
      <c r="F1039" s="460"/>
      <c r="G1039" s="460" t="s">
        <v>2048</v>
      </c>
      <c r="H1039" s="460" t="s">
        <v>2050</v>
      </c>
      <c r="I1039" s="460"/>
      <c r="J1039" s="540"/>
      <c r="K1039" s="540"/>
      <c r="L1039" s="540"/>
      <c r="M1039" s="545"/>
      <c r="N1039" s="564" t="e">
        <f>J1039*INDEX([2]Pedidos!$Q:$Q,MATCH(F1039,[2]Pedidos!$E:$E,0))</f>
        <v>#N/A</v>
      </c>
      <c r="O1039" s="564">
        <f>K1039*INDEX([2]Pedidos!$Q:$Q,MATCH(G1039,[2]Pedidos!$E:$E,0))</f>
        <v>0</v>
      </c>
      <c r="P1039" s="564" t="e">
        <f>M1039*INDEX([2]Pedidos!$Q:$Q,MATCH(H1039,[2]Pedidos!$E:$E,0))</f>
        <v>#N/A</v>
      </c>
    </row>
    <row r="1040" spans="3:18" x14ac:dyDescent="0.25">
      <c r="C1040" s="452" t="s">
        <v>1938</v>
      </c>
      <c r="D1040" s="453">
        <f t="shared" si="193"/>
        <v>46217</v>
      </c>
      <c r="E1040" s="454" t="s">
        <v>576</v>
      </c>
      <c r="F1040" s="512"/>
      <c r="G1040" s="512"/>
      <c r="H1040" s="512"/>
      <c r="I1040" s="512"/>
      <c r="J1040" s="541" cm="1">
        <f t="array" aca="1" ref="J1040" ca="1">IFERROR(_xlfn.LET(_xlpm.produto,TRIM(F1040)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0" s="541" cm="1">
        <f t="array" aca="1" ref="K1040" ca="1">IFERROR(_xlfn.LET(_xlpm.produto,TRIM(G1040)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0" s="541" cm="1">
        <f t="array" aca="1" ref="L1040" ca="1">IFERROR(_xlfn.LET(_xlpm.produto,TRIM(H1040)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0" s="541" cm="1">
        <f t="array" aca="1" ref="M1040" ca="1">IFERROR(_xlfn.LET(_xlpm.produto,TRIM(H1040)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0" s="556"/>
      <c r="O1040" s="556"/>
      <c r="P1040" s="556"/>
    </row>
    <row r="1041" spans="3:18" x14ac:dyDescent="0.25">
      <c r="C1041" s="452" t="s">
        <v>1938</v>
      </c>
      <c r="D1041" s="449">
        <f t="shared" si="193"/>
        <v>46217</v>
      </c>
      <c r="E1041" s="454" t="s">
        <v>167</v>
      </c>
      <c r="F1041" s="460"/>
      <c r="G1041" s="460" t="s">
        <v>2048</v>
      </c>
      <c r="H1041" s="460" t="s">
        <v>2050</v>
      </c>
      <c r="I1041" s="460"/>
      <c r="J1041" s="540"/>
      <c r="K1041" s="540"/>
      <c r="L1041" s="540"/>
      <c r="M1041" s="545"/>
      <c r="N1041" s="565" t="e">
        <f>J1041*INDEX([2]Pedidos!$Q:$Q,MATCH(F1041,[2]Pedidos!$E:$E,0))</f>
        <v>#N/A</v>
      </c>
      <c r="O1041" s="564">
        <f>K1041*INDEX([2]Pedidos!$Q:$Q,MATCH(G1041,[2]Pedidos!$E:$E,0))</f>
        <v>0</v>
      </c>
      <c r="P1041" s="565" t="e">
        <f>M1041*INDEX([2]Pedidos!$Q:$Q,MATCH(H1041,[2]Pedidos!$E:$E,0))</f>
        <v>#N/A</v>
      </c>
    </row>
    <row r="1042" spans="3:18" x14ac:dyDescent="0.25">
      <c r="C1042" s="452" t="s">
        <v>1938</v>
      </c>
      <c r="D1042" s="449">
        <f t="shared" si="193"/>
        <v>46217</v>
      </c>
      <c r="E1042" s="454" t="s">
        <v>168</v>
      </c>
      <c r="F1042" s="460"/>
      <c r="G1042" s="460" t="s">
        <v>2048</v>
      </c>
      <c r="H1042" s="460" t="s">
        <v>2050</v>
      </c>
      <c r="I1042" s="460"/>
      <c r="J1042" s="540"/>
      <c r="K1042" s="540"/>
      <c r="L1042" s="540"/>
      <c r="M1042" s="545"/>
      <c r="N1042" s="565" t="e">
        <f>J1042*INDEX([2]Pedidos!$Q:$Q,MATCH(F1042,[2]Pedidos!$E:$E,0))</f>
        <v>#N/A</v>
      </c>
      <c r="O1042" s="564">
        <f>K1042*INDEX([2]Pedidos!$Q:$Q,MATCH(G1042,[2]Pedidos!$E:$E,0))</f>
        <v>0</v>
      </c>
      <c r="P1042" s="565" t="e">
        <f>M1042*INDEX([2]Pedidos!$Q:$Q,MATCH(H1042,[2]Pedidos!$E:$E,0))</f>
        <v>#N/A</v>
      </c>
    </row>
    <row r="1043" spans="3:18" x14ac:dyDescent="0.25">
      <c r="C1043" s="452" t="s">
        <v>1938</v>
      </c>
      <c r="D1043" s="449">
        <f t="shared" si="193"/>
        <v>46217</v>
      </c>
      <c r="E1043" s="454" t="s">
        <v>169</v>
      </c>
      <c r="F1043" s="460"/>
      <c r="G1043" s="460" t="s">
        <v>2048</v>
      </c>
      <c r="H1043" s="460" t="s">
        <v>2050</v>
      </c>
      <c r="I1043" s="460"/>
      <c r="J1043" s="540"/>
      <c r="K1043" s="540"/>
      <c r="L1043" s="540"/>
      <c r="M1043" s="545"/>
      <c r="N1043" s="565" t="e">
        <f>J1043*INDEX([2]Pedidos!$Q:$Q,MATCH(F1043,[2]Pedidos!$E:$E,0))</f>
        <v>#N/A</v>
      </c>
      <c r="O1043" s="564">
        <f>K1043*INDEX([2]Pedidos!$Q:$Q,MATCH(G1043,[2]Pedidos!$E:$E,0))</f>
        <v>0</v>
      </c>
      <c r="P1043" s="565" t="e">
        <f>M1043*INDEX([2]Pedidos!$Q:$Q,MATCH(H1043,[2]Pedidos!$E:$E,0))</f>
        <v>#N/A</v>
      </c>
    </row>
    <row r="1044" spans="3:18" x14ac:dyDescent="0.25">
      <c r="C1044" s="452" t="s">
        <v>1938</v>
      </c>
      <c r="D1044" s="449">
        <f t="shared" si="193"/>
        <v>46217</v>
      </c>
      <c r="E1044" s="454" t="s">
        <v>170</v>
      </c>
      <c r="F1044" s="460"/>
      <c r="G1044" s="460" t="s">
        <v>2048</v>
      </c>
      <c r="H1044" s="460" t="s">
        <v>2050</v>
      </c>
      <c r="I1044" s="460"/>
      <c r="J1044" s="540"/>
      <c r="K1044" s="540"/>
      <c r="L1044" s="540"/>
      <c r="M1044" s="545"/>
      <c r="N1044" s="566" t="e">
        <f>J1044*INDEX([2]Pedidos!$Q:$Q,MATCH(F1044,[2]Pedidos!$E:$E,0))</f>
        <v>#N/A</v>
      </c>
      <c r="O1044" s="564">
        <f>K1044*INDEX([2]Pedidos!$Q:$Q,MATCH(G1044,[2]Pedidos!$E:$E,0))</f>
        <v>0</v>
      </c>
      <c r="P1044" s="566" t="e">
        <f>M1044*INDEX([2]Pedidos!$Q:$Q,MATCH(H1044,[2]Pedidos!$E:$E,0))</f>
        <v>#N/A</v>
      </c>
    </row>
    <row r="1045" spans="3:18" x14ac:dyDescent="0.25">
      <c r="C1045" s="452" t="s">
        <v>1938</v>
      </c>
      <c r="D1045" s="449">
        <f t="shared" si="193"/>
        <v>46217</v>
      </c>
      <c r="E1045" s="454" t="s">
        <v>585</v>
      </c>
      <c r="F1045" s="505"/>
      <c r="G1045" s="505"/>
      <c r="H1045" s="505"/>
      <c r="I1045" s="506"/>
      <c r="J1045" s="516" cm="1">
        <f t="array" aca="1" ref="J1045" ca="1">IFERROR(_xlfn.LET(_xlpm.produto,TRIM(F1045)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5" s="516" cm="1">
        <f t="array" aca="1" ref="K1045" ca="1">IFERROR(_xlfn.LET(_xlpm.produto,TRIM(G1045)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5" s="516" cm="1">
        <f t="array" aca="1" ref="L1045" ca="1">IFERROR(_xlfn.LET(_xlpm.produto,TRIM(H1045)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5" s="516" cm="1">
        <f t="array" aca="1" ref="M1045" ca="1">IFERROR(_xlfn.LET(_xlpm.produto,TRIM(H1045)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5" s="557"/>
      <c r="O1045" s="557"/>
      <c r="P1045" s="557"/>
    </row>
    <row r="1046" spans="3:18" x14ac:dyDescent="0.25">
      <c r="C1046" s="452" t="s">
        <v>1938</v>
      </c>
      <c r="D1046" s="449">
        <f t="shared" si="193"/>
        <v>46217</v>
      </c>
      <c r="E1046" s="455" t="s">
        <v>574</v>
      </c>
      <c r="F1046" s="505"/>
      <c r="G1046" s="505"/>
      <c r="H1046" s="505"/>
      <c r="I1046" s="506"/>
      <c r="J1046" s="516" cm="1">
        <f t="array" aca="1" ref="J1046" ca="1">IFERROR(_xlfn.LET(_xlpm.produto,TRIM(F1046)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6" s="516" cm="1">
        <f t="array" aca="1" ref="K1046" ca="1">IFERROR(_xlfn.LET(_xlpm.produto,TRIM(G1046)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6" s="516" cm="1">
        <f t="array" aca="1" ref="L1046" ca="1">IFERROR(_xlfn.LET(_xlpm.produto,TRIM(H1046)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6" s="516" cm="1">
        <f t="array" aca="1" ref="M1046" ca="1">IFERROR(_xlfn.LET(_xlpm.produto,TRIM(H1046)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6" s="557"/>
      <c r="O1046" s="557"/>
      <c r="P1046" s="557"/>
    </row>
    <row r="1047" spans="3:18" x14ac:dyDescent="0.25">
      <c r="C1047" s="452" t="s">
        <v>1938</v>
      </c>
      <c r="D1047" s="449">
        <f t="shared" si="193"/>
        <v>46217</v>
      </c>
      <c r="E1047" s="455" t="s">
        <v>575</v>
      </c>
      <c r="F1047" s="506"/>
      <c r="G1047" s="506"/>
      <c r="H1047" s="506"/>
      <c r="I1047" s="506"/>
      <c r="J1047" s="516" cm="1">
        <f t="array" aca="1" ref="J1047" ca="1">IFERROR(_xlfn.LET(_xlpm.produto,TRIM(F1047)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7" s="516" cm="1">
        <f t="array" aca="1" ref="K1047" ca="1">IFERROR(_xlfn.LET(_xlpm.produto,TRIM(G1047)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7" s="516" cm="1">
        <f t="array" aca="1" ref="L1047" ca="1">IFERROR(_xlfn.LET(_xlpm.produto,TRIM(H1047)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7" s="516" cm="1">
        <f t="array" aca="1" ref="M1047" ca="1">IFERROR(_xlfn.LET(_xlpm.produto,TRIM(H1047)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7" s="557"/>
      <c r="O1047" s="557"/>
      <c r="P1047" s="557"/>
    </row>
    <row r="1048" spans="3:18" x14ac:dyDescent="0.25">
      <c r="C1048" s="452" t="s">
        <v>1938</v>
      </c>
      <c r="D1048" s="502">
        <f t="shared" si="193"/>
        <v>46217</v>
      </c>
      <c r="E1048" s="503" t="s">
        <v>583</v>
      </c>
      <c r="F1048" s="506"/>
      <c r="G1048" s="506"/>
      <c r="H1048" s="506"/>
      <c r="I1048" s="506"/>
      <c r="J1048" s="516" cm="1">
        <f t="array" aca="1" ref="J1048" ca="1">IFERROR(_xlfn.LET(_xlpm.produto,TRIM(F1048)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8" s="516" cm="1">
        <f t="array" aca="1" ref="K1048" ca="1">IFERROR(_xlfn.LET(_xlpm.produto,TRIM(G1048)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8" s="516" cm="1">
        <f t="array" aca="1" ref="L1048" ca="1">IFERROR(_xlfn.LET(_xlpm.produto,TRIM(H1048)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8" s="516" cm="1">
        <f t="array" aca="1" ref="M1048" ca="1">IFERROR(_xlfn.LET(_xlpm.produto,TRIM(H1048)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8" s="557"/>
      <c r="O1048" s="557"/>
      <c r="P1048" s="557"/>
    </row>
    <row r="1049" spans="3:18" ht="15.75" thickBot="1" x14ac:dyDescent="0.3">
      <c r="C1049" s="530" t="s">
        <v>1938</v>
      </c>
      <c r="D1049" s="451">
        <f t="shared" si="193"/>
        <v>46217</v>
      </c>
      <c r="E1049" s="459" t="s">
        <v>584</v>
      </c>
      <c r="F1049" s="493"/>
      <c r="G1049" s="493"/>
      <c r="H1049" s="493"/>
      <c r="I1049" s="493"/>
      <c r="J1049" s="513" cm="1">
        <f t="array" aca="1" ref="J1049" ca="1">IFERROR(_xlfn.LET(_xlpm.produto,TRIM(F1049)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49" s="513" cm="1">
        <f t="array" aca="1" ref="K1049" ca="1">IFERROR(_xlfn.LET(_xlpm.produto,TRIM(G1049)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49" s="516" cm="1">
        <f t="array" aca="1" ref="L1049" ca="1">IFERROR(_xlfn.LET(_xlpm.produto,TRIM(H1049)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49" s="513" cm="1">
        <f t="array" aca="1" ref="M1049" ca="1">IFERROR(_xlfn.LET(_xlpm.produto,TRIM(H1049)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49" s="558"/>
      <c r="O1049" s="558"/>
      <c r="P1049" s="558"/>
    </row>
    <row r="1050" spans="3:18" ht="15.75" thickBot="1" x14ac:dyDescent="0.3"/>
    <row r="1051" spans="3:18" ht="15.75" thickBot="1" x14ac:dyDescent="0.3">
      <c r="C1051" s="546" t="s">
        <v>2007</v>
      </c>
      <c r="D1051" s="547">
        <f>SUM(R1051,R1033,R1015,R997,R979)</f>
        <v>16455.600000000002</v>
      </c>
      <c r="E1051" s="539"/>
      <c r="F1051" s="539"/>
      <c r="G1051" s="539"/>
      <c r="H1051" s="539"/>
      <c r="I1051" s="539"/>
      <c r="J1051" s="606">
        <f t="shared" ref="J1051:P1051" ca="1" si="194">_xlfn.AGGREGATE(9,6,J1052:J1067)</f>
        <v>0</v>
      </c>
      <c r="K1051" s="607">
        <f t="shared" ca="1" si="194"/>
        <v>0</v>
      </c>
      <c r="L1051" s="607">
        <f t="shared" ca="1" si="194"/>
        <v>0</v>
      </c>
      <c r="M1051" s="544">
        <f t="shared" ca="1" si="194"/>
        <v>0</v>
      </c>
      <c r="N1051" s="560">
        <f t="shared" si="194"/>
        <v>0</v>
      </c>
      <c r="O1051" s="561">
        <f t="shared" si="194"/>
        <v>0</v>
      </c>
      <c r="P1051" s="562">
        <f t="shared" si="194"/>
        <v>0</v>
      </c>
      <c r="Q1051" s="548">
        <f ca="1">SUM(J1051:M1051)</f>
        <v>0</v>
      </c>
      <c r="R1051" s="549">
        <f>SUM(N1051:P1051)</f>
        <v>0</v>
      </c>
    </row>
    <row r="1052" spans="3:18" x14ac:dyDescent="0.25">
      <c r="C1052" s="529" t="s">
        <v>1832</v>
      </c>
      <c r="D1052" s="447">
        <f>D1049+1</f>
        <v>46218</v>
      </c>
      <c r="E1052" s="498" t="s">
        <v>573</v>
      </c>
      <c r="F1052" s="514"/>
      <c r="G1052" s="514"/>
      <c r="H1052" s="514"/>
      <c r="I1052" s="724"/>
      <c r="J1052" s="537"/>
      <c r="K1052" s="537"/>
      <c r="L1052" s="537"/>
      <c r="M1052" s="537"/>
      <c r="N1052" s="563"/>
      <c r="O1052" s="563"/>
      <c r="P1052" s="563"/>
    </row>
    <row r="1053" spans="3:18" x14ac:dyDescent="0.25">
      <c r="C1053" s="452" t="s">
        <v>1832</v>
      </c>
      <c r="D1053" s="453">
        <f t="shared" ref="D1053:D1067" si="195">D1052</f>
        <v>46218</v>
      </c>
      <c r="E1053" s="500" t="s">
        <v>162</v>
      </c>
      <c r="F1053" s="460"/>
      <c r="G1053" s="460" t="s">
        <v>2048</v>
      </c>
      <c r="H1053" s="460" t="s">
        <v>2050</v>
      </c>
      <c r="I1053" s="460"/>
      <c r="J1053" s="540"/>
      <c r="K1053" s="540"/>
      <c r="L1053" s="540"/>
      <c r="M1053" s="545"/>
      <c r="N1053" s="555" t="e">
        <f>J1053*INDEX([2]Pedidos!$Q:$Q,MATCH(F1053,[2]Pedidos!$E:$E,0))</f>
        <v>#N/A</v>
      </c>
      <c r="O1053" s="564">
        <f>K1053*INDEX([2]Pedidos!$Q:$Q,MATCH(G1053,[2]Pedidos!$E:$E,0))</f>
        <v>0</v>
      </c>
      <c r="P1053" s="555" t="e">
        <f>M1053*INDEX([2]Pedidos!$Q:$Q,MATCH(H1053,[2]Pedidos!$E:$E,0))</f>
        <v>#N/A</v>
      </c>
    </row>
    <row r="1054" spans="3:18" x14ac:dyDescent="0.25">
      <c r="C1054" s="452" t="s">
        <v>1832</v>
      </c>
      <c r="D1054" s="453">
        <f t="shared" si="195"/>
        <v>46218</v>
      </c>
      <c r="E1054" s="454" t="s">
        <v>163</v>
      </c>
      <c r="F1054" s="460"/>
      <c r="G1054" s="460" t="s">
        <v>2048</v>
      </c>
      <c r="H1054" s="460" t="s">
        <v>2050</v>
      </c>
      <c r="I1054" s="460"/>
      <c r="J1054" s="540"/>
      <c r="K1054" s="540"/>
      <c r="L1054" s="540"/>
      <c r="M1054" s="545"/>
      <c r="N1054" s="564" t="e">
        <f>J1054*INDEX([2]Pedidos!$Q:$Q,MATCH(F1054,[2]Pedidos!$E:$E,0))</f>
        <v>#N/A</v>
      </c>
      <c r="O1054" s="564">
        <f>K1054*INDEX([2]Pedidos!$Q:$Q,MATCH(G1054,[2]Pedidos!$E:$E,0))</f>
        <v>0</v>
      </c>
      <c r="P1054" s="564" t="e">
        <f>M1054*INDEX([2]Pedidos!$Q:$Q,MATCH(H1054,[2]Pedidos!$E:$E,0))</f>
        <v>#N/A</v>
      </c>
    </row>
    <row r="1055" spans="3:18" x14ac:dyDescent="0.25">
      <c r="C1055" s="452" t="s">
        <v>1832</v>
      </c>
      <c r="D1055" s="453">
        <f t="shared" si="195"/>
        <v>46218</v>
      </c>
      <c r="E1055" s="454" t="s">
        <v>164</v>
      </c>
      <c r="F1055" s="460"/>
      <c r="G1055" s="460" t="s">
        <v>2048</v>
      </c>
      <c r="H1055" s="460" t="s">
        <v>2050</v>
      </c>
      <c r="I1055" s="460"/>
      <c r="J1055" s="540"/>
      <c r="K1055" s="540"/>
      <c r="L1055" s="540"/>
      <c r="M1055" s="545"/>
      <c r="N1055" s="564" t="e">
        <f>J1055*INDEX([2]Pedidos!$Q:$Q,MATCH(F1055,[2]Pedidos!$E:$E,0))</f>
        <v>#N/A</v>
      </c>
      <c r="O1055" s="564">
        <f>K1055*INDEX([2]Pedidos!$Q:$Q,MATCH(G1055,[2]Pedidos!$E:$E,0))</f>
        <v>0</v>
      </c>
      <c r="P1055" s="564" t="e">
        <f>M1055*INDEX([2]Pedidos!$Q:$Q,MATCH(H1055,[2]Pedidos!$E:$E,0))</f>
        <v>#N/A</v>
      </c>
    </row>
    <row r="1056" spans="3:18" x14ac:dyDescent="0.25">
      <c r="C1056" s="452" t="s">
        <v>1832</v>
      </c>
      <c r="D1056" s="453">
        <f t="shared" si="195"/>
        <v>46218</v>
      </c>
      <c r="E1056" s="454" t="s">
        <v>165</v>
      </c>
      <c r="F1056" s="460"/>
      <c r="G1056" s="460" t="s">
        <v>2048</v>
      </c>
      <c r="H1056" s="460" t="s">
        <v>2050</v>
      </c>
      <c r="I1056" s="460"/>
      <c r="J1056" s="540"/>
      <c r="K1056" s="540"/>
      <c r="L1056" s="540"/>
      <c r="M1056" s="545"/>
      <c r="N1056" s="564" t="e">
        <f>J1056*INDEX([2]Pedidos!$Q:$Q,MATCH(F1056,[2]Pedidos!$E:$E,0))</f>
        <v>#N/A</v>
      </c>
      <c r="O1056" s="564">
        <f>K1056*INDEX([2]Pedidos!$Q:$Q,MATCH(G1056,[2]Pedidos!$E:$E,0))</f>
        <v>0</v>
      </c>
      <c r="P1056" s="564" t="e">
        <f>M1056*INDEX([2]Pedidos!$Q:$Q,MATCH(H1056,[2]Pedidos!$E:$E,0))</f>
        <v>#N/A</v>
      </c>
    </row>
    <row r="1057" spans="3:18" x14ac:dyDescent="0.25">
      <c r="C1057" s="452" t="s">
        <v>1832</v>
      </c>
      <c r="D1057" s="453">
        <f t="shared" si="195"/>
        <v>46218</v>
      </c>
      <c r="E1057" s="454" t="s">
        <v>166</v>
      </c>
      <c r="F1057" s="460"/>
      <c r="G1057" s="460" t="s">
        <v>2048</v>
      </c>
      <c r="H1057" s="460" t="s">
        <v>2050</v>
      </c>
      <c r="I1057" s="460"/>
      <c r="J1057" s="540"/>
      <c r="K1057" s="540"/>
      <c r="L1057" s="540"/>
      <c r="M1057" s="545"/>
      <c r="N1057" s="564" t="e">
        <f>J1057*INDEX([2]Pedidos!$Q:$Q,MATCH(F1057,[2]Pedidos!$E:$E,0))</f>
        <v>#N/A</v>
      </c>
      <c r="O1057" s="564">
        <f>K1057*INDEX([2]Pedidos!$Q:$Q,MATCH(G1057,[2]Pedidos!$E:$E,0))</f>
        <v>0</v>
      </c>
      <c r="P1057" s="564" t="e">
        <f>M1057*INDEX([2]Pedidos!$Q:$Q,MATCH(H1057,[2]Pedidos!$E:$E,0))</f>
        <v>#N/A</v>
      </c>
    </row>
    <row r="1058" spans="3:18" x14ac:dyDescent="0.25">
      <c r="C1058" s="452" t="s">
        <v>1832</v>
      </c>
      <c r="D1058" s="453">
        <f t="shared" si="195"/>
        <v>46218</v>
      </c>
      <c r="E1058" s="454" t="s">
        <v>576</v>
      </c>
      <c r="F1058" s="512"/>
      <c r="G1058" s="512"/>
      <c r="H1058" s="512"/>
      <c r="I1058" s="512"/>
      <c r="J1058" s="541" cm="1">
        <f t="array" aca="1" ref="J1058" ca="1">IFERROR(_xlfn.LET(_xlpm.produto,TRIM(F1058)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58" s="541" cm="1">
        <f t="array" aca="1" ref="K1058" ca="1">IFERROR(_xlfn.LET(_xlpm.produto,TRIM(G1058)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58" s="541" cm="1">
        <f t="array" aca="1" ref="L1058" ca="1">IFERROR(_xlfn.LET(_xlpm.produto,TRIM(H1058)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58" s="541" cm="1">
        <f t="array" aca="1" ref="M1058" ca="1">IFERROR(_xlfn.LET(_xlpm.produto,TRIM(H1058)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58" s="556"/>
      <c r="O1058" s="556"/>
      <c r="P1058" s="556"/>
    </row>
    <row r="1059" spans="3:18" x14ac:dyDescent="0.25">
      <c r="C1059" s="452" t="s">
        <v>1832</v>
      </c>
      <c r="D1059" s="449">
        <f t="shared" si="195"/>
        <v>46218</v>
      </c>
      <c r="E1059" s="454" t="s">
        <v>167</v>
      </c>
      <c r="F1059" s="460"/>
      <c r="G1059" s="460" t="s">
        <v>2048</v>
      </c>
      <c r="H1059" s="460" t="s">
        <v>2050</v>
      </c>
      <c r="I1059" s="460"/>
      <c r="J1059" s="540"/>
      <c r="K1059" s="540"/>
      <c r="L1059" s="540"/>
      <c r="M1059" s="545"/>
      <c r="N1059" s="565" t="e">
        <f>J1059*INDEX([2]Pedidos!$Q:$Q,MATCH(F1059,[2]Pedidos!$E:$E,0))</f>
        <v>#N/A</v>
      </c>
      <c r="O1059" s="564">
        <f>K1059*INDEX([2]Pedidos!$Q:$Q,MATCH(G1059,[2]Pedidos!$E:$E,0))</f>
        <v>0</v>
      </c>
      <c r="P1059" s="565" t="e">
        <f>M1059*INDEX([2]Pedidos!$Q:$Q,MATCH(H1059,[2]Pedidos!$E:$E,0))</f>
        <v>#N/A</v>
      </c>
    </row>
    <row r="1060" spans="3:18" x14ac:dyDescent="0.25">
      <c r="C1060" s="452" t="s">
        <v>1832</v>
      </c>
      <c r="D1060" s="449">
        <f t="shared" si="195"/>
        <v>46218</v>
      </c>
      <c r="E1060" s="454" t="s">
        <v>168</v>
      </c>
      <c r="F1060" s="460"/>
      <c r="G1060" s="460"/>
      <c r="H1060" s="460" t="s">
        <v>2050</v>
      </c>
      <c r="I1060" s="460"/>
      <c r="J1060" s="540"/>
      <c r="K1060" s="540"/>
      <c r="L1060" s="540"/>
      <c r="M1060" s="545"/>
      <c r="N1060" s="565" t="e">
        <f>J1060*INDEX([2]Pedidos!$Q:$Q,MATCH(F1060,[2]Pedidos!$E:$E,0))</f>
        <v>#N/A</v>
      </c>
      <c r="O1060" s="564" t="e">
        <f>K1060*INDEX([2]Pedidos!$Q:$Q,MATCH(G1060,[2]Pedidos!$E:$E,0))</f>
        <v>#N/A</v>
      </c>
      <c r="P1060" s="565" t="e">
        <f>M1060*INDEX([2]Pedidos!$Q:$Q,MATCH(H1060,[2]Pedidos!$E:$E,0))</f>
        <v>#N/A</v>
      </c>
    </row>
    <row r="1061" spans="3:18" x14ac:dyDescent="0.25">
      <c r="C1061" s="452" t="s">
        <v>1832</v>
      </c>
      <c r="D1061" s="449">
        <f t="shared" si="195"/>
        <v>46218</v>
      </c>
      <c r="E1061" s="454" t="s">
        <v>169</v>
      </c>
      <c r="F1061" s="460"/>
      <c r="G1061" s="460"/>
      <c r="H1061" s="460" t="s">
        <v>2050</v>
      </c>
      <c r="I1061" s="460"/>
      <c r="J1061" s="540"/>
      <c r="K1061" s="540"/>
      <c r="L1061" s="540"/>
      <c r="M1061" s="545"/>
      <c r="N1061" s="565" t="e">
        <f>J1061*INDEX([2]Pedidos!$Q:$Q,MATCH(F1061,[2]Pedidos!$E:$E,0))</f>
        <v>#N/A</v>
      </c>
      <c r="O1061" s="564" t="e">
        <f>K1061*INDEX([2]Pedidos!$Q:$Q,MATCH(G1061,[2]Pedidos!$E:$E,0))</f>
        <v>#N/A</v>
      </c>
      <c r="P1061" s="565" t="e">
        <f>M1061*INDEX([2]Pedidos!$Q:$Q,MATCH(H1061,[2]Pedidos!$E:$E,0))</f>
        <v>#N/A</v>
      </c>
    </row>
    <row r="1062" spans="3:18" x14ac:dyDescent="0.25">
      <c r="C1062" s="452" t="s">
        <v>1832</v>
      </c>
      <c r="D1062" s="449">
        <f t="shared" si="195"/>
        <v>46218</v>
      </c>
      <c r="E1062" s="454" t="s">
        <v>170</v>
      </c>
      <c r="F1062" s="460"/>
      <c r="G1062" s="460"/>
      <c r="H1062" s="460" t="s">
        <v>2050</v>
      </c>
      <c r="I1062" s="460"/>
      <c r="J1062" s="540"/>
      <c r="K1062" s="540"/>
      <c r="L1062" s="540"/>
      <c r="M1062" s="545"/>
      <c r="N1062" s="566" t="e">
        <f>J1062*INDEX([2]Pedidos!$Q:$Q,MATCH(F1062,[2]Pedidos!$E:$E,0))</f>
        <v>#N/A</v>
      </c>
      <c r="O1062" s="564" t="e">
        <f>K1062*INDEX([2]Pedidos!$Q:$Q,MATCH(G1062,[2]Pedidos!$E:$E,0))</f>
        <v>#N/A</v>
      </c>
      <c r="P1062" s="566" t="e">
        <f>M1062*INDEX([2]Pedidos!$Q:$Q,MATCH(H1062,[2]Pedidos!$E:$E,0))</f>
        <v>#N/A</v>
      </c>
    </row>
    <row r="1063" spans="3:18" x14ac:dyDescent="0.25">
      <c r="C1063" s="452" t="s">
        <v>1832</v>
      </c>
      <c r="D1063" s="449">
        <f t="shared" si="195"/>
        <v>46218</v>
      </c>
      <c r="E1063" s="454" t="s">
        <v>585</v>
      </c>
      <c r="F1063" s="505"/>
      <c r="G1063" s="505"/>
      <c r="H1063" s="505"/>
      <c r="I1063" s="724"/>
      <c r="J1063" s="516" cm="1">
        <f t="array" aca="1" ref="J1063" ca="1">IFERROR(_xlfn.LET(_xlpm.produto,TRIM(F1063)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63" s="516" cm="1">
        <f t="array" aca="1" ref="K1063" ca="1">IFERROR(_xlfn.LET(_xlpm.produto,TRIM(G1063)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63" s="516" cm="1">
        <f t="array" aca="1" ref="L1063" ca="1">IFERROR(_xlfn.LET(_xlpm.produto,TRIM(H1063)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63" s="516" cm="1">
        <f t="array" aca="1" ref="M1063" ca="1">IFERROR(_xlfn.LET(_xlpm.produto,TRIM(H1063)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63" s="557"/>
      <c r="O1063" s="557"/>
      <c r="P1063" s="557"/>
    </row>
    <row r="1064" spans="3:18" x14ac:dyDescent="0.25">
      <c r="C1064" s="452" t="s">
        <v>1832</v>
      </c>
      <c r="D1064" s="449">
        <f t="shared" si="195"/>
        <v>46218</v>
      </c>
      <c r="E1064" s="455" t="s">
        <v>574</v>
      </c>
      <c r="F1064" s="505"/>
      <c r="G1064" s="505"/>
      <c r="H1064" s="505"/>
      <c r="I1064" s="724"/>
      <c r="J1064" s="516" cm="1">
        <f t="array" aca="1" ref="J1064" ca="1">IFERROR(_xlfn.LET(_xlpm.produto,TRIM(F1064)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64" s="516" cm="1">
        <f t="array" aca="1" ref="K1064" ca="1">IFERROR(_xlfn.LET(_xlpm.produto,TRIM(G1064)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64" s="516" cm="1">
        <f t="array" aca="1" ref="L1064" ca="1">IFERROR(_xlfn.LET(_xlpm.produto,TRIM(H1064)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64" s="516" cm="1">
        <f t="array" aca="1" ref="M1064" ca="1">IFERROR(_xlfn.LET(_xlpm.produto,TRIM(H1064)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64" s="557"/>
      <c r="O1064" s="557"/>
      <c r="P1064" s="557"/>
    </row>
    <row r="1065" spans="3:18" x14ac:dyDescent="0.25">
      <c r="C1065" s="452" t="s">
        <v>1832</v>
      </c>
      <c r="D1065" s="449">
        <f t="shared" si="195"/>
        <v>46218</v>
      </c>
      <c r="E1065" s="455" t="s">
        <v>575</v>
      </c>
      <c r="F1065" s="506"/>
      <c r="G1065" s="506"/>
      <c r="H1065" s="506"/>
      <c r="I1065" s="506"/>
      <c r="J1065" s="516" cm="1">
        <f t="array" aca="1" ref="J1065" ca="1">IFERROR(_xlfn.LET(_xlpm.produto,TRIM(F1065)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65" s="516" cm="1">
        <f t="array" aca="1" ref="K1065" ca="1">IFERROR(_xlfn.LET(_xlpm.produto,TRIM(G1065)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65" s="516" cm="1">
        <f t="array" aca="1" ref="L1065" ca="1">IFERROR(_xlfn.LET(_xlpm.produto,TRIM(H1065)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65" s="516" cm="1">
        <f t="array" aca="1" ref="M1065" ca="1">IFERROR(_xlfn.LET(_xlpm.produto,TRIM(H1065)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65" s="557"/>
      <c r="O1065" s="557"/>
      <c r="P1065" s="557"/>
    </row>
    <row r="1066" spans="3:18" x14ac:dyDescent="0.25">
      <c r="C1066" s="452" t="s">
        <v>1832</v>
      </c>
      <c r="D1066" s="502">
        <f t="shared" si="195"/>
        <v>46218</v>
      </c>
      <c r="E1066" s="503" t="s">
        <v>583</v>
      </c>
      <c r="F1066" s="506"/>
      <c r="G1066" s="506"/>
      <c r="H1066" s="506"/>
      <c r="I1066" s="506"/>
      <c r="J1066" s="516" cm="1">
        <f t="array" aca="1" ref="J1066" ca="1">IFERROR(_xlfn.LET(_xlpm.produto,TRIM(F1066)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66" s="516" cm="1">
        <f t="array" aca="1" ref="K1066" ca="1">IFERROR(_xlfn.LET(_xlpm.produto,TRIM(G1066)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66" s="516" cm="1">
        <f t="array" aca="1" ref="L1066" ca="1">IFERROR(_xlfn.LET(_xlpm.produto,TRIM(H1066)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66" s="516" cm="1">
        <f t="array" aca="1" ref="M1066" ca="1">IFERROR(_xlfn.LET(_xlpm.produto,TRIM(H1066)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66" s="557"/>
      <c r="O1066" s="557"/>
      <c r="P1066" s="557"/>
    </row>
    <row r="1067" spans="3:18" ht="15.75" thickBot="1" x14ac:dyDescent="0.3">
      <c r="C1067" s="530" t="s">
        <v>1832</v>
      </c>
      <c r="D1067" s="451">
        <f t="shared" si="195"/>
        <v>46218</v>
      </c>
      <c r="E1067" s="459" t="s">
        <v>584</v>
      </c>
      <c r="F1067" s="493"/>
      <c r="G1067" s="493"/>
      <c r="H1067" s="493"/>
      <c r="I1067" s="493"/>
      <c r="J1067" s="513" cm="1">
        <f t="array" aca="1" ref="J1067" ca="1">IFERROR(_xlfn.LET(_xlpm.produto,TRIM(F1067)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67" s="513" cm="1">
        <f t="array" aca="1" ref="K1067" ca="1">IFERROR(_xlfn.LET(_xlpm.produto,TRIM(G1067)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67" s="516" cm="1">
        <f t="array" aca="1" ref="L1067" ca="1">IFERROR(_xlfn.LET(_xlpm.produto,TRIM(H1067)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67" s="513" cm="1">
        <f t="array" aca="1" ref="M1067" ca="1">IFERROR(_xlfn.LET(_xlpm.produto,TRIM(H1067)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67" s="558"/>
      <c r="O1067" s="558"/>
      <c r="P1067" s="558"/>
    </row>
    <row r="1068" spans="3:18" ht="15.75" thickBot="1" x14ac:dyDescent="0.3"/>
    <row r="1069" spans="3:18" ht="15.75" thickBot="1" x14ac:dyDescent="0.3">
      <c r="C1069" s="546" t="s">
        <v>2007</v>
      </c>
      <c r="D1069" s="547">
        <f>SUM(R1069,R1051,R1033,R1015,R997)</f>
        <v>16455.600000000002</v>
      </c>
      <c r="E1069" s="539"/>
      <c r="F1069" s="539"/>
      <c r="G1069" s="539"/>
      <c r="H1069" s="539"/>
      <c r="I1069" s="539"/>
      <c r="J1069" s="606">
        <f t="shared" ref="J1069:P1069" ca="1" si="196">_xlfn.AGGREGATE(9,6,J1070:J1085)</f>
        <v>0</v>
      </c>
      <c r="K1069" s="607">
        <f t="shared" ca="1" si="196"/>
        <v>0</v>
      </c>
      <c r="L1069" s="607">
        <f t="shared" ca="1" si="196"/>
        <v>0</v>
      </c>
      <c r="M1069" s="544">
        <f t="shared" ca="1" si="196"/>
        <v>0</v>
      </c>
      <c r="N1069" s="560">
        <f t="shared" si="196"/>
        <v>0</v>
      </c>
      <c r="O1069" s="561">
        <f t="shared" si="196"/>
        <v>0</v>
      </c>
      <c r="P1069" s="562">
        <f t="shared" si="196"/>
        <v>0</v>
      </c>
      <c r="Q1069" s="548">
        <f ca="1">SUM(J1069:M1069)</f>
        <v>0</v>
      </c>
      <c r="R1069" s="549">
        <f>SUM(N1069:P1069)</f>
        <v>0</v>
      </c>
    </row>
    <row r="1070" spans="3:18" x14ac:dyDescent="0.25">
      <c r="C1070" s="529" t="s">
        <v>1825</v>
      </c>
      <c r="D1070" s="447">
        <f>D1067+1</f>
        <v>46219</v>
      </c>
      <c r="E1070" s="498" t="s">
        <v>573</v>
      </c>
      <c r="F1070" s="514"/>
      <c r="G1070" s="514"/>
      <c r="H1070" s="514"/>
      <c r="I1070" s="724"/>
      <c r="J1070" s="537"/>
      <c r="K1070" s="537"/>
      <c r="L1070" s="537"/>
      <c r="M1070" s="537"/>
      <c r="N1070" s="563"/>
      <c r="O1070" s="563"/>
      <c r="P1070" s="563"/>
    </row>
    <row r="1071" spans="3:18" x14ac:dyDescent="0.25">
      <c r="C1071" s="452" t="s">
        <v>1825</v>
      </c>
      <c r="D1071" s="453">
        <f t="shared" ref="D1071:D1085" si="197">D1070</f>
        <v>46219</v>
      </c>
      <c r="E1071" s="500" t="s">
        <v>162</v>
      </c>
      <c r="F1071" s="460"/>
      <c r="G1071" s="460"/>
      <c r="H1071" s="460" t="s">
        <v>2050</v>
      </c>
      <c r="I1071" s="460"/>
      <c r="J1071" s="540"/>
      <c r="K1071" s="540"/>
      <c r="L1071" s="540"/>
      <c r="M1071" s="545"/>
      <c r="N1071" s="555" t="e">
        <f>J1071*INDEX([2]Pedidos!$Q:$Q,MATCH(F1071,[2]Pedidos!$E:$E,0))</f>
        <v>#N/A</v>
      </c>
      <c r="O1071" s="564" t="e">
        <f>K1071*INDEX([2]Pedidos!$Q:$Q,MATCH(G1071,[2]Pedidos!$E:$E,0))</f>
        <v>#N/A</v>
      </c>
      <c r="P1071" s="555" t="e">
        <f>M1071*INDEX([2]Pedidos!$Q:$Q,MATCH(H1071,[2]Pedidos!$E:$E,0))</f>
        <v>#N/A</v>
      </c>
    </row>
    <row r="1072" spans="3:18" x14ac:dyDescent="0.25">
      <c r="C1072" s="452" t="s">
        <v>1825</v>
      </c>
      <c r="D1072" s="453">
        <f t="shared" si="197"/>
        <v>46219</v>
      </c>
      <c r="E1072" s="454" t="s">
        <v>163</v>
      </c>
      <c r="F1072" s="460"/>
      <c r="G1072" s="460"/>
      <c r="H1072" s="460" t="s">
        <v>2050</v>
      </c>
      <c r="I1072" s="460"/>
      <c r="J1072" s="540"/>
      <c r="K1072" s="540"/>
      <c r="L1072" s="540"/>
      <c r="M1072" s="545"/>
      <c r="N1072" s="564" t="e">
        <f>J1072*INDEX([2]Pedidos!$Q:$Q,MATCH(F1072,[2]Pedidos!$E:$E,0))</f>
        <v>#N/A</v>
      </c>
      <c r="O1072" s="564" t="e">
        <f>K1072*INDEX([2]Pedidos!$Q:$Q,MATCH(G1072,[2]Pedidos!$E:$E,0))</f>
        <v>#N/A</v>
      </c>
      <c r="P1072" s="564" t="e">
        <f>M1072*INDEX([2]Pedidos!$Q:$Q,MATCH(H1072,[2]Pedidos!$E:$E,0))</f>
        <v>#N/A</v>
      </c>
    </row>
    <row r="1073" spans="3:16" x14ac:dyDescent="0.25">
      <c r="C1073" s="452" t="s">
        <v>1825</v>
      </c>
      <c r="D1073" s="453">
        <f t="shared" si="197"/>
        <v>46219</v>
      </c>
      <c r="E1073" s="454" t="s">
        <v>164</v>
      </c>
      <c r="F1073" s="460"/>
      <c r="G1073" s="460"/>
      <c r="H1073" s="460" t="s">
        <v>2050</v>
      </c>
      <c r="I1073" s="460"/>
      <c r="J1073" s="540"/>
      <c r="K1073" s="540"/>
      <c r="L1073" s="540"/>
      <c r="M1073" s="545"/>
      <c r="N1073" s="564" t="e">
        <f>J1073*INDEX([2]Pedidos!$Q:$Q,MATCH(F1073,[2]Pedidos!$E:$E,0))</f>
        <v>#N/A</v>
      </c>
      <c r="O1073" s="564" t="e">
        <f>K1073*INDEX([2]Pedidos!$Q:$Q,MATCH(G1073,[2]Pedidos!$E:$E,0))</f>
        <v>#N/A</v>
      </c>
      <c r="P1073" s="564" t="e">
        <f>M1073*INDEX([2]Pedidos!$Q:$Q,MATCH(H1073,[2]Pedidos!$E:$E,0))</f>
        <v>#N/A</v>
      </c>
    </row>
    <row r="1074" spans="3:16" x14ac:dyDescent="0.25">
      <c r="C1074" s="452" t="s">
        <v>1825</v>
      </c>
      <c r="D1074" s="453">
        <f t="shared" si="197"/>
        <v>46219</v>
      </c>
      <c r="E1074" s="454" t="s">
        <v>165</v>
      </c>
      <c r="F1074" s="460"/>
      <c r="G1074" s="460"/>
      <c r="H1074" s="460" t="s">
        <v>2050</v>
      </c>
      <c r="I1074" s="460"/>
      <c r="J1074" s="540"/>
      <c r="K1074" s="540"/>
      <c r="L1074" s="540"/>
      <c r="M1074" s="545"/>
      <c r="N1074" s="564" t="e">
        <f>J1074*INDEX([2]Pedidos!$Q:$Q,MATCH(F1074,[2]Pedidos!$E:$E,0))</f>
        <v>#N/A</v>
      </c>
      <c r="O1074" s="564" t="e">
        <f>K1074*INDEX([2]Pedidos!$Q:$Q,MATCH(G1074,[2]Pedidos!$E:$E,0))</f>
        <v>#N/A</v>
      </c>
      <c r="P1074" s="564" t="e">
        <f>M1074*INDEX([2]Pedidos!$Q:$Q,MATCH(H1074,[2]Pedidos!$E:$E,0))</f>
        <v>#N/A</v>
      </c>
    </row>
    <row r="1075" spans="3:16" x14ac:dyDescent="0.25">
      <c r="C1075" s="452" t="s">
        <v>1825</v>
      </c>
      <c r="D1075" s="453">
        <f t="shared" si="197"/>
        <v>46219</v>
      </c>
      <c r="E1075" s="454" t="s">
        <v>166</v>
      </c>
      <c r="F1075" s="460"/>
      <c r="G1075" s="460"/>
      <c r="H1075" s="460" t="s">
        <v>2050</v>
      </c>
      <c r="I1075" s="460"/>
      <c r="J1075" s="540"/>
      <c r="K1075" s="540"/>
      <c r="L1075" s="540"/>
      <c r="M1075" s="545"/>
      <c r="N1075" s="564" t="e">
        <f>J1075*INDEX([2]Pedidos!$Q:$Q,MATCH(F1075,[2]Pedidos!$E:$E,0))</f>
        <v>#N/A</v>
      </c>
      <c r="O1075" s="564" t="e">
        <f>K1075*INDEX([2]Pedidos!$Q:$Q,MATCH(G1075,[2]Pedidos!$E:$E,0))</f>
        <v>#N/A</v>
      </c>
      <c r="P1075" s="564" t="e">
        <f>M1075*INDEX([2]Pedidos!$Q:$Q,MATCH(H1075,[2]Pedidos!$E:$E,0))</f>
        <v>#N/A</v>
      </c>
    </row>
    <row r="1076" spans="3:16" x14ac:dyDescent="0.25">
      <c r="C1076" s="452" t="s">
        <v>1825</v>
      </c>
      <c r="D1076" s="453">
        <f t="shared" si="197"/>
        <v>46219</v>
      </c>
      <c r="E1076" s="454" t="s">
        <v>576</v>
      </c>
      <c r="F1076" s="512"/>
      <c r="G1076" s="512"/>
      <c r="H1076" s="512"/>
      <c r="I1076" s="512"/>
      <c r="J1076" s="541" cm="1">
        <f t="array" aca="1" ref="J1076" ca="1">IFERROR(_xlfn.LET(_xlpm.produto,TRIM(F1076)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76" s="541" cm="1">
        <f t="array" aca="1" ref="K1076" ca="1">IFERROR(_xlfn.LET(_xlpm.produto,TRIM(G1076)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76" s="541" cm="1">
        <f t="array" aca="1" ref="L1076" ca="1">IFERROR(_xlfn.LET(_xlpm.produto,TRIM(H1076)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76" s="541" cm="1">
        <f t="array" aca="1" ref="M1076" ca="1">IFERROR(_xlfn.LET(_xlpm.produto,TRIM(H1076)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76" s="556"/>
      <c r="O1076" s="556"/>
      <c r="P1076" s="556"/>
    </row>
    <row r="1077" spans="3:16" x14ac:dyDescent="0.25">
      <c r="C1077" s="452" t="s">
        <v>1825</v>
      </c>
      <c r="D1077" s="449">
        <f t="shared" si="197"/>
        <v>46219</v>
      </c>
      <c r="E1077" s="454" t="s">
        <v>167</v>
      </c>
      <c r="F1077" s="460"/>
      <c r="G1077" s="460"/>
      <c r="H1077" s="460" t="s">
        <v>2050</v>
      </c>
      <c r="I1077" s="460"/>
      <c r="J1077" s="540"/>
      <c r="K1077" s="540"/>
      <c r="L1077" s="540"/>
      <c r="M1077" s="545"/>
      <c r="N1077" s="565" t="e">
        <f>J1077*INDEX([2]Pedidos!$Q:$Q,MATCH(F1077,[2]Pedidos!$E:$E,0))</f>
        <v>#N/A</v>
      </c>
      <c r="O1077" s="564" t="e">
        <f>K1077*INDEX([2]Pedidos!$Q:$Q,MATCH(G1077,[2]Pedidos!$E:$E,0))</f>
        <v>#N/A</v>
      </c>
      <c r="P1077" s="565" t="e">
        <f>M1077*INDEX([2]Pedidos!$Q:$Q,MATCH(H1077,[2]Pedidos!$E:$E,0))</f>
        <v>#N/A</v>
      </c>
    </row>
    <row r="1078" spans="3:16" x14ac:dyDescent="0.25">
      <c r="C1078" s="452" t="s">
        <v>1825</v>
      </c>
      <c r="D1078" s="449">
        <f t="shared" si="197"/>
        <v>46219</v>
      </c>
      <c r="E1078" s="454" t="s">
        <v>168</v>
      </c>
      <c r="F1078" s="460"/>
      <c r="G1078" s="460"/>
      <c r="H1078" s="460" t="s">
        <v>2050</v>
      </c>
      <c r="I1078" s="460"/>
      <c r="J1078" s="540"/>
      <c r="K1078" s="540"/>
      <c r="L1078" s="540"/>
      <c r="M1078" s="545"/>
      <c r="N1078" s="565" t="e">
        <f>J1078*INDEX([2]Pedidos!$Q:$Q,MATCH(F1078,[2]Pedidos!$E:$E,0))</f>
        <v>#N/A</v>
      </c>
      <c r="O1078" s="564" t="e">
        <f>K1078*INDEX([2]Pedidos!$Q:$Q,MATCH(G1078,[2]Pedidos!$E:$E,0))</f>
        <v>#N/A</v>
      </c>
      <c r="P1078" s="565" t="e">
        <f>M1078*INDEX([2]Pedidos!$Q:$Q,MATCH(H1078,[2]Pedidos!$E:$E,0))</f>
        <v>#N/A</v>
      </c>
    </row>
    <row r="1079" spans="3:16" x14ac:dyDescent="0.25">
      <c r="C1079" s="452" t="s">
        <v>1825</v>
      </c>
      <c r="D1079" s="449">
        <f t="shared" si="197"/>
        <v>46219</v>
      </c>
      <c r="E1079" s="454" t="s">
        <v>169</v>
      </c>
      <c r="F1079" s="460"/>
      <c r="G1079" s="460"/>
      <c r="H1079" s="460" t="s">
        <v>2050</v>
      </c>
      <c r="I1079" s="460"/>
      <c r="J1079" s="540"/>
      <c r="K1079" s="540"/>
      <c r="L1079" s="540"/>
      <c r="M1079" s="545"/>
      <c r="N1079" s="565" t="e">
        <f>J1079*INDEX([2]Pedidos!$Q:$Q,MATCH(F1079,[2]Pedidos!$E:$E,0))</f>
        <v>#N/A</v>
      </c>
      <c r="O1079" s="564" t="e">
        <f>K1079*INDEX([2]Pedidos!$Q:$Q,MATCH(G1079,[2]Pedidos!$E:$E,0))</f>
        <v>#N/A</v>
      </c>
      <c r="P1079" s="565" t="e">
        <f>M1079*INDEX([2]Pedidos!$Q:$Q,MATCH(H1079,[2]Pedidos!$E:$E,0))</f>
        <v>#N/A</v>
      </c>
    </row>
    <row r="1080" spans="3:16" x14ac:dyDescent="0.25">
      <c r="C1080" s="452" t="s">
        <v>1825</v>
      </c>
      <c r="D1080" s="449">
        <f t="shared" si="197"/>
        <v>46219</v>
      </c>
      <c r="E1080" s="454" t="s">
        <v>170</v>
      </c>
      <c r="F1080" s="460"/>
      <c r="G1080" s="460"/>
      <c r="H1080" s="460" t="s">
        <v>2050</v>
      </c>
      <c r="I1080" s="460"/>
      <c r="J1080" s="540"/>
      <c r="K1080" s="540"/>
      <c r="L1080" s="540"/>
      <c r="M1080" s="545"/>
      <c r="N1080" s="566" t="e">
        <f>J1080*INDEX([2]Pedidos!$Q:$Q,MATCH(F1080,[2]Pedidos!$E:$E,0))</f>
        <v>#N/A</v>
      </c>
      <c r="O1080" s="564" t="e">
        <f>K1080*INDEX([2]Pedidos!$Q:$Q,MATCH(G1080,[2]Pedidos!$E:$E,0))</f>
        <v>#N/A</v>
      </c>
      <c r="P1080" s="566" t="e">
        <f>M1080*INDEX([2]Pedidos!$Q:$Q,MATCH(H1080,[2]Pedidos!$E:$E,0))</f>
        <v>#N/A</v>
      </c>
    </row>
    <row r="1081" spans="3:16" x14ac:dyDescent="0.25">
      <c r="C1081" s="452" t="s">
        <v>1825</v>
      </c>
      <c r="D1081" s="449">
        <f t="shared" si="197"/>
        <v>46219</v>
      </c>
      <c r="E1081" s="454" t="s">
        <v>585</v>
      </c>
      <c r="F1081" s="505"/>
      <c r="G1081" s="505"/>
      <c r="H1081" s="505"/>
      <c r="I1081" s="506"/>
      <c r="J1081" s="516" cm="1">
        <f t="array" aca="1" ref="J1081" ca="1">IFERROR(_xlfn.LET(_xlpm.produto,TRIM(F1081)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1" s="516" cm="1">
        <f t="array" aca="1" ref="K1081" ca="1">IFERROR(_xlfn.LET(_xlpm.produto,TRIM(G1081)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1" s="516" cm="1">
        <f t="array" aca="1" ref="L1081" ca="1">IFERROR(_xlfn.LET(_xlpm.produto,TRIM(H1081)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81" s="516" cm="1">
        <f t="array" aca="1" ref="M1081" ca="1">IFERROR(_xlfn.LET(_xlpm.produto,TRIM(H1081)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81" s="557"/>
      <c r="O1081" s="557"/>
      <c r="P1081" s="557"/>
    </row>
    <row r="1082" spans="3:16" x14ac:dyDescent="0.25">
      <c r="C1082" s="452" t="s">
        <v>1825</v>
      </c>
      <c r="D1082" s="449">
        <f t="shared" si="197"/>
        <v>46219</v>
      </c>
      <c r="E1082" s="455" t="s">
        <v>574</v>
      </c>
      <c r="F1082" s="505"/>
      <c r="G1082" s="505"/>
      <c r="H1082" s="505"/>
      <c r="I1082" s="506"/>
      <c r="J1082" s="516" cm="1">
        <f t="array" aca="1" ref="J1082" ca="1">IFERROR(_xlfn.LET(_xlpm.produto,TRIM(F1082)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2" s="516" cm="1">
        <f t="array" aca="1" ref="K1082" ca="1">IFERROR(_xlfn.LET(_xlpm.produto,TRIM(G1082)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2" s="516" cm="1">
        <f t="array" aca="1" ref="L1082" ca="1">IFERROR(_xlfn.LET(_xlpm.produto,TRIM(H1082)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82" s="516" cm="1">
        <f t="array" aca="1" ref="M1082" ca="1">IFERROR(_xlfn.LET(_xlpm.produto,TRIM(H1082)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82" s="557"/>
      <c r="O1082" s="557"/>
      <c r="P1082" s="557"/>
    </row>
    <row r="1083" spans="3:16" x14ac:dyDescent="0.25">
      <c r="C1083" s="452" t="s">
        <v>1825</v>
      </c>
      <c r="D1083" s="449">
        <f t="shared" si="197"/>
        <v>46219</v>
      </c>
      <c r="E1083" s="455" t="s">
        <v>575</v>
      </c>
      <c r="F1083" s="506"/>
      <c r="G1083" s="506"/>
      <c r="H1083" s="506"/>
      <c r="I1083" s="506"/>
      <c r="J1083" s="516" cm="1">
        <f t="array" aca="1" ref="J1083" ca="1">IFERROR(_xlfn.LET(_xlpm.produto,TRIM(F1083)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3" s="516" cm="1">
        <f t="array" aca="1" ref="K1083" ca="1">IFERROR(_xlfn.LET(_xlpm.produto,TRIM(G1083)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3" s="516" cm="1">
        <f t="array" aca="1" ref="L1083" ca="1">IFERROR(_xlfn.LET(_xlpm.produto,TRIM(H1083)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83" s="516" cm="1">
        <f t="array" aca="1" ref="M1083" ca="1">IFERROR(_xlfn.LET(_xlpm.produto,TRIM(H1083)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83" s="557"/>
      <c r="O1083" s="557"/>
      <c r="P1083" s="557"/>
    </row>
    <row r="1084" spans="3:16" x14ac:dyDescent="0.25">
      <c r="C1084" s="452" t="s">
        <v>1825</v>
      </c>
      <c r="D1084" s="502">
        <f t="shared" si="197"/>
        <v>46219</v>
      </c>
      <c r="E1084" s="503" t="s">
        <v>583</v>
      </c>
      <c r="F1084" s="506"/>
      <c r="G1084" s="506"/>
      <c r="H1084" s="506"/>
      <c r="I1084" s="506"/>
      <c r="J1084" s="516" cm="1">
        <f t="array" aca="1" ref="J1084" ca="1">IFERROR(_xlfn.LET(_xlpm.produto,TRIM(F1084)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4" s="516" cm="1">
        <f t="array" aca="1" ref="K1084" ca="1">IFERROR(_xlfn.LET(_xlpm.produto,TRIM(G1084)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4" s="516" cm="1">
        <f t="array" aca="1" ref="L1084" ca="1">IFERROR(_xlfn.LET(_xlpm.produto,TRIM(H1084)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84" s="516" cm="1">
        <f t="array" aca="1" ref="M1084" ca="1">IFERROR(_xlfn.LET(_xlpm.produto,TRIM(H1084)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84" s="557"/>
      <c r="O1084" s="557"/>
      <c r="P1084" s="557"/>
    </row>
    <row r="1085" spans="3:16" ht="15.75" thickBot="1" x14ac:dyDescent="0.3">
      <c r="C1085" s="530" t="s">
        <v>1825</v>
      </c>
      <c r="D1085" s="451">
        <f t="shared" si="197"/>
        <v>46219</v>
      </c>
      <c r="E1085" s="459" t="s">
        <v>584</v>
      </c>
      <c r="F1085" s="493"/>
      <c r="G1085" s="493"/>
      <c r="H1085" s="493"/>
      <c r="I1085" s="493"/>
      <c r="J1085" s="513" cm="1">
        <f t="array" aca="1" ref="J1085" ca="1">IFERROR(_xlfn.LET(_xlpm.produto,TRIM(F1085)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5" s="513" cm="1">
        <f t="array" aca="1" ref="K1085" ca="1">IFERROR(_xlfn.LET(_xlpm.produto,TRIM(G1085)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5" s="516" cm="1">
        <f t="array" aca="1" ref="L1085" ca="1">IFERROR(_xlfn.LET(_xlpm.produto,TRIM(H1085)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M1085" s="513" cm="1">
        <f t="array" aca="1" ref="M1085" ca="1">IFERROR(_xlfn.LET(_xlpm.produto,TRIM(H1085)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N1085" s="558"/>
      <c r="O1085" s="558"/>
      <c r="P1085" s="558"/>
    </row>
  </sheetData>
  <mergeCells count="6">
    <mergeCell ref="A637:A761"/>
    <mergeCell ref="A511:A635"/>
    <mergeCell ref="A133:A257"/>
    <mergeCell ref="A7:A131"/>
    <mergeCell ref="A259:A383"/>
    <mergeCell ref="A385:A509"/>
  </mergeCells>
  <phoneticPr fontId="1" type="noConversion"/>
  <conditionalFormatting sqref="H2:I2">
    <cfRule type="expression" dxfId="639" priority="323">
      <formula>$B2="ON-HOLD"</formula>
    </cfRule>
  </conditionalFormatting>
  <conditionalFormatting sqref="H2:I2">
    <cfRule type="expression" dxfId="638" priority="324">
      <formula>$AQ2=TRUE</formula>
    </cfRule>
  </conditionalFormatting>
  <conditionalFormatting sqref="H2:I2">
    <cfRule type="expression" dxfId="637" priority="325">
      <formula>AND($AD2="Programado",$AQ2&lt;&gt;TRUE)</formula>
    </cfRule>
  </conditionalFormatting>
  <printOptions horizontalCentered="1" verticalCentered="1"/>
  <pageMargins left="7.874015748031496E-2" right="7.874015748031496E-2" top="7.874015748031496E-2" bottom="7.874015748031496E-2" header="0" footer="0"/>
  <pageSetup paperSize="9" scale="62" orientation="portrait" horizontalDpi="300" verticalDpi="300" r:id="rId1"/>
  <ignoredErrors>
    <ignoredError sqref="F2:G2 D2 AD1:XFD4 N5:U5 A258:E258 A5:F5 C7:E7 J24:K24 C25:E25 J42:K42 C43:E43 J60:K60 C61:E61 M78:P78 E79 S7:T7 X8:X21 Z7:XFD95 S24:T25 S42:T43 S60:T61 S78:T79 N8:P8 N14:P14 N19:P24 N26:P26 N32:P32 N37:P42 N44:P44 N50:P50 N55:P60 N62:P62 N68:P68 N73:P77 N80:P80 N86:P86 N90:P95 H7:H8 X1:AB4 X5:XFD5 N258:XFD258 A3:D3 M1:U3 H19:H23 H79:H80 H61:H62 H43:H44 H25:H26 M762:XFD762 A2:B2 H37:H41 H55:H59 H73:H77 H90:H95 A384:E384 B259:B383 S259:XFD383 N384:XFD384 A636:E636 B385:B509 S385:XFD509 N636:XFD636 A762:E762 M780:XFD780 S763:XFD779 A780:E780 A763:B779 M798:XFD798 S781:XFD797 A798:E798 A781:B797 M816:XFD816 S799:XFD815 A816:E816 A799:B815 M834:XFD834 S817:XFD833 A834:E834 A817:B833 M852:XFD852 S835:XFD851 A852:E852 A835:B851 G852:H852 G834:H834 G816:H816 G798:H798 G780:H780 H762 F3:H3 A4:H4 A1:H1 J852:K852 J834:K834 J816:K816 J798:K798 J780:K780 J762:K762 J1:K4 J78:K78 N4:U4 M888:XFD888 S853:XFD887 A888:E888 A853:B887 J888:K888 M906:XFD906 S889:XFD905 A906:E906 A889:B905 G906:H906 J906:K906 M924:XFD924 S907:XFD923 A924:E924 A907:B923 H924 J924:K924 M942:XFD942 S925:XFD941 A942:E942 A925:B941 G942:H942 J942:K942 M960:XFD960 S943:XFD959 A960:E960 A943:B959 G960:H960 J960:K960 M978:XFD978 S961:XFD977 A978:E978 A961:B977 G978:H978 J978:K978 M996:XFD996 S979:XFD995 A996:E996 A979:B995 G996:H996 J996:K996 M1014:XFD1014 S997:XFD1013 A1014:E1014 A997:B1013 G1014:H1014 J1014:K1014 M1032:XFD1032 S1015:XFD1031 A1032:E1032 A1015:B1031 G1032:H1032 J1032:K1032 M1050:XFD1050 S1033:XFD1049 A1050:E1050 A1033:B1049 G1050:H1050 J1050:K1050 M1068:XFD1068 S1051:XFD1067 A1068:E1068 A1051:B1067 G1068:H1068 J1068:K1068 M1086:XFD1048576 T1069:XFD1085 A1086:E1048576 A1069:B1085 G1086:H1048576 J1086:K1048576" evalError="1"/>
  </ignoredErrors>
  <extLst>
    <ext xmlns:x14="http://schemas.microsoft.com/office/spreadsheetml/2009/9/main" uri="{78C0D931-6437-407d-A8EE-F0AAD7539E65}">
      <x14:conditionalFormattings>
        <x14:conditionalFormatting xmlns:xm="http://schemas.microsoft.com/office/excel/2006/main">
          <x14:cfRule type="expression" priority="577" id="{B9179D76-0D13-4AD0-9A3E-F6C3EE01E4E3}">
            <xm:f>AND(J5&gt;0,OR(J5&gt;IFERROR(INDEX('https://kuryos.sharepoint.com/sites/ServidorKuryos/Shared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Produtos.xlsx]Produtos'!#REF!,0)),0)*1.1,AND(J5&lt;IFERROR(INDEX('https://kuryos.sharepoint.com/sites/ServidorKuryos/Shared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J548:J552 J639:J643 J536:J541 J543:J545 J561:J563 J572:J577 J579:J581 J528:L529 J546:L547 J564:L565 J582:L583 J181:L378 J654:L655 J428:L428 J385:L385 J511:L511 J474:L509 J600:L635 J402:L403 J420:L421 J5:L170 J637:L637 J649:L649 K716:L716 K423:L427 J433:L439 J469:L469 J517:L517 J524:L524 J535:L535 J542:L542 J451:L457 N451:P455 J553:L553 J560:L560 J571:L571 J578:L578 J589:L589 J596:L596 J775:K779 K788 K650:L653 J667:L674 N667:P671 J685:L691 J811:K815 K806 J703:L710 K770:P770 J793:L797 K824:L824 J829:L833 K839:L842 J835:L836 J817:L818 J799:L800 J781:L782 J763:L764 J752:K752 J753:L761 J747:L751 J746:K746 J720:L745 J825:J828 J837:J841 J843:L851</xm:sqref>
        </x14:conditionalFormatting>
        <x14:conditionalFormatting xmlns:xm="http://schemas.microsoft.com/office/excel/2006/main">
          <x14:cfRule type="expression" priority="415" id="{9CB23575-2FD2-4721-A10D-0A4791A1DA21}">
            <xm:f>AND(J404&gt;0,OR(J404&gt;IFERROR(INDEX('https://kuryos.sharepoint.com/sites/ServidorKuryos/Shared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Produtos.xlsx]Produtos'!#REF!,0)),0)*1.1,AND(J404&lt;IFERROR(INDEX('https://kuryos.sharepoint.com/sites/ServidorKuryos/Shared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J404:J419</xm:sqref>
        </x14:conditionalFormatting>
        <x14:conditionalFormatting xmlns:xm="http://schemas.microsoft.com/office/excel/2006/main">
          <x14:cfRule type="expression" priority="412" id="{F91E673C-3E1A-4546-8D7F-30704E710257}">
            <xm:f>AND(J386&gt;0,OR(J386&gt;IFERROR(INDEX('https://kuryos.sharepoint.com/sites/ServidorKuryos/Shared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Produtos.xlsx]Produtos'!#REF!,0)),0)*1.1,AND(J386&lt;IFERROR(INDEX('https://kuryos.sharepoint.com/sites/ServidorKuryos/Shared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J386:J401</xm:sqref>
        </x14:conditionalFormatting>
        <x14:conditionalFormatting xmlns:xm="http://schemas.microsoft.com/office/excel/2006/main">
          <x14:cfRule type="expression" priority="410" id="{99E1EF03-58FD-4DF6-963B-91C62B109958}">
            <xm:f>AND(J171&gt;0,OR(J171&gt;IFERROR(INDEX('https://kuryos.sharepoint.com/sites/ServidorKuryos/Shared Documents/08. Logistica e Armazenamento/00. Logistica/[Controle de Produtos.xlsx]Produtos'!#REF!,MATCH(IF(ISNUMBER(FIND(" - ",F171)),LEFT(F171,FIND(" - ",F171)-1),F171),'https://kuryos.sharepoint.com/sites/ServidorKuryos/Shared Documents/08. Logistica e Armazenamento/00. Logistica/[Controle de Produtos.xlsx]Produtos'!#REF!,0)),0)*1.1,AND(J171&lt;IFERROR(INDEX('https://kuryos.sharepoint.com/sites/ServidorKuryos/Shared Documents/08. Logistica e Armazenamento/00. Logistica/[Controle de Produtos.xlsx]Produtos'!#REF!,MATCH(IF(ISNUMBER(FIND(" - ",F171)),LEFT(F171,FIND(" - ",F171)-1),F171),'https://kuryos.sharepoint.com/sites/ServidorKuryos/Shared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",F171)),LEFT(F171,FIND(" - ",F171)-1),F171),'https://kuryos.sharepoint.com/sites/ServidorKuryos/Shared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J171:L180</xm:sqref>
        </x14:conditionalFormatting>
        <x14:conditionalFormatting xmlns:xm="http://schemas.microsoft.com/office/excel/2006/main">
          <x14:cfRule type="expression" priority="409" id="{91B52422-67EC-44A3-9FB2-D33720AED6C2}">
            <xm:f>AND(M5&gt;0,OR(M5&gt;IFERROR(INDEX('https://kuryos.sharepoint.com/sites/ServidorKuryos/Shared Documents/08. Logistica e Armazenamento/00. Logistica/[Controle de Produtos.xlsx]Produtos'!#REF!,MATCH(IF(ISNUMBER(FIND(" - ",H5)),LEFT(H5,FIND(" - ",H5)-1),H5),'https://kuryos.sharepoint.com/sites/ServidorKuryos/Shared Documents/08. Logistica e Armazenamento/00. Logistica/[Controle de Produtos.xlsx]Produtos'!#REF!,0)),0)*1.1,AND(M5&lt;IFERROR(INDEX('https://kuryos.sharepoint.com/sites/ServidorKuryos/Shared Documents/08. Logistica e Armazenamento/00. Logistica/[Controle de Produtos.xlsx]Produtos'!#REF!,MATCH(IF(ISNUMBER(FIND(" - ",H5)),LEFT(H5,FIND(" - ",H5)-1),H5),'https://kuryos.sharepoint.com/sites/ServidorKuryos/Shared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",H5)),LEFT(H5,FIND(" - ",H5)-1),H5),'https://kuryos.sharepoint.com/sites/ServidorKuryos/Shared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M428:P428 M720:P720 M639:M643 M511 M385:M421 M474:M509 M5:M378 M637 M721:M745 M716 M427 M429:M439 M465:M469 M517:M529 M535:M547 M451:M457 M553:M565 M571:M583 M589:M635 M775:M779 M763:M769 M781:M782 M788:M797 M649:M655 M667:M674 M685:M691 M799:M800 M811:M815 M806 M817:M818 M824:M833 M703:M710 M835:M851 M747:M761</xm:sqref>
        </x14:conditionalFormatting>
        <x14:conditionalFormatting xmlns:xm="http://schemas.microsoft.com/office/excel/2006/main">
          <x14:cfRule type="expression" priority="408" id="{0540BD91-368D-46CB-8BE3-736C86366370}">
            <xm:f>AND(M423&gt;0,OR(M423&gt;IFERROR(INDEX('https://kuryos.sharepoint.com/sites/ServidorKuryos/Shared Documents/08. Logistica e Armazenamento/00. Logistica/[Controle de Produtos.xlsx]Produtos'!#REF!,MATCH(IF(ISNUMBER(FIND(" - ",H423)),LEFT(H423,FIND(" - ",H423)-1),H423),'https://kuryos.sharepoint.com/sites/ServidorKuryos/Shared Documents/08. Logistica e Armazenamento/00. Logistica/[Controle de Produtos.xlsx]Produtos'!#REF!,0)),0)*1.1,AND(M423&lt;IFERROR(INDEX('https://kuryos.sharepoint.com/sites/ServidorKuryos/Shared Documents/08. Logistica e Armazenamento/00. Logistica/[Controle de Produtos.xlsx]Produtos'!#REF!,MATCH(IF(ISNUMBER(FIND(" - ",H423)),LEFT(H423,FIND(" - ",H423)-1),H423),'https://kuryos.sharepoint.com/sites/ServidorKuryos/Shared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",H423)),LEFT(H423,FIND(" - ",H423)-1),H423),'https://kuryos.sharepoint.com/sites/ServidorKuryos/Shared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M423:M426</xm:sqref>
        </x14:conditionalFormatting>
        <x14:conditionalFormatting xmlns:xm="http://schemas.microsoft.com/office/excel/2006/main">
          <x14:cfRule type="expression" priority="405" id="{0EFC052A-490A-460A-BADA-20EEE0B52C7D}">
            <xm:f>AND(K404&gt;0,OR(K404&gt;IFERROR(INDEX('https://kuryos.sharepoint.com/sites/ServidorKuryos/Shared Documents/08. Logistica e Armazenamento/00. Logistica/[Controle de Produtos.xlsx]Produtos'!#REF!,MATCH(IF(ISNUMBER(FIND(" - ",G404)),LEFT(G404,FIND(" - ",G404)-1),G404),'https://kuryos.sharepoint.com/sites/ServidorKuryos/Shared Documents/08. Logistica e Armazenamento/00. Logistica/[Controle de Produtos.xlsx]Produtos'!#REF!,0)),0)*1.1,AND(K404&lt;IFERROR(INDEX('https://kuryos.sharepoint.com/sites/ServidorKuryos/Shared Documents/08. Logistica e Armazenamento/00. Logistica/[Controle de Produtos.xlsx]Produtos'!#REF!,MATCH(IF(ISNUMBER(FIND(" - ",G404)),LEFT(G404,FIND(" - ",G404)-1),G404),'https://kuryos.sharepoint.com/sites/ServidorKuryos/Shared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",G404)),LEFT(G404,FIND(" - ",G404)-1),G404),'https://kuryos.sharepoint.com/sites/ServidorKuryos/Shared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K404:L419</xm:sqref>
        </x14:conditionalFormatting>
        <x14:conditionalFormatting xmlns:xm="http://schemas.microsoft.com/office/excel/2006/main">
          <x14:cfRule type="expression" priority="377" id="{40B8B8D4-074E-4E4E-AB5A-FE73277FDA11}">
            <xm:f>AND(K386&gt;0,OR(K386&gt;IFERROR(INDEX('https://kuryos.sharepoint.com/sites/ServidorKuryos/Shared Documents/08. Logistica e Armazenamento/00. Logistica/[Controle de Produtos.xlsx]Produtos'!#REF!,MATCH(IF(ISNUMBER(FIND(" - ",G386)),LEFT(G386,FIND(" - ",G386)-1),G386),'https://kuryos.sharepoint.com/sites/ServidorKuryos/Shared Documents/08. Logistica e Armazenamento/00. Logistica/[Controle de Produtos.xlsx]Produtos'!#REF!,0)),0)*1.1,AND(K386&lt;IFERROR(INDEX('https://kuryos.sharepoint.com/sites/ServidorKuryos/Shared Documents/08. Logistica e Armazenamento/00. Logistica/[Controle de Produtos.xlsx]Produtos'!#REF!,MATCH(IF(ISNUMBER(FIND(" - ",G386)),LEFT(G386,FIND(" - ",G386)-1),G386),'https://kuryos.sharepoint.com/sites/ServidorKuryos/Shared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",G386)),LEFT(G386,FIND(" - ",G386)-1),G386),'https://kuryos.sharepoint.com/sites/ServidorKuryos/Shared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K386:L401</xm:sqref>
        </x14:conditionalFormatting>
        <x14:conditionalFormatting xmlns:xm="http://schemas.microsoft.com/office/excel/2006/main">
          <x14:cfRule type="expression" priority="341" id="{90562986-0C27-47BA-9182-C8FF3F86CFED}">
            <xm:f>AND(J716&gt;0,OR(J716&gt;IFERROR(INDEX('https://kuryos.sharepoint.com/sites/ServidorKuryos/Shared Documents/08. Logistica e Armazenamento/00. Logistica/[Controle de Produtos.xlsx]Produtos'!#REF!,MATCH(IF(ISNUMBER(FIND(" - ",F716)),LEFT(F716,FIND(" - ",F716)-1),F716),'https://kuryos.sharepoint.com/sites/ServidorKuryos/Shared Documents/08. Logistica e Armazenamento/00. Logistica/[Controle de Produtos.xlsx]Produtos'!#REF!,0)),0)*1.1,AND(J716&lt;IFERROR(INDEX('https://kuryos.sharepoint.com/sites/ServidorKuryos/Shared Documents/08. Logistica e Armazenamento/00. Logistica/[Controle de Produtos.xlsx]Produtos'!#REF!,MATCH(IF(ISNUMBER(FIND(" - ",F716)),LEFT(F716,FIND(" - ",F716)-1),F716),'https://kuryos.sharepoint.com/sites/ServidorKuryos/Shared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",F716)),LEFT(F716,FIND(" - ",F716)-1),F716),'https://kuryos.sharepoint.com/sites/ServidorKuryos/Shared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J716</xm:sqref>
        </x14:conditionalFormatting>
        <x14:conditionalFormatting xmlns:xm="http://schemas.microsoft.com/office/excel/2006/main">
          <x14:cfRule type="expression" priority="327" id="{815219AE-556F-4EB8-9EF0-08D6C59B8BFF}">
            <xm:f>AND(J423&gt;0,OR(J423&gt;IFERROR(INDEX('https://kuryos.sharepoint.com/sites/ServidorKuryos/Shared Documents/08. Logistica e Armazenamento/00. Logistica/[Controle de Produtos.xlsx]Produtos'!#REF!,MATCH(IF(ISNUMBER(FIND(" - ",F423)),LEFT(F423,FIND(" - ",F423)-1),F423),'https://kuryos.sharepoint.com/sites/ServidorKuryos/Shared Documents/08. Logistica e Armazenamento/00. Logistica/[Controle de Produtos.xlsx]Produtos'!#REF!,0)),0)*1.1,AND(J423&lt;IFERROR(INDEX('https://kuryos.sharepoint.com/sites/ServidorKuryos/Shared Documents/08. Logistica e Armazenamento/00. Logistica/[Controle de Produtos.xlsx]Produtos'!#REF!,MATCH(IF(ISNUMBER(FIND(" - ",F423)),LEFT(F423,FIND(" - ",F423)-1),F423),'https://kuryos.sharepoint.com/sites/ServidorKuryos/Shared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",F423)),LEFT(F423,FIND(" - ",F423)-1),F423),'https://kuryos.sharepoint.com/sites/ServidorKuryos/Shared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J423:J427</xm:sqref>
        </x14:conditionalFormatting>
        <x14:conditionalFormatting xmlns:xm="http://schemas.microsoft.com/office/excel/2006/main">
          <x14:cfRule type="expression" priority="326" id="{0E963482-81C8-40E0-BB60-A30C87A88D59}">
            <xm:f>AND(J429&gt;0,OR(J429&gt;IFERROR(INDEX('https://kuryos.sharepoint.com/sites/ServidorKuryos/Shared Documents/08. Logistica e Armazenamento/00. Logistica/[Controle de Produtos.xlsx]Produtos'!#REF!,MATCH(IF(ISNUMBER(FIND(" - ",F429)),LEFT(F429,FIND(" - ",F429)-1),F429),'https://kuryos.sharepoint.com/sites/ServidorKuryos/Shared Documents/08. Logistica e Armazenamento/00. Logistica/[Controle de Produtos.xlsx]Produtos'!#REF!,0)),0)*1.1,AND(J429&lt;IFERROR(INDEX('https://kuryos.sharepoint.com/sites/ServidorKuryos/Shared Documents/08. Logistica e Armazenamento/00. Logistica/[Controle de Produtos.xlsx]Produtos'!#REF!,MATCH(IF(ISNUMBER(FIND(" - ",F429)),LEFT(F429,FIND(" - ",F429)-1),F429),'https://kuryos.sharepoint.com/sites/ServidorKuryos/Shared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",F429)),LEFT(F429,FIND(" - ",F429)-1),F429),'https://kuryos.sharepoint.com/sites/ServidorKuryos/Shared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J429:J432</xm:sqref>
        </x14:conditionalFormatting>
        <x14:conditionalFormatting xmlns:xm="http://schemas.microsoft.com/office/excel/2006/main">
          <x14:cfRule type="expression" priority="319" id="{321E7895-C808-4910-807B-51B4615064F1}">
            <xm:f>AND(M441&gt;0,OR(M441&gt;IFERROR(INDEX('https://kuryos.sharepoint.com/sites/ServidorKuryos/Shared Documents/08. Logistica e Armazenamento/00. Logistica/[Controle de Produtos.xlsx]Produtos'!#REF!,MATCH(IF(ISNUMBER(FIND(" - ",H441)),LEFT(H441,FIND(" - ",H441)-1),H441),'https://kuryos.sharepoint.com/sites/ServidorKuryos/Shared Documents/08. Logistica e Armazenamento/00. Logistica/[Controle de Produtos.xlsx]Produtos'!#REF!,0)),0)*1.1,AND(M441&lt;IFERROR(INDEX('https://kuryos.sharepoint.com/sites/ServidorKuryos/Shared Documents/08. Logistica e Armazenamento/00. Logistica/[Controle de Produtos.xlsx]Produtos'!#REF!,MATCH(IF(ISNUMBER(FIND(" - ",H441)),LEFT(H441,FIND(" - ",H441)-1),H441),'https://kuryos.sharepoint.com/sites/ServidorKuryos/Shared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",H441)),LEFT(H441,FIND(" - ",H441)-1),H441),'https://kuryos.sharepoint.com/sites/ServidorKuryos/Shared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M441:M450</xm:sqref>
        </x14:conditionalFormatting>
        <x14:conditionalFormatting xmlns:xm="http://schemas.microsoft.com/office/excel/2006/main">
          <x14:cfRule type="expression" priority="314" id="{78BC2E75-4BB5-49B4-A978-9C2D82837DE2}">
            <xm:f>AND(J441&gt;0,OR(J441&gt;IFERROR(INDEX('https://kuryos.sharepoint.com/sites/ServidorKuryos/Shared Documents/08. Logistica e Armazenamento/00. Logistica/[Controle de Produtos.xlsx]Produtos'!#REF!,MATCH(IF(ISNUMBER(FIND(" - ",F441)),LEFT(F441,FIND(" - ",F441)-1),F441),'https://kuryos.sharepoint.com/sites/ServidorKuryos/Shared Documents/08. Logistica e Armazenamento/00. Logistica/[Controle de Produtos.xlsx]Produtos'!#REF!,0)),0)*1.1,AND(J441&lt;IFERROR(INDEX('https://kuryos.sharepoint.com/sites/ServidorKuryos/Shared Documents/08. Logistica e Armazenamento/00. Logistica/[Controle de Produtos.xlsx]Produtos'!#REF!,MATCH(IF(ISNUMBER(FIND(" - ",F441)),LEFT(F441,FIND(" - ",F441)-1),F441),'https://kuryos.sharepoint.com/sites/ServidorKuryos/Shared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",F441)),LEFT(F441,FIND(" - ",F441)-1),F441),'https://kuryos.sharepoint.com/sites/ServidorKuryos/Shared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J441:J445</xm:sqref>
        </x14:conditionalFormatting>
        <x14:conditionalFormatting xmlns:xm="http://schemas.microsoft.com/office/excel/2006/main">
          <x14:cfRule type="expression" priority="313" id="{1A41D7E7-131E-4120-8EB9-6EEBB4848825}">
            <xm:f>AND(J447&gt;0,OR(J447&gt;IFERROR(INDEX('https://kuryos.sharepoint.com/sites/ServidorKuryos/Shared Documents/08. Logistica e Armazenamento/00. Logistica/[Controle de Produtos.xlsx]Produtos'!#REF!,MATCH(IF(ISNUMBER(FIND(" - ",F447)),LEFT(F447,FIND(" - ",F447)-1),F447),'https://kuryos.sharepoint.com/sites/ServidorKuryos/Shared Documents/08. Logistica e Armazenamento/00. Logistica/[Controle de Produtos.xlsx]Produtos'!#REF!,0)),0)*1.1,AND(J447&lt;IFERROR(INDEX('https://kuryos.sharepoint.com/sites/ServidorKuryos/Shared Documents/08. Logistica e Armazenamento/00. Logistica/[Controle de Produtos.xlsx]Produtos'!#REF!,MATCH(IF(ISNUMBER(FIND(" - ",F447)),LEFT(F447,FIND(" - ",F447)-1),F447),'https://kuryos.sharepoint.com/sites/ServidorKuryos/Shared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",F447)),LEFT(F447,FIND(" - ",F447)-1),F447),'https://kuryos.sharepoint.com/sites/ServidorKuryos/Shared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J447:J450</xm:sqref>
        </x14:conditionalFormatting>
        <x14:conditionalFormatting xmlns:xm="http://schemas.microsoft.com/office/excel/2006/main">
          <x14:cfRule type="expression" priority="312" id="{529D831F-6920-43F3-A80E-11BB865D3BA1}">
            <xm:f>AND(K441&gt;0,OR(K441&gt;IFERROR(INDEX('https://kuryos.sharepoint.com/sites/ServidorKuryos/Shared Documents/08. Logistica e Armazenamento/00. Logistica/[Controle de Produtos.xlsx]Produtos'!#REF!,MATCH(IF(ISNUMBER(FIND(" - ",G441)),LEFT(G441,FIND(" - ",G441)-1),G441),'https://kuryos.sharepoint.com/sites/ServidorKuryos/Shared Documents/08. Logistica e Armazenamento/00. Logistica/[Controle de Produtos.xlsx]Produtos'!#REF!,0)),0)*1.1,AND(K441&lt;IFERROR(INDEX('https://kuryos.sharepoint.com/sites/ServidorKuryos/Shared Documents/08. Logistica e Armazenamento/00. Logistica/[Controle de Produtos.xlsx]Produtos'!#REF!,MATCH(IF(ISNUMBER(FIND(" - ",G441)),LEFT(G441,FIND(" - ",G441)-1),G441),'https://kuryos.sharepoint.com/sites/ServidorKuryos/Shared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",G441)),LEFT(G441,FIND(" - ",G441)-1),G441),'https://kuryos.sharepoint.com/sites/ServidorKuryos/Shared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K441:L445</xm:sqref>
        </x14:conditionalFormatting>
        <x14:conditionalFormatting xmlns:xm="http://schemas.microsoft.com/office/excel/2006/main">
          <x14:cfRule type="expression" priority="311" id="{432ABF1A-5EB7-4FAC-B38B-9E599D576AED}">
            <xm:f>AND(K447&gt;0,OR(K447&gt;IFERROR(INDEX('https://kuryos.sharepoint.com/sites/ServidorKuryos/Shared Documents/08. Logistica e Armazenamento/00. Logistica/[Controle de Produtos.xlsx]Produtos'!#REF!,MATCH(IF(ISNUMBER(FIND(" - ",G447)),LEFT(G447,FIND(" - ",G447)-1),G447),'https://kuryos.sharepoint.com/sites/ServidorKuryos/Shared Documents/08. Logistica e Armazenamento/00. Logistica/[Controle de Produtos.xlsx]Produtos'!#REF!,0)),0)*1.1,AND(K447&lt;IFERROR(INDEX('https://kuryos.sharepoint.com/sites/ServidorKuryos/Shared Documents/08. Logistica e Armazenamento/00. Logistica/[Controle de Produtos.xlsx]Produtos'!#REF!,MATCH(IF(ISNUMBER(FIND(" - ",G447)),LEFT(G447,FIND(" - ",G447)-1),G447),'https://kuryos.sharepoint.com/sites/ServidorKuryos/Shared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",G447)),LEFT(G447,FIND(" - ",G447)-1),G447),'https://kuryos.sharepoint.com/sites/ServidorKuryos/Shared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K447:L450</xm:sqref>
        </x14:conditionalFormatting>
        <x14:conditionalFormatting xmlns:xm="http://schemas.microsoft.com/office/excel/2006/main">
          <x14:cfRule type="expression" priority="310" id="{7869086D-4BFC-4DF5-8625-12BA700EC7EE}">
            <xm:f>AND(M459&gt;0,OR(M459&gt;IFERROR(INDEX('https://kuryos.sharepoint.com/sites/ServidorKuryos/Shared Documents/08. Logistica e Armazenamento/00. Logistica/[Controle de Produtos.xlsx]Produtos'!#REF!,MATCH(IF(ISNUMBER(FIND(" - ",H459)),LEFT(H459,FIND(" - ",H459)-1),H459),'https://kuryos.sharepoint.com/sites/ServidorKuryos/Shared Documents/08. Logistica e Armazenamento/00. Logistica/[Controle de Produtos.xlsx]Produtos'!#REF!,0)),0)*1.1,AND(M459&lt;IFERROR(INDEX('https://kuryos.sharepoint.com/sites/ServidorKuryos/Shared Documents/08. Logistica e Armazenamento/00. Logistica/[Controle de Produtos.xlsx]Produtos'!#REF!,MATCH(IF(ISNUMBER(FIND(" - ",H459)),LEFT(H459,FIND(" - ",H459)-1),H459),'https://kuryos.sharepoint.com/sites/ServidorKuryos/Shared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",H459)),LEFT(H459,FIND(" - ",H459)-1),H459),'https://kuryos.sharepoint.com/sites/ServidorKuryos/Shared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M459:M462</xm:sqref>
        </x14:conditionalFormatting>
        <x14:conditionalFormatting xmlns:xm="http://schemas.microsoft.com/office/excel/2006/main">
          <x14:cfRule type="expression" priority="306" id="{DE3DA614-173C-42A9-80B4-5F22FDE48384}">
            <xm:f>AND(J459&gt;0,OR(J459&gt;IFERROR(INDEX('https://kuryos.sharepoint.com/sites/ServidorKuryos/Shared Documents/08. Logistica e Armazenamento/00. Logistica/[Controle de Produtos.xlsx]Produtos'!#REF!,MATCH(IF(ISNUMBER(FIND(" - ",F459)),LEFT(F459,FIND(" - ",F459)-1),F459),'https://kuryos.sharepoint.com/sites/ServidorKuryos/Shared Documents/08. Logistica e Armazenamento/00. Logistica/[Controle de Produtos.xlsx]Produtos'!#REF!,0)),0)*1.1,AND(J459&lt;IFERROR(INDEX('https://kuryos.sharepoint.com/sites/ServidorKuryos/Shared Documents/08. Logistica e Armazenamento/00. Logistica/[Controle de Produtos.xlsx]Produtos'!#REF!,MATCH(IF(ISNUMBER(FIND(" - ",F459)),LEFT(F459,FIND(" - ",F459)-1),F459),'https://kuryos.sharepoint.com/sites/ServidorKuryos/Shared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",F459)),LEFT(F459,FIND(" - ",F459)-1),F459),'https://kuryos.sharepoint.com/sites/ServidorKuryos/Shared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J459:J463</xm:sqref>
        </x14:conditionalFormatting>
        <x14:conditionalFormatting xmlns:xm="http://schemas.microsoft.com/office/excel/2006/main">
          <x14:cfRule type="expression" priority="304" id="{452DD26F-86C7-4764-BE46-16B62248CC12}">
            <xm:f>AND(K459&gt;0,OR(K459&gt;IFERROR(INDEX('https://kuryos.sharepoint.com/sites/ServidorKuryos/Shared Documents/08. Logistica e Armazenamento/00. Logistica/[Controle de Produtos.xlsx]Produtos'!#REF!,MATCH(IF(ISNUMBER(FIND(" - ",G459)),LEFT(G459,FIND(" - ",G459)-1),G459),'https://kuryos.sharepoint.com/sites/ServidorKuryos/Shared Documents/08. Logistica e Armazenamento/00. Logistica/[Controle de Produtos.xlsx]Produtos'!#REF!,0)),0)*1.1,AND(K459&lt;IFERROR(INDEX('https://kuryos.sharepoint.com/sites/ServidorKuryos/Shared Documents/08. Logistica e Armazenamento/00. Logistica/[Controle de Produtos.xlsx]Produtos'!#REF!,MATCH(IF(ISNUMBER(FIND(" - ",G459)),LEFT(G459,FIND(" - ",G459)-1),G459),'https://kuryos.sharepoint.com/sites/ServidorKuryos/Shared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",G459)),LEFT(G459,FIND(" - ",G459)-1),G459),'https://kuryos.sharepoint.com/sites/ServidorKuryos/Shared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K459:L468</xm:sqref>
        </x14:conditionalFormatting>
        <x14:conditionalFormatting xmlns:xm="http://schemas.microsoft.com/office/excel/2006/main">
          <x14:cfRule type="expression" priority="301" id="{86F5FB7A-C0E6-40A4-B275-38653869A79C}">
            <xm:f>AND(M512&gt;0,OR(M512&gt;IFERROR(INDEX('https://kuryos.sharepoint.com/sites/ServidorKuryos/Shared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Produtos.xlsx]Produtos'!#REF!,0)),0)*1.1,AND(M512&lt;IFERROR(INDEX('https://kuryos.sharepoint.com/sites/ServidorKuryos/Shared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M512:M516</xm:sqref>
        </x14:conditionalFormatting>
        <x14:conditionalFormatting xmlns:xm="http://schemas.microsoft.com/office/excel/2006/main">
          <x14:cfRule type="expression" priority="297" id="{2BB1F468-171D-423C-8A12-99F51211097A}">
            <xm:f>AND(K521&gt;0,OR(K521&gt;IFERROR(INDEX('https://kuryos.sharepoint.com/sites/ServidorKuryos/Shared Documents/08. Logistica e Armazenamento/00. Logistica/[Controle de Produtos.xlsx]Produtos'!#REF!,MATCH(IF(ISNUMBER(FIND(" - ",G521)),LEFT(G521,FIND(" - ",G521)-1),G521),'https://kuryos.sharepoint.com/sites/ServidorKuryos/Shared Documents/08. Logistica e Armazenamento/00. Logistica/[Controle de Produtos.xlsx]Produtos'!#REF!,0)),0)*1.1,AND(K521&lt;IFERROR(INDEX('https://kuryos.sharepoint.com/sites/ServidorKuryos/Shared Documents/08. Logistica e Armazenamento/00. Logistica/[Controle de Produtos.xlsx]Produtos'!#REF!,MATCH(IF(ISNUMBER(FIND(" - ",G521)),LEFT(G521,FIND(" - ",G521)-1),G521),'https://kuryos.sharepoint.com/sites/ServidorKuryos/Shared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",G521)),LEFT(G521,FIND(" - ",G521)-1),G521),'https://kuryos.sharepoint.com/sites/ServidorKuryos/Shared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K521:L523</xm:sqref>
        </x14:conditionalFormatting>
        <x14:conditionalFormatting xmlns:xm="http://schemas.microsoft.com/office/excel/2006/main">
          <x14:cfRule type="expression" priority="296" id="{415133B4-5F65-4794-9EB6-365D03F408FC}">
            <xm:f>AND(K516&gt;0,OR(K516&gt;IFERROR(INDEX('https://kuryos.sharepoint.com/sites/ServidorKuryos/Shared Documents/08. Logistica e Armazenamento/00. Logistica/[Controle de Produtos.xlsx]Produtos'!#REF!,MATCH(IF(ISNUMBER(FIND(" - ",G516)),LEFT(G516,FIND(" - ",G516)-1),G516),'https://kuryos.sharepoint.com/sites/ServidorKuryos/Shared Documents/08. Logistica e Armazenamento/00. Logistica/[Controle de Produtos.xlsx]Produtos'!#REF!,0)),0)*1.1,AND(K516&lt;IFERROR(INDEX('https://kuryos.sharepoint.com/sites/ServidorKuryos/Shared Documents/08. Logistica e Armazenamento/00. Logistica/[Controle de Produtos.xlsx]Produtos'!#REF!,MATCH(IF(ISNUMBER(FIND(" - ",G516)),LEFT(G516,FIND(" - ",G516)-1),G516),'https://kuryos.sharepoint.com/sites/ServidorKuryos/Shared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",G516)),LEFT(G516,FIND(" - ",G516)-1),G516),'https://kuryos.sharepoint.com/sites/ServidorKuryos/Shared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K516:L516</xm:sqref>
        </x14:conditionalFormatting>
        <x14:conditionalFormatting xmlns:xm="http://schemas.microsoft.com/office/excel/2006/main">
          <x14:cfRule type="expression" priority="295" id="{913E26A6-E1CC-4465-8214-D6EDAB36BA7D}">
            <xm:f>AND(K525&gt;0,OR(K525&gt;IFERROR(INDEX('https://kuryos.sharepoint.com/sites/ServidorKuryos/Shared Documents/08. Logistica e Armazenamento/00. Logistica/[Controle de Produtos.xlsx]Produtos'!#REF!,MATCH(IF(ISNUMBER(FIND(" - ",G525)),LEFT(G525,FIND(" - ",G525)-1),G525),'https://kuryos.sharepoint.com/sites/ServidorKuryos/Shared Documents/08. Logistica e Armazenamento/00. Logistica/[Controle de Produtos.xlsx]Produtos'!#REF!,0)),0)*1.1,AND(K525&lt;IFERROR(INDEX('https://kuryos.sharepoint.com/sites/ServidorKuryos/Shared Documents/08. Logistica e Armazenamento/00. Logistica/[Controle de Produtos.xlsx]Produtos'!#REF!,MATCH(IF(ISNUMBER(FIND(" - ",G525)),LEFT(G525,FIND(" - ",G525)-1),G525),'https://kuryos.sharepoint.com/sites/ServidorKuryos/Shared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",G525)),LEFT(G525,FIND(" - ",G525)-1),G525),'https://kuryos.sharepoint.com/sites/ServidorKuryos/Shared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K525:L527</xm:sqref>
        </x14:conditionalFormatting>
        <x14:conditionalFormatting xmlns:xm="http://schemas.microsoft.com/office/excel/2006/main">
          <x14:cfRule type="expression" priority="292" id="{BB253253-5FA9-4732-8C0A-92B836C4997A}">
            <xm:f>AND(J531&gt;0,OR(J531&gt;IFERROR(INDEX('https://kuryos.sharepoint.com/sites/ServidorKuryos/Shared Documents/08. Logistica e Armazenamento/00. Logistica/[Controle de Produtos.xlsx]Produtos'!#REF!,MATCH(IF(ISNUMBER(FIND(" - ",F531)),LEFT(F531,FIND(" - ",F531)-1),F531),'https://kuryos.sharepoint.com/sites/ServidorKuryos/Shared Documents/08. Logistica e Armazenamento/00. Logistica/[Controle de Produtos.xlsx]Produtos'!#REF!,0)),0)*1.1,AND(J531&lt;IFERROR(INDEX('https://kuryos.sharepoint.com/sites/ServidorKuryos/Shared Documents/08. Logistica e Armazenamento/00. Logistica/[Controle de Produtos.xlsx]Produtos'!#REF!,MATCH(IF(ISNUMBER(FIND(" - ",F531)),LEFT(F531,FIND(" - ",F531)-1),F531),'https://kuryos.sharepoint.com/sites/ServidorKuryos/Shared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",F531)),LEFT(F531,FIND(" - ",F531)-1),F531),'https://kuryos.sharepoint.com/sites/ServidorKuryos/Shared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J531:J534</xm:sqref>
        </x14:conditionalFormatting>
        <x14:conditionalFormatting xmlns:xm="http://schemas.microsoft.com/office/excel/2006/main">
          <x14:cfRule type="expression" priority="291" id="{8F0CE357-72B0-4180-95D8-54F4C7C63232}">
            <xm:f>AND(M530&gt;0,OR(M530&gt;IFERROR(INDEX('https://kuryos.sharepoint.com/sites/ServidorKuryos/Shared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Produtos.xlsx]Produtos'!#REF!,0)),0)*1.1,AND(M530&lt;IFERROR(INDEX('https://kuryos.sharepoint.com/sites/ServidorKuryos/Shared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M530:M534</xm:sqref>
        </x14:conditionalFormatting>
        <x14:conditionalFormatting xmlns:xm="http://schemas.microsoft.com/office/excel/2006/main">
          <x14:cfRule type="expression" priority="288" id="{2B6907F3-A1E8-417C-A0A0-73528358F002}">
            <xm:f>AND(K536&gt;0,OR(K536&gt;IFERROR(INDEX('https://kuryos.sharepoint.com/sites/ServidorKuryos/Shared Documents/08. Logistica e Armazenamento/00. Logistica/[Controle de Produtos.xlsx]Produtos'!#REF!,MATCH(IF(ISNUMBER(FIND(" - ",G536)),LEFT(G536,FIND(" - ",G536)-1),G536),'https://kuryos.sharepoint.com/sites/ServidorKuryos/Shared Documents/08. Logistica e Armazenamento/00. Logistica/[Controle de Produtos.xlsx]Produtos'!#REF!,0)),0)*1.1,AND(K536&lt;IFERROR(INDEX('https://kuryos.sharepoint.com/sites/ServidorKuryos/Shared Documents/08. Logistica e Armazenamento/00. Logistica/[Controle de Produtos.xlsx]Produtos'!#REF!,MATCH(IF(ISNUMBER(FIND(" - ",G536)),LEFT(G536,FIND(" - ",G536)-1),G536),'https://kuryos.sharepoint.com/sites/ServidorKuryos/Shared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",G536)),LEFT(G536,FIND(" - ",G536)-1),G536),'https://kuryos.sharepoint.com/sites/ServidorKuryos/Shared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K536:L541</xm:sqref>
        </x14:conditionalFormatting>
        <x14:conditionalFormatting xmlns:xm="http://schemas.microsoft.com/office/excel/2006/main">
          <x14:cfRule type="expression" priority="287" id="{A92DA06C-E9F5-453B-A7FA-5F9136531E10}">
            <xm:f>AND(K530&gt;0,OR(K530&gt;IFERROR(INDEX('https://kuryos.sharepoint.com/sites/ServidorKuryos/Shared Documents/08. Logistica e Armazenamento/00. Logistica/[Controle de Produtos.xlsx]Produtos'!#REF!,MATCH(IF(ISNUMBER(FIND(" - ",G530)),LEFT(G530,FIND(" - ",G530)-1),G530),'https://kuryos.sharepoint.com/sites/ServidorKuryos/Shared Documents/08. Logistica e Armazenamento/00. Logistica/[Controle de Produtos.xlsx]Produtos'!#REF!,0)),0)*1.1,AND(K530&lt;IFERROR(INDEX('https://kuryos.sharepoint.com/sites/ServidorKuryos/Shared Documents/08. Logistica e Armazenamento/00. Logistica/[Controle de Produtos.xlsx]Produtos'!#REF!,MATCH(IF(ISNUMBER(FIND(" - ",G530)),LEFT(G530,FIND(" - ",G530)-1),G530),'https://kuryos.sharepoint.com/sites/ServidorKuryos/Shared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",G530)),LEFT(G530,FIND(" - ",G530)-1),G530),'https://kuryos.sharepoint.com/sites/ServidorKuryos/Shared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K530:L534</xm:sqref>
        </x14:conditionalFormatting>
        <x14:conditionalFormatting xmlns:xm="http://schemas.microsoft.com/office/excel/2006/main">
          <x14:cfRule type="expression" priority="286" id="{6A4C06A6-6FDA-424D-9D7D-4F9F77AD77D3}">
            <xm:f>AND(K543&gt;0,OR(K543&gt;IFERROR(INDEX('https://kuryos.sharepoint.com/sites/ServidorKuryos/Shared Documents/08. Logistica e Armazenamento/00. Logistica/[Controle de Produtos.xlsx]Produtos'!#REF!,MATCH(IF(ISNUMBER(FIND(" - ",G543)),LEFT(G543,FIND(" - ",G543)-1),G543),'https://kuryos.sharepoint.com/sites/ServidorKuryos/Shared Documents/08. Logistica e Armazenamento/00. Logistica/[Controle de Produtos.xlsx]Produtos'!#REF!,0)),0)*1.1,AND(K543&lt;IFERROR(INDEX('https://kuryos.sharepoint.com/sites/ServidorKuryos/Shared Documents/08. Logistica e Armazenamento/00. Logistica/[Controle de Produtos.xlsx]Produtos'!#REF!,MATCH(IF(ISNUMBER(FIND(" - ",G543)),LEFT(G543,FIND(" - ",G543)-1),G543),'https://kuryos.sharepoint.com/sites/ServidorKuryos/Shared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",G543)),LEFT(G543,FIND(" - ",G543)-1),G543),'https://kuryos.sharepoint.com/sites/ServidorKuryos/Shared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K543:L545</xm:sqref>
        </x14:conditionalFormatting>
        <x14:conditionalFormatting xmlns:xm="http://schemas.microsoft.com/office/excel/2006/main">
          <x14:cfRule type="expression" priority="5211" id="{72862C2C-349A-4244-BB46-8BB16AA41455}">
            <xm:f>AND(J463&gt;0,OR(J463&gt;IFERROR(INDEX('https://kuryos.sharepoint.com/sites/ServidorKuryos/Shared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Produtos.xlsx]Produtos'!#REF!,0)),0)*1.1,AND(J463&lt;IFERROR(INDEX('https://kuryos.sharepoint.com/sites/ServidorKuryos/Shared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J463:L463</xm:sqref>
        </x14:conditionalFormatting>
        <x14:conditionalFormatting xmlns:xm="http://schemas.microsoft.com/office/excel/2006/main">
          <x14:cfRule type="expression" priority="280" id="{12644DE0-04D2-49B4-980A-77BA42B2CD0C}">
            <xm:f>AND(J464&gt;0,OR(J464&gt;IFERROR(INDEX('https://kuryos.sharepoint.com/sites/ServidorKuryos/Shared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Produtos.xlsx]Produtos'!#REF!,0)),0)*1.1,AND(J464&lt;IFERROR(INDEX('https://kuryos.sharepoint.com/sites/ServidorKuryos/Shared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",F464)),LEFT(F464,FIND(" - ",F464)-1),F464),'https://kuryos.sharepoint.com/sites/ServidorKuryos/Shared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J464</xm:sqref>
        </x14:conditionalFormatting>
        <x14:conditionalFormatting xmlns:xm="http://schemas.microsoft.com/office/excel/2006/main">
          <x14:cfRule type="expression" priority="5212" id="{E5FA7808-5BAE-4DCB-9700-27DEED8213BC}">
            <xm:f>AND(J446&gt;0,OR(J446&gt;IFERROR(INDEX('https://kuryos.sharepoint.com/sites/ServidorKuryos/Shared Documents/08. Logistica e Armazenamento/00. Logistica/[Controle de Produtos.xlsx]Produtos'!#REF!,MATCH(IF(ISNUMBER(FIND(" - ",F445)),LEFT(F445,FIND(" - ",F445)-1),F445),'https://kuryos.sharepoint.com/sites/ServidorKuryos/Shared Documents/08. Logistica e Armazenamento/00. Logistica/[Controle de Produtos.xlsx]Produtos'!#REF!,0)),0)*1.1,AND(J446&lt;IFERROR(INDEX('https://kuryos.sharepoint.com/sites/ServidorKuryos/Shared Documents/08. Logistica e Armazenamento/00. Logistica/[Controle de Produtos.xlsx]Produtos'!#REF!,MATCH(IF(ISNUMBER(FIND(" - ",F445)),LEFT(F445,FIND(" - ",F445)-1),F445),'https://kuryos.sharepoint.com/sites/ServidorKuryos/Shared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",F445)),LEFT(F445,FIND(" - ",F445)-1),F445),'https://kuryos.sharepoint.com/sites/ServidorKuryos/Shared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J644:L644 J446:L446 J662:L662 J698:L698 J680:L680</xm:sqref>
        </x14:conditionalFormatting>
        <x14:conditionalFormatting xmlns:xm="http://schemas.microsoft.com/office/excel/2006/main">
          <x14:cfRule type="expression" priority="276" id="{8F64DEE7-6953-4195-9EE6-3A547FE309C5}">
            <xm:f>AND(K429&gt;0,OR(K429&gt;IFERROR(INDEX('https://kuryos.sharepoint.com/sites/ServidorKuryos/Shared Documents/08. Logistica e Armazenamento/00. Logistica/[Controle de Produtos.xlsx]Produtos'!#REF!,MATCH(IF(ISNUMBER(FIND(" - ",G429)),LEFT(G429,FIND(" - ",G429)-1),G429),'https://kuryos.sharepoint.com/sites/ServidorKuryos/Shared Documents/08. Logistica e Armazenamento/00. Logistica/[Controle de Produtos.xlsx]Produtos'!#REF!,0)),0)*1.1,AND(K429&lt;IFERROR(INDEX('https://kuryos.sharepoint.com/sites/ServidorKuryos/Shared Documents/08. Logistica e Armazenamento/00. Logistica/[Controle de Produtos.xlsx]Produtos'!#REF!,MATCH(IF(ISNUMBER(FIND(" - ",G429)),LEFT(G429,FIND(" - ",G429)-1),G429),'https://kuryos.sharepoint.com/sites/ServidorKuryos/Shared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",G429)),LEFT(G429,FIND(" - ",G429)-1),G429),'https://kuryos.sharepoint.com/sites/ServidorKuryos/Shared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K429:L432</xm:sqref>
        </x14:conditionalFormatting>
        <x14:conditionalFormatting xmlns:xm="http://schemas.microsoft.com/office/excel/2006/main">
          <x14:cfRule type="expression" priority="5216" id="{B9179D76-0D13-4AD0-9A3E-F6C3EE01E4E3}">
            <xm:f>AND(J469&gt;0,OR(J469&gt;IFERROR(INDEX('https://kuryos.sharepoint.com/sites/ServidorKuryos/Shared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Produtos.xlsx]Produtos'!#REF!,0)),0)*1.1,AND(J469&lt;IFERROR(INDEX('https://kuryos.sharepoint.com/sites/ServidorKuryos/Shared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J469:L473</xm:sqref>
        </x14:conditionalFormatting>
        <x14:conditionalFormatting xmlns:xm="http://schemas.microsoft.com/office/excel/2006/main">
          <x14:cfRule type="expression" priority="275" id="{1B664BFA-1A21-47C4-AA31-2C574C87988E}">
            <xm:f>AND(J379&gt;0,OR(J379&gt;IFERROR(INDEX('https://kuryos.sharepoint.com/sites/ServidorKuryos/Shared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Produtos.xlsx]Produtos'!#REF!,0)),0)*1.1,AND(J379&lt;IFERROR(INDEX('https://kuryos.sharepoint.com/sites/ServidorKuryos/Shared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",F379)),LEFT(F379,FIND(" - ",F379)-1),F379),'https://kuryos.sharepoint.com/sites/ServidorKuryos/Shared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J379:J383</xm:sqref>
        </x14:conditionalFormatting>
        <x14:conditionalFormatting xmlns:xm="http://schemas.microsoft.com/office/excel/2006/main">
          <x14:cfRule type="expression" priority="274" id="{FDEE9E21-B25F-4B69-BE52-0E3156F2F2C9}">
            <xm:f>AND(K379&gt;0,OR(K379&gt;IFERROR(INDEX('https://kuryos.sharepoint.com/sites/ServidorKuryos/Shared Documents/08. Logistica e Armazenamento/00. Logistica/[Controle de Produtos.xlsx]Produtos'!#REF!,MATCH(IF(ISNUMBER(FIND(" - ",G379)),LEFT(G379,FIND(" - ",G379)-1),G379),'https://kuryos.sharepoint.com/sites/ServidorKuryos/Shared Documents/08. Logistica e Armazenamento/00. Logistica/[Controle de Produtos.xlsx]Produtos'!#REF!,0)),0)*1.1,AND(K379&lt;IFERROR(INDEX('https://kuryos.sharepoint.com/sites/ServidorKuryos/Shared Documents/08. Logistica e Armazenamento/00. Logistica/[Controle de Produtos.xlsx]Produtos'!#REF!,MATCH(IF(ISNUMBER(FIND(" - ",G379)),LEFT(G379,FIND(" - ",G379)-1),G379),'https://kuryos.sharepoint.com/sites/ServidorKuryos/Shared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",G379)),LEFT(G379,FIND(" - ",G379)-1),G379),'https://kuryos.sharepoint.com/sites/ServidorKuryos/Shared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K379:L383</xm:sqref>
        </x14:conditionalFormatting>
        <x14:conditionalFormatting xmlns:xm="http://schemas.microsoft.com/office/excel/2006/main">
          <x14:cfRule type="expression" priority="273" id="{40423D6C-9605-4795-88DD-8FF0C25ED7E3}">
            <xm:f>AND(M379&gt;0,OR(M379&gt;IFERROR(INDEX('https://kuryos.sharepoint.com/sites/ServidorKuryos/Shared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Produtos.xlsx]Produtos'!#REF!,0)),0)*1.1,AND(M379&lt;IFERROR(INDEX('https://kuryos.sharepoint.com/sites/ServidorKuryos/Shared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M379:M383</xm:sqref>
        </x14:conditionalFormatting>
        <x14:conditionalFormatting xmlns:xm="http://schemas.microsoft.com/office/excel/2006/main">
          <x14:cfRule type="expression" priority="272" id="{3D50E006-C1FF-449B-8602-13FD9C883996}">
            <xm:f>AND(J554&gt;0,OR(J554&gt;IFERROR(INDEX('https://kuryos.sharepoint.com/sites/ServidorKuryos/Shared Documents/08. Logistica e Armazenamento/00. Logistica/[Controle de Produtos.xlsx]Produtos'!#REF!,MATCH(IF(ISNUMBER(FIND(" - ",F554)),LEFT(F554,FIND(" - ",F554)-1),F554),'https://kuryos.sharepoint.com/sites/ServidorKuryos/Shared Documents/08. Logistica e Armazenamento/00. Logistica/[Controle de Produtos.xlsx]Produtos'!#REF!,0)),0)*1.1,AND(J554&lt;IFERROR(INDEX('https://kuryos.sharepoint.com/sites/ServidorKuryos/Shared Documents/08. Logistica e Armazenamento/00. Logistica/[Controle de Produtos.xlsx]Produtos'!#REF!,MATCH(IF(ISNUMBER(FIND(" - ",F554)),LEFT(F554,FIND(" - ",F554)-1),F554),'https://kuryos.sharepoint.com/sites/ServidorKuryos/Shared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",F554)),LEFT(F554,FIND(" - ",F554)-1),F554),'https://kuryos.sharepoint.com/sites/ServidorKuryos/Shared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J554:J559</xm:sqref>
        </x14:conditionalFormatting>
        <x14:conditionalFormatting xmlns:xm="http://schemas.microsoft.com/office/excel/2006/main">
          <x14:cfRule type="expression" priority="271" id="{29CCB7F8-9226-4F51-AC81-1670C3C5E750}">
            <xm:f>AND(M548&gt;0,OR(M548&gt;IFERROR(INDEX('https://kuryos.sharepoint.com/sites/ServidorKuryos/Shared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Produtos.xlsx]Produtos'!#REF!,0)),0)*1.1,AND(M548&lt;IFERROR(INDEX('https://kuryos.sharepoint.com/sites/ServidorKuryos/Shared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M548:M552</xm:sqref>
        </x14:conditionalFormatting>
        <x14:conditionalFormatting xmlns:xm="http://schemas.microsoft.com/office/excel/2006/main">
          <x14:cfRule type="expression" priority="268" id="{AEEB29DE-E890-4314-A20E-4140D02336F0}">
            <xm:f>AND(K554&gt;0,OR(K554&gt;IFERROR(INDEX('https://kuryos.sharepoint.com/sites/ServidorKuryos/Shared Documents/08. Logistica e Armazenamento/00. Logistica/[Controle de Produtos.xlsx]Produtos'!#REF!,MATCH(IF(ISNUMBER(FIND(" - ",G554)),LEFT(G554,FIND(" - ",G554)-1),G554),'https://kuryos.sharepoint.com/sites/ServidorKuryos/Shared Documents/08. Logistica e Armazenamento/00. Logistica/[Controle de Produtos.xlsx]Produtos'!#REF!,0)),0)*1.1,AND(K554&lt;IFERROR(INDEX('https://kuryos.sharepoint.com/sites/ServidorKuryos/Shared Documents/08. Logistica e Armazenamento/00. Logistica/[Controle de Produtos.xlsx]Produtos'!#REF!,MATCH(IF(ISNUMBER(FIND(" - ",G554)),LEFT(G554,FIND(" - ",G554)-1),G554),'https://kuryos.sharepoint.com/sites/ServidorKuryos/Shared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",G554)),LEFT(G554,FIND(" - ",G554)-1),G554),'https://kuryos.sharepoint.com/sites/ServidorKuryos/Shared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K554:L559</xm:sqref>
        </x14:conditionalFormatting>
        <x14:conditionalFormatting xmlns:xm="http://schemas.microsoft.com/office/excel/2006/main">
          <x14:cfRule type="expression" priority="267" id="{B8F4DD2A-5AFE-4CE8-9C9B-DF5A59B59A1A}">
            <xm:f>AND(K548&gt;0,OR(K548&gt;IFERROR(INDEX('https://kuryos.sharepoint.com/sites/ServidorKuryos/Shared Documents/08. Logistica e Armazenamento/00. Logistica/[Controle de Produtos.xlsx]Produtos'!#REF!,MATCH(IF(ISNUMBER(FIND(" - ",G548)),LEFT(G548,FIND(" - ",G548)-1),G548),'https://kuryos.sharepoint.com/sites/ServidorKuryos/Shared Documents/08. Logistica e Armazenamento/00. Logistica/[Controle de Produtos.xlsx]Produtos'!#REF!,0)),0)*1.1,AND(K548&lt;IFERROR(INDEX('https://kuryos.sharepoint.com/sites/ServidorKuryos/Shared Documents/08. Logistica e Armazenamento/00. Logistica/[Controle de Produtos.xlsx]Produtos'!#REF!,MATCH(IF(ISNUMBER(FIND(" - ",G548)),LEFT(G548,FIND(" - ",G548)-1),G548),'https://kuryos.sharepoint.com/sites/ServidorKuryos/Shared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",G548)),LEFT(G548,FIND(" - ",G548)-1),G548),'https://kuryos.sharepoint.com/sites/ServidorKuryos/Shared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K548:L552</xm:sqref>
        </x14:conditionalFormatting>
        <x14:conditionalFormatting xmlns:xm="http://schemas.microsoft.com/office/excel/2006/main">
          <x14:cfRule type="expression" priority="266" id="{DA69D24A-B330-4019-A96D-26F8C73A5659}">
            <xm:f>AND(K561&gt;0,OR(K561&gt;IFERROR(INDEX('https://kuryos.sharepoint.com/sites/ServidorKuryos/Shared Documents/08. Logistica e Armazenamento/00. Logistica/[Controle de Produtos.xlsx]Produtos'!#REF!,MATCH(IF(ISNUMBER(FIND(" - ",G561)),LEFT(G561,FIND(" - ",G561)-1),G561),'https://kuryos.sharepoint.com/sites/ServidorKuryos/Shared Documents/08. Logistica e Armazenamento/00. Logistica/[Controle de Produtos.xlsx]Produtos'!#REF!,0)),0)*1.1,AND(K561&lt;IFERROR(INDEX('https://kuryos.sharepoint.com/sites/ServidorKuryos/Shared Documents/08. Logistica e Armazenamento/00. Logistica/[Controle de Produtos.xlsx]Produtos'!#REF!,MATCH(IF(ISNUMBER(FIND(" - ",G561)),LEFT(G561,FIND(" - ",G561)-1),G561),'https://kuryos.sharepoint.com/sites/ServidorKuryos/Shared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",G561)),LEFT(G561,FIND(" - ",G561)-1),G561),'https://kuryos.sharepoint.com/sites/ServidorKuryos/Shared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K561:L563</xm:sqref>
        </x14:conditionalFormatting>
        <x14:conditionalFormatting xmlns:xm="http://schemas.microsoft.com/office/excel/2006/main">
          <x14:cfRule type="expression" priority="265" id="{477FBC94-BAE1-49A2-B05E-B4AFAE02967A}">
            <xm:f>AND(J566&gt;0,OR(J566&gt;IFERROR(INDEX('https://kuryos.sharepoint.com/sites/ServidorKuryos/Shared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Produtos.xlsx]Produtos'!#REF!,0)),0)*1.1,AND(J566&lt;IFERROR(INDEX('https://kuryos.sharepoint.com/sites/ServidorKuryos/Shared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J566:J570</xm:sqref>
        </x14:conditionalFormatting>
        <x14:conditionalFormatting xmlns:xm="http://schemas.microsoft.com/office/excel/2006/main">
          <x14:cfRule type="expression" priority="264" id="{7510D9D2-4EC0-4B9B-A359-40378CB7A67E}">
            <xm:f>AND(M566&gt;0,OR(M566&gt;IFERROR(INDEX('https://kuryos.sharepoint.com/sites/ServidorKuryos/Shared Documents/08. Logistica e Armazenamento/00. Logistica/[Controle de Produtos.xlsx]Produtos'!#REF!,MATCH(IF(ISNUMBER(FIND(" - ",H566)),LEFT(H566,FIND(" - ",H566)-1),H566),'https://kuryos.sharepoint.com/sites/ServidorKuryos/Shared Documents/08. Logistica e Armazenamento/00. Logistica/[Controle de Produtos.xlsx]Produtos'!#REF!,0)),0)*1.1,AND(M566&lt;IFERROR(INDEX('https://kuryos.sharepoint.com/sites/ServidorKuryos/Shared Documents/08. Logistica e Armazenamento/00. Logistica/[Controle de Produtos.xlsx]Produtos'!#REF!,MATCH(IF(ISNUMBER(FIND(" - ",H566)),LEFT(H566,FIND(" - ",H566)-1),H566),'https://kuryos.sharepoint.com/sites/ServidorKuryos/Shared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",H566)),LEFT(H566,FIND(" - ",H566)-1),H566),'https://kuryos.sharepoint.com/sites/ServidorKuryos/Shared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M566:M570</xm:sqref>
        </x14:conditionalFormatting>
        <x14:conditionalFormatting xmlns:xm="http://schemas.microsoft.com/office/excel/2006/main">
          <x14:cfRule type="expression" priority="261" id="{B42D0957-CA10-47C8-B3D5-72B081838E33}">
            <xm:f>AND(K572&gt;0,OR(K572&gt;IFERROR(INDEX('https://kuryos.sharepoint.com/sites/ServidorKuryos/Shared Documents/08. Logistica e Armazenamento/00. Logistica/[Controle de Produtos.xlsx]Produtos'!#REF!,MATCH(IF(ISNUMBER(FIND(" - ",G572)),LEFT(G572,FIND(" - ",G572)-1),G572),'https://kuryos.sharepoint.com/sites/ServidorKuryos/Shared Documents/08. Logistica e Armazenamento/00. Logistica/[Controle de Produtos.xlsx]Produtos'!#REF!,0)),0)*1.1,AND(K572&lt;IFERROR(INDEX('https://kuryos.sharepoint.com/sites/ServidorKuryos/Shared Documents/08. Logistica e Armazenamento/00. Logistica/[Controle de Produtos.xlsx]Produtos'!#REF!,MATCH(IF(ISNUMBER(FIND(" - ",G572)),LEFT(G572,FIND(" - ",G572)-1),G572),'https://kuryos.sharepoint.com/sites/ServidorKuryos/Shared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",G572)),LEFT(G572,FIND(" - ",G572)-1),G572),'https://kuryos.sharepoint.com/sites/ServidorKuryos/Shared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K572:L577</xm:sqref>
        </x14:conditionalFormatting>
        <x14:conditionalFormatting xmlns:xm="http://schemas.microsoft.com/office/excel/2006/main">
          <x14:cfRule type="expression" priority="260" id="{8368F39A-62E6-4DD8-899E-D3A77F6C7965}">
            <xm:f>AND(K566&gt;0,OR(K566&gt;IFERROR(INDEX('https://kuryos.sharepoint.com/sites/ServidorKuryos/Shared Documents/08. Logistica e Armazenamento/00. Logistica/[Controle de Produtos.xlsx]Produtos'!#REF!,MATCH(IF(ISNUMBER(FIND(" - ",G566)),LEFT(G566,FIND(" - ",G566)-1),G566),'https://kuryos.sharepoint.com/sites/ServidorKuryos/Shared Documents/08. Logistica e Armazenamento/00. Logistica/[Controle de Produtos.xlsx]Produtos'!#REF!,0)),0)*1.1,AND(K566&lt;IFERROR(INDEX('https://kuryos.sharepoint.com/sites/ServidorKuryos/Shared Documents/08. Logistica e Armazenamento/00. Logistica/[Controle de Produtos.xlsx]Produtos'!#REF!,MATCH(IF(ISNUMBER(FIND(" - ",G566)),LEFT(G566,FIND(" - ",G566)-1),G566),'https://kuryos.sharepoint.com/sites/ServidorKuryos/Shared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",G566)),LEFT(G566,FIND(" - ",G566)-1),G566),'https://kuryos.sharepoint.com/sites/ServidorKuryos/Shared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K566:L570</xm:sqref>
        </x14:conditionalFormatting>
        <x14:conditionalFormatting xmlns:xm="http://schemas.microsoft.com/office/excel/2006/main">
          <x14:cfRule type="expression" priority="257" id="{70980ADE-F886-4073-ABE2-90CCBE29DBC3}">
            <xm:f>AND(M584&gt;0,OR(M584&gt;IFERROR(INDEX('https://kuryos.sharepoint.com/sites/ServidorKuryos/Shared Documents/08. Logistica e Armazenamento/00. Logistica/[Controle de Produtos.xlsx]Produtos'!#REF!,MATCH(IF(ISNUMBER(FIND(" - ",H584)),LEFT(H584,FIND(" - ",H584)-1),H584),'https://kuryos.sharepoint.com/sites/ServidorKuryos/Shared Documents/08. Logistica e Armazenamento/00. Logistica/[Controle de Produtos.xlsx]Produtos'!#REF!,0)),0)*1.1,AND(M584&lt;IFERROR(INDEX('https://kuryos.sharepoint.com/sites/ServidorKuryos/Shared Documents/08. Logistica e Armazenamento/00. Logistica/[Controle de Produtos.xlsx]Produtos'!#REF!,MATCH(IF(ISNUMBER(FIND(" - ",H584)),LEFT(H584,FIND(" - ",H584)-1),H584),'https://kuryos.sharepoint.com/sites/ServidorKuryos/Shared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",H584)),LEFT(H584,FIND(" - ",H584)-1),H584),'https://kuryos.sharepoint.com/sites/ServidorKuryos/Shared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M584:M588</xm:sqref>
        </x14:conditionalFormatting>
        <x14:conditionalFormatting xmlns:xm="http://schemas.microsoft.com/office/excel/2006/main">
          <x14:cfRule type="expression" priority="231" id="{C5350DB1-7310-40C2-B872-C6026ED7EC78}">
            <xm:f>AND(J770&gt;0,OR(J770&gt;IFERROR(INDEX('https://kuryos.sharepoint.com/sites/ServidorKuryos/Shared Documents/08. Logistica e Armazenamento/00. Logistica/[Controle de Produtos.xlsx]Produtos'!#REF!,MATCH(IF(ISNUMBER(FIND(" - ",F770)),LEFT(F770,FIND(" - ",F770)-1),F770),'https://kuryos.sharepoint.com/sites/ServidorKuryos/Shared Documents/08. Logistica e Armazenamento/00. Logistica/[Controle de Produtos.xlsx]Produtos'!#REF!,0)),0)*1.1,AND(J770&lt;IFERROR(INDEX('https://kuryos.sharepoint.com/sites/ServidorKuryos/Shared Documents/08. Logistica e Armazenamento/00. Logistica/[Controle de Produtos.xlsx]Produtos'!#REF!,MATCH(IF(ISNUMBER(FIND(" - ",F770)),LEFT(F770,FIND(" - ",F770)-1),F770),'https://kuryos.sharepoint.com/sites/ServidorKuryos/Shared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",F770)),LEFT(F770,FIND(" - ",F770)-1),F770),'https://kuryos.sharepoint.com/sites/ServidorKuryos/Shared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J770</xm:sqref>
        </x14:conditionalFormatting>
        <x14:conditionalFormatting xmlns:xm="http://schemas.microsoft.com/office/excel/2006/main">
          <x14:cfRule type="expression" priority="227" id="{138D6664-6ED9-4C55-BA70-790DED4DFD44}">
            <xm:f>AND(M783&gt;0,OR(M783&gt;IFERROR(INDEX('https://kuryos.sharepoint.com/sites/ServidorKuryos/Shared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Produtos.xlsx]Produtos'!#REF!,0)),0)*1.1,AND(M783&lt;IFERROR(INDEX('https://kuryos.sharepoint.com/sites/ServidorKuryos/Shared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M783:M787</xm:sqref>
        </x14:conditionalFormatting>
        <x14:conditionalFormatting xmlns:xm="http://schemas.microsoft.com/office/excel/2006/main">
          <x14:cfRule type="expression" priority="225" id="{EA84A663-74A9-43E4-91C7-BE4E356D864C}">
            <xm:f>AND(J788&gt;0,OR(J788&gt;IFERROR(INDEX('https://kuryos.sharepoint.com/sites/ServidorKuryos/Shared Documents/08. Logistica e Armazenamento/00. Logistica/[Controle de Produtos.xlsx]Produtos'!#REF!,MATCH(IF(ISNUMBER(FIND(" - ",F788)),LEFT(F788,FIND(" - ",F788)-1),F788),'https://kuryos.sharepoint.com/sites/ServidorKuryos/Shared Documents/08. Logistica e Armazenamento/00. Logistica/[Controle de Produtos.xlsx]Produtos'!#REF!,0)),0)*1.1,AND(J788&lt;IFERROR(INDEX('https://kuryos.sharepoint.com/sites/ServidorKuryos/Shared Documents/08. Logistica e Armazenamento/00. Logistica/[Controle de Produtos.xlsx]Produtos'!#REF!,MATCH(IF(ISNUMBER(FIND(" - ",F788)),LEFT(F788,FIND(" - ",F788)-1),F788),'https://kuryos.sharepoint.com/sites/ServidorKuryos/Shared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",F788)),LEFT(F788,FIND(" - ",F788)-1),F788),'https://kuryos.sharepoint.com/sites/ServidorKuryos/Shared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J788</xm:sqref>
        </x14:conditionalFormatting>
        <x14:conditionalFormatting xmlns:xm="http://schemas.microsoft.com/office/excel/2006/main">
          <x14:cfRule type="expression" priority="223" id="{70293490-0503-4183-BE81-4AFF354E2228}">
            <xm:f>AND(K579&gt;0,OR(K579&gt;IFERROR(INDEX('https://kuryos.sharepoint.com/sites/ServidorKuryos/Shared Documents/08. Logistica e Armazenamento/00. Logistica/[Controle de Produtos.xlsx]Produtos'!#REF!,MATCH(IF(ISNUMBER(FIND(" - ",G579)),LEFT(G579,FIND(" - ",G579)-1),G579),'https://kuryos.sharepoint.com/sites/ServidorKuryos/Shared Documents/08. Logistica e Armazenamento/00. Logistica/[Controle de Produtos.xlsx]Produtos'!#REF!,0)),0)*1.1,AND(K579&lt;IFERROR(INDEX('https://kuryos.sharepoint.com/sites/ServidorKuryos/Shared Documents/08. Logistica e Armazenamento/00. Logistica/[Controle de Produtos.xlsx]Produtos'!#REF!,MATCH(IF(ISNUMBER(FIND(" - ",G579)),LEFT(G579,FIND(" - ",G579)-1),G579),'https://kuryos.sharepoint.com/sites/ServidorKuryos/Shared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",G579)),LEFT(G579,FIND(" - ",G579)-1),G579),'https://kuryos.sharepoint.com/sites/ServidorKuryos/Shared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K579:L581</xm:sqref>
        </x14:conditionalFormatting>
        <x14:conditionalFormatting xmlns:xm="http://schemas.microsoft.com/office/excel/2006/main">
          <x14:cfRule type="expression" priority="222" id="{5EBF88E3-7878-4435-8D43-1BD2D2022D2B}">
            <xm:f>AND(K584&gt;0,OR(K584&gt;IFERROR(INDEX('https://kuryos.sharepoint.com/sites/ServidorKuryos/Shared Documents/08. Logistica e Armazenamento/00. Logistica/[Controle de Produtos.xlsx]Produtos'!#REF!,MATCH(IF(ISNUMBER(FIND(" - ",G584)),LEFT(G584,FIND(" - ",G584)-1),G584),'https://kuryos.sharepoint.com/sites/ServidorKuryos/Shared Documents/08. Logistica e Armazenamento/00. Logistica/[Controle de Produtos.xlsx]Produtos'!#REF!,0)),0)*1.1,AND(K584&lt;IFERROR(INDEX('https://kuryos.sharepoint.com/sites/ServidorKuryos/Shared Documents/08. Logistica e Armazenamento/00. Logistica/[Controle de Produtos.xlsx]Produtos'!#REF!,MATCH(IF(ISNUMBER(FIND(" - ",G584)),LEFT(G584,FIND(" - ",G584)-1),G584),'https://kuryos.sharepoint.com/sites/ServidorKuryos/Shared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",G584)),LEFT(G584,FIND(" - ",G584)-1),G584),'https://kuryos.sharepoint.com/sites/ServidorKuryos/Shared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K584:L588</xm:sqref>
        </x14:conditionalFormatting>
        <x14:conditionalFormatting xmlns:xm="http://schemas.microsoft.com/office/excel/2006/main">
          <x14:cfRule type="expression" priority="221" id="{431DD47A-F5AE-4F8A-942A-0A5B23BA9058}">
            <xm:f>AND(K590&gt;0,OR(K590&gt;IFERROR(INDEX('https://kuryos.sharepoint.com/sites/ServidorKuryos/Shared Documents/08. Logistica e Armazenamento/00. Logistica/[Controle de Produtos.xlsx]Produtos'!#REF!,MATCH(IF(ISNUMBER(FIND(" - ",G590)),LEFT(G590,FIND(" - ",G590)-1),G590),'https://kuryos.sharepoint.com/sites/ServidorKuryos/Shared Documents/08. Logistica e Armazenamento/00. Logistica/[Controle de Produtos.xlsx]Produtos'!#REF!,0)),0)*1.1,AND(K590&lt;IFERROR(INDEX('https://kuryos.sharepoint.com/sites/ServidorKuryos/Shared Documents/08. Logistica e Armazenamento/00. Logistica/[Controle de Produtos.xlsx]Produtos'!#REF!,MATCH(IF(ISNUMBER(FIND(" - ",G590)),LEFT(G590,FIND(" - ",G590)-1),G590),'https://kuryos.sharepoint.com/sites/ServidorKuryos/Shared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",G590)),LEFT(G590,FIND(" - ",G590)-1),G590),'https://kuryos.sharepoint.com/sites/ServidorKuryos/Shared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K590:L593</xm:sqref>
        </x14:conditionalFormatting>
        <x14:conditionalFormatting xmlns:xm="http://schemas.microsoft.com/office/excel/2006/main">
          <x14:cfRule type="expression" priority="218" id="{234EFE2F-6D47-4049-B4C8-B6C807C3722E}">
            <xm:f>AND(K644&gt;0,OR(K644&gt;IFERROR(INDEX('https://kuryos.sharepoint.com/sites/ServidorKuryos/Shared Documents/08. Logistica e Armazenamento/00. Logistica/[Controle de Produtos.xlsx]Produtos'!#REF!,MATCH(IF(ISNUMBER(FIND(" - ",G644)),LEFT(G644,FIND(" - ",G644)-1),G644),'https://kuryos.sharepoint.com/sites/ServidorKuryos/Shared Documents/08. Logistica e Armazenamento/00. Logistica/[Controle de Produtos.xlsx]Produtos'!#REF!,0)),0)*1.1,AND(K644&lt;IFERROR(INDEX('https://kuryos.sharepoint.com/sites/ServidorKuryos/Shared Documents/08. Logistica e Armazenamento/00. Logistica/[Controle de Produtos.xlsx]Produtos'!#REF!,MATCH(IF(ISNUMBER(FIND(" - ",G644)),LEFT(G644,FIND(" - ",G644)-1),G644),'https://kuryos.sharepoint.com/sites/ServidorKuryos/Shared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",G644)),LEFT(G644,FIND(" - ",G644)-1),G644),'https://kuryos.sharepoint.com/sites/ServidorKuryos/Shared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K644:L644</xm:sqref>
        </x14:conditionalFormatting>
        <x14:conditionalFormatting xmlns:xm="http://schemas.microsoft.com/office/excel/2006/main">
          <x14:cfRule type="expression" priority="216" id="{E323432A-4DDB-4C91-8D84-C503A1DA4456}">
            <xm:f>AND(K662&gt;0,OR(K662&gt;IFERROR(INDEX('https://kuryos.sharepoint.com/sites/ServidorKuryos/Shared Documents/08. Logistica e Armazenamento/00. Logistica/[Controle de Produtos.xlsx]Produtos'!#REF!,MATCH(IF(ISNUMBER(FIND(" - ",G662)),LEFT(G662,FIND(" - ",G662)-1),G662),'https://kuryos.sharepoint.com/sites/ServidorKuryos/Shared Documents/08. Logistica e Armazenamento/00. Logistica/[Controle de Produtos.xlsx]Produtos'!#REF!,0)),0)*1.1,AND(K662&lt;IFERROR(INDEX('https://kuryos.sharepoint.com/sites/ServidorKuryos/Shared Documents/08. Logistica e Armazenamento/00. Logistica/[Controle de Produtos.xlsx]Produtos'!#REF!,MATCH(IF(ISNUMBER(FIND(" - ",G662)),LEFT(G662,FIND(" - ",G662)-1),G662),'https://kuryos.sharepoint.com/sites/ServidorKuryos/Shared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",G662)),LEFT(G662,FIND(" - ",G662)-1),G662),'https://kuryos.sharepoint.com/sites/ServidorKuryos/Shared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K662:L662</xm:sqref>
        </x14:conditionalFormatting>
        <x14:conditionalFormatting xmlns:xm="http://schemas.microsoft.com/office/excel/2006/main">
          <x14:cfRule type="expression" priority="208" id="{B5C08CAF-0AB7-47A1-AE22-A038E368D2C6}">
            <xm:f>AND(J465&gt;0,OR(J465&gt;IFERROR(INDEX('https://kuryos.sharepoint.com/sites/ServidorKuryos/Shared Documents/08. Logistica e Armazenamento/00. Logistica/[Controle de Produtos.xlsx]Produtos'!#REF!,MATCH(IF(ISNUMBER(FIND(" - ",F465)),LEFT(F465,FIND(" - ",F465)-1),F465),'https://kuryos.sharepoint.com/sites/ServidorKuryos/Shared Documents/08. Logistica e Armazenamento/00. Logistica/[Controle de Produtos.xlsx]Produtos'!#REF!,0)),0)*1.1,AND(J465&lt;IFERROR(INDEX('https://kuryos.sharepoint.com/sites/ServidorKuryos/Shared Documents/08. Logistica e Armazenamento/00. Logistica/[Controle de Produtos.xlsx]Produtos'!#REF!,MATCH(IF(ISNUMBER(FIND(" - ",F465)),LEFT(F465,FIND(" - ",F465)-1),F465),'https://kuryos.sharepoint.com/sites/ServidorKuryos/Shared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",F465)),LEFT(F465,FIND(" - ",F465)-1),F465),'https://kuryos.sharepoint.com/sites/ServidorKuryos/Shared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J465:J468</xm:sqref>
        </x14:conditionalFormatting>
        <x14:conditionalFormatting xmlns:xm="http://schemas.microsoft.com/office/excel/2006/main">
          <x14:cfRule type="expression" priority="207" id="{60B90B3F-6B19-4EFD-BC78-1895AEA98A79}">
            <xm:f>AND(J512&gt;0,OR(J512&gt;IFERROR(INDEX('https://kuryos.sharepoint.com/sites/ServidorKuryos/Shared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Produtos.xlsx]Produtos'!#REF!,0)),0)*1.1,AND(J512&lt;IFERROR(INDEX('https://kuryos.sharepoint.com/sites/ServidorKuryos/Shared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J512:J516</xm:sqref>
        </x14:conditionalFormatting>
        <x14:conditionalFormatting xmlns:xm="http://schemas.microsoft.com/office/excel/2006/main">
          <x14:cfRule type="expression" priority="206" id="{D9F8DB96-ABE8-48CD-A5B2-43A3041B43A5}">
            <xm:f>AND(J518&gt;0,OR(J518&gt;IFERROR(INDEX('https://kuryos.sharepoint.com/sites/ServidorKuryos/Shared Documents/08. Logistica e Armazenamento/00. Logistica/[Controle de Produtos.xlsx]Produtos'!#REF!,MATCH(IF(ISNUMBER(FIND(" - ",F518)),LEFT(F518,FIND(" - ",F518)-1),F518),'https://kuryos.sharepoint.com/sites/ServidorKuryos/Shared Documents/08. Logistica e Armazenamento/00. Logistica/[Controle de Produtos.xlsx]Produtos'!#REF!,0)),0)*1.1,AND(J518&lt;IFERROR(INDEX('https://kuryos.sharepoint.com/sites/ServidorKuryos/Shared Documents/08. Logistica e Armazenamento/00. Logistica/[Controle de Produtos.xlsx]Produtos'!#REF!,MATCH(IF(ISNUMBER(FIND(" - ",F518)),LEFT(F518,FIND(" - ",F518)-1),F518),'https://kuryos.sharepoint.com/sites/ServidorKuryos/Shared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",F518)),LEFT(F518,FIND(" - ",F518)-1),F518),'https://kuryos.sharepoint.com/sites/ServidorKuryos/Shared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J518:J523</xm:sqref>
        </x14:conditionalFormatting>
        <x14:conditionalFormatting xmlns:xm="http://schemas.microsoft.com/office/excel/2006/main">
          <x14:cfRule type="expression" priority="205" id="{06D6E3E9-1C0E-4A05-90E1-3BABB1B3CBC3}">
            <xm:f>AND(J525&gt;0,OR(J525&gt;IFERROR(INDEX('https://kuryos.sharepoint.com/sites/ServidorKuryos/Shared Documents/08. Logistica e Armazenamento/00. Logistica/[Controle de Produtos.xlsx]Produtos'!#REF!,MATCH(IF(ISNUMBER(FIND(" - ",F525)),LEFT(F525,FIND(" - ",F525)-1),F525),'https://kuryos.sharepoint.com/sites/ServidorKuryos/Shared Documents/08. Logistica e Armazenamento/00. Logistica/[Controle de Produtos.xlsx]Produtos'!#REF!,0)),0)*1.1,AND(J525&lt;IFERROR(INDEX('https://kuryos.sharepoint.com/sites/ServidorKuryos/Shared Documents/08. Logistica e Armazenamento/00. Logistica/[Controle de Produtos.xlsx]Produtos'!#REF!,MATCH(IF(ISNUMBER(FIND(" - ",F525)),LEFT(F525,FIND(" - ",F525)-1),F525),'https://kuryos.sharepoint.com/sites/ServidorKuryos/Shared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",F525)),LEFT(F525,FIND(" - ",F525)-1),F525),'https://kuryos.sharepoint.com/sites/ServidorKuryos/Shared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J525:J527</xm:sqref>
        </x14:conditionalFormatting>
        <x14:conditionalFormatting xmlns:xm="http://schemas.microsoft.com/office/excel/2006/main">
          <x14:cfRule type="expression" priority="204" id="{B82C1B52-DCB3-4F7D-B294-E59874F431C0}">
            <xm:f>AND(J530&gt;0,OR(J530&gt;IFERROR(INDEX('https://kuryos.sharepoint.com/sites/ServidorKuryos/Shared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Produtos.xlsx]Produtos'!#REF!,0)),0)*1.1,AND(J530&lt;IFERROR(INDEX('https://kuryos.sharepoint.com/sites/ServidorKuryos/Shared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J530</xm:sqref>
        </x14:conditionalFormatting>
        <x14:conditionalFormatting xmlns:xm="http://schemas.microsoft.com/office/excel/2006/main">
          <x14:cfRule type="expression" priority="203" id="{963E1F36-ADDE-409B-8477-B6F5C4330AF4}">
            <xm:f>AND(K512&gt;0,OR(K512&gt;IFERROR(INDEX('https://kuryos.sharepoint.com/sites/ServidorKuryos/Shared Documents/08. Logistica e Armazenamento/00. Logistica/[Controle de Produtos.xlsx]Produtos'!#REF!,MATCH(IF(ISNUMBER(FIND(" - ",G512)),LEFT(G512,FIND(" - ",G512)-1),G512),'https://kuryos.sharepoint.com/sites/ServidorKuryos/Shared Documents/08. Logistica e Armazenamento/00. Logistica/[Controle de Produtos.xlsx]Produtos'!#REF!,0)),0)*1.1,AND(K512&lt;IFERROR(INDEX('https://kuryos.sharepoint.com/sites/ServidorKuryos/Shared Documents/08. Logistica e Armazenamento/00. Logistica/[Controle de Produtos.xlsx]Produtos'!#REF!,MATCH(IF(ISNUMBER(FIND(" - ",G512)),LEFT(G512,FIND(" - ",G512)-1),G512),'https://kuryos.sharepoint.com/sites/ServidorKuryos/Shared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",G512)),LEFT(G512,FIND(" - ",G512)-1),G512),'https://kuryos.sharepoint.com/sites/ServidorKuryos/Shared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K512:L515</xm:sqref>
        </x14:conditionalFormatting>
        <x14:conditionalFormatting xmlns:xm="http://schemas.microsoft.com/office/excel/2006/main">
          <x14:cfRule type="expression" priority="202" id="{965E4E44-C5F2-425E-A96E-F8AE69B5AF30}">
            <xm:f>AND(K518&gt;0,OR(K518&gt;IFERROR(INDEX('https://kuryos.sharepoint.com/sites/ServidorKuryos/Shared Documents/08. Logistica e Armazenamento/00. Logistica/[Controle de Produtos.xlsx]Produtos'!#REF!,MATCH(IF(ISNUMBER(FIND(" - ",G518)),LEFT(G518,FIND(" - ",G518)-1),G518),'https://kuryos.sharepoint.com/sites/ServidorKuryos/Shared Documents/08. Logistica e Armazenamento/00. Logistica/[Controle de Produtos.xlsx]Produtos'!#REF!,0)),0)*1.1,AND(K518&lt;IFERROR(INDEX('https://kuryos.sharepoint.com/sites/ServidorKuryos/Shared Documents/08. Logistica e Armazenamento/00. Logistica/[Controle de Produtos.xlsx]Produtos'!#REF!,MATCH(IF(ISNUMBER(FIND(" - ",G518)),LEFT(G518,FIND(" - ",G518)-1),G518),'https://kuryos.sharepoint.com/sites/ServidorKuryos/Shared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",G518)),LEFT(G518,FIND(" - ",G518)-1),G518),'https://kuryos.sharepoint.com/sites/ServidorKuryos/Shared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K518:L520</xm:sqref>
        </x14:conditionalFormatting>
        <x14:conditionalFormatting xmlns:xm="http://schemas.microsoft.com/office/excel/2006/main">
          <x14:cfRule type="expression" priority="193" id="{AEFBB150-122A-43AE-B3EC-9A6CFA670926}">
            <xm:f>AND(K698&gt;0,OR(K698&gt;IFERROR(INDEX('https://kuryos.sharepoint.com/sites/ServidorKuryos/Shared Documents/08. Logistica e Armazenamento/00. Logistica/[Controle de Produtos.xlsx]Produtos'!#REF!,MATCH(IF(ISNUMBER(FIND(" - ",G698)),LEFT(G698,FIND(" - ",G698)-1),G698),'https://kuryos.sharepoint.com/sites/ServidorKuryos/Shared Documents/08. Logistica e Armazenamento/00. Logistica/[Controle de Produtos.xlsx]Produtos'!#REF!,0)),0)*1.1,AND(K698&lt;IFERROR(INDEX('https://kuryos.sharepoint.com/sites/ServidorKuryos/Shared Documents/08. Logistica e Armazenamento/00. Logistica/[Controle de Produtos.xlsx]Produtos'!#REF!,MATCH(IF(ISNUMBER(FIND(" - ",G698)),LEFT(G698,FIND(" - ",G698)-1),G698),'https://kuryos.sharepoint.com/sites/ServidorKuryos/Shared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",G698)),LEFT(G698,FIND(" - ",G698)-1),G698),'https://kuryos.sharepoint.com/sites/ServidorKuryos/Shared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K698:L698</xm:sqref>
        </x14:conditionalFormatting>
        <x14:conditionalFormatting xmlns:xm="http://schemas.microsoft.com/office/excel/2006/main">
          <x14:cfRule type="expression" priority="191" id="{EE5471B6-2B88-4903-8DF0-A3D27C553399}">
            <xm:f>AND(J650&gt;0,OR(J650&gt;IFERROR(INDEX('https://kuryos.sharepoint.com/sites/ServidorKuryos/Shared Documents/08. Logistica e Armazenamento/00. Logistica/[Controle de Produtos.xlsx]Produtos'!#REF!,MATCH(IF(ISNUMBER(FIND(" - ",F650)),LEFT(F650,FIND(" - ",F650)-1),F650),'https://kuryos.sharepoint.com/sites/ServidorKuryos/Shared Documents/08. Logistica e Armazenamento/00. Logistica/[Controle de Produtos.xlsx]Produtos'!#REF!,0)),0)*1.1,AND(J650&lt;IFERROR(INDEX('https://kuryos.sharepoint.com/sites/ServidorKuryos/Shared Documents/08. Logistica e Armazenamento/00. Logistica/[Controle de Produtos.xlsx]Produtos'!#REF!,MATCH(IF(ISNUMBER(FIND(" - ",F650)),LEFT(F650,FIND(" - ",F650)-1),F650),'https://kuryos.sharepoint.com/sites/ServidorKuryos/Shared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",F650)),LEFT(F650,FIND(" - ",F650)-1),F650),'https://kuryos.sharepoint.com/sites/ServidorKuryos/Shared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J650:J653</xm:sqref>
        </x14:conditionalFormatting>
        <x14:conditionalFormatting xmlns:xm="http://schemas.microsoft.com/office/excel/2006/main">
          <x14:cfRule type="expression" priority="180" id="{70545E8F-B198-4A03-90B8-3C1DB51B8CE0}">
            <xm:f>AND(J806&gt;0,OR(J806&gt;IFERROR(INDEX('https://kuryos.sharepoint.com/sites/ServidorKuryos/Shared Documents/08. Logistica e Armazenamento/00. Logistica/[Controle de Produtos.xlsx]Produtos'!#REF!,MATCH(IF(ISNUMBER(FIND(" - ",F806)),LEFT(F806,FIND(" - ",F806)-1),F806),'https://kuryos.sharepoint.com/sites/ServidorKuryos/Shared Documents/08. Logistica e Armazenamento/00. Logistica/[Controle de Produtos.xlsx]Produtos'!#REF!,0)),0)*1.1,AND(J806&lt;IFERROR(INDEX('https://kuryos.sharepoint.com/sites/ServidorKuryos/Shared Documents/08. Logistica e Armazenamento/00. Logistica/[Controle de Produtos.xlsx]Produtos'!#REF!,MATCH(IF(ISNUMBER(FIND(" - ",F806)),LEFT(F806,FIND(" - ",F806)-1),F806),'https://kuryos.sharepoint.com/sites/ServidorKuryos/Shared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",F806)),LEFT(F806,FIND(" - ",F806)-1),F806),'https://kuryos.sharepoint.com/sites/ServidorKuryos/Shared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J806</xm:sqref>
        </x14:conditionalFormatting>
        <x14:conditionalFormatting xmlns:xm="http://schemas.microsoft.com/office/excel/2006/main">
          <x14:cfRule type="expression" priority="174" id="{35F3C788-9B66-4D83-961C-883449BE9219}">
            <xm:f>AND(J824&gt;0,OR(J824&gt;IFERROR(INDEX('https://kuryos.sharepoint.com/sites/ServidorKuryos/Shared Documents/08. Logistica e Armazenamento/00. Logistica/[Controle de Produtos.xlsx]Produtos'!#REF!,MATCH(IF(ISNUMBER(FIND(" - ",F824)),LEFT(F824,FIND(" - ",F824)-1),F824),'https://kuryos.sharepoint.com/sites/ServidorKuryos/Shared Documents/08. Logistica e Armazenamento/00. Logistica/[Controle de Produtos.xlsx]Produtos'!#REF!,0)),0)*1.1,AND(J824&lt;IFERROR(INDEX('https://kuryos.sharepoint.com/sites/ServidorKuryos/Shared Documents/08. Logistica e Armazenamento/00. Logistica/[Controle de Produtos.xlsx]Produtos'!#REF!,MATCH(IF(ISNUMBER(FIND(" - ",F824)),LEFT(F824,FIND(" - ",F824)-1),F824),'https://kuryos.sharepoint.com/sites/ServidorKuryos/Shared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",F824)),LEFT(F824,FIND(" - ",F824)-1),F824),'https://kuryos.sharepoint.com/sites/ServidorKuryos/Shared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J824</xm:sqref>
        </x14:conditionalFormatting>
        <x14:conditionalFormatting xmlns:xm="http://schemas.microsoft.com/office/excel/2006/main">
          <x14:cfRule type="expression" priority="167" id="{72104FBD-5152-4AC3-8665-DB6285171F86}">
            <xm:f>AND(J584&gt;0,OR(J584&gt;IFERROR(INDEX('https://kuryos.sharepoint.com/sites/ServidorKuryos/Shared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Produtos.xlsx]Produtos'!#REF!,0)),0)*1.1,AND(J584&lt;IFERROR(INDEX('https://kuryos.sharepoint.com/sites/ServidorKuryos/Shared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J584:J588</xm:sqref>
        </x14:conditionalFormatting>
        <x14:conditionalFormatting xmlns:xm="http://schemas.microsoft.com/office/excel/2006/main">
          <x14:cfRule type="expression" priority="166" id="{ECB9591B-B8B5-4F73-9CA1-8272AC58E0F6}">
            <xm:f>AND(J590&gt;0,OR(J590&gt;IFERROR(INDEX('https://kuryos.sharepoint.com/sites/ServidorKuryos/Shared Documents/08. Logistica e Armazenamento/00. Logistica/[Controle de Produtos.xlsx]Produtos'!#REF!,MATCH(IF(ISNUMBER(FIND(" - ",F590)),LEFT(F590,FIND(" - ",F590)-1),F590),'https://kuryos.sharepoint.com/sites/ServidorKuryos/Shared Documents/08. Logistica e Armazenamento/00. Logistica/[Controle de Produtos.xlsx]Produtos'!#REF!,0)),0)*1.1,AND(J590&lt;IFERROR(INDEX('https://kuryos.sharepoint.com/sites/ServidorKuryos/Shared Documents/08. Logistica e Armazenamento/00. Logistica/[Controle de Produtos.xlsx]Produtos'!#REF!,MATCH(IF(ISNUMBER(FIND(" - ",F590)),LEFT(F590,FIND(" - ",F590)-1),F590),'https://kuryos.sharepoint.com/sites/ServidorKuryos/Shared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",F590)),LEFT(F590,FIND(" - ",F590)-1),F590),'https://kuryos.sharepoint.com/sites/ServidorKuryos/Shared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J590:J595</xm:sqref>
        </x14:conditionalFormatting>
        <x14:conditionalFormatting xmlns:xm="http://schemas.microsoft.com/office/excel/2006/main">
          <x14:cfRule type="expression" priority="165" id="{C3747E9D-AC08-4286-BDF5-3B174620B841}">
            <xm:f>AND(J597&gt;0,OR(J597&gt;IFERROR(INDEX('https://kuryos.sharepoint.com/sites/ServidorKuryos/Shared Documents/08. Logistica e Armazenamento/00. Logistica/[Controle de Produtos.xlsx]Produtos'!#REF!,MATCH(IF(ISNUMBER(FIND(" - ",F597)),LEFT(F597,FIND(" - ",F597)-1),F597),'https://kuryos.sharepoint.com/sites/ServidorKuryos/Shared Documents/08. Logistica e Armazenamento/00. Logistica/[Controle de Produtos.xlsx]Produtos'!#REF!,0)),0)*1.1,AND(J597&lt;IFERROR(INDEX('https://kuryos.sharepoint.com/sites/ServidorKuryos/Shared Documents/08. Logistica e Armazenamento/00. Logistica/[Controle de Produtos.xlsx]Produtos'!#REF!,MATCH(IF(ISNUMBER(FIND(" - ",F597)),LEFT(F597,FIND(" - ",F597)-1),F597),'https://kuryos.sharepoint.com/sites/ServidorKuryos/Shared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",F597)),LEFT(F597,FIND(" - ",F597)-1),F597),'https://kuryos.sharepoint.com/sites/ServidorKuryos/Shared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J597:J599</xm:sqref>
        </x14:conditionalFormatting>
        <x14:conditionalFormatting xmlns:xm="http://schemas.microsoft.com/office/excel/2006/main">
          <x14:cfRule type="expression" priority="163" id="{E4E2C1A6-7CDD-4ECB-B4C5-1C37241F6DBE}">
            <xm:f>AND(J665&gt;0,OR(J665&gt;IFERROR(INDEX('https://kuryos.sharepoint.com/sites/ServidorKuryos/Shared Documents/08. Logistica e Armazenamento/00. Logistica/[Controle de Produtos.xlsx]Produtos'!#REF!,MATCH(IF(ISNUMBER(FIND(" - ",F665)),LEFT(F665,FIND(" - ",F665)-1),F665),'https://kuryos.sharepoint.com/sites/ServidorKuryos/Shared Documents/08. Logistica e Armazenamento/00. Logistica/[Controle de Produtos.xlsx]Produtos'!#REF!,0)),0)*1.1,AND(J665&lt;IFERROR(INDEX('https://kuryos.sharepoint.com/sites/ServidorKuryos/Shared Documents/08. Logistica e Armazenamento/00. Logistica/[Controle de Produtos.xlsx]Produtos'!#REF!,MATCH(IF(ISNUMBER(FIND(" - ",F665)),LEFT(F665,FIND(" - ",F665)-1),F665),'https://kuryos.sharepoint.com/sites/ServidorKuryos/Shared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",F665)),LEFT(F665,FIND(" - ",F665)-1),F665),'https://kuryos.sharepoint.com/sites/ServidorKuryos/Shared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J665:J666</xm:sqref>
        </x14:conditionalFormatting>
        <x14:conditionalFormatting xmlns:xm="http://schemas.microsoft.com/office/excel/2006/main">
          <x14:cfRule type="expression" priority="152" id="{CFAB8C69-35FC-4C28-ABF0-5E23D0DBF549}">
            <xm:f>AND(M645&gt;0,OR(M645&gt;IFERROR(INDEX('https://kuryos.sharepoint.com/sites/ServidorKuryos/Shared Documents/08. Logistica e Armazenamento/00. Logistica/[Controle de Produtos.xlsx]Produtos'!#REF!,MATCH(IF(ISNUMBER(FIND(" - ",H645)),LEFT(H645,FIND(" - ",H645)-1),H645),'https://kuryos.sharepoint.com/sites/ServidorKuryos/Shared Documents/08. Logistica e Armazenamento/00. Logistica/[Controle de Produtos.xlsx]Produtos'!#REF!,0)),0)*1.1,AND(M645&lt;IFERROR(INDEX('https://kuryos.sharepoint.com/sites/ServidorKuryos/Shared Documents/08. Logistica e Armazenamento/00. Logistica/[Controle de Produtos.xlsx]Produtos'!#REF!,MATCH(IF(ISNUMBER(FIND(" - ",H645)),LEFT(H645,FIND(" - ",H645)-1),H645),'https://kuryos.sharepoint.com/sites/ServidorKuryos/Shared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",H645)),LEFT(H645,FIND(" - ",H645)-1),H645),'https://kuryos.sharepoint.com/sites/ServidorKuryos/Shared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M645:M648</xm:sqref>
        </x14:conditionalFormatting>
        <x14:conditionalFormatting xmlns:xm="http://schemas.microsoft.com/office/excel/2006/main">
          <x14:cfRule type="expression" priority="151" id="{D71B2059-6B2E-4084-A3CC-72D45B134B8D}">
            <xm:f>AND(M657&gt;0,OR(M657&gt;IFERROR(INDEX('https://kuryos.sharepoint.com/sites/ServidorKuryos/Shared Documents/08. Logistica e Armazenamento/00. Logistica/[Controle de Produtos.xlsx]Produtos'!#REF!,MATCH(IF(ISNUMBER(FIND(" - ",H657)),LEFT(H657,FIND(" - ",H657)-1),H657),'https://kuryos.sharepoint.com/sites/ServidorKuryos/Shared Documents/08. Logistica e Armazenamento/00. Logistica/[Controle de Produtos.xlsx]Produtos'!#REF!,0)),0)*1.1,AND(M657&lt;IFERROR(INDEX('https://kuryos.sharepoint.com/sites/ServidorKuryos/Shared Documents/08. Logistica e Armazenamento/00. Logistica/[Controle de Produtos.xlsx]Produtos'!#REF!,MATCH(IF(ISNUMBER(FIND(" - ",H657)),LEFT(H657,FIND(" - ",H657)-1),H657),'https://kuryos.sharepoint.com/sites/ServidorKuryos/Shared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",H657)),LEFT(H657,FIND(" - ",H657)-1),H657),'https://kuryos.sharepoint.com/sites/ServidorKuryos/Shared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M657:M661</xm:sqref>
        </x14:conditionalFormatting>
        <x14:conditionalFormatting xmlns:xm="http://schemas.microsoft.com/office/excel/2006/main">
          <x14:cfRule type="expression" priority="150" id="{F5FF3651-CF5D-422C-96DC-0699D69CC17A}">
            <xm:f>AND(M663&gt;0,OR(M663&gt;IFERROR(INDEX('https://kuryos.sharepoint.com/sites/ServidorKuryos/Shared Documents/08. Logistica e Armazenamento/00. Logistica/[Controle de Produtos.xlsx]Produtos'!#REF!,MATCH(IF(ISNUMBER(FIND(" - ",H663)),LEFT(H663,FIND(" - ",H663)-1),H663),'https://kuryos.sharepoint.com/sites/ServidorKuryos/Shared Documents/08. Logistica e Armazenamento/00. Logistica/[Controle de Produtos.xlsx]Produtos'!#REF!,0)),0)*1.1,AND(M663&lt;IFERROR(INDEX('https://kuryos.sharepoint.com/sites/ServidorKuryos/Shared Documents/08. Logistica e Armazenamento/00. Logistica/[Controle de Produtos.xlsx]Produtos'!#REF!,MATCH(IF(ISNUMBER(FIND(" - ",H663)),LEFT(H663,FIND(" - ",H663)-1),H663),'https://kuryos.sharepoint.com/sites/ServidorKuryos/Shared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",H663)),LEFT(H663,FIND(" - ",H663)-1),H663),'https://kuryos.sharepoint.com/sites/ServidorKuryos/Shared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M663:M666</xm:sqref>
        </x14:conditionalFormatting>
        <x14:conditionalFormatting xmlns:xm="http://schemas.microsoft.com/office/excel/2006/main">
          <x14:cfRule type="expression" priority="149" id="{A72BE511-2FF4-4958-B319-8C62E129B715}">
            <xm:f>AND(M675&gt;0,OR(M675&gt;IFERROR(INDEX('https://kuryos.sharepoint.com/sites/ServidorKuryos/Shared Documents/08. Logistica e Armazenamento/00. Logistica/[Controle de Produtos.xlsx]Produtos'!#REF!,MATCH(IF(ISNUMBER(FIND(" - ",H675)),LEFT(H675,FIND(" - ",H675)-1),H675),'https://kuryos.sharepoint.com/sites/ServidorKuryos/Shared Documents/08. Logistica e Armazenamento/00. Logistica/[Controle de Produtos.xlsx]Produtos'!#REF!,0)),0)*1.1,AND(M675&lt;IFERROR(INDEX('https://kuryos.sharepoint.com/sites/ServidorKuryos/Shared Documents/08. Logistica e Armazenamento/00. Logistica/[Controle de Produtos.xlsx]Produtos'!#REF!,MATCH(IF(ISNUMBER(FIND(" - ",H675)),LEFT(H675,FIND(" - ",H675)-1),H675),'https://kuryos.sharepoint.com/sites/ServidorKuryos/Shared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",H675)),LEFT(H675,FIND(" - ",H675)-1),H675),'https://kuryos.sharepoint.com/sites/ServidorKuryos/Shared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M675:M679</xm:sqref>
        </x14:conditionalFormatting>
        <x14:conditionalFormatting xmlns:xm="http://schemas.microsoft.com/office/excel/2006/main">
          <x14:cfRule type="expression" priority="133" id="{086B88C9-76CE-4E71-BDA9-3C2E4A5A6DB6}">
            <xm:f>AND(K594&gt;0,OR(K594&gt;IFERROR(INDEX('https://kuryos.sharepoint.com/sites/ServidorKuryos/Shared Documents/08. Logistica e Armazenamento/00. Logistica/[Controle de Produtos.xlsx]Produtos'!#REF!,MATCH(IF(ISNUMBER(FIND(" - ",G594)),LEFT(G594,FIND(" - ",G594)-1),G594),'https://kuryos.sharepoint.com/sites/ServidorKuryos/Shared Documents/08. Logistica e Armazenamento/00. Logistica/[Controle de Produtos.xlsx]Produtos'!#REF!,0)),0)*1.1,AND(K594&lt;IFERROR(INDEX('https://kuryos.sharepoint.com/sites/ServidorKuryos/Shared Documents/08. Logistica e Armazenamento/00. Logistica/[Controle de Produtos.xlsx]Produtos'!#REF!,MATCH(IF(ISNUMBER(FIND(" - ",G594)),LEFT(G594,FIND(" - ",G594)-1),G594),'https://kuryos.sharepoint.com/sites/ServidorKuryos/Shared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",G594)),LEFT(G594,FIND(" - ",G594)-1),G594),'https://kuryos.sharepoint.com/sites/ServidorKuryos/Shared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K594:L595</xm:sqref>
        </x14:conditionalFormatting>
        <x14:conditionalFormatting xmlns:xm="http://schemas.microsoft.com/office/excel/2006/main">
          <x14:cfRule type="expression" priority="132" id="{1EACBCA2-C8D2-470E-9815-7D6ED3243CD4}">
            <xm:f>AND(K597&gt;0,OR(K597&gt;IFERROR(INDEX('https://kuryos.sharepoint.com/sites/ServidorKuryos/Shared Documents/08. Logistica e Armazenamento/00. Logistica/[Controle de Produtos.xlsx]Produtos'!#REF!,MATCH(IF(ISNUMBER(FIND(" - ",G597)),LEFT(G597,FIND(" - ",G597)-1),G597),'https://kuryos.sharepoint.com/sites/ServidorKuryos/Shared Documents/08. Logistica e Armazenamento/00. Logistica/[Controle de Produtos.xlsx]Produtos'!#REF!,0)),0)*1.1,AND(K597&lt;IFERROR(INDEX('https://kuryos.sharepoint.com/sites/ServidorKuryos/Shared Documents/08. Logistica e Armazenamento/00. Logistica/[Controle de Produtos.xlsx]Produtos'!#REF!,MATCH(IF(ISNUMBER(FIND(" - ",G597)),LEFT(G597,FIND(" - ",G597)-1),G597),'https://kuryos.sharepoint.com/sites/ServidorKuryos/Shared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",G597)),LEFT(G597,FIND(" - ",G597)-1),G597),'https://kuryos.sharepoint.com/sites/ServidorKuryos/Shared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K597:L599</xm:sqref>
        </x14:conditionalFormatting>
        <x14:conditionalFormatting xmlns:xm="http://schemas.microsoft.com/office/excel/2006/main">
          <x14:cfRule type="expression" priority="131" id="{9E83DB09-08AC-497B-BB14-6154EA46E2BC}">
            <xm:f>AND(K665&gt;0,OR(K665&gt;IFERROR(INDEX('https://kuryos.sharepoint.com/sites/ServidorKuryos/Shared Documents/08. Logistica e Armazenamento/00. Logistica/[Controle de Produtos.xlsx]Produtos'!#REF!,MATCH(IF(ISNUMBER(FIND(" - ",G665)),LEFT(G665,FIND(" - ",G665)-1),G665),'https://kuryos.sharepoint.com/sites/ServidorKuryos/Shared Documents/08. Logistica e Armazenamento/00. Logistica/[Controle de Produtos.xlsx]Produtos'!#REF!,0)),0)*1.1,AND(K665&lt;IFERROR(INDEX('https://kuryos.sharepoint.com/sites/ServidorKuryos/Shared Documents/08. Logistica e Armazenamento/00. Logistica/[Controle de Produtos.xlsx]Produtos'!#REF!,MATCH(IF(ISNUMBER(FIND(" - ",G665)),LEFT(G665,FIND(" - ",G665)-1),G665),'https://kuryos.sharepoint.com/sites/ServidorKuryos/Shared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",G665)),LEFT(G665,FIND(" - ",G665)-1),G665),'https://kuryos.sharepoint.com/sites/ServidorKuryos/Shared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K665:L666</xm:sqref>
        </x14:conditionalFormatting>
        <x14:conditionalFormatting xmlns:xm="http://schemas.microsoft.com/office/excel/2006/main">
          <x14:cfRule type="expression" priority="130" id="{AFB84AE2-C01D-44A8-9916-A1EADC21647D}">
            <xm:f>AND(K675&gt;0,OR(K675&gt;IFERROR(INDEX('https://kuryos.sharepoint.com/sites/ServidorKuryos/Shared Documents/08. Logistica e Armazenamento/00. Logistica/[Controle de Produtos.xlsx]Produtos'!#REF!,MATCH(IF(ISNUMBER(FIND(" - ",G675)),LEFT(G675,FIND(" - ",G675)-1),G675),'https://kuryos.sharepoint.com/sites/ServidorKuryos/Shared Documents/08. Logistica e Armazenamento/00. Logistica/[Controle de Produtos.xlsx]Produtos'!#REF!,0)),0)*1.1,AND(K675&lt;IFERROR(INDEX('https://kuryos.sharepoint.com/sites/ServidorKuryos/Shared Documents/08. Logistica e Armazenamento/00. Logistica/[Controle de Produtos.xlsx]Produtos'!#REF!,MATCH(IF(ISNUMBER(FIND(" - ",G675)),LEFT(G675,FIND(" - ",G675)-1),G675),'https://kuryos.sharepoint.com/sites/ServidorKuryos/Shared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",G675)),LEFT(G675,FIND(" - ",G675)-1),G675),'https://kuryos.sharepoint.com/sites/ServidorKuryos/Shared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K675:L679</xm:sqref>
        </x14:conditionalFormatting>
        <x14:conditionalFormatting xmlns:xm="http://schemas.microsoft.com/office/excel/2006/main">
          <x14:cfRule type="expression" priority="124" id="{799B5D97-9125-4D4B-8464-03171DA4A110}">
            <xm:f>AND(K765&gt;0,OR(K765&gt;IFERROR(INDEX('https://kuryos.sharepoint.com/sites/ServidorKuryos/Shared Documents/08. Logistica e Armazenamento/00. Logistica/[Controle de Produtos.xlsx]Produtos'!#REF!,MATCH(IF(ISNUMBER(FIND(" - ",G765)),LEFT(G765,FIND(" - ",G765)-1),G765),'https://kuryos.sharepoint.com/sites/ServidorKuryos/Shared Documents/08. Logistica e Armazenamento/00. Logistica/[Controle de Produtos.xlsx]Produtos'!#REF!,0)),0)*1.1,AND(K765&lt;IFERROR(INDEX('https://kuryos.sharepoint.com/sites/ServidorKuryos/Shared Documents/08. Logistica e Armazenamento/00. Logistica/[Controle de Produtos.xlsx]Produtos'!#REF!,MATCH(IF(ISNUMBER(FIND(" - ",G765)),LEFT(G765,FIND(" - ",G765)-1),G765),'https://kuryos.sharepoint.com/sites/ServidorKuryos/Shared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",G765)),LEFT(G765,FIND(" - ",G765)-1),G765),'https://kuryos.sharepoint.com/sites/ServidorKuryos/Shared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K765:L769</xm:sqref>
        </x14:conditionalFormatting>
        <x14:conditionalFormatting xmlns:xm="http://schemas.microsoft.com/office/excel/2006/main">
          <x14:cfRule type="expression" priority="119" id="{5D024A25-0D5D-48B0-BB1E-920589B19C8E}">
            <xm:f>AND(J842&gt;0,OR(J842&gt;IFERROR(INDEX('https://kuryos.sharepoint.com/sites/ServidorKuryos/Shared Documents/08. Logistica e Armazenamento/00. Logistica/[Controle de Produtos.xlsx]Produtos'!#REF!,MATCH(IF(ISNUMBER(FIND(" - ",F842)),LEFT(F842,FIND(" - ",F842)-1),F842),'https://kuryos.sharepoint.com/sites/ServidorKuryos/Shared Documents/08. Logistica e Armazenamento/00. Logistica/[Controle de Produtos.xlsx]Produtos'!#REF!,0)),0)*1.1,AND(J842&lt;IFERROR(INDEX('https://kuryos.sharepoint.com/sites/ServidorKuryos/Shared Documents/08. Logistica e Armazenamento/00. Logistica/[Controle de Produtos.xlsx]Produtos'!#REF!,MATCH(IF(ISNUMBER(FIND(" - ",F842)),LEFT(F842,FIND(" - ",F842)-1),F842),'https://kuryos.sharepoint.com/sites/ServidorKuryos/Shared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",F842)),LEFT(F842,FIND(" - ",F842)-1),F842),'https://kuryos.sharepoint.com/sites/ServidorKuryos/Shared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J842</xm:sqref>
        </x14:conditionalFormatting>
        <x14:conditionalFormatting xmlns:xm="http://schemas.microsoft.com/office/excel/2006/main">
          <x14:cfRule type="expression" priority="116" id="{1407F299-A1D1-42D2-ABAE-02A89E6B3AB9}">
            <xm:f>AND(K783&gt;0,OR(K783&gt;IFERROR(INDEX('https://kuryos.sharepoint.com/sites/ServidorKuryos/Shared Documents/08. Logistica e Armazenamento/00. Logistica/[Controle de Produtos.xlsx]Produtos'!#REF!,MATCH(IF(ISNUMBER(FIND(" - ",G783)),LEFT(G783,FIND(" - ",G783)-1),G783),'https://kuryos.sharepoint.com/sites/ServidorKuryos/Shared Documents/08. Logistica e Armazenamento/00. Logistica/[Controle de Produtos.xlsx]Produtos'!#REF!,0)),0)*1.1,AND(K783&lt;IFERROR(INDEX('https://kuryos.sharepoint.com/sites/ServidorKuryos/Shared Documents/08. Logistica e Armazenamento/00. Logistica/[Controle de Produtos.xlsx]Produtos'!#REF!,MATCH(IF(ISNUMBER(FIND(" - ",G783)),LEFT(G783,FIND(" - ",G783)-1),G783),'https://kuryos.sharepoint.com/sites/ServidorKuryos/Shared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",G783)),LEFT(G783,FIND(" - ",G783)-1),G783),'https://kuryos.sharepoint.com/sites/ServidorKuryos/Shared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K783:K787</xm:sqref>
        </x14:conditionalFormatting>
        <x14:conditionalFormatting xmlns:xm="http://schemas.microsoft.com/office/excel/2006/main">
          <x14:cfRule type="expression" priority="114" id="{FF752DDE-B845-4E09-B389-50C632D96B88}">
            <xm:f>AND(K801&gt;0,OR(K801&gt;IFERROR(INDEX('https://kuryos.sharepoint.com/sites/ServidorKuryos/Shared Documents/08. Logistica e Armazenamento/00. Logistica/[Controle de Produtos.xlsx]Produtos'!#REF!,MATCH(IF(ISNUMBER(FIND(" - ",G801)),LEFT(G801,FIND(" - ",G801)-1),G801),'https://kuryos.sharepoint.com/sites/ServidorKuryos/Shared Documents/08. Logistica e Armazenamento/00. Logistica/[Controle de Produtos.xlsx]Produtos'!#REF!,0)),0)*1.1,AND(K801&lt;IFERROR(INDEX('https://kuryos.sharepoint.com/sites/ServidorKuryos/Shared Documents/08. Logistica e Armazenamento/00. Logistica/[Controle de Produtos.xlsx]Produtos'!#REF!,MATCH(IF(ISNUMBER(FIND(" - ",G801)),LEFT(G801,FIND(" - ",G801)-1),G801),'https://kuryos.sharepoint.com/sites/ServidorKuryos/Shared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",G801)),LEFT(G801,FIND(" - ",G801)-1),G801),'https://kuryos.sharepoint.com/sites/ServidorKuryos/Shared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K801:K805</xm:sqref>
        </x14:conditionalFormatting>
        <x14:conditionalFormatting xmlns:xm="http://schemas.microsoft.com/office/excel/2006/main">
          <x14:cfRule type="expression" priority="112" id="{04C9395E-CCD8-413D-A933-D51B27A7504F}">
            <xm:f>AND(L819&gt;0,OR(L819&gt;IFERROR(INDEX('https://kuryos.sharepoint.com/sites/ServidorKuryos/Shared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Produtos.xlsx]Produtos'!#REF!,0)),0)*1.1,AND(L819&lt;IFERROR(INDEX('https://kuryos.sharepoint.com/sites/ServidorKuryos/Shared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L819:L823</xm:sqref>
        </x14:conditionalFormatting>
        <x14:conditionalFormatting xmlns:xm="http://schemas.microsoft.com/office/excel/2006/main">
          <x14:cfRule type="expression" priority="111" id="{ADEC0161-681C-4CEE-BFD3-5A31C6F192C1}">
            <xm:f>AND(K825&gt;0,OR(K825&gt;IFERROR(INDEX('https://kuryos.sharepoint.com/sites/ServidorKuryos/Shared Documents/08. Logistica e Armazenamento/00. Logistica/[Controle de Produtos.xlsx]Produtos'!#REF!,MATCH(IF(ISNUMBER(FIND(" - ",G825)),LEFT(G825,FIND(" - ",G825)-1),G825),'https://kuryos.sharepoint.com/sites/ServidorKuryos/Shared Documents/08. Logistica e Armazenamento/00. Logistica/[Controle de Produtos.xlsx]Produtos'!#REF!,0)),0)*1.1,AND(K825&lt;IFERROR(INDEX('https://kuryos.sharepoint.com/sites/ServidorKuryos/Shared Documents/08. Logistica e Armazenamento/00. Logistica/[Controle de Produtos.xlsx]Produtos'!#REF!,MATCH(IF(ISNUMBER(FIND(" - ",G825)),LEFT(G825,FIND(" - ",G825)-1),G825),'https://kuryos.sharepoint.com/sites/ServidorKuryos/Shared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",G825)),LEFT(G825,FIND(" - ",G825)-1),G825),'https://kuryos.sharepoint.com/sites/ServidorKuryos/Shared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K825:L828</xm:sqref>
        </x14:conditionalFormatting>
        <x14:conditionalFormatting xmlns:xm="http://schemas.microsoft.com/office/excel/2006/main">
          <x14:cfRule type="expression" priority="110" id="{87AEB1D8-9320-4500-86D4-066066AB9F68}">
            <xm:f>AND(K837&gt;0,OR(K837&gt;IFERROR(INDEX('https://kuryos.sharepoint.com/sites/ServidorKuryos/Shared Documents/08. Logistica e Armazenamento/00. Logistica/[Controle de Produtos.xlsx]Produtos'!#REF!,MATCH(IF(ISNUMBER(FIND(" - ",G837)),LEFT(G837,FIND(" - ",G837)-1),G837),'https://kuryos.sharepoint.com/sites/ServidorKuryos/Shared Documents/08. Logistica e Armazenamento/00. Logistica/[Controle de Produtos.xlsx]Produtos'!#REF!,0)),0)*1.1,AND(K837&lt;IFERROR(INDEX('https://kuryos.sharepoint.com/sites/ServidorKuryos/Shared Documents/08. Logistica e Armazenamento/00. Logistica/[Controle de Produtos.xlsx]Produtos'!#REF!,MATCH(IF(ISNUMBER(FIND(" - ",G837)),LEFT(G837,FIND(" - ",G837)-1),G837),'https://kuryos.sharepoint.com/sites/ServidorKuryos/Shared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",G837)),LEFT(G837,FIND(" - ",G837)-1),G837),'https://kuryos.sharepoint.com/sites/ServidorKuryos/Shared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K837:L838</xm:sqref>
        </x14:conditionalFormatting>
        <x14:conditionalFormatting xmlns:xm="http://schemas.microsoft.com/office/excel/2006/main">
          <x14:cfRule type="expression" priority="108" id="{F90D3399-28A3-448E-9655-64A30A0D4FE4}">
            <xm:f>AND(J697&gt;0,OR(J697&gt;IFERROR(INDEX('https://kuryos.sharepoint.com/sites/ServidorKuryos/Shared Documents/08. Logistica e Armazenamento/00. Logistica/[Controle de Produtos.xlsx]Produtos'!#REF!,MATCH(IF(ISNUMBER(FIND(" - ",F697)),LEFT(F697,FIND(" - ",F697)-1),F697),'https://kuryos.sharepoint.com/sites/ServidorKuryos/Shared Documents/08. Logistica e Armazenamento/00. Logistica/[Controle de Produtos.xlsx]Produtos'!#REF!,0)),0)*1.1,AND(J697&lt;IFERROR(INDEX('https://kuryos.sharepoint.com/sites/ServidorKuryos/Shared Documents/08. Logistica e Armazenamento/00. Logistica/[Controle de Produtos.xlsx]Produtos'!#REF!,MATCH(IF(ISNUMBER(FIND(" - ",F697)),LEFT(F697,FIND(" - ",F697)-1),F697),'https://kuryos.sharepoint.com/sites/ServidorKuryos/Shared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",F697)),LEFT(F697,FIND(" - ",F697)-1),F697),'https://kuryos.sharepoint.com/sites/ServidorKuryos/Shared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J697</xm:sqref>
        </x14:conditionalFormatting>
        <x14:conditionalFormatting xmlns:xm="http://schemas.microsoft.com/office/excel/2006/main">
          <x14:cfRule type="expression" priority="104" id="{C04D41F6-75FF-47D6-818F-74BFA9034304}">
            <xm:f>AND(J765&gt;0,OR(J765&gt;IFERROR(INDEX('https://kuryos.sharepoint.com/sites/ServidorKuryos/Shared Documents/08. Logistica e Armazenamento/00. Logistica/[Controle de Produtos.xlsx]Produtos'!#REF!,MATCH(IF(ISNUMBER(FIND(" - ",F765)),LEFT(F765,FIND(" - ",F765)-1),F765),'https://kuryos.sharepoint.com/sites/ServidorKuryos/Shared Documents/08. Logistica e Armazenamento/00. Logistica/[Controle de Produtos.xlsx]Produtos'!#REF!,0)),0)*1.1,AND(J765&lt;IFERROR(INDEX('https://kuryos.sharepoint.com/sites/ServidorKuryos/Shared Documents/08. Logistica e Armazenamento/00. Logistica/[Controle de Produtos.xlsx]Produtos'!#REF!,MATCH(IF(ISNUMBER(FIND(" - ",F765)),LEFT(F765,FIND(" - ",F765)-1),F765),'https://kuryos.sharepoint.com/sites/ServidorKuryos/Shared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",F765)),LEFT(F765,FIND(" - ",F765)-1),F765),'https://kuryos.sharepoint.com/sites/ServidorKuryos/Shared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J765:J769</xm:sqref>
        </x14:conditionalFormatting>
        <x14:conditionalFormatting xmlns:xm="http://schemas.microsoft.com/office/excel/2006/main">
          <x14:cfRule type="expression" priority="102" id="{090652F9-8BC3-4DF6-8C17-BD357007B25E}">
            <xm:f>AND(J790&gt;0,OR(J790&gt;IFERROR(INDEX('https://kuryos.sharepoint.com/sites/ServidorKuryos/Shared Documents/08. Logistica e Armazenamento/00. Logistica/[Controle de Produtos.xlsx]Produtos'!#REF!,MATCH(IF(ISNUMBER(FIND(" - ",F790)),LEFT(F790,FIND(" - ",F790)-1),F790),'https://kuryos.sharepoint.com/sites/ServidorKuryos/Shared Documents/08. Logistica e Armazenamento/00. Logistica/[Controle de Produtos.xlsx]Produtos'!#REF!,0)),0)*1.1,AND(J790&lt;IFERROR(INDEX('https://kuryos.sharepoint.com/sites/ServidorKuryos/Shared Documents/08. Logistica e Armazenamento/00. Logistica/[Controle de Produtos.xlsx]Produtos'!#REF!,MATCH(IF(ISNUMBER(FIND(" - ",F790)),LEFT(F790,FIND(" - ",F790)-1),F790),'https://kuryos.sharepoint.com/sites/ServidorKuryos/Shared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",F790)),LEFT(F790,FIND(" - ",F790)-1),F790),'https://kuryos.sharepoint.com/sites/ServidorKuryos/Shared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J790:J792</xm:sqref>
        </x14:conditionalFormatting>
        <x14:conditionalFormatting xmlns:xm="http://schemas.microsoft.com/office/excel/2006/main">
          <x14:cfRule type="expression" priority="101" id="{472D5C3F-F016-43F3-8FAB-D5B6E169F856}">
            <xm:f>AND(J783&gt;0,OR(J783&gt;IFERROR(INDEX('https://kuryos.sharepoint.com/sites/ServidorKuryos/Shared Documents/08. Logistica e Armazenamento/00. Logistica/[Controle de Produtos.xlsx]Produtos'!#REF!,MATCH(IF(ISNUMBER(FIND(" - ",F783)),LEFT(F783,FIND(" - ",F783)-1),F783),'https://kuryos.sharepoint.com/sites/ServidorKuryos/Shared Documents/08. Logistica e Armazenamento/00. Logistica/[Controle de Produtos.xlsx]Produtos'!#REF!,0)),0)*1.1,AND(J783&lt;IFERROR(INDEX('https://kuryos.sharepoint.com/sites/ServidorKuryos/Shared Documents/08. Logistica e Armazenamento/00. Logistica/[Controle de Produtos.xlsx]Produtos'!#REF!,MATCH(IF(ISNUMBER(FIND(" - ",F783)),LEFT(F783,FIND(" - ",F783)-1),F783),'https://kuryos.sharepoint.com/sites/ServidorKuryos/Shared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",F783)),LEFT(F783,FIND(" - ",F783)-1),F783),'https://kuryos.sharepoint.com/sites/ServidorKuryos/Shared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J783:J787</xm:sqref>
        </x14:conditionalFormatting>
        <x14:conditionalFormatting xmlns:xm="http://schemas.microsoft.com/office/excel/2006/main">
          <x14:cfRule type="expression" priority="100" id="{36A8FFAF-20BD-4FCE-A330-60C12AEAF7A5}">
            <xm:f>AND(J801&gt;0,OR(J801&gt;IFERROR(INDEX('https://kuryos.sharepoint.com/sites/ServidorKuryos/Shared Documents/08. Logistica e Armazenamento/00. Logistica/[Controle de Produtos.xlsx]Produtos'!#REF!,MATCH(IF(ISNUMBER(FIND(" - ",F801)),LEFT(F801,FIND(" - ",F801)-1),F801),'https://kuryos.sharepoint.com/sites/ServidorKuryos/Shared Documents/08. Logistica e Armazenamento/00. Logistica/[Controle de Produtos.xlsx]Produtos'!#REF!,0)),0)*1.1,AND(J801&lt;IFERROR(INDEX('https://kuryos.sharepoint.com/sites/ServidorKuryos/Shared Documents/08. Logistica e Armazenamento/00. Logistica/[Controle de Produtos.xlsx]Produtos'!#REF!,MATCH(IF(ISNUMBER(FIND(" - ",F801)),LEFT(F801,FIND(" - ",F801)-1),F801),'https://kuryos.sharepoint.com/sites/ServidorKuryos/Shared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",F801)),LEFT(F801,FIND(" - ",F801)-1),F801),'https://kuryos.sharepoint.com/sites/ServidorKuryos/Shared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J801:J805</xm:sqref>
        </x14:conditionalFormatting>
        <x14:conditionalFormatting xmlns:xm="http://schemas.microsoft.com/office/excel/2006/main">
          <x14:cfRule type="expression" priority="98" id="{74E7A589-9708-4AC6-8D9D-EB67A0F9B84A}">
            <xm:f>AND(J657&gt;0,OR(J657&gt;IFERROR(INDEX('https://kuryos.sharepoint.com/sites/ServidorKuryos/Shared Documents/08. Logistica e Armazenamento/00. Logistica/[Controle de Produtos.xlsx]Produtos'!#REF!,MATCH(IF(ISNUMBER(FIND(" - ",F657)),LEFT(F657,FIND(" - ",F657)-1),F657),'https://kuryos.sharepoint.com/sites/ServidorKuryos/Shared Documents/08. Logistica e Armazenamento/00. Logistica/[Controle de Produtos.xlsx]Produtos'!#REF!,0)),0)*1.1,AND(J657&lt;IFERROR(INDEX('https://kuryos.sharepoint.com/sites/ServidorKuryos/Shared Documents/08. Logistica e Armazenamento/00. Logistica/[Controle de Produtos.xlsx]Produtos'!#REF!,MATCH(IF(ISNUMBER(FIND(" - ",F657)),LEFT(F657,FIND(" - ",F657)-1),F657),'https://kuryos.sharepoint.com/sites/ServidorKuryos/Shared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",F657)),LEFT(F657,FIND(" - ",F657)-1),F657),'https://kuryos.sharepoint.com/sites/ServidorKuryos/Shared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J657:J661</xm:sqref>
        </x14:conditionalFormatting>
        <x14:conditionalFormatting xmlns:xm="http://schemas.microsoft.com/office/excel/2006/main">
          <x14:cfRule type="expression" priority="97" id="{F554CDF7-7332-4620-9FE4-AF87710BEF12}">
            <xm:f>AND(J663&gt;0,OR(J663&gt;IFERROR(INDEX('https://kuryos.sharepoint.com/sites/ServidorKuryos/Shared Documents/08. Logistica e Armazenamento/00. Logistica/[Controle de Produtos.xlsx]Produtos'!#REF!,MATCH(IF(ISNUMBER(FIND(" - ",F663)),LEFT(F663,FIND(" - ",F663)-1),F663),'https://kuryos.sharepoint.com/sites/ServidorKuryos/Shared Documents/08. Logistica e Armazenamento/00. Logistica/[Controle de Produtos.xlsx]Produtos'!#REF!,0)),0)*1.1,AND(J663&lt;IFERROR(INDEX('https://kuryos.sharepoint.com/sites/ServidorKuryos/Shared Documents/08. Logistica e Armazenamento/00. Logistica/[Controle de Produtos.xlsx]Produtos'!#REF!,MATCH(IF(ISNUMBER(FIND(" - ",F663)),LEFT(F663,FIND(" - ",F663)-1),F663),'https://kuryos.sharepoint.com/sites/ServidorKuryos/Shared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",F663)),LEFT(F663,FIND(" - ",F663)-1),F663),'https://kuryos.sharepoint.com/sites/ServidorKuryos/Shared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J663:J664</xm:sqref>
        </x14:conditionalFormatting>
        <x14:conditionalFormatting xmlns:xm="http://schemas.microsoft.com/office/excel/2006/main">
          <x14:cfRule type="expression" priority="96" id="{ABAC6224-CA2B-44B1-B751-20B2EEDF340C}">
            <xm:f>AND(K639&gt;0,OR(K639&gt;IFERROR(INDEX('https://kuryos.sharepoint.com/sites/ServidorKuryos/Shared Documents/08. Logistica e Armazenamento/00. Logistica/[Controle de Produtos.xlsx]Produtos'!#REF!,MATCH(IF(ISNUMBER(FIND(" - ",G639)),LEFT(G639,FIND(" - ",G639)-1),G639),'https://kuryos.sharepoint.com/sites/ServidorKuryos/Shared Documents/08. Logistica e Armazenamento/00. Logistica/[Controle de Produtos.xlsx]Produtos'!#REF!,0)),0)*1.1,AND(K639&lt;IFERROR(INDEX('https://kuryos.sharepoint.com/sites/ServidorKuryos/Shared Documents/08. Logistica e Armazenamento/00. Logistica/[Controle de Produtos.xlsx]Produtos'!#REF!,MATCH(IF(ISNUMBER(FIND(" - ",G639)),LEFT(G639,FIND(" - ",G639)-1),G639),'https://kuryos.sharepoint.com/sites/ServidorKuryos/Shared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",G639)),LEFT(G639,FIND(" - ",G639)-1),G639),'https://kuryos.sharepoint.com/sites/ServidorKuryos/Shared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K639:L643</xm:sqref>
        </x14:conditionalFormatting>
        <x14:conditionalFormatting xmlns:xm="http://schemas.microsoft.com/office/excel/2006/main">
          <x14:cfRule type="expression" priority="95" id="{E576D102-003E-4152-AC6E-2CBEDCDF2D68}">
            <xm:f>AND(K645&gt;0,OR(K645&gt;IFERROR(INDEX('https://kuryos.sharepoint.com/sites/ServidorKuryos/Shared Documents/08. Logistica e Armazenamento/00. Logistica/[Controle de Produtos.xlsx]Produtos'!#REF!,MATCH(IF(ISNUMBER(FIND(" - ",G645)),LEFT(G645,FIND(" - ",G645)-1),G645),'https://kuryos.sharepoint.com/sites/ServidorKuryos/Shared Documents/08. Logistica e Armazenamento/00. Logistica/[Controle de Produtos.xlsx]Produtos'!#REF!,0)),0)*1.1,AND(K645&lt;IFERROR(INDEX('https://kuryos.sharepoint.com/sites/ServidorKuryos/Shared Documents/08. Logistica e Armazenamento/00. Logistica/[Controle de Produtos.xlsx]Produtos'!#REF!,MATCH(IF(ISNUMBER(FIND(" - ",G645)),LEFT(G645,FIND(" - ",G645)-1),G645),'https://kuryos.sharepoint.com/sites/ServidorKuryos/Shared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",G645)),LEFT(G645,FIND(" - ",G645)-1),G645),'https://kuryos.sharepoint.com/sites/ServidorKuryos/Shared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K645:L648</xm:sqref>
        </x14:conditionalFormatting>
        <x14:conditionalFormatting xmlns:xm="http://schemas.microsoft.com/office/excel/2006/main">
          <x14:cfRule type="expression" priority="94" id="{B08E7CC4-68E2-4411-861B-1181A205E2E8}">
            <xm:f>AND(K657&gt;0,OR(K657&gt;IFERROR(INDEX('https://kuryos.sharepoint.com/sites/ServidorKuryos/Shared Documents/08. Logistica e Armazenamento/00. Logistica/[Controle de Produtos.xlsx]Produtos'!#REF!,MATCH(IF(ISNUMBER(FIND(" - ",G657)),LEFT(G657,FIND(" - ",G657)-1),G657),'https://kuryos.sharepoint.com/sites/ServidorKuryos/Shared Documents/08. Logistica e Armazenamento/00. Logistica/[Controle de Produtos.xlsx]Produtos'!#REF!,0)),0)*1.1,AND(K657&lt;IFERROR(INDEX('https://kuryos.sharepoint.com/sites/ServidorKuryos/Shared Documents/08. Logistica e Armazenamento/00. Logistica/[Controle de Produtos.xlsx]Produtos'!#REF!,MATCH(IF(ISNUMBER(FIND(" - ",G657)),LEFT(G657,FIND(" - ",G657)-1),G657),'https://kuryos.sharepoint.com/sites/ServidorKuryos/Shared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",G657)),LEFT(G657,FIND(" - ",G657)-1),G657),'https://kuryos.sharepoint.com/sites/ServidorKuryos/Shared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K657:L661</xm:sqref>
        </x14:conditionalFormatting>
        <x14:conditionalFormatting xmlns:xm="http://schemas.microsoft.com/office/excel/2006/main">
          <x14:cfRule type="expression" priority="93" id="{2BB60E7D-9FB3-43B1-B1AC-A117A6A6DA9A}">
            <xm:f>AND(K663&gt;0,OR(K663&gt;IFERROR(INDEX('https://kuryos.sharepoint.com/sites/ServidorKuryos/Shared Documents/08. Logistica e Armazenamento/00. Logistica/[Controle de Produtos.xlsx]Produtos'!#REF!,MATCH(IF(ISNUMBER(FIND(" - ",G663)),LEFT(G663,FIND(" - ",G663)-1),G663),'https://kuryos.sharepoint.com/sites/ServidorKuryos/Shared Documents/08. Logistica e Armazenamento/00. Logistica/[Controle de Produtos.xlsx]Produtos'!#REF!,0)),0)*1.1,AND(K663&lt;IFERROR(INDEX('https://kuryos.sharepoint.com/sites/ServidorKuryos/Shared Documents/08. Logistica e Armazenamento/00. Logistica/[Controle de Produtos.xlsx]Produtos'!#REF!,MATCH(IF(ISNUMBER(FIND(" - ",G663)),LEFT(G663,FIND(" - ",G663)-1),G663),'https://kuryos.sharepoint.com/sites/ServidorKuryos/Shared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",G663)),LEFT(G663,FIND(" - ",G663)-1),G663),'https://kuryos.sharepoint.com/sites/ServidorKuryos/Shared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K663:L664</xm:sqref>
        </x14:conditionalFormatting>
        <x14:conditionalFormatting xmlns:xm="http://schemas.microsoft.com/office/excel/2006/main">
          <x14:cfRule type="expression" priority="92" id="{0F2337DB-04AA-40DF-878B-CB908B949E68}">
            <xm:f>AND(J675&gt;0,OR(J675&gt;IFERROR(INDEX('https://kuryos.sharepoint.com/sites/ServidorKuryos/Shared Documents/08. Logistica e Armazenamento/00. Logistica/[Controle de Produtos.xlsx]Produtos'!#REF!,MATCH(IF(ISNUMBER(FIND(" - ",F675)),LEFT(F675,FIND(" - ",F675)-1),F675),'https://kuryos.sharepoint.com/sites/ServidorKuryos/Shared Documents/08. Logistica e Armazenamento/00. Logistica/[Controle de Produtos.xlsx]Produtos'!#REF!,0)),0)*1.1,AND(J675&lt;IFERROR(INDEX('https://kuryos.sharepoint.com/sites/ServidorKuryos/Shared Documents/08. Logistica e Armazenamento/00. Logistica/[Controle de Produtos.xlsx]Produtos'!#REF!,MATCH(IF(ISNUMBER(FIND(" - ",F675)),LEFT(F675,FIND(" - ",F675)-1),F675),'https://kuryos.sharepoint.com/sites/ServidorKuryos/Shared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",F675)),LEFT(F675,FIND(" - ",F675)-1),F675),'https://kuryos.sharepoint.com/sites/ServidorKuryos/Shared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J675:J679</xm:sqref>
        </x14:conditionalFormatting>
        <x14:conditionalFormatting xmlns:xm="http://schemas.microsoft.com/office/excel/2006/main">
          <x14:cfRule type="expression" priority="91" id="{9F74FE89-BB27-4540-A646-52C42E4A47D3}">
            <xm:f>AND(J681&gt;0,OR(J681&gt;IFERROR(INDEX('https://kuryos.sharepoint.com/sites/ServidorKuryos/Shared Documents/08. Logistica e Armazenamento/00. Logistica/[Controle de Produtos.xlsx]Produtos'!#REF!,MATCH(IF(ISNUMBER(FIND(" - ",F681)),LEFT(F681,FIND(" - ",F681)-1),F681),'https://kuryos.sharepoint.com/sites/ServidorKuryos/Shared Documents/08. Logistica e Armazenamento/00. Logistica/[Controle de Produtos.xlsx]Produtos'!#REF!,0)),0)*1.1,AND(J681&lt;IFERROR(INDEX('https://kuryos.sharepoint.com/sites/ServidorKuryos/Shared Documents/08. Logistica e Armazenamento/00. Logistica/[Controle de Produtos.xlsx]Produtos'!#REF!,MATCH(IF(ISNUMBER(FIND(" - ",F681)),LEFT(F681,FIND(" - ",F681)-1),F681),'https://kuryos.sharepoint.com/sites/ServidorKuryos/Shared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",F681)),LEFT(F681,FIND(" - ",F681)-1),F681),'https://kuryos.sharepoint.com/sites/ServidorKuryos/Shared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J681:J684</xm:sqref>
        </x14:conditionalFormatting>
        <x14:conditionalFormatting xmlns:xm="http://schemas.microsoft.com/office/excel/2006/main">
          <x14:cfRule type="expression" priority="90" id="{C741FAF0-080A-48C5-9D29-B32AEDBE8625}">
            <xm:f>AND(J693&gt;0,OR(J693&gt;IFERROR(INDEX('https://kuryos.sharepoint.com/sites/ServidorKuryos/Shared Documents/08. Logistica e Armazenamento/00. Logistica/[Controle de Produtos.xlsx]Produtos'!#REF!,MATCH(IF(ISNUMBER(FIND(" - ",F693)),LEFT(F693,FIND(" - ",F693)-1),F693),'https://kuryos.sharepoint.com/sites/ServidorKuryos/Shared Documents/08. Logistica e Armazenamento/00. Logistica/[Controle de Produtos.xlsx]Produtos'!#REF!,0)),0)*1.1,AND(J693&lt;IFERROR(INDEX('https://kuryos.sharepoint.com/sites/ServidorKuryos/Shared Documents/08. Logistica e Armazenamento/00. Logistica/[Controle de Produtos.xlsx]Produtos'!#REF!,MATCH(IF(ISNUMBER(FIND(" - ",F693)),LEFT(F693,FIND(" - ",F693)-1),F693),'https://kuryos.sharepoint.com/sites/ServidorKuryos/Shared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",F693)),LEFT(F693,FIND(" - ",F693)-1),F693),'https://kuryos.sharepoint.com/sites/ServidorKuryos/Shared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J693:J696</xm:sqref>
        </x14:conditionalFormatting>
        <x14:conditionalFormatting xmlns:xm="http://schemas.microsoft.com/office/excel/2006/main">
          <x14:cfRule type="expression" priority="89" id="{370E0F52-AD7F-4E95-AD63-810AEA4BC4E2}">
            <xm:f>AND(K681&gt;0,OR(K681&gt;IFERROR(INDEX('https://kuryos.sharepoint.com/sites/ServidorKuryos/Shared Documents/08. Logistica e Armazenamento/00. Logistica/[Controle de Produtos.xlsx]Produtos'!#REF!,MATCH(IF(ISNUMBER(FIND(" - ",G681)),LEFT(G681,FIND(" - ",G681)-1),G681),'https://kuryos.sharepoint.com/sites/ServidorKuryos/Shared Documents/08. Logistica e Armazenamento/00. Logistica/[Controle de Produtos.xlsx]Produtos'!#REF!,0)),0)*1.1,AND(K681&lt;IFERROR(INDEX('https://kuryos.sharepoint.com/sites/ServidorKuryos/Shared Documents/08. Logistica e Armazenamento/00. Logistica/[Controle de Produtos.xlsx]Produtos'!#REF!,MATCH(IF(ISNUMBER(FIND(" - ",G681)),LEFT(G681,FIND(" - ",G681)-1),G681),'https://kuryos.sharepoint.com/sites/ServidorKuryos/Shared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",G681)),LEFT(G681,FIND(" - ",G681)-1),G681),'https://kuryos.sharepoint.com/sites/ServidorKuryos/Shared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K681:L684</xm:sqref>
        </x14:conditionalFormatting>
        <x14:conditionalFormatting xmlns:xm="http://schemas.microsoft.com/office/excel/2006/main">
          <x14:cfRule type="expression" priority="88" id="{691702AE-0A85-496E-8892-8CC2A18B430F}">
            <xm:f>AND(K693&gt;0,OR(K693&gt;IFERROR(INDEX('https://kuryos.sharepoint.com/sites/ServidorKuryos/Shared Documents/08. Logistica e Armazenamento/00. Logistica/[Controle de Produtos.xlsx]Produtos'!#REF!,MATCH(IF(ISNUMBER(FIND(" - ",G693)),LEFT(G693,FIND(" - ",G693)-1),G693),'https://kuryos.sharepoint.com/sites/ServidorKuryos/Shared Documents/08. Logistica e Armazenamento/00. Logistica/[Controle de Produtos.xlsx]Produtos'!#REF!,0)),0)*1.1,AND(K693&lt;IFERROR(INDEX('https://kuryos.sharepoint.com/sites/ServidorKuryos/Shared Documents/08. Logistica e Armazenamento/00. Logistica/[Controle de Produtos.xlsx]Produtos'!#REF!,MATCH(IF(ISNUMBER(FIND(" - ",G693)),LEFT(G693,FIND(" - ",G693)-1),G693),'https://kuryos.sharepoint.com/sites/ServidorKuryos/Shared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",G693)),LEFT(G693,FIND(" - ",G693)-1),G693),'https://kuryos.sharepoint.com/sites/ServidorKuryos/Shared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K693:L697</xm:sqref>
        </x14:conditionalFormatting>
        <x14:conditionalFormatting xmlns:xm="http://schemas.microsoft.com/office/excel/2006/main">
          <x14:cfRule type="expression" priority="87" id="{97BF9E35-DFCE-468D-B443-6954FB6A2B65}">
            <xm:f>AND(K699&gt;0,OR(K699&gt;IFERROR(INDEX('https://kuryos.sharepoint.com/sites/ServidorKuryos/Shared Documents/08. Logistica e Armazenamento/00. Logistica/[Controle de Produtos.xlsx]Produtos'!#REF!,MATCH(IF(ISNUMBER(FIND(" - ",G699)),LEFT(G699,FIND(" - ",G699)-1),G699),'https://kuryos.sharepoint.com/sites/ServidorKuryos/Shared Documents/08. Logistica e Armazenamento/00. Logistica/[Controle de Produtos.xlsx]Produtos'!#REF!,0)),0)*1.1,AND(K699&lt;IFERROR(INDEX('https://kuryos.sharepoint.com/sites/ServidorKuryos/Shared Documents/08. Logistica e Armazenamento/00. Logistica/[Controle de Produtos.xlsx]Produtos'!#REF!,MATCH(IF(ISNUMBER(FIND(" - ",G699)),LEFT(G699,FIND(" - ",G699)-1),G699),'https://kuryos.sharepoint.com/sites/ServidorKuryos/Shared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",G699)),LEFT(G699,FIND(" - ",G699)-1),G699),'https://kuryos.sharepoint.com/sites/ServidorKuryos/Shared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K699:L702</xm:sqref>
        </x14:conditionalFormatting>
        <x14:conditionalFormatting xmlns:xm="http://schemas.microsoft.com/office/excel/2006/main">
          <x14:cfRule type="expression" priority="86" id="{A3931775-12C5-4D5C-967F-445ECF94D438}">
            <xm:f>AND(K711&gt;0,OR(K711&gt;IFERROR(INDEX('https://kuryos.sharepoint.com/sites/ServidorKuryos/Shared Documents/08. Logistica e Armazenamento/00. Logistica/[Controle de Produtos.xlsx]Produtos'!#REF!,MATCH(IF(ISNUMBER(FIND(" - ",G711)),LEFT(G711,FIND(" - ",G711)-1),G711),'https://kuryos.sharepoint.com/sites/ServidorKuryos/Shared Documents/08. Logistica e Armazenamento/00. Logistica/[Controle de Produtos.xlsx]Produtos'!#REF!,0)),0)*1.1,AND(K711&lt;IFERROR(INDEX('https://kuryos.sharepoint.com/sites/ServidorKuryos/Shared Documents/08. Logistica e Armazenamento/00. Logistica/[Controle de Produtos.xlsx]Produtos'!#REF!,MATCH(IF(ISNUMBER(FIND(" - ",G711)),LEFT(G711,FIND(" - ",G711)-1),G711),'https://kuryos.sharepoint.com/sites/ServidorKuryos/Shared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",G711)),LEFT(G711,FIND(" - ",G711)-1),G711),'https://kuryos.sharepoint.com/sites/ServidorKuryos/Shared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K711:L715</xm:sqref>
        </x14:conditionalFormatting>
        <x14:conditionalFormatting xmlns:xm="http://schemas.microsoft.com/office/excel/2006/main">
          <x14:cfRule type="expression" priority="85" id="{E6C735E5-9D35-4C17-9B8A-BD149A256923}">
            <xm:f>AND(K717&gt;0,OR(K717&gt;IFERROR(INDEX('https://kuryos.sharepoint.com/sites/ServidorKuryos/Shared Documents/08. Logistica e Armazenamento/00. Logistica/[Controle de Produtos.xlsx]Produtos'!#REF!,MATCH(IF(ISNUMBER(FIND(" - ",G717)),LEFT(G717,FIND(" - ",G717)-1),G717),'https://kuryos.sharepoint.com/sites/ServidorKuryos/Shared Documents/08. Logistica e Armazenamento/00. Logistica/[Controle de Produtos.xlsx]Produtos'!#REF!,0)),0)*1.1,AND(K717&lt;IFERROR(INDEX('https://kuryos.sharepoint.com/sites/ServidorKuryos/Shared Documents/08. Logistica e Armazenamento/00. Logistica/[Controle de Produtos.xlsx]Produtos'!#REF!,MATCH(IF(ISNUMBER(FIND(" - ",G717)),LEFT(G717,FIND(" - ",G717)-1),G717),'https://kuryos.sharepoint.com/sites/ServidorKuryos/Shared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",G717)),LEFT(G717,FIND(" - ",G717)-1),G717),'https://kuryos.sharepoint.com/sites/ServidorKuryos/Shared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K717:L719</xm:sqref>
        </x14:conditionalFormatting>
        <x14:conditionalFormatting xmlns:xm="http://schemas.microsoft.com/office/excel/2006/main">
          <x14:cfRule type="expression" priority="84" id="{F1758613-CAA4-47C7-9813-DA3CA6BD0F6E}">
            <xm:f>AND(M681&gt;0,OR(M681&gt;IFERROR(INDEX('https://kuryos.sharepoint.com/sites/ServidorKuryos/Shared Documents/08. Logistica e Armazenamento/00. Logistica/[Controle de Produtos.xlsx]Produtos'!#REF!,MATCH(IF(ISNUMBER(FIND(" - ",H681)),LEFT(H681,FIND(" - ",H681)-1),H681),'https://kuryos.sharepoint.com/sites/ServidorKuryos/Shared Documents/08. Logistica e Armazenamento/00. Logistica/[Controle de Produtos.xlsx]Produtos'!#REF!,0)),0)*1.1,AND(M681&lt;IFERROR(INDEX('https://kuryos.sharepoint.com/sites/ServidorKuryos/Shared Documents/08. Logistica e Armazenamento/00. Logistica/[Controle de Produtos.xlsx]Produtos'!#REF!,MATCH(IF(ISNUMBER(FIND(" - ",H681)),LEFT(H681,FIND(" - ",H681)-1),H681),'https://kuryos.sharepoint.com/sites/ServidorKuryos/Shared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",H681)),LEFT(H681,FIND(" - ",H681)-1),H681),'https://kuryos.sharepoint.com/sites/ServidorKuryos/Shared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M681:M684</xm:sqref>
        </x14:conditionalFormatting>
        <x14:conditionalFormatting xmlns:xm="http://schemas.microsoft.com/office/excel/2006/main">
          <x14:cfRule type="expression" priority="83" id="{F27B4D81-AE32-4EC5-84E1-86F27AB7AB76}">
            <xm:f>AND(M693&gt;0,OR(M693&gt;IFERROR(INDEX('https://kuryos.sharepoint.com/sites/ServidorKuryos/Shared Documents/08. Logistica e Armazenamento/00. Logistica/[Controle de Produtos.xlsx]Produtos'!#REF!,MATCH(IF(ISNUMBER(FIND(" - ",H693)),LEFT(H693,FIND(" - ",H693)-1),H693),'https://kuryos.sharepoint.com/sites/ServidorKuryos/Shared Documents/08. Logistica e Armazenamento/00. Logistica/[Controle de Produtos.xlsx]Produtos'!#REF!,0)),0)*1.1,AND(M693&lt;IFERROR(INDEX('https://kuryos.sharepoint.com/sites/ServidorKuryos/Shared Documents/08. Logistica e Armazenamento/00. Logistica/[Controle de Produtos.xlsx]Produtos'!#REF!,MATCH(IF(ISNUMBER(FIND(" - ",H693)),LEFT(H693,FIND(" - ",H693)-1),H693),'https://kuryos.sharepoint.com/sites/ServidorKuryos/Shared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",H693)),LEFT(H693,FIND(" - ",H693)-1),H693),'https://kuryos.sharepoint.com/sites/ServidorKuryos/Shared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M693:M697</xm:sqref>
        </x14:conditionalFormatting>
        <x14:conditionalFormatting xmlns:xm="http://schemas.microsoft.com/office/excel/2006/main">
          <x14:cfRule type="expression" priority="82" id="{E9D29357-07D9-4670-922D-AFB3583C0F64}">
            <xm:f>AND(M699&gt;0,OR(M699&gt;IFERROR(INDEX('https://kuryos.sharepoint.com/sites/ServidorKuryos/Shared Documents/08. Logistica e Armazenamento/00. Logistica/[Controle de Produtos.xlsx]Produtos'!#REF!,MATCH(IF(ISNUMBER(FIND(" - ",H699)),LEFT(H699,FIND(" - ",H699)-1),H699),'https://kuryos.sharepoint.com/sites/ServidorKuryos/Shared Documents/08. Logistica e Armazenamento/00. Logistica/[Controle de Produtos.xlsx]Produtos'!#REF!,0)),0)*1.1,AND(M699&lt;IFERROR(INDEX('https://kuryos.sharepoint.com/sites/ServidorKuryos/Shared Documents/08. Logistica e Armazenamento/00. Logistica/[Controle de Produtos.xlsx]Produtos'!#REF!,MATCH(IF(ISNUMBER(FIND(" - ",H699)),LEFT(H699,FIND(" - ",H699)-1),H699),'https://kuryos.sharepoint.com/sites/ServidorKuryos/Shared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",H699)),LEFT(H699,FIND(" - ",H699)-1),H699),'https://kuryos.sharepoint.com/sites/ServidorKuryos/Shared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M699:M702</xm:sqref>
        </x14:conditionalFormatting>
        <x14:conditionalFormatting xmlns:xm="http://schemas.microsoft.com/office/excel/2006/main">
          <x14:cfRule type="expression" priority="81" id="{4CE06683-2FA1-4F36-8AEE-5CD34FE72E56}">
            <xm:f>AND(M711&gt;0,OR(M711&gt;IFERROR(INDEX('https://kuryos.sharepoint.com/sites/ServidorKuryos/Shared Documents/08. Logistica e Armazenamento/00. Logistica/[Controle de Produtos.xlsx]Produtos'!#REF!,MATCH(IF(ISNUMBER(FIND(" - ",H711)),LEFT(H711,FIND(" - ",H711)-1),H711),'https://kuryos.sharepoint.com/sites/ServidorKuryos/Shared Documents/08. Logistica e Armazenamento/00. Logistica/[Controle de Produtos.xlsx]Produtos'!#REF!,0)),0)*1.1,AND(M711&lt;IFERROR(INDEX('https://kuryos.sharepoint.com/sites/ServidorKuryos/Shared Documents/08. Logistica e Armazenamento/00. Logistica/[Controle de Produtos.xlsx]Produtos'!#REF!,MATCH(IF(ISNUMBER(FIND(" - ",H711)),LEFT(H711,FIND(" - ",H711)-1),H711),'https://kuryos.sharepoint.com/sites/ServidorKuryos/Shared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",H711)),LEFT(H711,FIND(" - ",H711)-1),H711),'https://kuryos.sharepoint.com/sites/ServidorKuryos/Shared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M711:M715</xm:sqref>
        </x14:conditionalFormatting>
        <x14:conditionalFormatting xmlns:xm="http://schemas.microsoft.com/office/excel/2006/main">
          <x14:cfRule type="expression" priority="80" id="{11B18A9D-6BC6-447F-87B5-E966D06F144F}">
            <xm:f>AND(M717&gt;0,OR(M717&gt;IFERROR(INDEX('https://kuryos.sharepoint.com/sites/ServidorKuryos/Shared Documents/08. Logistica e Armazenamento/00. Logistica/[Controle de Produtos.xlsx]Produtos'!#REF!,MATCH(IF(ISNUMBER(FIND(" - ",H717)),LEFT(H717,FIND(" - ",H717)-1),H717),'https://kuryos.sharepoint.com/sites/ServidorKuryos/Shared Documents/08. Logistica e Armazenamento/00. Logistica/[Controle de Produtos.xlsx]Produtos'!#REF!,0)),0)*1.1,AND(M717&lt;IFERROR(INDEX('https://kuryos.sharepoint.com/sites/ServidorKuryos/Shared Documents/08. Logistica e Armazenamento/00. Logistica/[Controle de Produtos.xlsx]Produtos'!#REF!,MATCH(IF(ISNUMBER(FIND(" - ",H717)),LEFT(H717,FIND(" - ",H717)-1),H717),'https://kuryos.sharepoint.com/sites/ServidorKuryos/Shared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",H717)),LEFT(H717,FIND(" - ",H717)-1),H717),'https://kuryos.sharepoint.com/sites/ServidorKuryos/Shared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M717:M719</xm:sqref>
        </x14:conditionalFormatting>
        <x14:conditionalFormatting xmlns:xm="http://schemas.microsoft.com/office/excel/2006/main">
          <x14:cfRule type="expression" priority="79" id="{EF6EB882-7A4A-4A12-8BA8-33FDDF7E7240}">
            <xm:f>AND(M801&gt;0,OR(M801&gt;IFERROR(INDEX('https://kuryos.sharepoint.com/sites/ServidorKuryos/Shared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Produtos.xlsx]Produtos'!#REF!,0)),0)*1.1,AND(M801&lt;IFERROR(INDEX('https://kuryos.sharepoint.com/sites/ServidorKuryos/Shared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M801:M805</xm:sqref>
        </x14:conditionalFormatting>
        <x14:conditionalFormatting xmlns:xm="http://schemas.microsoft.com/office/excel/2006/main">
          <x14:cfRule type="expression" priority="78" id="{90D233DE-6DDF-4924-A04A-0FC983B37B81}">
            <xm:f>AND(M807&gt;0,OR(M807&gt;IFERROR(INDEX('https://kuryos.sharepoint.com/sites/ServidorKuryos/Shared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Produtos.xlsx]Produtos'!#REF!,0)),0)*1.1,AND(M807&lt;IFERROR(INDEX('https://kuryos.sharepoint.com/sites/ServidorKuryos/Shared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M807:M810</xm:sqref>
        </x14:conditionalFormatting>
        <x14:conditionalFormatting xmlns:xm="http://schemas.microsoft.com/office/excel/2006/main">
          <x14:cfRule type="expression" priority="77" id="{FCC1FF23-9DF7-4EBE-85B3-EC0E23EA5130}">
            <xm:f>AND(M819&gt;0,OR(M819&gt;IFERROR(INDEX('https://kuryos.sharepoint.com/sites/ServidorKuryos/Shared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Produtos.xlsx]Produtos'!#REF!,0)),0)*1.1,AND(M819&lt;IFERROR(INDEX('https://kuryos.sharepoint.com/sites/ServidorKuryos/Shared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",H819)),LEFT(H819,FIND(" - ",H819)-1),H819),'https://kuryos.sharepoint.com/sites/ServidorKuryos/Shared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M819:M823</xm:sqref>
        </x14:conditionalFormatting>
        <x14:conditionalFormatting xmlns:xm="http://schemas.microsoft.com/office/excel/2006/main">
          <x14:cfRule type="expression" priority="76" id="{E9C8A79E-9984-472A-A19F-EC24D5D41585}">
            <xm:f>AND(J699&gt;0,OR(J699&gt;IFERROR(INDEX('https://kuryos.sharepoint.com/sites/ServidorKuryos/Shared Documents/08. Logistica e Armazenamento/00. Logistica/[Controle de Produtos.xlsx]Produtos'!#REF!,MATCH(IF(ISNUMBER(FIND(" - ",F699)),LEFT(F699,FIND(" - ",F699)-1),F699),'https://kuryos.sharepoint.com/sites/ServidorKuryos/Shared Documents/08. Logistica e Armazenamento/00. Logistica/[Controle de Produtos.xlsx]Produtos'!#REF!,0)),0)*1.1,AND(J699&lt;IFERROR(INDEX('https://kuryos.sharepoint.com/sites/ServidorKuryos/Shared Documents/08. Logistica e Armazenamento/00. Logistica/[Controle de Produtos.xlsx]Produtos'!#REF!,MATCH(IF(ISNUMBER(FIND(" - ",F699)),LEFT(F699,FIND(" - ",F699)-1),F699),'https://kuryos.sharepoint.com/sites/ServidorKuryos/Shared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",F699)),LEFT(F699,FIND(" - ",F699)-1),F699),'https://kuryos.sharepoint.com/sites/ServidorKuryos/Shared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J699:J702</xm:sqref>
        </x14:conditionalFormatting>
        <x14:conditionalFormatting xmlns:xm="http://schemas.microsoft.com/office/excel/2006/main">
          <x14:cfRule type="expression" priority="75" id="{F829B6F2-66A5-4C7C-973D-A683512D1870}">
            <xm:f>AND(J711&gt;0,OR(J711&gt;IFERROR(INDEX('https://kuryos.sharepoint.com/sites/ServidorKuryos/Shared Documents/08. Logistica e Armazenamento/00. Logistica/[Controle de Produtos.xlsx]Produtos'!#REF!,MATCH(IF(ISNUMBER(FIND(" - ",F711)),LEFT(F711,FIND(" - ",F711)-1),F711),'https://kuryos.sharepoint.com/sites/ServidorKuryos/Shared Documents/08. Logistica e Armazenamento/00. Logistica/[Controle de Produtos.xlsx]Produtos'!#REF!,0)),0)*1.1,AND(J711&lt;IFERROR(INDEX('https://kuryos.sharepoint.com/sites/ServidorKuryos/Shared Documents/08. Logistica e Armazenamento/00. Logistica/[Controle de Produtos.xlsx]Produtos'!#REF!,MATCH(IF(ISNUMBER(FIND(" - ",F711)),LEFT(F711,FIND(" - ",F711)-1),F711),'https://kuryos.sharepoint.com/sites/ServidorKuryos/Shared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",F711)),LEFT(F711,FIND(" - ",F711)-1),F711),'https://kuryos.sharepoint.com/sites/ServidorKuryos/Shared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J711:J715</xm:sqref>
        </x14:conditionalFormatting>
        <x14:conditionalFormatting xmlns:xm="http://schemas.microsoft.com/office/excel/2006/main">
          <x14:cfRule type="expression" priority="74" id="{BFA5E961-F857-4A12-8B60-A57AFF3C6C19}">
            <xm:f>AND(J717&gt;0,OR(J717&gt;IFERROR(INDEX('https://kuryos.sharepoint.com/sites/ServidorKuryos/Shared Documents/08. Logistica e Armazenamento/00. Logistica/[Controle de Produtos.xlsx]Produtos'!#REF!,MATCH(IF(ISNUMBER(FIND(" - ",F717)),LEFT(F717,FIND(" - ",F717)-1),F717),'https://kuryos.sharepoint.com/sites/ServidorKuryos/Shared Documents/08. Logistica e Armazenamento/00. Logistica/[Controle de Produtos.xlsx]Produtos'!#REF!,0)),0)*1.1,AND(J717&lt;IFERROR(INDEX('https://kuryos.sharepoint.com/sites/ServidorKuryos/Shared Documents/08. Logistica e Armazenamento/00. Logistica/[Controle de Produtos.xlsx]Produtos'!#REF!,MATCH(IF(ISNUMBER(FIND(" - ",F717)),LEFT(F717,FIND(" - ",F717)-1),F717),'https://kuryos.sharepoint.com/sites/ServidorKuryos/Shared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",F717)),LEFT(F717,FIND(" - ",F717)-1),F717),'https://kuryos.sharepoint.com/sites/ServidorKuryos/Shared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J717:J719</xm:sqref>
        </x14:conditionalFormatting>
        <x14:conditionalFormatting xmlns:xm="http://schemas.microsoft.com/office/excel/2006/main">
          <x14:cfRule type="expression" priority="5365" id="{72862C2C-349A-4244-BB46-8BB16AA41455}">
            <xm:f>AND(M463&gt;0,OR(M463&gt;IFERROR(INDEX('https://kuryos.sharepoint.com/sites/ServidorKuryos/Shared Documents/08. Logistica e Armazenamento/00. Logistica/[Controle de Produtos.xlsx]Produtos'!#REF!,MATCH(IF(ISNUMBER(FIND(" - ",H464)),LEFT(H464,FIND(" - ",H464)-1),H464),'https://kuryos.sharepoint.com/sites/ServidorKuryos/Shared Documents/08. Logistica e Armazenamento/00. Logistica/[Controle de Produtos.xlsx]Produtos'!#REF!,0)),0)*1.1,AND(M463&lt;IFERROR(INDEX('https://kuryos.sharepoint.com/sites/ServidorKuryos/Shared Documents/08. Logistica e Armazenamento/00. Logistica/[Controle de Produtos.xlsx]Produtos'!#REF!,MATCH(IF(ISNUMBER(FIND(" - ",H464)),LEFT(H464,FIND(" - ",H464)-1),H464),'https://kuryos.sharepoint.com/sites/ServidorKuryos/Shared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",H464)),LEFT(H464,FIND(" - ",H464)-1),H464),'https://kuryos.sharepoint.com/sites/ServidorKuryos/Shared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M463</xm:sqref>
        </x14:conditionalFormatting>
        <x14:conditionalFormatting xmlns:xm="http://schemas.microsoft.com/office/excel/2006/main">
          <x14:cfRule type="expression" priority="5367" id="{E5FA7808-5BAE-4DCB-9700-27DEED8213BC}">
            <xm:f>AND(M446&gt;0,OR(M446&gt;IFERROR(INDEX('https://kuryos.sharepoint.com/sites/ServidorKuryos/Shared Documents/08. Logistica e Armazenamento/00. Logistica/[Controle de Produtos.xlsx]Produtos'!#REF!,MATCH(IF(ISNUMBER(FIND(" - ",H445)),LEFT(H445,FIND(" - ",H445)-1),H445),'https://kuryos.sharepoint.com/sites/ServidorKuryos/Shared Documents/08. Logistica e Armazenamento/00. Logistica/[Controle de Produtos.xlsx]Produtos'!#REF!,0)),0)*1.1,AND(M446&lt;IFERROR(INDEX('https://kuryos.sharepoint.com/sites/ServidorKuryos/Shared Documents/08. Logistica e Armazenamento/00. Logistica/[Controle de Produtos.xlsx]Produtos'!#REF!,MATCH(IF(ISNUMBER(FIND(" - ",H445)),LEFT(H445,FIND(" - ",H445)-1),H445),'https://kuryos.sharepoint.com/sites/ServidorKuryos/Shared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",H445)),LEFT(H445,FIND(" - ",H445)-1),H445),'https://kuryos.sharepoint.com/sites/ServidorKuryos/Shared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M644 M446:P446 M662 M698 M680</xm:sqref>
        </x14:conditionalFormatting>
        <x14:conditionalFormatting xmlns:xm="http://schemas.microsoft.com/office/excel/2006/main">
          <x14:cfRule type="expression" priority="5378" id="{B9179D76-0D13-4AD0-9A3E-F6C3EE01E4E3}">
            <xm:f>AND(M469&gt;0,OR(M469&gt;IFERROR(INDEX('https://kuryos.sharepoint.com/sites/ServidorKuryos/Shared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Produtos.xlsx]Produtos'!#REF!,0)),0)*1.1,AND(M469&lt;IFERROR(INDEX('https://kuryos.sharepoint.com/sites/ServidorKuryos/Shared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",H379)),LEFT(H379,FIND(" - ",H379)-1),H379),'https://kuryos.sharepoint.com/sites/ServidorKuryos/Shared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M469:M473</xm:sqref>
        </x14:conditionalFormatting>
        <x14:conditionalFormatting xmlns:xm="http://schemas.microsoft.com/office/excel/2006/main">
          <x14:cfRule type="expression" priority="73" id="{5FABB554-12E9-403D-B684-C3E2D55F2602}">
            <xm:f>AND(J853&gt;0,OR(J853&gt;IFERROR(INDEX('https://kuryos.sharepoint.com/sites/ServidorKuryos/Shared Documents/08. Logistica e Armazenamento/00. Logistica/[Controle de Produtos.xlsx]Produtos'!#REF!,MATCH(IF(ISNUMBER(FIND(" - ",F853)),LEFT(F853,FIND(" - ",F853)-1),F853),'https://kuryos.sharepoint.com/sites/ServidorKuryos/Shared Documents/08. Logistica e Armazenamento/00. Logistica/[Controle de Produtos.xlsx]Produtos'!#REF!,0)),0)*1.1,AND(J853&lt;IFERROR(INDEX('https://kuryos.sharepoint.com/sites/ServidorKuryos/Shared Documents/08. Logistica e Armazenamento/00. Logistica/[Controle de Produtos.xlsx]Produtos'!#REF!,MATCH(IF(ISNUMBER(FIND(" - ",F853)),LEFT(F853,FIND(" - ",F853)-1),F853),'https://kuryos.sharepoint.com/sites/ServidorKuryos/Shared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",F853)),LEFT(F853,FIND(" - ",F853)-1),F853),'https://kuryos.sharepoint.com/sites/ServidorKuryos/Shared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J865:K869 J853:L864 J870:L870 J872:L887 J871:K871</xm:sqref>
        </x14:conditionalFormatting>
        <x14:conditionalFormatting xmlns:xm="http://schemas.microsoft.com/office/excel/2006/main">
          <x14:cfRule type="expression" priority="72" id="{B9951A22-58E8-4A9B-A42B-F19290F367B5}">
            <xm:f>AND(M853&gt;0,OR(M853&gt;IFERROR(INDEX('https://kuryos.sharepoint.com/sites/ServidorKuryos/Shared Documents/08. Logistica e Armazenamento/00. Logistica/[Controle de Produtos.xlsx]Produtos'!#REF!,MATCH(IF(ISNUMBER(FIND(" - ",H853)),LEFT(H853,FIND(" - ",H853)-1),H853),'https://kuryos.sharepoint.com/sites/ServidorKuryos/Shared Documents/08. Logistica e Armazenamento/00. Logistica/[Controle de Produtos.xlsx]Produtos'!#REF!,0)),0)*1.1,AND(M853&lt;IFERROR(INDEX('https://kuryos.sharepoint.com/sites/ServidorKuryos/Shared Documents/08. Logistica e Armazenamento/00. Logistica/[Controle de Produtos.xlsx]Produtos'!#REF!,MATCH(IF(ISNUMBER(FIND(" - ",H853)),LEFT(H853,FIND(" - ",H853)-1),H853),'https://kuryos.sharepoint.com/sites/ServidorKuryos/Shared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",H853)),LEFT(H853,FIND(" - ",H853)-1),H853),'https://kuryos.sharepoint.com/sites/ServidorKuryos/Shared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M853:M887</xm:sqref>
        </x14:conditionalFormatting>
        <x14:conditionalFormatting xmlns:xm="http://schemas.microsoft.com/office/excel/2006/main">
          <x14:cfRule type="expression" priority="71" id="{AB97F32B-5D00-42A5-8E1D-8B958BB50F83}">
            <xm:f>AND(J889&gt;0,OR(J889&gt;IFERROR(INDEX('https://kuryos.sharepoint.com/sites/ServidorKuryos/Shared Documents/08. Logistica e Armazenamento/00. Logistica/[Controle de Produtos.xlsx]Produtos'!#REF!,MATCH(IF(ISNUMBER(FIND(" - ",F889)),LEFT(F889,FIND(" - ",F889)-1),F889),'https://kuryos.sharepoint.com/sites/ServidorKuryos/Shared Documents/08. Logistica e Armazenamento/00. Logistica/[Controle de Produtos.xlsx]Produtos'!#REF!,0)),0)*1.1,AND(J889&lt;IFERROR(INDEX('https://kuryos.sharepoint.com/sites/ServidorKuryos/Shared Documents/08. Logistica e Armazenamento/00. Logistica/[Controle de Produtos.xlsx]Produtos'!#REF!,MATCH(IF(ISNUMBER(FIND(" - ",F889)),LEFT(F889,FIND(" - ",F889)-1),F889),'https://kuryos.sharepoint.com/sites/ServidorKuryos/Shared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",F889)),LEFT(F889,FIND(" - ",F889)-1),F889),'https://kuryos.sharepoint.com/sites/ServidorKuryos/Shared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J890:L890 K896:L896 J889:K889 J891:J895 J901:L905 L893:L895 J897:J900 L897:L900</xm:sqref>
        </x14:conditionalFormatting>
        <x14:conditionalFormatting xmlns:xm="http://schemas.microsoft.com/office/excel/2006/main">
          <x14:cfRule type="expression" priority="70" id="{FE3CB5ED-76A3-4353-807E-BA3AE070FD0E}">
            <xm:f>AND(M889&gt;0,OR(M889&gt;IFERROR(INDEX('https://kuryos.sharepoint.com/sites/ServidorKuryos/Shared Documents/08. Logistica e Armazenamento/00. Logistica/[Controle de Produtos.xlsx]Produtos'!#REF!,MATCH(IF(ISNUMBER(FIND(" - ",H889)),LEFT(H889,FIND(" - ",H889)-1),H889),'https://kuryos.sharepoint.com/sites/ServidorKuryos/Shared Documents/08. Logistica e Armazenamento/00. Logistica/[Controle de Produtos.xlsx]Produtos'!#REF!,0)),0)*1.1,AND(M889&lt;IFERROR(INDEX('https://kuryos.sharepoint.com/sites/ServidorKuryos/Shared Documents/08. Logistica e Armazenamento/00. Logistica/[Controle de Produtos.xlsx]Produtos'!#REF!,MATCH(IF(ISNUMBER(FIND(" - ",H889)),LEFT(H889,FIND(" - ",H889)-1),H889),'https://kuryos.sharepoint.com/sites/ServidorKuryos/Shared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",H889)),LEFT(H889,FIND(" - ",H889)-1),H889),'https://kuryos.sharepoint.com/sites/ServidorKuryos/Shared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M889:M905</xm:sqref>
        </x14:conditionalFormatting>
        <x14:conditionalFormatting xmlns:xm="http://schemas.microsoft.com/office/excel/2006/main">
          <x14:cfRule type="expression" priority="69" id="{A8AFEC85-0DC7-4A18-A6B0-F0D0AC6FAAD5}">
            <xm:f>AND(J896&gt;0,OR(J896&gt;IFERROR(INDEX('https://kuryos.sharepoint.com/sites/ServidorKuryos/Shared Documents/08. Logistica e Armazenamento/00. Logistica/[Controle de Produtos.xlsx]Produtos'!#REF!,MATCH(IF(ISNUMBER(FIND(" - ",F896)),LEFT(F896,FIND(" - ",F896)-1),F896),'https://kuryos.sharepoint.com/sites/ServidorKuryos/Shared Documents/08. Logistica e Armazenamento/00. Logistica/[Controle de Produtos.xlsx]Produtos'!#REF!,0)),0)*1.1,AND(J896&lt;IFERROR(INDEX('https://kuryos.sharepoint.com/sites/ServidorKuryos/Shared Documents/08. Logistica e Armazenamento/00. Logistica/[Controle de Produtos.xlsx]Produtos'!#REF!,MATCH(IF(ISNUMBER(FIND(" - ",F896)),LEFT(F896,FIND(" - ",F896)-1),F896),'https://kuryos.sharepoint.com/sites/ServidorKuryos/Shared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",F896)),LEFT(F896,FIND(" - ",F896)-1),F896),'https://kuryos.sharepoint.com/sites/ServidorKuryos/Shared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J896</xm:sqref>
        </x14:conditionalFormatting>
        <x14:conditionalFormatting xmlns:xm="http://schemas.microsoft.com/office/excel/2006/main">
          <x14:cfRule type="expression" priority="68" id="{9D444730-2E49-491E-9A54-F1680F2F7450}">
            <xm:f>AND(K891&gt;0,OR(K891&gt;IFERROR(INDEX('https://kuryos.sharepoint.com/sites/ServidorKuryos/Shared Documents/08. Logistica e Armazenamento/00. Logistica/[Controle de Produtos.xlsx]Produtos'!#REF!,MATCH(IF(ISNUMBER(FIND(" - ",G891)),LEFT(G891,FIND(" - ",G891)-1),G891),'https://kuryos.sharepoint.com/sites/ServidorKuryos/Shared Documents/08. Logistica e Armazenamento/00. Logistica/[Controle de Produtos.xlsx]Produtos'!#REF!,0)),0)*1.1,AND(K891&lt;IFERROR(INDEX('https://kuryos.sharepoint.com/sites/ServidorKuryos/Shared Documents/08. Logistica e Armazenamento/00. Logistica/[Controle de Produtos.xlsx]Produtos'!#REF!,MATCH(IF(ISNUMBER(FIND(" - ",G891)),LEFT(G891,FIND(" - ",G891)-1),G891),'https://kuryos.sharepoint.com/sites/ServidorKuryos/Shared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",G891)),LEFT(G891,FIND(" - ",G891)-1),G891),'https://kuryos.sharepoint.com/sites/ServidorKuryos/Shared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K891:L891 L892 K892:K895</xm:sqref>
        </x14:conditionalFormatting>
        <x14:conditionalFormatting xmlns:xm="http://schemas.microsoft.com/office/excel/2006/main">
          <x14:cfRule type="expression" priority="67" id="{E230AF90-D8BD-4D01-A1D1-4FA2B16873CC}">
            <xm:f>AND(J907&gt;0,OR(J907&gt;IFERROR(INDEX('https://kuryos.sharepoint.com/sites/ServidorKuryos/Shared Documents/08. Logistica e Armazenamento/00. Logistica/[Controle de Produtos.xlsx]Produtos'!#REF!,MATCH(IF(ISNUMBER(FIND(" - ",F907)),LEFT(F907,FIND(" - ",F907)-1),F907),'https://kuryos.sharepoint.com/sites/ServidorKuryos/Shared Documents/08. Logistica e Armazenamento/00. Logistica/[Controle de Produtos.xlsx]Produtos'!#REF!,0)),0)*1.1,AND(J907&lt;IFERROR(INDEX('https://kuryos.sharepoint.com/sites/ServidorKuryos/Shared Documents/08. Logistica e Armazenamento/00. Logistica/[Controle de Produtos.xlsx]Produtos'!#REF!,MATCH(IF(ISNUMBER(FIND(" - ",F907)),LEFT(F907,FIND(" - ",F907)-1),F907),'https://kuryos.sharepoint.com/sites/ServidorKuryos/Shared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",F907)),LEFT(F907,FIND(" - ",F907)-1),F907),'https://kuryos.sharepoint.com/sites/ServidorKuryos/Shared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K914:L914 J907:L908 J909:J913 J919:L923 L911:L913 J915:J918 L915:L918</xm:sqref>
        </x14:conditionalFormatting>
        <x14:conditionalFormatting xmlns:xm="http://schemas.microsoft.com/office/excel/2006/main">
          <x14:cfRule type="expression" priority="66" id="{F2F6FF73-953A-4F3C-92EC-161BDB2F03AA}">
            <xm:f>AND(M907&gt;0,OR(M907&gt;IFERROR(INDEX('https://kuryos.sharepoint.com/sites/ServidorKuryos/Shared Documents/08. Logistica e Armazenamento/00. Logistica/[Controle de Produtos.xlsx]Produtos'!#REF!,MATCH(IF(ISNUMBER(FIND(" - ",H907)),LEFT(H907,FIND(" - ",H907)-1),H907),'https://kuryos.sharepoint.com/sites/ServidorKuryos/Shared Documents/08. Logistica e Armazenamento/00. Logistica/[Controle de Produtos.xlsx]Produtos'!#REF!,0)),0)*1.1,AND(M907&lt;IFERROR(INDEX('https://kuryos.sharepoint.com/sites/ServidorKuryos/Shared Documents/08. Logistica e Armazenamento/00. Logistica/[Controle de Produtos.xlsx]Produtos'!#REF!,MATCH(IF(ISNUMBER(FIND(" - ",H907)),LEFT(H907,FIND(" - ",H907)-1),H907),'https://kuryos.sharepoint.com/sites/ServidorKuryos/Shared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",H907)),LEFT(H907,FIND(" - ",H907)-1),H907),'https://kuryos.sharepoint.com/sites/ServidorKuryos/Shared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M907:M923</xm:sqref>
        </x14:conditionalFormatting>
        <x14:conditionalFormatting xmlns:xm="http://schemas.microsoft.com/office/excel/2006/main">
          <x14:cfRule type="expression" priority="65" id="{B1C291C9-4482-4636-AC6B-7E58DE263794}">
            <xm:f>AND(J914&gt;0,OR(J914&gt;IFERROR(INDEX('https://kuryos.sharepoint.com/sites/ServidorKuryos/Shared Documents/08. Logistica e Armazenamento/00. Logistica/[Controle de Produtos.xlsx]Produtos'!#REF!,MATCH(IF(ISNUMBER(FIND(" - ",F914)),LEFT(F914,FIND(" - ",F914)-1),F914),'https://kuryos.sharepoint.com/sites/ServidorKuryos/Shared Documents/08. Logistica e Armazenamento/00. Logistica/[Controle de Produtos.xlsx]Produtos'!#REF!,0)),0)*1.1,AND(J914&lt;IFERROR(INDEX('https://kuryos.sharepoint.com/sites/ServidorKuryos/Shared Documents/08. Logistica e Armazenamento/00. Logistica/[Controle de Produtos.xlsx]Produtos'!#REF!,MATCH(IF(ISNUMBER(FIND(" - ",F914)),LEFT(F914,FIND(" - ",F914)-1),F914),'https://kuryos.sharepoint.com/sites/ServidorKuryos/Shared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",F914)),LEFT(F914,FIND(" - ",F914)-1),F914),'https://kuryos.sharepoint.com/sites/ServidorKuryos/Shared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J914</xm:sqref>
        </x14:conditionalFormatting>
        <x14:conditionalFormatting xmlns:xm="http://schemas.microsoft.com/office/excel/2006/main">
          <x14:cfRule type="expression" priority="64" id="{D89BF76B-11D4-456A-B132-696C7507BEEC}">
            <xm:f>AND(L909&gt;0,OR(L909&gt;IFERROR(INDEX('https://kuryos.sharepoint.com/sites/ServidorKuryos/Shared Documents/08. Logistica e Armazenamento/00. Logistica/[Controle de Produtos.xlsx]Produtos'!#REF!,MATCH(IF(ISNUMBER(FIND(" - ",H909)),LEFT(H909,FIND(" - ",H909)-1),H909),'https://kuryos.sharepoint.com/sites/ServidorKuryos/Shared Documents/08. Logistica e Armazenamento/00. Logistica/[Controle de Produtos.xlsx]Produtos'!#REF!,0)),0)*1.1,AND(L909&lt;IFERROR(INDEX('https://kuryos.sharepoint.com/sites/ServidorKuryos/Shared Documents/08. Logistica e Armazenamento/00. Logistica/[Controle de Produtos.xlsx]Produtos'!#REF!,MATCH(IF(ISNUMBER(FIND(" - ",H909)),LEFT(H909,FIND(" - ",H909)-1),H909),'https://kuryos.sharepoint.com/sites/ServidorKuryos/Shared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",H909)),LEFT(H909,FIND(" - ",H909)-1),H909),'https://kuryos.sharepoint.com/sites/ServidorKuryos/Shared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L909:L910</xm:sqref>
        </x14:conditionalFormatting>
        <x14:conditionalFormatting xmlns:xm="http://schemas.microsoft.com/office/excel/2006/main">
          <x14:cfRule type="expression" priority="63" id="{4496A137-EBF1-4B7C-903A-0F68DFBCE2DC}">
            <xm:f>AND(J645&gt;0,OR(J645&gt;IFERROR(INDEX('https://kuryos.sharepoint.com/sites/ServidorKuryos/Shared Documents/08. Logistica e Armazenamento/00. Logistica/[Controle de Produtos.xlsx]Produtos'!#REF!,MATCH(IF(ISNUMBER(FIND(" - ",F645)),LEFT(F645,FIND(" - ",F645)-1),F645),'https://kuryos.sharepoint.com/sites/ServidorKuryos/Shared Documents/08. Logistica e Armazenamento/00. Logistica/[Controle de Produtos.xlsx]Produtos'!#REF!,0)),0)*1.1,AND(J645&lt;IFERROR(INDEX('https://kuryos.sharepoint.com/sites/ServidorKuryos/Shared Documents/08. Logistica e Armazenamento/00. Logistica/[Controle de Produtos.xlsx]Produtos'!#REF!,MATCH(IF(ISNUMBER(FIND(" - ",F645)),LEFT(F645,FIND(" - ",F645)-1),F645),'https://kuryos.sharepoint.com/sites/ServidorKuryos/Shared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",F645)),LEFT(F645,FIND(" - ",F645)-1),F645),'https://kuryos.sharepoint.com/sites/ServidorKuryos/Shared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J645:J648</xm:sqref>
        </x14:conditionalFormatting>
        <x14:conditionalFormatting xmlns:xm="http://schemas.microsoft.com/office/excel/2006/main">
          <x14:cfRule type="expression" priority="62" id="{B3890299-B67A-4F4F-BE53-7850C97626C0}">
            <xm:f>AND(J925&gt;0,OR(J925&gt;IFERROR(INDEX('https://kuryos.sharepoint.com/sites/ServidorKuryos/Shared Documents/08. Logistica e Armazenamento/00. Logistica/[Controle de Produtos.xlsx]Produtos'!#REF!,MATCH(IF(ISNUMBER(FIND(" - ",F925)),LEFT(F925,FIND(" - ",F925)-1),F925),'https://kuryos.sharepoint.com/sites/ServidorKuryos/Shared Documents/08. Logistica e Armazenamento/00. Logistica/[Controle de Produtos.xlsx]Produtos'!#REF!,0)),0)*1.1,AND(J925&lt;IFERROR(INDEX('https://kuryos.sharepoint.com/sites/ServidorKuryos/Shared Documents/08. Logistica e Armazenamento/00. Logistica/[Controle de Produtos.xlsx]Produtos'!#REF!,MATCH(IF(ISNUMBER(FIND(" - ",F925)),LEFT(F925,FIND(" - ",F925)-1),F925),'https://kuryos.sharepoint.com/sites/ServidorKuryos/Shared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",F925)),LEFT(F925,FIND(" - ",F925)-1),F925),'https://kuryos.sharepoint.com/sites/ServidorKuryos/Shared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J925:L926 K932:L932 J927:J931 L929:L931 J933:L941</xm:sqref>
        </x14:conditionalFormatting>
        <x14:conditionalFormatting xmlns:xm="http://schemas.microsoft.com/office/excel/2006/main">
          <x14:cfRule type="expression" priority="61" id="{D6CA86C0-A359-47C0-B769-DD483E4C146C}">
            <xm:f>AND(M925&gt;0,OR(M925&gt;IFERROR(INDEX('https://kuryos.sharepoint.com/sites/ServidorKuryos/Shared Documents/08. Logistica e Armazenamento/00. Logistica/[Controle de Produtos.xlsx]Produtos'!#REF!,MATCH(IF(ISNUMBER(FIND(" - ",H925)),LEFT(H925,FIND(" - ",H925)-1),H925),'https://kuryos.sharepoint.com/sites/ServidorKuryos/Shared Documents/08. Logistica e Armazenamento/00. Logistica/[Controle de Produtos.xlsx]Produtos'!#REF!,0)),0)*1.1,AND(M925&lt;IFERROR(INDEX('https://kuryos.sharepoint.com/sites/ServidorKuryos/Shared Documents/08. Logistica e Armazenamento/00. Logistica/[Controle de Produtos.xlsx]Produtos'!#REF!,MATCH(IF(ISNUMBER(FIND(" - ",H925)),LEFT(H925,FIND(" - ",H925)-1),H925),'https://kuryos.sharepoint.com/sites/ServidorKuryos/Shared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",H925)),LEFT(H925,FIND(" - ",H925)-1),H925),'https://kuryos.sharepoint.com/sites/ServidorKuryos/Shared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M925:M941</xm:sqref>
        </x14:conditionalFormatting>
        <x14:conditionalFormatting xmlns:xm="http://schemas.microsoft.com/office/excel/2006/main">
          <x14:cfRule type="expression" priority="60" id="{4F7852B7-EF68-40D8-898A-C6697E288640}">
            <xm:f>AND(J932&gt;0,OR(J932&gt;IFERROR(INDEX('https://kuryos.sharepoint.com/sites/ServidorKuryos/Shared Documents/08. Logistica e Armazenamento/00. Logistica/[Controle de Produtos.xlsx]Produtos'!#REF!,MATCH(IF(ISNUMBER(FIND(" - ",F932)),LEFT(F932,FIND(" - ",F932)-1),F932),'https://kuryos.sharepoint.com/sites/ServidorKuryos/Shared Documents/08. Logistica e Armazenamento/00. Logistica/[Controle de Produtos.xlsx]Produtos'!#REF!,0)),0)*1.1,AND(J932&lt;IFERROR(INDEX('https://kuryos.sharepoint.com/sites/ServidorKuryos/Shared Documents/08. Logistica e Armazenamento/00. Logistica/[Controle de Produtos.xlsx]Produtos'!#REF!,MATCH(IF(ISNUMBER(FIND(" - ",F932)),LEFT(F932,FIND(" - ",F932)-1),F932),'https://kuryos.sharepoint.com/sites/ServidorKuryos/Shared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",F932)),LEFT(F932,FIND(" - ",F932)-1),F932),'https://kuryos.sharepoint.com/sites/ServidorKuryos/Shared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J932</xm:sqref>
        </x14:conditionalFormatting>
        <x14:conditionalFormatting xmlns:xm="http://schemas.microsoft.com/office/excel/2006/main">
          <x14:cfRule type="expression" priority="59" id="{88004B7A-4F24-452C-9902-F4DEDB96A674}">
            <xm:f>AND(K927&gt;0,OR(K927&gt;IFERROR(INDEX('https://kuryos.sharepoint.com/sites/ServidorKuryos/Shared Documents/08. Logistica e Armazenamento/00. Logistica/[Controle de Produtos.xlsx]Produtos'!#REF!,MATCH(IF(ISNUMBER(FIND(" - ",G927)),LEFT(G927,FIND(" - ",G927)-1),G927),'https://kuryos.sharepoint.com/sites/ServidorKuryos/Shared Documents/08. Logistica e Armazenamento/00. Logistica/[Controle de Produtos.xlsx]Produtos'!#REF!,0)),0)*1.1,AND(K927&lt;IFERROR(INDEX('https://kuryos.sharepoint.com/sites/ServidorKuryos/Shared Documents/08. Logistica e Armazenamento/00. Logistica/[Controle de Produtos.xlsx]Produtos'!#REF!,MATCH(IF(ISNUMBER(FIND(" - ",G927)),LEFT(G927,FIND(" - ",G927)-1),G927),'https://kuryos.sharepoint.com/sites/ServidorKuryos/Shared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",G927)),LEFT(G927,FIND(" - ",G927)-1),G927),'https://kuryos.sharepoint.com/sites/ServidorKuryos/Shared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K927:L927 L928 K928:K931</xm:sqref>
        </x14:conditionalFormatting>
        <x14:conditionalFormatting xmlns:xm="http://schemas.microsoft.com/office/excel/2006/main">
          <x14:cfRule type="expression" priority="58" id="{851437C9-8ABF-4189-A246-688D03BE47CF}">
            <xm:f>AND(J943&gt;0,OR(J943&gt;IFERROR(INDEX('https://kuryos.sharepoint.com/sites/ServidorKuryos/Shared Documents/08. Logistica e Armazenamento/00. Logistica/[Controle de Produtos.xlsx]Produtos'!#REF!,MATCH(IF(ISNUMBER(FIND(" - ",F943)),LEFT(F943,FIND(" - ",F943)-1),F943),'https://kuryos.sharepoint.com/sites/ServidorKuryos/Shared Documents/08. Logistica e Armazenamento/00. Logistica/[Controle de Produtos.xlsx]Produtos'!#REF!,0)),0)*1.1,AND(J943&lt;IFERROR(INDEX('https://kuryos.sharepoint.com/sites/ServidorKuryos/Shared Documents/08. Logistica e Armazenamento/00. Logistica/[Controle de Produtos.xlsx]Produtos'!#REF!,MATCH(IF(ISNUMBER(FIND(" - ",F943)),LEFT(F943,FIND(" - ",F943)-1),F943),'https://kuryos.sharepoint.com/sites/ServidorKuryos/Shared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",F943)),LEFT(F943,FIND(" - ",F943)-1),F943),'https://kuryos.sharepoint.com/sites/ServidorKuryos/Shared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K950:L950 J943:L944 J945:J949 L947:L949 J951:L959</xm:sqref>
        </x14:conditionalFormatting>
        <x14:conditionalFormatting xmlns:xm="http://schemas.microsoft.com/office/excel/2006/main">
          <x14:cfRule type="expression" priority="57" id="{30D183EC-8795-4926-8D70-D52070D0D0FA}">
            <xm:f>AND(M943&gt;0,OR(M943&gt;IFERROR(INDEX('https://kuryos.sharepoint.com/sites/ServidorKuryos/Shared Documents/08. Logistica e Armazenamento/00. Logistica/[Controle de Produtos.xlsx]Produtos'!#REF!,MATCH(IF(ISNUMBER(FIND(" - ",H943)),LEFT(H943,FIND(" - ",H943)-1),H943),'https://kuryos.sharepoint.com/sites/ServidorKuryos/Shared Documents/08. Logistica e Armazenamento/00. Logistica/[Controle de Produtos.xlsx]Produtos'!#REF!,0)),0)*1.1,AND(M943&lt;IFERROR(INDEX('https://kuryos.sharepoint.com/sites/ServidorKuryos/Shared Documents/08. Logistica e Armazenamento/00. Logistica/[Controle de Produtos.xlsx]Produtos'!#REF!,MATCH(IF(ISNUMBER(FIND(" - ",H943)),LEFT(H943,FIND(" - ",H943)-1),H943),'https://kuryos.sharepoint.com/sites/ServidorKuryos/Shared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",H943)),LEFT(H943,FIND(" - ",H943)-1),H943),'https://kuryos.sharepoint.com/sites/ServidorKuryos/Shared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M943:M959</xm:sqref>
        </x14:conditionalFormatting>
        <x14:conditionalFormatting xmlns:xm="http://schemas.microsoft.com/office/excel/2006/main">
          <x14:cfRule type="expression" priority="56" id="{20EC7752-2765-443A-A4BB-90ED3D71165C}">
            <xm:f>AND(J950&gt;0,OR(J950&gt;IFERROR(INDEX('https://kuryos.sharepoint.com/sites/ServidorKuryos/Shared Documents/08. Logistica e Armazenamento/00. Logistica/[Controle de Produtos.xlsx]Produtos'!#REF!,MATCH(IF(ISNUMBER(FIND(" - ",F950)),LEFT(F950,FIND(" - ",F950)-1),F950),'https://kuryos.sharepoint.com/sites/ServidorKuryos/Shared Documents/08. Logistica e Armazenamento/00. Logistica/[Controle de Produtos.xlsx]Produtos'!#REF!,0)),0)*1.1,AND(J950&lt;IFERROR(INDEX('https://kuryos.sharepoint.com/sites/ServidorKuryos/Shared Documents/08. Logistica e Armazenamento/00. Logistica/[Controle de Produtos.xlsx]Produtos'!#REF!,MATCH(IF(ISNUMBER(FIND(" - ",F950)),LEFT(F950,FIND(" - ",F950)-1),F950),'https://kuryos.sharepoint.com/sites/ServidorKuryos/Shared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",F950)),LEFT(F950,FIND(" - ",F950)-1),F950),'https://kuryos.sharepoint.com/sites/ServidorKuryos/Shared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J950</xm:sqref>
        </x14:conditionalFormatting>
        <x14:conditionalFormatting xmlns:xm="http://schemas.microsoft.com/office/excel/2006/main">
          <x14:cfRule type="expression" priority="55" id="{AEF1F9B6-D74B-4313-8A1B-860EDB23022D}">
            <xm:f>AND(K945&gt;0,OR(K945&gt;IFERROR(INDEX('https://kuryos.sharepoint.com/sites/ServidorKuryos/Shared Documents/08. Logistica e Armazenamento/00. Logistica/[Controle de Produtos.xlsx]Produtos'!#REF!,MATCH(IF(ISNUMBER(FIND(" - ",G945)),LEFT(G945,FIND(" - ",G945)-1),G945),'https://kuryos.sharepoint.com/sites/ServidorKuryos/Shared Documents/08. Logistica e Armazenamento/00. Logistica/[Controle de Produtos.xlsx]Produtos'!#REF!,0)),0)*1.1,AND(K945&lt;IFERROR(INDEX('https://kuryos.sharepoint.com/sites/ServidorKuryos/Shared Documents/08. Logistica e Armazenamento/00. Logistica/[Controle de Produtos.xlsx]Produtos'!#REF!,MATCH(IF(ISNUMBER(FIND(" - ",G945)),LEFT(G945,FIND(" - ",G945)-1),G945),'https://kuryos.sharepoint.com/sites/ServidorKuryos/Shared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",G945)),LEFT(G945,FIND(" - ",G945)-1),G945),'https://kuryos.sharepoint.com/sites/ServidorKuryos/Shared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K945:L945 L946 K946:K949</xm:sqref>
        </x14:conditionalFormatting>
        <x14:conditionalFormatting xmlns:xm="http://schemas.microsoft.com/office/excel/2006/main">
          <x14:cfRule type="expression" priority="54" id="{AB051BAD-8F28-4C40-B912-63055BB2AA6D}">
            <xm:f>AND(J771&gt;0,OR(J771&gt;IFERROR(INDEX('https://kuryos.sharepoint.com/sites/ServidorKuryos/Shared Documents/08. Logistica e Armazenamento/00. Logistica/[Controle de Produtos.xlsx]Produtos'!#REF!,MATCH(IF(ISNUMBER(FIND(" - ",F771)),LEFT(F771,FIND(" - ",F771)-1),F771),'https://kuryos.sharepoint.com/sites/ServidorKuryos/Shared Documents/08. Logistica e Armazenamento/00. Logistica/[Controle de Produtos.xlsx]Produtos'!#REF!,0)),0)*1.1,AND(J771&lt;IFERROR(INDEX('https://kuryos.sharepoint.com/sites/ServidorKuryos/Shared Documents/08. Logistica e Armazenamento/00. Logistica/[Controle de Produtos.xlsx]Produtos'!#REF!,MATCH(IF(ISNUMBER(FIND(" - ",F771)),LEFT(F771,FIND(" - ",F771)-1),F771),'https://kuryos.sharepoint.com/sites/ServidorKuryos/Shared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",F771)),LEFT(F771,FIND(" - ",F771)-1),F771),'https://kuryos.sharepoint.com/sites/ServidorKuryos/Shared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J771:M774</xm:sqref>
        </x14:conditionalFormatting>
        <x14:conditionalFormatting xmlns:xm="http://schemas.microsoft.com/office/excel/2006/main">
          <x14:cfRule type="expression" priority="53" id="{E17EC3E9-A688-4A83-8F59-BD2735EAD28B}">
            <xm:f>AND(N771&gt;0,OR(N771&gt;IFERROR(INDEX('https://kuryos.sharepoint.com/sites/ServidorKuryos/Shared Documents/08. Logistica e Armazenamento/00. Logistica/[Controle de Produtos.xlsx]Produtos'!#REF!,MATCH(IF(ISNUMBER(FIND(" - ",J771)),LEFT(J771,FIND(" - ",J771)-1),J771),'https://kuryos.sharepoint.com/sites/ServidorKuryos/Shared Documents/08. Logistica e Armazenamento/00. Logistica/[Controle de Produtos.xlsx]Produtos'!#REF!,0)),0)*1.1,AND(N771&lt;IFERROR(INDEX('https://kuryos.sharepoint.com/sites/ServidorKuryos/Shared Documents/08. Logistica e Armazenamento/00. Logistica/[Controle de Produtos.xlsx]Produtos'!#REF!,MATCH(IF(ISNUMBER(FIND(" - ",J771)),LEFT(J771,FIND(" - ",J771)-1),J771),'https://kuryos.sharepoint.com/sites/ServidorKuryos/Shared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",J771)),LEFT(J771,FIND(" - ",J771)-1),J771),'https://kuryos.sharepoint.com/sites/ServidorKuryos/Shared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N771:P774</xm:sqref>
        </x14:conditionalFormatting>
        <x14:conditionalFormatting xmlns:xm="http://schemas.microsoft.com/office/excel/2006/main">
          <x14:cfRule type="expression" priority="52" id="{57F4902C-466E-444E-B4BD-79BC05DFC909}">
            <xm:f>AND(L775&gt;0,OR(L775&gt;IFERROR(INDEX('https://kuryos.sharepoint.com/sites/ServidorKuryos/Shared Documents/08. Logistica e Armazenamento/00. Logistica/[Controle de Produtos.xlsx]Produtos'!#REF!,MATCH(IF(ISNUMBER(FIND(" - ",H775)),LEFT(H775,FIND(" - ",H775)-1),H775),'https://kuryos.sharepoint.com/sites/ServidorKuryos/Shared Documents/08. Logistica e Armazenamento/00. Logistica/[Controle de Produtos.xlsx]Produtos'!#REF!,0)),0)*1.1,AND(L775&lt;IFERROR(INDEX('https://kuryos.sharepoint.com/sites/ServidorKuryos/Shared Documents/08. Logistica e Armazenamento/00. Logistica/[Controle de Produtos.xlsx]Produtos'!#REF!,MATCH(IF(ISNUMBER(FIND(" - ",H775)),LEFT(H775,FIND(" - ",H775)-1),H775),'https://kuryos.sharepoint.com/sites/ServidorKuryos/Shared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",H775)),LEFT(H775,FIND(" - ",H775)-1),H775),'https://kuryos.sharepoint.com/sites/ServidorKuryos/Shared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L775:L779</xm:sqref>
        </x14:conditionalFormatting>
        <x14:conditionalFormatting xmlns:xm="http://schemas.microsoft.com/office/excel/2006/main">
          <x14:cfRule type="expression" priority="51" id="{0E0A0528-C588-45BD-B86D-FB7ACB31E887}">
            <xm:f>AND(N775&gt;0,OR(N775&gt;IFERROR(INDEX('https://kuryos.sharepoint.com/sites/ServidorKuryos/Shared Documents/08. Logistica e Armazenamento/00. Logistica/[Controle de Produtos.xlsx]Produtos'!#REF!,MATCH(IF(ISNUMBER(FIND(" - ",J775)),LEFT(J775,FIND(" - ",J775)-1),J775),'https://kuryos.sharepoint.com/sites/ServidorKuryos/Shared Documents/08. Logistica e Armazenamento/00. Logistica/[Controle de Produtos.xlsx]Produtos'!#REF!,0)),0)*1.1,AND(N775&lt;IFERROR(INDEX('https://kuryos.sharepoint.com/sites/ServidorKuryos/Shared Documents/08. Logistica e Armazenamento/00. Logistica/[Controle de Produtos.xlsx]Produtos'!#REF!,MATCH(IF(ISNUMBER(FIND(" - ",J775)),LEFT(J775,FIND(" - ",J775)-1),J775),'https://kuryos.sharepoint.com/sites/ServidorKuryos/Shared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",J775)),LEFT(J775,FIND(" - ",J775)-1),J775),'https://kuryos.sharepoint.com/sites/ServidorKuryos/Shared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N775:P779</xm:sqref>
        </x14:conditionalFormatting>
        <x14:conditionalFormatting xmlns:xm="http://schemas.microsoft.com/office/excel/2006/main">
          <x14:cfRule type="expression" priority="50" id="{8E769A75-4DEA-4BDD-BE55-5AF1445B49FC}">
            <xm:f>AND(J961&gt;0,OR(J961&gt;IFERROR(INDEX('https://kuryos.sharepoint.com/sites/ServidorKuryos/Shared Documents/08. Logistica e Armazenamento/00. Logistica/[Controle de Produtos.xlsx]Produtos'!#REF!,MATCH(IF(ISNUMBER(FIND(" - ",F961)),LEFT(F961,FIND(" - ",F961)-1),F961),'https://kuryos.sharepoint.com/sites/ServidorKuryos/Shared Documents/08. Logistica e Armazenamento/00. Logistica/[Controle de Produtos.xlsx]Produtos'!#REF!,0)),0)*1.1,AND(J961&lt;IFERROR(INDEX('https://kuryos.sharepoint.com/sites/ServidorKuryos/Shared Documents/08. Logistica e Armazenamento/00. Logistica/[Controle de Produtos.xlsx]Produtos'!#REF!,MATCH(IF(ISNUMBER(FIND(" - ",F961)),LEFT(F961,FIND(" - ",F961)-1),F961),'https://kuryos.sharepoint.com/sites/ServidorKuryos/Shared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",F961)),LEFT(F961,FIND(" - ",F961)-1),F961),'https://kuryos.sharepoint.com/sites/ServidorKuryos/Shared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J963:J967 K968:L968 J973:L977 J961:L962 L965:L967 J969:J972 L969:L972</xm:sqref>
        </x14:conditionalFormatting>
        <x14:conditionalFormatting xmlns:xm="http://schemas.microsoft.com/office/excel/2006/main">
          <x14:cfRule type="expression" priority="49" id="{94368307-FF41-44EB-B958-D4F894970F6E}">
            <xm:f>AND(M961&gt;0,OR(M961&gt;IFERROR(INDEX('https://kuryos.sharepoint.com/sites/ServidorKuryos/Shared Documents/08. Logistica e Armazenamento/00. Logistica/[Controle de Produtos.xlsx]Produtos'!#REF!,MATCH(IF(ISNUMBER(FIND(" - ",H961)),LEFT(H961,FIND(" - ",H961)-1),H961),'https://kuryos.sharepoint.com/sites/ServidorKuryos/Shared Documents/08. Logistica e Armazenamento/00. Logistica/[Controle de Produtos.xlsx]Produtos'!#REF!,0)),0)*1.1,AND(M961&lt;IFERROR(INDEX('https://kuryos.sharepoint.com/sites/ServidorKuryos/Shared Documents/08. Logistica e Armazenamento/00. Logistica/[Controle de Produtos.xlsx]Produtos'!#REF!,MATCH(IF(ISNUMBER(FIND(" - ",H961)),LEFT(H961,FIND(" - ",H961)-1),H961),'https://kuryos.sharepoint.com/sites/ServidorKuryos/Shared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",H961)),LEFT(H961,FIND(" - ",H961)-1),H961),'https://kuryos.sharepoint.com/sites/ServidorKuryos/Shared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M961:M977</xm:sqref>
        </x14:conditionalFormatting>
        <x14:conditionalFormatting xmlns:xm="http://schemas.microsoft.com/office/excel/2006/main">
          <x14:cfRule type="expression" priority="48" id="{69B3819A-18F5-4142-A70A-8F793FC7E3CD}">
            <xm:f>AND(J968&gt;0,OR(J968&gt;IFERROR(INDEX('https://kuryos.sharepoint.com/sites/ServidorKuryos/Shared Documents/08. Logistica e Armazenamento/00. Logistica/[Controle de Produtos.xlsx]Produtos'!#REF!,MATCH(IF(ISNUMBER(FIND(" - ",F968)),LEFT(F968,FIND(" - ",F968)-1),F968),'https://kuryos.sharepoint.com/sites/ServidorKuryos/Shared Documents/08. Logistica e Armazenamento/00. Logistica/[Controle de Produtos.xlsx]Produtos'!#REF!,0)),0)*1.1,AND(J968&lt;IFERROR(INDEX('https://kuryos.sharepoint.com/sites/ServidorKuryos/Shared Documents/08. Logistica e Armazenamento/00. Logistica/[Controle de Produtos.xlsx]Produtos'!#REF!,MATCH(IF(ISNUMBER(FIND(" - ",F968)),LEFT(F968,FIND(" - ",F968)-1),F968),'https://kuryos.sharepoint.com/sites/ServidorKuryos/Shared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",F968)),LEFT(F968,FIND(" - ",F968)-1),F968),'https://kuryos.sharepoint.com/sites/ServidorKuryos/Shared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J968</xm:sqref>
        </x14:conditionalFormatting>
        <x14:conditionalFormatting xmlns:xm="http://schemas.microsoft.com/office/excel/2006/main">
          <x14:cfRule type="expression" priority="47" id="{6F23E95F-A84F-4CAA-9E7D-8AD41C4F5696}">
            <xm:f>AND(L963&gt;0,OR(L963&gt;IFERROR(INDEX('https://kuryos.sharepoint.com/sites/ServidorKuryos/Shared Documents/08. Logistica e Armazenamento/00. Logistica/[Controle de Produtos.xlsx]Produtos'!#REF!,MATCH(IF(ISNUMBER(FIND(" - ",H963)),LEFT(H963,FIND(" - ",H963)-1),H963),'https://kuryos.sharepoint.com/sites/ServidorKuryos/Shared Documents/08. Logistica e Armazenamento/00. Logistica/[Controle de Produtos.xlsx]Produtos'!#REF!,0)),0)*1.1,AND(L963&lt;IFERROR(INDEX('https://kuryos.sharepoint.com/sites/ServidorKuryos/Shared Documents/08. Logistica e Armazenamento/00. Logistica/[Controle de Produtos.xlsx]Produtos'!#REF!,MATCH(IF(ISNUMBER(FIND(" - ",H963)),LEFT(H963,FIND(" - ",H963)-1),H963),'https://kuryos.sharepoint.com/sites/ServidorKuryos/Shared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",H963)),LEFT(H963,FIND(" - ",H963)-1),H963),'https://kuryos.sharepoint.com/sites/ServidorKuryos/Shared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L963:L964</xm:sqref>
        </x14:conditionalFormatting>
        <x14:conditionalFormatting xmlns:xm="http://schemas.microsoft.com/office/excel/2006/main">
          <x14:cfRule type="expression" priority="46" id="{7E4712F6-A96A-4287-8C3A-0FE4B32B7D54}">
            <xm:f>AND(L788&gt;0,OR(L788&gt;IFERROR(INDEX('https://kuryos.sharepoint.com/sites/ServidorKuryos/Shared Documents/08. Logistica e Armazenamento/00. Logistica/[Controle de Produtos.xlsx]Produtos'!#REF!,MATCH(IF(ISNUMBER(FIND(" - ",H788)),LEFT(H788,FIND(" - ",H788)-1),H788),'https://kuryos.sharepoint.com/sites/ServidorKuryos/Shared Documents/08. Logistica e Armazenamento/00. Logistica/[Controle de Produtos.xlsx]Produtos'!#REF!,0)),0)*1.1,AND(L788&lt;IFERROR(INDEX('https://kuryos.sharepoint.com/sites/ServidorKuryos/Shared Documents/08. Logistica e Armazenamento/00. Logistica/[Controle de Produtos.xlsx]Produtos'!#REF!,MATCH(IF(ISNUMBER(FIND(" - ",H788)),LEFT(H788,FIND(" - ",H788)-1),H788),'https://kuryos.sharepoint.com/sites/ServidorKuryos/Shared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",H788)),LEFT(H788,FIND(" - ",H788)-1),H788),'https://kuryos.sharepoint.com/sites/ServidorKuryos/Shared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L788</xm:sqref>
        </x14:conditionalFormatting>
        <x14:conditionalFormatting xmlns:xm="http://schemas.microsoft.com/office/excel/2006/main">
          <x14:cfRule type="expression" priority="45" id="{FAE81D7B-1EF2-4D41-9D62-A1C19F0FB18E}">
            <xm:f>AND(L806&gt;0,OR(L806&gt;IFERROR(INDEX('https://kuryos.sharepoint.com/sites/ServidorKuryos/Shared Documents/08. Logistica e Armazenamento/00. Logistica/[Controle de Produtos.xlsx]Produtos'!#REF!,MATCH(IF(ISNUMBER(FIND(" - ",H806)),LEFT(H806,FIND(" - ",H806)-1),H806),'https://kuryos.sharepoint.com/sites/ServidorKuryos/Shared Documents/08. Logistica e Armazenamento/00. Logistica/[Controle de Produtos.xlsx]Produtos'!#REF!,0)),0)*1.1,AND(L806&lt;IFERROR(INDEX('https://kuryos.sharepoint.com/sites/ServidorKuryos/Shared Documents/08. Logistica e Armazenamento/00. Logistica/[Controle de Produtos.xlsx]Produtos'!#REF!,MATCH(IF(ISNUMBER(FIND(" - ",H806)),LEFT(H806,FIND(" - ",H806)-1),H806),'https://kuryos.sharepoint.com/sites/ServidorKuryos/Shared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",H806)),LEFT(H806,FIND(" - ",H806)-1),H806),'https://kuryos.sharepoint.com/sites/ServidorKuryos/Shared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L806</xm:sqref>
        </x14:conditionalFormatting>
        <x14:conditionalFormatting xmlns:xm="http://schemas.microsoft.com/office/excel/2006/main">
          <x14:cfRule type="expression" priority="44" id="{5DF093C5-6C20-4D1D-BA5D-579D3E08E2CB}">
            <xm:f>AND(L811&gt;0,OR(L811&gt;IFERROR(INDEX('https://kuryos.sharepoint.com/sites/ServidorKuryos/Shared Documents/08. Logistica e Armazenamento/00. Logistica/[Controle de Produtos.xlsx]Produtos'!#REF!,MATCH(IF(ISNUMBER(FIND(" - ",G811)),LEFT(G811,FIND(" - ",G811)-1),G811),'https://kuryos.sharepoint.com/sites/ServidorKuryos/Shared Documents/08. Logistica e Armazenamento/00. Logistica/[Controle de Produtos.xlsx]Produtos'!#REF!,0)),0)*1.1,AND(L811&lt;IFERROR(INDEX('https://kuryos.sharepoint.com/sites/ServidorKuryos/Shared Documents/08. Logistica e Armazenamento/00. Logistica/[Controle de Produtos.xlsx]Produtos'!#REF!,MATCH(IF(ISNUMBER(FIND(" - ",G811)),LEFT(G811,FIND(" - ",G811)-1),G811),'https://kuryos.sharepoint.com/sites/ServidorKuryos/Shared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",G811)),LEFT(G811,FIND(" - ",G811)-1),G811),'https://kuryos.sharepoint.com/sites/ServidorKuryos/Shared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L811:L815</xm:sqref>
        </x14:conditionalFormatting>
        <x14:conditionalFormatting xmlns:xm="http://schemas.microsoft.com/office/excel/2006/main">
          <x14:cfRule type="expression" priority="43" id="{2EC5239C-8B1C-4C52-8591-AA20E2CC00FF}">
            <xm:f>AND(L865&gt;0,OR(L865&gt;IFERROR(INDEX('https://kuryos.sharepoint.com/sites/ServidorKuryos/Shared Documents/08. Logistica e Armazenamento/00. Logistica/[Controle de Produtos.xlsx]Produtos'!#REF!,MATCH(IF(ISNUMBER(FIND(" - ",G865)),LEFT(G865,FIND(" - ",G865)-1),G865),'https://kuryos.sharepoint.com/sites/ServidorKuryos/Shared Documents/08. Logistica e Armazenamento/00. Logistica/[Controle de Produtos.xlsx]Produtos'!#REF!,0)),0)*1.1,AND(L865&lt;IFERROR(INDEX('https://kuryos.sharepoint.com/sites/ServidorKuryos/Shared Documents/08. Logistica e Armazenamento/00. Logistica/[Controle de Produtos.xlsx]Produtos'!#REF!,MATCH(IF(ISNUMBER(FIND(" - ",G865)),LEFT(G865,FIND(" - ",G865)-1),G865),'https://kuryos.sharepoint.com/sites/ServidorKuryos/Shared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",G865)),LEFT(G865,FIND(" - ",G865)-1),G865),'https://kuryos.sharepoint.com/sites/ServidorKuryos/Shared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L865:L869</xm:sqref>
        </x14:conditionalFormatting>
        <x14:conditionalFormatting xmlns:xm="http://schemas.microsoft.com/office/excel/2006/main">
          <x14:cfRule type="expression" priority="42" id="{CFEEC487-236B-48E0-8E18-5C44429F9098}">
            <xm:f>AND(L752&gt;0,OR(L752&gt;IFERROR(INDEX('https://kuryos.sharepoint.com/sites/ServidorKuryos/Shared Documents/08. Logistica e Armazenamento/00. Logistica/[Controle de Produtos.xlsx]Produtos'!#REF!,MATCH(IF(ISNUMBER(FIND(" - ",G752)),LEFT(G752,FIND(" - ",G752)-1),G752),'https://kuryos.sharepoint.com/sites/ServidorKuryos/Shared Documents/08. Logistica e Armazenamento/00. Logistica/[Controle de Produtos.xlsx]Produtos'!#REF!,0)),0)*1.1,AND(L752&lt;IFERROR(INDEX('https://kuryos.sharepoint.com/sites/ServidorKuryos/Shared Documents/08. Logistica e Armazenamento/00. Logistica/[Controle de Produtos.xlsx]Produtos'!#REF!,MATCH(IF(ISNUMBER(FIND(" - ",G752)),LEFT(G752,FIND(" - ",G752)-1),G752),'https://kuryos.sharepoint.com/sites/ServidorKuryos/Shared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",G752)),LEFT(G752,FIND(" - ",G752)-1),G752),'https://kuryos.sharepoint.com/sites/ServidorKuryos/Shared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L752</xm:sqref>
        </x14:conditionalFormatting>
        <x14:conditionalFormatting xmlns:xm="http://schemas.microsoft.com/office/excel/2006/main">
          <x14:cfRule type="expression" priority="41" id="{5EBB2A8E-DD56-4BDB-8BC8-0821DAEA25FA}">
            <xm:f>AND(L746&gt;0,OR(L746&gt;IFERROR(INDEX('https://kuryos.sharepoint.com/sites/ServidorKuryos/Shared Documents/08. Logistica e Armazenamento/00. Logistica/[Controle de Produtos.xlsx]Produtos'!#REF!,MATCH(IF(ISNUMBER(FIND(" - ",H746)),LEFT(H746,FIND(" - ",H746)-1),H746),'https://kuryos.sharepoint.com/sites/ServidorKuryos/Shared Documents/08. Logistica e Armazenamento/00. Logistica/[Controle de Produtos.xlsx]Produtos'!#REF!,0)),0)*1.1,AND(L746&lt;IFERROR(INDEX('https://kuryos.sharepoint.com/sites/ServidorKuryos/Shared Documents/08. Logistica e Armazenamento/00. Logistica/[Controle de Produtos.xlsx]Produtos'!#REF!,MATCH(IF(ISNUMBER(FIND(" - ",H746)),LEFT(H746,FIND(" - ",H746)-1),H746),'https://kuryos.sharepoint.com/sites/ServidorKuryos/Shared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",H746)),LEFT(H746,FIND(" - ",H746)-1),H746),'https://kuryos.sharepoint.com/sites/ServidorKuryos/Shared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L746:M746</xm:sqref>
        </x14:conditionalFormatting>
        <x14:conditionalFormatting xmlns:xm="http://schemas.microsoft.com/office/excel/2006/main">
          <x14:cfRule type="expression" priority="40" id="{A20BEA6D-5172-4736-8DD5-64B11FFAF936}">
            <xm:f>AND(L889&gt;0,OR(L889&gt;IFERROR(INDEX('https://kuryos.sharepoint.com/sites/ServidorKuryos/Shared Documents/08. Logistica e Armazenamento/00. Logistica/[Controle de Produtos.xlsx]Produtos'!#REF!,MATCH(IF(ISNUMBER(FIND(" - ",G889)),LEFT(G889,FIND(" - ",G889)-1),G889),'https://kuryos.sharepoint.com/sites/ServidorKuryos/Shared Documents/08. Logistica e Armazenamento/00. Logistica/[Controle de Produtos.xlsx]Produtos'!#REF!,0)),0)*1.1,AND(L889&lt;IFERROR(INDEX('https://kuryos.sharepoint.com/sites/ServidorKuryos/Shared Documents/08. Logistica e Armazenamento/00. Logistica/[Controle de Produtos.xlsx]Produtos'!#REF!,MATCH(IF(ISNUMBER(FIND(" - ",G889)),LEFT(G889,FIND(" - ",G889)-1),G889),'https://kuryos.sharepoint.com/sites/ServidorKuryos/Shared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",G889)),LEFT(G889,FIND(" - ",G889)-1),G889),'https://kuryos.sharepoint.com/sites/ServidorKuryos/Shared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L889</xm:sqref>
        </x14:conditionalFormatting>
        <x14:conditionalFormatting xmlns:xm="http://schemas.microsoft.com/office/excel/2006/main">
          <x14:cfRule type="expression" priority="39" id="{F88C927F-845B-4C45-8136-C27449F6226E}">
            <xm:f>AND(L871&gt;0,OR(L871&gt;IFERROR(INDEX('https://kuryos.sharepoint.com/sites/ServidorKuryos/Shared Documents/08. Logistica e Armazenamento/00. Logistica/[Controle de Produtos.xlsx]Produtos'!#REF!,MATCH(IF(ISNUMBER(FIND(" - ",G871)),LEFT(G871,FIND(" - ",G871)-1),G871),'https://kuryos.sharepoint.com/sites/ServidorKuryos/Shared Documents/08. Logistica e Armazenamento/00. Logistica/[Controle de Produtos.xlsx]Produtos'!#REF!,0)),0)*1.1,AND(L871&lt;IFERROR(INDEX('https://kuryos.sharepoint.com/sites/ServidorKuryos/Shared Documents/08. Logistica e Armazenamento/00. Logistica/[Controle de Produtos.xlsx]Produtos'!#REF!,MATCH(IF(ISNUMBER(FIND(" - ",G871)),LEFT(G871,FIND(" - ",G871)-1),G871),'https://kuryos.sharepoint.com/sites/ServidorKuryos/Shared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",G871)),LEFT(G871,FIND(" - ",G871)-1),G871),'https://kuryos.sharepoint.com/sites/ServidorKuryos/Shared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L871</xm:sqref>
        </x14:conditionalFormatting>
        <x14:conditionalFormatting xmlns:xm="http://schemas.microsoft.com/office/excel/2006/main">
          <x14:cfRule type="expression" priority="38" id="{A3B69FD3-50D8-4406-8874-728A60F68093}">
            <xm:f>AND(J789&gt;0,OR(J789&gt;IFERROR(INDEX('https://kuryos.sharepoint.com/sites/ServidorKuryos/Shared Documents/08. Logistica e Armazenamento/00. Logistica/[Controle de Produtos.xlsx]Produtos'!#REF!,MATCH(IF(ISNUMBER(FIND(" - ",F789)),LEFT(F789,FIND(" - ",F789)-1),F789),'https://kuryos.sharepoint.com/sites/ServidorKuryos/Shared Documents/08. Logistica e Armazenamento/00. Logistica/[Controle de Produtos.xlsx]Produtos'!#REF!,0)),0)*1.1,AND(J789&lt;IFERROR(INDEX('https://kuryos.sharepoint.com/sites/ServidorKuryos/Shared Documents/08. Logistica e Armazenamento/00. Logistica/[Controle de Produtos.xlsx]Produtos'!#REF!,MATCH(IF(ISNUMBER(FIND(" - ",F789)),LEFT(F789,FIND(" - ",F789)-1),F789),'https://kuryos.sharepoint.com/sites/ServidorKuryos/Shared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",F789)),LEFT(F789,FIND(" - ",F789)-1),F789),'https://kuryos.sharepoint.com/sites/ServidorKuryos/Shared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J789</xm:sqref>
        </x14:conditionalFormatting>
        <x14:conditionalFormatting xmlns:xm="http://schemas.microsoft.com/office/excel/2006/main">
          <x14:cfRule type="expression" priority="37" id="{7463AA35-DF23-4C74-99E5-E6BEF6E9583D}">
            <xm:f>AND(J807&gt;0,OR(J807&gt;IFERROR(INDEX('https://kuryos.sharepoint.com/sites/ServidorKuryos/Shared Documents/08. Logistica e Armazenamento/00. Logistica/[Controle de Produtos.xlsx]Produtos'!#REF!,MATCH(IF(ISNUMBER(FIND(" - ",F807)),LEFT(F807,FIND(" - ",F807)-1),F807),'https://kuryos.sharepoint.com/sites/ServidorKuryos/Shared Documents/08. Logistica e Armazenamento/00. Logistica/[Controle de Produtos.xlsx]Produtos'!#REF!,0)),0)*1.1,AND(J807&lt;IFERROR(INDEX('https://kuryos.sharepoint.com/sites/ServidorKuryos/Shared Documents/08. Logistica e Armazenamento/00. Logistica/[Controle de Produtos.xlsx]Produtos'!#REF!,MATCH(IF(ISNUMBER(FIND(" - ",F807)),LEFT(F807,FIND(" - ",F807)-1),F807),'https://kuryos.sharepoint.com/sites/ServidorKuryos/Shared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",F807)),LEFT(F807,FIND(" - ",F807)-1),F807),'https://kuryos.sharepoint.com/sites/ServidorKuryos/Shared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J807:J810</xm:sqref>
        </x14:conditionalFormatting>
        <x14:conditionalFormatting xmlns:xm="http://schemas.microsoft.com/office/excel/2006/main">
          <x14:cfRule type="expression" priority="36" id="{BD553609-1C39-4B31-B3BD-5ED123C4049B}">
            <xm:f>AND(J819&gt;0,OR(J819&gt;IFERROR(INDEX('https://kuryos.sharepoint.com/sites/ServidorKuryos/Shared Documents/08. Logistica e Armazenamento/00. Logistica/[Controle de Produtos.xlsx]Produtos'!#REF!,MATCH(IF(ISNUMBER(FIND(" - ",F819)),LEFT(F819,FIND(" - ",F819)-1),F819),'https://kuryos.sharepoint.com/sites/ServidorKuryos/Shared Documents/08. Logistica e Armazenamento/00. Logistica/[Controle de Produtos.xlsx]Produtos'!#REF!,0)),0)*1.1,AND(J819&lt;IFERROR(INDEX('https://kuryos.sharepoint.com/sites/ServidorKuryos/Shared Documents/08. Logistica e Armazenamento/00. Logistica/[Controle de Produtos.xlsx]Produtos'!#REF!,MATCH(IF(ISNUMBER(FIND(" - ",F819)),LEFT(F819,FIND(" - ",F819)-1),F819),'https://kuryos.sharepoint.com/sites/ServidorKuryos/Shared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",F819)),LEFT(F819,FIND(" - ",F819)-1),F819),'https://kuryos.sharepoint.com/sites/ServidorKuryos/Shared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J819:J823</xm:sqref>
        </x14:conditionalFormatting>
        <x14:conditionalFormatting xmlns:xm="http://schemas.microsoft.com/office/excel/2006/main">
          <x14:cfRule type="expression" priority="35" id="{CC9B0431-FE9A-4E73-8184-F1AFCA24B379}">
            <xm:f>AND(K789&gt;0,OR(K789&gt;IFERROR(INDEX('https://kuryos.sharepoint.com/sites/ServidorKuryos/Shared Documents/08. Logistica e Armazenamento/00. Logistica/[Controle de Produtos.xlsx]Produtos'!#REF!,MATCH(IF(ISNUMBER(FIND(" - ",G789)),LEFT(G789,FIND(" - ",G789)-1),G789),'https://kuryos.sharepoint.com/sites/ServidorKuryos/Shared Documents/08. Logistica e Armazenamento/00. Logistica/[Controle de Produtos.xlsx]Produtos'!#REF!,0)),0)*1.1,AND(K789&lt;IFERROR(INDEX('https://kuryos.sharepoint.com/sites/ServidorKuryos/Shared Documents/08. Logistica e Armazenamento/00. Logistica/[Controle de Produtos.xlsx]Produtos'!#REF!,MATCH(IF(ISNUMBER(FIND(" - ",G789)),LEFT(G789,FIND(" - ",G789)-1),G789),'https://kuryos.sharepoint.com/sites/ServidorKuryos/Shared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",G789)),LEFT(G789,FIND(" - ",G789)-1),G789),'https://kuryos.sharepoint.com/sites/ServidorKuryos/Shared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K789:K792</xm:sqref>
        </x14:conditionalFormatting>
        <x14:conditionalFormatting xmlns:xm="http://schemas.microsoft.com/office/excel/2006/main">
          <x14:cfRule type="expression" priority="34" id="{59AE3314-65F0-43D0-8FC3-63A9386C763E}">
            <xm:f>AND(K807&gt;0,OR(K807&gt;IFERROR(INDEX('https://kuryos.sharepoint.com/sites/ServidorKuryos/Shared Documents/08. Logistica e Armazenamento/00. Logistica/[Controle de Produtos.xlsx]Produtos'!#REF!,MATCH(IF(ISNUMBER(FIND(" - ",G807)),LEFT(G807,FIND(" - ",G807)-1),G807),'https://kuryos.sharepoint.com/sites/ServidorKuryos/Shared Documents/08. Logistica e Armazenamento/00. Logistica/[Controle de Produtos.xlsx]Produtos'!#REF!,0)),0)*1.1,AND(K807&lt;IFERROR(INDEX('https://kuryos.sharepoint.com/sites/ServidorKuryos/Shared Documents/08. Logistica e Armazenamento/00. Logistica/[Controle de Produtos.xlsx]Produtos'!#REF!,MATCH(IF(ISNUMBER(FIND(" - ",G807)),LEFT(G807,FIND(" - ",G807)-1),G807),'https://kuryos.sharepoint.com/sites/ServidorKuryos/Shared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",G807)),LEFT(G807,FIND(" - ",G807)-1),G807),'https://kuryos.sharepoint.com/sites/ServidorKuryos/Shared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K807:K810</xm:sqref>
        </x14:conditionalFormatting>
        <x14:conditionalFormatting xmlns:xm="http://schemas.microsoft.com/office/excel/2006/main">
          <x14:cfRule type="expression" priority="33" id="{58D09470-8062-4E2E-B285-0B5B8726D3C7}">
            <xm:f>AND(K819&gt;0,OR(K819&gt;IFERROR(INDEX('https://kuryos.sharepoint.com/sites/ServidorKuryos/Shared Documents/08. Logistica e Armazenamento/00. Logistica/[Controle de Produtos.xlsx]Produtos'!#REF!,MATCH(IF(ISNUMBER(FIND(" - ",G819)),LEFT(G819,FIND(" - ",G819)-1),G819),'https://kuryos.sharepoint.com/sites/ServidorKuryos/Shared Documents/08. Logistica e Armazenamento/00. Logistica/[Controle de Produtos.xlsx]Produtos'!#REF!,0)),0)*1.1,AND(K819&lt;IFERROR(INDEX('https://kuryos.sharepoint.com/sites/ServidorKuryos/Shared Documents/08. Logistica e Armazenamento/00. Logistica/[Controle de Produtos.xlsx]Produtos'!#REF!,MATCH(IF(ISNUMBER(FIND(" - ",G819)),LEFT(G819,FIND(" - ",G819)-1),G819),'https://kuryos.sharepoint.com/sites/ServidorKuryos/Shared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",G819)),LEFT(G819,FIND(" - ",G819)-1),G819),'https://kuryos.sharepoint.com/sites/ServidorKuryos/Shared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K819:K823</xm:sqref>
        </x14:conditionalFormatting>
        <x14:conditionalFormatting xmlns:xm="http://schemas.microsoft.com/office/excel/2006/main">
          <x14:cfRule type="expression" priority="32" id="{760869E5-258F-43DE-A167-43495C23EEBD}">
            <xm:f>AND(L783&gt;0,OR(L783&gt;IFERROR(INDEX('https://kuryos.sharepoint.com/sites/ServidorKuryos/Shared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Produtos.xlsx]Produtos'!#REF!,0)),0)*1.1,AND(L783&lt;IFERROR(INDEX('https://kuryos.sharepoint.com/sites/ServidorKuryos/Shared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",H783)),LEFT(H783,FIND(" - ",H783)-1),H783),'https://kuryos.sharepoint.com/sites/ServidorKuryos/Shared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L783:L787</xm:sqref>
        </x14:conditionalFormatting>
        <x14:conditionalFormatting xmlns:xm="http://schemas.microsoft.com/office/excel/2006/main">
          <x14:cfRule type="expression" priority="31" id="{2C429B44-5310-492E-A970-96117BF792E0}">
            <xm:f>AND(L789&gt;0,OR(L789&gt;IFERROR(INDEX('https://kuryos.sharepoint.com/sites/ServidorKuryos/Shared Documents/08. Logistica e Armazenamento/00. Logistica/[Controle de Produtos.xlsx]Produtos'!#REF!,MATCH(IF(ISNUMBER(FIND(" - ",H789)),LEFT(H789,FIND(" - ",H789)-1),H789),'https://kuryos.sharepoint.com/sites/ServidorKuryos/Shared Documents/08. Logistica e Armazenamento/00. Logistica/[Controle de Produtos.xlsx]Produtos'!#REF!,0)),0)*1.1,AND(L789&lt;IFERROR(INDEX('https://kuryos.sharepoint.com/sites/ServidorKuryos/Shared Documents/08. Logistica e Armazenamento/00. Logistica/[Controle de Produtos.xlsx]Produtos'!#REF!,MATCH(IF(ISNUMBER(FIND(" - ",H789)),LEFT(H789,FIND(" - ",H789)-1),H789),'https://kuryos.sharepoint.com/sites/ServidorKuryos/Shared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",H789)),LEFT(H789,FIND(" - ",H789)-1),H789),'https://kuryos.sharepoint.com/sites/ServidorKuryos/Shared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L789:L792</xm:sqref>
        </x14:conditionalFormatting>
        <x14:conditionalFormatting xmlns:xm="http://schemas.microsoft.com/office/excel/2006/main">
          <x14:cfRule type="expression" priority="30" id="{006192B8-FF28-4904-A8D4-CC31949F57D1}">
            <xm:f>AND(L801&gt;0,OR(L801&gt;IFERROR(INDEX('https://kuryos.sharepoint.com/sites/ServidorKuryos/Shared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Produtos.xlsx]Produtos'!#REF!,0)),0)*1.1,AND(L801&lt;IFERROR(INDEX('https://kuryos.sharepoint.com/sites/ServidorKuryos/Shared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",H801)),LEFT(H801,FIND(" - ",H801)-1),H801),'https://kuryos.sharepoint.com/sites/ServidorKuryos/Shared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L801:L805</xm:sqref>
        </x14:conditionalFormatting>
        <x14:conditionalFormatting xmlns:xm="http://schemas.microsoft.com/office/excel/2006/main">
          <x14:cfRule type="expression" priority="29" id="{F9A3CCA0-952F-446C-8A3E-25974AF45ED7}">
            <xm:f>AND(L807&gt;0,OR(L807&gt;IFERROR(INDEX('https://kuryos.sharepoint.com/sites/ServidorKuryos/Shared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Produtos.xlsx]Produtos'!#REF!,0)),0)*1.1,AND(L807&lt;IFERROR(INDEX('https://kuryos.sharepoint.com/sites/ServidorKuryos/Shared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",H807)),LEFT(H807,FIND(" - ",H807)-1),H807),'https://kuryos.sharepoint.com/sites/ServidorKuryos/Shared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L807:L810</xm:sqref>
        </x14:conditionalFormatting>
        <x14:conditionalFormatting xmlns:xm="http://schemas.microsoft.com/office/excel/2006/main">
          <x14:cfRule type="expression" priority="28" id="{41CC9468-9DAE-4486-9B41-EF02288304F6}">
            <xm:f>AND(J979&gt;0,OR(J979&gt;IFERROR(INDEX('https://kuryos.sharepoint.com/sites/ServidorKuryos/Shared Documents/08. Logistica e Armazenamento/00. Logistica/[Controle de Produtos.xlsx]Produtos'!#REF!,MATCH(IF(ISNUMBER(FIND(" - ",F979)),LEFT(F979,FIND(" - ",F979)-1),F979),'https://kuryos.sharepoint.com/sites/ServidorKuryos/Shared Documents/08. Logistica e Armazenamento/00. Logistica/[Controle de Produtos.xlsx]Produtos'!#REF!,0)),0)*1.1,AND(J979&lt;IFERROR(INDEX('https://kuryos.sharepoint.com/sites/ServidorKuryos/Shared Documents/08. Logistica e Armazenamento/00. Logistica/[Controle de Produtos.xlsx]Produtos'!#REF!,MATCH(IF(ISNUMBER(FIND(" - ",F979)),LEFT(F979,FIND(" - ",F979)-1),F979),'https://kuryos.sharepoint.com/sites/ServidorKuryos/Shared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",F979)),LEFT(F979,FIND(" - ",F979)-1),F979),'https://kuryos.sharepoint.com/sites/ServidorKuryos/Shared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J991:K995 J979:L990</xm:sqref>
        </x14:conditionalFormatting>
        <x14:conditionalFormatting xmlns:xm="http://schemas.microsoft.com/office/excel/2006/main">
          <x14:cfRule type="expression" priority="27" id="{929F638F-15B5-42DF-9108-C914CE7948EC}">
            <xm:f>AND(M979&gt;0,OR(M979&gt;IFERROR(INDEX('https://kuryos.sharepoint.com/sites/ServidorKuryos/Shared Documents/08. Logistica e Armazenamento/00. Logistica/[Controle de Produtos.xlsx]Produtos'!#REF!,MATCH(IF(ISNUMBER(FIND(" - ",H979)),LEFT(H979,FIND(" - ",H979)-1),H979),'https://kuryos.sharepoint.com/sites/ServidorKuryos/Shared Documents/08. Logistica e Armazenamento/00. Logistica/[Controle de Produtos.xlsx]Produtos'!#REF!,0)),0)*1.1,AND(M979&lt;IFERROR(INDEX('https://kuryos.sharepoint.com/sites/ServidorKuryos/Shared Documents/08. Logistica e Armazenamento/00. Logistica/[Controle de Produtos.xlsx]Produtos'!#REF!,MATCH(IF(ISNUMBER(FIND(" - ",H979)),LEFT(H979,FIND(" - ",H979)-1),H979),'https://kuryos.sharepoint.com/sites/ServidorKuryos/Shared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",H979)),LEFT(H979,FIND(" - ",H979)-1),H979),'https://kuryos.sharepoint.com/sites/ServidorKuryos/Shared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M979:M995</xm:sqref>
        </x14:conditionalFormatting>
        <x14:conditionalFormatting xmlns:xm="http://schemas.microsoft.com/office/excel/2006/main">
          <x14:cfRule type="expression" priority="26" id="{68C3D6A5-FCEA-4025-8368-67F7162289C7}">
            <xm:f>AND(L991&gt;0,OR(L991&gt;IFERROR(INDEX('https://kuryos.sharepoint.com/sites/ServidorKuryos/Shared Documents/08. Logistica e Armazenamento/00. Logistica/[Controle de Produtos.xlsx]Produtos'!#REF!,MATCH(IF(ISNUMBER(FIND(" - ",G991)),LEFT(G991,FIND(" - ",G991)-1),G991),'https://kuryos.sharepoint.com/sites/ServidorKuryos/Shared Documents/08. Logistica e Armazenamento/00. Logistica/[Controle de Produtos.xlsx]Produtos'!#REF!,0)),0)*1.1,AND(L991&lt;IFERROR(INDEX('https://kuryos.sharepoint.com/sites/ServidorKuryos/Shared Documents/08. Logistica e Armazenamento/00. Logistica/[Controle de Produtos.xlsx]Produtos'!#REF!,MATCH(IF(ISNUMBER(FIND(" - ",G991)),LEFT(G991,FIND(" - ",G991)-1),G991),'https://kuryos.sharepoint.com/sites/ServidorKuryos/Shared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",G991)),LEFT(G991,FIND(" - ",G991)-1),G991),'https://kuryos.sharepoint.com/sites/ServidorKuryos/Shared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L991:L995</xm:sqref>
        </x14:conditionalFormatting>
        <x14:conditionalFormatting xmlns:xm="http://schemas.microsoft.com/office/excel/2006/main">
          <x14:cfRule type="expression" priority="25" id="{0BB27B16-5117-4983-8FF4-2BE145895262}">
            <xm:f>AND(J997&gt;0,OR(J997&gt;IFERROR(INDEX('https://kuryos.sharepoint.com/sites/ServidorKuryos/Shared Documents/08. Logistica e Armazenamento/00. Logistica/[Controle de Produtos.xlsx]Produtos'!#REF!,MATCH(IF(ISNUMBER(FIND(" - ",F997)),LEFT(F997,FIND(" - ",F997)-1),F997),'https://kuryos.sharepoint.com/sites/ServidorKuryos/Shared Documents/08. Logistica e Armazenamento/00. Logistica/[Controle de Produtos.xlsx]Produtos'!#REF!,0)),0)*1.1,AND(J997&lt;IFERROR(INDEX('https://kuryos.sharepoint.com/sites/ServidorKuryos/Shared Documents/08. Logistica e Armazenamento/00. Logistica/[Controle de Produtos.xlsx]Produtos'!#REF!,MATCH(IF(ISNUMBER(FIND(" - ",F997)),LEFT(F997,FIND(" - ",F997)-1),F997),'https://kuryos.sharepoint.com/sites/ServidorKuryos/Shared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",F997)),LEFT(F997,FIND(" - ",F997)-1),F997),'https://kuryos.sharepoint.com/sites/ServidorKuryos/Shared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J1009:K1013 J997:L1008</xm:sqref>
        </x14:conditionalFormatting>
        <x14:conditionalFormatting xmlns:xm="http://schemas.microsoft.com/office/excel/2006/main">
          <x14:cfRule type="expression" priority="24" id="{A7AD9D03-BFA1-4286-8F65-53C2685D6B83}">
            <xm:f>AND(M997&gt;0,OR(M997&gt;IFERROR(INDEX('https://kuryos.sharepoint.com/sites/ServidorKuryos/Shared Documents/08. Logistica e Armazenamento/00. Logistica/[Controle de Produtos.xlsx]Produtos'!#REF!,MATCH(IF(ISNUMBER(FIND(" - ",H997)),LEFT(H997,FIND(" - ",H997)-1),H997),'https://kuryos.sharepoint.com/sites/ServidorKuryos/Shared Documents/08. Logistica e Armazenamento/00. Logistica/[Controle de Produtos.xlsx]Produtos'!#REF!,0)),0)*1.1,AND(M997&lt;IFERROR(INDEX('https://kuryos.sharepoint.com/sites/ServidorKuryos/Shared Documents/08. Logistica e Armazenamento/00. Logistica/[Controle de Produtos.xlsx]Produtos'!#REF!,MATCH(IF(ISNUMBER(FIND(" - ",H997)),LEFT(H997,FIND(" - ",H997)-1),H997),'https://kuryos.sharepoint.com/sites/ServidorKuryos/Shared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",H997)),LEFT(H997,FIND(" - ",H997)-1),H997),'https://kuryos.sharepoint.com/sites/ServidorKuryos/Shared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M997:M1013</xm:sqref>
        </x14:conditionalFormatting>
        <x14:conditionalFormatting xmlns:xm="http://schemas.microsoft.com/office/excel/2006/main">
          <x14:cfRule type="expression" priority="23" id="{D132258D-37EB-4FCF-BBFA-9D4D35437FA8}">
            <xm:f>AND(L1009&gt;0,OR(L1009&gt;IFERROR(INDEX('https://kuryos.sharepoint.com/sites/ServidorKuryos/Shared Documents/08. Logistica e Armazenamento/00. Logistica/[Controle de Produtos.xlsx]Produtos'!#REF!,MATCH(IF(ISNUMBER(FIND(" - ",G1009)),LEFT(G1009,FIND(" - ",G1009)-1),G1009),'https://kuryos.sharepoint.com/sites/ServidorKuryos/Shared Documents/08. Logistica e Armazenamento/00. Logistica/[Controle de Produtos.xlsx]Produtos'!#REF!,0)),0)*1.1,AND(L1009&lt;IFERROR(INDEX('https://kuryos.sharepoint.com/sites/ServidorKuryos/Shared Documents/08. Logistica e Armazenamento/00. Logistica/[Controle de Produtos.xlsx]Produtos'!#REF!,MATCH(IF(ISNUMBER(FIND(" - ",G1009)),LEFT(G1009,FIND(" - ",G1009)-1),G1009),'https://kuryos.sharepoint.com/sites/ServidorKuryos/Shared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",G1009)),LEFT(G1009,FIND(" - ",G1009)-1),G1009),'https://kuryos.sharepoint.com/sites/ServidorKuryos/Shared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L1009:L1013</xm:sqref>
        </x14:conditionalFormatting>
        <x14:conditionalFormatting xmlns:xm="http://schemas.microsoft.com/office/excel/2006/main">
          <x14:cfRule type="expression" priority="22" id="{43A81065-653B-45A8-8256-F7AECE4A07EC}">
            <xm:f>AND(J1015&gt;0,OR(J1015&gt;IFERROR(INDEX('https://kuryos.sharepoint.com/sites/ServidorKuryos/Shared Documents/08. Logistica e Armazenamento/00. Logistica/[Controle de Produtos.xlsx]Produtos'!#REF!,MATCH(IF(ISNUMBER(FIND(" - ",F1015)),LEFT(F1015,FIND(" - ",F1015)-1),F1015),'https://kuryos.sharepoint.com/sites/ServidorKuryos/Shared Documents/08. Logistica e Armazenamento/00. Logistica/[Controle de Produtos.xlsx]Produtos'!#REF!,0)),0)*1.1,AND(J1015&lt;IFERROR(INDEX('https://kuryos.sharepoint.com/sites/ServidorKuryos/Shared Documents/08. Logistica e Armazenamento/00. Logistica/[Controle de Produtos.xlsx]Produtos'!#REF!,MATCH(IF(ISNUMBER(FIND(" - ",F1015)),LEFT(F1015,FIND(" - ",F1015)-1),F1015),'https://kuryos.sharepoint.com/sites/ServidorKuryos/Shared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",F1015)),LEFT(F1015,FIND(" - ",F1015)-1),F1015),'https://kuryos.sharepoint.com/sites/ServidorKuryos/Shared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K1022:L1022 J1027:L1031 J1015:L1016 L1019:L1021 L1023:L1026 J1017:J1021 J1023:J1026</xm:sqref>
        </x14:conditionalFormatting>
        <x14:conditionalFormatting xmlns:xm="http://schemas.microsoft.com/office/excel/2006/main">
          <x14:cfRule type="expression" priority="21" id="{22A55FC4-8FBD-4871-9506-FEFF919F8F49}">
            <xm:f>AND(M1015&gt;0,OR(M1015&gt;IFERROR(INDEX('https://kuryos.sharepoint.com/sites/ServidorKuryos/Shared Documents/08. Logistica e Armazenamento/00. Logistica/[Controle de Produtos.xlsx]Produtos'!#REF!,MATCH(IF(ISNUMBER(FIND(" - ",H1015)),LEFT(H1015,FIND(" - ",H1015)-1),H1015),'https://kuryos.sharepoint.com/sites/ServidorKuryos/Shared Documents/08. Logistica e Armazenamento/00. Logistica/[Controle de Produtos.xlsx]Produtos'!#REF!,0)),0)*1.1,AND(M1015&lt;IFERROR(INDEX('https://kuryos.sharepoint.com/sites/ServidorKuryos/Shared Documents/08. Logistica e Armazenamento/00. Logistica/[Controle de Produtos.xlsx]Produtos'!#REF!,MATCH(IF(ISNUMBER(FIND(" - ",H1015)),LEFT(H1015,FIND(" - ",H1015)-1),H1015),'https://kuryos.sharepoint.com/sites/ServidorKuryos/Shared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",H1015)),LEFT(H1015,FIND(" - ",H1015)-1),H1015),'https://kuryos.sharepoint.com/sites/ServidorKuryos/Shared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M1015:M1031</xm:sqref>
        </x14:conditionalFormatting>
        <x14:conditionalFormatting xmlns:xm="http://schemas.microsoft.com/office/excel/2006/main">
          <x14:cfRule type="expression" priority="20" id="{076A6D2F-EB3C-4C9E-9AC4-F6FC71C6D267}">
            <xm:f>AND(J1022&gt;0,OR(J1022&gt;IFERROR(INDEX('https://kuryos.sharepoint.com/sites/ServidorKuryos/Shared Documents/08. Logistica e Armazenamento/00. Logistica/[Controle de Produtos.xlsx]Produtos'!#REF!,MATCH(IF(ISNUMBER(FIND(" - ",F1022)),LEFT(F1022,FIND(" - ",F1022)-1),F1022),'https://kuryos.sharepoint.com/sites/ServidorKuryos/Shared Documents/08. Logistica e Armazenamento/00. Logistica/[Controle de Produtos.xlsx]Produtos'!#REF!,0)),0)*1.1,AND(J1022&lt;IFERROR(INDEX('https://kuryos.sharepoint.com/sites/ServidorKuryos/Shared Documents/08. Logistica e Armazenamento/00. Logistica/[Controle de Produtos.xlsx]Produtos'!#REF!,MATCH(IF(ISNUMBER(FIND(" - ",F1022)),LEFT(F1022,FIND(" - ",F1022)-1),F1022),'https://kuryos.sharepoint.com/sites/ServidorKuryos/Shared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",F1022)),LEFT(F1022,FIND(" - ",F1022)-1),F1022),'https://kuryos.sharepoint.com/sites/ServidorKuryos/Shared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J1022</xm:sqref>
        </x14:conditionalFormatting>
        <x14:conditionalFormatting xmlns:xm="http://schemas.microsoft.com/office/excel/2006/main">
          <x14:cfRule type="expression" priority="19" id="{B107F292-7944-4007-85AB-1CEB8789C249}">
            <xm:f>AND(K1017&gt;0,OR(K1017&gt;IFERROR(INDEX('https://kuryos.sharepoint.com/sites/ServidorKuryos/Shared Documents/08. Logistica e Armazenamento/00. Logistica/[Controle de Produtos.xlsx]Produtos'!#REF!,MATCH(IF(ISNUMBER(FIND(" - ",G1017)),LEFT(G1017,FIND(" - ",G1017)-1),G1017),'https://kuryos.sharepoint.com/sites/ServidorKuryos/Shared Documents/08. Logistica e Armazenamento/00. Logistica/[Controle de Produtos.xlsx]Produtos'!#REF!,0)),0)*1.1,AND(K1017&lt;IFERROR(INDEX('https://kuryos.sharepoint.com/sites/ServidorKuryos/Shared Documents/08. Logistica e Armazenamento/00. Logistica/[Controle de Produtos.xlsx]Produtos'!#REF!,MATCH(IF(ISNUMBER(FIND(" - ",G1017)),LEFT(G1017,FIND(" - ",G1017)-1),G1017),'https://kuryos.sharepoint.com/sites/ServidorKuryos/Shared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",G1017)),LEFT(G1017,FIND(" - ",G1017)-1),G1017),'https://kuryos.sharepoint.com/sites/ServidorKuryos/Shared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K1017:L1017 L1018 K1018:K1021</xm:sqref>
        </x14:conditionalFormatting>
        <x14:conditionalFormatting xmlns:xm="http://schemas.microsoft.com/office/excel/2006/main">
          <x14:cfRule type="expression" priority="18" id="{5FC0CA03-FA94-4E38-880B-3597AD86C6FF}">
            <xm:f>AND(J1033&gt;0,OR(J1033&gt;IFERROR(INDEX('https://kuryos.sharepoint.com/sites/ServidorKuryos/Shared Documents/08. Logistica e Armazenamento/00. Logistica/[Controle de Produtos.xlsx]Produtos'!#REF!,MATCH(IF(ISNUMBER(FIND(" - ",F1033)),LEFT(F1033,FIND(" - ",F1033)-1),F1033),'https://kuryos.sharepoint.com/sites/ServidorKuryos/Shared Documents/08. Logistica e Armazenamento/00. Logistica/[Controle de Produtos.xlsx]Produtos'!#REF!,0)),0)*1.1,AND(J1033&lt;IFERROR(INDEX('https://kuryos.sharepoint.com/sites/ServidorKuryos/Shared Documents/08. Logistica e Armazenamento/00. Logistica/[Controle de Produtos.xlsx]Produtos'!#REF!,MATCH(IF(ISNUMBER(FIND(" - ",F1033)),LEFT(F1033,FIND(" - ",F1033)-1),F1033),'https://kuryos.sharepoint.com/sites/ServidorKuryos/Shared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",F1033)),LEFT(F1033,FIND(" - ",F1033)-1),F1033),'https://kuryos.sharepoint.com/sites/ServidorKuryos/Shared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J1035:J1036 J1037:L1039 K1040:L1040 J1041:L1049 J1033:L1034</xm:sqref>
        </x14:conditionalFormatting>
        <x14:conditionalFormatting xmlns:xm="http://schemas.microsoft.com/office/excel/2006/main">
          <x14:cfRule type="expression" priority="17" id="{A5081A2F-26D2-4FB3-B54B-15E2FAA5314D}">
            <xm:f>AND(M1033&gt;0,OR(M1033&gt;IFERROR(INDEX('https://kuryos.sharepoint.com/sites/ServidorKuryos/Shared Documents/08. Logistica e Armazenamento/00. Logistica/[Controle de Produtos.xlsx]Produtos'!#REF!,MATCH(IF(ISNUMBER(FIND(" - ",H1033)),LEFT(H1033,FIND(" - ",H1033)-1),H1033),'https://kuryos.sharepoint.com/sites/ServidorKuryos/Shared Documents/08. Logistica e Armazenamento/00. Logistica/[Controle de Produtos.xlsx]Produtos'!#REF!,0)),0)*1.1,AND(M1033&lt;IFERROR(INDEX('https://kuryos.sharepoint.com/sites/ServidorKuryos/Shared Documents/08. Logistica e Armazenamento/00. Logistica/[Controle de Produtos.xlsx]Produtos'!#REF!,MATCH(IF(ISNUMBER(FIND(" - ",H1033)),LEFT(H1033,FIND(" - ",H1033)-1),H1033),'https://kuryos.sharepoint.com/sites/ServidorKuryos/Shared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",H1033)),LEFT(H1033,FIND(" - ",H1033)-1),H1033),'https://kuryos.sharepoint.com/sites/ServidorKuryos/Shared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M1033:M1049</xm:sqref>
        </x14:conditionalFormatting>
        <x14:conditionalFormatting xmlns:xm="http://schemas.microsoft.com/office/excel/2006/main">
          <x14:cfRule type="expression" priority="16" id="{2D432AEE-53FE-470B-B892-C412034B3851}">
            <xm:f>AND(J1040&gt;0,OR(J1040&gt;IFERROR(INDEX('https://kuryos.sharepoint.com/sites/ServidorKuryos/Shared Documents/08. Logistica e Armazenamento/00. Logistica/[Controle de Produtos.xlsx]Produtos'!#REF!,MATCH(IF(ISNUMBER(FIND(" - ",F1040)),LEFT(F1040,FIND(" - ",F1040)-1),F1040),'https://kuryos.sharepoint.com/sites/ServidorKuryos/Shared Documents/08. Logistica e Armazenamento/00. Logistica/[Controle de Produtos.xlsx]Produtos'!#REF!,0)),0)*1.1,AND(J1040&lt;IFERROR(INDEX('https://kuryos.sharepoint.com/sites/ServidorKuryos/Shared Documents/08. Logistica e Armazenamento/00. Logistica/[Controle de Produtos.xlsx]Produtos'!#REF!,MATCH(IF(ISNUMBER(FIND(" - ",F1040)),LEFT(F1040,FIND(" - ",F1040)-1),F1040),'https://kuryos.sharepoint.com/sites/ServidorKuryos/Shared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",F1040)),LEFT(F1040,FIND(" - ",F1040)-1),F1040),'https://kuryos.sharepoint.com/sites/ServidorKuryos/Shared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J1040</xm:sqref>
        </x14:conditionalFormatting>
        <x14:conditionalFormatting xmlns:xm="http://schemas.microsoft.com/office/excel/2006/main">
          <x14:cfRule type="expression" priority="15" id="{3ED32F7B-77E7-4D53-A7D5-6E663B051408}">
            <xm:f>AND(K1035&gt;0,OR(K1035&gt;IFERROR(INDEX('https://kuryos.sharepoint.com/sites/ServidorKuryos/Shared Documents/08. Logistica e Armazenamento/00. Logistica/[Controle de Produtos.xlsx]Produtos'!#REF!,MATCH(IF(ISNUMBER(FIND(" - ",G1035)),LEFT(G1035,FIND(" - ",G1035)-1),G1035),'https://kuryos.sharepoint.com/sites/ServidorKuryos/Shared Documents/08. Logistica e Armazenamento/00. Logistica/[Controle de Produtos.xlsx]Produtos'!#REF!,0)),0)*1.1,AND(K1035&lt;IFERROR(INDEX('https://kuryos.sharepoint.com/sites/ServidorKuryos/Shared Documents/08. Logistica e Armazenamento/00. Logistica/[Controle de Produtos.xlsx]Produtos'!#REF!,MATCH(IF(ISNUMBER(FIND(" - ",G1035)),LEFT(G1035,FIND(" - ",G1035)-1),G1035),'https://kuryos.sharepoint.com/sites/ServidorKuryos/Shared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",G1035)),LEFT(G1035,FIND(" - ",G1035)-1),G1035),'https://kuryos.sharepoint.com/sites/ServidorKuryos/Shared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K1035:L1036</xm:sqref>
        </x14:conditionalFormatting>
        <x14:conditionalFormatting xmlns:xm="http://schemas.microsoft.com/office/excel/2006/main">
          <x14:cfRule type="expression" priority="14" id="{BE078733-AAB9-4769-AA37-0F5E86806F2B}">
            <xm:f>AND(J1051&gt;0,OR(J1051&gt;IFERROR(INDEX('https://kuryos.sharepoint.com/sites/ServidorKuryos/Shared Documents/08. Logistica e Armazenamento/00. Logistica/[Controle de Produtos.xlsx]Produtos'!#REF!,MATCH(IF(ISNUMBER(FIND(" - ",F1051)),LEFT(F1051,FIND(" - ",F1051)-1),F1051),'https://kuryos.sharepoint.com/sites/ServidorKuryos/Shared Documents/08. Logistica e Armazenamento/00. Logistica/[Controle de Produtos.xlsx]Produtos'!#REF!,0)),0)*1.1,AND(J1051&lt;IFERROR(INDEX('https://kuryos.sharepoint.com/sites/ServidorKuryos/Shared Documents/08. Logistica e Armazenamento/00. Logistica/[Controle de Produtos.xlsx]Produtos'!#REF!,MATCH(IF(ISNUMBER(FIND(" - ",F1051)),LEFT(F1051,FIND(" - ",F1051)-1),F1051),'https://kuryos.sharepoint.com/sites/ServidorKuryos/Shared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",F1051)),LEFT(F1051,FIND(" - ",F1051)-1),F1051),'https://kuryos.sharepoint.com/sites/ServidorKuryos/Shared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J1053:J1054 J1055:L1057 K1058:L1058 J1059:L1067 J1051:L1052</xm:sqref>
        </x14:conditionalFormatting>
        <x14:conditionalFormatting xmlns:xm="http://schemas.microsoft.com/office/excel/2006/main">
          <x14:cfRule type="expression" priority="13" id="{DBF020D0-EC82-45A7-B930-8C01AC1437E8}">
            <xm:f>AND(M1051&gt;0,OR(M1051&gt;IFERROR(INDEX('https://kuryos.sharepoint.com/sites/ServidorKuryos/Shared Documents/08. Logistica e Armazenamento/00. Logistica/[Controle de Produtos.xlsx]Produtos'!#REF!,MATCH(IF(ISNUMBER(FIND(" - ",H1051)),LEFT(H1051,FIND(" - ",H1051)-1),H1051),'https://kuryos.sharepoint.com/sites/ServidorKuryos/Shared Documents/08. Logistica e Armazenamento/00. Logistica/[Controle de Produtos.xlsx]Produtos'!#REF!,0)),0)*1.1,AND(M1051&lt;IFERROR(INDEX('https://kuryos.sharepoint.com/sites/ServidorKuryos/Shared Documents/08. Logistica e Armazenamento/00. Logistica/[Controle de Produtos.xlsx]Produtos'!#REF!,MATCH(IF(ISNUMBER(FIND(" - ",H1051)),LEFT(H1051,FIND(" - ",H1051)-1),H1051),'https://kuryos.sharepoint.com/sites/ServidorKuryos/Shared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",H1051)),LEFT(H1051,FIND(" - ",H1051)-1),H1051),'https://kuryos.sharepoint.com/sites/ServidorKuryos/Shared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M1051:M1067</xm:sqref>
        </x14:conditionalFormatting>
        <x14:conditionalFormatting xmlns:xm="http://schemas.microsoft.com/office/excel/2006/main">
          <x14:cfRule type="expression" priority="12" id="{EBB14FD2-1980-4E52-BD44-94163A3A0DF2}">
            <xm:f>AND(J1058&gt;0,OR(J1058&gt;IFERROR(INDEX('https://kuryos.sharepoint.com/sites/ServidorKuryos/Shared Documents/08. Logistica e Armazenamento/00. Logistica/[Controle de Produtos.xlsx]Produtos'!#REF!,MATCH(IF(ISNUMBER(FIND(" - ",F1058)),LEFT(F1058,FIND(" - ",F1058)-1),F1058),'https://kuryos.sharepoint.com/sites/ServidorKuryos/Shared Documents/08. Logistica e Armazenamento/00. Logistica/[Controle de Produtos.xlsx]Produtos'!#REF!,0)),0)*1.1,AND(J1058&lt;IFERROR(INDEX('https://kuryos.sharepoint.com/sites/ServidorKuryos/Shared Documents/08. Logistica e Armazenamento/00. Logistica/[Controle de Produtos.xlsx]Produtos'!#REF!,MATCH(IF(ISNUMBER(FIND(" - ",F1058)),LEFT(F1058,FIND(" - ",F1058)-1),F1058),'https://kuryos.sharepoint.com/sites/ServidorKuryos/Shared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",F1058)),LEFT(F1058,FIND(" - ",F1058)-1),F1058),'https://kuryos.sharepoint.com/sites/ServidorKuryos/Shared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J1058</xm:sqref>
        </x14:conditionalFormatting>
        <x14:conditionalFormatting xmlns:xm="http://schemas.microsoft.com/office/excel/2006/main">
          <x14:cfRule type="expression" priority="11" id="{8C769CD7-ED7C-4BFD-B713-9CC3BE32CD77}">
            <xm:f>AND(K1053&gt;0,OR(K1053&gt;IFERROR(INDEX('https://kuryos.sharepoint.com/sites/ServidorKuryos/Shared Documents/08. Logistica e Armazenamento/00. Logistica/[Controle de Produtos.xlsx]Produtos'!#REF!,MATCH(IF(ISNUMBER(FIND(" - ",G1053)),LEFT(G1053,FIND(" - ",G1053)-1),G1053),'https://kuryos.sharepoint.com/sites/ServidorKuryos/Shared Documents/08. Logistica e Armazenamento/00. Logistica/[Controle de Produtos.xlsx]Produtos'!#REF!,0)),0)*1.1,AND(K1053&lt;IFERROR(INDEX('https://kuryos.sharepoint.com/sites/ServidorKuryos/Shared Documents/08. Logistica e Armazenamento/00. Logistica/[Controle de Produtos.xlsx]Produtos'!#REF!,MATCH(IF(ISNUMBER(FIND(" - ",G1053)),LEFT(G1053,FIND(" - ",G1053)-1),G1053),'https://kuryos.sharepoint.com/sites/ServidorKuryos/Shared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",G1053)),LEFT(G1053,FIND(" - ",G1053)-1),G1053),'https://kuryos.sharepoint.com/sites/ServidorKuryos/Shared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K1053:L1054</xm:sqref>
        </x14:conditionalFormatting>
        <x14:conditionalFormatting xmlns:xm="http://schemas.microsoft.com/office/excel/2006/main">
          <x14:cfRule type="expression" priority="10" id="{900CB301-122C-4D3B-BDE2-625BC21BEBD3}">
            <xm:f>AND(J1069&gt;0,OR(J1069&gt;IFERROR(INDEX('https://kuryos.sharepoint.com/sites/ServidorKuryos/Shared Documents/08. Logistica e Armazenamento/00. Logistica/[Controle de Produtos.xlsx]Produtos'!#REF!,MATCH(IF(ISNUMBER(FIND(" - ",F1069)),LEFT(F1069,FIND(" - ",F1069)-1),F1069),'https://kuryos.sharepoint.com/sites/ServidorKuryos/Shared Documents/08. Logistica e Armazenamento/00. Logistica/[Controle de Produtos.xlsx]Produtos'!#REF!,0)),0)*1.1,AND(J1069&lt;IFERROR(INDEX('https://kuryos.sharepoint.com/sites/ServidorKuryos/Shared Documents/08. Logistica e Armazenamento/00. Logistica/[Controle de Produtos.xlsx]Produtos'!#REF!,MATCH(IF(ISNUMBER(FIND(" - ",F1069)),LEFT(F1069,FIND(" - ",F1069)-1),F1069),'https://kuryos.sharepoint.com/sites/ServidorKuryos/Shared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",F1069)),LEFT(F1069,FIND(" - ",F1069)-1),F1069),'https://kuryos.sharepoint.com/sites/ServidorKuryos/Shared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J1071:J1072 J1073:L1075 K1076:L1076 J1077:L1085 J1069:L1070</xm:sqref>
        </x14:conditionalFormatting>
        <x14:conditionalFormatting xmlns:xm="http://schemas.microsoft.com/office/excel/2006/main">
          <x14:cfRule type="expression" priority="9" id="{E0B71C86-347B-4A5C-917A-D152809B9010}">
            <xm:f>AND(M1069&gt;0,OR(M1069&gt;IFERROR(INDEX('https://kuryos.sharepoint.com/sites/ServidorKuryos/Shared Documents/08. Logistica e Armazenamento/00. Logistica/[Controle de Produtos.xlsx]Produtos'!#REF!,MATCH(IF(ISNUMBER(FIND(" - ",H1069)),LEFT(H1069,FIND(" - ",H1069)-1),H1069),'https://kuryos.sharepoint.com/sites/ServidorKuryos/Shared Documents/08. Logistica e Armazenamento/00. Logistica/[Controle de Produtos.xlsx]Produtos'!#REF!,0)),0)*1.1,AND(M1069&lt;IFERROR(INDEX('https://kuryos.sharepoint.com/sites/ServidorKuryos/Shared Documents/08. Logistica e Armazenamento/00. Logistica/[Controle de Produtos.xlsx]Produtos'!#REF!,MATCH(IF(ISNUMBER(FIND(" - ",H1069)),LEFT(H1069,FIND(" - ",H1069)-1),H1069),'https://kuryos.sharepoint.com/sites/ServidorKuryos/Shared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",H1069)),LEFT(H1069,FIND(" - ",H1069)-1),H1069),'https://kuryos.sharepoint.com/sites/ServidorKuryos/Shared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M1069:M1085</xm:sqref>
        </x14:conditionalFormatting>
        <x14:conditionalFormatting xmlns:xm="http://schemas.microsoft.com/office/excel/2006/main">
          <x14:cfRule type="expression" priority="8" id="{84D1EFD9-FFBC-40A4-9120-41FBEBE8249E}">
            <xm:f>AND(J1076&gt;0,OR(J1076&gt;IFERROR(INDEX('https://kuryos.sharepoint.com/sites/ServidorKuryos/Shared Documents/08. Logistica e Armazenamento/00. Logistica/[Controle de Produtos.xlsx]Produtos'!#REF!,MATCH(IF(ISNUMBER(FIND(" - ",F1076)),LEFT(F1076,FIND(" - ",F1076)-1),F1076),'https://kuryos.sharepoint.com/sites/ServidorKuryos/Shared Documents/08. Logistica e Armazenamento/00. Logistica/[Controle de Produtos.xlsx]Produtos'!#REF!,0)),0)*1.1,AND(J1076&lt;IFERROR(INDEX('https://kuryos.sharepoint.com/sites/ServidorKuryos/Shared Documents/08. Logistica e Armazenamento/00. Logistica/[Controle de Produtos.xlsx]Produtos'!#REF!,MATCH(IF(ISNUMBER(FIND(" - ",F1076)),LEFT(F1076,FIND(" - ",F1076)-1),F1076),'https://kuryos.sharepoint.com/sites/ServidorKuryos/Shared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",F1076)),LEFT(F1076,FIND(" - ",F1076)-1),F1076),'https://kuryos.sharepoint.com/sites/ServidorKuryos/Shared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J1076</xm:sqref>
        </x14:conditionalFormatting>
        <x14:conditionalFormatting xmlns:xm="http://schemas.microsoft.com/office/excel/2006/main">
          <x14:cfRule type="expression" priority="7" id="{5600207A-648F-49DB-8D3C-E232647ED86C}">
            <xm:f>AND(K1071&gt;0,OR(K1071&gt;IFERROR(INDEX('https://kuryos.sharepoint.com/sites/ServidorKuryos/Shared Documents/08. Logistica e Armazenamento/00. Logistica/[Controle de Produtos.xlsx]Produtos'!#REF!,MATCH(IF(ISNUMBER(FIND(" - ",G1071)),LEFT(G1071,FIND(" - ",G1071)-1),G1071),'https://kuryos.sharepoint.com/sites/ServidorKuryos/Shared Documents/08. Logistica e Armazenamento/00. Logistica/[Controle de Produtos.xlsx]Produtos'!#REF!,0)),0)*1.1,AND(K1071&lt;IFERROR(INDEX('https://kuryos.sharepoint.com/sites/ServidorKuryos/Shared Documents/08. Logistica e Armazenamento/00. Logistica/[Controle de Produtos.xlsx]Produtos'!#REF!,MATCH(IF(ISNUMBER(FIND(" - ",G1071)),LEFT(G1071,FIND(" - ",G1071)-1),G1071),'https://kuryos.sharepoint.com/sites/ServidorKuryos/Shared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",G1071)),LEFT(G1071,FIND(" - ",G1071)-1),G1071),'https://kuryos.sharepoint.com/sites/ServidorKuryos/Shared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K1071:L1072</xm:sqref>
        </x14:conditionalFormatting>
        <x14:conditionalFormatting xmlns:xm="http://schemas.microsoft.com/office/excel/2006/main">
          <x14:cfRule type="expression" priority="6" id="{72752BA2-7FFB-478D-BDEC-7A20319442A1}">
            <xm:f>AND(K897&gt;0,OR(K897&gt;IFERROR(INDEX('https://kuryos.sharepoint.com/sites/ServidorKuryos/Shared Documents/08. Logistica e Armazenamento/00. Logistica/[Controle de Produtos.xlsx]Produtos'!#REF!,MATCH(IF(ISNUMBER(FIND(" - ",G897)),LEFT(G897,FIND(" - ",G897)-1),G897),'https://kuryos.sharepoint.com/sites/ServidorKuryos/Shared Documents/08. Logistica e Armazenamento/00. Logistica/[Controle de Produtos.xlsx]Produtos'!#REF!,0)),0)*1.1,AND(K897&lt;IFERROR(INDEX('https://kuryos.sharepoint.com/sites/ServidorKuryos/Shared Documents/08. Logistica e Armazenamento/00. Logistica/[Controle de Produtos.xlsx]Produtos'!#REF!,MATCH(IF(ISNUMBER(FIND(" - ",G897)),LEFT(G897,FIND(" - ",G897)-1),G897),'https://kuryos.sharepoint.com/sites/ServidorKuryos/Shared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",G897)),LEFT(G897,FIND(" - ",G897)-1),G897),'https://kuryos.sharepoint.com/sites/ServidorKuryos/Shared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K897:K900</xm:sqref>
        </x14:conditionalFormatting>
        <x14:conditionalFormatting xmlns:xm="http://schemas.microsoft.com/office/excel/2006/main">
          <x14:cfRule type="expression" priority="5" id="{12A3333B-45CA-4AA3-8004-8CAA0BC836C8}">
            <xm:f>AND(K909&gt;0,OR(K909&gt;IFERROR(INDEX('https://kuryos.sharepoint.com/sites/ServidorKuryos/Shared Documents/08. Logistica e Armazenamento/00. Logistica/[Controle de Produtos.xlsx]Produtos'!#REF!,MATCH(IF(ISNUMBER(FIND(" - ",G909)),LEFT(G909,FIND(" - ",G909)-1),G909),'https://kuryos.sharepoint.com/sites/ServidorKuryos/Shared Documents/08. Logistica e Armazenamento/00. Logistica/[Controle de Produtos.xlsx]Produtos'!#REF!,0)),0)*1.1,AND(K909&lt;IFERROR(INDEX('https://kuryos.sharepoint.com/sites/ServidorKuryos/Shared Documents/08. Logistica e Armazenamento/00. Logistica/[Controle de Produtos.xlsx]Produtos'!#REF!,MATCH(IF(ISNUMBER(FIND(" - ",G909)),LEFT(G909,FIND(" - ",G909)-1),G909),'https://kuryos.sharepoint.com/sites/ServidorKuryos/Shared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",G909)),LEFT(G909,FIND(" - ",G909)-1),G909),'https://kuryos.sharepoint.com/sites/ServidorKuryos/Shared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K909:K913</xm:sqref>
        </x14:conditionalFormatting>
        <x14:conditionalFormatting xmlns:xm="http://schemas.microsoft.com/office/excel/2006/main">
          <x14:cfRule type="expression" priority="4" id="{356807EB-0F2D-4357-8C35-7F5B4E3A94C7}">
            <xm:f>AND(K915&gt;0,OR(K915&gt;IFERROR(INDEX('https://kuryos.sharepoint.com/sites/ServidorKuryos/Shared Documents/08. Logistica e Armazenamento/00. Logistica/[Controle de Produtos.xlsx]Produtos'!#REF!,MATCH(IF(ISNUMBER(FIND(" - ",G915)),LEFT(G915,FIND(" - ",G915)-1),G915),'https://kuryos.sharepoint.com/sites/ServidorKuryos/Shared Documents/08. Logistica e Armazenamento/00. Logistica/[Controle de Produtos.xlsx]Produtos'!#REF!,0)),0)*1.1,AND(K915&lt;IFERROR(INDEX('https://kuryos.sharepoint.com/sites/ServidorKuryos/Shared Documents/08. Logistica e Armazenamento/00. Logistica/[Controle de Produtos.xlsx]Produtos'!#REF!,MATCH(IF(ISNUMBER(FIND(" - ",G915)),LEFT(G915,FIND(" - ",G915)-1),G915),'https://kuryos.sharepoint.com/sites/ServidorKuryos/Shared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",G915)),LEFT(G915,FIND(" - ",G915)-1),G915),'https://kuryos.sharepoint.com/sites/ServidorKuryos/Shared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K915:K918</xm:sqref>
        </x14:conditionalFormatting>
        <x14:conditionalFormatting xmlns:xm="http://schemas.microsoft.com/office/excel/2006/main">
          <x14:cfRule type="expression" priority="3" id="{F730C813-0CE8-4521-A916-439C9B0B3288}">
            <xm:f>AND(K963&gt;0,OR(K963&gt;IFERROR(INDEX('https://kuryos.sharepoint.com/sites/ServidorKuryos/Shared Documents/08. Logistica e Armazenamento/00. Logistica/[Controle de Produtos.xlsx]Produtos'!#REF!,MATCH(IF(ISNUMBER(FIND(" - ",G963)),LEFT(G963,FIND(" - ",G963)-1),G963),'https://kuryos.sharepoint.com/sites/ServidorKuryos/Shared Documents/08. Logistica e Armazenamento/00. Logistica/[Controle de Produtos.xlsx]Produtos'!#REF!,0)),0)*1.1,AND(K963&lt;IFERROR(INDEX('https://kuryos.sharepoint.com/sites/ServidorKuryos/Shared Documents/08. Logistica e Armazenamento/00. Logistica/[Controle de Produtos.xlsx]Produtos'!#REF!,MATCH(IF(ISNUMBER(FIND(" - ",G963)),LEFT(G963,FIND(" - ",G963)-1),G963),'https://kuryos.sharepoint.com/sites/ServidorKuryos/Shared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",G963)),LEFT(G963,FIND(" - ",G963)-1),G963),'https://kuryos.sharepoint.com/sites/ServidorKuryos/Shared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K963:K967</xm:sqref>
        </x14:conditionalFormatting>
        <x14:conditionalFormatting xmlns:xm="http://schemas.microsoft.com/office/excel/2006/main">
          <x14:cfRule type="expression" priority="2" id="{F9DA646D-CF5A-4D99-A9EB-09B7C9ADC9E2}">
            <xm:f>AND(K969&gt;0,OR(K969&gt;IFERROR(INDEX('https://kuryos.sharepoint.com/sites/ServidorKuryos/Shared Documents/08. Logistica e Armazenamento/00. Logistica/[Controle de Produtos.xlsx]Produtos'!#REF!,MATCH(IF(ISNUMBER(FIND(" - ",G969)),LEFT(G969,FIND(" - ",G969)-1),G969),'https://kuryos.sharepoint.com/sites/ServidorKuryos/Shared Documents/08. Logistica e Armazenamento/00. Logistica/[Controle de Produtos.xlsx]Produtos'!#REF!,0)),0)*1.1,AND(K969&lt;IFERROR(INDEX('https://kuryos.sharepoint.com/sites/ServidorKuryos/Shared Documents/08. Logistica e Armazenamento/00. Logistica/[Controle de Produtos.xlsx]Produtos'!#REF!,MATCH(IF(ISNUMBER(FIND(" - ",G969)),LEFT(G969,FIND(" - ",G969)-1),G969),'https://kuryos.sharepoint.com/sites/ServidorKuryos/Shared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",G969)),LEFT(G969,FIND(" - ",G969)-1),G969),'https://kuryos.sharepoint.com/sites/ServidorKuryos/Shared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K969:K972</xm:sqref>
        </x14:conditionalFormatting>
        <x14:conditionalFormatting xmlns:xm="http://schemas.microsoft.com/office/excel/2006/main">
          <x14:cfRule type="expression" priority="1" id="{FB923C73-DA27-47BE-ACED-B04EBA55527B}">
            <xm:f>AND(K1023&gt;0,OR(K1023&gt;IFERROR(INDEX('https://kuryos.sharepoint.com/sites/ServidorKuryos/Shared Documents/08. Logistica e Armazenamento/00. Logistica/[Controle de Produtos.xlsx]Produtos'!#REF!,MATCH(IF(ISNUMBER(FIND(" - ",G1023)),LEFT(G1023,FIND(" - ",G1023)-1),G1023),'https://kuryos.sharepoint.com/sites/ServidorKuryos/Shared Documents/08. Logistica e Armazenamento/00. Logistica/[Controle de Produtos.xlsx]Produtos'!#REF!,0)),0)*1.1,AND(K1023&lt;IFERROR(INDEX('https://kuryos.sharepoint.com/sites/ServidorKuryos/Shared Documents/08. Logistica e Armazenamento/00. Logistica/[Controle de Produtos.xlsx]Produtos'!#REF!,MATCH(IF(ISNUMBER(FIND(" - ",G1023)),LEFT(G1023,FIND(" - ",G1023)-1),G1023),'https://kuryos.sharepoint.com/sites/ServidorKuryos/Shared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",G1023)),LEFT(G1023,FIND(" - ",G1023)-1),G1023),'https://kuryos.sharepoint.com/sites/ServidorKuryos/Shared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K1023:K1026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38D05-E1C4-454D-9C50-B05506133EA3}">
  <dimension ref="A1:W634"/>
  <sheetViews>
    <sheetView showGridLines="0" zoomScale="80" zoomScaleNormal="80" workbookViewId="0">
      <pane xSplit="5" ySplit="4" topLeftCell="F258" activePane="bottomRight" state="frozen"/>
      <selection pane="topRight" activeCell="F1" sqref="F1"/>
      <selection pane="bottomLeft" activeCell="A5" sqref="A5"/>
      <selection pane="bottomRight" activeCell="F407" sqref="F407"/>
    </sheetView>
  </sheetViews>
  <sheetFormatPr defaultColWidth="9.140625" defaultRowHeight="15" x14ac:dyDescent="0.25"/>
  <cols>
    <col min="1" max="1" width="3.85546875" customWidth="1"/>
    <col min="2" max="2" width="2" hidden="1" customWidth="1"/>
    <col min="3" max="3" width="9.42578125" bestFit="1" customWidth="1"/>
    <col min="4" max="4" width="11" bestFit="1" customWidth="1"/>
    <col min="5" max="5" width="14" bestFit="1" customWidth="1"/>
    <col min="6" max="7" width="51.42578125" customWidth="1"/>
    <col min="8" max="8" width="53.85546875" customWidth="1"/>
    <col min="9" max="11" width="20.5703125" customWidth="1"/>
    <col min="12" max="14" width="25.5703125" customWidth="1"/>
    <col min="15" max="15" width="11.42578125" bestFit="1" customWidth="1"/>
    <col min="16" max="16" width="10.5703125" customWidth="1"/>
    <col min="17" max="17" width="20.140625" bestFit="1" customWidth="1"/>
    <col min="18" max="18" width="9.85546875" bestFit="1" customWidth="1"/>
    <col min="19" max="19" width="10.5703125" customWidth="1"/>
    <col min="20" max="20" width="51.5703125" bestFit="1" customWidth="1"/>
    <col min="21" max="21" width="32.5703125" bestFit="1" customWidth="1"/>
    <col min="22" max="22" width="33" bestFit="1" customWidth="1"/>
    <col min="23" max="23" width="15.5703125" customWidth="1"/>
    <col min="24" max="27" width="10.42578125" bestFit="1" customWidth="1"/>
  </cols>
  <sheetData>
    <row r="1" spans="1:23" x14ac:dyDescent="0.25">
      <c r="A1" s="442" t="s">
        <v>310</v>
      </c>
      <c r="B1" s="111"/>
      <c r="C1" s="204" t="s">
        <v>451</v>
      </c>
      <c r="D1" s="204" t="s">
        <v>452</v>
      </c>
      <c r="E1" s="204" t="s">
        <v>433</v>
      </c>
      <c r="F1" s="204" t="s">
        <v>449</v>
      </c>
      <c r="G1" s="204"/>
      <c r="H1" s="204" t="s">
        <v>437</v>
      </c>
      <c r="I1" s="204"/>
      <c r="J1" s="204"/>
      <c r="K1" s="204"/>
      <c r="L1" s="204"/>
      <c r="M1" s="204"/>
      <c r="N1" s="204"/>
      <c r="Q1" s="204" t="s">
        <v>580</v>
      </c>
    </row>
    <row r="2" spans="1:23" x14ac:dyDescent="0.25">
      <c r="A2" s="442"/>
      <c r="B2" s="111"/>
      <c r="C2" s="203">
        <f>INDEX([1]Produtos!$L:$L,MATCH(LEFT(H2,IFERROR(FIND(" - ",H2),FIND(" &gt; ",H2))-1),[1]Produtos!$C:$C,0))</f>
        <v>843.58780095852239</v>
      </c>
      <c r="D2" s="235">
        <f>C2*9</f>
        <v>7592.2902086267013</v>
      </c>
      <c r="E2" s="205">
        <v>60000</v>
      </c>
      <c r="F2" s="234">
        <f>E2/(C2)</f>
        <v>71.124783848018311</v>
      </c>
      <c r="G2" s="240">
        <f>E2/(C2*9)</f>
        <v>7.9027537608909242</v>
      </c>
      <c r="H2" s="623" t="s">
        <v>1854</v>
      </c>
      <c r="I2" s="534"/>
      <c r="J2" s="534"/>
      <c r="K2" s="534"/>
      <c r="L2" s="534"/>
      <c r="M2" s="534"/>
      <c r="N2" s="534"/>
      <c r="Q2" s="234">
        <f>COUNTIF(F:H,"="&amp;$H$2)-COUNTIF(F1:H4,"="&amp;$H$2)</f>
        <v>74</v>
      </c>
      <c r="R2" s="508">
        <f>Q2*C2</f>
        <v>62425.49727093066</v>
      </c>
    </row>
    <row r="3" spans="1:23" ht="9.9499999999999993" customHeight="1" thickBot="1" x14ac:dyDescent="0.3">
      <c r="A3" s="442"/>
      <c r="B3" s="111"/>
      <c r="C3" s="111"/>
      <c r="D3" s="111"/>
      <c r="E3" s="111"/>
      <c r="F3" s="122"/>
      <c r="G3" s="122"/>
      <c r="H3" s="122"/>
      <c r="I3" s="122"/>
      <c r="J3" s="122"/>
      <c r="K3" s="122"/>
      <c r="L3" s="122"/>
      <c r="M3" s="122"/>
      <c r="N3" s="122"/>
      <c r="Q3" s="204"/>
      <c r="R3" s="204"/>
      <c r="V3" s="204"/>
    </row>
    <row r="4" spans="1:23" ht="18" customHeight="1" thickBot="1" x14ac:dyDescent="0.3">
      <c r="A4" s="443"/>
      <c r="B4" s="444" t="s">
        <v>157</v>
      </c>
      <c r="C4" s="462" t="s">
        <v>158</v>
      </c>
      <c r="D4" s="463" t="s">
        <v>201</v>
      </c>
      <c r="E4" s="464" t="s">
        <v>159</v>
      </c>
      <c r="F4" s="465" t="s">
        <v>1201</v>
      </c>
      <c r="G4" s="465" t="s">
        <v>1202</v>
      </c>
      <c r="H4" s="465" t="s">
        <v>1352</v>
      </c>
      <c r="I4" s="465" t="s">
        <v>1460</v>
      </c>
      <c r="J4" s="465" t="s">
        <v>1461</v>
      </c>
      <c r="K4" s="465" t="s">
        <v>1462</v>
      </c>
      <c r="L4" s="465" t="s">
        <v>1446</v>
      </c>
      <c r="M4" s="465" t="s">
        <v>1447</v>
      </c>
      <c r="N4" s="550" t="s">
        <v>1448</v>
      </c>
      <c r="O4" s="551" t="s">
        <v>1463</v>
      </c>
      <c r="P4" s="549" t="s">
        <v>1464</v>
      </c>
      <c r="Q4" s="509"/>
    </row>
    <row r="5" spans="1:23" ht="4.5" customHeight="1" thickBot="1" x14ac:dyDescent="0.3">
      <c r="I5" s="445"/>
      <c r="J5" s="445"/>
    </row>
    <row r="6" spans="1:23" ht="15.75" customHeight="1" thickBot="1" x14ac:dyDescent="0.3">
      <c r="A6" s="752">
        <v>21</v>
      </c>
      <c r="C6" s="538"/>
      <c r="D6" s="539"/>
      <c r="E6" s="539"/>
      <c r="F6" s="539"/>
      <c r="G6" s="539"/>
      <c r="H6" s="539"/>
      <c r="I6" s="606">
        <f t="shared" ref="I6:N6" ca="1" si="0">_xlfn.AGGREGATE(9,6,I7:I22)</f>
        <v>5400</v>
      </c>
      <c r="J6" s="607">
        <f t="shared" ca="1" si="0"/>
        <v>5400</v>
      </c>
      <c r="K6" s="544">
        <f t="shared" ca="1" si="0"/>
        <v>0</v>
      </c>
      <c r="L6" s="560">
        <f t="shared" si="0"/>
        <v>6480</v>
      </c>
      <c r="M6" s="561">
        <f t="shared" si="0"/>
        <v>4590</v>
      </c>
      <c r="N6" s="562">
        <f t="shared" si="0"/>
        <v>0</v>
      </c>
      <c r="O6" s="548">
        <f ca="1">SUM(I6:K6)</f>
        <v>10800</v>
      </c>
      <c r="P6" s="549">
        <f>SUM(L6:N6)</f>
        <v>11070</v>
      </c>
      <c r="Q6" s="3"/>
      <c r="R6" s="3"/>
      <c r="T6" s="570" t="s">
        <v>437</v>
      </c>
      <c r="U6" s="571" t="str">
        <f>"Qtd. Total "&amp;TEXT(D7,"dd/mm/aaaa")&amp;" - "&amp;TEXT(D79,"dd/mm/aaaa")</f>
        <v>Qtd. Total 25/05/2026 - 29/05/2026</v>
      </c>
      <c r="V6" s="571" t="str">
        <f>"Produzido "&amp;TEXT(D7,"dd/mm/aaaa")&amp;" - "&amp;TEXT(D79,"dd/mm/aaaa")</f>
        <v>Produzido 25/05/2026 - 29/05/2026</v>
      </c>
      <c r="W6" s="572" t="s">
        <v>1536</v>
      </c>
    </row>
    <row r="7" spans="1:23" x14ac:dyDescent="0.25">
      <c r="A7" s="752"/>
      <c r="C7" s="496" t="s">
        <v>161</v>
      </c>
      <c r="D7" s="507">
        <v>46167</v>
      </c>
      <c r="E7" s="498" t="s">
        <v>573</v>
      </c>
      <c r="F7" s="514"/>
      <c r="G7" s="514"/>
      <c r="H7" s="514"/>
      <c r="I7" s="537" cm="1">
        <f t="array" aca="1" ref="I7" ca="1">IFERROR(_xlfn.LET(_xlpm.produto,TRIM(F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7" s="537" cm="1">
        <f t="array" aca="1" ref="J7" ca="1">IFERROR(_xlfn.LET(_xlpm.produto,TRIM(G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7" s="537" cm="1">
        <f t="array" aca="1" ref="K7" ca="1">IFERROR(_xlfn.LET(_xlpm.produto,TRIM(H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7" s="563"/>
      <c r="M7" s="563"/>
      <c r="N7" s="563"/>
      <c r="T7" s="591" t="str" cm="1">
        <f t="array" aca="1" ref="T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ROSE MIRAGE 200ML -  &gt; 05</v>
      </c>
      <c r="U7" s="576">
        <f t="shared" ref="U7:U20" ca="1" si="1">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7,IF(_xlpm.p&lt;&gt;"",SUMIF(_xlpm.rF,_xlpm.p,_xlpm.rI)+SUMIF(_xlpm.rG,_xlpm.p,_xlpm.rJ)+SUMIF(_xlpm.rH,_xlpm.p,_xlpm.rK),""))</f>
        <v>7800</v>
      </c>
      <c r="V7" s="585"/>
      <c r="W7" s="581">
        <f ca="1">IFERROR(V7*INDEX([2]Pedidos!$Q:$Q,MATCH(T7,[2]Pedidos!$E:$E,0)),0)</f>
        <v>0</v>
      </c>
    </row>
    <row r="8" spans="1:23" x14ac:dyDescent="0.25">
      <c r="A8" s="752"/>
      <c r="C8" s="525" t="s">
        <v>161</v>
      </c>
      <c r="D8" s="453">
        <f t="shared" ref="D8:D22" si="2">D7</f>
        <v>46167</v>
      </c>
      <c r="E8" s="500" t="s">
        <v>162</v>
      </c>
      <c r="F8" s="460" t="s">
        <v>1765</v>
      </c>
      <c r="G8" s="460" t="s">
        <v>1768</v>
      </c>
      <c r="H8" s="460"/>
      <c r="I8" s="540">
        <v>600</v>
      </c>
      <c r="J8" s="540">
        <v>600</v>
      </c>
      <c r="K8" s="545"/>
      <c r="L8" s="555">
        <f>I8*INDEX([2]Pedidos!$Q:$Q,MATCH(F8,[2]Pedidos!$E:$E,0))</f>
        <v>720</v>
      </c>
      <c r="M8" s="564">
        <f>J8*INDEX([2]Pedidos!$Q:$Q,MATCH(G8,[2]Pedidos!$E:$E,0))</f>
        <v>510</v>
      </c>
      <c r="N8" s="555" t="e">
        <f>K8*INDEX([2]Pedidos!$Q:$Q,MATCH(H8,[2]Pedidos!$E:$E,0))</f>
        <v>#N/A</v>
      </c>
      <c r="T8" s="592" t="str" cm="1">
        <f t="array" aca="1" ref="T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ROUGE OUT 200ML -  &gt; 05</v>
      </c>
      <c r="U8" s="576">
        <f t="shared" ca="1" si="1"/>
        <v>6000</v>
      </c>
      <c r="V8" s="586"/>
      <c r="W8" s="582">
        <f ca="1">IFERROR(V8*INDEX([2]Pedidos!$Q:$Q,MATCH(T8,[2]Pedidos!$E:$E,0)),0)</f>
        <v>0</v>
      </c>
    </row>
    <row r="9" spans="1:23" x14ac:dyDescent="0.25">
      <c r="A9" s="752"/>
      <c r="C9" s="526" t="s">
        <v>161</v>
      </c>
      <c r="D9" s="453">
        <f t="shared" si="2"/>
        <v>46167</v>
      </c>
      <c r="E9" s="454" t="s">
        <v>163</v>
      </c>
      <c r="F9" s="460" t="s">
        <v>1765</v>
      </c>
      <c r="G9" s="460" t="s">
        <v>1768</v>
      </c>
      <c r="H9" s="460"/>
      <c r="I9" s="540">
        <v>600</v>
      </c>
      <c r="J9" s="540">
        <v>600</v>
      </c>
      <c r="K9" s="545"/>
      <c r="L9" s="564">
        <f>I9*INDEX([2]Pedidos!$Q:$Q,MATCH(F9,[2]Pedidos!$E:$E,0))</f>
        <v>720</v>
      </c>
      <c r="M9" s="564">
        <f>J9*INDEX([2]Pedidos!$Q:$Q,MATCH(G9,[2]Pedidos!$E:$E,0))</f>
        <v>510</v>
      </c>
      <c r="N9" s="564" t="e">
        <f>K9*INDEX([2]Pedidos!$Q:$Q,MATCH(H9,[2]Pedidos!$E:$E,0))</f>
        <v>#N/A</v>
      </c>
      <c r="T9" s="591" t="str" cm="1">
        <f t="array" aca="1" ref="T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FORÇA DO LEAO &gt; 0006</v>
      </c>
      <c r="U9" s="576">
        <f t="shared" ca="1" si="1"/>
        <v>22728</v>
      </c>
      <c r="V9" s="586"/>
      <c r="W9" s="582">
        <f ca="1">IFERROR(V9*INDEX([2]Pedidos!$Q:$Q,MATCH(T9,[2]Pedidos!$E:$E,0)),0)</f>
        <v>0</v>
      </c>
    </row>
    <row r="10" spans="1:23" x14ac:dyDescent="0.25">
      <c r="A10" s="752"/>
      <c r="C10" s="526" t="s">
        <v>161</v>
      </c>
      <c r="D10" s="453">
        <f t="shared" si="2"/>
        <v>46167</v>
      </c>
      <c r="E10" s="454" t="s">
        <v>164</v>
      </c>
      <c r="F10" s="460" t="s">
        <v>1765</v>
      </c>
      <c r="G10" s="460" t="s">
        <v>1768</v>
      </c>
      <c r="H10" s="460"/>
      <c r="I10" s="540">
        <v>600</v>
      </c>
      <c r="J10" s="540">
        <v>600</v>
      </c>
      <c r="K10" s="545"/>
      <c r="L10" s="564">
        <f>I10*INDEX([2]Pedidos!$Q:$Q,MATCH(F10,[2]Pedidos!$E:$E,0))</f>
        <v>720</v>
      </c>
      <c r="M10" s="564">
        <f>J10*INDEX([2]Pedidos!$Q:$Q,MATCH(G10,[2]Pedidos!$E:$E,0))</f>
        <v>510</v>
      </c>
      <c r="N10" s="564" t="e">
        <f>K10*INDEX([2]Pedidos!$Q:$Q,MATCH(H10,[2]Pedidos!$E:$E,0))</f>
        <v>#N/A</v>
      </c>
      <c r="T10" s="592" t="str" cm="1">
        <f t="array" aca="1" ref="T1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LEAO DO DESERTO BOURBON 200ml &gt; 0008</v>
      </c>
      <c r="U10" s="576">
        <f t="shared" ca="1" si="1"/>
        <v>5400</v>
      </c>
      <c r="V10" s="586"/>
      <c r="W10" s="582">
        <f ca="1">IFERROR(V10*INDEX([2]Pedidos!$Q:$Q,MATCH(T10,[2]Pedidos!$E:$E,0)),0)</f>
        <v>0</v>
      </c>
    </row>
    <row r="11" spans="1:23" x14ac:dyDescent="0.25">
      <c r="A11" s="752"/>
      <c r="C11" s="526" t="s">
        <v>161</v>
      </c>
      <c r="D11" s="453">
        <f t="shared" si="2"/>
        <v>46167</v>
      </c>
      <c r="E11" s="454" t="s">
        <v>165</v>
      </c>
      <c r="F11" s="460" t="s">
        <v>1765</v>
      </c>
      <c r="G11" s="460" t="s">
        <v>1768</v>
      </c>
      <c r="H11" s="460"/>
      <c r="I11" s="540">
        <v>600</v>
      </c>
      <c r="J11" s="540">
        <v>600</v>
      </c>
      <c r="K11" s="545"/>
      <c r="L11" s="564">
        <f>I11*INDEX([2]Pedidos!$Q:$Q,MATCH(F11,[2]Pedidos!$E:$E,0))</f>
        <v>720</v>
      </c>
      <c r="M11" s="564">
        <f>J11*INDEX([2]Pedidos!$Q:$Q,MATCH(G11,[2]Pedidos!$E:$E,0))</f>
        <v>510</v>
      </c>
      <c r="N11" s="564" t="e">
        <f>K11*INDEX([2]Pedidos!$Q:$Q,MATCH(H11,[2]Pedidos!$E:$E,0))</f>
        <v>#N/A</v>
      </c>
      <c r="T11" s="591" t="str" cm="1">
        <f t="array" aca="1" ref="T1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CEU INFINITO 200ml &gt; 0008</v>
      </c>
      <c r="U11" s="576">
        <f t="shared" ca="1" si="1"/>
        <v>15999.999999999989</v>
      </c>
      <c r="V11" s="586"/>
      <c r="W11" s="582">
        <f ca="1">IFERROR(V11*INDEX([2]Pedidos!$Q:$Q,MATCH(T11,[2]Pedidos!$E:$E,0)),0)</f>
        <v>0</v>
      </c>
    </row>
    <row r="12" spans="1:23" x14ac:dyDescent="0.25">
      <c r="A12" s="752"/>
      <c r="C12" s="526" t="s">
        <v>161</v>
      </c>
      <c r="D12" s="453">
        <f t="shared" si="2"/>
        <v>46167</v>
      </c>
      <c r="E12" s="454" t="s">
        <v>166</v>
      </c>
      <c r="F12" s="460" t="s">
        <v>1765</v>
      </c>
      <c r="G12" s="460" t="s">
        <v>1768</v>
      </c>
      <c r="H12" s="460"/>
      <c r="I12" s="540">
        <v>600</v>
      </c>
      <c r="J12" s="540">
        <v>600</v>
      </c>
      <c r="K12" s="545"/>
      <c r="L12" s="564">
        <f>I12*INDEX([2]Pedidos!$Q:$Q,MATCH(F12,[2]Pedidos!$E:$E,0))</f>
        <v>720</v>
      </c>
      <c r="M12" s="564">
        <f>J12*INDEX([2]Pedidos!$Q:$Q,MATCH(G12,[2]Pedidos!$E:$E,0))</f>
        <v>510</v>
      </c>
      <c r="N12" s="564" t="e">
        <f>K12*INDEX([2]Pedidos!$Q:$Q,MATCH(H12,[2]Pedidos!$E:$E,0))</f>
        <v>#N/A</v>
      </c>
      <c r="T12" s="592" t="str" cm="1">
        <f t="array" aca="1" ref="T1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AMBAR REAL 200ml &gt; 0008</v>
      </c>
      <c r="U12" s="576">
        <f t="shared" ca="1" si="1"/>
        <v>10666.666666666664</v>
      </c>
      <c r="V12" s="586"/>
      <c r="W12" s="582">
        <f ca="1">IFERROR(V12*INDEX([2]Pedidos!$Q:$Q,MATCH(T12,[2]Pedidos!$E:$E,0)),0)</f>
        <v>0</v>
      </c>
    </row>
    <row r="13" spans="1:23" x14ac:dyDescent="0.25">
      <c r="A13" s="752"/>
      <c r="C13" s="526" t="s">
        <v>161</v>
      </c>
      <c r="D13" s="453">
        <f t="shared" si="2"/>
        <v>46167</v>
      </c>
      <c r="E13" s="454" t="s">
        <v>576</v>
      </c>
      <c r="F13" s="512"/>
      <c r="G13" s="512"/>
      <c r="H13" s="512"/>
      <c r="I13" s="554" cm="1">
        <f t="array" aca="1" ref="I13" ca="1">IFERROR(_xlfn.LET(_xlpm.produto,TRIM(F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3" s="554" cm="1">
        <f t="array" aca="1" ref="J13" ca="1">IFERROR(_xlfn.LET(_xlpm.produto,TRIM(G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3" s="554" cm="1">
        <f t="array" aca="1" ref="K13" ca="1">IFERROR(_xlfn.LET(_xlpm.produto,TRIM(H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3" s="556"/>
      <c r="M13" s="556"/>
      <c r="N13" s="556"/>
      <c r="T13" s="591" t="str" cm="1">
        <f t="array" aca="1" ref="T1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CLAIRE 120ml &gt; FABIANO 22/01/26</v>
      </c>
      <c r="U13" s="576">
        <f t="shared" ca="1" si="1"/>
        <v>19999.999999999996</v>
      </c>
      <c r="V13" s="586"/>
      <c r="W13" s="582">
        <f ca="1">IFERROR(V13*INDEX([2]Pedidos!$Q:$Q,MATCH(T13,[2]Pedidos!$E:$E,0)),0)</f>
        <v>0</v>
      </c>
    </row>
    <row r="14" spans="1:23" x14ac:dyDescent="0.25">
      <c r="A14" s="752"/>
      <c r="C14" s="527" t="s">
        <v>161</v>
      </c>
      <c r="D14" s="449">
        <f t="shared" si="2"/>
        <v>46167</v>
      </c>
      <c r="E14" s="454" t="s">
        <v>167</v>
      </c>
      <c r="F14" s="460" t="s">
        <v>1765</v>
      </c>
      <c r="G14" s="460" t="s">
        <v>1768</v>
      </c>
      <c r="H14" s="460"/>
      <c r="I14" s="540">
        <v>600</v>
      </c>
      <c r="J14" s="540">
        <v>600</v>
      </c>
      <c r="K14" s="545"/>
      <c r="L14" s="565">
        <f>I14*INDEX([2]Pedidos!$Q:$Q,MATCH(F14,[2]Pedidos!$E:$E,0))</f>
        <v>720</v>
      </c>
      <c r="M14" s="564">
        <f>J14*INDEX([2]Pedidos!$Q:$Q,MATCH(G14,[2]Pedidos!$E:$E,0))</f>
        <v>510</v>
      </c>
      <c r="N14" s="565" t="e">
        <f>K14*INDEX([2]Pedidos!$Q:$Q,MATCH(H14,[2]Pedidos!$E:$E,0))</f>
        <v>#N/A</v>
      </c>
      <c r="T14" s="592" t="str" cm="1">
        <f t="array" aca="1" ref="T1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 s="576" t="str">
        <f t="shared" ca="1" si="1"/>
        <v/>
      </c>
      <c r="V14" s="586"/>
      <c r="W14" s="582">
        <f ca="1">IFERROR(V14*INDEX([2]Pedidos!$Q:$Q,MATCH(T14,[2]Pedidos!$E:$E,0)),0)</f>
        <v>0</v>
      </c>
    </row>
    <row r="15" spans="1:23" x14ac:dyDescent="0.25">
      <c r="A15" s="752"/>
      <c r="C15" s="527" t="s">
        <v>161</v>
      </c>
      <c r="D15" s="449">
        <f t="shared" si="2"/>
        <v>46167</v>
      </c>
      <c r="E15" s="454" t="s">
        <v>168</v>
      </c>
      <c r="F15" s="460" t="s">
        <v>1765</v>
      </c>
      <c r="G15" s="460" t="s">
        <v>1768</v>
      </c>
      <c r="H15" s="460"/>
      <c r="I15" s="540">
        <v>600</v>
      </c>
      <c r="J15" s="540">
        <v>600</v>
      </c>
      <c r="K15" s="545"/>
      <c r="L15" s="565">
        <f>I15*INDEX([2]Pedidos!$Q:$Q,MATCH(F15,[2]Pedidos!$E:$E,0))</f>
        <v>720</v>
      </c>
      <c r="M15" s="564">
        <f>J15*INDEX([2]Pedidos!$Q:$Q,MATCH(G15,[2]Pedidos!$E:$E,0))</f>
        <v>510</v>
      </c>
      <c r="N15" s="565" t="e">
        <f>K15*INDEX([2]Pedidos!$Q:$Q,MATCH(H15,[2]Pedidos!$E:$E,0))</f>
        <v>#N/A</v>
      </c>
      <c r="T15" s="591" t="str" cm="1">
        <f t="array" aca="1" ref="T1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5" s="576" t="str">
        <f t="shared" ca="1" si="1"/>
        <v/>
      </c>
      <c r="V15" s="586"/>
      <c r="W15" s="582">
        <f ca="1">IFERROR(V15*INDEX([2]Pedidos!$Q:$Q,MATCH(T15,[2]Pedidos!$E:$E,0)),0)</f>
        <v>0</v>
      </c>
    </row>
    <row r="16" spans="1:23" x14ac:dyDescent="0.25">
      <c r="A16" s="752"/>
      <c r="C16" s="527" t="s">
        <v>161</v>
      </c>
      <c r="D16" s="449">
        <f t="shared" si="2"/>
        <v>46167</v>
      </c>
      <c r="E16" s="454" t="s">
        <v>169</v>
      </c>
      <c r="F16" s="460" t="s">
        <v>1765</v>
      </c>
      <c r="G16" s="460" t="s">
        <v>1768</v>
      </c>
      <c r="H16" s="460"/>
      <c r="I16" s="540">
        <v>600</v>
      </c>
      <c r="J16" s="540">
        <v>600</v>
      </c>
      <c r="K16" s="545"/>
      <c r="L16" s="565">
        <f>I16*INDEX([2]Pedidos!$Q:$Q,MATCH(F16,[2]Pedidos!$E:$E,0))</f>
        <v>720</v>
      </c>
      <c r="M16" s="564">
        <f>J16*INDEX([2]Pedidos!$Q:$Q,MATCH(G16,[2]Pedidos!$E:$E,0))</f>
        <v>510</v>
      </c>
      <c r="N16" s="565" t="e">
        <f>K16*INDEX([2]Pedidos!$Q:$Q,MATCH(H16,[2]Pedidos!$E:$E,0))</f>
        <v>#N/A</v>
      </c>
      <c r="T16" s="592" t="str" cm="1">
        <f t="array" aca="1" ref="T1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6" s="576" t="str">
        <f t="shared" ca="1" si="1"/>
        <v/>
      </c>
      <c r="V16" s="586"/>
      <c r="W16" s="582">
        <f ca="1">IFERROR(V16*INDEX([2]Pedidos!$Q:$Q,MATCH(T16,[2]Pedidos!$E:$E,0)),0)</f>
        <v>0</v>
      </c>
    </row>
    <row r="17" spans="1:23" x14ac:dyDescent="0.25">
      <c r="A17" s="752"/>
      <c r="C17" s="527" t="s">
        <v>161</v>
      </c>
      <c r="D17" s="453">
        <f t="shared" si="2"/>
        <v>46167</v>
      </c>
      <c r="E17" s="454" t="s">
        <v>170</v>
      </c>
      <c r="F17" s="460" t="s">
        <v>1765</v>
      </c>
      <c r="G17" s="460" t="s">
        <v>1768</v>
      </c>
      <c r="H17" s="460"/>
      <c r="I17" s="540">
        <v>600</v>
      </c>
      <c r="J17" s="540">
        <v>600</v>
      </c>
      <c r="K17" s="545"/>
      <c r="L17" s="566">
        <f>I17*INDEX([2]Pedidos!$Q:$Q,MATCH(F17,[2]Pedidos!$E:$E,0))</f>
        <v>720</v>
      </c>
      <c r="M17" s="564">
        <f>J17*INDEX([2]Pedidos!$Q:$Q,MATCH(G17,[2]Pedidos!$E:$E,0))</f>
        <v>510</v>
      </c>
      <c r="N17" s="566" t="e">
        <f>K17*INDEX([2]Pedidos!$Q:$Q,MATCH(H17,[2]Pedidos!$E:$E,0))</f>
        <v>#N/A</v>
      </c>
      <c r="T17" s="591" t="str" cm="1">
        <f t="array" aca="1" ref="T1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7" s="576" t="str">
        <f t="shared" ca="1" si="1"/>
        <v/>
      </c>
      <c r="V17" s="586"/>
      <c r="W17" s="582">
        <f ca="1">IFERROR(V17*INDEX([2]Pedidos!$Q:$Q,MATCH(T17,[2]Pedidos!$E:$E,0)),0)</f>
        <v>0</v>
      </c>
    </row>
    <row r="18" spans="1:23" x14ac:dyDescent="0.25">
      <c r="A18" s="752"/>
      <c r="C18" s="527" t="s">
        <v>161</v>
      </c>
      <c r="D18" s="453">
        <f t="shared" si="2"/>
        <v>46167</v>
      </c>
      <c r="E18" s="454" t="s">
        <v>585</v>
      </c>
      <c r="F18" s="505"/>
      <c r="G18" s="505"/>
      <c r="H18" s="505"/>
      <c r="I18" s="516" cm="1">
        <f t="array" aca="1" ref="I18" ca="1">IFERROR(_xlfn.LET(_xlpm.produto,TRIM(F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8" s="516" cm="1">
        <f t="array" aca="1" ref="J18" ca="1">IFERROR(_xlfn.LET(_xlpm.produto,TRIM(G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8" s="516" cm="1">
        <f t="array" aca="1" ref="K18" ca="1">IFERROR(_xlfn.LET(_xlpm.produto,TRIM(H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8" s="557"/>
      <c r="M18" s="557"/>
      <c r="N18" s="557"/>
      <c r="T18" s="592" t="str" cm="1">
        <f t="array" aca="1" ref="T1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8" s="576" t="str">
        <f t="shared" ca="1" si="1"/>
        <v/>
      </c>
      <c r="V18" s="586"/>
      <c r="W18" s="582">
        <f ca="1">IFERROR(V18*INDEX([2]Pedidos!$Q:$Q,MATCH(T18,[2]Pedidos!$E:$E,0)),0)</f>
        <v>0</v>
      </c>
    </row>
    <row r="19" spans="1:23" x14ac:dyDescent="0.25">
      <c r="A19" s="752"/>
      <c r="C19" s="527" t="s">
        <v>161</v>
      </c>
      <c r="D19" s="453">
        <f t="shared" si="2"/>
        <v>46167</v>
      </c>
      <c r="E19" s="455" t="s">
        <v>574</v>
      </c>
      <c r="F19" s="505"/>
      <c r="G19" s="505"/>
      <c r="H19" s="505"/>
      <c r="I19" s="516" cm="1">
        <f t="array" aca="1" ref="I19" ca="1">IFERROR(_xlfn.LET(_xlpm.produto,TRIM(F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9" s="516" cm="1">
        <f t="array" aca="1" ref="J19" ca="1">IFERROR(_xlfn.LET(_xlpm.produto,TRIM(G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9" s="516" cm="1">
        <f t="array" aca="1" ref="K19" ca="1">IFERROR(_xlfn.LET(_xlpm.produto,TRIM(H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9" s="557"/>
      <c r="M19" s="557"/>
      <c r="N19" s="557"/>
      <c r="T19" s="591" t="str" cm="1">
        <f t="array" aca="1" ref="T1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9" s="576" t="str">
        <f t="shared" ca="1" si="1"/>
        <v/>
      </c>
      <c r="V19" s="586"/>
      <c r="W19" s="582">
        <f ca="1">IFERROR(V19*INDEX([2]Pedidos!$Q:$Q,MATCH(T19,[2]Pedidos!$E:$E,0)),0)</f>
        <v>0</v>
      </c>
    </row>
    <row r="20" spans="1:23" x14ac:dyDescent="0.25">
      <c r="A20" s="752"/>
      <c r="C20" s="527" t="s">
        <v>161</v>
      </c>
      <c r="D20" s="453">
        <f t="shared" si="2"/>
        <v>46167</v>
      </c>
      <c r="E20" s="455" t="s">
        <v>575</v>
      </c>
      <c r="F20" s="506"/>
      <c r="G20" s="506"/>
      <c r="H20" s="506"/>
      <c r="I20" s="516" cm="1">
        <f t="array" aca="1" ref="I20" ca="1">IFERROR(_xlfn.LET(_xlpm.produto,TRIM(F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0" s="516" cm="1">
        <f t="array" aca="1" ref="J20" ca="1">IFERROR(_xlfn.LET(_xlpm.produto,TRIM(G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0" s="516" cm="1">
        <f t="array" aca="1" ref="K20" ca="1">IFERROR(_xlfn.LET(_xlpm.produto,TRIM(H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0" s="557"/>
      <c r="M20" s="557"/>
      <c r="N20" s="557"/>
      <c r="T20" s="592" t="str" cm="1">
        <f t="array" aca="1" ref="T2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0" s="576" t="str">
        <f t="shared" ca="1" si="1"/>
        <v/>
      </c>
      <c r="V20" s="587"/>
      <c r="W20" s="583">
        <f ca="1">IFERROR(V20*INDEX([2]Pedidos!$Q:$Q,MATCH(T20,[2]Pedidos!$E:$E,0)),0)</f>
        <v>0</v>
      </c>
    </row>
    <row r="21" spans="1:23" x14ac:dyDescent="0.25">
      <c r="A21" s="752"/>
      <c r="C21" s="527" t="s">
        <v>161</v>
      </c>
      <c r="D21" s="453">
        <f t="shared" si="2"/>
        <v>46167</v>
      </c>
      <c r="E21" s="503" t="s">
        <v>583</v>
      </c>
      <c r="F21" s="506"/>
      <c r="G21" s="506"/>
      <c r="H21" s="506"/>
      <c r="I21" s="516" cm="1">
        <f t="array" aca="1" ref="I21" ca="1">IFERROR(_xlfn.LET(_xlpm.produto,TRIM(F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1" s="516" cm="1">
        <f t="array" aca="1" ref="J21" ca="1">IFERROR(_xlfn.LET(_xlpm.produto,TRIM(G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1" s="516" cm="1">
        <f t="array" aca="1" ref="K21" ca="1">IFERROR(_xlfn.LET(_xlpm.produto,TRIM(H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1" s="557"/>
      <c r="M21" s="557"/>
      <c r="N21" s="557"/>
      <c r="T21" s="573" t="s">
        <v>1521</v>
      </c>
      <c r="U21" s="574">
        <f ca="1">SUM(U7:U20)</f>
        <v>88594.666666666657</v>
      </c>
      <c r="V21" s="574">
        <f>SUM(V7:V20)</f>
        <v>0</v>
      </c>
      <c r="W21" s="584">
        <f ca="1">SUM(W7:W20)</f>
        <v>0</v>
      </c>
    </row>
    <row r="22" spans="1:23" ht="15.75" thickBot="1" x14ac:dyDescent="0.3">
      <c r="A22" s="752"/>
      <c r="C22" s="528" t="s">
        <v>161</v>
      </c>
      <c r="D22" s="451">
        <f t="shared" si="2"/>
        <v>46167</v>
      </c>
      <c r="E22" s="459" t="s">
        <v>584</v>
      </c>
      <c r="F22" s="493"/>
      <c r="G22" s="493"/>
      <c r="H22" s="493"/>
      <c r="I22" s="513" cm="1">
        <f t="array" aca="1" ref="I22" ca="1">IFERROR(_xlfn.LET(_xlpm.produto,TRIM(F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2" s="513" cm="1">
        <f t="array" aca="1" ref="J22" ca="1">IFERROR(_xlfn.LET(_xlpm.produto,TRIM(G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2" s="513" cm="1">
        <f t="array" aca="1" ref="K22" ca="1">IFERROR(_xlfn.LET(_xlpm.produto,TRIM(H22)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2" s="558"/>
      <c r="M22" s="558"/>
      <c r="N22" s="558"/>
    </row>
    <row r="23" spans="1:23" ht="4.5" customHeight="1" thickBot="1" x14ac:dyDescent="0.3">
      <c r="A23" s="752"/>
      <c r="I23" s="445"/>
      <c r="J23" s="445"/>
      <c r="L23" s="559"/>
      <c r="M23" s="559"/>
      <c r="N23" s="559"/>
      <c r="Q23" s="3"/>
      <c r="R23" s="3"/>
    </row>
    <row r="24" spans="1:23" ht="15.75" thickBot="1" x14ac:dyDescent="0.3">
      <c r="A24" s="752"/>
      <c r="C24" s="538"/>
      <c r="D24" s="539"/>
      <c r="E24" s="539"/>
      <c r="F24" s="539"/>
      <c r="G24" s="539"/>
      <c r="H24" s="539"/>
      <c r="I24" s="606">
        <f t="shared" ref="I24:K24" ca="1" si="3">_xlfn.AGGREGATE(9,6,I25:I40)</f>
        <v>5400</v>
      </c>
      <c r="J24" s="607">
        <f t="shared" ca="1" si="3"/>
        <v>5400</v>
      </c>
      <c r="K24" s="544">
        <f t="shared" ca="1" si="3"/>
        <v>0</v>
      </c>
      <c r="L24" s="560">
        <f t="shared" ref="L24:N24" si="4">_xlfn.AGGREGATE(9,6,L25:L40)</f>
        <v>6480</v>
      </c>
      <c r="M24" s="561">
        <f t="shared" si="4"/>
        <v>4590</v>
      </c>
      <c r="N24" s="562">
        <f t="shared" si="4"/>
        <v>0</v>
      </c>
      <c r="O24" s="548">
        <f ca="1">SUM(I24:K24)</f>
        <v>10800</v>
      </c>
      <c r="P24" s="549">
        <f>SUM(L24:N24)</f>
        <v>11070</v>
      </c>
      <c r="Q24" s="3"/>
      <c r="R24" s="3"/>
    </row>
    <row r="25" spans="1:23" x14ac:dyDescent="0.25">
      <c r="A25" s="752"/>
      <c r="C25" s="446" t="s">
        <v>171</v>
      </c>
      <c r="D25" s="497">
        <f>D22+1</f>
        <v>46168</v>
      </c>
      <c r="E25" s="498" t="s">
        <v>573</v>
      </c>
      <c r="F25" s="514"/>
      <c r="G25" s="514"/>
      <c r="H25" s="514"/>
      <c r="I25" s="537" cm="1">
        <f t="array" aca="1" ref="I25" ca="1">IFERROR(_xlfn.LET(_xlpm.produto,TRIM(F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 s="537" cm="1">
        <f t="array" aca="1" ref="J25" ca="1">IFERROR(_xlfn.LET(_xlpm.produto,TRIM(G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 s="537" cm="1">
        <f t="array" aca="1" ref="K25" ca="1">IFERROR(_xlfn.LET(_xlpm.produto,TRIM(H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 s="563"/>
      <c r="M25" s="563"/>
      <c r="N25" s="563"/>
    </row>
    <row r="26" spans="1:23" x14ac:dyDescent="0.25">
      <c r="A26" s="752"/>
      <c r="C26" s="452" t="s">
        <v>171</v>
      </c>
      <c r="D26" s="499">
        <f t="shared" ref="D26:D40" si="5">D25</f>
        <v>46168</v>
      </c>
      <c r="E26" s="500" t="s">
        <v>162</v>
      </c>
      <c r="F26" s="460" t="s">
        <v>1765</v>
      </c>
      <c r="G26" s="460" t="s">
        <v>1767</v>
      </c>
      <c r="H26" s="460"/>
      <c r="I26" s="540">
        <v>600</v>
      </c>
      <c r="J26" s="540">
        <v>600</v>
      </c>
      <c r="K26" s="545"/>
      <c r="L26" s="555">
        <f>I26*INDEX([2]Pedidos!$Q:$Q,MATCH(F26,[2]Pedidos!$E:$E,0))</f>
        <v>720</v>
      </c>
      <c r="M26" s="564">
        <f>J26*INDEX([2]Pedidos!$Q:$Q,MATCH(G26,[2]Pedidos!$E:$E,0))</f>
        <v>510</v>
      </c>
      <c r="N26" s="555" t="e">
        <f>K26*INDEX([2]Pedidos!$Q:$Q,MATCH(H26,[2]Pedidos!$E:$E,0))</f>
        <v>#N/A</v>
      </c>
    </row>
    <row r="27" spans="1:23" x14ac:dyDescent="0.25">
      <c r="A27" s="752"/>
      <c r="C27" s="452" t="s">
        <v>171</v>
      </c>
      <c r="D27" s="449">
        <f t="shared" si="5"/>
        <v>46168</v>
      </c>
      <c r="E27" s="454" t="s">
        <v>163</v>
      </c>
      <c r="F27" s="460" t="s">
        <v>1765</v>
      </c>
      <c r="G27" s="460" t="s">
        <v>1767</v>
      </c>
      <c r="H27" s="460"/>
      <c r="I27" s="540">
        <v>600</v>
      </c>
      <c r="J27" s="540">
        <v>600</v>
      </c>
      <c r="K27" s="545"/>
      <c r="L27" s="564">
        <f>I27*INDEX([2]Pedidos!$Q:$Q,MATCH(F27,[2]Pedidos!$E:$E,0))</f>
        <v>720</v>
      </c>
      <c r="M27" s="564">
        <f>J27*INDEX([2]Pedidos!$Q:$Q,MATCH(G27,[2]Pedidos!$E:$E,0))</f>
        <v>510</v>
      </c>
      <c r="N27" s="564" t="e">
        <f>K27*INDEX([2]Pedidos!$Q:$Q,MATCH(H27,[2]Pedidos!$E:$E,0))</f>
        <v>#N/A</v>
      </c>
    </row>
    <row r="28" spans="1:23" x14ac:dyDescent="0.25">
      <c r="A28" s="752"/>
      <c r="C28" s="452" t="s">
        <v>171</v>
      </c>
      <c r="D28" s="449">
        <f t="shared" si="5"/>
        <v>46168</v>
      </c>
      <c r="E28" s="454" t="s">
        <v>164</v>
      </c>
      <c r="F28" s="460" t="s">
        <v>1765</v>
      </c>
      <c r="G28" s="460" t="s">
        <v>1767</v>
      </c>
      <c r="H28" s="460"/>
      <c r="I28" s="540">
        <v>600</v>
      </c>
      <c r="J28" s="540">
        <v>600</v>
      </c>
      <c r="K28" s="545"/>
      <c r="L28" s="564">
        <f>I28*INDEX([2]Pedidos!$Q:$Q,MATCH(F28,[2]Pedidos!$E:$E,0))</f>
        <v>720</v>
      </c>
      <c r="M28" s="564">
        <f>J28*INDEX([2]Pedidos!$Q:$Q,MATCH(G28,[2]Pedidos!$E:$E,0))</f>
        <v>510</v>
      </c>
      <c r="N28" s="564" t="e">
        <f>K28*INDEX([2]Pedidos!$Q:$Q,MATCH(H28,[2]Pedidos!$E:$E,0))</f>
        <v>#N/A</v>
      </c>
    </row>
    <row r="29" spans="1:23" x14ac:dyDescent="0.25">
      <c r="A29" s="752"/>
      <c r="C29" s="452" t="s">
        <v>171</v>
      </c>
      <c r="D29" s="449">
        <f t="shared" si="5"/>
        <v>46168</v>
      </c>
      <c r="E29" s="454" t="s">
        <v>165</v>
      </c>
      <c r="F29" s="460" t="s">
        <v>1765</v>
      </c>
      <c r="G29" s="460" t="s">
        <v>1767</v>
      </c>
      <c r="H29" s="460"/>
      <c r="I29" s="540">
        <v>600</v>
      </c>
      <c r="J29" s="540">
        <v>600</v>
      </c>
      <c r="K29" s="545"/>
      <c r="L29" s="564">
        <f>I29*INDEX([2]Pedidos!$Q:$Q,MATCH(F29,[2]Pedidos!$E:$E,0))</f>
        <v>720</v>
      </c>
      <c r="M29" s="564">
        <f>J29*INDEX([2]Pedidos!$Q:$Q,MATCH(G29,[2]Pedidos!$E:$E,0))</f>
        <v>510</v>
      </c>
      <c r="N29" s="564" t="e">
        <f>K29*INDEX([2]Pedidos!$Q:$Q,MATCH(H29,[2]Pedidos!$E:$E,0))</f>
        <v>#N/A</v>
      </c>
    </row>
    <row r="30" spans="1:23" x14ac:dyDescent="0.25">
      <c r="A30" s="752"/>
      <c r="C30" s="452" t="s">
        <v>171</v>
      </c>
      <c r="D30" s="449">
        <f t="shared" si="5"/>
        <v>46168</v>
      </c>
      <c r="E30" s="454" t="s">
        <v>166</v>
      </c>
      <c r="F30" s="460" t="s">
        <v>1766</v>
      </c>
      <c r="G30" s="460" t="s">
        <v>1767</v>
      </c>
      <c r="H30" s="460"/>
      <c r="I30" s="540">
        <v>600</v>
      </c>
      <c r="J30" s="540">
        <v>600</v>
      </c>
      <c r="K30" s="545"/>
      <c r="L30" s="564">
        <f>I30*INDEX([2]Pedidos!$Q:$Q,MATCH(F30,[2]Pedidos!$E:$E,0))</f>
        <v>720</v>
      </c>
      <c r="M30" s="564">
        <f>J30*INDEX([2]Pedidos!$Q:$Q,MATCH(G30,[2]Pedidos!$E:$E,0))</f>
        <v>510</v>
      </c>
      <c r="N30" s="564" t="e">
        <f>K30*INDEX([2]Pedidos!$Q:$Q,MATCH(H30,[2]Pedidos!$E:$E,0))</f>
        <v>#N/A</v>
      </c>
    </row>
    <row r="31" spans="1:23" x14ac:dyDescent="0.25">
      <c r="A31" s="752"/>
      <c r="C31" s="452" t="s">
        <v>171</v>
      </c>
      <c r="D31" s="449">
        <f t="shared" si="5"/>
        <v>46168</v>
      </c>
      <c r="E31" s="454" t="s">
        <v>576</v>
      </c>
      <c r="F31" s="517"/>
      <c r="G31" s="512"/>
      <c r="H31" s="512"/>
      <c r="I31" s="554" cm="1">
        <f t="array" aca="1" ref="I31" ca="1">IFERROR(_xlfn.LET(_xlpm.produto,TRIM(F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1" s="554" cm="1">
        <f t="array" aca="1" ref="J31" ca="1">IFERROR(_xlfn.LET(_xlpm.produto,TRIM(G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1" s="554" cm="1">
        <f t="array" aca="1" ref="K31" ca="1">IFERROR(_xlfn.LET(_xlpm.produto,TRIM(H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1" s="556"/>
      <c r="M31" s="556"/>
      <c r="N31" s="556"/>
    </row>
    <row r="32" spans="1:23" x14ac:dyDescent="0.25">
      <c r="A32" s="752"/>
      <c r="C32" s="452" t="s">
        <v>171</v>
      </c>
      <c r="D32" s="449">
        <f t="shared" si="5"/>
        <v>46168</v>
      </c>
      <c r="E32" s="454" t="s">
        <v>167</v>
      </c>
      <c r="F32" s="460" t="s">
        <v>1766</v>
      </c>
      <c r="G32" s="460" t="s">
        <v>1767</v>
      </c>
      <c r="H32" s="460"/>
      <c r="I32" s="540">
        <v>600</v>
      </c>
      <c r="J32" s="540">
        <v>600</v>
      </c>
      <c r="K32" s="545"/>
      <c r="L32" s="565">
        <f>I32*INDEX([2]Pedidos!$Q:$Q,MATCH(F32,[2]Pedidos!$E:$E,0))</f>
        <v>720</v>
      </c>
      <c r="M32" s="564">
        <f>J32*INDEX([2]Pedidos!$Q:$Q,MATCH(G32,[2]Pedidos!$E:$E,0))</f>
        <v>510</v>
      </c>
      <c r="N32" s="565" t="e">
        <f>K32*INDEX([2]Pedidos!$Q:$Q,MATCH(H32,[2]Pedidos!$E:$E,0))</f>
        <v>#N/A</v>
      </c>
    </row>
    <row r="33" spans="1:18" x14ac:dyDescent="0.25">
      <c r="A33" s="752"/>
      <c r="C33" s="452" t="s">
        <v>171</v>
      </c>
      <c r="D33" s="449">
        <f t="shared" si="5"/>
        <v>46168</v>
      </c>
      <c r="E33" s="454" t="s">
        <v>168</v>
      </c>
      <c r="F33" s="460" t="s">
        <v>1766</v>
      </c>
      <c r="G33" s="460" t="s">
        <v>1767</v>
      </c>
      <c r="H33" s="460"/>
      <c r="I33" s="540">
        <v>600</v>
      </c>
      <c r="J33" s="540">
        <v>600</v>
      </c>
      <c r="K33" s="545"/>
      <c r="L33" s="565">
        <f>I33*INDEX([2]Pedidos!$Q:$Q,MATCH(F33,[2]Pedidos!$E:$E,0))</f>
        <v>720</v>
      </c>
      <c r="M33" s="564">
        <f>J33*INDEX([2]Pedidos!$Q:$Q,MATCH(G33,[2]Pedidos!$E:$E,0))</f>
        <v>510</v>
      </c>
      <c r="N33" s="565" t="e">
        <f>K33*INDEX([2]Pedidos!$Q:$Q,MATCH(H33,[2]Pedidos!$E:$E,0))</f>
        <v>#N/A</v>
      </c>
    </row>
    <row r="34" spans="1:18" x14ac:dyDescent="0.25">
      <c r="A34" s="752"/>
      <c r="C34" s="452" t="s">
        <v>171</v>
      </c>
      <c r="D34" s="449">
        <f t="shared" si="5"/>
        <v>46168</v>
      </c>
      <c r="E34" s="454" t="s">
        <v>169</v>
      </c>
      <c r="F34" s="460" t="s">
        <v>1766</v>
      </c>
      <c r="G34" s="460" t="s">
        <v>1767</v>
      </c>
      <c r="H34" s="460"/>
      <c r="I34" s="540">
        <v>600</v>
      </c>
      <c r="J34" s="540">
        <v>600</v>
      </c>
      <c r="K34" s="545"/>
      <c r="L34" s="565">
        <f>I34*INDEX([2]Pedidos!$Q:$Q,MATCH(F34,[2]Pedidos!$E:$E,0))</f>
        <v>720</v>
      </c>
      <c r="M34" s="564">
        <f>J34*INDEX([2]Pedidos!$Q:$Q,MATCH(G34,[2]Pedidos!$E:$E,0))</f>
        <v>510</v>
      </c>
      <c r="N34" s="565" t="e">
        <f>K34*INDEX([2]Pedidos!$Q:$Q,MATCH(H34,[2]Pedidos!$E:$E,0))</f>
        <v>#N/A</v>
      </c>
    </row>
    <row r="35" spans="1:18" x14ac:dyDescent="0.25">
      <c r="A35" s="752"/>
      <c r="C35" s="452" t="s">
        <v>171</v>
      </c>
      <c r="D35" s="449">
        <f t="shared" si="5"/>
        <v>46168</v>
      </c>
      <c r="E35" s="454" t="s">
        <v>170</v>
      </c>
      <c r="F35" s="460" t="s">
        <v>1766</v>
      </c>
      <c r="G35" s="460" t="s">
        <v>1767</v>
      </c>
      <c r="H35" s="460"/>
      <c r="I35" s="540">
        <v>600</v>
      </c>
      <c r="J35" s="540">
        <v>600</v>
      </c>
      <c r="K35" s="545"/>
      <c r="L35" s="566">
        <f>I35*INDEX([2]Pedidos!$Q:$Q,MATCH(F35,[2]Pedidos!$E:$E,0))</f>
        <v>720</v>
      </c>
      <c r="M35" s="564">
        <f>J35*INDEX([2]Pedidos!$Q:$Q,MATCH(G35,[2]Pedidos!$E:$E,0))</f>
        <v>510</v>
      </c>
      <c r="N35" s="566" t="e">
        <f>K35*INDEX([2]Pedidos!$Q:$Q,MATCH(H35,[2]Pedidos!$E:$E,0))</f>
        <v>#N/A</v>
      </c>
    </row>
    <row r="36" spans="1:18" x14ac:dyDescent="0.25">
      <c r="A36" s="752"/>
      <c r="C36" s="452" t="s">
        <v>171</v>
      </c>
      <c r="D36" s="449">
        <f t="shared" si="5"/>
        <v>46168</v>
      </c>
      <c r="E36" s="454" t="s">
        <v>585</v>
      </c>
      <c r="F36" s="505"/>
      <c r="G36" s="505"/>
      <c r="H36" s="516"/>
      <c r="I36" s="516" cm="1">
        <f t="array" aca="1" ref="I36" ca="1">IFERROR(_xlfn.LET(_xlpm.produto,TRIM(F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 s="516" cm="1">
        <f t="array" aca="1" ref="J36" ca="1">IFERROR(_xlfn.LET(_xlpm.produto,TRIM(G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 s="516" cm="1">
        <f t="array" aca="1" ref="K36" ca="1">IFERROR(_xlfn.LET(_xlpm.produto,TRIM(H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 s="557"/>
      <c r="M36" s="557"/>
      <c r="N36" s="557"/>
    </row>
    <row r="37" spans="1:18" x14ac:dyDescent="0.25">
      <c r="A37" s="752"/>
      <c r="C37" s="448" t="s">
        <v>171</v>
      </c>
      <c r="D37" s="449">
        <f t="shared" si="5"/>
        <v>46168</v>
      </c>
      <c r="E37" s="455" t="s">
        <v>574</v>
      </c>
      <c r="F37" s="505"/>
      <c r="G37" s="505"/>
      <c r="H37" s="516"/>
      <c r="I37" s="516" cm="1">
        <f t="array" aca="1" ref="I37" ca="1">IFERROR(_xlfn.LET(_xlpm.produto,TRIM(F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7" s="516" cm="1">
        <f t="array" aca="1" ref="J37" ca="1">IFERROR(_xlfn.LET(_xlpm.produto,TRIM(G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 s="516" cm="1">
        <f t="array" aca="1" ref="K37" ca="1">IFERROR(_xlfn.LET(_xlpm.produto,TRIM(H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 s="557"/>
      <c r="M37" s="557"/>
      <c r="N37" s="557"/>
    </row>
    <row r="38" spans="1:18" x14ac:dyDescent="0.25">
      <c r="A38" s="752"/>
      <c r="C38" s="448" t="s">
        <v>171</v>
      </c>
      <c r="D38" s="449">
        <f t="shared" si="5"/>
        <v>46168</v>
      </c>
      <c r="E38" s="455" t="s">
        <v>575</v>
      </c>
      <c r="F38" s="506"/>
      <c r="G38" s="506"/>
      <c r="H38" s="516"/>
      <c r="I38" s="516" cm="1">
        <f t="array" aca="1" ref="I38" ca="1">IFERROR(_xlfn.LET(_xlpm.produto,TRIM(F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8" s="516" cm="1">
        <f t="array" aca="1" ref="J38" ca="1">IFERROR(_xlfn.LET(_xlpm.produto,TRIM(G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 s="516" cm="1">
        <f t="array" aca="1" ref="K38" ca="1">IFERROR(_xlfn.LET(_xlpm.produto,TRIM(H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 s="557"/>
      <c r="M38" s="557"/>
      <c r="N38" s="557"/>
    </row>
    <row r="39" spans="1:18" x14ac:dyDescent="0.25">
      <c r="A39" s="752"/>
      <c r="C39" s="448" t="s">
        <v>171</v>
      </c>
      <c r="D39" s="449">
        <f t="shared" si="5"/>
        <v>46168</v>
      </c>
      <c r="E39" s="503" t="s">
        <v>583</v>
      </c>
      <c r="F39" s="506"/>
      <c r="G39" s="506"/>
      <c r="H39" s="516"/>
      <c r="I39" s="516" cm="1">
        <f t="array" aca="1" ref="I39" ca="1">IFERROR(_xlfn.LET(_xlpm.produto,TRIM(F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9" s="516" cm="1">
        <f t="array" aca="1" ref="J39" ca="1">IFERROR(_xlfn.LET(_xlpm.produto,TRIM(G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9" s="516" cm="1">
        <f t="array" aca="1" ref="K39" ca="1">IFERROR(_xlfn.LET(_xlpm.produto,TRIM(H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9" s="557"/>
      <c r="M39" s="557"/>
      <c r="N39" s="557"/>
    </row>
    <row r="40" spans="1:18" ht="15.75" thickBot="1" x14ac:dyDescent="0.3">
      <c r="A40" s="752"/>
      <c r="C40" s="450" t="s">
        <v>171</v>
      </c>
      <c r="D40" s="451">
        <f t="shared" si="5"/>
        <v>46168</v>
      </c>
      <c r="E40" s="459" t="s">
        <v>584</v>
      </c>
      <c r="F40" s="493"/>
      <c r="G40" s="493"/>
      <c r="H40" s="513"/>
      <c r="I40" s="513" cm="1">
        <f t="array" aca="1" ref="I40" ca="1">IFERROR(_xlfn.LET(_xlpm.produto,TRIM(F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0" s="513" cm="1">
        <f t="array" aca="1" ref="J40" ca="1">IFERROR(_xlfn.LET(_xlpm.produto,TRIM(G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0" s="513" cm="1">
        <f t="array" aca="1" ref="K40" ca="1">IFERROR(_xlfn.LET(_xlpm.produto,TRIM(H40)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0" s="558"/>
      <c r="M40" s="558"/>
      <c r="N40" s="558"/>
    </row>
    <row r="41" spans="1:18" ht="4.5" customHeight="1" thickBot="1" x14ac:dyDescent="0.3">
      <c r="A41" s="752"/>
      <c r="I41" s="445"/>
      <c r="J41" s="445"/>
      <c r="L41" s="559"/>
      <c r="M41" s="559"/>
      <c r="N41" s="559"/>
      <c r="Q41" s="3"/>
      <c r="R41" s="3"/>
    </row>
    <row r="42" spans="1:18" ht="15.75" thickBot="1" x14ac:dyDescent="0.3">
      <c r="A42" s="752"/>
      <c r="C42" s="538"/>
      <c r="D42" s="539"/>
      <c r="E42" s="539"/>
      <c r="F42" s="539"/>
      <c r="G42" s="539"/>
      <c r="H42" s="539"/>
      <c r="I42" s="606">
        <f t="shared" ref="I42:N42" ca="1" si="6">_xlfn.AGGREGATE(9,6,I43:I58)</f>
        <v>5400</v>
      </c>
      <c r="J42" s="607">
        <f t="shared" ca="1" si="6"/>
        <v>5400</v>
      </c>
      <c r="K42" s="544">
        <f t="shared" si="6"/>
        <v>0</v>
      </c>
      <c r="L42" s="560">
        <f t="shared" si="6"/>
        <v>6240</v>
      </c>
      <c r="M42" s="561">
        <f t="shared" si="6"/>
        <v>4590</v>
      </c>
      <c r="N42" s="562">
        <f t="shared" si="6"/>
        <v>0</v>
      </c>
      <c r="O42" s="548">
        <f ca="1">SUM(I42:K42)</f>
        <v>10800</v>
      </c>
      <c r="P42" s="549">
        <f>SUM(L42:N42)</f>
        <v>10830</v>
      </c>
      <c r="Q42" s="3"/>
      <c r="R42" s="3"/>
    </row>
    <row r="43" spans="1:18" x14ac:dyDescent="0.25">
      <c r="A43" s="752"/>
      <c r="C43" s="446" t="s">
        <v>172</v>
      </c>
      <c r="D43" s="497">
        <f>D40+1</f>
        <v>46169</v>
      </c>
      <c r="E43" s="498" t="s">
        <v>573</v>
      </c>
      <c r="F43" s="514"/>
      <c r="G43" s="514"/>
      <c r="H43" s="514"/>
      <c r="I43" s="537"/>
      <c r="J43" s="537"/>
      <c r="K43" s="537"/>
      <c r="L43" s="563"/>
      <c r="M43" s="563"/>
      <c r="N43" s="563"/>
    </row>
    <row r="44" spans="1:18" x14ac:dyDescent="0.25">
      <c r="A44" s="752"/>
      <c r="C44" s="452" t="s">
        <v>172</v>
      </c>
      <c r="D44" s="499">
        <f t="shared" ref="D44:D58" si="7">D43</f>
        <v>46169</v>
      </c>
      <c r="E44" s="500" t="s">
        <v>162</v>
      </c>
      <c r="F44" s="460" t="s">
        <v>1766</v>
      </c>
      <c r="G44" s="460" t="s">
        <v>1767</v>
      </c>
      <c r="H44" s="460"/>
      <c r="I44" s="540">
        <v>600</v>
      </c>
      <c r="J44" s="540">
        <v>600</v>
      </c>
      <c r="K44" s="545"/>
      <c r="L44" s="555">
        <f>I44*INDEX([2]Pedidos!$Q:$Q,MATCH(F44,[2]Pedidos!$E:$E,0))</f>
        <v>720</v>
      </c>
      <c r="M44" s="564">
        <f>J44*INDEX([2]Pedidos!$Q:$Q,MATCH(G44,[2]Pedidos!$E:$E,0))</f>
        <v>510</v>
      </c>
      <c r="N44" s="555" t="e">
        <f>K44*INDEX([2]Pedidos!$Q:$Q,MATCH(H44,[2]Pedidos!$E:$E,0))</f>
        <v>#N/A</v>
      </c>
    </row>
    <row r="45" spans="1:18" x14ac:dyDescent="0.25">
      <c r="A45" s="752"/>
      <c r="C45" s="452" t="s">
        <v>172</v>
      </c>
      <c r="D45" s="449">
        <f t="shared" si="7"/>
        <v>46169</v>
      </c>
      <c r="E45" s="454" t="s">
        <v>163</v>
      </c>
      <c r="F45" s="460" t="s">
        <v>1766</v>
      </c>
      <c r="G45" s="460" t="s">
        <v>1767</v>
      </c>
      <c r="H45" s="460"/>
      <c r="I45" s="540">
        <v>600</v>
      </c>
      <c r="J45" s="540">
        <v>600</v>
      </c>
      <c r="K45" s="545"/>
      <c r="L45" s="564">
        <f>I45*INDEX([2]Pedidos!$Q:$Q,MATCH(F45,[2]Pedidos!$E:$E,0))</f>
        <v>720</v>
      </c>
      <c r="M45" s="564">
        <f>J45*INDEX([2]Pedidos!$Q:$Q,MATCH(G45,[2]Pedidos!$E:$E,0))</f>
        <v>510</v>
      </c>
      <c r="N45" s="564" t="e">
        <f>K45*INDEX([2]Pedidos!$Q:$Q,MATCH(H45,[2]Pedidos!$E:$E,0))</f>
        <v>#N/A</v>
      </c>
    </row>
    <row r="46" spans="1:18" x14ac:dyDescent="0.25">
      <c r="A46" s="752"/>
      <c r="C46" s="452" t="s">
        <v>172</v>
      </c>
      <c r="D46" s="449">
        <f t="shared" si="7"/>
        <v>46169</v>
      </c>
      <c r="E46" s="454" t="s">
        <v>164</v>
      </c>
      <c r="F46" s="460" t="s">
        <v>1766</v>
      </c>
      <c r="G46" s="460" t="s">
        <v>1767</v>
      </c>
      <c r="H46" s="460"/>
      <c r="I46" s="540">
        <v>600</v>
      </c>
      <c r="J46" s="540">
        <v>600</v>
      </c>
      <c r="K46" s="545"/>
      <c r="L46" s="564">
        <f>I46*INDEX([2]Pedidos!$Q:$Q,MATCH(F46,[2]Pedidos!$E:$E,0))</f>
        <v>720</v>
      </c>
      <c r="M46" s="564">
        <f>J46*INDEX([2]Pedidos!$Q:$Q,MATCH(G46,[2]Pedidos!$E:$E,0))</f>
        <v>510</v>
      </c>
      <c r="N46" s="564" t="e">
        <f>K46*INDEX([2]Pedidos!$Q:$Q,MATCH(H46,[2]Pedidos!$E:$E,0))</f>
        <v>#N/A</v>
      </c>
    </row>
    <row r="47" spans="1:18" x14ac:dyDescent="0.25">
      <c r="A47" s="752"/>
      <c r="C47" s="452" t="s">
        <v>172</v>
      </c>
      <c r="D47" s="449">
        <f t="shared" si="7"/>
        <v>46169</v>
      </c>
      <c r="E47" s="454" t="s">
        <v>165</v>
      </c>
      <c r="F47" s="460" t="s">
        <v>1766</v>
      </c>
      <c r="G47" s="460" t="s">
        <v>1767</v>
      </c>
      <c r="H47" s="460"/>
      <c r="I47" s="540">
        <v>600</v>
      </c>
      <c r="J47" s="540">
        <v>600</v>
      </c>
      <c r="K47" s="545"/>
      <c r="L47" s="564">
        <f>I47*INDEX([2]Pedidos!$Q:$Q,MATCH(F47,[2]Pedidos!$E:$E,0))</f>
        <v>720</v>
      </c>
      <c r="M47" s="564">
        <f>J47*INDEX([2]Pedidos!$Q:$Q,MATCH(G47,[2]Pedidos!$E:$E,0))</f>
        <v>510</v>
      </c>
      <c r="N47" s="564" t="e">
        <f>K47*INDEX([2]Pedidos!$Q:$Q,MATCH(H47,[2]Pedidos!$E:$E,0))</f>
        <v>#N/A</v>
      </c>
    </row>
    <row r="48" spans="1:18" x14ac:dyDescent="0.25">
      <c r="A48" s="752"/>
      <c r="C48" s="452" t="s">
        <v>172</v>
      </c>
      <c r="D48" s="449">
        <f t="shared" si="7"/>
        <v>46169</v>
      </c>
      <c r="E48" s="454" t="s">
        <v>166</v>
      </c>
      <c r="F48" s="460" t="s">
        <v>1766</v>
      </c>
      <c r="G48" s="460" t="s">
        <v>1767</v>
      </c>
      <c r="H48" s="460"/>
      <c r="I48" s="540">
        <v>600</v>
      </c>
      <c r="J48" s="540">
        <v>600</v>
      </c>
      <c r="K48" s="545"/>
      <c r="L48" s="564">
        <f>I48*INDEX([2]Pedidos!$Q:$Q,MATCH(F48,[2]Pedidos!$E:$E,0))</f>
        <v>720</v>
      </c>
      <c r="M48" s="564">
        <f>J48*INDEX([2]Pedidos!$Q:$Q,MATCH(G48,[2]Pedidos!$E:$E,0))</f>
        <v>510</v>
      </c>
      <c r="N48" s="564" t="e">
        <f>K48*INDEX([2]Pedidos!$Q:$Q,MATCH(H48,[2]Pedidos!$E:$E,0))</f>
        <v>#N/A</v>
      </c>
    </row>
    <row r="49" spans="1:18" x14ac:dyDescent="0.25">
      <c r="A49" s="752"/>
      <c r="C49" s="452" t="s">
        <v>172</v>
      </c>
      <c r="D49" s="449">
        <f t="shared" si="7"/>
        <v>46169</v>
      </c>
      <c r="E49" s="454" t="s">
        <v>576</v>
      </c>
      <c r="F49" s="517"/>
      <c r="G49" s="512"/>
      <c r="H49" s="512"/>
      <c r="I49" s="554" cm="1">
        <f t="array" aca="1" ref="I49" ca="1">IFERROR(_xlfn.LET(_xlpm.produto,TRIM(F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9" s="554" cm="1">
        <f t="array" aca="1" ref="J49" ca="1">IFERROR(_xlfn.LET(_xlpm.produto,TRIM(G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 s="554"/>
      <c r="L49" s="556"/>
      <c r="M49" s="556"/>
      <c r="N49" s="556"/>
    </row>
    <row r="50" spans="1:18" x14ac:dyDescent="0.25">
      <c r="A50" s="752"/>
      <c r="C50" s="452" t="s">
        <v>172</v>
      </c>
      <c r="D50" s="449">
        <f t="shared" si="7"/>
        <v>46169</v>
      </c>
      <c r="E50" s="454" t="s">
        <v>167</v>
      </c>
      <c r="F50" s="460" t="s">
        <v>1854</v>
      </c>
      <c r="G50" s="460" t="s">
        <v>1767</v>
      </c>
      <c r="H50" s="460"/>
      <c r="I50" s="540">
        <v>600</v>
      </c>
      <c r="J50" s="540">
        <v>600</v>
      </c>
      <c r="K50" s="545"/>
      <c r="L50" s="565">
        <f>I50*INDEX([2]Pedidos!$Q:$Q,MATCH(F50,[2]Pedidos!$E:$E,0))</f>
        <v>660</v>
      </c>
      <c r="M50" s="564">
        <f>J50*INDEX([2]Pedidos!$Q:$Q,MATCH(G50,[2]Pedidos!$E:$E,0))</f>
        <v>510</v>
      </c>
      <c r="N50" s="565" t="e">
        <f>K50*INDEX([2]Pedidos!$Q:$Q,MATCH(H50,[2]Pedidos!$E:$E,0))</f>
        <v>#N/A</v>
      </c>
    </row>
    <row r="51" spans="1:18" x14ac:dyDescent="0.25">
      <c r="A51" s="752"/>
      <c r="C51" s="452" t="s">
        <v>172</v>
      </c>
      <c r="D51" s="449">
        <f t="shared" si="7"/>
        <v>46169</v>
      </c>
      <c r="E51" s="454" t="s">
        <v>168</v>
      </c>
      <c r="F51" s="460" t="s">
        <v>1854</v>
      </c>
      <c r="G51" s="460" t="s">
        <v>1767</v>
      </c>
      <c r="H51" s="460"/>
      <c r="I51" s="540">
        <v>600</v>
      </c>
      <c r="J51" s="540">
        <v>600</v>
      </c>
      <c r="K51" s="545"/>
      <c r="L51" s="565">
        <f>I51*INDEX([2]Pedidos!$Q:$Q,MATCH(F51,[2]Pedidos!$E:$E,0))</f>
        <v>660</v>
      </c>
      <c r="M51" s="564">
        <f>J51*INDEX([2]Pedidos!$Q:$Q,MATCH(G51,[2]Pedidos!$E:$E,0))</f>
        <v>510</v>
      </c>
      <c r="N51" s="565" t="e">
        <f>K51*INDEX([2]Pedidos!$Q:$Q,MATCH(H51,[2]Pedidos!$E:$E,0))</f>
        <v>#N/A</v>
      </c>
    </row>
    <row r="52" spans="1:18" x14ac:dyDescent="0.25">
      <c r="A52" s="752"/>
      <c r="C52" s="452" t="s">
        <v>172</v>
      </c>
      <c r="D52" s="449">
        <f t="shared" si="7"/>
        <v>46169</v>
      </c>
      <c r="E52" s="454" t="s">
        <v>169</v>
      </c>
      <c r="F52" s="460" t="s">
        <v>1854</v>
      </c>
      <c r="G52" s="460" t="s">
        <v>1767</v>
      </c>
      <c r="H52" s="460"/>
      <c r="I52" s="540">
        <v>600</v>
      </c>
      <c r="J52" s="540">
        <v>600</v>
      </c>
      <c r="K52" s="545"/>
      <c r="L52" s="565">
        <f>I52*INDEX([2]Pedidos!$Q:$Q,MATCH(F52,[2]Pedidos!$E:$E,0))</f>
        <v>660</v>
      </c>
      <c r="M52" s="564">
        <f>J52*INDEX([2]Pedidos!$Q:$Q,MATCH(G52,[2]Pedidos!$E:$E,0))</f>
        <v>510</v>
      </c>
      <c r="N52" s="565" t="e">
        <f>K52*INDEX([2]Pedidos!$Q:$Q,MATCH(H52,[2]Pedidos!$E:$E,0))</f>
        <v>#N/A</v>
      </c>
    </row>
    <row r="53" spans="1:18" x14ac:dyDescent="0.25">
      <c r="A53" s="752"/>
      <c r="C53" s="452" t="s">
        <v>172</v>
      </c>
      <c r="D53" s="449">
        <f t="shared" si="7"/>
        <v>46169</v>
      </c>
      <c r="E53" s="454" t="s">
        <v>170</v>
      </c>
      <c r="F53" s="460" t="s">
        <v>1854</v>
      </c>
      <c r="G53" s="460" t="s">
        <v>1767</v>
      </c>
      <c r="H53" s="460"/>
      <c r="I53" s="540">
        <v>600</v>
      </c>
      <c r="J53" s="540">
        <v>600</v>
      </c>
      <c r="K53" s="545"/>
      <c r="L53" s="566">
        <f>I53*INDEX([2]Pedidos!$Q:$Q,MATCH(F53,[2]Pedidos!$E:$E,0))</f>
        <v>660</v>
      </c>
      <c r="M53" s="564">
        <f>J53*INDEX([2]Pedidos!$Q:$Q,MATCH(G53,[2]Pedidos!$E:$E,0))</f>
        <v>510</v>
      </c>
      <c r="N53" s="566" t="e">
        <f>K53*INDEX([2]Pedidos!$Q:$Q,MATCH(H53,[2]Pedidos!$E:$E,0))</f>
        <v>#N/A</v>
      </c>
    </row>
    <row r="54" spans="1:18" x14ac:dyDescent="0.25">
      <c r="A54" s="752"/>
      <c r="C54" s="452" t="s">
        <v>172</v>
      </c>
      <c r="D54" s="449">
        <f t="shared" si="7"/>
        <v>46169</v>
      </c>
      <c r="E54" s="454" t="s">
        <v>585</v>
      </c>
      <c r="F54" s="505"/>
      <c r="G54" s="505"/>
      <c r="H54" s="516"/>
      <c r="I54" s="516"/>
      <c r="J54" s="516"/>
      <c r="K54" s="516"/>
      <c r="L54" s="557"/>
      <c r="M54" s="557"/>
      <c r="N54" s="557"/>
    </row>
    <row r="55" spans="1:18" x14ac:dyDescent="0.25">
      <c r="A55" s="752"/>
      <c r="C55" s="448" t="s">
        <v>172</v>
      </c>
      <c r="D55" s="449">
        <f t="shared" si="7"/>
        <v>46169</v>
      </c>
      <c r="E55" s="455" t="s">
        <v>574</v>
      </c>
      <c r="F55" s="505"/>
      <c r="G55" s="505"/>
      <c r="H55" s="516"/>
      <c r="I55" s="516"/>
      <c r="J55" s="516"/>
      <c r="K55" s="516"/>
      <c r="L55" s="557"/>
      <c r="M55" s="557"/>
      <c r="N55" s="557"/>
    </row>
    <row r="56" spans="1:18" x14ac:dyDescent="0.25">
      <c r="A56" s="752"/>
      <c r="C56" s="448" t="s">
        <v>172</v>
      </c>
      <c r="D56" s="449">
        <f t="shared" si="7"/>
        <v>46169</v>
      </c>
      <c r="E56" s="455" t="s">
        <v>575</v>
      </c>
      <c r="F56" s="506"/>
      <c r="G56" s="506"/>
      <c r="H56" s="516"/>
      <c r="I56" s="516"/>
      <c r="J56" s="516"/>
      <c r="K56" s="516"/>
      <c r="L56" s="557"/>
      <c r="M56" s="557"/>
      <c r="N56" s="557"/>
    </row>
    <row r="57" spans="1:18" x14ac:dyDescent="0.25">
      <c r="A57" s="752"/>
      <c r="C57" s="448" t="s">
        <v>172</v>
      </c>
      <c r="D57" s="449">
        <f t="shared" si="7"/>
        <v>46169</v>
      </c>
      <c r="E57" s="503" t="s">
        <v>583</v>
      </c>
      <c r="F57" s="506"/>
      <c r="G57" s="506"/>
      <c r="H57" s="516"/>
      <c r="I57" s="516"/>
      <c r="J57" s="516"/>
      <c r="K57" s="516"/>
      <c r="L57" s="557"/>
      <c r="M57" s="557"/>
      <c r="N57" s="557"/>
    </row>
    <row r="58" spans="1:18" ht="15.75" thickBot="1" x14ac:dyDescent="0.3">
      <c r="A58" s="752"/>
      <c r="C58" s="450" t="s">
        <v>172</v>
      </c>
      <c r="D58" s="451">
        <f t="shared" si="7"/>
        <v>46169</v>
      </c>
      <c r="E58" s="459" t="s">
        <v>584</v>
      </c>
      <c r="F58" s="493"/>
      <c r="G58" s="493"/>
      <c r="H58" s="513"/>
      <c r="I58" s="513"/>
      <c r="J58" s="513"/>
      <c r="K58" s="513"/>
      <c r="L58" s="558"/>
      <c r="M58" s="558"/>
      <c r="N58" s="558"/>
    </row>
    <row r="59" spans="1:18" ht="4.5" customHeight="1" thickBot="1" x14ac:dyDescent="0.3">
      <c r="A59" s="752"/>
      <c r="I59" s="445"/>
      <c r="J59" s="445"/>
      <c r="L59" s="559"/>
      <c r="M59" s="559"/>
      <c r="N59" s="559"/>
      <c r="Q59" s="3"/>
      <c r="R59" s="3"/>
    </row>
    <row r="60" spans="1:18" ht="15.75" thickBot="1" x14ac:dyDescent="0.3">
      <c r="A60" s="752"/>
      <c r="C60" s="538"/>
      <c r="D60" s="539"/>
      <c r="E60" s="539"/>
      <c r="F60" s="539"/>
      <c r="G60" s="539"/>
      <c r="H60" s="539"/>
      <c r="I60" s="606">
        <f t="shared" ref="I60:N60" si="8">_xlfn.AGGREGATE(9,6,I61:I76)</f>
        <v>10164</v>
      </c>
      <c r="J60" s="607">
        <f t="shared" si="8"/>
        <v>5200.0000000000009</v>
      </c>
      <c r="K60" s="544">
        <f t="shared" si="8"/>
        <v>10000.000000000002</v>
      </c>
      <c r="L60" s="560">
        <f t="shared" si="8"/>
        <v>11180.400000000003</v>
      </c>
      <c r="M60" s="561">
        <f t="shared" si="8"/>
        <v>4420</v>
      </c>
      <c r="N60" s="562">
        <f t="shared" si="8"/>
        <v>5500.0000000000018</v>
      </c>
      <c r="O60" s="548">
        <f>SUM(I60:K60)</f>
        <v>25364</v>
      </c>
      <c r="P60" s="549">
        <f>SUM(L60:N60)</f>
        <v>21100.400000000005</v>
      </c>
      <c r="Q60" s="3"/>
      <c r="R60" s="3"/>
    </row>
    <row r="61" spans="1:18" x14ac:dyDescent="0.25">
      <c r="A61" s="752"/>
      <c r="C61" s="446" t="s">
        <v>173</v>
      </c>
      <c r="D61" s="497">
        <f>D58+1</f>
        <v>46170</v>
      </c>
      <c r="E61" s="498" t="s">
        <v>573</v>
      </c>
      <c r="F61" s="681" t="s">
        <v>1854</v>
      </c>
      <c r="G61" s="681" t="s">
        <v>1767</v>
      </c>
      <c r="H61" s="681" t="s">
        <v>1801</v>
      </c>
      <c r="I61" s="683">
        <f t="shared" ref="I61:I72" si="9">ROUND((60000-9200)/70,0)</f>
        <v>726</v>
      </c>
      <c r="J61" s="683">
        <f>(16000-5400-5400)/14</f>
        <v>371.42857142857144</v>
      </c>
      <c r="K61" s="683">
        <f>20000/28</f>
        <v>714.28571428571433</v>
      </c>
      <c r="L61" s="688">
        <f>I61*INDEX([2]Pedidos!$Q:$Q,MATCH(F61,[2]Pedidos!$E:$E,0))</f>
        <v>798.6</v>
      </c>
      <c r="M61" s="688">
        <f>J61*INDEX([2]Pedidos!$Q:$Q,MATCH(G61,[2]Pedidos!$E:$E,0))</f>
        <v>315.71428571428572</v>
      </c>
      <c r="N61" s="688">
        <f>K61*INDEX([2]Pedidos!$Q:$Q,MATCH(H61,[2]Pedidos!$E:$E,0))</f>
        <v>392.85714285714289</v>
      </c>
    </row>
    <row r="62" spans="1:18" x14ac:dyDescent="0.25">
      <c r="A62" s="752"/>
      <c r="C62" s="452" t="s">
        <v>173</v>
      </c>
      <c r="D62" s="499">
        <f t="shared" ref="D62:D76" si="10">D61</f>
        <v>46170</v>
      </c>
      <c r="E62" s="500" t="s">
        <v>162</v>
      </c>
      <c r="F62" s="460" t="s">
        <v>1854</v>
      </c>
      <c r="G62" s="460" t="s">
        <v>1767</v>
      </c>
      <c r="H62" s="460" t="s">
        <v>1801</v>
      </c>
      <c r="I62" s="540">
        <f t="shared" si="9"/>
        <v>726</v>
      </c>
      <c r="J62" s="540">
        <f t="shared" ref="J62:J65" si="11">(16000-5400-5400)/14</f>
        <v>371.42857142857144</v>
      </c>
      <c r="K62" s="540">
        <f t="shared" ref="K62:K65" si="12">20000/28</f>
        <v>714.28571428571433</v>
      </c>
      <c r="L62" s="555">
        <f>I62*INDEX([2]Pedidos!$Q:$Q,MATCH(F62,[2]Pedidos!$E:$E,0))</f>
        <v>798.6</v>
      </c>
      <c r="M62" s="564">
        <f>J62*INDEX([2]Pedidos!$Q:$Q,MATCH(G62,[2]Pedidos!$E:$E,0))</f>
        <v>315.71428571428572</v>
      </c>
      <c r="N62" s="555">
        <f>K62*INDEX([2]Pedidos!$Q:$Q,MATCH(H62,[2]Pedidos!$E:$E,0))</f>
        <v>392.85714285714289</v>
      </c>
    </row>
    <row r="63" spans="1:18" x14ac:dyDescent="0.25">
      <c r="A63" s="752"/>
      <c r="C63" s="452" t="s">
        <v>173</v>
      </c>
      <c r="D63" s="449">
        <f t="shared" si="10"/>
        <v>46170</v>
      </c>
      <c r="E63" s="454" t="s">
        <v>163</v>
      </c>
      <c r="F63" s="460" t="s">
        <v>1854</v>
      </c>
      <c r="G63" s="460" t="s">
        <v>1767</v>
      </c>
      <c r="H63" s="460" t="s">
        <v>1801</v>
      </c>
      <c r="I63" s="540">
        <f t="shared" si="9"/>
        <v>726</v>
      </c>
      <c r="J63" s="540">
        <f t="shared" si="11"/>
        <v>371.42857142857144</v>
      </c>
      <c r="K63" s="540">
        <f t="shared" si="12"/>
        <v>714.28571428571433</v>
      </c>
      <c r="L63" s="555">
        <f>I63*INDEX([2]Pedidos!$Q:$Q,MATCH(F63,[2]Pedidos!$E:$E,0))</f>
        <v>798.6</v>
      </c>
      <c r="M63" s="564">
        <f>J63*INDEX([2]Pedidos!$Q:$Q,MATCH(G63,[2]Pedidos!$E:$E,0))</f>
        <v>315.71428571428572</v>
      </c>
      <c r="N63" s="555">
        <f>K63*INDEX([2]Pedidos!$Q:$Q,MATCH(H63,[2]Pedidos!$E:$E,0))</f>
        <v>392.85714285714289</v>
      </c>
    </row>
    <row r="64" spans="1:18" x14ac:dyDescent="0.25">
      <c r="A64" s="752"/>
      <c r="C64" s="452" t="s">
        <v>173</v>
      </c>
      <c r="D64" s="449">
        <f t="shared" si="10"/>
        <v>46170</v>
      </c>
      <c r="E64" s="454" t="s">
        <v>164</v>
      </c>
      <c r="F64" s="460" t="s">
        <v>1854</v>
      </c>
      <c r="G64" s="460" t="s">
        <v>1767</v>
      </c>
      <c r="H64" s="460" t="s">
        <v>1801</v>
      </c>
      <c r="I64" s="540">
        <f t="shared" si="9"/>
        <v>726</v>
      </c>
      <c r="J64" s="540">
        <f t="shared" si="11"/>
        <v>371.42857142857144</v>
      </c>
      <c r="K64" s="540">
        <f t="shared" si="12"/>
        <v>714.28571428571433</v>
      </c>
      <c r="L64" s="555">
        <f>I64*INDEX([2]Pedidos!$Q:$Q,MATCH(F64,[2]Pedidos!$E:$E,0))</f>
        <v>798.6</v>
      </c>
      <c r="M64" s="564">
        <f>J64*INDEX([2]Pedidos!$Q:$Q,MATCH(G64,[2]Pedidos!$E:$E,0))</f>
        <v>315.71428571428572</v>
      </c>
      <c r="N64" s="555">
        <f>K64*INDEX([2]Pedidos!$Q:$Q,MATCH(H64,[2]Pedidos!$E:$E,0))</f>
        <v>392.85714285714289</v>
      </c>
    </row>
    <row r="65" spans="1:18" x14ac:dyDescent="0.25">
      <c r="A65" s="752"/>
      <c r="C65" s="452" t="s">
        <v>173</v>
      </c>
      <c r="D65" s="449">
        <f t="shared" si="10"/>
        <v>46170</v>
      </c>
      <c r="E65" s="454" t="s">
        <v>165</v>
      </c>
      <c r="F65" s="460" t="s">
        <v>1854</v>
      </c>
      <c r="G65" s="460" t="s">
        <v>1767</v>
      </c>
      <c r="H65" s="460" t="s">
        <v>1801</v>
      </c>
      <c r="I65" s="540">
        <f t="shared" si="9"/>
        <v>726</v>
      </c>
      <c r="J65" s="540">
        <f t="shared" si="11"/>
        <v>371.42857142857144</v>
      </c>
      <c r="K65" s="540">
        <f t="shared" si="12"/>
        <v>714.28571428571433</v>
      </c>
      <c r="L65" s="555">
        <f>I65*INDEX([2]Pedidos!$Q:$Q,MATCH(F65,[2]Pedidos!$E:$E,0))</f>
        <v>798.6</v>
      </c>
      <c r="M65" s="564">
        <f>J65*INDEX([2]Pedidos!$Q:$Q,MATCH(G65,[2]Pedidos!$E:$E,0))</f>
        <v>315.71428571428572</v>
      </c>
      <c r="N65" s="555">
        <f>K65*INDEX([2]Pedidos!$Q:$Q,MATCH(H65,[2]Pedidos!$E:$E,0))</f>
        <v>392.85714285714289</v>
      </c>
    </row>
    <row r="66" spans="1:18" x14ac:dyDescent="0.25">
      <c r="A66" s="752"/>
      <c r="C66" s="452" t="s">
        <v>173</v>
      </c>
      <c r="D66" s="449">
        <f t="shared" si="10"/>
        <v>46170</v>
      </c>
      <c r="E66" s="454" t="s">
        <v>166</v>
      </c>
      <c r="F66" s="512"/>
      <c r="G66" s="512"/>
      <c r="H66" s="512"/>
      <c r="I66" s="682"/>
      <c r="J66" s="682"/>
      <c r="K66" s="682"/>
      <c r="L66" s="687"/>
      <c r="M66" s="687"/>
      <c r="N66" s="687"/>
    </row>
    <row r="67" spans="1:18" x14ac:dyDescent="0.25">
      <c r="A67" s="752"/>
      <c r="C67" s="452" t="s">
        <v>173</v>
      </c>
      <c r="D67" s="449">
        <f t="shared" si="10"/>
        <v>46170</v>
      </c>
      <c r="E67" s="454" t="s">
        <v>576</v>
      </c>
      <c r="F67" s="461" t="s">
        <v>1854</v>
      </c>
      <c r="G67" s="460" t="s">
        <v>1767</v>
      </c>
      <c r="H67" s="460" t="s">
        <v>1801</v>
      </c>
      <c r="I67" s="679">
        <f t="shared" si="9"/>
        <v>726</v>
      </c>
      <c r="J67" s="679">
        <f t="shared" ref="J67:J76" si="13">(16000-5400-5400)/14</f>
        <v>371.42857142857144</v>
      </c>
      <c r="K67" s="679">
        <f t="shared" ref="K67:K72" si="14">20000/28</f>
        <v>714.28571428571433</v>
      </c>
      <c r="L67" s="555">
        <f>I67*INDEX([2]Pedidos!$Q:$Q,MATCH(F67,[2]Pedidos!$E:$E,0))</f>
        <v>798.6</v>
      </c>
      <c r="M67" s="564">
        <f>J67*INDEX([2]Pedidos!$Q:$Q,MATCH(G67,[2]Pedidos!$E:$E,0))</f>
        <v>315.71428571428572</v>
      </c>
      <c r="N67" s="555">
        <f>K67*INDEX([2]Pedidos!$Q:$Q,MATCH(H67,[2]Pedidos!$E:$E,0))</f>
        <v>392.85714285714289</v>
      </c>
    </row>
    <row r="68" spans="1:18" x14ac:dyDescent="0.25">
      <c r="A68" s="752"/>
      <c r="C68" s="452" t="s">
        <v>173</v>
      </c>
      <c r="D68" s="449">
        <f t="shared" si="10"/>
        <v>46170</v>
      </c>
      <c r="E68" s="454" t="s">
        <v>167</v>
      </c>
      <c r="F68" s="460" t="s">
        <v>1854</v>
      </c>
      <c r="G68" s="460" t="s">
        <v>1767</v>
      </c>
      <c r="H68" s="460" t="s">
        <v>1801</v>
      </c>
      <c r="I68" s="540">
        <f t="shared" si="9"/>
        <v>726</v>
      </c>
      <c r="J68" s="540">
        <f t="shared" si="13"/>
        <v>371.42857142857144</v>
      </c>
      <c r="K68" s="540">
        <f t="shared" si="14"/>
        <v>714.28571428571433</v>
      </c>
      <c r="L68" s="555">
        <f>I68*INDEX([2]Pedidos!$Q:$Q,MATCH(F68,[2]Pedidos!$E:$E,0))</f>
        <v>798.6</v>
      </c>
      <c r="M68" s="564">
        <f>J68*INDEX([2]Pedidos!$Q:$Q,MATCH(G68,[2]Pedidos!$E:$E,0))</f>
        <v>315.71428571428572</v>
      </c>
      <c r="N68" s="555">
        <f>K68*INDEX([2]Pedidos!$Q:$Q,MATCH(H68,[2]Pedidos!$E:$E,0))</f>
        <v>392.85714285714289</v>
      </c>
    </row>
    <row r="69" spans="1:18" x14ac:dyDescent="0.25">
      <c r="A69" s="752"/>
      <c r="C69" s="452" t="s">
        <v>173</v>
      </c>
      <c r="D69" s="449">
        <f t="shared" si="10"/>
        <v>46170</v>
      </c>
      <c r="E69" s="454" t="s">
        <v>168</v>
      </c>
      <c r="F69" s="460" t="s">
        <v>1854</v>
      </c>
      <c r="G69" s="460" t="s">
        <v>1767</v>
      </c>
      <c r="H69" s="460" t="s">
        <v>1801</v>
      </c>
      <c r="I69" s="540">
        <f t="shared" si="9"/>
        <v>726</v>
      </c>
      <c r="J69" s="540">
        <f t="shared" si="13"/>
        <v>371.42857142857144</v>
      </c>
      <c r="K69" s="540">
        <f t="shared" si="14"/>
        <v>714.28571428571433</v>
      </c>
      <c r="L69" s="555">
        <f>I69*INDEX([2]Pedidos!$Q:$Q,MATCH(F69,[2]Pedidos!$E:$E,0))</f>
        <v>798.6</v>
      </c>
      <c r="M69" s="564">
        <f>J69*INDEX([2]Pedidos!$Q:$Q,MATCH(G69,[2]Pedidos!$E:$E,0))</f>
        <v>315.71428571428572</v>
      </c>
      <c r="N69" s="555">
        <f>K69*INDEX([2]Pedidos!$Q:$Q,MATCH(H69,[2]Pedidos!$E:$E,0))</f>
        <v>392.85714285714289</v>
      </c>
    </row>
    <row r="70" spans="1:18" x14ac:dyDescent="0.25">
      <c r="A70" s="752"/>
      <c r="C70" s="452" t="s">
        <v>173</v>
      </c>
      <c r="D70" s="449">
        <f t="shared" si="10"/>
        <v>46170</v>
      </c>
      <c r="E70" s="454" t="s">
        <v>169</v>
      </c>
      <c r="F70" s="460" t="s">
        <v>1854</v>
      </c>
      <c r="G70" s="460" t="s">
        <v>1767</v>
      </c>
      <c r="H70" s="460" t="s">
        <v>1801</v>
      </c>
      <c r="I70" s="540">
        <f t="shared" si="9"/>
        <v>726</v>
      </c>
      <c r="J70" s="540">
        <f t="shared" si="13"/>
        <v>371.42857142857144</v>
      </c>
      <c r="K70" s="540">
        <f t="shared" si="14"/>
        <v>714.28571428571433</v>
      </c>
      <c r="L70" s="555">
        <f>I70*INDEX([2]Pedidos!$Q:$Q,MATCH(F70,[2]Pedidos!$E:$E,0))</f>
        <v>798.6</v>
      </c>
      <c r="M70" s="564">
        <f>J70*INDEX([2]Pedidos!$Q:$Q,MATCH(G70,[2]Pedidos!$E:$E,0))</f>
        <v>315.71428571428572</v>
      </c>
      <c r="N70" s="555">
        <f>K70*INDEX([2]Pedidos!$Q:$Q,MATCH(H70,[2]Pedidos!$E:$E,0))</f>
        <v>392.85714285714289</v>
      </c>
    </row>
    <row r="71" spans="1:18" x14ac:dyDescent="0.25">
      <c r="A71" s="752"/>
      <c r="C71" s="452" t="s">
        <v>173</v>
      </c>
      <c r="D71" s="449">
        <f t="shared" si="10"/>
        <v>46170</v>
      </c>
      <c r="E71" s="454" t="s">
        <v>170</v>
      </c>
      <c r="F71" s="460" t="s">
        <v>1854</v>
      </c>
      <c r="G71" s="460" t="s">
        <v>1767</v>
      </c>
      <c r="H71" s="460" t="s">
        <v>1801</v>
      </c>
      <c r="I71" s="540">
        <f t="shared" si="9"/>
        <v>726</v>
      </c>
      <c r="J71" s="540">
        <f t="shared" si="13"/>
        <v>371.42857142857144</v>
      </c>
      <c r="K71" s="540">
        <f t="shared" si="14"/>
        <v>714.28571428571433</v>
      </c>
      <c r="L71" s="555">
        <f>I71*INDEX([2]Pedidos!$Q:$Q,MATCH(F71,[2]Pedidos!$E:$E,0))</f>
        <v>798.6</v>
      </c>
      <c r="M71" s="564">
        <f>J71*INDEX([2]Pedidos!$Q:$Q,MATCH(G71,[2]Pedidos!$E:$E,0))</f>
        <v>315.71428571428572</v>
      </c>
      <c r="N71" s="555">
        <f>K71*INDEX([2]Pedidos!$Q:$Q,MATCH(H71,[2]Pedidos!$E:$E,0))</f>
        <v>392.85714285714289</v>
      </c>
    </row>
    <row r="72" spans="1:18" x14ac:dyDescent="0.25">
      <c r="A72" s="752"/>
      <c r="C72" s="452" t="s">
        <v>173</v>
      </c>
      <c r="D72" s="449">
        <f t="shared" si="10"/>
        <v>46170</v>
      </c>
      <c r="E72" s="454" t="s">
        <v>585</v>
      </c>
      <c r="F72" s="460" t="s">
        <v>1854</v>
      </c>
      <c r="G72" s="460" t="s">
        <v>1767</v>
      </c>
      <c r="H72" s="460" t="s">
        <v>1801</v>
      </c>
      <c r="I72" s="684">
        <f t="shared" si="9"/>
        <v>726</v>
      </c>
      <c r="J72" s="684">
        <f t="shared" si="13"/>
        <v>371.42857142857144</v>
      </c>
      <c r="K72" s="684">
        <f t="shared" si="14"/>
        <v>714.28571428571433</v>
      </c>
      <c r="L72" s="555">
        <f>I72*INDEX([2]Pedidos!$Q:$Q,MATCH(F72,[2]Pedidos!$E:$E,0))</f>
        <v>798.6</v>
      </c>
      <c r="M72" s="564">
        <f>J72*INDEX([2]Pedidos!$Q:$Q,MATCH(G72,[2]Pedidos!$E:$E,0))</f>
        <v>315.71428571428572</v>
      </c>
      <c r="N72" s="555">
        <f>K72*INDEX([2]Pedidos!$Q:$Q,MATCH(H72,[2]Pedidos!$E:$E,0))</f>
        <v>392.85714285714289</v>
      </c>
    </row>
    <row r="73" spans="1:18" x14ac:dyDescent="0.25">
      <c r="A73" s="752"/>
      <c r="C73" s="448" t="s">
        <v>173</v>
      </c>
      <c r="D73" s="449">
        <f t="shared" si="10"/>
        <v>46170</v>
      </c>
      <c r="E73" s="455" t="s">
        <v>574</v>
      </c>
      <c r="F73" s="512"/>
      <c r="G73" s="512"/>
      <c r="H73" s="512"/>
      <c r="I73" s="685"/>
      <c r="J73" s="685"/>
      <c r="K73" s="685"/>
      <c r="L73" s="557"/>
      <c r="M73" s="557"/>
      <c r="N73" s="557"/>
    </row>
    <row r="74" spans="1:18" x14ac:dyDescent="0.25">
      <c r="A74" s="752"/>
      <c r="C74" s="448" t="s">
        <v>173</v>
      </c>
      <c r="D74" s="449">
        <f t="shared" si="10"/>
        <v>46170</v>
      </c>
      <c r="E74" s="455" t="s">
        <v>575</v>
      </c>
      <c r="F74" s="504" t="s">
        <v>1854</v>
      </c>
      <c r="G74" s="504" t="s">
        <v>1767</v>
      </c>
      <c r="H74" s="504" t="s">
        <v>1801</v>
      </c>
      <c r="I74" s="684">
        <f>ROUND((60000-9200)/70,0)</f>
        <v>726</v>
      </c>
      <c r="J74" s="684">
        <f t="shared" si="13"/>
        <v>371.42857142857144</v>
      </c>
      <c r="K74" s="684">
        <f t="shared" ref="K74:K76" si="15">20000/28</f>
        <v>714.28571428571433</v>
      </c>
      <c r="L74" s="555">
        <f>I74*INDEX([2]Pedidos!$Q:$Q,MATCH(F74,[2]Pedidos!$E:$E,0))</f>
        <v>798.6</v>
      </c>
      <c r="M74" s="564">
        <f>J74*INDEX([2]Pedidos!$Q:$Q,MATCH(G74,[2]Pedidos!$E:$E,0))</f>
        <v>315.71428571428572</v>
      </c>
      <c r="N74" s="555">
        <f>K74*INDEX([2]Pedidos!$Q:$Q,MATCH(H74,[2]Pedidos!$E:$E,0))</f>
        <v>392.85714285714289</v>
      </c>
    </row>
    <row r="75" spans="1:18" x14ac:dyDescent="0.25">
      <c r="A75" s="752"/>
      <c r="C75" s="448" t="s">
        <v>173</v>
      </c>
      <c r="D75" s="449">
        <f t="shared" si="10"/>
        <v>46170</v>
      </c>
      <c r="E75" s="503" t="s">
        <v>583</v>
      </c>
      <c r="F75" s="504" t="s">
        <v>1854</v>
      </c>
      <c r="G75" s="504" t="s">
        <v>1767</v>
      </c>
      <c r="H75" s="504" t="s">
        <v>1801</v>
      </c>
      <c r="I75" s="684">
        <f t="shared" ref="I75:I76" si="16">ROUND((60000-9200)/70,0)</f>
        <v>726</v>
      </c>
      <c r="J75" s="684">
        <f t="shared" si="13"/>
        <v>371.42857142857144</v>
      </c>
      <c r="K75" s="684">
        <f t="shared" si="15"/>
        <v>714.28571428571433</v>
      </c>
      <c r="L75" s="555">
        <f>I75*INDEX([2]Pedidos!$Q:$Q,MATCH(F75,[2]Pedidos!$E:$E,0))</f>
        <v>798.6</v>
      </c>
      <c r="M75" s="564">
        <f>J75*INDEX([2]Pedidos!$Q:$Q,MATCH(G75,[2]Pedidos!$E:$E,0))</f>
        <v>315.71428571428572</v>
      </c>
      <c r="N75" s="555">
        <f>K75*INDEX([2]Pedidos!$Q:$Q,MATCH(H75,[2]Pedidos!$E:$E,0))</f>
        <v>392.85714285714289</v>
      </c>
    </row>
    <row r="76" spans="1:18" ht="15.75" thickBot="1" x14ac:dyDescent="0.3">
      <c r="A76" s="752"/>
      <c r="C76" s="450" t="s">
        <v>173</v>
      </c>
      <c r="D76" s="451">
        <f t="shared" si="10"/>
        <v>46170</v>
      </c>
      <c r="E76" s="459" t="s">
        <v>584</v>
      </c>
      <c r="F76" s="680" t="s">
        <v>1854</v>
      </c>
      <c r="G76" s="680" t="s">
        <v>1767</v>
      </c>
      <c r="H76" s="680" t="s">
        <v>1801</v>
      </c>
      <c r="I76" s="686">
        <f t="shared" si="16"/>
        <v>726</v>
      </c>
      <c r="J76" s="686">
        <f t="shared" si="13"/>
        <v>371.42857142857144</v>
      </c>
      <c r="K76" s="686">
        <f t="shared" si="15"/>
        <v>714.28571428571433</v>
      </c>
      <c r="L76" s="689">
        <f>I76*INDEX([2]Pedidos!$Q:$Q,MATCH(F76,[2]Pedidos!$E:$E,0))</f>
        <v>798.6</v>
      </c>
      <c r="M76" s="690">
        <f>J76*INDEX([2]Pedidos!$Q:$Q,MATCH(G76,[2]Pedidos!$E:$E,0))</f>
        <v>315.71428571428572</v>
      </c>
      <c r="N76" s="689">
        <f>K76*INDEX([2]Pedidos!$Q:$Q,MATCH(H76,[2]Pedidos!$E:$E,0))</f>
        <v>392.85714285714289</v>
      </c>
    </row>
    <row r="77" spans="1:18" ht="4.5" customHeight="1" thickBot="1" x14ac:dyDescent="0.3">
      <c r="A77" s="752"/>
      <c r="I77" s="608"/>
      <c r="J77" s="608"/>
      <c r="K77" s="420"/>
      <c r="L77" s="559"/>
      <c r="M77" s="559"/>
      <c r="N77" s="559"/>
      <c r="Q77" s="3"/>
      <c r="R77" s="3"/>
    </row>
    <row r="78" spans="1:18" ht="15.75" thickBot="1" x14ac:dyDescent="0.3">
      <c r="A78" s="752"/>
      <c r="C78" s="546">
        <f ca="1">SUM(I6:K6,I24:K24,I42:K42,I60:K60,I78:K78)</f>
        <v>88594.666666666657</v>
      </c>
      <c r="D78" s="547">
        <f>SUM(P78,P60,P42,P24,P6)</f>
        <v>79817.466666666674</v>
      </c>
      <c r="E78" s="539"/>
      <c r="F78" s="539"/>
      <c r="G78" s="539"/>
      <c r="H78" s="539"/>
      <c r="I78" s="606">
        <f t="shared" ref="I78:N78" si="17">_xlfn.AGGREGATE(9,6,I79:I94)</f>
        <v>10164</v>
      </c>
      <c r="J78" s="607">
        <f t="shared" si="17"/>
        <v>10666.666666666664</v>
      </c>
      <c r="K78" s="544">
        <f t="shared" si="17"/>
        <v>10000.000000000002</v>
      </c>
      <c r="L78" s="560">
        <f t="shared" si="17"/>
        <v>11180.400000000003</v>
      </c>
      <c r="M78" s="561">
        <f t="shared" si="17"/>
        <v>9066.6666666666661</v>
      </c>
      <c r="N78" s="562">
        <f t="shared" si="17"/>
        <v>5500.0000000000018</v>
      </c>
      <c r="O78" s="548">
        <f>SUM(I78:K78)</f>
        <v>30830.666666666664</v>
      </c>
      <c r="P78" s="549">
        <f>SUM(L78:N78)</f>
        <v>25747.066666666673</v>
      </c>
      <c r="Q78" s="3"/>
      <c r="R78" s="3"/>
    </row>
    <row r="79" spans="1:18" x14ac:dyDescent="0.25">
      <c r="A79" s="752"/>
      <c r="C79" s="452" t="s">
        <v>174</v>
      </c>
      <c r="D79" s="497">
        <f>D76+1</f>
        <v>46171</v>
      </c>
      <c r="E79" s="498" t="s">
        <v>573</v>
      </c>
      <c r="F79" s="681" t="s">
        <v>1854</v>
      </c>
      <c r="G79" s="681" t="s">
        <v>1824</v>
      </c>
      <c r="H79" s="460" t="s">
        <v>1801</v>
      </c>
      <c r="I79" s="683">
        <f t="shared" ref="I79:I83" si="18">ROUND((60000-9200)/70,0)</f>
        <v>726</v>
      </c>
      <c r="J79" s="683">
        <f>16000/21</f>
        <v>761.90476190476193</v>
      </c>
      <c r="K79" s="683">
        <f>20000/28</f>
        <v>714.28571428571433</v>
      </c>
      <c r="L79" s="688">
        <f>I79*INDEX([2]Pedidos!$Q:$Q,MATCH(F79,[2]Pedidos!$E:$E,0))</f>
        <v>798.6</v>
      </c>
      <c r="M79" s="688">
        <f>J79*INDEX([2]Pedidos!$Q:$Q,MATCH(G79,[2]Pedidos!$E:$E,0))</f>
        <v>647.61904761904759</v>
      </c>
      <c r="N79" s="688">
        <f>K79*INDEX([2]Pedidos!$Q:$Q,MATCH(H79,[2]Pedidos!$E:$E,0))</f>
        <v>392.85714285714289</v>
      </c>
    </row>
    <row r="80" spans="1:18" x14ac:dyDescent="0.25">
      <c r="A80" s="752"/>
      <c r="C80" s="452" t="s">
        <v>174</v>
      </c>
      <c r="D80" s="499">
        <f t="shared" ref="D80:D94" si="19">D79</f>
        <v>46171</v>
      </c>
      <c r="E80" s="500" t="s">
        <v>162</v>
      </c>
      <c r="F80" s="460" t="s">
        <v>1854</v>
      </c>
      <c r="G80" s="460" t="s">
        <v>1824</v>
      </c>
      <c r="H80" s="460" t="s">
        <v>1801</v>
      </c>
      <c r="I80" s="540">
        <f t="shared" si="18"/>
        <v>726</v>
      </c>
      <c r="J80" s="540">
        <f t="shared" ref="J80:J94" si="20">16000/21</f>
        <v>761.90476190476193</v>
      </c>
      <c r="K80" s="540">
        <f t="shared" ref="K80:K83" si="21">20000/28</f>
        <v>714.28571428571433</v>
      </c>
      <c r="L80" s="555">
        <f>I80*INDEX([2]Pedidos!$Q:$Q,MATCH(F80,[2]Pedidos!$E:$E,0))</f>
        <v>798.6</v>
      </c>
      <c r="M80" s="564">
        <f>J80*INDEX([2]Pedidos!$Q:$Q,MATCH(G80,[2]Pedidos!$E:$E,0))</f>
        <v>647.61904761904759</v>
      </c>
      <c r="N80" s="555">
        <f>K80*INDEX([2]Pedidos!$Q:$Q,MATCH(H80,[2]Pedidos!$E:$E,0))</f>
        <v>392.85714285714289</v>
      </c>
    </row>
    <row r="81" spans="1:18" x14ac:dyDescent="0.25">
      <c r="A81" s="752"/>
      <c r="C81" s="452" t="s">
        <v>174</v>
      </c>
      <c r="D81" s="449">
        <f t="shared" si="19"/>
        <v>46171</v>
      </c>
      <c r="E81" s="454" t="s">
        <v>163</v>
      </c>
      <c r="F81" s="460" t="s">
        <v>1854</v>
      </c>
      <c r="G81" s="460" t="s">
        <v>1824</v>
      </c>
      <c r="H81" s="460" t="s">
        <v>1801</v>
      </c>
      <c r="I81" s="540">
        <f t="shared" si="18"/>
        <v>726</v>
      </c>
      <c r="J81" s="540">
        <f t="shared" si="20"/>
        <v>761.90476190476193</v>
      </c>
      <c r="K81" s="540">
        <f t="shared" si="21"/>
        <v>714.28571428571433</v>
      </c>
      <c r="L81" s="555">
        <f>I81*INDEX([2]Pedidos!$Q:$Q,MATCH(F81,[2]Pedidos!$E:$E,0))</f>
        <v>798.6</v>
      </c>
      <c r="M81" s="564">
        <f>J81*INDEX([2]Pedidos!$Q:$Q,MATCH(G81,[2]Pedidos!$E:$E,0))</f>
        <v>647.61904761904759</v>
      </c>
      <c r="N81" s="555">
        <f>K81*INDEX([2]Pedidos!$Q:$Q,MATCH(H81,[2]Pedidos!$E:$E,0))</f>
        <v>392.85714285714289</v>
      </c>
    </row>
    <row r="82" spans="1:18" x14ac:dyDescent="0.25">
      <c r="A82" s="752"/>
      <c r="C82" s="452" t="s">
        <v>174</v>
      </c>
      <c r="D82" s="449">
        <f t="shared" si="19"/>
        <v>46171</v>
      </c>
      <c r="E82" s="454" t="s">
        <v>164</v>
      </c>
      <c r="F82" s="460" t="s">
        <v>1854</v>
      </c>
      <c r="G82" s="460" t="s">
        <v>1824</v>
      </c>
      <c r="H82" s="460" t="s">
        <v>1801</v>
      </c>
      <c r="I82" s="540">
        <f t="shared" si="18"/>
        <v>726</v>
      </c>
      <c r="J82" s="540">
        <f t="shared" si="20"/>
        <v>761.90476190476193</v>
      </c>
      <c r="K82" s="540">
        <f t="shared" si="21"/>
        <v>714.28571428571433</v>
      </c>
      <c r="L82" s="555">
        <f>I82*INDEX([2]Pedidos!$Q:$Q,MATCH(F82,[2]Pedidos!$E:$E,0))</f>
        <v>798.6</v>
      </c>
      <c r="M82" s="564">
        <f>J82*INDEX([2]Pedidos!$Q:$Q,MATCH(G82,[2]Pedidos!$E:$E,0))</f>
        <v>647.61904761904759</v>
      </c>
      <c r="N82" s="555">
        <f>K82*INDEX([2]Pedidos!$Q:$Q,MATCH(H82,[2]Pedidos!$E:$E,0))</f>
        <v>392.85714285714289</v>
      </c>
    </row>
    <row r="83" spans="1:18" x14ac:dyDescent="0.25">
      <c r="A83" s="752"/>
      <c r="C83" s="452" t="s">
        <v>174</v>
      </c>
      <c r="D83" s="449">
        <f t="shared" si="19"/>
        <v>46171</v>
      </c>
      <c r="E83" s="454" t="s">
        <v>165</v>
      </c>
      <c r="F83" s="460" t="s">
        <v>1854</v>
      </c>
      <c r="G83" s="460" t="s">
        <v>1824</v>
      </c>
      <c r="H83" s="460" t="s">
        <v>1801</v>
      </c>
      <c r="I83" s="540">
        <f t="shared" si="18"/>
        <v>726</v>
      </c>
      <c r="J83" s="540">
        <f t="shared" si="20"/>
        <v>761.90476190476193</v>
      </c>
      <c r="K83" s="540">
        <f t="shared" si="21"/>
        <v>714.28571428571433</v>
      </c>
      <c r="L83" s="555">
        <f>I83*INDEX([2]Pedidos!$Q:$Q,MATCH(F83,[2]Pedidos!$E:$E,0))</f>
        <v>798.6</v>
      </c>
      <c r="M83" s="564">
        <f>J83*INDEX([2]Pedidos!$Q:$Q,MATCH(G83,[2]Pedidos!$E:$E,0))</f>
        <v>647.61904761904759</v>
      </c>
      <c r="N83" s="555">
        <f>K83*INDEX([2]Pedidos!$Q:$Q,MATCH(H83,[2]Pedidos!$E:$E,0))</f>
        <v>392.85714285714289</v>
      </c>
    </row>
    <row r="84" spans="1:18" x14ac:dyDescent="0.25">
      <c r="A84" s="752"/>
      <c r="C84" s="452" t="s">
        <v>174</v>
      </c>
      <c r="D84" s="449">
        <f t="shared" si="19"/>
        <v>46171</v>
      </c>
      <c r="E84" s="454" t="s">
        <v>166</v>
      </c>
      <c r="F84" s="512"/>
      <c r="G84" s="512"/>
      <c r="H84" s="512"/>
      <c r="I84" s="682"/>
      <c r="J84" s="682"/>
      <c r="K84" s="682"/>
      <c r="L84" s="687"/>
      <c r="M84" s="687"/>
      <c r="N84" s="687"/>
    </row>
    <row r="85" spans="1:18" x14ac:dyDescent="0.25">
      <c r="A85" s="752"/>
      <c r="C85" s="452" t="s">
        <v>174</v>
      </c>
      <c r="D85" s="449">
        <f t="shared" si="19"/>
        <v>46171</v>
      </c>
      <c r="E85" s="454" t="s">
        <v>576</v>
      </c>
      <c r="F85" s="461" t="s">
        <v>1854</v>
      </c>
      <c r="G85" s="460" t="s">
        <v>1824</v>
      </c>
      <c r="H85" s="460" t="s">
        <v>1801</v>
      </c>
      <c r="I85" s="540">
        <f t="shared" ref="I85:I90" si="22">ROUND((60000-9200)/70,0)</f>
        <v>726</v>
      </c>
      <c r="J85" s="679">
        <f t="shared" si="20"/>
        <v>761.90476190476193</v>
      </c>
      <c r="K85" s="679">
        <f t="shared" ref="K85:K90" si="23">20000/28</f>
        <v>714.28571428571433</v>
      </c>
      <c r="L85" s="555">
        <f>I85*INDEX([2]Pedidos!$Q:$Q,MATCH(F85,[2]Pedidos!$E:$E,0))</f>
        <v>798.6</v>
      </c>
      <c r="M85" s="564">
        <f>J85*INDEX([2]Pedidos!$Q:$Q,MATCH(G85,[2]Pedidos!$E:$E,0))</f>
        <v>647.61904761904759</v>
      </c>
      <c r="N85" s="555">
        <f>K85*INDEX([2]Pedidos!$Q:$Q,MATCH(H85,[2]Pedidos!$E:$E,0))</f>
        <v>392.85714285714289</v>
      </c>
    </row>
    <row r="86" spans="1:18" x14ac:dyDescent="0.25">
      <c r="A86" s="752"/>
      <c r="C86" s="452" t="s">
        <v>174</v>
      </c>
      <c r="D86" s="449">
        <f t="shared" si="19"/>
        <v>46171</v>
      </c>
      <c r="E86" s="454" t="s">
        <v>167</v>
      </c>
      <c r="F86" s="460" t="s">
        <v>1854</v>
      </c>
      <c r="G86" s="460" t="s">
        <v>1824</v>
      </c>
      <c r="H86" s="460" t="s">
        <v>1801</v>
      </c>
      <c r="I86" s="540">
        <f t="shared" si="22"/>
        <v>726</v>
      </c>
      <c r="J86" s="540">
        <f t="shared" si="20"/>
        <v>761.90476190476193</v>
      </c>
      <c r="K86" s="540">
        <f t="shared" si="23"/>
        <v>714.28571428571433</v>
      </c>
      <c r="L86" s="555">
        <f>I86*INDEX([2]Pedidos!$Q:$Q,MATCH(F86,[2]Pedidos!$E:$E,0))</f>
        <v>798.6</v>
      </c>
      <c r="M86" s="564">
        <f>J86*INDEX([2]Pedidos!$Q:$Q,MATCH(G86,[2]Pedidos!$E:$E,0))</f>
        <v>647.61904761904759</v>
      </c>
      <c r="N86" s="555">
        <f>K86*INDEX([2]Pedidos!$Q:$Q,MATCH(H86,[2]Pedidos!$E:$E,0))</f>
        <v>392.85714285714289</v>
      </c>
    </row>
    <row r="87" spans="1:18" x14ac:dyDescent="0.25">
      <c r="A87" s="752"/>
      <c r="C87" s="452" t="s">
        <v>174</v>
      </c>
      <c r="D87" s="449">
        <f t="shared" si="19"/>
        <v>46171</v>
      </c>
      <c r="E87" s="454" t="s">
        <v>168</v>
      </c>
      <c r="F87" s="460" t="s">
        <v>1854</v>
      </c>
      <c r="G87" s="460" t="s">
        <v>1824</v>
      </c>
      <c r="H87" s="460" t="s">
        <v>1801</v>
      </c>
      <c r="I87" s="540">
        <f t="shared" si="22"/>
        <v>726</v>
      </c>
      <c r="J87" s="540">
        <f t="shared" si="20"/>
        <v>761.90476190476193</v>
      </c>
      <c r="K87" s="540">
        <f t="shared" si="23"/>
        <v>714.28571428571433</v>
      </c>
      <c r="L87" s="555">
        <f>I87*INDEX([2]Pedidos!$Q:$Q,MATCH(F87,[2]Pedidos!$E:$E,0))</f>
        <v>798.6</v>
      </c>
      <c r="M87" s="564">
        <f>J87*INDEX([2]Pedidos!$Q:$Q,MATCH(G87,[2]Pedidos!$E:$E,0))</f>
        <v>647.61904761904759</v>
      </c>
      <c r="N87" s="555">
        <f>K87*INDEX([2]Pedidos!$Q:$Q,MATCH(H87,[2]Pedidos!$E:$E,0))</f>
        <v>392.85714285714289</v>
      </c>
    </row>
    <row r="88" spans="1:18" x14ac:dyDescent="0.25">
      <c r="A88" s="752"/>
      <c r="C88" s="452" t="s">
        <v>174</v>
      </c>
      <c r="D88" s="449">
        <f t="shared" si="19"/>
        <v>46171</v>
      </c>
      <c r="E88" s="454" t="s">
        <v>169</v>
      </c>
      <c r="F88" s="460" t="s">
        <v>1854</v>
      </c>
      <c r="G88" s="460" t="s">
        <v>1824</v>
      </c>
      <c r="H88" s="460" t="s">
        <v>1801</v>
      </c>
      <c r="I88" s="540">
        <f t="shared" si="22"/>
        <v>726</v>
      </c>
      <c r="J88" s="540">
        <f t="shared" si="20"/>
        <v>761.90476190476193</v>
      </c>
      <c r="K88" s="540">
        <f t="shared" si="23"/>
        <v>714.28571428571433</v>
      </c>
      <c r="L88" s="555">
        <f>I88*INDEX([2]Pedidos!$Q:$Q,MATCH(F88,[2]Pedidos!$E:$E,0))</f>
        <v>798.6</v>
      </c>
      <c r="M88" s="564">
        <f>J88*INDEX([2]Pedidos!$Q:$Q,MATCH(G88,[2]Pedidos!$E:$E,0))</f>
        <v>647.61904761904759</v>
      </c>
      <c r="N88" s="555">
        <f>K88*INDEX([2]Pedidos!$Q:$Q,MATCH(H88,[2]Pedidos!$E:$E,0))</f>
        <v>392.85714285714289</v>
      </c>
    </row>
    <row r="89" spans="1:18" x14ac:dyDescent="0.25">
      <c r="A89" s="752"/>
      <c r="C89" s="452" t="s">
        <v>174</v>
      </c>
      <c r="D89" s="449">
        <f t="shared" si="19"/>
        <v>46171</v>
      </c>
      <c r="E89" s="454" t="s">
        <v>170</v>
      </c>
      <c r="F89" s="460" t="s">
        <v>1854</v>
      </c>
      <c r="G89" s="460" t="s">
        <v>1824</v>
      </c>
      <c r="H89" s="460" t="s">
        <v>1801</v>
      </c>
      <c r="I89" s="540">
        <f t="shared" si="22"/>
        <v>726</v>
      </c>
      <c r="J89" s="540">
        <f t="shared" si="20"/>
        <v>761.90476190476193</v>
      </c>
      <c r="K89" s="540">
        <f t="shared" si="23"/>
        <v>714.28571428571433</v>
      </c>
      <c r="L89" s="555">
        <f>I89*INDEX([2]Pedidos!$Q:$Q,MATCH(F89,[2]Pedidos!$E:$E,0))</f>
        <v>798.6</v>
      </c>
      <c r="M89" s="564">
        <f>J89*INDEX([2]Pedidos!$Q:$Q,MATCH(G89,[2]Pedidos!$E:$E,0))</f>
        <v>647.61904761904759</v>
      </c>
      <c r="N89" s="555">
        <f>K89*INDEX([2]Pedidos!$Q:$Q,MATCH(H89,[2]Pedidos!$E:$E,0))</f>
        <v>392.85714285714289</v>
      </c>
    </row>
    <row r="90" spans="1:18" x14ac:dyDescent="0.25">
      <c r="A90" s="752"/>
      <c r="C90" s="452" t="s">
        <v>174</v>
      </c>
      <c r="D90" s="449">
        <f t="shared" si="19"/>
        <v>46171</v>
      </c>
      <c r="E90" s="454" t="s">
        <v>585</v>
      </c>
      <c r="F90" s="460" t="s">
        <v>1854</v>
      </c>
      <c r="G90" s="460" t="s">
        <v>1824</v>
      </c>
      <c r="H90" s="460" t="s">
        <v>1801</v>
      </c>
      <c r="I90" s="540">
        <f t="shared" si="22"/>
        <v>726</v>
      </c>
      <c r="J90" s="684">
        <f t="shared" si="20"/>
        <v>761.90476190476193</v>
      </c>
      <c r="K90" s="684">
        <f t="shared" si="23"/>
        <v>714.28571428571433</v>
      </c>
      <c r="L90" s="555">
        <f>I90*INDEX([2]Pedidos!$Q:$Q,MATCH(F90,[2]Pedidos!$E:$E,0))</f>
        <v>798.6</v>
      </c>
      <c r="M90" s="564">
        <f>J90*INDEX([2]Pedidos!$Q:$Q,MATCH(G90,[2]Pedidos!$E:$E,0))</f>
        <v>647.61904761904759</v>
      </c>
      <c r="N90" s="555">
        <f>K90*INDEX([2]Pedidos!$Q:$Q,MATCH(H90,[2]Pedidos!$E:$E,0))</f>
        <v>392.85714285714289</v>
      </c>
    </row>
    <row r="91" spans="1:18" x14ac:dyDescent="0.25">
      <c r="A91" s="752"/>
      <c r="C91" s="448" t="s">
        <v>174</v>
      </c>
      <c r="D91" s="449">
        <f t="shared" si="19"/>
        <v>46171</v>
      </c>
      <c r="E91" s="455" t="s">
        <v>574</v>
      </c>
      <c r="F91" s="512"/>
      <c r="G91" s="512"/>
      <c r="H91" s="512"/>
      <c r="I91" s="685"/>
      <c r="J91" s="685"/>
      <c r="K91" s="685"/>
      <c r="L91" s="557"/>
      <c r="M91" s="557"/>
      <c r="N91" s="557"/>
    </row>
    <row r="92" spans="1:18" x14ac:dyDescent="0.25">
      <c r="A92" s="752"/>
      <c r="C92" s="448" t="s">
        <v>174</v>
      </c>
      <c r="D92" s="449">
        <f t="shared" si="19"/>
        <v>46171</v>
      </c>
      <c r="E92" s="455" t="s">
        <v>575</v>
      </c>
      <c r="F92" s="504" t="s">
        <v>1854</v>
      </c>
      <c r="G92" s="504" t="s">
        <v>1824</v>
      </c>
      <c r="H92" s="504" t="s">
        <v>1801</v>
      </c>
      <c r="I92" s="684">
        <f t="shared" ref="I92:I94" si="24">ROUND((60000-9200)/70,0)</f>
        <v>726</v>
      </c>
      <c r="J92" s="684">
        <f t="shared" si="20"/>
        <v>761.90476190476193</v>
      </c>
      <c r="K92" s="684">
        <f t="shared" ref="K92:K94" si="25">20000/28</f>
        <v>714.28571428571433</v>
      </c>
      <c r="L92" s="555">
        <f>I92*INDEX([2]Pedidos!$Q:$Q,MATCH(F92,[2]Pedidos!$E:$E,0))</f>
        <v>798.6</v>
      </c>
      <c r="M92" s="564">
        <f>J92*INDEX([2]Pedidos!$Q:$Q,MATCH(G92,[2]Pedidos!$E:$E,0))</f>
        <v>647.61904761904759</v>
      </c>
      <c r="N92" s="555">
        <f>K92*INDEX([2]Pedidos!$Q:$Q,MATCH(H92,[2]Pedidos!$E:$E,0))</f>
        <v>392.85714285714289</v>
      </c>
    </row>
    <row r="93" spans="1:18" x14ac:dyDescent="0.25">
      <c r="A93" s="752"/>
      <c r="C93" s="448" t="s">
        <v>174</v>
      </c>
      <c r="D93" s="449">
        <f t="shared" si="19"/>
        <v>46171</v>
      </c>
      <c r="E93" s="503" t="s">
        <v>583</v>
      </c>
      <c r="F93" s="504" t="s">
        <v>1854</v>
      </c>
      <c r="G93" s="504" t="s">
        <v>1824</v>
      </c>
      <c r="H93" s="504" t="s">
        <v>1801</v>
      </c>
      <c r="I93" s="684">
        <f t="shared" si="24"/>
        <v>726</v>
      </c>
      <c r="J93" s="684">
        <f t="shared" si="20"/>
        <v>761.90476190476193</v>
      </c>
      <c r="K93" s="684">
        <f t="shared" si="25"/>
        <v>714.28571428571433</v>
      </c>
      <c r="L93" s="555">
        <f>I93*INDEX([2]Pedidos!$Q:$Q,MATCH(F93,[2]Pedidos!$E:$E,0))</f>
        <v>798.6</v>
      </c>
      <c r="M93" s="564">
        <f>J93*INDEX([2]Pedidos!$Q:$Q,MATCH(G93,[2]Pedidos!$E:$E,0))</f>
        <v>647.61904761904759</v>
      </c>
      <c r="N93" s="555">
        <f>K93*INDEX([2]Pedidos!$Q:$Q,MATCH(H93,[2]Pedidos!$E:$E,0))</f>
        <v>392.85714285714289</v>
      </c>
    </row>
    <row r="94" spans="1:18" ht="15.75" thickBot="1" x14ac:dyDescent="0.3">
      <c r="A94" s="752"/>
      <c r="C94" s="450" t="s">
        <v>174</v>
      </c>
      <c r="D94" s="451">
        <f t="shared" si="19"/>
        <v>46171</v>
      </c>
      <c r="E94" s="459" t="s">
        <v>584</v>
      </c>
      <c r="F94" s="680" t="s">
        <v>1854</v>
      </c>
      <c r="G94" s="680" t="s">
        <v>1824</v>
      </c>
      <c r="H94" s="680" t="s">
        <v>1801</v>
      </c>
      <c r="I94" s="686">
        <f t="shared" si="24"/>
        <v>726</v>
      </c>
      <c r="J94" s="686">
        <f t="shared" si="20"/>
        <v>761.90476190476193</v>
      </c>
      <c r="K94" s="686">
        <f t="shared" si="25"/>
        <v>714.28571428571433</v>
      </c>
      <c r="L94" s="689">
        <f>I94*INDEX([2]Pedidos!$Q:$Q,MATCH(F94,[2]Pedidos!$E:$E,0))</f>
        <v>798.6</v>
      </c>
      <c r="M94" s="690">
        <f>J94*INDEX([2]Pedidos!$Q:$Q,MATCH(G94,[2]Pedidos!$E:$E,0))</f>
        <v>647.61904761904759</v>
      </c>
      <c r="N94" s="689">
        <f>K94*INDEX([2]Pedidos!$Q:$Q,MATCH(H94,[2]Pedidos!$E:$E,0))</f>
        <v>392.85714285714289</v>
      </c>
    </row>
    <row r="95" spans="1:18" ht="4.5" customHeight="1" thickBot="1" x14ac:dyDescent="0.3">
      <c r="A95" s="752"/>
      <c r="I95" s="445"/>
      <c r="J95" s="445"/>
      <c r="L95" s="559"/>
      <c r="M95" s="559"/>
      <c r="N95" s="559"/>
      <c r="Q95" s="3"/>
      <c r="R95" s="3"/>
    </row>
    <row r="96" spans="1:18" ht="15" customHeight="1" thickBot="1" x14ac:dyDescent="0.3">
      <c r="A96" s="752"/>
      <c r="C96" s="538"/>
      <c r="D96" s="539"/>
      <c r="E96" s="539"/>
      <c r="F96" s="539"/>
      <c r="G96" s="539"/>
      <c r="H96" s="539"/>
      <c r="I96" s="606">
        <f t="shared" ref="I96:N96" ca="1" si="26">_xlfn.AGGREGATE(9,6,I97:I112)</f>
        <v>0</v>
      </c>
      <c r="J96" s="607">
        <f t="shared" ca="1" si="26"/>
        <v>0</v>
      </c>
      <c r="K96" s="544">
        <f t="shared" ca="1" si="26"/>
        <v>0</v>
      </c>
      <c r="L96" s="560">
        <f t="shared" si="26"/>
        <v>0</v>
      </c>
      <c r="M96" s="561">
        <f t="shared" si="26"/>
        <v>0</v>
      </c>
      <c r="N96" s="562">
        <f t="shared" si="26"/>
        <v>0</v>
      </c>
      <c r="O96" s="548">
        <f ca="1">SUM(I96:K96)</f>
        <v>0</v>
      </c>
      <c r="P96" s="549">
        <f>SUM(L96:N96)</f>
        <v>0</v>
      </c>
      <c r="Q96" s="3"/>
      <c r="R96" s="3"/>
    </row>
    <row r="97" spans="1:14" x14ac:dyDescent="0.25">
      <c r="A97" s="752"/>
      <c r="C97" s="529" t="s">
        <v>1033</v>
      </c>
      <c r="D97" s="447">
        <f>D94+1</f>
        <v>46172</v>
      </c>
      <c r="E97" s="498" t="s">
        <v>573</v>
      </c>
      <c r="F97" s="514"/>
      <c r="G97" s="514"/>
      <c r="H97" s="514"/>
      <c r="I97" s="537" cm="1">
        <f t="array" aca="1" ref="I97" ca="1">IFERROR(_xlfn.LET(_xlpm.produto,TRIM(F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97" s="537" cm="1">
        <f t="array" aca="1" ref="J97" ca="1">IFERROR(_xlfn.LET(_xlpm.produto,TRIM(G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97" s="537" cm="1">
        <f t="array" aca="1" ref="K97" ca="1">IFERROR(_xlfn.LET(_xlpm.produto,TRIM(H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97" s="563"/>
      <c r="M97" s="563"/>
      <c r="N97" s="563"/>
    </row>
    <row r="98" spans="1:14" x14ac:dyDescent="0.25">
      <c r="A98" s="752"/>
      <c r="C98" s="452" t="s">
        <v>1033</v>
      </c>
      <c r="D98" s="453">
        <f t="shared" ref="D98:D112" si="27">D97</f>
        <v>46172</v>
      </c>
      <c r="E98" s="500" t="s">
        <v>162</v>
      </c>
      <c r="F98" s="517"/>
      <c r="G98" s="517"/>
      <c r="H98" s="517"/>
      <c r="I98" s="540"/>
      <c r="J98" s="540"/>
      <c r="K98" s="540"/>
      <c r="L98" s="555" t="e">
        <f>I98*INDEX([2]Pedidos!$Q:$Q,MATCH(F98,[2]Pedidos!$E:$E,0))</f>
        <v>#N/A</v>
      </c>
      <c r="M98" s="555" t="e">
        <f>J98*INDEX([2]Pedidos!$Q:$Q,MATCH(G98,[2]Pedidos!$E:$E,0))</f>
        <v>#N/A</v>
      </c>
      <c r="N98" s="555" t="e">
        <f>K98*INDEX([2]Pedidos!$Q:$Q,MATCH(H98,[2]Pedidos!$E:$E,0))</f>
        <v>#N/A</v>
      </c>
    </row>
    <row r="99" spans="1:14" x14ac:dyDescent="0.25">
      <c r="A99" s="752"/>
      <c r="C99" s="452" t="s">
        <v>1033</v>
      </c>
      <c r="D99" s="453">
        <f t="shared" si="27"/>
        <v>46172</v>
      </c>
      <c r="E99" s="454" t="s">
        <v>163</v>
      </c>
      <c r="F99" s="517"/>
      <c r="G99" s="512"/>
      <c r="H99" s="505"/>
      <c r="I99" s="540"/>
      <c r="J99" s="540"/>
      <c r="K99" s="540"/>
      <c r="L99" s="564" t="e">
        <f>I99*INDEX([2]Pedidos!$Q:$Q,MATCH(F99,[2]Pedidos!$E:$E,0))</f>
        <v>#N/A</v>
      </c>
      <c r="M99" s="564" t="e">
        <f>J99*INDEX([2]Pedidos!$Q:$Q,MATCH(G99,[2]Pedidos!$E:$E,0))</f>
        <v>#N/A</v>
      </c>
      <c r="N99" s="564" t="e">
        <f>K99*INDEX([2]Pedidos!$Q:$Q,MATCH(H99,[2]Pedidos!$E:$E,0))</f>
        <v>#N/A</v>
      </c>
    </row>
    <row r="100" spans="1:14" x14ac:dyDescent="0.25">
      <c r="A100" s="752"/>
      <c r="C100" s="452" t="s">
        <v>1033</v>
      </c>
      <c r="D100" s="453">
        <f t="shared" si="27"/>
        <v>46172</v>
      </c>
      <c r="E100" s="454" t="s">
        <v>164</v>
      </c>
      <c r="F100" s="517"/>
      <c r="G100" s="512"/>
      <c r="H100" s="505"/>
      <c r="I100" s="540"/>
      <c r="J100" s="540"/>
      <c r="K100" s="540"/>
      <c r="L100" s="564" t="e">
        <f>I100*INDEX([2]Pedidos!$Q:$Q,MATCH(F100,[2]Pedidos!$E:$E,0))</f>
        <v>#N/A</v>
      </c>
      <c r="M100" s="564" t="e">
        <f>J100*INDEX([2]Pedidos!$Q:$Q,MATCH(G100,[2]Pedidos!$E:$E,0))</f>
        <v>#N/A</v>
      </c>
      <c r="N100" s="564" t="e">
        <f>K100*INDEX([2]Pedidos!$Q:$Q,MATCH(H100,[2]Pedidos!$E:$E,0))</f>
        <v>#N/A</v>
      </c>
    </row>
    <row r="101" spans="1:14" x14ac:dyDescent="0.25">
      <c r="A101" s="752"/>
      <c r="C101" s="452" t="s">
        <v>1033</v>
      </c>
      <c r="D101" s="453">
        <f t="shared" si="27"/>
        <v>46172</v>
      </c>
      <c r="E101" s="454" t="s">
        <v>165</v>
      </c>
      <c r="F101" s="517"/>
      <c r="G101" s="512"/>
      <c r="H101" s="505"/>
      <c r="I101" s="540"/>
      <c r="J101" s="540"/>
      <c r="K101" s="540"/>
      <c r="L101" s="564" t="e">
        <f>I101*INDEX([2]Pedidos!$Q:$Q,MATCH(F101,[2]Pedidos!$E:$E,0))</f>
        <v>#N/A</v>
      </c>
      <c r="M101" s="564" t="e">
        <f>J101*INDEX([2]Pedidos!$Q:$Q,MATCH(G101,[2]Pedidos!$E:$E,0))</f>
        <v>#N/A</v>
      </c>
      <c r="N101" s="564" t="e">
        <f>K101*INDEX([2]Pedidos!$Q:$Q,MATCH(H101,[2]Pedidos!$E:$E,0))</f>
        <v>#N/A</v>
      </c>
    </row>
    <row r="102" spans="1:14" x14ac:dyDescent="0.25">
      <c r="A102" s="752"/>
      <c r="C102" s="452" t="s">
        <v>1033</v>
      </c>
      <c r="D102" s="453">
        <f t="shared" si="27"/>
        <v>46172</v>
      </c>
      <c r="E102" s="454" t="s">
        <v>166</v>
      </c>
      <c r="F102" s="517"/>
      <c r="G102" s="512"/>
      <c r="H102" s="505"/>
      <c r="I102" s="540"/>
      <c r="J102" s="540"/>
      <c r="K102" s="540"/>
      <c r="L102" s="564" t="e">
        <f>I102*INDEX([2]Pedidos!$Q:$Q,MATCH(F102,[2]Pedidos!$E:$E,0))</f>
        <v>#N/A</v>
      </c>
      <c r="M102" s="564" t="e">
        <f>J102*INDEX([2]Pedidos!$Q:$Q,MATCH(G102,[2]Pedidos!$E:$E,0))</f>
        <v>#N/A</v>
      </c>
      <c r="N102" s="564" t="e">
        <f>K102*INDEX([2]Pedidos!$Q:$Q,MATCH(H102,[2]Pedidos!$E:$E,0))</f>
        <v>#N/A</v>
      </c>
    </row>
    <row r="103" spans="1:14" x14ac:dyDescent="0.25">
      <c r="A103" s="752"/>
      <c r="C103" s="452" t="s">
        <v>1033</v>
      </c>
      <c r="D103" s="453">
        <f t="shared" si="27"/>
        <v>46172</v>
      </c>
      <c r="E103" s="454" t="s">
        <v>576</v>
      </c>
      <c r="F103" s="517"/>
      <c r="G103" s="512"/>
      <c r="H103" s="505"/>
      <c r="I103" s="541" cm="1">
        <f t="array" aca="1" ref="I103" ca="1">IFERROR(_xlfn.LET(_xlpm.produto,TRIM(F103)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03" s="541" cm="1">
        <f t="array" aca="1" ref="J103" ca="1">IFERROR(_xlfn.LET(_xlpm.produto,TRIM(G103)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3" s="541" cm="1">
        <f t="array" aca="1" ref="K103" ca="1">IFERROR(_xlfn.LET(_xlpm.produto,TRIM(H103)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3" s="556"/>
      <c r="M103" s="556"/>
      <c r="N103" s="556"/>
    </row>
    <row r="104" spans="1:14" x14ac:dyDescent="0.25">
      <c r="A104" s="752"/>
      <c r="C104" s="452" t="s">
        <v>1033</v>
      </c>
      <c r="D104" s="449">
        <f t="shared" si="27"/>
        <v>46172</v>
      </c>
      <c r="E104" s="454" t="s">
        <v>167</v>
      </c>
      <c r="F104" s="517"/>
      <c r="G104" s="512"/>
      <c r="H104" s="505"/>
      <c r="I104" s="540"/>
      <c r="J104" s="540"/>
      <c r="K104" s="540"/>
      <c r="L104" s="565" t="e">
        <f>I104*INDEX([2]Pedidos!$Q:$Q,MATCH(F104,[2]Pedidos!$E:$E,0))</f>
        <v>#N/A</v>
      </c>
      <c r="M104" s="565" t="e">
        <f>J104*INDEX([2]Pedidos!$Q:$Q,MATCH(G104,[2]Pedidos!$E:$E,0))</f>
        <v>#N/A</v>
      </c>
      <c r="N104" s="565" t="e">
        <f>K104*INDEX([2]Pedidos!$Q:$Q,MATCH(H104,[2]Pedidos!$E:$E,0))</f>
        <v>#N/A</v>
      </c>
    </row>
    <row r="105" spans="1:14" x14ac:dyDescent="0.25">
      <c r="A105" s="752"/>
      <c r="C105" s="452" t="s">
        <v>1033</v>
      </c>
      <c r="D105" s="449">
        <f t="shared" si="27"/>
        <v>46172</v>
      </c>
      <c r="E105" s="454" t="s">
        <v>168</v>
      </c>
      <c r="F105" s="517"/>
      <c r="G105" s="512"/>
      <c r="H105" s="505"/>
      <c r="I105" s="540"/>
      <c r="J105" s="540"/>
      <c r="K105" s="540"/>
      <c r="L105" s="565" t="e">
        <f>I105*INDEX([2]Pedidos!$Q:$Q,MATCH(F105,[2]Pedidos!$E:$E,0))</f>
        <v>#N/A</v>
      </c>
      <c r="M105" s="565" t="e">
        <f>J105*INDEX([2]Pedidos!$Q:$Q,MATCH(G105,[2]Pedidos!$E:$E,0))</f>
        <v>#N/A</v>
      </c>
      <c r="N105" s="565" t="e">
        <f>K105*INDEX([2]Pedidos!$Q:$Q,MATCH(H105,[2]Pedidos!$E:$E,0))</f>
        <v>#N/A</v>
      </c>
    </row>
    <row r="106" spans="1:14" x14ac:dyDescent="0.25">
      <c r="A106" s="752"/>
      <c r="C106" s="452" t="s">
        <v>1033</v>
      </c>
      <c r="D106" s="449">
        <f t="shared" si="27"/>
        <v>46172</v>
      </c>
      <c r="E106" s="454" t="s">
        <v>169</v>
      </c>
      <c r="F106" s="517"/>
      <c r="G106" s="512"/>
      <c r="H106" s="505"/>
      <c r="I106" s="540"/>
      <c r="J106" s="540"/>
      <c r="K106" s="540"/>
      <c r="L106" s="565" t="e">
        <f>I106*INDEX([2]Pedidos!$Q:$Q,MATCH(F106,[2]Pedidos!$E:$E,0))</f>
        <v>#N/A</v>
      </c>
      <c r="M106" s="565" t="e">
        <f>J106*INDEX([2]Pedidos!$Q:$Q,MATCH(G106,[2]Pedidos!$E:$E,0))</f>
        <v>#N/A</v>
      </c>
      <c r="N106" s="565" t="e">
        <f>K106*INDEX([2]Pedidos!$Q:$Q,MATCH(H106,[2]Pedidos!$E:$E,0))</f>
        <v>#N/A</v>
      </c>
    </row>
    <row r="107" spans="1:14" x14ac:dyDescent="0.25">
      <c r="A107" s="752"/>
      <c r="C107" s="452" t="s">
        <v>1033</v>
      </c>
      <c r="D107" s="449">
        <f t="shared" si="27"/>
        <v>46172</v>
      </c>
      <c r="E107" s="454" t="s">
        <v>170</v>
      </c>
      <c r="F107" s="517"/>
      <c r="G107" s="512"/>
      <c r="H107" s="505"/>
      <c r="I107" s="540"/>
      <c r="J107" s="540"/>
      <c r="K107" s="540"/>
      <c r="L107" s="566" t="e">
        <f>I107*INDEX([2]Pedidos!$Q:$Q,MATCH(F107,[2]Pedidos!$E:$E,0))</f>
        <v>#N/A</v>
      </c>
      <c r="M107" s="566" t="e">
        <f>J107*INDEX([2]Pedidos!$Q:$Q,MATCH(G107,[2]Pedidos!$E:$E,0))</f>
        <v>#N/A</v>
      </c>
      <c r="N107" s="566" t="e">
        <f>K107*INDEX([2]Pedidos!$Q:$Q,MATCH(H107,[2]Pedidos!$E:$E,0))</f>
        <v>#N/A</v>
      </c>
    </row>
    <row r="108" spans="1:14" x14ac:dyDescent="0.25">
      <c r="A108" s="752"/>
      <c r="C108" s="452" t="s">
        <v>1033</v>
      </c>
      <c r="D108" s="449">
        <f t="shared" si="27"/>
        <v>46172</v>
      </c>
      <c r="E108" s="454" t="s">
        <v>585</v>
      </c>
      <c r="F108" s="505"/>
      <c r="G108" s="505"/>
      <c r="H108" s="516"/>
      <c r="I108" s="516" cm="1">
        <f t="array" aca="1" ref="I108" ca="1">IFERROR(_xlfn.LET(_xlpm.produto,TRIM(F108)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08" s="516" cm="1">
        <f t="array" aca="1" ref="J108" ca="1">IFERROR(_xlfn.LET(_xlpm.produto,TRIM(G108)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8" s="516" cm="1">
        <f t="array" aca="1" ref="K108" ca="1">IFERROR(_xlfn.LET(_xlpm.produto,TRIM(H108)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8" s="557"/>
      <c r="M108" s="557"/>
      <c r="N108" s="557"/>
    </row>
    <row r="109" spans="1:14" x14ac:dyDescent="0.25">
      <c r="A109" s="752"/>
      <c r="C109" s="452" t="s">
        <v>1033</v>
      </c>
      <c r="D109" s="449">
        <f t="shared" si="27"/>
        <v>46172</v>
      </c>
      <c r="E109" s="455" t="s">
        <v>574</v>
      </c>
      <c r="F109" s="505"/>
      <c r="G109" s="505"/>
      <c r="H109" s="516"/>
      <c r="I109" s="516" cm="1">
        <f t="array" aca="1" ref="I109" ca="1">IFERROR(_xlfn.LET(_xlpm.produto,TRIM(F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09" s="516" cm="1">
        <f t="array" aca="1" ref="J109" ca="1">IFERROR(_xlfn.LET(_xlpm.produto,TRIM(G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09" s="516" cm="1">
        <f t="array" aca="1" ref="K109" ca="1">IFERROR(_xlfn.LET(_xlpm.produto,TRIM(H109)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09" s="557"/>
      <c r="M109" s="557"/>
      <c r="N109" s="557"/>
    </row>
    <row r="110" spans="1:14" x14ac:dyDescent="0.25">
      <c r="A110" s="752"/>
      <c r="C110" s="452" t="s">
        <v>1033</v>
      </c>
      <c r="D110" s="449">
        <f t="shared" si="27"/>
        <v>46172</v>
      </c>
      <c r="E110" s="455" t="s">
        <v>575</v>
      </c>
      <c r="F110" s="506"/>
      <c r="G110" s="506"/>
      <c r="H110" s="516"/>
      <c r="I110" s="516" cm="1">
        <f t="array" aca="1" ref="I110" ca="1">IFERROR(_xlfn.LET(_xlpm.produto,TRIM(F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10" s="516" cm="1">
        <f t="array" aca="1" ref="J110" ca="1">IFERROR(_xlfn.LET(_xlpm.produto,TRIM(G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10" s="516" cm="1">
        <f t="array" aca="1" ref="K110" ca="1">IFERROR(_xlfn.LET(_xlpm.produto,TRIM(H110)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10" s="557"/>
      <c r="M110" s="557"/>
      <c r="N110" s="557"/>
    </row>
    <row r="111" spans="1:14" x14ac:dyDescent="0.25">
      <c r="A111" s="752"/>
      <c r="C111" s="452" t="s">
        <v>1033</v>
      </c>
      <c r="D111" s="449">
        <f t="shared" si="27"/>
        <v>46172</v>
      </c>
      <c r="E111" s="503" t="s">
        <v>583</v>
      </c>
      <c r="F111" s="506"/>
      <c r="G111" s="506"/>
      <c r="H111" s="516"/>
      <c r="I111" s="516" cm="1">
        <f t="array" aca="1" ref="I111" ca="1">IFERROR(_xlfn.LET(_xlpm.produto,TRIM(F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11" s="516" cm="1">
        <f t="array" aca="1" ref="J111" ca="1">IFERROR(_xlfn.LET(_xlpm.produto,TRIM(G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11" s="516" cm="1">
        <f t="array" aca="1" ref="K111" ca="1">IFERROR(_xlfn.LET(_xlpm.produto,TRIM(H111)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11" s="557"/>
      <c r="M111" s="557"/>
      <c r="N111" s="557"/>
    </row>
    <row r="112" spans="1:14" ht="15.75" thickBot="1" x14ac:dyDescent="0.3">
      <c r="A112" s="752"/>
      <c r="C112" s="530" t="s">
        <v>1033</v>
      </c>
      <c r="D112" s="451">
        <f t="shared" si="27"/>
        <v>46172</v>
      </c>
      <c r="E112" s="459" t="s">
        <v>584</v>
      </c>
      <c r="F112" s="493"/>
      <c r="G112" s="493"/>
      <c r="H112" s="513"/>
      <c r="I112" s="513" cm="1">
        <f t="array" aca="1" ref="I112" ca="1">IFERROR(_xlfn.LET(_xlpm.produto,TRIM(F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12" s="513" cm="1">
        <f t="array" aca="1" ref="J112" ca="1">IFERROR(_xlfn.LET(_xlpm.produto,TRIM(G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12" s="513" cm="1">
        <f t="array" aca="1" ref="K112" ca="1">IFERROR(_xlfn.LET(_xlpm.produto,TRIM(H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12" s="558"/>
      <c r="M112" s="558"/>
      <c r="N112" s="558"/>
    </row>
    <row r="113" spans="1:18" ht="4.5" customHeight="1" thickBot="1" x14ac:dyDescent="0.3">
      <c r="A113" s="752"/>
      <c r="I113" s="445"/>
      <c r="J113" s="445"/>
      <c r="L113" s="559"/>
      <c r="M113" s="559"/>
      <c r="N113" s="559"/>
      <c r="Q113" s="3"/>
      <c r="R113" s="3"/>
    </row>
    <row r="114" spans="1:18" ht="15" customHeight="1" thickBot="1" x14ac:dyDescent="0.3">
      <c r="A114" s="752"/>
      <c r="C114" s="538"/>
      <c r="D114" s="539"/>
      <c r="E114" s="539"/>
      <c r="F114" s="539"/>
      <c r="G114" s="539"/>
      <c r="H114" s="539"/>
      <c r="I114" s="606">
        <f t="shared" ref="I114:N114" ca="1" si="28">_xlfn.AGGREGATE(9,6,I115:I130)</f>
        <v>0</v>
      </c>
      <c r="J114" s="607">
        <f t="shared" ca="1" si="28"/>
        <v>0</v>
      </c>
      <c r="K114" s="544">
        <f t="shared" ca="1" si="28"/>
        <v>0</v>
      </c>
      <c r="L114" s="560">
        <f t="shared" si="28"/>
        <v>0</v>
      </c>
      <c r="M114" s="561">
        <f t="shared" si="28"/>
        <v>0</v>
      </c>
      <c r="N114" s="562">
        <f t="shared" si="28"/>
        <v>0</v>
      </c>
      <c r="O114" s="548">
        <f ca="1">SUM(I114:K114)</f>
        <v>0</v>
      </c>
      <c r="P114" s="549">
        <f>SUM(L114:N114)</f>
        <v>0</v>
      </c>
      <c r="Q114" s="3"/>
      <c r="R114" s="3"/>
    </row>
    <row r="115" spans="1:18" x14ac:dyDescent="0.25">
      <c r="A115" s="752"/>
      <c r="C115" s="529" t="s">
        <v>1034</v>
      </c>
      <c r="D115" s="447">
        <f>D112+1</f>
        <v>46173</v>
      </c>
      <c r="E115" s="498" t="s">
        <v>573</v>
      </c>
      <c r="F115" s="514"/>
      <c r="G115" s="514"/>
      <c r="H115" s="514"/>
      <c r="I115" s="537" cm="1">
        <f t="array" aca="1" ref="I115" ca="1">IFERROR(_xlfn.LET(_xlpm.produto,TRIM(F115)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15" s="537" cm="1">
        <f t="array" aca="1" ref="J115" ca="1">IFERROR(_xlfn.LET(_xlpm.produto,TRIM(G115)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15" s="537" cm="1">
        <f t="array" aca="1" ref="K115" ca="1">IFERROR(_xlfn.LET(_xlpm.produto,TRIM(H115)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15" s="563"/>
      <c r="M115" s="563"/>
      <c r="N115" s="563"/>
    </row>
    <row r="116" spans="1:18" x14ac:dyDescent="0.25">
      <c r="A116" s="752"/>
      <c r="C116" s="452" t="s">
        <v>1034</v>
      </c>
      <c r="D116" s="453">
        <f t="shared" ref="D116:D130" si="29">D115</f>
        <v>46173</v>
      </c>
      <c r="E116" s="500" t="s">
        <v>162</v>
      </c>
      <c r="F116" s="517"/>
      <c r="G116" s="517"/>
      <c r="H116" s="517"/>
      <c r="I116" s="540"/>
      <c r="J116" s="540"/>
      <c r="K116" s="540"/>
      <c r="L116" s="555" t="e">
        <f>I116*INDEX([2]Pedidos!$Q:$Q,MATCH(F116,[2]Pedidos!$E:$E,0))</f>
        <v>#N/A</v>
      </c>
      <c r="M116" s="555" t="e">
        <f>J116*INDEX([2]Pedidos!$Q:$Q,MATCH(G116,[2]Pedidos!$E:$E,0))</f>
        <v>#N/A</v>
      </c>
      <c r="N116" s="555" t="e">
        <f>K116*INDEX([2]Pedidos!$Q:$Q,MATCH(H116,[2]Pedidos!$E:$E,0))</f>
        <v>#N/A</v>
      </c>
    </row>
    <row r="117" spans="1:18" x14ac:dyDescent="0.25">
      <c r="A117" s="752"/>
      <c r="C117" s="452" t="s">
        <v>1034</v>
      </c>
      <c r="D117" s="453">
        <f t="shared" si="29"/>
        <v>46173</v>
      </c>
      <c r="E117" s="454" t="s">
        <v>163</v>
      </c>
      <c r="F117" s="517"/>
      <c r="G117" s="512"/>
      <c r="H117" s="505"/>
      <c r="I117" s="540"/>
      <c r="J117" s="540"/>
      <c r="K117" s="540"/>
      <c r="L117" s="564" t="e">
        <f>I117*INDEX([2]Pedidos!$Q:$Q,MATCH(F117,[2]Pedidos!$E:$E,0))</f>
        <v>#N/A</v>
      </c>
      <c r="M117" s="564" t="e">
        <f>J117*INDEX([2]Pedidos!$Q:$Q,MATCH(G117,[2]Pedidos!$E:$E,0))</f>
        <v>#N/A</v>
      </c>
      <c r="N117" s="564" t="e">
        <f>K117*INDEX([2]Pedidos!$Q:$Q,MATCH(H117,[2]Pedidos!$E:$E,0))</f>
        <v>#N/A</v>
      </c>
    </row>
    <row r="118" spans="1:18" x14ac:dyDescent="0.25">
      <c r="A118" s="752"/>
      <c r="C118" s="452" t="s">
        <v>1034</v>
      </c>
      <c r="D118" s="453">
        <f t="shared" si="29"/>
        <v>46173</v>
      </c>
      <c r="E118" s="454" t="s">
        <v>164</v>
      </c>
      <c r="F118" s="517"/>
      <c r="G118" s="512"/>
      <c r="H118" s="505"/>
      <c r="I118" s="540"/>
      <c r="J118" s="540"/>
      <c r="K118" s="540"/>
      <c r="L118" s="564" t="e">
        <f>I118*INDEX([2]Pedidos!$Q:$Q,MATCH(F118,[2]Pedidos!$E:$E,0))</f>
        <v>#N/A</v>
      </c>
      <c r="M118" s="564" t="e">
        <f>J118*INDEX([2]Pedidos!$Q:$Q,MATCH(G118,[2]Pedidos!$E:$E,0))</f>
        <v>#N/A</v>
      </c>
      <c r="N118" s="564" t="e">
        <f>K118*INDEX([2]Pedidos!$Q:$Q,MATCH(H118,[2]Pedidos!$E:$E,0))</f>
        <v>#N/A</v>
      </c>
    </row>
    <row r="119" spans="1:18" x14ac:dyDescent="0.25">
      <c r="A119" s="752"/>
      <c r="C119" s="452" t="s">
        <v>1034</v>
      </c>
      <c r="D119" s="453">
        <f t="shared" si="29"/>
        <v>46173</v>
      </c>
      <c r="E119" s="454" t="s">
        <v>165</v>
      </c>
      <c r="F119" s="517"/>
      <c r="G119" s="512"/>
      <c r="H119" s="505"/>
      <c r="I119" s="540"/>
      <c r="J119" s="540"/>
      <c r="K119" s="540"/>
      <c r="L119" s="564" t="e">
        <f>I119*INDEX([2]Pedidos!$Q:$Q,MATCH(F119,[2]Pedidos!$E:$E,0))</f>
        <v>#N/A</v>
      </c>
      <c r="M119" s="564" t="e">
        <f>J119*INDEX([2]Pedidos!$Q:$Q,MATCH(G119,[2]Pedidos!$E:$E,0))</f>
        <v>#N/A</v>
      </c>
      <c r="N119" s="564" t="e">
        <f>K119*INDEX([2]Pedidos!$Q:$Q,MATCH(H119,[2]Pedidos!$E:$E,0))</f>
        <v>#N/A</v>
      </c>
    </row>
    <row r="120" spans="1:18" x14ac:dyDescent="0.25">
      <c r="A120" s="752"/>
      <c r="C120" s="452" t="s">
        <v>1034</v>
      </c>
      <c r="D120" s="453">
        <f t="shared" si="29"/>
        <v>46173</v>
      </c>
      <c r="E120" s="454" t="s">
        <v>166</v>
      </c>
      <c r="F120" s="517"/>
      <c r="G120" s="512"/>
      <c r="H120" s="505"/>
      <c r="I120" s="540"/>
      <c r="J120" s="540"/>
      <c r="K120" s="540"/>
      <c r="L120" s="564" t="e">
        <f>I120*INDEX([2]Pedidos!$Q:$Q,MATCH(F120,[2]Pedidos!$E:$E,0))</f>
        <v>#N/A</v>
      </c>
      <c r="M120" s="564" t="e">
        <f>J120*INDEX([2]Pedidos!$Q:$Q,MATCH(G120,[2]Pedidos!$E:$E,0))</f>
        <v>#N/A</v>
      </c>
      <c r="N120" s="564" t="e">
        <f>K120*INDEX([2]Pedidos!$Q:$Q,MATCH(H120,[2]Pedidos!$E:$E,0))</f>
        <v>#N/A</v>
      </c>
    </row>
    <row r="121" spans="1:18" x14ac:dyDescent="0.25">
      <c r="A121" s="752"/>
      <c r="C121" s="452" t="s">
        <v>1034</v>
      </c>
      <c r="D121" s="453">
        <f t="shared" si="29"/>
        <v>46173</v>
      </c>
      <c r="E121" s="454" t="s">
        <v>576</v>
      </c>
      <c r="F121" s="517"/>
      <c r="G121" s="512"/>
      <c r="H121" s="505"/>
      <c r="I121" s="541" cm="1">
        <f t="array" aca="1" ref="I121" ca="1">IFERROR(_xlfn.LET(_xlpm.produto,TRIM(F121)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21" s="541" cm="1">
        <f t="array" aca="1" ref="J121" ca="1">IFERROR(_xlfn.LET(_xlpm.produto,TRIM(G121)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21" s="541" cm="1">
        <f t="array" aca="1" ref="K121" ca="1">IFERROR(_xlfn.LET(_xlpm.produto,TRIM(H121)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21" s="556"/>
      <c r="M121" s="556"/>
      <c r="N121" s="556"/>
    </row>
    <row r="122" spans="1:18" x14ac:dyDescent="0.25">
      <c r="A122" s="752"/>
      <c r="C122" s="452" t="s">
        <v>1034</v>
      </c>
      <c r="D122" s="449">
        <f t="shared" si="29"/>
        <v>46173</v>
      </c>
      <c r="E122" s="454" t="s">
        <v>167</v>
      </c>
      <c r="F122" s="517"/>
      <c r="G122" s="512"/>
      <c r="H122" s="505"/>
      <c r="I122" s="540"/>
      <c r="J122" s="540"/>
      <c r="K122" s="540"/>
      <c r="L122" s="565" t="e">
        <f>I122*INDEX([2]Pedidos!$Q:$Q,MATCH(F122,[2]Pedidos!$E:$E,0))</f>
        <v>#N/A</v>
      </c>
      <c r="M122" s="565" t="e">
        <f>J122*INDEX([2]Pedidos!$Q:$Q,MATCH(G122,[2]Pedidos!$E:$E,0))</f>
        <v>#N/A</v>
      </c>
      <c r="N122" s="565" t="e">
        <f>K122*INDEX([2]Pedidos!$Q:$Q,MATCH(H122,[2]Pedidos!$E:$E,0))</f>
        <v>#N/A</v>
      </c>
    </row>
    <row r="123" spans="1:18" x14ac:dyDescent="0.25">
      <c r="A123" s="752"/>
      <c r="C123" s="452" t="s">
        <v>1034</v>
      </c>
      <c r="D123" s="449">
        <f t="shared" si="29"/>
        <v>46173</v>
      </c>
      <c r="E123" s="454" t="s">
        <v>168</v>
      </c>
      <c r="F123" s="517"/>
      <c r="G123" s="512"/>
      <c r="H123" s="505"/>
      <c r="I123" s="540"/>
      <c r="J123" s="540"/>
      <c r="K123" s="540"/>
      <c r="L123" s="565" t="e">
        <f>I123*INDEX([2]Pedidos!$Q:$Q,MATCH(F123,[2]Pedidos!$E:$E,0))</f>
        <v>#N/A</v>
      </c>
      <c r="M123" s="565" t="e">
        <f>J123*INDEX([2]Pedidos!$Q:$Q,MATCH(G123,[2]Pedidos!$E:$E,0))</f>
        <v>#N/A</v>
      </c>
      <c r="N123" s="565" t="e">
        <f>K123*INDEX([2]Pedidos!$Q:$Q,MATCH(H123,[2]Pedidos!$E:$E,0))</f>
        <v>#N/A</v>
      </c>
    </row>
    <row r="124" spans="1:18" x14ac:dyDescent="0.25">
      <c r="A124" s="752"/>
      <c r="C124" s="452" t="s">
        <v>1034</v>
      </c>
      <c r="D124" s="449">
        <f t="shared" si="29"/>
        <v>46173</v>
      </c>
      <c r="E124" s="454" t="s">
        <v>169</v>
      </c>
      <c r="F124" s="517"/>
      <c r="G124" s="512"/>
      <c r="H124" s="505"/>
      <c r="I124" s="540"/>
      <c r="J124" s="540"/>
      <c r="K124" s="540"/>
      <c r="L124" s="565" t="e">
        <f>I124*INDEX([2]Pedidos!$Q:$Q,MATCH(F124,[2]Pedidos!$E:$E,0))</f>
        <v>#N/A</v>
      </c>
      <c r="M124" s="565" t="e">
        <f>J124*INDEX([2]Pedidos!$Q:$Q,MATCH(G124,[2]Pedidos!$E:$E,0))</f>
        <v>#N/A</v>
      </c>
      <c r="N124" s="565" t="e">
        <f>K124*INDEX([2]Pedidos!$Q:$Q,MATCH(H124,[2]Pedidos!$E:$E,0))</f>
        <v>#N/A</v>
      </c>
    </row>
    <row r="125" spans="1:18" x14ac:dyDescent="0.25">
      <c r="A125" s="752"/>
      <c r="C125" s="452" t="s">
        <v>1034</v>
      </c>
      <c r="D125" s="449">
        <f t="shared" si="29"/>
        <v>46173</v>
      </c>
      <c r="E125" s="454" t="s">
        <v>170</v>
      </c>
      <c r="F125" s="517"/>
      <c r="G125" s="512"/>
      <c r="H125" s="505"/>
      <c r="I125" s="540"/>
      <c r="J125" s="540"/>
      <c r="K125" s="540"/>
      <c r="L125" s="566" t="e">
        <f>I125*INDEX([2]Pedidos!$Q:$Q,MATCH(F125,[2]Pedidos!$E:$E,0))</f>
        <v>#N/A</v>
      </c>
      <c r="M125" s="566" t="e">
        <f>J125*INDEX([2]Pedidos!$Q:$Q,MATCH(G125,[2]Pedidos!$E:$E,0))</f>
        <v>#N/A</v>
      </c>
      <c r="N125" s="566" t="e">
        <f>K125*INDEX([2]Pedidos!$Q:$Q,MATCH(H125,[2]Pedidos!$E:$E,0))</f>
        <v>#N/A</v>
      </c>
    </row>
    <row r="126" spans="1:18" x14ac:dyDescent="0.25">
      <c r="A126" s="752"/>
      <c r="C126" s="452" t="s">
        <v>1034</v>
      </c>
      <c r="D126" s="449">
        <f t="shared" si="29"/>
        <v>46173</v>
      </c>
      <c r="E126" s="454" t="s">
        <v>585</v>
      </c>
      <c r="F126" s="505"/>
      <c r="G126" s="505"/>
      <c r="H126" s="516"/>
      <c r="I126" s="516" cm="1">
        <f t="array" aca="1" ref="I126" ca="1">IFERROR(_xlfn.LET(_xlpm.produto,TRIM(F126)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26" s="516" cm="1">
        <f t="array" aca="1" ref="J126" ca="1">IFERROR(_xlfn.LET(_xlpm.produto,TRIM(G126)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26" s="516" cm="1">
        <f t="array" aca="1" ref="K126" ca="1">IFERROR(_xlfn.LET(_xlpm.produto,TRIM(H126)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26" s="557"/>
      <c r="M126" s="557"/>
      <c r="N126" s="557"/>
    </row>
    <row r="127" spans="1:18" x14ac:dyDescent="0.25">
      <c r="A127" s="752"/>
      <c r="C127" s="452" t="s">
        <v>1034</v>
      </c>
      <c r="D127" s="449">
        <f t="shared" si="29"/>
        <v>46173</v>
      </c>
      <c r="E127" s="455" t="s">
        <v>574</v>
      </c>
      <c r="F127" s="505"/>
      <c r="G127" s="505"/>
      <c r="H127" s="516"/>
      <c r="I127" s="516" cm="1">
        <f t="array" aca="1" ref="I127" ca="1">IFERROR(_xlfn.LET(_xlpm.produto,TRIM(F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27" s="516" cm="1">
        <f t="array" aca="1" ref="J127" ca="1">IFERROR(_xlfn.LET(_xlpm.produto,TRIM(G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27" s="516" cm="1">
        <f t="array" aca="1" ref="K127" ca="1">IFERROR(_xlfn.LET(_xlpm.produto,TRIM(H127)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27" s="557"/>
      <c r="M127" s="557"/>
      <c r="N127" s="557"/>
    </row>
    <row r="128" spans="1:18" x14ac:dyDescent="0.25">
      <c r="A128" s="752"/>
      <c r="C128" s="452" t="s">
        <v>1034</v>
      </c>
      <c r="D128" s="449">
        <f t="shared" si="29"/>
        <v>46173</v>
      </c>
      <c r="E128" s="455" t="s">
        <v>575</v>
      </c>
      <c r="F128" s="506"/>
      <c r="G128" s="506"/>
      <c r="H128" s="516"/>
      <c r="I128" s="516" cm="1">
        <f t="array" aca="1" ref="I128" ca="1">IFERROR(_xlfn.LET(_xlpm.produto,TRIM(F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28" s="516" cm="1">
        <f t="array" aca="1" ref="J128" ca="1">IFERROR(_xlfn.LET(_xlpm.produto,TRIM(G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28" s="516" cm="1">
        <f t="array" aca="1" ref="K128" ca="1">IFERROR(_xlfn.LET(_xlpm.produto,TRIM(H128)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28" s="557"/>
      <c r="M128" s="557"/>
      <c r="N128" s="557"/>
    </row>
    <row r="129" spans="1:23" x14ac:dyDescent="0.25">
      <c r="A129" s="752"/>
      <c r="C129" s="452" t="s">
        <v>1034</v>
      </c>
      <c r="D129" s="449">
        <f t="shared" si="29"/>
        <v>46173</v>
      </c>
      <c r="E129" s="503" t="s">
        <v>583</v>
      </c>
      <c r="F129" s="506"/>
      <c r="G129" s="506"/>
      <c r="H129" s="516"/>
      <c r="I129" s="516" cm="1">
        <f t="array" aca="1" ref="I129" ca="1">IFERROR(_xlfn.LET(_xlpm.produto,TRIM(F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29" s="516" cm="1">
        <f t="array" aca="1" ref="J129" ca="1">IFERROR(_xlfn.LET(_xlpm.produto,TRIM(G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29" s="516" cm="1">
        <f t="array" aca="1" ref="K129" ca="1">IFERROR(_xlfn.LET(_xlpm.produto,TRIM(H129)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29" s="557"/>
      <c r="M129" s="557"/>
      <c r="N129" s="557"/>
    </row>
    <row r="130" spans="1:23" ht="15.75" thickBot="1" x14ac:dyDescent="0.3">
      <c r="A130" s="752"/>
      <c r="C130" s="530" t="s">
        <v>1034</v>
      </c>
      <c r="D130" s="451">
        <f t="shared" si="29"/>
        <v>46173</v>
      </c>
      <c r="E130" s="459" t="s">
        <v>584</v>
      </c>
      <c r="F130" s="493"/>
      <c r="G130" s="493"/>
      <c r="H130" s="513"/>
      <c r="I130" s="513" cm="1">
        <f t="array" aca="1" ref="I130" ca="1">IFERROR(_xlfn.LET(_xlpm.produto,TRIM(F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130" s="513" cm="1">
        <f t="array" aca="1" ref="J130" ca="1">IFERROR(_xlfn.LET(_xlpm.produto,TRIM(G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130" s="513" cm="1">
        <f t="array" aca="1" ref="K130" ca="1">IFERROR(_xlfn.LET(_xlpm.produto,TRIM(H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130" s="558"/>
      <c r="M130" s="558"/>
      <c r="N130" s="558"/>
    </row>
    <row r="131" spans="1:23" ht="11.25" customHeight="1" thickBot="1" x14ac:dyDescent="0.3">
      <c r="I131" s="445"/>
      <c r="J131" s="445"/>
    </row>
    <row r="132" spans="1:23" ht="15.75" customHeight="1" thickBot="1" x14ac:dyDescent="0.3">
      <c r="A132" s="752">
        <f>A6+1</f>
        <v>22</v>
      </c>
      <c r="C132" s="538"/>
      <c r="D132" s="539"/>
      <c r="E132" s="539"/>
      <c r="F132" s="539"/>
      <c r="G132" s="539"/>
      <c r="H132" s="539"/>
      <c r="I132" s="606">
        <f t="shared" ref="I132:N132" si="30">_xlfn.AGGREGATE(9,6,I133:I148)</f>
        <v>10164</v>
      </c>
      <c r="J132" s="607">
        <f t="shared" si="30"/>
        <v>10333.333333333334</v>
      </c>
      <c r="K132" s="544">
        <f t="shared" si="30"/>
        <v>10000.000000000002</v>
      </c>
      <c r="L132" s="560">
        <f t="shared" si="30"/>
        <v>11180.400000000003</v>
      </c>
      <c r="M132" s="561">
        <f t="shared" si="30"/>
        <v>8783.3333333333321</v>
      </c>
      <c r="N132" s="562">
        <f t="shared" si="30"/>
        <v>5500.0000000000018</v>
      </c>
      <c r="O132" s="548">
        <f>SUM(I132:K132)</f>
        <v>30497.333333333336</v>
      </c>
      <c r="P132" s="549">
        <f>SUM(L132:N132)</f>
        <v>25463.733333333337</v>
      </c>
      <c r="Q132" s="3"/>
      <c r="R132" s="3"/>
      <c r="T132" s="570" t="s">
        <v>437</v>
      </c>
      <c r="U132" s="571" t="str">
        <f>"Qtd. Total "&amp;TEXT(D133,"dd/mm/aaaa")&amp;" - "&amp;TEXT(D205,"dd/mm/aaaa")</f>
        <v>Qtd. Total 01/06/2026 - 05/06/2026</v>
      </c>
      <c r="V132" s="571" t="str">
        <f>"Produzido "&amp;TEXT(D133,"dd/mm/aaaa")&amp;" - "&amp;TEXT(D205,"dd/mm/aaaa")</f>
        <v>Produzido 01/06/2026 - 05/06/2026</v>
      </c>
      <c r="W132" s="572" t="s">
        <v>1536</v>
      </c>
    </row>
    <row r="133" spans="1:23" x14ac:dyDescent="0.25">
      <c r="A133" s="752"/>
      <c r="C133" s="496" t="s">
        <v>161</v>
      </c>
      <c r="D133" s="507">
        <f>D94+3</f>
        <v>46174</v>
      </c>
      <c r="E133" s="498" t="s">
        <v>573</v>
      </c>
      <c r="F133" s="681" t="s">
        <v>1854</v>
      </c>
      <c r="G133" s="681" t="s">
        <v>1824</v>
      </c>
      <c r="H133" s="460" t="s">
        <v>1802</v>
      </c>
      <c r="I133" s="683">
        <f t="shared" ref="I133:I137" si="31">ROUND((60000-9200)/70,0)</f>
        <v>726</v>
      </c>
      <c r="J133" s="683">
        <f t="shared" ref="J133:J137" si="32">16000/21</f>
        <v>761.90476190476193</v>
      </c>
      <c r="K133" s="683">
        <f>20000/28</f>
        <v>714.28571428571433</v>
      </c>
      <c r="L133" s="688">
        <f>I133*INDEX([2]Pedidos!$Q:$Q,MATCH(F133,[2]Pedidos!$E:$E,0))</f>
        <v>798.6</v>
      </c>
      <c r="M133" s="688">
        <f>J133*INDEX([2]Pedidos!$Q:$Q,MATCH(G133,[2]Pedidos!$E:$E,0))</f>
        <v>647.61904761904759</v>
      </c>
      <c r="N133" s="688">
        <f>K133*INDEX([2]Pedidos!$Q:$Q,MATCH(H133,[2]Pedidos!$E:$E,0))</f>
        <v>392.85714285714289</v>
      </c>
      <c r="T133" s="591" t="str" cm="1">
        <f t="array" aca="1" ref="T13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3" s="576" t="str">
        <f t="shared" ref="U133:U146" ca="1" si="33">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133,IF(_xlpm.p&lt;&gt;"",SUMIF(_xlpm.rF,_xlpm.p,_xlpm.rI)+SUMIF(_xlpm.rG,_xlpm.p,_xlpm.rJ)+SUMIF(_xlpm.rH,_xlpm.p,_xlpm.rK),""))</f>
        <v/>
      </c>
      <c r="V133" s="585"/>
      <c r="W133" s="581">
        <f ca="1">IFERROR(V133*INDEX([2]Pedidos!$Q:$Q,MATCH(T133,[2]Pedidos!$E:$E,0)),0)</f>
        <v>0</v>
      </c>
    </row>
    <row r="134" spans="1:23" x14ac:dyDescent="0.25">
      <c r="A134" s="752"/>
      <c r="C134" s="525" t="s">
        <v>161</v>
      </c>
      <c r="D134" s="453">
        <f t="shared" ref="D134:D148" si="34">D133</f>
        <v>46174</v>
      </c>
      <c r="E134" s="500" t="s">
        <v>162</v>
      </c>
      <c r="F134" s="460" t="s">
        <v>1854</v>
      </c>
      <c r="G134" s="460" t="s">
        <v>1824</v>
      </c>
      <c r="H134" s="460" t="s">
        <v>1802</v>
      </c>
      <c r="I134" s="540">
        <f t="shared" si="31"/>
        <v>726</v>
      </c>
      <c r="J134" s="540">
        <f t="shared" si="32"/>
        <v>761.90476190476193</v>
      </c>
      <c r="K134" s="540">
        <f t="shared" ref="K134:K137" si="35">20000/28</f>
        <v>714.28571428571433</v>
      </c>
      <c r="L134" s="555">
        <f>I134*INDEX([2]Pedidos!$Q:$Q,MATCH(F134,[2]Pedidos!$E:$E,0))</f>
        <v>798.6</v>
      </c>
      <c r="M134" s="564">
        <f>J134*INDEX([2]Pedidos!$Q:$Q,MATCH(G134,[2]Pedidos!$E:$E,0))</f>
        <v>647.61904761904759</v>
      </c>
      <c r="N134" s="555">
        <f>K134*INDEX([2]Pedidos!$Q:$Q,MATCH(H134,[2]Pedidos!$E:$E,0))</f>
        <v>392.85714285714289</v>
      </c>
      <c r="T134" s="592" t="str" cm="1">
        <f t="array" aca="1" ref="T13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4" s="576" t="str">
        <f t="shared" ca="1" si="33"/>
        <v/>
      </c>
      <c r="V134" s="586"/>
      <c r="W134" s="582">
        <f ca="1">IFERROR(V134*INDEX([2]Pedidos!$Q:$Q,MATCH(T134,[2]Pedidos!$E:$E,0)),0)</f>
        <v>0</v>
      </c>
    </row>
    <row r="135" spans="1:23" x14ac:dyDescent="0.25">
      <c r="A135" s="752"/>
      <c r="C135" s="526" t="s">
        <v>161</v>
      </c>
      <c r="D135" s="453">
        <f t="shared" si="34"/>
        <v>46174</v>
      </c>
      <c r="E135" s="454" t="s">
        <v>163</v>
      </c>
      <c r="F135" s="460" t="s">
        <v>1854</v>
      </c>
      <c r="G135" s="460" t="s">
        <v>1824</v>
      </c>
      <c r="H135" s="460" t="s">
        <v>1802</v>
      </c>
      <c r="I135" s="540">
        <f t="shared" si="31"/>
        <v>726</v>
      </c>
      <c r="J135" s="540">
        <f t="shared" si="32"/>
        <v>761.90476190476193</v>
      </c>
      <c r="K135" s="540">
        <f t="shared" si="35"/>
        <v>714.28571428571433</v>
      </c>
      <c r="L135" s="555">
        <f>I135*INDEX([2]Pedidos!$Q:$Q,MATCH(F135,[2]Pedidos!$E:$E,0))</f>
        <v>798.6</v>
      </c>
      <c r="M135" s="564">
        <f>J135*INDEX([2]Pedidos!$Q:$Q,MATCH(G135,[2]Pedidos!$E:$E,0))</f>
        <v>647.61904761904759</v>
      </c>
      <c r="N135" s="555">
        <f>K135*INDEX([2]Pedidos!$Q:$Q,MATCH(H135,[2]Pedidos!$E:$E,0))</f>
        <v>392.85714285714289</v>
      </c>
      <c r="T135" s="591" t="str" cm="1">
        <f t="array" aca="1" ref="T13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5" s="576" t="str">
        <f t="shared" ca="1" si="33"/>
        <v/>
      </c>
      <c r="V135" s="586"/>
      <c r="W135" s="582">
        <f ca="1">IFERROR(V135*INDEX([2]Pedidos!$Q:$Q,MATCH(T135,[2]Pedidos!$E:$E,0)),0)</f>
        <v>0</v>
      </c>
    </row>
    <row r="136" spans="1:23" x14ac:dyDescent="0.25">
      <c r="A136" s="752"/>
      <c r="C136" s="526" t="s">
        <v>161</v>
      </c>
      <c r="D136" s="453">
        <f t="shared" si="34"/>
        <v>46174</v>
      </c>
      <c r="E136" s="454" t="s">
        <v>164</v>
      </c>
      <c r="F136" s="460" t="s">
        <v>1854</v>
      </c>
      <c r="G136" s="460" t="s">
        <v>1824</v>
      </c>
      <c r="H136" s="460" t="s">
        <v>1802</v>
      </c>
      <c r="I136" s="540">
        <f t="shared" si="31"/>
        <v>726</v>
      </c>
      <c r="J136" s="540">
        <f t="shared" si="32"/>
        <v>761.90476190476193</v>
      </c>
      <c r="K136" s="540">
        <f t="shared" si="35"/>
        <v>714.28571428571433</v>
      </c>
      <c r="L136" s="555">
        <f>I136*INDEX([2]Pedidos!$Q:$Q,MATCH(F136,[2]Pedidos!$E:$E,0))</f>
        <v>798.6</v>
      </c>
      <c r="M136" s="564">
        <f>J136*INDEX([2]Pedidos!$Q:$Q,MATCH(G136,[2]Pedidos!$E:$E,0))</f>
        <v>647.61904761904759</v>
      </c>
      <c r="N136" s="555">
        <f>K136*INDEX([2]Pedidos!$Q:$Q,MATCH(H136,[2]Pedidos!$E:$E,0))</f>
        <v>392.85714285714289</v>
      </c>
      <c r="T136" s="592" t="str" cm="1">
        <f t="array" aca="1" ref="T13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6" s="576" t="str">
        <f t="shared" ca="1" si="33"/>
        <v/>
      </c>
      <c r="V136" s="586"/>
      <c r="W136" s="582">
        <f ca="1">IFERROR(V136*INDEX([2]Pedidos!$Q:$Q,MATCH(T136,[2]Pedidos!$E:$E,0)),0)</f>
        <v>0</v>
      </c>
    </row>
    <row r="137" spans="1:23" x14ac:dyDescent="0.25">
      <c r="A137" s="752"/>
      <c r="C137" s="526" t="s">
        <v>161</v>
      </c>
      <c r="D137" s="453">
        <f t="shared" si="34"/>
        <v>46174</v>
      </c>
      <c r="E137" s="454" t="s">
        <v>165</v>
      </c>
      <c r="F137" s="460" t="s">
        <v>1854</v>
      </c>
      <c r="G137" s="460" t="s">
        <v>1824</v>
      </c>
      <c r="H137" s="460" t="s">
        <v>1802</v>
      </c>
      <c r="I137" s="540">
        <f t="shared" si="31"/>
        <v>726</v>
      </c>
      <c r="J137" s="540">
        <f t="shared" si="32"/>
        <v>761.90476190476193</v>
      </c>
      <c r="K137" s="540">
        <f t="shared" si="35"/>
        <v>714.28571428571433</v>
      </c>
      <c r="L137" s="555">
        <f>I137*INDEX([2]Pedidos!$Q:$Q,MATCH(F137,[2]Pedidos!$E:$E,0))</f>
        <v>798.6</v>
      </c>
      <c r="M137" s="564">
        <f>J137*INDEX([2]Pedidos!$Q:$Q,MATCH(G137,[2]Pedidos!$E:$E,0))</f>
        <v>647.61904761904759</v>
      </c>
      <c r="N137" s="555">
        <f>K137*INDEX([2]Pedidos!$Q:$Q,MATCH(H137,[2]Pedidos!$E:$E,0))</f>
        <v>392.85714285714289</v>
      </c>
      <c r="T137" s="591" t="str" cm="1">
        <f t="array" aca="1" ref="T13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7" s="576" t="str">
        <f t="shared" ca="1" si="33"/>
        <v/>
      </c>
      <c r="V137" s="586"/>
      <c r="W137" s="582">
        <f ca="1">IFERROR(V137*INDEX([2]Pedidos!$Q:$Q,MATCH(T137,[2]Pedidos!$E:$E,0)),0)</f>
        <v>0</v>
      </c>
    </row>
    <row r="138" spans="1:23" x14ac:dyDescent="0.25">
      <c r="A138" s="752"/>
      <c r="C138" s="526" t="s">
        <v>161</v>
      </c>
      <c r="D138" s="453">
        <f t="shared" si="34"/>
        <v>46174</v>
      </c>
      <c r="E138" s="454" t="s">
        <v>166</v>
      </c>
      <c r="F138" s="512"/>
      <c r="G138" s="512"/>
      <c r="H138" s="512"/>
      <c r="I138" s="682"/>
      <c r="J138" s="682"/>
      <c r="K138" s="682"/>
      <c r="L138" s="687"/>
      <c r="M138" s="687"/>
      <c r="N138" s="687"/>
      <c r="T138" s="592" t="str" cm="1">
        <f t="array" aca="1" ref="T13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8" s="576" t="str">
        <f t="shared" ca="1" si="33"/>
        <v/>
      </c>
      <c r="V138" s="586"/>
      <c r="W138" s="582">
        <f ca="1">IFERROR(V138*INDEX([2]Pedidos!$Q:$Q,MATCH(T138,[2]Pedidos!$E:$E,0)),0)</f>
        <v>0</v>
      </c>
    </row>
    <row r="139" spans="1:23" x14ac:dyDescent="0.25">
      <c r="A139" s="752"/>
      <c r="C139" s="526" t="s">
        <v>161</v>
      </c>
      <c r="D139" s="453">
        <f t="shared" si="34"/>
        <v>46174</v>
      </c>
      <c r="E139" s="454" t="s">
        <v>576</v>
      </c>
      <c r="F139" s="461" t="s">
        <v>1854</v>
      </c>
      <c r="G139" s="460" t="s">
        <v>1824</v>
      </c>
      <c r="H139" s="460" t="s">
        <v>1802</v>
      </c>
      <c r="I139" s="540">
        <f t="shared" ref="I139:I144" si="36">ROUND((60000-9200)/70,0)</f>
        <v>726</v>
      </c>
      <c r="J139" s="679">
        <f t="shared" ref="J139:J140" si="37">16000/21</f>
        <v>761.90476190476193</v>
      </c>
      <c r="K139" s="679">
        <f t="shared" ref="K139:K144" si="38">20000/28</f>
        <v>714.28571428571433</v>
      </c>
      <c r="L139" s="555">
        <f>I139*INDEX([2]Pedidos!$Q:$Q,MATCH(F139,[2]Pedidos!$E:$E,0))</f>
        <v>798.6</v>
      </c>
      <c r="M139" s="564">
        <f>J139*INDEX([2]Pedidos!$Q:$Q,MATCH(G139,[2]Pedidos!$E:$E,0))</f>
        <v>647.61904761904759</v>
      </c>
      <c r="N139" s="555">
        <f>K139*INDEX([2]Pedidos!$Q:$Q,MATCH(H139,[2]Pedidos!$E:$E,0))</f>
        <v>392.85714285714289</v>
      </c>
      <c r="T139" s="591" t="str" cm="1">
        <f t="array" aca="1" ref="T13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39" s="576" t="str">
        <f t="shared" ca="1" si="33"/>
        <v/>
      </c>
      <c r="V139" s="586"/>
      <c r="W139" s="582">
        <f ca="1">IFERROR(V139*INDEX([2]Pedidos!$Q:$Q,MATCH(T139,[2]Pedidos!$E:$E,0)),0)</f>
        <v>0</v>
      </c>
    </row>
    <row r="140" spans="1:23" x14ac:dyDescent="0.25">
      <c r="A140" s="752"/>
      <c r="C140" s="527" t="s">
        <v>161</v>
      </c>
      <c r="D140" s="449">
        <f t="shared" si="34"/>
        <v>46174</v>
      </c>
      <c r="E140" s="454" t="s">
        <v>167</v>
      </c>
      <c r="F140" s="460" t="s">
        <v>1854</v>
      </c>
      <c r="G140" s="460" t="s">
        <v>1824</v>
      </c>
      <c r="H140" s="460" t="s">
        <v>1802</v>
      </c>
      <c r="I140" s="540">
        <f t="shared" si="36"/>
        <v>726</v>
      </c>
      <c r="J140" s="540">
        <f t="shared" si="37"/>
        <v>761.90476190476193</v>
      </c>
      <c r="K140" s="540">
        <f t="shared" si="38"/>
        <v>714.28571428571433</v>
      </c>
      <c r="L140" s="555">
        <f>I140*INDEX([2]Pedidos!$Q:$Q,MATCH(F140,[2]Pedidos!$E:$E,0))</f>
        <v>798.6</v>
      </c>
      <c r="M140" s="564">
        <f>J140*INDEX([2]Pedidos!$Q:$Q,MATCH(G140,[2]Pedidos!$E:$E,0))</f>
        <v>647.61904761904759</v>
      </c>
      <c r="N140" s="555">
        <f>K140*INDEX([2]Pedidos!$Q:$Q,MATCH(H140,[2]Pedidos!$E:$E,0))</f>
        <v>392.85714285714289</v>
      </c>
      <c r="T140" s="592" t="str" cm="1">
        <f t="array" aca="1" ref="T14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0" s="576" t="str">
        <f t="shared" ca="1" si="33"/>
        <v/>
      </c>
      <c r="V140" s="586"/>
      <c r="W140" s="582">
        <f ca="1">IFERROR(V140*INDEX([2]Pedidos!$Q:$Q,MATCH(T140,[2]Pedidos!$E:$E,0)),0)</f>
        <v>0</v>
      </c>
    </row>
    <row r="141" spans="1:23" x14ac:dyDescent="0.25">
      <c r="A141" s="752"/>
      <c r="C141" s="527" t="s">
        <v>161</v>
      </c>
      <c r="D141" s="449">
        <f t="shared" si="34"/>
        <v>46174</v>
      </c>
      <c r="E141" s="454" t="s">
        <v>168</v>
      </c>
      <c r="F141" s="460" t="s">
        <v>1854</v>
      </c>
      <c r="G141" s="460" t="s">
        <v>1783</v>
      </c>
      <c r="H141" s="460" t="s">
        <v>1802</v>
      </c>
      <c r="I141" s="540">
        <f t="shared" si="36"/>
        <v>726</v>
      </c>
      <c r="J141" s="540">
        <f>15000/21</f>
        <v>714.28571428571433</v>
      </c>
      <c r="K141" s="540">
        <f t="shared" si="38"/>
        <v>714.28571428571433</v>
      </c>
      <c r="L141" s="555">
        <f>I141*INDEX([2]Pedidos!$Q:$Q,MATCH(F141,[2]Pedidos!$E:$E,0))</f>
        <v>798.6</v>
      </c>
      <c r="M141" s="564">
        <f>J141*INDEX([2]Pedidos!$Q:$Q,MATCH(G141,[2]Pedidos!$E:$E,0))</f>
        <v>607.14285714285722</v>
      </c>
      <c r="N141" s="555">
        <f>K141*INDEX([2]Pedidos!$Q:$Q,MATCH(H141,[2]Pedidos!$E:$E,0))</f>
        <v>392.85714285714289</v>
      </c>
      <c r="T141" s="591" t="str" cm="1">
        <f t="array" aca="1" ref="T14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1" s="576" t="str">
        <f t="shared" ca="1" si="33"/>
        <v/>
      </c>
      <c r="V141" s="586"/>
      <c r="W141" s="582">
        <f ca="1">IFERROR(V141*INDEX([2]Pedidos!$Q:$Q,MATCH(T141,[2]Pedidos!$E:$E,0)),0)</f>
        <v>0</v>
      </c>
    </row>
    <row r="142" spans="1:23" x14ac:dyDescent="0.25">
      <c r="A142" s="752"/>
      <c r="C142" s="527" t="s">
        <v>161</v>
      </c>
      <c r="D142" s="449">
        <f t="shared" si="34"/>
        <v>46174</v>
      </c>
      <c r="E142" s="454" t="s">
        <v>169</v>
      </c>
      <c r="F142" s="460" t="s">
        <v>1854</v>
      </c>
      <c r="G142" s="460" t="s">
        <v>1783</v>
      </c>
      <c r="H142" s="460" t="s">
        <v>1802</v>
      </c>
      <c r="I142" s="540">
        <f t="shared" si="36"/>
        <v>726</v>
      </c>
      <c r="J142" s="540">
        <f t="shared" ref="J142:J144" si="39">15000/21</f>
        <v>714.28571428571433</v>
      </c>
      <c r="K142" s="540">
        <f t="shared" si="38"/>
        <v>714.28571428571433</v>
      </c>
      <c r="L142" s="555">
        <f>I142*INDEX([2]Pedidos!$Q:$Q,MATCH(F142,[2]Pedidos!$E:$E,0))</f>
        <v>798.6</v>
      </c>
      <c r="M142" s="564">
        <f>J142*INDEX([2]Pedidos!$Q:$Q,MATCH(G142,[2]Pedidos!$E:$E,0))</f>
        <v>607.14285714285722</v>
      </c>
      <c r="N142" s="555">
        <f>K142*INDEX([2]Pedidos!$Q:$Q,MATCH(H142,[2]Pedidos!$E:$E,0))</f>
        <v>392.85714285714289</v>
      </c>
      <c r="T142" s="592" t="str" cm="1">
        <f t="array" aca="1" ref="T14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2" s="576" t="str">
        <f t="shared" ca="1" si="33"/>
        <v/>
      </c>
      <c r="V142" s="586"/>
      <c r="W142" s="582">
        <f ca="1">IFERROR(V142*INDEX([2]Pedidos!$Q:$Q,MATCH(T142,[2]Pedidos!$E:$E,0)),0)</f>
        <v>0</v>
      </c>
    </row>
    <row r="143" spans="1:23" x14ac:dyDescent="0.25">
      <c r="A143" s="752"/>
      <c r="C143" s="527" t="s">
        <v>161</v>
      </c>
      <c r="D143" s="453">
        <f t="shared" si="34"/>
        <v>46174</v>
      </c>
      <c r="E143" s="454" t="s">
        <v>170</v>
      </c>
      <c r="F143" s="460" t="s">
        <v>1854</v>
      </c>
      <c r="G143" s="460" t="s">
        <v>1783</v>
      </c>
      <c r="H143" s="460" t="s">
        <v>1802</v>
      </c>
      <c r="I143" s="540">
        <f t="shared" si="36"/>
        <v>726</v>
      </c>
      <c r="J143" s="540">
        <f t="shared" si="39"/>
        <v>714.28571428571433</v>
      </c>
      <c r="K143" s="540">
        <f t="shared" si="38"/>
        <v>714.28571428571433</v>
      </c>
      <c r="L143" s="555">
        <f>I143*INDEX([2]Pedidos!$Q:$Q,MATCH(F143,[2]Pedidos!$E:$E,0))</f>
        <v>798.6</v>
      </c>
      <c r="M143" s="564">
        <f>J143*INDEX([2]Pedidos!$Q:$Q,MATCH(G143,[2]Pedidos!$E:$E,0))</f>
        <v>607.14285714285722</v>
      </c>
      <c r="N143" s="555">
        <f>K143*INDEX([2]Pedidos!$Q:$Q,MATCH(H143,[2]Pedidos!$E:$E,0))</f>
        <v>392.85714285714289</v>
      </c>
      <c r="T143" s="591" t="str" cm="1">
        <f t="array" aca="1" ref="T14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3" s="576" t="str">
        <f t="shared" ca="1" si="33"/>
        <v/>
      </c>
      <c r="V143" s="586"/>
      <c r="W143" s="582">
        <f ca="1">IFERROR(V143*INDEX([2]Pedidos!$Q:$Q,MATCH(T143,[2]Pedidos!$E:$E,0)),0)</f>
        <v>0</v>
      </c>
    </row>
    <row r="144" spans="1:23" x14ac:dyDescent="0.25">
      <c r="A144" s="752"/>
      <c r="C144" s="527" t="s">
        <v>161</v>
      </c>
      <c r="D144" s="453">
        <f t="shared" si="34"/>
        <v>46174</v>
      </c>
      <c r="E144" s="454" t="s">
        <v>585</v>
      </c>
      <c r="F144" s="460" t="s">
        <v>1854</v>
      </c>
      <c r="G144" s="460" t="s">
        <v>1783</v>
      </c>
      <c r="H144" s="460" t="s">
        <v>1802</v>
      </c>
      <c r="I144" s="540">
        <f t="shared" si="36"/>
        <v>726</v>
      </c>
      <c r="J144" s="684">
        <f t="shared" si="39"/>
        <v>714.28571428571433</v>
      </c>
      <c r="K144" s="684">
        <f t="shared" si="38"/>
        <v>714.28571428571433</v>
      </c>
      <c r="L144" s="555">
        <f>I144*INDEX([2]Pedidos!$Q:$Q,MATCH(F144,[2]Pedidos!$E:$E,0))</f>
        <v>798.6</v>
      </c>
      <c r="M144" s="564">
        <f>J144*INDEX([2]Pedidos!$Q:$Q,MATCH(G144,[2]Pedidos!$E:$E,0))</f>
        <v>607.14285714285722</v>
      </c>
      <c r="N144" s="555">
        <f>K144*INDEX([2]Pedidos!$Q:$Q,MATCH(H144,[2]Pedidos!$E:$E,0))</f>
        <v>392.85714285714289</v>
      </c>
      <c r="T144" s="592" t="str" cm="1">
        <f t="array" aca="1" ref="T14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4" s="576" t="str">
        <f t="shared" ca="1" si="33"/>
        <v/>
      </c>
      <c r="V144" s="586"/>
      <c r="W144" s="582">
        <f ca="1">IFERROR(V144*INDEX([2]Pedidos!$Q:$Q,MATCH(T144,[2]Pedidos!$E:$E,0)),0)</f>
        <v>0</v>
      </c>
    </row>
    <row r="145" spans="1:23" x14ac:dyDescent="0.25">
      <c r="A145" s="752"/>
      <c r="C145" s="527" t="s">
        <v>161</v>
      </c>
      <c r="D145" s="453">
        <f t="shared" si="34"/>
        <v>46174</v>
      </c>
      <c r="E145" s="455" t="s">
        <v>574</v>
      </c>
      <c r="F145" s="512"/>
      <c r="G145" s="512"/>
      <c r="H145" s="512"/>
      <c r="I145" s="685"/>
      <c r="J145" s="685"/>
      <c r="K145" s="685"/>
      <c r="L145" s="557"/>
      <c r="M145" s="557"/>
      <c r="N145" s="557"/>
      <c r="T145" s="591" t="str" cm="1">
        <f t="array" aca="1" ref="T14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5" s="576" t="str">
        <f t="shared" ca="1" si="33"/>
        <v/>
      </c>
      <c r="V145" s="586"/>
      <c r="W145" s="582">
        <f ca="1">IFERROR(V145*INDEX([2]Pedidos!$Q:$Q,MATCH(T145,[2]Pedidos!$E:$E,0)),0)</f>
        <v>0</v>
      </c>
    </row>
    <row r="146" spans="1:23" x14ac:dyDescent="0.25">
      <c r="A146" s="752"/>
      <c r="C146" s="527" t="s">
        <v>161</v>
      </c>
      <c r="D146" s="453">
        <f t="shared" si="34"/>
        <v>46174</v>
      </c>
      <c r="E146" s="455" t="s">
        <v>575</v>
      </c>
      <c r="F146" s="504" t="s">
        <v>1854</v>
      </c>
      <c r="G146" s="504" t="s">
        <v>1783</v>
      </c>
      <c r="H146" s="504" t="s">
        <v>1802</v>
      </c>
      <c r="I146" s="684">
        <f t="shared" ref="I146:I148" si="40">ROUND((60000-9200)/70,0)</f>
        <v>726</v>
      </c>
      <c r="J146" s="684">
        <f t="shared" ref="J146:J148" si="41">15000/21</f>
        <v>714.28571428571433</v>
      </c>
      <c r="K146" s="684">
        <f t="shared" ref="K146:K148" si="42">20000/28</f>
        <v>714.28571428571433</v>
      </c>
      <c r="L146" s="555">
        <f>I146*INDEX([2]Pedidos!$Q:$Q,MATCH(F146,[2]Pedidos!$E:$E,0))</f>
        <v>798.6</v>
      </c>
      <c r="M146" s="564">
        <f>J146*INDEX([2]Pedidos!$Q:$Q,MATCH(G146,[2]Pedidos!$E:$E,0))</f>
        <v>607.14285714285722</v>
      </c>
      <c r="N146" s="555">
        <f>K146*INDEX([2]Pedidos!$Q:$Q,MATCH(H146,[2]Pedidos!$E:$E,0))</f>
        <v>392.85714285714289</v>
      </c>
      <c r="T146" s="592" t="str" cm="1">
        <f t="array" aca="1" ref="T14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146" s="576" t="str">
        <f t="shared" ca="1" si="33"/>
        <v/>
      </c>
      <c r="V146" s="587"/>
      <c r="W146" s="583">
        <f ca="1">IFERROR(V146*INDEX([2]Pedidos!$Q:$Q,MATCH(T146,[2]Pedidos!$E:$E,0)),0)</f>
        <v>0</v>
      </c>
    </row>
    <row r="147" spans="1:23" x14ac:dyDescent="0.25">
      <c r="A147" s="752"/>
      <c r="C147" s="527" t="s">
        <v>161</v>
      </c>
      <c r="D147" s="453">
        <f t="shared" si="34"/>
        <v>46174</v>
      </c>
      <c r="E147" s="503" t="s">
        <v>583</v>
      </c>
      <c r="F147" s="504" t="s">
        <v>1854</v>
      </c>
      <c r="G147" s="504" t="s">
        <v>1783</v>
      </c>
      <c r="H147" s="504" t="s">
        <v>1802</v>
      </c>
      <c r="I147" s="684">
        <f t="shared" si="40"/>
        <v>726</v>
      </c>
      <c r="J147" s="684">
        <f t="shared" si="41"/>
        <v>714.28571428571433</v>
      </c>
      <c r="K147" s="684">
        <f t="shared" si="42"/>
        <v>714.28571428571433</v>
      </c>
      <c r="L147" s="555">
        <f>I147*INDEX([2]Pedidos!$Q:$Q,MATCH(F147,[2]Pedidos!$E:$E,0))</f>
        <v>798.6</v>
      </c>
      <c r="M147" s="564">
        <f>J147*INDEX([2]Pedidos!$Q:$Q,MATCH(G147,[2]Pedidos!$E:$E,0))</f>
        <v>607.14285714285722</v>
      </c>
      <c r="N147" s="555">
        <f>K147*INDEX([2]Pedidos!$Q:$Q,MATCH(H147,[2]Pedidos!$E:$E,0))</f>
        <v>392.85714285714289</v>
      </c>
      <c r="T147" s="573" t="s">
        <v>1521</v>
      </c>
      <c r="U147" s="574">
        <f ca="1">SUM(U133:U146)</f>
        <v>0</v>
      </c>
      <c r="V147" s="574">
        <f>SUM(V133:V146)</f>
        <v>0</v>
      </c>
      <c r="W147" s="584">
        <f ca="1">SUM(W133:W146)</f>
        <v>0</v>
      </c>
    </row>
    <row r="148" spans="1:23" ht="15.75" thickBot="1" x14ac:dyDescent="0.3">
      <c r="A148" s="752"/>
      <c r="C148" s="528" t="s">
        <v>161</v>
      </c>
      <c r="D148" s="451">
        <f t="shared" si="34"/>
        <v>46174</v>
      </c>
      <c r="E148" s="459" t="s">
        <v>584</v>
      </c>
      <c r="F148" s="680" t="s">
        <v>1854</v>
      </c>
      <c r="G148" s="680" t="s">
        <v>1783</v>
      </c>
      <c r="H148" s="680" t="s">
        <v>1802</v>
      </c>
      <c r="I148" s="686">
        <f t="shared" si="40"/>
        <v>726</v>
      </c>
      <c r="J148" s="686">
        <f t="shared" si="41"/>
        <v>714.28571428571433</v>
      </c>
      <c r="K148" s="686">
        <f t="shared" si="42"/>
        <v>714.28571428571433</v>
      </c>
      <c r="L148" s="689">
        <f>I148*INDEX([2]Pedidos!$Q:$Q,MATCH(F148,[2]Pedidos!$E:$E,0))</f>
        <v>798.6</v>
      </c>
      <c r="M148" s="690">
        <f>J148*INDEX([2]Pedidos!$Q:$Q,MATCH(G148,[2]Pedidos!$E:$E,0))</f>
        <v>607.14285714285722</v>
      </c>
      <c r="N148" s="689">
        <f>K148*INDEX([2]Pedidos!$Q:$Q,MATCH(H148,[2]Pedidos!$E:$E,0))</f>
        <v>392.85714285714289</v>
      </c>
    </row>
    <row r="149" spans="1:23" ht="4.5" customHeight="1" thickBot="1" x14ac:dyDescent="0.3">
      <c r="A149" s="752"/>
      <c r="I149" s="445"/>
      <c r="J149" s="445"/>
      <c r="L149" s="559"/>
      <c r="M149" s="559"/>
      <c r="N149" s="559"/>
      <c r="Q149" s="3"/>
      <c r="R149" s="3"/>
    </row>
    <row r="150" spans="1:23" ht="15.75" thickBot="1" x14ac:dyDescent="0.3">
      <c r="A150" s="752"/>
      <c r="C150" s="538"/>
      <c r="D150" s="539"/>
      <c r="E150" s="539"/>
      <c r="F150" s="539"/>
      <c r="G150" s="539"/>
      <c r="H150" s="539"/>
      <c r="I150" s="606">
        <f t="shared" ref="I150:N150" si="43">_xlfn.AGGREGATE(9,6,I151:I166)</f>
        <v>10164</v>
      </c>
      <c r="J150" s="607">
        <f t="shared" si="43"/>
        <v>10000.000000000002</v>
      </c>
      <c r="K150" s="544">
        <f t="shared" si="43"/>
        <v>10000.000000000002</v>
      </c>
      <c r="L150" s="560">
        <f t="shared" si="43"/>
        <v>11180.400000000003</v>
      </c>
      <c r="M150" s="561">
        <f t="shared" si="43"/>
        <v>8500</v>
      </c>
      <c r="N150" s="562">
        <f t="shared" si="43"/>
        <v>5500.0000000000018</v>
      </c>
      <c r="O150" s="548">
        <f>SUM(I150:K150)</f>
        <v>30164</v>
      </c>
      <c r="P150" s="549">
        <f>SUM(L150:N150)</f>
        <v>25180.400000000001</v>
      </c>
      <c r="Q150" s="3"/>
      <c r="R150" s="3"/>
    </row>
    <row r="151" spans="1:23" x14ac:dyDescent="0.25">
      <c r="A151" s="752"/>
      <c r="C151" s="446" t="s">
        <v>171</v>
      </c>
      <c r="D151" s="497">
        <f>D148+1</f>
        <v>46175</v>
      </c>
      <c r="E151" s="498" t="s">
        <v>573</v>
      </c>
      <c r="F151" s="681" t="s">
        <v>1854</v>
      </c>
      <c r="G151" s="681" t="s">
        <v>1783</v>
      </c>
      <c r="H151" s="460" t="s">
        <v>1802</v>
      </c>
      <c r="I151" s="683">
        <f t="shared" ref="I151:I155" si="44">ROUND((60000-9200)/70,0)</f>
        <v>726</v>
      </c>
      <c r="J151" s="683">
        <f t="shared" ref="J151:J166" si="45">15000/21</f>
        <v>714.28571428571433</v>
      </c>
      <c r="K151" s="683">
        <f>20000/28</f>
        <v>714.28571428571433</v>
      </c>
      <c r="L151" s="688">
        <f>I151*INDEX([2]Pedidos!$Q:$Q,MATCH(F151,[2]Pedidos!$E:$E,0))</f>
        <v>798.6</v>
      </c>
      <c r="M151" s="688">
        <f>J151*INDEX([2]Pedidos!$Q:$Q,MATCH(G151,[2]Pedidos!$E:$E,0))</f>
        <v>607.14285714285722</v>
      </c>
      <c r="N151" s="688">
        <f>K151*INDEX([2]Pedidos!$Q:$Q,MATCH(H151,[2]Pedidos!$E:$E,0))</f>
        <v>392.85714285714289</v>
      </c>
    </row>
    <row r="152" spans="1:23" x14ac:dyDescent="0.25">
      <c r="A152" s="752"/>
      <c r="C152" s="452" t="s">
        <v>171</v>
      </c>
      <c r="D152" s="499">
        <f t="shared" ref="D152:D166" si="46">D151</f>
        <v>46175</v>
      </c>
      <c r="E152" s="500" t="s">
        <v>162</v>
      </c>
      <c r="F152" s="460" t="s">
        <v>1854</v>
      </c>
      <c r="G152" s="460" t="s">
        <v>1783</v>
      </c>
      <c r="H152" s="460" t="s">
        <v>1802</v>
      </c>
      <c r="I152" s="540">
        <f t="shared" si="44"/>
        <v>726</v>
      </c>
      <c r="J152" s="540">
        <f t="shared" si="45"/>
        <v>714.28571428571433</v>
      </c>
      <c r="K152" s="540">
        <f t="shared" ref="K152:K155" si="47">20000/28</f>
        <v>714.28571428571433</v>
      </c>
      <c r="L152" s="555">
        <f>I152*INDEX([2]Pedidos!$Q:$Q,MATCH(F152,[2]Pedidos!$E:$E,0))</f>
        <v>798.6</v>
      </c>
      <c r="M152" s="564">
        <f>J152*INDEX([2]Pedidos!$Q:$Q,MATCH(G152,[2]Pedidos!$E:$E,0))</f>
        <v>607.14285714285722</v>
      </c>
      <c r="N152" s="555">
        <f>K152*INDEX([2]Pedidos!$Q:$Q,MATCH(H152,[2]Pedidos!$E:$E,0))</f>
        <v>392.85714285714289</v>
      </c>
    </row>
    <row r="153" spans="1:23" x14ac:dyDescent="0.25">
      <c r="A153" s="752"/>
      <c r="C153" s="452" t="s">
        <v>171</v>
      </c>
      <c r="D153" s="449">
        <f t="shared" si="46"/>
        <v>46175</v>
      </c>
      <c r="E153" s="454" t="s">
        <v>163</v>
      </c>
      <c r="F153" s="460" t="s">
        <v>1854</v>
      </c>
      <c r="G153" s="460" t="s">
        <v>1783</v>
      </c>
      <c r="H153" s="460" t="s">
        <v>1802</v>
      </c>
      <c r="I153" s="540">
        <f t="shared" si="44"/>
        <v>726</v>
      </c>
      <c r="J153" s="540">
        <f t="shared" si="45"/>
        <v>714.28571428571433</v>
      </c>
      <c r="K153" s="540">
        <f t="shared" si="47"/>
        <v>714.28571428571433</v>
      </c>
      <c r="L153" s="555">
        <f>I153*INDEX([2]Pedidos!$Q:$Q,MATCH(F153,[2]Pedidos!$E:$E,0))</f>
        <v>798.6</v>
      </c>
      <c r="M153" s="564">
        <f>J153*INDEX([2]Pedidos!$Q:$Q,MATCH(G153,[2]Pedidos!$E:$E,0))</f>
        <v>607.14285714285722</v>
      </c>
      <c r="N153" s="555">
        <f>K153*INDEX([2]Pedidos!$Q:$Q,MATCH(H153,[2]Pedidos!$E:$E,0))</f>
        <v>392.85714285714289</v>
      </c>
    </row>
    <row r="154" spans="1:23" x14ac:dyDescent="0.25">
      <c r="A154" s="752"/>
      <c r="C154" s="452" t="s">
        <v>171</v>
      </c>
      <c r="D154" s="449">
        <f t="shared" si="46"/>
        <v>46175</v>
      </c>
      <c r="E154" s="454" t="s">
        <v>164</v>
      </c>
      <c r="F154" s="460" t="s">
        <v>1854</v>
      </c>
      <c r="G154" s="460" t="s">
        <v>1783</v>
      </c>
      <c r="H154" s="460" t="s">
        <v>1802</v>
      </c>
      <c r="I154" s="540">
        <f t="shared" si="44"/>
        <v>726</v>
      </c>
      <c r="J154" s="540">
        <f t="shared" si="45"/>
        <v>714.28571428571433</v>
      </c>
      <c r="K154" s="540">
        <f t="shared" si="47"/>
        <v>714.28571428571433</v>
      </c>
      <c r="L154" s="555">
        <f>I154*INDEX([2]Pedidos!$Q:$Q,MATCH(F154,[2]Pedidos!$E:$E,0))</f>
        <v>798.6</v>
      </c>
      <c r="M154" s="564">
        <f>J154*INDEX([2]Pedidos!$Q:$Q,MATCH(G154,[2]Pedidos!$E:$E,0))</f>
        <v>607.14285714285722</v>
      </c>
      <c r="N154" s="555">
        <f>K154*INDEX([2]Pedidos!$Q:$Q,MATCH(H154,[2]Pedidos!$E:$E,0))</f>
        <v>392.85714285714289</v>
      </c>
    </row>
    <row r="155" spans="1:23" x14ac:dyDescent="0.25">
      <c r="A155" s="752"/>
      <c r="C155" s="452" t="s">
        <v>171</v>
      </c>
      <c r="D155" s="449">
        <f t="shared" si="46"/>
        <v>46175</v>
      </c>
      <c r="E155" s="454" t="s">
        <v>165</v>
      </c>
      <c r="F155" s="460" t="s">
        <v>1854</v>
      </c>
      <c r="G155" s="460" t="s">
        <v>1783</v>
      </c>
      <c r="H155" s="460" t="s">
        <v>1802</v>
      </c>
      <c r="I155" s="540">
        <f t="shared" si="44"/>
        <v>726</v>
      </c>
      <c r="J155" s="540">
        <f t="shared" si="45"/>
        <v>714.28571428571433</v>
      </c>
      <c r="K155" s="540">
        <f t="shared" si="47"/>
        <v>714.28571428571433</v>
      </c>
      <c r="L155" s="555">
        <f>I155*INDEX([2]Pedidos!$Q:$Q,MATCH(F155,[2]Pedidos!$E:$E,0))</f>
        <v>798.6</v>
      </c>
      <c r="M155" s="564">
        <f>J155*INDEX([2]Pedidos!$Q:$Q,MATCH(G155,[2]Pedidos!$E:$E,0))</f>
        <v>607.14285714285722</v>
      </c>
      <c r="N155" s="555">
        <f>K155*INDEX([2]Pedidos!$Q:$Q,MATCH(H155,[2]Pedidos!$E:$E,0))</f>
        <v>392.85714285714289</v>
      </c>
    </row>
    <row r="156" spans="1:23" x14ac:dyDescent="0.25">
      <c r="A156" s="752"/>
      <c r="C156" s="452" t="s">
        <v>171</v>
      </c>
      <c r="D156" s="449">
        <f t="shared" si="46"/>
        <v>46175</v>
      </c>
      <c r="E156" s="454" t="s">
        <v>166</v>
      </c>
      <c r="F156" s="512"/>
      <c r="G156" s="512"/>
      <c r="H156" s="512"/>
      <c r="I156" s="682"/>
      <c r="J156" s="682"/>
      <c r="K156" s="682"/>
      <c r="L156" s="687"/>
      <c r="M156" s="687"/>
      <c r="N156" s="687"/>
    </row>
    <row r="157" spans="1:23" x14ac:dyDescent="0.25">
      <c r="A157" s="752"/>
      <c r="C157" s="452" t="s">
        <v>171</v>
      </c>
      <c r="D157" s="449">
        <f t="shared" si="46"/>
        <v>46175</v>
      </c>
      <c r="E157" s="454" t="s">
        <v>576</v>
      </c>
      <c r="F157" s="461" t="s">
        <v>1854</v>
      </c>
      <c r="G157" s="460" t="s">
        <v>1783</v>
      </c>
      <c r="H157" s="460" t="s">
        <v>1802</v>
      </c>
      <c r="I157" s="540">
        <f t="shared" ref="I157:I162" si="48">ROUND((60000-9200)/70,0)</f>
        <v>726</v>
      </c>
      <c r="J157" s="679">
        <f t="shared" si="45"/>
        <v>714.28571428571433</v>
      </c>
      <c r="K157" s="679">
        <f t="shared" ref="K157:K162" si="49">20000/28</f>
        <v>714.28571428571433</v>
      </c>
      <c r="L157" s="555">
        <f>I157*INDEX([2]Pedidos!$Q:$Q,MATCH(F157,[2]Pedidos!$E:$E,0))</f>
        <v>798.6</v>
      </c>
      <c r="M157" s="564">
        <f>J157*INDEX([2]Pedidos!$Q:$Q,MATCH(G157,[2]Pedidos!$E:$E,0))</f>
        <v>607.14285714285722</v>
      </c>
      <c r="N157" s="555">
        <f>K157*INDEX([2]Pedidos!$Q:$Q,MATCH(H157,[2]Pedidos!$E:$E,0))</f>
        <v>392.85714285714289</v>
      </c>
    </row>
    <row r="158" spans="1:23" x14ac:dyDescent="0.25">
      <c r="A158" s="752"/>
      <c r="C158" s="452" t="s">
        <v>171</v>
      </c>
      <c r="D158" s="449">
        <f t="shared" si="46"/>
        <v>46175</v>
      </c>
      <c r="E158" s="454" t="s">
        <v>167</v>
      </c>
      <c r="F158" s="460" t="s">
        <v>1854</v>
      </c>
      <c r="G158" s="460" t="s">
        <v>1783</v>
      </c>
      <c r="H158" s="460" t="s">
        <v>1802</v>
      </c>
      <c r="I158" s="540">
        <f t="shared" si="48"/>
        <v>726</v>
      </c>
      <c r="J158" s="540">
        <f t="shared" si="45"/>
        <v>714.28571428571433</v>
      </c>
      <c r="K158" s="540">
        <f t="shared" si="49"/>
        <v>714.28571428571433</v>
      </c>
      <c r="L158" s="555">
        <f>I158*INDEX([2]Pedidos!$Q:$Q,MATCH(F158,[2]Pedidos!$E:$E,0))</f>
        <v>798.6</v>
      </c>
      <c r="M158" s="564">
        <f>J158*INDEX([2]Pedidos!$Q:$Q,MATCH(G158,[2]Pedidos!$E:$E,0))</f>
        <v>607.14285714285722</v>
      </c>
      <c r="N158" s="555">
        <f>K158*INDEX([2]Pedidos!$Q:$Q,MATCH(H158,[2]Pedidos!$E:$E,0))</f>
        <v>392.85714285714289</v>
      </c>
    </row>
    <row r="159" spans="1:23" x14ac:dyDescent="0.25">
      <c r="A159" s="752"/>
      <c r="C159" s="452" t="s">
        <v>171</v>
      </c>
      <c r="D159" s="449">
        <f t="shared" si="46"/>
        <v>46175</v>
      </c>
      <c r="E159" s="454" t="s">
        <v>168</v>
      </c>
      <c r="F159" s="460" t="s">
        <v>1854</v>
      </c>
      <c r="G159" s="460" t="s">
        <v>1783</v>
      </c>
      <c r="H159" s="460" t="s">
        <v>1802</v>
      </c>
      <c r="I159" s="540">
        <f t="shared" si="48"/>
        <v>726</v>
      </c>
      <c r="J159" s="540">
        <f t="shared" si="45"/>
        <v>714.28571428571433</v>
      </c>
      <c r="K159" s="540">
        <f t="shared" si="49"/>
        <v>714.28571428571433</v>
      </c>
      <c r="L159" s="555">
        <f>I159*INDEX([2]Pedidos!$Q:$Q,MATCH(F159,[2]Pedidos!$E:$E,0))</f>
        <v>798.6</v>
      </c>
      <c r="M159" s="564">
        <f>J159*INDEX([2]Pedidos!$Q:$Q,MATCH(G159,[2]Pedidos!$E:$E,0))</f>
        <v>607.14285714285722</v>
      </c>
      <c r="N159" s="555">
        <f>K159*INDEX([2]Pedidos!$Q:$Q,MATCH(H159,[2]Pedidos!$E:$E,0))</f>
        <v>392.85714285714289</v>
      </c>
    </row>
    <row r="160" spans="1:23" x14ac:dyDescent="0.25">
      <c r="A160" s="752"/>
      <c r="C160" s="452" t="s">
        <v>171</v>
      </c>
      <c r="D160" s="449">
        <f t="shared" si="46"/>
        <v>46175</v>
      </c>
      <c r="E160" s="454" t="s">
        <v>169</v>
      </c>
      <c r="F160" s="460" t="s">
        <v>1854</v>
      </c>
      <c r="G160" s="460" t="s">
        <v>1783</v>
      </c>
      <c r="H160" s="460" t="s">
        <v>1802</v>
      </c>
      <c r="I160" s="540">
        <f t="shared" si="48"/>
        <v>726</v>
      </c>
      <c r="J160" s="540">
        <f t="shared" si="45"/>
        <v>714.28571428571433</v>
      </c>
      <c r="K160" s="540">
        <f t="shared" si="49"/>
        <v>714.28571428571433</v>
      </c>
      <c r="L160" s="555">
        <f>I160*INDEX([2]Pedidos!$Q:$Q,MATCH(F160,[2]Pedidos!$E:$E,0))</f>
        <v>798.6</v>
      </c>
      <c r="M160" s="564">
        <f>J160*INDEX([2]Pedidos!$Q:$Q,MATCH(G160,[2]Pedidos!$E:$E,0))</f>
        <v>607.14285714285722</v>
      </c>
      <c r="N160" s="555">
        <f>K160*INDEX([2]Pedidos!$Q:$Q,MATCH(H160,[2]Pedidos!$E:$E,0))</f>
        <v>392.85714285714289</v>
      </c>
    </row>
    <row r="161" spans="1:18" x14ac:dyDescent="0.25">
      <c r="A161" s="752"/>
      <c r="C161" s="452" t="s">
        <v>171</v>
      </c>
      <c r="D161" s="449">
        <f t="shared" si="46"/>
        <v>46175</v>
      </c>
      <c r="E161" s="454" t="s">
        <v>170</v>
      </c>
      <c r="F161" s="460" t="s">
        <v>1854</v>
      </c>
      <c r="G161" s="460" t="s">
        <v>1783</v>
      </c>
      <c r="H161" s="460" t="s">
        <v>1802</v>
      </c>
      <c r="I161" s="540">
        <f t="shared" si="48"/>
        <v>726</v>
      </c>
      <c r="J161" s="540">
        <f t="shared" si="45"/>
        <v>714.28571428571433</v>
      </c>
      <c r="K161" s="540">
        <f t="shared" si="49"/>
        <v>714.28571428571433</v>
      </c>
      <c r="L161" s="555">
        <f>I161*INDEX([2]Pedidos!$Q:$Q,MATCH(F161,[2]Pedidos!$E:$E,0))</f>
        <v>798.6</v>
      </c>
      <c r="M161" s="564">
        <f>J161*INDEX([2]Pedidos!$Q:$Q,MATCH(G161,[2]Pedidos!$E:$E,0))</f>
        <v>607.14285714285722</v>
      </c>
      <c r="N161" s="555">
        <f>K161*INDEX([2]Pedidos!$Q:$Q,MATCH(H161,[2]Pedidos!$E:$E,0))</f>
        <v>392.85714285714289</v>
      </c>
    </row>
    <row r="162" spans="1:18" x14ac:dyDescent="0.25">
      <c r="A162" s="752"/>
      <c r="C162" s="452" t="s">
        <v>171</v>
      </c>
      <c r="D162" s="449">
        <f t="shared" si="46"/>
        <v>46175</v>
      </c>
      <c r="E162" s="454" t="s">
        <v>585</v>
      </c>
      <c r="F162" s="460" t="s">
        <v>1854</v>
      </c>
      <c r="G162" s="460" t="s">
        <v>1783</v>
      </c>
      <c r="H162" s="460" t="s">
        <v>1802</v>
      </c>
      <c r="I162" s="540">
        <f t="shared" si="48"/>
        <v>726</v>
      </c>
      <c r="J162" s="684">
        <f t="shared" si="45"/>
        <v>714.28571428571433</v>
      </c>
      <c r="K162" s="684">
        <f t="shared" si="49"/>
        <v>714.28571428571433</v>
      </c>
      <c r="L162" s="555">
        <f>I162*INDEX([2]Pedidos!$Q:$Q,MATCH(F162,[2]Pedidos!$E:$E,0))</f>
        <v>798.6</v>
      </c>
      <c r="M162" s="564">
        <f>J162*INDEX([2]Pedidos!$Q:$Q,MATCH(G162,[2]Pedidos!$E:$E,0))</f>
        <v>607.14285714285722</v>
      </c>
      <c r="N162" s="555">
        <f>K162*INDEX([2]Pedidos!$Q:$Q,MATCH(H162,[2]Pedidos!$E:$E,0))</f>
        <v>392.85714285714289</v>
      </c>
    </row>
    <row r="163" spans="1:18" x14ac:dyDescent="0.25">
      <c r="A163" s="752"/>
      <c r="C163" s="448" t="s">
        <v>171</v>
      </c>
      <c r="D163" s="449">
        <f t="shared" si="46"/>
        <v>46175</v>
      </c>
      <c r="E163" s="455" t="s">
        <v>574</v>
      </c>
      <c r="F163" s="512"/>
      <c r="G163" s="512"/>
      <c r="H163" s="512"/>
      <c r="I163" s="685"/>
      <c r="J163" s="685"/>
      <c r="K163" s="685"/>
      <c r="L163" s="557"/>
      <c r="M163" s="557"/>
      <c r="N163" s="557"/>
    </row>
    <row r="164" spans="1:18" x14ac:dyDescent="0.25">
      <c r="A164" s="752"/>
      <c r="C164" s="448" t="s">
        <v>171</v>
      </c>
      <c r="D164" s="449">
        <f t="shared" si="46"/>
        <v>46175</v>
      </c>
      <c r="E164" s="455" t="s">
        <v>575</v>
      </c>
      <c r="F164" s="504" t="s">
        <v>1854</v>
      </c>
      <c r="G164" s="504" t="s">
        <v>1783</v>
      </c>
      <c r="H164" s="504" t="s">
        <v>1802</v>
      </c>
      <c r="I164" s="684">
        <f t="shared" ref="I164:I166" si="50">ROUND((60000-9200)/70,0)</f>
        <v>726</v>
      </c>
      <c r="J164" s="684">
        <f t="shared" si="45"/>
        <v>714.28571428571433</v>
      </c>
      <c r="K164" s="684">
        <f t="shared" ref="K164:K166" si="51">20000/28</f>
        <v>714.28571428571433</v>
      </c>
      <c r="L164" s="555">
        <f>I164*INDEX([2]Pedidos!$Q:$Q,MATCH(F164,[2]Pedidos!$E:$E,0))</f>
        <v>798.6</v>
      </c>
      <c r="M164" s="564">
        <f>J164*INDEX([2]Pedidos!$Q:$Q,MATCH(G164,[2]Pedidos!$E:$E,0))</f>
        <v>607.14285714285722</v>
      </c>
      <c r="N164" s="555">
        <f>K164*INDEX([2]Pedidos!$Q:$Q,MATCH(H164,[2]Pedidos!$E:$E,0))</f>
        <v>392.85714285714289</v>
      </c>
    </row>
    <row r="165" spans="1:18" x14ac:dyDescent="0.25">
      <c r="A165" s="752"/>
      <c r="C165" s="448" t="s">
        <v>171</v>
      </c>
      <c r="D165" s="449">
        <f t="shared" si="46"/>
        <v>46175</v>
      </c>
      <c r="E165" s="503" t="s">
        <v>583</v>
      </c>
      <c r="F165" s="504" t="s">
        <v>1854</v>
      </c>
      <c r="G165" s="504" t="s">
        <v>1783</v>
      </c>
      <c r="H165" s="504" t="s">
        <v>1802</v>
      </c>
      <c r="I165" s="684">
        <f t="shared" si="50"/>
        <v>726</v>
      </c>
      <c r="J165" s="684">
        <f t="shared" si="45"/>
        <v>714.28571428571433</v>
      </c>
      <c r="K165" s="684">
        <f t="shared" si="51"/>
        <v>714.28571428571433</v>
      </c>
      <c r="L165" s="555">
        <f>I165*INDEX([2]Pedidos!$Q:$Q,MATCH(F165,[2]Pedidos!$E:$E,0))</f>
        <v>798.6</v>
      </c>
      <c r="M165" s="564">
        <f>J165*INDEX([2]Pedidos!$Q:$Q,MATCH(G165,[2]Pedidos!$E:$E,0))</f>
        <v>607.14285714285722</v>
      </c>
      <c r="N165" s="555">
        <f>K165*INDEX([2]Pedidos!$Q:$Q,MATCH(H165,[2]Pedidos!$E:$E,0))</f>
        <v>392.85714285714289</v>
      </c>
    </row>
    <row r="166" spans="1:18" ht="15.75" thickBot="1" x14ac:dyDescent="0.3">
      <c r="A166" s="752"/>
      <c r="C166" s="450" t="s">
        <v>171</v>
      </c>
      <c r="D166" s="451">
        <f t="shared" si="46"/>
        <v>46175</v>
      </c>
      <c r="E166" s="459" t="s">
        <v>584</v>
      </c>
      <c r="F166" s="680" t="s">
        <v>1854</v>
      </c>
      <c r="G166" s="680" t="s">
        <v>1783</v>
      </c>
      <c r="H166" s="680" t="s">
        <v>1802</v>
      </c>
      <c r="I166" s="686">
        <f t="shared" si="50"/>
        <v>726</v>
      </c>
      <c r="J166" s="686">
        <f t="shared" si="45"/>
        <v>714.28571428571433</v>
      </c>
      <c r="K166" s="686">
        <f t="shared" si="51"/>
        <v>714.28571428571433</v>
      </c>
      <c r="L166" s="689">
        <f>I166*INDEX([2]Pedidos!$Q:$Q,MATCH(F166,[2]Pedidos!$E:$E,0))</f>
        <v>798.6</v>
      </c>
      <c r="M166" s="690">
        <f>J166*INDEX([2]Pedidos!$Q:$Q,MATCH(G166,[2]Pedidos!$E:$E,0))</f>
        <v>607.14285714285722</v>
      </c>
      <c r="N166" s="689">
        <f>K166*INDEX([2]Pedidos!$Q:$Q,MATCH(H166,[2]Pedidos!$E:$E,0))</f>
        <v>392.85714285714289</v>
      </c>
    </row>
    <row r="167" spans="1:18" ht="4.5" customHeight="1" thickBot="1" x14ac:dyDescent="0.3">
      <c r="A167" s="752"/>
      <c r="I167" s="445"/>
      <c r="J167" s="445"/>
      <c r="L167" s="559"/>
      <c r="M167" s="559"/>
      <c r="N167" s="559"/>
      <c r="Q167" s="3"/>
      <c r="R167" s="3"/>
    </row>
    <row r="168" spans="1:18" ht="15.75" thickBot="1" x14ac:dyDescent="0.3">
      <c r="A168" s="752"/>
      <c r="C168" s="538"/>
      <c r="D168" s="539"/>
      <c r="E168" s="539"/>
      <c r="F168" s="539"/>
      <c r="G168" s="539"/>
      <c r="H168" s="539"/>
      <c r="I168" s="606">
        <f t="shared" ref="I168:N168" si="52">_xlfn.AGGREGATE(9,6,I169:I184)</f>
        <v>10164</v>
      </c>
      <c r="J168" s="607">
        <f t="shared" si="52"/>
        <v>10000.000000000002</v>
      </c>
      <c r="K168" s="544">
        <f t="shared" si="52"/>
        <v>10000.000000000002</v>
      </c>
      <c r="L168" s="560">
        <f t="shared" si="52"/>
        <v>11180.400000000003</v>
      </c>
      <c r="M168" s="561">
        <f t="shared" si="52"/>
        <v>8500</v>
      </c>
      <c r="N168" s="562">
        <f t="shared" si="52"/>
        <v>5500.0000000000018</v>
      </c>
      <c r="O168" s="548">
        <f>SUM(I168:K168)</f>
        <v>30164</v>
      </c>
      <c r="P168" s="549">
        <f>SUM(L168:N168)</f>
        <v>25180.400000000001</v>
      </c>
      <c r="Q168" s="3"/>
      <c r="R168" s="3"/>
    </row>
    <row r="169" spans="1:18" x14ac:dyDescent="0.25">
      <c r="A169" s="752"/>
      <c r="C169" s="446" t="s">
        <v>172</v>
      </c>
      <c r="D169" s="497">
        <f>D166+1</f>
        <v>46176</v>
      </c>
      <c r="E169" s="498" t="s">
        <v>573</v>
      </c>
      <c r="F169" s="681" t="s">
        <v>1854</v>
      </c>
      <c r="G169" s="681" t="s">
        <v>1788</v>
      </c>
      <c r="H169" s="460" t="s">
        <v>1803</v>
      </c>
      <c r="I169" s="683">
        <f t="shared" ref="I169:I173" si="53">ROUND((60000-9200)/70,0)</f>
        <v>726</v>
      </c>
      <c r="J169" s="683">
        <f t="shared" ref="J169:J184" si="54">15000/21</f>
        <v>714.28571428571433</v>
      </c>
      <c r="K169" s="683">
        <f>20000/28</f>
        <v>714.28571428571433</v>
      </c>
      <c r="L169" s="688">
        <f>I169*INDEX([2]Pedidos!$Q:$Q,MATCH(F169,[2]Pedidos!$E:$E,0))</f>
        <v>798.6</v>
      </c>
      <c r="M169" s="688">
        <f>J169*INDEX([2]Pedidos!$Q:$Q,MATCH(G169,[2]Pedidos!$E:$E,0))</f>
        <v>607.14285714285722</v>
      </c>
      <c r="N169" s="688">
        <f>K169*INDEX([2]Pedidos!$Q:$Q,MATCH(H169,[2]Pedidos!$E:$E,0))</f>
        <v>392.85714285714289</v>
      </c>
    </row>
    <row r="170" spans="1:18" x14ac:dyDescent="0.25">
      <c r="A170" s="752"/>
      <c r="C170" s="452" t="s">
        <v>1832</v>
      </c>
      <c r="D170" s="499">
        <f t="shared" ref="D170:D184" si="55">D169</f>
        <v>46176</v>
      </c>
      <c r="E170" s="500" t="s">
        <v>162</v>
      </c>
      <c r="F170" s="460" t="s">
        <v>1854</v>
      </c>
      <c r="G170" s="460" t="s">
        <v>1788</v>
      </c>
      <c r="H170" s="460" t="s">
        <v>1803</v>
      </c>
      <c r="I170" s="540">
        <f t="shared" si="53"/>
        <v>726</v>
      </c>
      <c r="J170" s="540">
        <f t="shared" si="54"/>
        <v>714.28571428571433</v>
      </c>
      <c r="K170" s="540">
        <f t="shared" ref="K170:K173" si="56">20000/28</f>
        <v>714.28571428571433</v>
      </c>
      <c r="L170" s="555">
        <f>I170*INDEX([2]Pedidos!$Q:$Q,MATCH(F170,[2]Pedidos!$E:$E,0))</f>
        <v>798.6</v>
      </c>
      <c r="M170" s="564">
        <f>J170*INDEX([2]Pedidos!$Q:$Q,MATCH(G170,[2]Pedidos!$E:$E,0))</f>
        <v>607.14285714285722</v>
      </c>
      <c r="N170" s="555">
        <f>K170*INDEX([2]Pedidos!$Q:$Q,MATCH(H170,[2]Pedidos!$E:$E,0))</f>
        <v>392.85714285714289</v>
      </c>
    </row>
    <row r="171" spans="1:18" x14ac:dyDescent="0.25">
      <c r="A171" s="752"/>
      <c r="C171" s="452" t="s">
        <v>1832</v>
      </c>
      <c r="D171" s="449">
        <f t="shared" si="55"/>
        <v>46176</v>
      </c>
      <c r="E171" s="454" t="s">
        <v>163</v>
      </c>
      <c r="F171" s="460" t="s">
        <v>1854</v>
      </c>
      <c r="G171" s="460" t="s">
        <v>1788</v>
      </c>
      <c r="H171" s="460" t="s">
        <v>1803</v>
      </c>
      <c r="I171" s="540">
        <f t="shared" si="53"/>
        <v>726</v>
      </c>
      <c r="J171" s="540">
        <f t="shared" si="54"/>
        <v>714.28571428571433</v>
      </c>
      <c r="K171" s="540">
        <f t="shared" si="56"/>
        <v>714.28571428571433</v>
      </c>
      <c r="L171" s="555">
        <f>I171*INDEX([2]Pedidos!$Q:$Q,MATCH(F171,[2]Pedidos!$E:$E,0))</f>
        <v>798.6</v>
      </c>
      <c r="M171" s="564">
        <f>J171*INDEX([2]Pedidos!$Q:$Q,MATCH(G171,[2]Pedidos!$E:$E,0))</f>
        <v>607.14285714285722</v>
      </c>
      <c r="N171" s="555">
        <f>K171*INDEX([2]Pedidos!$Q:$Q,MATCH(H171,[2]Pedidos!$E:$E,0))</f>
        <v>392.85714285714289</v>
      </c>
    </row>
    <row r="172" spans="1:18" x14ac:dyDescent="0.25">
      <c r="A172" s="752"/>
      <c r="C172" s="452" t="s">
        <v>1832</v>
      </c>
      <c r="D172" s="449">
        <f t="shared" si="55"/>
        <v>46176</v>
      </c>
      <c r="E172" s="454" t="s">
        <v>164</v>
      </c>
      <c r="F172" s="460" t="s">
        <v>1854</v>
      </c>
      <c r="G172" s="460" t="s">
        <v>1788</v>
      </c>
      <c r="H172" s="460" t="s">
        <v>1803</v>
      </c>
      <c r="I172" s="540">
        <f t="shared" si="53"/>
        <v>726</v>
      </c>
      <c r="J172" s="540">
        <f t="shared" si="54"/>
        <v>714.28571428571433</v>
      </c>
      <c r="K172" s="540">
        <f t="shared" si="56"/>
        <v>714.28571428571433</v>
      </c>
      <c r="L172" s="555">
        <f>I172*INDEX([2]Pedidos!$Q:$Q,MATCH(F172,[2]Pedidos!$E:$E,0))</f>
        <v>798.6</v>
      </c>
      <c r="M172" s="564">
        <f>J172*INDEX([2]Pedidos!$Q:$Q,MATCH(G172,[2]Pedidos!$E:$E,0))</f>
        <v>607.14285714285722</v>
      </c>
      <c r="N172" s="555">
        <f>K172*INDEX([2]Pedidos!$Q:$Q,MATCH(H172,[2]Pedidos!$E:$E,0))</f>
        <v>392.85714285714289</v>
      </c>
    </row>
    <row r="173" spans="1:18" x14ac:dyDescent="0.25">
      <c r="A173" s="752"/>
      <c r="C173" s="452" t="s">
        <v>1832</v>
      </c>
      <c r="D173" s="449">
        <f t="shared" si="55"/>
        <v>46176</v>
      </c>
      <c r="E173" s="454" t="s">
        <v>165</v>
      </c>
      <c r="F173" s="460" t="s">
        <v>1854</v>
      </c>
      <c r="G173" s="460" t="s">
        <v>1788</v>
      </c>
      <c r="H173" s="460" t="s">
        <v>1803</v>
      </c>
      <c r="I173" s="540">
        <f t="shared" si="53"/>
        <v>726</v>
      </c>
      <c r="J173" s="540">
        <f t="shared" si="54"/>
        <v>714.28571428571433</v>
      </c>
      <c r="K173" s="540">
        <f t="shared" si="56"/>
        <v>714.28571428571433</v>
      </c>
      <c r="L173" s="555">
        <f>I173*INDEX([2]Pedidos!$Q:$Q,MATCH(F173,[2]Pedidos!$E:$E,0))</f>
        <v>798.6</v>
      </c>
      <c r="M173" s="564">
        <f>J173*INDEX([2]Pedidos!$Q:$Q,MATCH(G173,[2]Pedidos!$E:$E,0))</f>
        <v>607.14285714285722</v>
      </c>
      <c r="N173" s="555">
        <f>K173*INDEX([2]Pedidos!$Q:$Q,MATCH(H173,[2]Pedidos!$E:$E,0))</f>
        <v>392.85714285714289</v>
      </c>
    </row>
    <row r="174" spans="1:18" x14ac:dyDescent="0.25">
      <c r="A174" s="752"/>
      <c r="C174" s="452" t="s">
        <v>1832</v>
      </c>
      <c r="D174" s="449">
        <f t="shared" si="55"/>
        <v>46176</v>
      </c>
      <c r="E174" s="454" t="s">
        <v>166</v>
      </c>
      <c r="F174" s="512"/>
      <c r="G174" s="512"/>
      <c r="H174" s="512"/>
      <c r="I174" s="682"/>
      <c r="J174" s="682"/>
      <c r="K174" s="682"/>
      <c r="L174" s="687"/>
      <c r="M174" s="687"/>
      <c r="N174" s="687"/>
    </row>
    <row r="175" spans="1:18" x14ac:dyDescent="0.25">
      <c r="A175" s="752"/>
      <c r="C175" s="452" t="s">
        <v>1832</v>
      </c>
      <c r="D175" s="449">
        <f t="shared" si="55"/>
        <v>46176</v>
      </c>
      <c r="E175" s="454" t="s">
        <v>576</v>
      </c>
      <c r="F175" s="461" t="s">
        <v>1854</v>
      </c>
      <c r="G175" s="460" t="s">
        <v>1788</v>
      </c>
      <c r="H175" s="460" t="s">
        <v>1803</v>
      </c>
      <c r="I175" s="540">
        <f t="shared" ref="I175:I180" si="57">ROUND((60000-9200)/70,0)</f>
        <v>726</v>
      </c>
      <c r="J175" s="679">
        <f t="shared" si="54"/>
        <v>714.28571428571433</v>
      </c>
      <c r="K175" s="679">
        <f t="shared" ref="K175:K180" si="58">20000/28</f>
        <v>714.28571428571433</v>
      </c>
      <c r="L175" s="555">
        <f>I175*INDEX([2]Pedidos!$Q:$Q,MATCH(F175,[2]Pedidos!$E:$E,0))</f>
        <v>798.6</v>
      </c>
      <c r="M175" s="564">
        <f>J175*INDEX([2]Pedidos!$Q:$Q,MATCH(G175,[2]Pedidos!$E:$E,0))</f>
        <v>607.14285714285722</v>
      </c>
      <c r="N175" s="555">
        <f>K175*INDEX([2]Pedidos!$Q:$Q,MATCH(H175,[2]Pedidos!$E:$E,0))</f>
        <v>392.85714285714289</v>
      </c>
    </row>
    <row r="176" spans="1:18" x14ac:dyDescent="0.25">
      <c r="A176" s="752"/>
      <c r="C176" s="452" t="s">
        <v>1832</v>
      </c>
      <c r="D176" s="449">
        <f t="shared" si="55"/>
        <v>46176</v>
      </c>
      <c r="E176" s="454" t="s">
        <v>167</v>
      </c>
      <c r="F176" s="460" t="s">
        <v>1854</v>
      </c>
      <c r="G176" s="460" t="s">
        <v>1788</v>
      </c>
      <c r="H176" s="460" t="s">
        <v>1803</v>
      </c>
      <c r="I176" s="540">
        <f t="shared" si="57"/>
        <v>726</v>
      </c>
      <c r="J176" s="540">
        <f t="shared" si="54"/>
        <v>714.28571428571433</v>
      </c>
      <c r="K176" s="540">
        <f t="shared" si="58"/>
        <v>714.28571428571433</v>
      </c>
      <c r="L176" s="555">
        <f>I176*INDEX([2]Pedidos!$Q:$Q,MATCH(F176,[2]Pedidos!$E:$E,0))</f>
        <v>798.6</v>
      </c>
      <c r="M176" s="564">
        <f>J176*INDEX([2]Pedidos!$Q:$Q,MATCH(G176,[2]Pedidos!$E:$E,0))</f>
        <v>607.14285714285722</v>
      </c>
      <c r="N176" s="555">
        <f>K176*INDEX([2]Pedidos!$Q:$Q,MATCH(H176,[2]Pedidos!$E:$E,0))</f>
        <v>392.85714285714289</v>
      </c>
    </row>
    <row r="177" spans="1:18" x14ac:dyDescent="0.25">
      <c r="A177" s="752"/>
      <c r="C177" s="452" t="s">
        <v>1832</v>
      </c>
      <c r="D177" s="449">
        <f t="shared" si="55"/>
        <v>46176</v>
      </c>
      <c r="E177" s="454" t="s">
        <v>168</v>
      </c>
      <c r="F177" s="460" t="s">
        <v>1854</v>
      </c>
      <c r="G177" s="460" t="s">
        <v>1788</v>
      </c>
      <c r="H177" s="460" t="s">
        <v>1803</v>
      </c>
      <c r="I177" s="540">
        <f t="shared" si="57"/>
        <v>726</v>
      </c>
      <c r="J177" s="540">
        <f t="shared" si="54"/>
        <v>714.28571428571433</v>
      </c>
      <c r="K177" s="540">
        <f t="shared" si="58"/>
        <v>714.28571428571433</v>
      </c>
      <c r="L177" s="555">
        <f>I177*INDEX([2]Pedidos!$Q:$Q,MATCH(F177,[2]Pedidos!$E:$E,0))</f>
        <v>798.6</v>
      </c>
      <c r="M177" s="564">
        <f>J177*INDEX([2]Pedidos!$Q:$Q,MATCH(G177,[2]Pedidos!$E:$E,0))</f>
        <v>607.14285714285722</v>
      </c>
      <c r="N177" s="555">
        <f>K177*INDEX([2]Pedidos!$Q:$Q,MATCH(H177,[2]Pedidos!$E:$E,0))</f>
        <v>392.85714285714289</v>
      </c>
    </row>
    <row r="178" spans="1:18" x14ac:dyDescent="0.25">
      <c r="A178" s="752"/>
      <c r="C178" s="452" t="s">
        <v>1832</v>
      </c>
      <c r="D178" s="449">
        <f t="shared" si="55"/>
        <v>46176</v>
      </c>
      <c r="E178" s="454" t="s">
        <v>169</v>
      </c>
      <c r="F178" s="460" t="s">
        <v>1854</v>
      </c>
      <c r="G178" s="460" t="s">
        <v>1788</v>
      </c>
      <c r="H178" s="460" t="s">
        <v>1803</v>
      </c>
      <c r="I178" s="540">
        <f t="shared" si="57"/>
        <v>726</v>
      </c>
      <c r="J178" s="540">
        <f t="shared" si="54"/>
        <v>714.28571428571433</v>
      </c>
      <c r="K178" s="540">
        <f t="shared" si="58"/>
        <v>714.28571428571433</v>
      </c>
      <c r="L178" s="555">
        <f>I178*INDEX([2]Pedidos!$Q:$Q,MATCH(F178,[2]Pedidos!$E:$E,0))</f>
        <v>798.6</v>
      </c>
      <c r="M178" s="564">
        <f>J178*INDEX([2]Pedidos!$Q:$Q,MATCH(G178,[2]Pedidos!$E:$E,0))</f>
        <v>607.14285714285722</v>
      </c>
      <c r="N178" s="555">
        <f>K178*INDEX([2]Pedidos!$Q:$Q,MATCH(H178,[2]Pedidos!$E:$E,0))</f>
        <v>392.85714285714289</v>
      </c>
    </row>
    <row r="179" spans="1:18" x14ac:dyDescent="0.25">
      <c r="A179" s="752"/>
      <c r="C179" s="452" t="s">
        <v>1832</v>
      </c>
      <c r="D179" s="449">
        <f t="shared" si="55"/>
        <v>46176</v>
      </c>
      <c r="E179" s="454" t="s">
        <v>170</v>
      </c>
      <c r="F179" s="460" t="s">
        <v>1854</v>
      </c>
      <c r="G179" s="460" t="s">
        <v>1788</v>
      </c>
      <c r="H179" s="460" t="s">
        <v>1803</v>
      </c>
      <c r="I179" s="540">
        <f t="shared" si="57"/>
        <v>726</v>
      </c>
      <c r="J179" s="540">
        <f t="shared" si="54"/>
        <v>714.28571428571433</v>
      </c>
      <c r="K179" s="540">
        <f t="shared" si="58"/>
        <v>714.28571428571433</v>
      </c>
      <c r="L179" s="555">
        <f>I179*INDEX([2]Pedidos!$Q:$Q,MATCH(F179,[2]Pedidos!$E:$E,0))</f>
        <v>798.6</v>
      </c>
      <c r="M179" s="564">
        <f>J179*INDEX([2]Pedidos!$Q:$Q,MATCH(G179,[2]Pedidos!$E:$E,0))</f>
        <v>607.14285714285722</v>
      </c>
      <c r="N179" s="555">
        <f>K179*INDEX([2]Pedidos!$Q:$Q,MATCH(H179,[2]Pedidos!$E:$E,0))</f>
        <v>392.85714285714289</v>
      </c>
    </row>
    <row r="180" spans="1:18" x14ac:dyDescent="0.25">
      <c r="A180" s="752"/>
      <c r="C180" s="452" t="s">
        <v>1832</v>
      </c>
      <c r="D180" s="449">
        <f t="shared" si="55"/>
        <v>46176</v>
      </c>
      <c r="E180" s="454" t="s">
        <v>585</v>
      </c>
      <c r="F180" s="460" t="s">
        <v>1854</v>
      </c>
      <c r="G180" s="460" t="s">
        <v>1788</v>
      </c>
      <c r="H180" s="460" t="s">
        <v>1803</v>
      </c>
      <c r="I180" s="540">
        <f t="shared" si="57"/>
        <v>726</v>
      </c>
      <c r="J180" s="684">
        <f t="shared" si="54"/>
        <v>714.28571428571433</v>
      </c>
      <c r="K180" s="684">
        <f t="shared" si="58"/>
        <v>714.28571428571433</v>
      </c>
      <c r="L180" s="555">
        <f>I180*INDEX([2]Pedidos!$Q:$Q,MATCH(F180,[2]Pedidos!$E:$E,0))</f>
        <v>798.6</v>
      </c>
      <c r="M180" s="564">
        <f>J180*INDEX([2]Pedidos!$Q:$Q,MATCH(G180,[2]Pedidos!$E:$E,0))</f>
        <v>607.14285714285722</v>
      </c>
      <c r="N180" s="555">
        <f>K180*INDEX([2]Pedidos!$Q:$Q,MATCH(H180,[2]Pedidos!$E:$E,0))</f>
        <v>392.85714285714289</v>
      </c>
    </row>
    <row r="181" spans="1:18" x14ac:dyDescent="0.25">
      <c r="A181" s="752"/>
      <c r="C181" s="448" t="s">
        <v>1832</v>
      </c>
      <c r="D181" s="449">
        <f t="shared" si="55"/>
        <v>46176</v>
      </c>
      <c r="E181" s="455" t="s">
        <v>574</v>
      </c>
      <c r="F181" s="512"/>
      <c r="G181" s="512"/>
      <c r="H181" s="512"/>
      <c r="I181" s="685"/>
      <c r="J181" s="685"/>
      <c r="K181" s="685"/>
      <c r="L181" s="557"/>
      <c r="M181" s="557"/>
      <c r="N181" s="557"/>
    </row>
    <row r="182" spans="1:18" x14ac:dyDescent="0.25">
      <c r="A182" s="752"/>
      <c r="C182" s="448" t="s">
        <v>1832</v>
      </c>
      <c r="D182" s="449">
        <f t="shared" si="55"/>
        <v>46176</v>
      </c>
      <c r="E182" s="455" t="s">
        <v>575</v>
      </c>
      <c r="F182" s="504" t="s">
        <v>1854</v>
      </c>
      <c r="G182" s="504" t="s">
        <v>1788</v>
      </c>
      <c r="H182" s="504" t="s">
        <v>1803</v>
      </c>
      <c r="I182" s="684">
        <f t="shared" ref="I182:I184" si="59">ROUND((60000-9200)/70,0)</f>
        <v>726</v>
      </c>
      <c r="J182" s="684">
        <f t="shared" si="54"/>
        <v>714.28571428571433</v>
      </c>
      <c r="K182" s="684">
        <f t="shared" ref="K182:K184" si="60">20000/28</f>
        <v>714.28571428571433</v>
      </c>
      <c r="L182" s="555">
        <f>I182*INDEX([2]Pedidos!$Q:$Q,MATCH(F182,[2]Pedidos!$E:$E,0))</f>
        <v>798.6</v>
      </c>
      <c r="M182" s="564">
        <f>J182*INDEX([2]Pedidos!$Q:$Q,MATCH(G182,[2]Pedidos!$E:$E,0))</f>
        <v>607.14285714285722</v>
      </c>
      <c r="N182" s="555">
        <f>K182*INDEX([2]Pedidos!$Q:$Q,MATCH(H182,[2]Pedidos!$E:$E,0))</f>
        <v>392.85714285714289</v>
      </c>
    </row>
    <row r="183" spans="1:18" x14ac:dyDescent="0.25">
      <c r="A183" s="752"/>
      <c r="C183" s="448" t="s">
        <v>1832</v>
      </c>
      <c r="D183" s="449">
        <f t="shared" si="55"/>
        <v>46176</v>
      </c>
      <c r="E183" s="503" t="s">
        <v>583</v>
      </c>
      <c r="F183" s="504" t="s">
        <v>1854</v>
      </c>
      <c r="G183" s="504" t="s">
        <v>1788</v>
      </c>
      <c r="H183" s="504" t="s">
        <v>1803</v>
      </c>
      <c r="I183" s="684">
        <f t="shared" si="59"/>
        <v>726</v>
      </c>
      <c r="J183" s="684">
        <f t="shared" si="54"/>
        <v>714.28571428571433</v>
      </c>
      <c r="K183" s="684">
        <f t="shared" si="60"/>
        <v>714.28571428571433</v>
      </c>
      <c r="L183" s="555">
        <f>I183*INDEX([2]Pedidos!$Q:$Q,MATCH(F183,[2]Pedidos!$E:$E,0))</f>
        <v>798.6</v>
      </c>
      <c r="M183" s="564">
        <f>J183*INDEX([2]Pedidos!$Q:$Q,MATCH(G183,[2]Pedidos!$E:$E,0))</f>
        <v>607.14285714285722</v>
      </c>
      <c r="N183" s="555">
        <f>K183*INDEX([2]Pedidos!$Q:$Q,MATCH(H183,[2]Pedidos!$E:$E,0))</f>
        <v>392.85714285714289</v>
      </c>
    </row>
    <row r="184" spans="1:18" ht="15.75" thickBot="1" x14ac:dyDescent="0.3">
      <c r="A184" s="752"/>
      <c r="C184" s="450" t="s">
        <v>1832</v>
      </c>
      <c r="D184" s="451">
        <f t="shared" si="55"/>
        <v>46176</v>
      </c>
      <c r="E184" s="459" t="s">
        <v>584</v>
      </c>
      <c r="F184" s="680" t="s">
        <v>1854</v>
      </c>
      <c r="G184" s="680" t="s">
        <v>1788</v>
      </c>
      <c r="H184" s="680" t="s">
        <v>1803</v>
      </c>
      <c r="I184" s="686">
        <f t="shared" si="59"/>
        <v>726</v>
      </c>
      <c r="J184" s="686">
        <f t="shared" si="54"/>
        <v>714.28571428571433</v>
      </c>
      <c r="K184" s="686">
        <f t="shared" si="60"/>
        <v>714.28571428571433</v>
      </c>
      <c r="L184" s="689">
        <f>I184*INDEX([2]Pedidos!$Q:$Q,MATCH(F184,[2]Pedidos!$E:$E,0))</f>
        <v>798.6</v>
      </c>
      <c r="M184" s="690">
        <f>J184*INDEX([2]Pedidos!$Q:$Q,MATCH(G184,[2]Pedidos!$E:$E,0))</f>
        <v>607.14285714285722</v>
      </c>
      <c r="N184" s="689">
        <f>K184*INDEX([2]Pedidos!$Q:$Q,MATCH(H184,[2]Pedidos!$E:$E,0))</f>
        <v>392.85714285714289</v>
      </c>
    </row>
    <row r="185" spans="1:18" ht="4.5" customHeight="1" thickBot="1" x14ac:dyDescent="0.3">
      <c r="A185" s="752"/>
      <c r="I185" s="445"/>
      <c r="J185" s="445"/>
      <c r="L185" s="559"/>
      <c r="M185" s="559"/>
      <c r="N185" s="559"/>
      <c r="Q185" s="3"/>
      <c r="R185" s="3"/>
    </row>
    <row r="186" spans="1:18" ht="15.75" thickBot="1" x14ac:dyDescent="0.3">
      <c r="A186" s="752"/>
      <c r="C186" s="538"/>
      <c r="D186" s="539"/>
      <c r="E186" s="539"/>
      <c r="F186" s="539"/>
      <c r="G186" s="539"/>
      <c r="H186" s="539"/>
      <c r="I186" s="606">
        <f t="shared" ref="I186:N186" si="61">_xlfn.AGGREGATE(9,6,I187:I202)</f>
        <v>0</v>
      </c>
      <c r="J186" s="607">
        <f t="shared" si="61"/>
        <v>0</v>
      </c>
      <c r="K186" s="544">
        <f t="shared" si="61"/>
        <v>0</v>
      </c>
      <c r="L186" s="560">
        <f t="shared" si="61"/>
        <v>0</v>
      </c>
      <c r="M186" s="561">
        <f t="shared" si="61"/>
        <v>0</v>
      </c>
      <c r="N186" s="562">
        <f t="shared" si="61"/>
        <v>0</v>
      </c>
      <c r="O186" s="548">
        <f>SUM(I186:K186)</f>
        <v>0</v>
      </c>
      <c r="P186" s="549">
        <f>SUM(L186:N186)</f>
        <v>0</v>
      </c>
      <c r="Q186" s="3"/>
      <c r="R186" s="3"/>
    </row>
    <row r="187" spans="1:18" x14ac:dyDescent="0.25">
      <c r="A187" s="752"/>
      <c r="C187" s="446" t="s">
        <v>1825</v>
      </c>
      <c r="D187" s="497">
        <f>D184+1</f>
        <v>46177</v>
      </c>
      <c r="E187" s="498" t="s">
        <v>573</v>
      </c>
      <c r="F187" s="691"/>
      <c r="G187" s="691"/>
      <c r="H187" s="512"/>
      <c r="I187" s="537"/>
      <c r="J187" s="537"/>
      <c r="K187" s="537"/>
      <c r="L187" s="563"/>
      <c r="M187" s="563"/>
      <c r="N187" s="563"/>
    </row>
    <row r="188" spans="1:18" x14ac:dyDescent="0.25">
      <c r="A188" s="752"/>
      <c r="C188" s="452" t="s">
        <v>1825</v>
      </c>
      <c r="D188" s="499">
        <f t="shared" ref="D188:D202" si="62">D187</f>
        <v>46177</v>
      </c>
      <c r="E188" s="500" t="s">
        <v>162</v>
      </c>
      <c r="F188" s="512"/>
      <c r="G188" s="512"/>
      <c r="H188" s="512"/>
      <c r="I188" s="682"/>
      <c r="J188" s="682"/>
      <c r="K188" s="692"/>
      <c r="L188" s="555" t="e">
        <f>I188*INDEX([2]Pedidos!$Q:$Q,MATCH(F188,[2]Pedidos!$E:$E,0))</f>
        <v>#N/A</v>
      </c>
      <c r="M188" s="555" t="e">
        <f>J188*INDEX([2]Pedidos!$Q:$Q,MATCH(G188,[2]Pedidos!$E:$E,0))</f>
        <v>#N/A</v>
      </c>
      <c r="N188" s="555" t="e">
        <f>K188*INDEX([2]Pedidos!$Q:$Q,MATCH(H188,[2]Pedidos!$E:$E,0))</f>
        <v>#N/A</v>
      </c>
    </row>
    <row r="189" spans="1:18" x14ac:dyDescent="0.25">
      <c r="A189" s="752"/>
      <c r="C189" s="452" t="s">
        <v>1825</v>
      </c>
      <c r="D189" s="449">
        <f t="shared" si="62"/>
        <v>46177</v>
      </c>
      <c r="E189" s="454" t="s">
        <v>163</v>
      </c>
      <c r="F189" s="512"/>
      <c r="G189" s="512"/>
      <c r="H189" s="512"/>
      <c r="I189" s="682"/>
      <c r="J189" s="682"/>
      <c r="K189" s="692"/>
      <c r="L189" s="564" t="e">
        <f>I189*INDEX([2]Pedidos!$Q:$Q,MATCH(F189,[2]Pedidos!$E:$E,0))</f>
        <v>#N/A</v>
      </c>
      <c r="M189" s="564" t="e">
        <f>J189*INDEX([2]Pedidos!$Q:$Q,MATCH(G189,[2]Pedidos!$E:$E,0))</f>
        <v>#N/A</v>
      </c>
      <c r="N189" s="564" t="e">
        <f>K189*INDEX([2]Pedidos!$Q:$Q,MATCH(H189,[2]Pedidos!$E:$E,0))</f>
        <v>#N/A</v>
      </c>
    </row>
    <row r="190" spans="1:18" x14ac:dyDescent="0.25">
      <c r="A190" s="752"/>
      <c r="C190" s="452" t="s">
        <v>1825</v>
      </c>
      <c r="D190" s="449">
        <f t="shared" si="62"/>
        <v>46177</v>
      </c>
      <c r="E190" s="454" t="s">
        <v>164</v>
      </c>
      <c r="F190" s="512"/>
      <c r="G190" s="512"/>
      <c r="H190" s="512"/>
      <c r="I190" s="682"/>
      <c r="J190" s="682"/>
      <c r="K190" s="692"/>
      <c r="L190" s="564" t="e">
        <f>I190*INDEX([2]Pedidos!$Q:$Q,MATCH(F190,[2]Pedidos!$E:$E,0))</f>
        <v>#N/A</v>
      </c>
      <c r="M190" s="564" t="e">
        <f>J190*INDEX([2]Pedidos!$Q:$Q,MATCH(G190,[2]Pedidos!$E:$E,0))</f>
        <v>#N/A</v>
      </c>
      <c r="N190" s="564" t="e">
        <f>K190*INDEX([2]Pedidos!$Q:$Q,MATCH(H190,[2]Pedidos!$E:$E,0))</f>
        <v>#N/A</v>
      </c>
    </row>
    <row r="191" spans="1:18" x14ac:dyDescent="0.25">
      <c r="A191" s="752"/>
      <c r="C191" s="452" t="s">
        <v>1825</v>
      </c>
      <c r="D191" s="449">
        <f t="shared" si="62"/>
        <v>46177</v>
      </c>
      <c r="E191" s="454" t="s">
        <v>165</v>
      </c>
      <c r="F191" s="512"/>
      <c r="G191" s="512"/>
      <c r="H191" s="512"/>
      <c r="I191" s="682"/>
      <c r="J191" s="682"/>
      <c r="K191" s="692"/>
      <c r="L191" s="564" t="e">
        <f>I191*INDEX([2]Pedidos!$Q:$Q,MATCH(F191,[2]Pedidos!$E:$E,0))</f>
        <v>#N/A</v>
      </c>
      <c r="M191" s="564" t="e">
        <f>J191*INDEX([2]Pedidos!$Q:$Q,MATCH(G191,[2]Pedidos!$E:$E,0))</f>
        <v>#N/A</v>
      </c>
      <c r="N191" s="564" t="e">
        <f>K191*INDEX([2]Pedidos!$Q:$Q,MATCH(H191,[2]Pedidos!$E:$E,0))</f>
        <v>#N/A</v>
      </c>
    </row>
    <row r="192" spans="1:18" x14ac:dyDescent="0.25">
      <c r="A192" s="752"/>
      <c r="C192" s="452" t="s">
        <v>1825</v>
      </c>
      <c r="D192" s="449">
        <f t="shared" si="62"/>
        <v>46177</v>
      </c>
      <c r="E192" s="454" t="s">
        <v>166</v>
      </c>
      <c r="F192" s="512"/>
      <c r="G192" s="512"/>
      <c r="H192" s="512"/>
      <c r="I192" s="682"/>
      <c r="J192" s="682"/>
      <c r="K192" s="692"/>
      <c r="L192" s="564" t="e">
        <f>I192*INDEX([2]Pedidos!$Q:$Q,MATCH(F192,[2]Pedidos!$E:$E,0))</f>
        <v>#N/A</v>
      </c>
      <c r="M192" s="564" t="e">
        <f>J192*INDEX([2]Pedidos!$Q:$Q,MATCH(G192,[2]Pedidos!$E:$E,0))</f>
        <v>#N/A</v>
      </c>
      <c r="N192" s="564" t="e">
        <f>K192*INDEX([2]Pedidos!$Q:$Q,MATCH(H192,[2]Pedidos!$E:$E,0))</f>
        <v>#N/A</v>
      </c>
    </row>
    <row r="193" spans="1:18" x14ac:dyDescent="0.25">
      <c r="A193" s="752"/>
      <c r="C193" s="452" t="s">
        <v>1825</v>
      </c>
      <c r="D193" s="449">
        <f t="shared" si="62"/>
        <v>46177</v>
      </c>
      <c r="E193" s="454" t="s">
        <v>576</v>
      </c>
      <c r="F193" s="517"/>
      <c r="G193" s="512"/>
      <c r="H193" s="512"/>
      <c r="I193" s="693"/>
      <c r="J193" s="693"/>
      <c r="K193" s="693"/>
      <c r="L193" s="556"/>
      <c r="M193" s="556"/>
      <c r="N193" s="556"/>
    </row>
    <row r="194" spans="1:18" x14ac:dyDescent="0.25">
      <c r="A194" s="752"/>
      <c r="C194" s="452" t="s">
        <v>1825</v>
      </c>
      <c r="D194" s="449">
        <f t="shared" si="62"/>
        <v>46177</v>
      </c>
      <c r="E194" s="454" t="s">
        <v>167</v>
      </c>
      <c r="F194" s="512"/>
      <c r="G194" s="512"/>
      <c r="H194" s="512"/>
      <c r="I194" s="682"/>
      <c r="J194" s="682"/>
      <c r="K194" s="692"/>
      <c r="L194" s="565" t="e">
        <f>I194*INDEX([2]Pedidos!$Q:$Q,MATCH(F194,[2]Pedidos!$E:$E,0))</f>
        <v>#N/A</v>
      </c>
      <c r="M194" s="565" t="e">
        <f>J194*INDEX([2]Pedidos!$Q:$Q,MATCH(G194,[2]Pedidos!$E:$E,0))</f>
        <v>#N/A</v>
      </c>
      <c r="N194" s="565" t="e">
        <f>K194*INDEX([2]Pedidos!$Q:$Q,MATCH(H194,[2]Pedidos!$E:$E,0))</f>
        <v>#N/A</v>
      </c>
    </row>
    <row r="195" spans="1:18" x14ac:dyDescent="0.25">
      <c r="A195" s="752"/>
      <c r="C195" s="452" t="s">
        <v>1825</v>
      </c>
      <c r="D195" s="449">
        <f t="shared" si="62"/>
        <v>46177</v>
      </c>
      <c r="E195" s="454" t="s">
        <v>168</v>
      </c>
      <c r="F195" s="512"/>
      <c r="G195" s="512"/>
      <c r="H195" s="512"/>
      <c r="I195" s="682"/>
      <c r="J195" s="682"/>
      <c r="K195" s="692"/>
      <c r="L195" s="565" t="e">
        <f>I195*INDEX([2]Pedidos!$Q:$Q,MATCH(F195,[2]Pedidos!$E:$E,0))</f>
        <v>#N/A</v>
      </c>
      <c r="M195" s="565" t="e">
        <f>J195*INDEX([2]Pedidos!$Q:$Q,MATCH(G195,[2]Pedidos!$E:$E,0))</f>
        <v>#N/A</v>
      </c>
      <c r="N195" s="565" t="e">
        <f>K195*INDEX([2]Pedidos!$Q:$Q,MATCH(H195,[2]Pedidos!$E:$E,0))</f>
        <v>#N/A</v>
      </c>
    </row>
    <row r="196" spans="1:18" x14ac:dyDescent="0.25">
      <c r="A196" s="752"/>
      <c r="C196" s="452" t="s">
        <v>1825</v>
      </c>
      <c r="D196" s="449">
        <f t="shared" si="62"/>
        <v>46177</v>
      </c>
      <c r="E196" s="454" t="s">
        <v>169</v>
      </c>
      <c r="F196" s="512"/>
      <c r="G196" s="512"/>
      <c r="H196" s="512"/>
      <c r="I196" s="682"/>
      <c r="J196" s="682"/>
      <c r="K196" s="692"/>
      <c r="L196" s="565" t="e">
        <f>I196*INDEX([2]Pedidos!$Q:$Q,MATCH(F196,[2]Pedidos!$E:$E,0))</f>
        <v>#N/A</v>
      </c>
      <c r="M196" s="565" t="e">
        <f>J196*INDEX([2]Pedidos!$Q:$Q,MATCH(G196,[2]Pedidos!$E:$E,0))</f>
        <v>#N/A</v>
      </c>
      <c r="N196" s="565" t="e">
        <f>K196*INDEX([2]Pedidos!$Q:$Q,MATCH(H196,[2]Pedidos!$E:$E,0))</f>
        <v>#N/A</v>
      </c>
    </row>
    <row r="197" spans="1:18" x14ac:dyDescent="0.25">
      <c r="A197" s="752"/>
      <c r="C197" s="452" t="s">
        <v>1825</v>
      </c>
      <c r="D197" s="449">
        <f t="shared" si="62"/>
        <v>46177</v>
      </c>
      <c r="E197" s="454" t="s">
        <v>170</v>
      </c>
      <c r="F197" s="512"/>
      <c r="G197" s="512"/>
      <c r="H197" s="512"/>
      <c r="I197" s="682"/>
      <c r="J197" s="682"/>
      <c r="K197" s="692"/>
      <c r="L197" s="566" t="e">
        <f>I197*INDEX([2]Pedidos!$Q:$Q,MATCH(F197,[2]Pedidos!$E:$E,0))</f>
        <v>#N/A</v>
      </c>
      <c r="M197" s="566" t="e">
        <f>J197*INDEX([2]Pedidos!$Q:$Q,MATCH(G197,[2]Pedidos!$E:$E,0))</f>
        <v>#N/A</v>
      </c>
      <c r="N197" s="566" t="e">
        <f>K197*INDEX([2]Pedidos!$Q:$Q,MATCH(H197,[2]Pedidos!$E:$E,0))</f>
        <v>#N/A</v>
      </c>
    </row>
    <row r="198" spans="1:18" x14ac:dyDescent="0.25">
      <c r="A198" s="752"/>
      <c r="C198" s="452" t="s">
        <v>1825</v>
      </c>
      <c r="D198" s="449">
        <f t="shared" si="62"/>
        <v>46177</v>
      </c>
      <c r="E198" s="454" t="s">
        <v>585</v>
      </c>
      <c r="F198" s="512"/>
      <c r="G198" s="512"/>
      <c r="H198" s="516"/>
      <c r="I198" s="516"/>
      <c r="J198" s="516"/>
      <c r="K198" s="516"/>
      <c r="L198" s="557"/>
      <c r="M198" s="557"/>
      <c r="N198" s="557"/>
    </row>
    <row r="199" spans="1:18" x14ac:dyDescent="0.25">
      <c r="A199" s="752"/>
      <c r="C199" s="448" t="s">
        <v>1825</v>
      </c>
      <c r="D199" s="449">
        <f t="shared" si="62"/>
        <v>46177</v>
      </c>
      <c r="E199" s="455" t="s">
        <v>574</v>
      </c>
      <c r="F199" s="512"/>
      <c r="G199" s="512"/>
      <c r="H199" s="516"/>
      <c r="I199" s="516"/>
      <c r="J199" s="516"/>
      <c r="K199" s="516"/>
      <c r="L199" s="557"/>
      <c r="M199" s="557"/>
      <c r="N199" s="557"/>
    </row>
    <row r="200" spans="1:18" x14ac:dyDescent="0.25">
      <c r="A200" s="752"/>
      <c r="C200" s="448" t="s">
        <v>1825</v>
      </c>
      <c r="D200" s="449">
        <f t="shared" si="62"/>
        <v>46177</v>
      </c>
      <c r="E200" s="455" t="s">
        <v>575</v>
      </c>
      <c r="F200" s="516"/>
      <c r="G200" s="516"/>
      <c r="H200" s="516"/>
      <c r="I200" s="516"/>
      <c r="J200" s="516"/>
      <c r="K200" s="516"/>
      <c r="L200" s="557"/>
      <c r="M200" s="557"/>
      <c r="N200" s="557"/>
    </row>
    <row r="201" spans="1:18" x14ac:dyDescent="0.25">
      <c r="A201" s="752"/>
      <c r="C201" s="448" t="s">
        <v>1825</v>
      </c>
      <c r="D201" s="449">
        <f t="shared" si="62"/>
        <v>46177</v>
      </c>
      <c r="E201" s="503" t="s">
        <v>583</v>
      </c>
      <c r="F201" s="516"/>
      <c r="G201" s="516"/>
      <c r="H201" s="516"/>
      <c r="I201" s="516"/>
      <c r="J201" s="516"/>
      <c r="K201" s="516"/>
      <c r="L201" s="557"/>
      <c r="M201" s="557"/>
      <c r="N201" s="557"/>
    </row>
    <row r="202" spans="1:18" ht="15.75" thickBot="1" x14ac:dyDescent="0.3">
      <c r="A202" s="752"/>
      <c r="C202" s="450" t="s">
        <v>1825</v>
      </c>
      <c r="D202" s="451">
        <f t="shared" si="62"/>
        <v>46177</v>
      </c>
      <c r="E202" s="459" t="s">
        <v>584</v>
      </c>
      <c r="F202" s="513"/>
      <c r="G202" s="513"/>
      <c r="H202" s="513"/>
      <c r="I202" s="513"/>
      <c r="J202" s="513"/>
      <c r="K202" s="513"/>
      <c r="L202" s="558"/>
      <c r="M202" s="558"/>
      <c r="N202" s="558"/>
    </row>
    <row r="203" spans="1:18" ht="4.5" customHeight="1" thickBot="1" x14ac:dyDescent="0.3">
      <c r="A203" s="752"/>
      <c r="I203" s="445"/>
      <c r="J203" s="445"/>
      <c r="L203" s="559"/>
      <c r="M203" s="559"/>
      <c r="N203" s="559"/>
      <c r="Q203" s="3"/>
      <c r="R203" s="3"/>
    </row>
    <row r="204" spans="1:18" ht="15.75" thickBot="1" x14ac:dyDescent="0.3">
      <c r="A204" s="752"/>
      <c r="C204" s="546">
        <f ca="1">SUM(I132:K132,I150:K150,I168:K168,I186:K186,I204:K204,I222:K222,I240:K240)</f>
        <v>121825.33333333334</v>
      </c>
      <c r="D204" s="547">
        <f>SUM(P204,P186,P168,P150,P132)</f>
        <v>99174.53333333334</v>
      </c>
      <c r="E204" s="539"/>
      <c r="F204" s="539"/>
      <c r="G204" s="539"/>
      <c r="H204" s="539"/>
      <c r="I204" s="606">
        <f t="shared" ref="I204:N204" si="63">_xlfn.AGGREGATE(9,6,I205:I220)</f>
        <v>11000</v>
      </c>
      <c r="J204" s="607">
        <f t="shared" si="63"/>
        <v>10000.000000000002</v>
      </c>
      <c r="K204" s="544">
        <f t="shared" si="63"/>
        <v>10000.000000000002</v>
      </c>
      <c r="L204" s="560">
        <f t="shared" si="63"/>
        <v>9350</v>
      </c>
      <c r="M204" s="561">
        <f t="shared" si="63"/>
        <v>8500</v>
      </c>
      <c r="N204" s="562">
        <f t="shared" si="63"/>
        <v>5500.0000000000018</v>
      </c>
      <c r="O204" s="548">
        <f>SUM(I204:K204)</f>
        <v>31000</v>
      </c>
      <c r="P204" s="549">
        <f>SUM(L204:N204)</f>
        <v>23350</v>
      </c>
      <c r="Q204" s="3"/>
      <c r="R204" s="3"/>
    </row>
    <row r="205" spans="1:18" x14ac:dyDescent="0.25">
      <c r="A205" s="752"/>
      <c r="C205" s="446" t="s">
        <v>1826</v>
      </c>
      <c r="D205" s="497">
        <f>D202+1</f>
        <v>46178</v>
      </c>
      <c r="E205" s="498" t="s">
        <v>573</v>
      </c>
      <c r="F205" s="681" t="s">
        <v>1782</v>
      </c>
      <c r="G205" s="681" t="s">
        <v>1788</v>
      </c>
      <c r="H205" s="460" t="s">
        <v>1803</v>
      </c>
      <c r="I205" s="683">
        <f>11000/14</f>
        <v>785.71428571428567</v>
      </c>
      <c r="J205" s="683">
        <f t="shared" ref="J205:J220" si="64">15000/21</f>
        <v>714.28571428571433</v>
      </c>
      <c r="K205" s="683">
        <f>20000/28</f>
        <v>714.28571428571433</v>
      </c>
      <c r="L205" s="688">
        <f>I205*INDEX([2]Pedidos!$Q:$Q,MATCH(F205,[2]Pedidos!$E:$E,0))</f>
        <v>667.85714285714278</v>
      </c>
      <c r="M205" s="688">
        <f>J205*INDEX([2]Pedidos!$Q:$Q,MATCH(G205,[2]Pedidos!$E:$E,0))</f>
        <v>607.14285714285722</v>
      </c>
      <c r="N205" s="688">
        <f>K205*INDEX([2]Pedidos!$Q:$Q,MATCH(H205,[2]Pedidos!$E:$E,0))</f>
        <v>392.85714285714289</v>
      </c>
    </row>
    <row r="206" spans="1:18" x14ac:dyDescent="0.25">
      <c r="A206" s="752"/>
      <c r="C206" s="452" t="s">
        <v>1826</v>
      </c>
      <c r="D206" s="499">
        <f t="shared" ref="D206:D220" si="65">D205</f>
        <v>46178</v>
      </c>
      <c r="E206" s="500" t="s">
        <v>162</v>
      </c>
      <c r="F206" s="460" t="s">
        <v>1782</v>
      </c>
      <c r="G206" s="460" t="s">
        <v>1788</v>
      </c>
      <c r="H206" s="460" t="s">
        <v>1803</v>
      </c>
      <c r="I206" s="540">
        <f t="shared" ref="I206:I209" si="66">11000/14</f>
        <v>785.71428571428567</v>
      </c>
      <c r="J206" s="540">
        <f t="shared" si="64"/>
        <v>714.28571428571433</v>
      </c>
      <c r="K206" s="540">
        <f t="shared" ref="K206:K209" si="67">20000/28</f>
        <v>714.28571428571433</v>
      </c>
      <c r="L206" s="555">
        <f>I206*INDEX([2]Pedidos!$Q:$Q,MATCH(F206,[2]Pedidos!$E:$E,0))</f>
        <v>667.85714285714278</v>
      </c>
      <c r="M206" s="564">
        <f>J206*INDEX([2]Pedidos!$Q:$Q,MATCH(G206,[2]Pedidos!$E:$E,0))</f>
        <v>607.14285714285722</v>
      </c>
      <c r="N206" s="555">
        <f>K206*INDEX([2]Pedidos!$Q:$Q,MATCH(H206,[2]Pedidos!$E:$E,0))</f>
        <v>392.85714285714289</v>
      </c>
    </row>
    <row r="207" spans="1:18" x14ac:dyDescent="0.25">
      <c r="A207" s="752"/>
      <c r="C207" s="452" t="s">
        <v>1826</v>
      </c>
      <c r="D207" s="449">
        <f t="shared" si="65"/>
        <v>46178</v>
      </c>
      <c r="E207" s="454" t="s">
        <v>163</v>
      </c>
      <c r="F207" s="460" t="s">
        <v>1782</v>
      </c>
      <c r="G207" s="460" t="s">
        <v>1788</v>
      </c>
      <c r="H207" s="460" t="s">
        <v>1803</v>
      </c>
      <c r="I207" s="540">
        <f t="shared" si="66"/>
        <v>785.71428571428567</v>
      </c>
      <c r="J207" s="540">
        <f t="shared" si="64"/>
        <v>714.28571428571433</v>
      </c>
      <c r="K207" s="540">
        <f t="shared" si="67"/>
        <v>714.28571428571433</v>
      </c>
      <c r="L207" s="555">
        <f>I207*INDEX([2]Pedidos!$Q:$Q,MATCH(F207,[2]Pedidos!$E:$E,0))</f>
        <v>667.85714285714278</v>
      </c>
      <c r="M207" s="564">
        <f>J207*INDEX([2]Pedidos!$Q:$Q,MATCH(G207,[2]Pedidos!$E:$E,0))</f>
        <v>607.14285714285722</v>
      </c>
      <c r="N207" s="555">
        <f>K207*INDEX([2]Pedidos!$Q:$Q,MATCH(H207,[2]Pedidos!$E:$E,0))</f>
        <v>392.85714285714289</v>
      </c>
    </row>
    <row r="208" spans="1:18" x14ac:dyDescent="0.25">
      <c r="A208" s="752"/>
      <c r="C208" s="452" t="s">
        <v>1826</v>
      </c>
      <c r="D208" s="449">
        <f t="shared" si="65"/>
        <v>46178</v>
      </c>
      <c r="E208" s="454" t="s">
        <v>164</v>
      </c>
      <c r="F208" s="460" t="s">
        <v>1782</v>
      </c>
      <c r="G208" s="460" t="s">
        <v>1788</v>
      </c>
      <c r="H208" s="460" t="s">
        <v>1803</v>
      </c>
      <c r="I208" s="540">
        <f t="shared" si="66"/>
        <v>785.71428571428567</v>
      </c>
      <c r="J208" s="540">
        <f t="shared" si="64"/>
        <v>714.28571428571433</v>
      </c>
      <c r="K208" s="540">
        <f t="shared" si="67"/>
        <v>714.28571428571433</v>
      </c>
      <c r="L208" s="555">
        <f>I208*INDEX([2]Pedidos!$Q:$Q,MATCH(F208,[2]Pedidos!$E:$E,0))</f>
        <v>667.85714285714278</v>
      </c>
      <c r="M208" s="564">
        <f>J208*INDEX([2]Pedidos!$Q:$Q,MATCH(G208,[2]Pedidos!$E:$E,0))</f>
        <v>607.14285714285722</v>
      </c>
      <c r="N208" s="555">
        <f>K208*INDEX([2]Pedidos!$Q:$Q,MATCH(H208,[2]Pedidos!$E:$E,0))</f>
        <v>392.85714285714289</v>
      </c>
    </row>
    <row r="209" spans="1:18" x14ac:dyDescent="0.25">
      <c r="A209" s="752"/>
      <c r="C209" s="452" t="s">
        <v>1826</v>
      </c>
      <c r="D209" s="449">
        <f t="shared" si="65"/>
        <v>46178</v>
      </c>
      <c r="E209" s="454" t="s">
        <v>165</v>
      </c>
      <c r="F209" s="460" t="s">
        <v>1782</v>
      </c>
      <c r="G209" s="460" t="s">
        <v>1788</v>
      </c>
      <c r="H209" s="460" t="s">
        <v>1803</v>
      </c>
      <c r="I209" s="540">
        <f t="shared" si="66"/>
        <v>785.71428571428567</v>
      </c>
      <c r="J209" s="540">
        <f t="shared" si="64"/>
        <v>714.28571428571433</v>
      </c>
      <c r="K209" s="540">
        <f t="shared" si="67"/>
        <v>714.28571428571433</v>
      </c>
      <c r="L209" s="555">
        <f>I209*INDEX([2]Pedidos!$Q:$Q,MATCH(F209,[2]Pedidos!$E:$E,0))</f>
        <v>667.85714285714278</v>
      </c>
      <c r="M209" s="564">
        <f>J209*INDEX([2]Pedidos!$Q:$Q,MATCH(G209,[2]Pedidos!$E:$E,0))</f>
        <v>607.14285714285722</v>
      </c>
      <c r="N209" s="555">
        <f>K209*INDEX([2]Pedidos!$Q:$Q,MATCH(H209,[2]Pedidos!$E:$E,0))</f>
        <v>392.85714285714289</v>
      </c>
    </row>
    <row r="210" spans="1:18" x14ac:dyDescent="0.25">
      <c r="A210" s="752"/>
      <c r="C210" s="452" t="s">
        <v>1826</v>
      </c>
      <c r="D210" s="449">
        <f t="shared" si="65"/>
        <v>46178</v>
      </c>
      <c r="E210" s="454" t="s">
        <v>166</v>
      </c>
      <c r="F210" s="512"/>
      <c r="G210" s="512"/>
      <c r="H210" s="512"/>
      <c r="I210" s="682"/>
      <c r="J210" s="682"/>
      <c r="K210" s="682"/>
      <c r="L210" s="687"/>
      <c r="M210" s="687"/>
      <c r="N210" s="687"/>
    </row>
    <row r="211" spans="1:18" x14ac:dyDescent="0.25">
      <c r="A211" s="752"/>
      <c r="C211" s="452" t="s">
        <v>1826</v>
      </c>
      <c r="D211" s="449">
        <f t="shared" si="65"/>
        <v>46178</v>
      </c>
      <c r="E211" s="454" t="s">
        <v>576</v>
      </c>
      <c r="F211" s="461" t="s">
        <v>1782</v>
      </c>
      <c r="G211" s="460" t="s">
        <v>1788</v>
      </c>
      <c r="H211" s="460" t="s">
        <v>1803</v>
      </c>
      <c r="I211" s="540">
        <f t="shared" ref="I211:I216" si="68">11000/14</f>
        <v>785.71428571428567</v>
      </c>
      <c r="J211" s="679">
        <f t="shared" si="64"/>
        <v>714.28571428571433</v>
      </c>
      <c r="K211" s="679">
        <f t="shared" ref="K211:K216" si="69">20000/28</f>
        <v>714.28571428571433</v>
      </c>
      <c r="L211" s="555">
        <f>I211*INDEX([2]Pedidos!$Q:$Q,MATCH(F211,[2]Pedidos!$E:$E,0))</f>
        <v>667.85714285714278</v>
      </c>
      <c r="M211" s="564">
        <f>J211*INDEX([2]Pedidos!$Q:$Q,MATCH(G211,[2]Pedidos!$E:$E,0))</f>
        <v>607.14285714285722</v>
      </c>
      <c r="N211" s="555">
        <f>K211*INDEX([2]Pedidos!$Q:$Q,MATCH(H211,[2]Pedidos!$E:$E,0))</f>
        <v>392.85714285714289</v>
      </c>
    </row>
    <row r="212" spans="1:18" x14ac:dyDescent="0.25">
      <c r="A212" s="752"/>
      <c r="C212" s="452" t="s">
        <v>1826</v>
      </c>
      <c r="D212" s="449">
        <f t="shared" si="65"/>
        <v>46178</v>
      </c>
      <c r="E212" s="454" t="s">
        <v>167</v>
      </c>
      <c r="F212" s="460" t="s">
        <v>1782</v>
      </c>
      <c r="G212" s="460" t="s">
        <v>1788</v>
      </c>
      <c r="H212" s="460" t="s">
        <v>1803</v>
      </c>
      <c r="I212" s="540">
        <f t="shared" si="68"/>
        <v>785.71428571428567</v>
      </c>
      <c r="J212" s="540">
        <f t="shared" si="64"/>
        <v>714.28571428571433</v>
      </c>
      <c r="K212" s="540">
        <f t="shared" si="69"/>
        <v>714.28571428571433</v>
      </c>
      <c r="L212" s="555">
        <f>I212*INDEX([2]Pedidos!$Q:$Q,MATCH(F212,[2]Pedidos!$E:$E,0))</f>
        <v>667.85714285714278</v>
      </c>
      <c r="M212" s="564">
        <f>J212*INDEX([2]Pedidos!$Q:$Q,MATCH(G212,[2]Pedidos!$E:$E,0))</f>
        <v>607.14285714285722</v>
      </c>
      <c r="N212" s="555">
        <f>K212*INDEX([2]Pedidos!$Q:$Q,MATCH(H212,[2]Pedidos!$E:$E,0))</f>
        <v>392.85714285714289</v>
      </c>
    </row>
    <row r="213" spans="1:18" x14ac:dyDescent="0.25">
      <c r="A213" s="752"/>
      <c r="C213" s="452" t="s">
        <v>1826</v>
      </c>
      <c r="D213" s="449">
        <f t="shared" si="65"/>
        <v>46178</v>
      </c>
      <c r="E213" s="454" t="s">
        <v>168</v>
      </c>
      <c r="F213" s="460" t="s">
        <v>1782</v>
      </c>
      <c r="G213" s="460" t="s">
        <v>1787</v>
      </c>
      <c r="H213" s="460" t="s">
        <v>1803</v>
      </c>
      <c r="I213" s="540">
        <f t="shared" si="68"/>
        <v>785.71428571428567</v>
      </c>
      <c r="J213" s="540">
        <f t="shared" si="64"/>
        <v>714.28571428571433</v>
      </c>
      <c r="K213" s="540">
        <f t="shared" si="69"/>
        <v>714.28571428571433</v>
      </c>
      <c r="L213" s="555">
        <f>I213*INDEX([2]Pedidos!$Q:$Q,MATCH(F213,[2]Pedidos!$E:$E,0))</f>
        <v>667.85714285714278</v>
      </c>
      <c r="M213" s="564">
        <f>J213*INDEX([2]Pedidos!$Q:$Q,MATCH(G213,[2]Pedidos!$E:$E,0))</f>
        <v>607.14285714285722</v>
      </c>
      <c r="N213" s="555">
        <f>K213*INDEX([2]Pedidos!$Q:$Q,MATCH(H213,[2]Pedidos!$E:$E,0))</f>
        <v>392.85714285714289</v>
      </c>
    </row>
    <row r="214" spans="1:18" x14ac:dyDescent="0.25">
      <c r="A214" s="752"/>
      <c r="C214" s="452" t="s">
        <v>1826</v>
      </c>
      <c r="D214" s="449">
        <f t="shared" si="65"/>
        <v>46178</v>
      </c>
      <c r="E214" s="454" t="s">
        <v>169</v>
      </c>
      <c r="F214" s="460" t="s">
        <v>1782</v>
      </c>
      <c r="G214" s="460" t="s">
        <v>1787</v>
      </c>
      <c r="H214" s="460" t="s">
        <v>1803</v>
      </c>
      <c r="I214" s="540">
        <f t="shared" si="68"/>
        <v>785.71428571428567</v>
      </c>
      <c r="J214" s="540">
        <f t="shared" si="64"/>
        <v>714.28571428571433</v>
      </c>
      <c r="K214" s="540">
        <f t="shared" si="69"/>
        <v>714.28571428571433</v>
      </c>
      <c r="L214" s="555">
        <f>I214*INDEX([2]Pedidos!$Q:$Q,MATCH(F214,[2]Pedidos!$E:$E,0))</f>
        <v>667.85714285714278</v>
      </c>
      <c r="M214" s="564">
        <f>J214*INDEX([2]Pedidos!$Q:$Q,MATCH(G214,[2]Pedidos!$E:$E,0))</f>
        <v>607.14285714285722</v>
      </c>
      <c r="N214" s="555">
        <f>K214*INDEX([2]Pedidos!$Q:$Q,MATCH(H214,[2]Pedidos!$E:$E,0))</f>
        <v>392.85714285714289</v>
      </c>
    </row>
    <row r="215" spans="1:18" x14ac:dyDescent="0.25">
      <c r="A215" s="752"/>
      <c r="C215" s="452" t="s">
        <v>1826</v>
      </c>
      <c r="D215" s="449">
        <f t="shared" si="65"/>
        <v>46178</v>
      </c>
      <c r="E215" s="454" t="s">
        <v>170</v>
      </c>
      <c r="F215" s="460" t="s">
        <v>1782</v>
      </c>
      <c r="G215" s="460" t="s">
        <v>1787</v>
      </c>
      <c r="H215" s="460" t="s">
        <v>1803</v>
      </c>
      <c r="I215" s="540">
        <f t="shared" si="68"/>
        <v>785.71428571428567</v>
      </c>
      <c r="J215" s="540">
        <f t="shared" si="64"/>
        <v>714.28571428571433</v>
      </c>
      <c r="K215" s="540">
        <f t="shared" si="69"/>
        <v>714.28571428571433</v>
      </c>
      <c r="L215" s="555">
        <f>I215*INDEX([2]Pedidos!$Q:$Q,MATCH(F215,[2]Pedidos!$E:$E,0))</f>
        <v>667.85714285714278</v>
      </c>
      <c r="M215" s="564">
        <f>J215*INDEX([2]Pedidos!$Q:$Q,MATCH(G215,[2]Pedidos!$E:$E,0))</f>
        <v>607.14285714285722</v>
      </c>
      <c r="N215" s="555">
        <f>K215*INDEX([2]Pedidos!$Q:$Q,MATCH(H215,[2]Pedidos!$E:$E,0))</f>
        <v>392.85714285714289</v>
      </c>
    </row>
    <row r="216" spans="1:18" x14ac:dyDescent="0.25">
      <c r="A216" s="752"/>
      <c r="C216" s="452" t="s">
        <v>1826</v>
      </c>
      <c r="D216" s="449">
        <f t="shared" si="65"/>
        <v>46178</v>
      </c>
      <c r="E216" s="454" t="s">
        <v>585</v>
      </c>
      <c r="F216" s="460" t="s">
        <v>1782</v>
      </c>
      <c r="G216" s="460" t="s">
        <v>1787</v>
      </c>
      <c r="H216" s="460" t="s">
        <v>1803</v>
      </c>
      <c r="I216" s="540">
        <f t="shared" si="68"/>
        <v>785.71428571428567</v>
      </c>
      <c r="J216" s="684">
        <f t="shared" si="64"/>
        <v>714.28571428571433</v>
      </c>
      <c r="K216" s="684">
        <f t="shared" si="69"/>
        <v>714.28571428571433</v>
      </c>
      <c r="L216" s="555">
        <f>I216*INDEX([2]Pedidos!$Q:$Q,MATCH(F216,[2]Pedidos!$E:$E,0))</f>
        <v>667.85714285714278</v>
      </c>
      <c r="M216" s="564">
        <f>J216*INDEX([2]Pedidos!$Q:$Q,MATCH(G216,[2]Pedidos!$E:$E,0))</f>
        <v>607.14285714285722</v>
      </c>
      <c r="N216" s="555">
        <f>K216*INDEX([2]Pedidos!$Q:$Q,MATCH(H216,[2]Pedidos!$E:$E,0))</f>
        <v>392.85714285714289</v>
      </c>
    </row>
    <row r="217" spans="1:18" x14ac:dyDescent="0.25">
      <c r="A217" s="752"/>
      <c r="C217" s="448" t="s">
        <v>1826</v>
      </c>
      <c r="D217" s="449">
        <f t="shared" si="65"/>
        <v>46178</v>
      </c>
      <c r="E217" s="455" t="s">
        <v>574</v>
      </c>
      <c r="F217" s="512"/>
      <c r="G217" s="512"/>
      <c r="H217" s="512"/>
      <c r="I217" s="685"/>
      <c r="J217" s="685"/>
      <c r="K217" s="685"/>
      <c r="L217" s="557"/>
      <c r="M217" s="557"/>
      <c r="N217" s="557"/>
    </row>
    <row r="218" spans="1:18" x14ac:dyDescent="0.25">
      <c r="A218" s="752"/>
      <c r="C218" s="448" t="s">
        <v>1826</v>
      </c>
      <c r="D218" s="449">
        <f t="shared" si="65"/>
        <v>46178</v>
      </c>
      <c r="E218" s="455" t="s">
        <v>575</v>
      </c>
      <c r="F218" s="504" t="s">
        <v>1782</v>
      </c>
      <c r="G218" s="504" t="s">
        <v>1787</v>
      </c>
      <c r="H218" s="504" t="s">
        <v>1803</v>
      </c>
      <c r="I218" s="684">
        <f t="shared" ref="I218:I220" si="70">11000/14</f>
        <v>785.71428571428567</v>
      </c>
      <c r="J218" s="684">
        <f t="shared" si="64"/>
        <v>714.28571428571433</v>
      </c>
      <c r="K218" s="684">
        <f t="shared" ref="K218:K220" si="71">20000/28</f>
        <v>714.28571428571433</v>
      </c>
      <c r="L218" s="555">
        <f>I218*INDEX([2]Pedidos!$Q:$Q,MATCH(F218,[2]Pedidos!$E:$E,0))</f>
        <v>667.85714285714278</v>
      </c>
      <c r="M218" s="564">
        <f>J218*INDEX([2]Pedidos!$Q:$Q,MATCH(G218,[2]Pedidos!$E:$E,0))</f>
        <v>607.14285714285722</v>
      </c>
      <c r="N218" s="555">
        <f>K218*INDEX([2]Pedidos!$Q:$Q,MATCH(H218,[2]Pedidos!$E:$E,0))</f>
        <v>392.85714285714289</v>
      </c>
    </row>
    <row r="219" spans="1:18" x14ac:dyDescent="0.25">
      <c r="A219" s="752"/>
      <c r="C219" s="448" t="s">
        <v>1826</v>
      </c>
      <c r="D219" s="449">
        <f t="shared" si="65"/>
        <v>46178</v>
      </c>
      <c r="E219" s="503" t="s">
        <v>583</v>
      </c>
      <c r="F219" s="504" t="s">
        <v>1782</v>
      </c>
      <c r="G219" s="504" t="s">
        <v>1787</v>
      </c>
      <c r="H219" s="504" t="s">
        <v>1803</v>
      </c>
      <c r="I219" s="684">
        <f t="shared" si="70"/>
        <v>785.71428571428567</v>
      </c>
      <c r="J219" s="684">
        <f t="shared" si="64"/>
        <v>714.28571428571433</v>
      </c>
      <c r="K219" s="684">
        <f t="shared" si="71"/>
        <v>714.28571428571433</v>
      </c>
      <c r="L219" s="555">
        <f>I219*INDEX([2]Pedidos!$Q:$Q,MATCH(F219,[2]Pedidos!$E:$E,0))</f>
        <v>667.85714285714278</v>
      </c>
      <c r="M219" s="564">
        <f>J219*INDEX([2]Pedidos!$Q:$Q,MATCH(G219,[2]Pedidos!$E:$E,0))</f>
        <v>607.14285714285722</v>
      </c>
      <c r="N219" s="555">
        <f>K219*INDEX([2]Pedidos!$Q:$Q,MATCH(H219,[2]Pedidos!$E:$E,0))</f>
        <v>392.85714285714289</v>
      </c>
    </row>
    <row r="220" spans="1:18" ht="15.75" thickBot="1" x14ac:dyDescent="0.3">
      <c r="A220" s="752"/>
      <c r="C220" s="450" t="s">
        <v>1826</v>
      </c>
      <c r="D220" s="451">
        <f t="shared" si="65"/>
        <v>46178</v>
      </c>
      <c r="E220" s="459" t="s">
        <v>584</v>
      </c>
      <c r="F220" s="680" t="s">
        <v>1782</v>
      </c>
      <c r="G220" s="680" t="s">
        <v>1787</v>
      </c>
      <c r="H220" s="680" t="s">
        <v>1803</v>
      </c>
      <c r="I220" s="686">
        <f t="shared" si="70"/>
        <v>785.71428571428567</v>
      </c>
      <c r="J220" s="686">
        <f t="shared" si="64"/>
        <v>714.28571428571433</v>
      </c>
      <c r="K220" s="686">
        <f t="shared" si="71"/>
        <v>714.28571428571433</v>
      </c>
      <c r="L220" s="689">
        <f>I220*INDEX([2]Pedidos!$Q:$Q,MATCH(F220,[2]Pedidos!$E:$E,0))</f>
        <v>667.85714285714278</v>
      </c>
      <c r="M220" s="690">
        <f>J220*INDEX([2]Pedidos!$Q:$Q,MATCH(G220,[2]Pedidos!$E:$E,0))</f>
        <v>607.14285714285722</v>
      </c>
      <c r="N220" s="689">
        <f>K220*INDEX([2]Pedidos!$Q:$Q,MATCH(H220,[2]Pedidos!$E:$E,0))</f>
        <v>392.85714285714289</v>
      </c>
    </row>
    <row r="221" spans="1:18" ht="4.5" customHeight="1" thickBot="1" x14ac:dyDescent="0.3">
      <c r="A221" s="752"/>
      <c r="I221" s="445"/>
      <c r="J221" s="445"/>
      <c r="L221" s="559"/>
      <c r="M221" s="559"/>
      <c r="N221" s="559"/>
      <c r="Q221" s="3"/>
      <c r="R221" s="3"/>
    </row>
    <row r="222" spans="1:18" ht="15" customHeight="1" thickBot="1" x14ac:dyDescent="0.3">
      <c r="A222" s="752"/>
      <c r="C222" s="538"/>
      <c r="D222" s="539"/>
      <c r="E222" s="539"/>
      <c r="F222" s="539"/>
      <c r="G222" s="539"/>
      <c r="H222" s="539"/>
      <c r="I222" s="606">
        <f t="shared" ref="I222:N222" ca="1" si="72">_xlfn.AGGREGATE(9,6,I223:I238)</f>
        <v>0</v>
      </c>
      <c r="J222" s="607">
        <f t="shared" ca="1" si="72"/>
        <v>0</v>
      </c>
      <c r="K222" s="544">
        <f t="shared" ca="1" si="72"/>
        <v>0</v>
      </c>
      <c r="L222" s="560">
        <f t="shared" si="72"/>
        <v>0</v>
      </c>
      <c r="M222" s="561">
        <f t="shared" si="72"/>
        <v>0</v>
      </c>
      <c r="N222" s="562">
        <f t="shared" si="72"/>
        <v>0</v>
      </c>
      <c r="O222" s="548">
        <f ca="1">SUM(I222:K222)</f>
        <v>0</v>
      </c>
      <c r="P222" s="549">
        <f>SUM(L222:N222)</f>
        <v>0</v>
      </c>
      <c r="Q222" s="3"/>
      <c r="R222" s="3"/>
    </row>
    <row r="223" spans="1:18" x14ac:dyDescent="0.25">
      <c r="A223" s="752"/>
      <c r="C223" s="529" t="s">
        <v>1033</v>
      </c>
      <c r="D223" s="447">
        <f>D220+1</f>
        <v>46179</v>
      </c>
      <c r="E223" s="498" t="s">
        <v>573</v>
      </c>
      <c r="F223" s="514"/>
      <c r="G223" s="514"/>
      <c r="H223" s="514"/>
      <c r="I223" s="537" cm="1">
        <f t="array" aca="1" ref="I223" ca="1">IFERROR(_xlfn.LET(_xlpm.produto,TRIM(F223)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23" s="537" cm="1">
        <f t="array" aca="1" ref="J223" ca="1">IFERROR(_xlfn.LET(_xlpm.produto,TRIM(G223)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23" s="537" cm="1">
        <f t="array" aca="1" ref="K223" ca="1">IFERROR(_xlfn.LET(_xlpm.produto,TRIM(H223)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23" s="563"/>
      <c r="M223" s="563"/>
      <c r="N223" s="563"/>
    </row>
    <row r="224" spans="1:18" x14ac:dyDescent="0.25">
      <c r="A224" s="752"/>
      <c r="C224" s="452" t="s">
        <v>1033</v>
      </c>
      <c r="D224" s="453">
        <f t="shared" ref="D224:D238" si="73">D223</f>
        <v>46179</v>
      </c>
      <c r="E224" s="500" t="s">
        <v>162</v>
      </c>
      <c r="F224" s="517"/>
      <c r="G224" s="517"/>
      <c r="H224" s="517"/>
      <c r="I224" s="540"/>
      <c r="J224" s="540"/>
      <c r="K224" s="540"/>
      <c r="L224" s="555" t="e">
        <f>I224*INDEX([2]Pedidos!$Q:$Q,MATCH(F224,[2]Pedidos!$E:$E,0))</f>
        <v>#N/A</v>
      </c>
      <c r="M224" s="555" t="e">
        <f>J224*INDEX([2]Pedidos!$Q:$Q,MATCH(G224,[2]Pedidos!$E:$E,0))</f>
        <v>#N/A</v>
      </c>
      <c r="N224" s="555" t="e">
        <f>K224*INDEX([2]Pedidos!$Q:$Q,MATCH(H224,[2]Pedidos!$E:$E,0))</f>
        <v>#N/A</v>
      </c>
    </row>
    <row r="225" spans="1:18" x14ac:dyDescent="0.25">
      <c r="A225" s="752"/>
      <c r="C225" s="452" t="s">
        <v>1033</v>
      </c>
      <c r="D225" s="453">
        <f t="shared" si="73"/>
        <v>46179</v>
      </c>
      <c r="E225" s="454" t="s">
        <v>163</v>
      </c>
      <c r="F225" s="517"/>
      <c r="G225" s="512"/>
      <c r="H225" s="505"/>
      <c r="I225" s="540"/>
      <c r="J225" s="540"/>
      <c r="K225" s="540"/>
      <c r="L225" s="564" t="e">
        <f>I225*INDEX([2]Pedidos!$Q:$Q,MATCH(F225,[2]Pedidos!$E:$E,0))</f>
        <v>#N/A</v>
      </c>
      <c r="M225" s="564" t="e">
        <f>J225*INDEX([2]Pedidos!$Q:$Q,MATCH(G225,[2]Pedidos!$E:$E,0))</f>
        <v>#N/A</v>
      </c>
      <c r="N225" s="564" t="e">
        <f>K225*INDEX([2]Pedidos!$Q:$Q,MATCH(H225,[2]Pedidos!$E:$E,0))</f>
        <v>#N/A</v>
      </c>
    </row>
    <row r="226" spans="1:18" x14ac:dyDescent="0.25">
      <c r="A226" s="752"/>
      <c r="C226" s="452" t="s">
        <v>1033</v>
      </c>
      <c r="D226" s="453">
        <f t="shared" si="73"/>
        <v>46179</v>
      </c>
      <c r="E226" s="454" t="s">
        <v>164</v>
      </c>
      <c r="F226" s="517"/>
      <c r="G226" s="512"/>
      <c r="H226" s="505"/>
      <c r="I226" s="540"/>
      <c r="J226" s="540"/>
      <c r="K226" s="540"/>
      <c r="L226" s="564" t="e">
        <f>I226*INDEX([2]Pedidos!$Q:$Q,MATCH(F226,[2]Pedidos!$E:$E,0))</f>
        <v>#N/A</v>
      </c>
      <c r="M226" s="564" t="e">
        <f>J226*INDEX([2]Pedidos!$Q:$Q,MATCH(G226,[2]Pedidos!$E:$E,0))</f>
        <v>#N/A</v>
      </c>
      <c r="N226" s="564" t="e">
        <f>K226*INDEX([2]Pedidos!$Q:$Q,MATCH(H226,[2]Pedidos!$E:$E,0))</f>
        <v>#N/A</v>
      </c>
    </row>
    <row r="227" spans="1:18" x14ac:dyDescent="0.25">
      <c r="A227" s="752"/>
      <c r="C227" s="452" t="s">
        <v>1033</v>
      </c>
      <c r="D227" s="453">
        <f t="shared" si="73"/>
        <v>46179</v>
      </c>
      <c r="E227" s="454" t="s">
        <v>165</v>
      </c>
      <c r="F227" s="517"/>
      <c r="G227" s="512"/>
      <c r="H227" s="505"/>
      <c r="I227" s="540"/>
      <c r="J227" s="540"/>
      <c r="K227" s="540"/>
      <c r="L227" s="564" t="e">
        <f>I227*INDEX([2]Pedidos!$Q:$Q,MATCH(F227,[2]Pedidos!$E:$E,0))</f>
        <v>#N/A</v>
      </c>
      <c r="M227" s="564" t="e">
        <f>J227*INDEX([2]Pedidos!$Q:$Q,MATCH(G227,[2]Pedidos!$E:$E,0))</f>
        <v>#N/A</v>
      </c>
      <c r="N227" s="564" t="e">
        <f>K227*INDEX([2]Pedidos!$Q:$Q,MATCH(H227,[2]Pedidos!$E:$E,0))</f>
        <v>#N/A</v>
      </c>
    </row>
    <row r="228" spans="1:18" x14ac:dyDescent="0.25">
      <c r="A228" s="752"/>
      <c r="C228" s="452" t="s">
        <v>1033</v>
      </c>
      <c r="D228" s="453">
        <f t="shared" si="73"/>
        <v>46179</v>
      </c>
      <c r="E228" s="454" t="s">
        <v>166</v>
      </c>
      <c r="F228" s="517"/>
      <c r="G228" s="512"/>
      <c r="H228" s="505"/>
      <c r="I228" s="540"/>
      <c r="J228" s="540"/>
      <c r="K228" s="540"/>
      <c r="L228" s="564" t="e">
        <f>I228*INDEX([2]Pedidos!$Q:$Q,MATCH(F228,[2]Pedidos!$E:$E,0))</f>
        <v>#N/A</v>
      </c>
      <c r="M228" s="564" t="e">
        <f>J228*INDEX([2]Pedidos!$Q:$Q,MATCH(G228,[2]Pedidos!$E:$E,0))</f>
        <v>#N/A</v>
      </c>
      <c r="N228" s="564" t="e">
        <f>K228*INDEX([2]Pedidos!$Q:$Q,MATCH(H228,[2]Pedidos!$E:$E,0))</f>
        <v>#N/A</v>
      </c>
    </row>
    <row r="229" spans="1:18" x14ac:dyDescent="0.25">
      <c r="A229" s="752"/>
      <c r="C229" s="452" t="s">
        <v>1033</v>
      </c>
      <c r="D229" s="453">
        <f t="shared" si="73"/>
        <v>46179</v>
      </c>
      <c r="E229" s="454" t="s">
        <v>576</v>
      </c>
      <c r="F229" s="517"/>
      <c r="G229" s="512"/>
      <c r="H229" s="505"/>
      <c r="I229" s="541"/>
      <c r="J229" s="541" cm="1">
        <f t="array" aca="1" ref="J229" ca="1">IFERROR(_xlfn.LET(_xlpm.produto,TRIM(G229)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29" s="541" cm="1">
        <f t="array" aca="1" ref="K229" ca="1">IFERROR(_xlfn.LET(_xlpm.produto,TRIM(H229)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29" s="556"/>
      <c r="M229" s="556"/>
      <c r="N229" s="556"/>
    </row>
    <row r="230" spans="1:18" x14ac:dyDescent="0.25">
      <c r="A230" s="752"/>
      <c r="C230" s="452" t="s">
        <v>1033</v>
      </c>
      <c r="D230" s="449">
        <f t="shared" si="73"/>
        <v>46179</v>
      </c>
      <c r="E230" s="454" t="s">
        <v>167</v>
      </c>
      <c r="F230" s="517"/>
      <c r="G230" s="512"/>
      <c r="H230" s="505"/>
      <c r="I230" s="540"/>
      <c r="J230" s="540"/>
      <c r="K230" s="540"/>
      <c r="L230" s="565" t="e">
        <f>I230*INDEX([2]Pedidos!$Q:$Q,MATCH(F230,[2]Pedidos!$E:$E,0))</f>
        <v>#N/A</v>
      </c>
      <c r="M230" s="565" t="e">
        <f>J230*INDEX([2]Pedidos!$Q:$Q,MATCH(G230,[2]Pedidos!$E:$E,0))</f>
        <v>#N/A</v>
      </c>
      <c r="N230" s="565" t="e">
        <f>K230*INDEX([2]Pedidos!$Q:$Q,MATCH(H230,[2]Pedidos!$E:$E,0))</f>
        <v>#N/A</v>
      </c>
    </row>
    <row r="231" spans="1:18" x14ac:dyDescent="0.25">
      <c r="A231" s="752"/>
      <c r="C231" s="452" t="s">
        <v>1033</v>
      </c>
      <c r="D231" s="449">
        <f t="shared" si="73"/>
        <v>46179</v>
      </c>
      <c r="E231" s="454" t="s">
        <v>168</v>
      </c>
      <c r="F231" s="517"/>
      <c r="G231" s="512"/>
      <c r="H231" s="505"/>
      <c r="I231" s="540"/>
      <c r="J231" s="540"/>
      <c r="K231" s="540"/>
      <c r="L231" s="565" t="e">
        <f>I231*INDEX([2]Pedidos!$Q:$Q,MATCH(F231,[2]Pedidos!$E:$E,0))</f>
        <v>#N/A</v>
      </c>
      <c r="M231" s="565" t="e">
        <f>J231*INDEX([2]Pedidos!$Q:$Q,MATCH(G231,[2]Pedidos!$E:$E,0))</f>
        <v>#N/A</v>
      </c>
      <c r="N231" s="565" t="e">
        <f>K231*INDEX([2]Pedidos!$Q:$Q,MATCH(H231,[2]Pedidos!$E:$E,0))</f>
        <v>#N/A</v>
      </c>
    </row>
    <row r="232" spans="1:18" x14ac:dyDescent="0.25">
      <c r="A232" s="752"/>
      <c r="C232" s="452" t="s">
        <v>1033</v>
      </c>
      <c r="D232" s="449">
        <f t="shared" si="73"/>
        <v>46179</v>
      </c>
      <c r="E232" s="454" t="s">
        <v>169</v>
      </c>
      <c r="F232" s="517"/>
      <c r="G232" s="512"/>
      <c r="H232" s="505"/>
      <c r="I232" s="540"/>
      <c r="J232" s="540"/>
      <c r="K232" s="540"/>
      <c r="L232" s="565" t="e">
        <f>I232*INDEX([2]Pedidos!$Q:$Q,MATCH(F232,[2]Pedidos!$E:$E,0))</f>
        <v>#N/A</v>
      </c>
      <c r="M232" s="565" t="e">
        <f>J232*INDEX([2]Pedidos!$Q:$Q,MATCH(G232,[2]Pedidos!$E:$E,0))</f>
        <v>#N/A</v>
      </c>
      <c r="N232" s="565" t="e">
        <f>K232*INDEX([2]Pedidos!$Q:$Q,MATCH(H232,[2]Pedidos!$E:$E,0))</f>
        <v>#N/A</v>
      </c>
    </row>
    <row r="233" spans="1:18" x14ac:dyDescent="0.25">
      <c r="A233" s="752"/>
      <c r="C233" s="452" t="s">
        <v>1033</v>
      </c>
      <c r="D233" s="449">
        <f t="shared" si="73"/>
        <v>46179</v>
      </c>
      <c r="E233" s="454" t="s">
        <v>170</v>
      </c>
      <c r="F233" s="517"/>
      <c r="G233" s="512"/>
      <c r="H233" s="505"/>
      <c r="I233" s="540"/>
      <c r="J233" s="540"/>
      <c r="K233" s="540"/>
      <c r="L233" s="566" t="e">
        <f>I233*INDEX([2]Pedidos!$Q:$Q,MATCH(F233,[2]Pedidos!$E:$E,0))</f>
        <v>#N/A</v>
      </c>
      <c r="M233" s="566" t="e">
        <f>J233*INDEX([2]Pedidos!$Q:$Q,MATCH(G233,[2]Pedidos!$E:$E,0))</f>
        <v>#N/A</v>
      </c>
      <c r="N233" s="566" t="e">
        <f>K233*INDEX([2]Pedidos!$Q:$Q,MATCH(H233,[2]Pedidos!$E:$E,0))</f>
        <v>#N/A</v>
      </c>
    </row>
    <row r="234" spans="1:18" x14ac:dyDescent="0.25">
      <c r="A234" s="752"/>
      <c r="C234" s="452" t="s">
        <v>1033</v>
      </c>
      <c r="D234" s="449">
        <f t="shared" si="73"/>
        <v>46179</v>
      </c>
      <c r="E234" s="454" t="s">
        <v>585</v>
      </c>
      <c r="F234" s="505"/>
      <c r="G234" s="505"/>
      <c r="H234" s="516"/>
      <c r="I234" s="516" cm="1">
        <f t="array" aca="1" ref="I234" ca="1">IFERROR(_xlfn.LET(_xlpm.produto,TRIM(F234)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34" s="516" cm="1">
        <f t="array" aca="1" ref="J234" ca="1">IFERROR(_xlfn.LET(_xlpm.produto,TRIM(G234)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4" s="516" cm="1">
        <f t="array" aca="1" ref="K234" ca="1">IFERROR(_xlfn.LET(_xlpm.produto,TRIM(H234)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4" s="557"/>
      <c r="M234" s="557"/>
      <c r="N234" s="557"/>
    </row>
    <row r="235" spans="1:18" x14ac:dyDescent="0.25">
      <c r="A235" s="752"/>
      <c r="C235" s="452" t="s">
        <v>1033</v>
      </c>
      <c r="D235" s="449">
        <f t="shared" si="73"/>
        <v>46179</v>
      </c>
      <c r="E235" s="455" t="s">
        <v>574</v>
      </c>
      <c r="F235" s="505"/>
      <c r="G235" s="505"/>
      <c r="H235" s="516"/>
      <c r="I235" s="516" cm="1">
        <f t="array" aca="1" ref="I235" ca="1">IFERROR(_xlfn.LET(_xlpm.produto,TRIM(F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35" s="516" cm="1">
        <f t="array" aca="1" ref="J235" ca="1">IFERROR(_xlfn.LET(_xlpm.produto,TRIM(G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5" s="516" cm="1">
        <f t="array" aca="1" ref="K235" ca="1">IFERROR(_xlfn.LET(_xlpm.produto,TRIM(H235)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5" s="557"/>
      <c r="M235" s="557"/>
      <c r="N235" s="557"/>
    </row>
    <row r="236" spans="1:18" x14ac:dyDescent="0.25">
      <c r="A236" s="752"/>
      <c r="C236" s="452" t="s">
        <v>1033</v>
      </c>
      <c r="D236" s="449">
        <f t="shared" si="73"/>
        <v>46179</v>
      </c>
      <c r="E236" s="455" t="s">
        <v>575</v>
      </c>
      <c r="F236" s="506"/>
      <c r="G236" s="506"/>
      <c r="H236" s="516"/>
      <c r="I236" s="516" cm="1">
        <f t="array" aca="1" ref="I236" ca="1">IFERROR(_xlfn.LET(_xlpm.produto,TRIM(F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36" s="516" cm="1">
        <f t="array" aca="1" ref="J236" ca="1">IFERROR(_xlfn.LET(_xlpm.produto,TRIM(G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6" s="516" cm="1">
        <f t="array" aca="1" ref="K236" ca="1">IFERROR(_xlfn.LET(_xlpm.produto,TRIM(H236)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6" s="557"/>
      <c r="M236" s="557"/>
      <c r="N236" s="557"/>
    </row>
    <row r="237" spans="1:18" x14ac:dyDescent="0.25">
      <c r="A237" s="752"/>
      <c r="C237" s="452" t="s">
        <v>1033</v>
      </c>
      <c r="D237" s="449">
        <f t="shared" si="73"/>
        <v>46179</v>
      </c>
      <c r="E237" s="503" t="s">
        <v>583</v>
      </c>
      <c r="F237" s="506"/>
      <c r="G237" s="506"/>
      <c r="H237" s="516"/>
      <c r="I237" s="516" cm="1">
        <f t="array" aca="1" ref="I237" ca="1">IFERROR(_xlfn.LET(_xlpm.produto,TRIM(F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37" s="516" cm="1">
        <f t="array" aca="1" ref="J237" ca="1">IFERROR(_xlfn.LET(_xlpm.produto,TRIM(G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7" s="516" cm="1">
        <f t="array" aca="1" ref="K237" ca="1">IFERROR(_xlfn.LET(_xlpm.produto,TRIM(H237)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7" s="557"/>
      <c r="M237" s="557"/>
      <c r="N237" s="557"/>
    </row>
    <row r="238" spans="1:18" ht="15.75" thickBot="1" x14ac:dyDescent="0.3">
      <c r="A238" s="752"/>
      <c r="C238" s="530" t="s">
        <v>1033</v>
      </c>
      <c r="D238" s="451">
        <f t="shared" si="73"/>
        <v>46179</v>
      </c>
      <c r="E238" s="459" t="s">
        <v>584</v>
      </c>
      <c r="F238" s="493"/>
      <c r="G238" s="493"/>
      <c r="H238" s="513"/>
      <c r="I238" s="513" cm="1">
        <f t="array" aca="1" ref="I238" ca="1">IFERROR(_xlfn.LET(_xlpm.produto,TRIM(F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38" s="513" cm="1">
        <f t="array" aca="1" ref="J238" ca="1">IFERROR(_xlfn.LET(_xlpm.produto,TRIM(G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38" s="513" cm="1">
        <f t="array" aca="1" ref="K238" ca="1">IFERROR(_xlfn.LET(_xlpm.produto,TRIM(H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38" s="558"/>
      <c r="M238" s="558"/>
      <c r="N238" s="558"/>
    </row>
    <row r="239" spans="1:18" ht="4.5" customHeight="1" thickBot="1" x14ac:dyDescent="0.3">
      <c r="A239" s="752"/>
      <c r="I239" s="445"/>
      <c r="J239" s="445"/>
      <c r="L239" s="559"/>
      <c r="M239" s="559"/>
      <c r="N239" s="559"/>
      <c r="Q239" s="3"/>
      <c r="R239" s="3"/>
    </row>
    <row r="240" spans="1:18" ht="15" customHeight="1" thickBot="1" x14ac:dyDescent="0.3">
      <c r="A240" s="752"/>
      <c r="C240" s="538"/>
      <c r="D240" s="539"/>
      <c r="E240" s="539"/>
      <c r="F240" s="539"/>
      <c r="G240" s="539"/>
      <c r="H240" s="539"/>
      <c r="I240" s="606">
        <f t="shared" ref="I240:N240" ca="1" si="74">_xlfn.AGGREGATE(9,6,I241:I256)</f>
        <v>0</v>
      </c>
      <c r="J240" s="607">
        <f t="shared" ca="1" si="74"/>
        <v>0</v>
      </c>
      <c r="K240" s="544">
        <f t="shared" ca="1" si="74"/>
        <v>0</v>
      </c>
      <c r="L240" s="560">
        <f t="shared" si="74"/>
        <v>0</v>
      </c>
      <c r="M240" s="561">
        <f t="shared" si="74"/>
        <v>0</v>
      </c>
      <c r="N240" s="562">
        <f t="shared" si="74"/>
        <v>0</v>
      </c>
      <c r="O240" s="548">
        <f ca="1">SUM(I240:K240)</f>
        <v>0</v>
      </c>
      <c r="P240" s="549">
        <f>SUM(L240:N240)</f>
        <v>0</v>
      </c>
      <c r="Q240" s="3"/>
      <c r="R240" s="3"/>
    </row>
    <row r="241" spans="1:14" x14ac:dyDescent="0.25">
      <c r="A241" s="752"/>
      <c r="C241" s="529" t="s">
        <v>1034</v>
      </c>
      <c r="D241" s="447">
        <f>D238+1</f>
        <v>46180</v>
      </c>
      <c r="E241" s="498" t="s">
        <v>573</v>
      </c>
      <c r="F241" s="514"/>
      <c r="G241" s="514"/>
      <c r="H241" s="514"/>
      <c r="I241" s="537" cm="1">
        <f t="array" aca="1" ref="I241" ca="1">IFERROR(_xlfn.LET(_xlpm.produto,TRIM(F241)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41" s="537" cm="1">
        <f t="array" aca="1" ref="J241" ca="1">IFERROR(_xlfn.LET(_xlpm.produto,TRIM(G241)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41" s="537" cm="1">
        <f t="array" aca="1" ref="K241" ca="1">IFERROR(_xlfn.LET(_xlpm.produto,TRIM(H241)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41" s="563"/>
      <c r="M241" s="563"/>
      <c r="N241" s="563"/>
    </row>
    <row r="242" spans="1:14" x14ac:dyDescent="0.25">
      <c r="A242" s="752"/>
      <c r="C242" s="452" t="s">
        <v>1034</v>
      </c>
      <c r="D242" s="453">
        <f t="shared" ref="D242:D256" si="75">D241</f>
        <v>46180</v>
      </c>
      <c r="E242" s="500" t="s">
        <v>162</v>
      </c>
      <c r="F242" s="517"/>
      <c r="G242" s="517"/>
      <c r="H242" s="517"/>
      <c r="I242" s="540"/>
      <c r="J242" s="540"/>
      <c r="K242" s="540"/>
      <c r="L242" s="555" t="e">
        <f>I242*INDEX([2]Pedidos!$Q:$Q,MATCH(F242,[2]Pedidos!$E:$E,0))</f>
        <v>#N/A</v>
      </c>
      <c r="M242" s="555" t="e">
        <f>J242*INDEX([2]Pedidos!$Q:$Q,MATCH(G242,[2]Pedidos!$E:$E,0))</f>
        <v>#N/A</v>
      </c>
      <c r="N242" s="555" t="e">
        <f>K242*INDEX([2]Pedidos!$Q:$Q,MATCH(H242,[2]Pedidos!$E:$E,0))</f>
        <v>#N/A</v>
      </c>
    </row>
    <row r="243" spans="1:14" x14ac:dyDescent="0.25">
      <c r="A243" s="752"/>
      <c r="C243" s="452" t="s">
        <v>1034</v>
      </c>
      <c r="D243" s="453">
        <f t="shared" si="75"/>
        <v>46180</v>
      </c>
      <c r="E243" s="454" t="s">
        <v>163</v>
      </c>
      <c r="F243" s="517"/>
      <c r="G243" s="512"/>
      <c r="H243" s="505"/>
      <c r="I243" s="540"/>
      <c r="J243" s="540"/>
      <c r="K243" s="540"/>
      <c r="L243" s="564" t="e">
        <f>I243*INDEX([2]Pedidos!$Q:$Q,MATCH(F243,[2]Pedidos!$E:$E,0))</f>
        <v>#N/A</v>
      </c>
      <c r="M243" s="564" t="e">
        <f>J243*INDEX([2]Pedidos!$Q:$Q,MATCH(G243,[2]Pedidos!$E:$E,0))</f>
        <v>#N/A</v>
      </c>
      <c r="N243" s="564" t="e">
        <f>K243*INDEX([2]Pedidos!$Q:$Q,MATCH(H243,[2]Pedidos!$E:$E,0))</f>
        <v>#N/A</v>
      </c>
    </row>
    <row r="244" spans="1:14" x14ac:dyDescent="0.25">
      <c r="A244" s="752"/>
      <c r="C244" s="452" t="s">
        <v>1034</v>
      </c>
      <c r="D244" s="453">
        <f t="shared" si="75"/>
        <v>46180</v>
      </c>
      <c r="E244" s="454" t="s">
        <v>164</v>
      </c>
      <c r="F244" s="517"/>
      <c r="G244" s="512"/>
      <c r="H244" s="505"/>
      <c r="I244" s="540"/>
      <c r="J244" s="540"/>
      <c r="K244" s="540"/>
      <c r="L244" s="564" t="e">
        <f>I244*INDEX([2]Pedidos!$Q:$Q,MATCH(F244,[2]Pedidos!$E:$E,0))</f>
        <v>#N/A</v>
      </c>
      <c r="M244" s="564" t="e">
        <f>J244*INDEX([2]Pedidos!$Q:$Q,MATCH(G244,[2]Pedidos!$E:$E,0))</f>
        <v>#N/A</v>
      </c>
      <c r="N244" s="564" t="e">
        <f>K244*INDEX([2]Pedidos!$Q:$Q,MATCH(H244,[2]Pedidos!$E:$E,0))</f>
        <v>#N/A</v>
      </c>
    </row>
    <row r="245" spans="1:14" x14ac:dyDescent="0.25">
      <c r="A245" s="752"/>
      <c r="C245" s="452" t="s">
        <v>1034</v>
      </c>
      <c r="D245" s="453">
        <f t="shared" si="75"/>
        <v>46180</v>
      </c>
      <c r="E245" s="454" t="s">
        <v>165</v>
      </c>
      <c r="F245" s="517"/>
      <c r="G245" s="512"/>
      <c r="H245" s="505"/>
      <c r="I245" s="540"/>
      <c r="J245" s="540"/>
      <c r="K245" s="540"/>
      <c r="L245" s="564" t="e">
        <f>I245*INDEX([2]Pedidos!$Q:$Q,MATCH(F245,[2]Pedidos!$E:$E,0))</f>
        <v>#N/A</v>
      </c>
      <c r="M245" s="564" t="e">
        <f>J245*INDEX([2]Pedidos!$Q:$Q,MATCH(G245,[2]Pedidos!$E:$E,0))</f>
        <v>#N/A</v>
      </c>
      <c r="N245" s="564" t="e">
        <f>K245*INDEX([2]Pedidos!$Q:$Q,MATCH(H245,[2]Pedidos!$E:$E,0))</f>
        <v>#N/A</v>
      </c>
    </row>
    <row r="246" spans="1:14" x14ac:dyDescent="0.25">
      <c r="A246" s="752"/>
      <c r="C246" s="452" t="s">
        <v>1034</v>
      </c>
      <c r="D246" s="453">
        <f t="shared" si="75"/>
        <v>46180</v>
      </c>
      <c r="E246" s="454" t="s">
        <v>166</v>
      </c>
      <c r="F246" s="517"/>
      <c r="G246" s="512"/>
      <c r="H246" s="505"/>
      <c r="I246" s="540"/>
      <c r="J246" s="540"/>
      <c r="K246" s="540"/>
      <c r="L246" s="564" t="e">
        <f>I246*INDEX([2]Pedidos!$Q:$Q,MATCH(F246,[2]Pedidos!$E:$E,0))</f>
        <v>#N/A</v>
      </c>
      <c r="M246" s="564" t="e">
        <f>J246*INDEX([2]Pedidos!$Q:$Q,MATCH(G246,[2]Pedidos!$E:$E,0))</f>
        <v>#N/A</v>
      </c>
      <c r="N246" s="564" t="e">
        <f>K246*INDEX([2]Pedidos!$Q:$Q,MATCH(H246,[2]Pedidos!$E:$E,0))</f>
        <v>#N/A</v>
      </c>
    </row>
    <row r="247" spans="1:14" x14ac:dyDescent="0.25">
      <c r="A247" s="752"/>
      <c r="C247" s="452" t="s">
        <v>1034</v>
      </c>
      <c r="D247" s="453">
        <f t="shared" si="75"/>
        <v>46180</v>
      </c>
      <c r="E247" s="454" t="s">
        <v>576</v>
      </c>
      <c r="F247" s="517"/>
      <c r="G247" s="512"/>
      <c r="H247" s="505"/>
      <c r="I247" s="541" cm="1">
        <f t="array" aca="1" ref="I247" ca="1">IFERROR(_xlfn.LET(_xlpm.produto,TRIM(F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47" s="541" cm="1">
        <f t="array" aca="1" ref="J247" ca="1">IFERROR(_xlfn.LET(_xlpm.produto,TRIM(G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47" s="541" cm="1">
        <f t="array" aca="1" ref="K247" ca="1">IFERROR(_xlfn.LET(_xlpm.produto,TRIM(H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47" s="556"/>
      <c r="M247" s="556"/>
      <c r="N247" s="556"/>
    </row>
    <row r="248" spans="1:14" x14ac:dyDescent="0.25">
      <c r="A248" s="752"/>
      <c r="C248" s="452" t="s">
        <v>1034</v>
      </c>
      <c r="D248" s="449">
        <f t="shared" si="75"/>
        <v>46180</v>
      </c>
      <c r="E248" s="454" t="s">
        <v>167</v>
      </c>
      <c r="F248" s="517"/>
      <c r="G248" s="512"/>
      <c r="H248" s="505"/>
      <c r="I248" s="540"/>
      <c r="J248" s="540"/>
      <c r="K248" s="540"/>
      <c r="L248" s="565" t="e">
        <f>I248*INDEX([2]Pedidos!$Q:$Q,MATCH(F248,[2]Pedidos!$E:$E,0))</f>
        <v>#N/A</v>
      </c>
      <c r="M248" s="565" t="e">
        <f>J248*INDEX([2]Pedidos!$Q:$Q,MATCH(G248,[2]Pedidos!$E:$E,0))</f>
        <v>#N/A</v>
      </c>
      <c r="N248" s="565" t="e">
        <f>K248*INDEX([2]Pedidos!$Q:$Q,MATCH(H248,[2]Pedidos!$E:$E,0))</f>
        <v>#N/A</v>
      </c>
    </row>
    <row r="249" spans="1:14" x14ac:dyDescent="0.25">
      <c r="A249" s="752"/>
      <c r="C249" s="452" t="s">
        <v>1034</v>
      </c>
      <c r="D249" s="449">
        <f t="shared" si="75"/>
        <v>46180</v>
      </c>
      <c r="E249" s="454" t="s">
        <v>168</v>
      </c>
      <c r="F249" s="517"/>
      <c r="G249" s="512"/>
      <c r="H249" s="505"/>
      <c r="I249" s="540"/>
      <c r="J249" s="540"/>
      <c r="K249" s="540"/>
      <c r="L249" s="565" t="e">
        <f>I249*INDEX([2]Pedidos!$Q:$Q,MATCH(F249,[2]Pedidos!$E:$E,0))</f>
        <v>#N/A</v>
      </c>
      <c r="M249" s="565" t="e">
        <f>J249*INDEX([2]Pedidos!$Q:$Q,MATCH(G249,[2]Pedidos!$E:$E,0))</f>
        <v>#N/A</v>
      </c>
      <c r="N249" s="565" t="e">
        <f>K249*INDEX([2]Pedidos!$Q:$Q,MATCH(H249,[2]Pedidos!$E:$E,0))</f>
        <v>#N/A</v>
      </c>
    </row>
    <row r="250" spans="1:14" x14ac:dyDescent="0.25">
      <c r="A250" s="752"/>
      <c r="C250" s="452" t="s">
        <v>1034</v>
      </c>
      <c r="D250" s="449">
        <f t="shared" si="75"/>
        <v>46180</v>
      </c>
      <c r="E250" s="454" t="s">
        <v>169</v>
      </c>
      <c r="F250" s="517"/>
      <c r="G250" s="512"/>
      <c r="H250" s="505"/>
      <c r="I250" s="540"/>
      <c r="J250" s="540"/>
      <c r="K250" s="540"/>
      <c r="L250" s="565" t="e">
        <f>I250*INDEX([2]Pedidos!$Q:$Q,MATCH(F250,[2]Pedidos!$E:$E,0))</f>
        <v>#N/A</v>
      </c>
      <c r="M250" s="565" t="e">
        <f>J250*INDEX([2]Pedidos!$Q:$Q,MATCH(G250,[2]Pedidos!$E:$E,0))</f>
        <v>#N/A</v>
      </c>
      <c r="N250" s="565" t="e">
        <f>K250*INDEX([2]Pedidos!$Q:$Q,MATCH(H250,[2]Pedidos!$E:$E,0))</f>
        <v>#N/A</v>
      </c>
    </row>
    <row r="251" spans="1:14" x14ac:dyDescent="0.25">
      <c r="A251" s="752"/>
      <c r="C251" s="452" t="s">
        <v>1034</v>
      </c>
      <c r="D251" s="449">
        <f t="shared" si="75"/>
        <v>46180</v>
      </c>
      <c r="E251" s="454" t="s">
        <v>170</v>
      </c>
      <c r="F251" s="517"/>
      <c r="G251" s="512"/>
      <c r="H251" s="505"/>
      <c r="I251" s="540"/>
      <c r="J251" s="540"/>
      <c r="K251" s="540"/>
      <c r="L251" s="566" t="e">
        <f>I251*INDEX([2]Pedidos!$Q:$Q,MATCH(F251,[2]Pedidos!$E:$E,0))</f>
        <v>#N/A</v>
      </c>
      <c r="M251" s="566" t="e">
        <f>J251*INDEX([2]Pedidos!$Q:$Q,MATCH(G251,[2]Pedidos!$E:$E,0))</f>
        <v>#N/A</v>
      </c>
      <c r="N251" s="566" t="e">
        <f>K251*INDEX([2]Pedidos!$Q:$Q,MATCH(H251,[2]Pedidos!$E:$E,0))</f>
        <v>#N/A</v>
      </c>
    </row>
    <row r="252" spans="1:14" x14ac:dyDescent="0.25">
      <c r="A252" s="752"/>
      <c r="C252" s="452" t="s">
        <v>1034</v>
      </c>
      <c r="D252" s="449">
        <f t="shared" si="75"/>
        <v>46180</v>
      </c>
      <c r="E252" s="454" t="s">
        <v>585</v>
      </c>
      <c r="F252" s="505"/>
      <c r="G252" s="505"/>
      <c r="H252" s="516"/>
      <c r="I252" s="516" cm="1">
        <f t="array" aca="1" ref="I252" ca="1">IFERROR(_xlfn.LET(_xlpm.produto,TRIM(F252)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2" s="516" cm="1">
        <f t="array" aca="1" ref="J252" ca="1">IFERROR(_xlfn.LET(_xlpm.produto,TRIM(G252)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2" s="516" cm="1">
        <f t="array" aca="1" ref="K252" ca="1">IFERROR(_xlfn.LET(_xlpm.produto,TRIM(H252)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2" s="557"/>
      <c r="M252" s="557"/>
      <c r="N252" s="557"/>
    </row>
    <row r="253" spans="1:14" x14ac:dyDescent="0.25">
      <c r="A253" s="752"/>
      <c r="C253" s="452" t="s">
        <v>1034</v>
      </c>
      <c r="D253" s="449">
        <f t="shared" si="75"/>
        <v>46180</v>
      </c>
      <c r="E253" s="455" t="s">
        <v>574</v>
      </c>
      <c r="F253" s="505"/>
      <c r="G253" s="505"/>
      <c r="H253" s="516"/>
      <c r="I253" s="516" cm="1">
        <f t="array" aca="1" ref="I253" ca="1">IFERROR(_xlfn.LET(_xlpm.produto,TRIM(F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3" s="516" cm="1">
        <f t="array" aca="1" ref="J253" ca="1">IFERROR(_xlfn.LET(_xlpm.produto,TRIM(G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3" s="516" cm="1">
        <f t="array" aca="1" ref="K253" ca="1">IFERROR(_xlfn.LET(_xlpm.produto,TRIM(H253)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3" s="557"/>
      <c r="M253" s="557"/>
      <c r="N253" s="557"/>
    </row>
    <row r="254" spans="1:14" x14ac:dyDescent="0.25">
      <c r="A254" s="752"/>
      <c r="C254" s="452" t="s">
        <v>1034</v>
      </c>
      <c r="D254" s="449">
        <f t="shared" si="75"/>
        <v>46180</v>
      </c>
      <c r="E254" s="455" t="s">
        <v>575</v>
      </c>
      <c r="F254" s="506"/>
      <c r="G254" s="506"/>
      <c r="H254" s="516"/>
      <c r="I254" s="516" cm="1">
        <f t="array" aca="1" ref="I254" ca="1">IFERROR(_xlfn.LET(_xlpm.produto,TRIM(F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4" s="516" cm="1">
        <f t="array" aca="1" ref="J254" ca="1">IFERROR(_xlfn.LET(_xlpm.produto,TRIM(G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4" s="516" cm="1">
        <f t="array" aca="1" ref="K254" ca="1">IFERROR(_xlfn.LET(_xlpm.produto,TRIM(H254)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4" s="557"/>
      <c r="M254" s="557"/>
      <c r="N254" s="557"/>
    </row>
    <row r="255" spans="1:14" x14ac:dyDescent="0.25">
      <c r="A255" s="752"/>
      <c r="C255" s="452" t="s">
        <v>1034</v>
      </c>
      <c r="D255" s="449">
        <f t="shared" si="75"/>
        <v>46180</v>
      </c>
      <c r="E255" s="503" t="s">
        <v>583</v>
      </c>
      <c r="F255" s="506"/>
      <c r="G255" s="506"/>
      <c r="H255" s="516"/>
      <c r="I255" s="516" cm="1">
        <f t="array" aca="1" ref="I255" ca="1">IFERROR(_xlfn.LET(_xlpm.produto,TRIM(F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5" s="516" cm="1">
        <f t="array" aca="1" ref="J255" ca="1">IFERROR(_xlfn.LET(_xlpm.produto,TRIM(G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5" s="516" cm="1">
        <f t="array" aca="1" ref="K255" ca="1">IFERROR(_xlfn.LET(_xlpm.produto,TRIM(H255)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5" s="557"/>
      <c r="M255" s="557"/>
      <c r="N255" s="557"/>
    </row>
    <row r="256" spans="1:14" ht="15.75" thickBot="1" x14ac:dyDescent="0.3">
      <c r="A256" s="752"/>
      <c r="C256" s="530" t="s">
        <v>1034</v>
      </c>
      <c r="D256" s="451">
        <f t="shared" si="75"/>
        <v>46180</v>
      </c>
      <c r="E256" s="459" t="s">
        <v>584</v>
      </c>
      <c r="F256" s="493"/>
      <c r="G256" s="493"/>
      <c r="H256" s="513"/>
      <c r="I256" s="513" cm="1">
        <f t="array" aca="1" ref="I256" ca="1">IFERROR(_xlfn.LET(_xlpm.produto,TRIM(F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256" s="513" cm="1">
        <f t="array" aca="1" ref="J256" ca="1">IFERROR(_xlfn.LET(_xlpm.produto,TRIM(G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256" s="513" cm="1">
        <f t="array" aca="1" ref="K256" ca="1">IFERROR(_xlfn.LET(_xlpm.produto,TRIM(H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256" s="558"/>
      <c r="M256" s="558"/>
      <c r="N256" s="558"/>
    </row>
    <row r="257" spans="1:23" ht="5.25" customHeight="1" thickBot="1" x14ac:dyDescent="0.3"/>
    <row r="258" spans="1:23" ht="15.75" customHeight="1" thickBot="1" x14ac:dyDescent="0.3">
      <c r="A258" s="752">
        <f>A132+1</f>
        <v>23</v>
      </c>
      <c r="C258" s="538"/>
      <c r="D258" s="539"/>
      <c r="E258" s="539"/>
      <c r="F258" s="539"/>
      <c r="G258" s="539"/>
      <c r="H258" s="539"/>
      <c r="I258" s="606">
        <f t="shared" ref="I258:N258" si="76">_xlfn.AGGREGATE(9,6,I259:I274)</f>
        <v>10610.526315789471</v>
      </c>
      <c r="J258" s="607">
        <f t="shared" si="76"/>
        <v>10000.000000000002</v>
      </c>
      <c r="K258" s="544">
        <f t="shared" si="76"/>
        <v>10000.000000000002</v>
      </c>
      <c r="L258" s="560">
        <f t="shared" si="76"/>
        <v>0</v>
      </c>
      <c r="M258" s="561">
        <f t="shared" si="76"/>
        <v>8500</v>
      </c>
      <c r="N258" s="562">
        <f t="shared" si="76"/>
        <v>5500.0000000000018</v>
      </c>
      <c r="O258" s="548">
        <f>SUM(I258:K258)</f>
        <v>30610.526315789473</v>
      </c>
      <c r="P258" s="549">
        <f>SUM(L258:N258)</f>
        <v>14000.000000000002</v>
      </c>
      <c r="T258" s="570" t="s">
        <v>437</v>
      </c>
      <c r="U258" s="571" t="str">
        <f>"Qtd. Total "&amp;TEXT(D259,"dd/mm/aaaa")&amp;" - "&amp;TEXT(D331,"dd/mm/aaaa")</f>
        <v>Qtd. Total 08/06/2026 - 12/06/2026</v>
      </c>
      <c r="V258" s="571" t="str">
        <f>"Produzido "&amp;TEXT(D259,"dd/mm/aaaa")&amp;" - "&amp;TEXT(D331,"dd/mm/aaaa")</f>
        <v>Produzido 08/06/2026 - 12/06/2026</v>
      </c>
      <c r="W258" s="572" t="s">
        <v>1536</v>
      </c>
    </row>
    <row r="259" spans="1:23" x14ac:dyDescent="0.25">
      <c r="A259" s="752"/>
      <c r="C259" s="496" t="s">
        <v>161</v>
      </c>
      <c r="D259" s="507">
        <f>D256+1</f>
        <v>46181</v>
      </c>
      <c r="E259" s="498" t="s">
        <v>573</v>
      </c>
      <c r="F259" s="681" t="s">
        <v>1856</v>
      </c>
      <c r="G259" s="681" t="s">
        <v>1787</v>
      </c>
      <c r="H259" s="460" t="s">
        <v>1804</v>
      </c>
      <c r="I259" s="683">
        <f>14400/19</f>
        <v>757.89473684210532</v>
      </c>
      <c r="J259" s="683">
        <f t="shared" ref="J259:J263" si="77">15000/21</f>
        <v>714.28571428571433</v>
      </c>
      <c r="K259" s="683">
        <f>10000/14</f>
        <v>714.28571428571433</v>
      </c>
      <c r="L259" s="688">
        <f>I259*INDEX([2]Pedidos!$Q:$Q,MATCH(F259,[2]Pedidos!$E:$E,0))</f>
        <v>0</v>
      </c>
      <c r="M259" s="688">
        <f>J259*INDEX([2]Pedidos!$Q:$Q,MATCH(G259,[2]Pedidos!$E:$E,0))</f>
        <v>607.14285714285722</v>
      </c>
      <c r="N259" s="688">
        <f>K259*INDEX([2]Pedidos!$Q:$Q,MATCH(H259,[2]Pedidos!$E:$E,0))</f>
        <v>392.85714285714289</v>
      </c>
      <c r="T259" s="591" t="str" cm="1">
        <f t="array" aca="1" ref="T25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59" s="576" t="str">
        <f t="shared" ref="U259:U272" ca="1" si="78">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259,IF(_xlpm.p&lt;&gt;"",SUMIF(_xlpm.rF,_xlpm.p,_xlpm.rI)+SUMIF(_xlpm.rG,_xlpm.p,_xlpm.rJ)+SUMIF(_xlpm.rH,_xlpm.p,_xlpm.rK),""))</f>
        <v/>
      </c>
      <c r="V259" s="585"/>
      <c r="W259" s="581">
        <f ca="1">IFERROR(V259*INDEX([2]Pedidos!$Q:$Q,MATCH(T259,[2]Pedidos!$E:$E,0)),0)</f>
        <v>0</v>
      </c>
    </row>
    <row r="260" spans="1:23" x14ac:dyDescent="0.25">
      <c r="A260" s="752"/>
      <c r="C260" s="525" t="s">
        <v>161</v>
      </c>
      <c r="D260" s="453">
        <f t="shared" ref="D260:D274" si="79">D259</f>
        <v>46181</v>
      </c>
      <c r="E260" s="500" t="s">
        <v>162</v>
      </c>
      <c r="F260" s="460" t="s">
        <v>1856</v>
      </c>
      <c r="G260" s="460" t="s">
        <v>1787</v>
      </c>
      <c r="H260" s="460" t="s">
        <v>1804</v>
      </c>
      <c r="I260" s="540">
        <f t="shared" ref="I260:I263" si="80">14400/19</f>
        <v>757.89473684210532</v>
      </c>
      <c r="J260" s="540">
        <f t="shared" si="77"/>
        <v>714.28571428571433</v>
      </c>
      <c r="K260" s="540">
        <f t="shared" ref="K260:K263" si="81">10000/14</f>
        <v>714.28571428571433</v>
      </c>
      <c r="L260" s="555">
        <f>I260*INDEX([2]Pedidos!$Q:$Q,MATCH(F260,[2]Pedidos!$E:$E,0))</f>
        <v>0</v>
      </c>
      <c r="M260" s="564">
        <f>J260*INDEX([2]Pedidos!$Q:$Q,MATCH(G260,[2]Pedidos!$E:$E,0))</f>
        <v>607.14285714285722</v>
      </c>
      <c r="N260" s="555">
        <f>K260*INDEX([2]Pedidos!$Q:$Q,MATCH(H260,[2]Pedidos!$E:$E,0))</f>
        <v>392.85714285714289</v>
      </c>
      <c r="T260" s="592" t="str" cm="1">
        <f t="array" aca="1" ref="T26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0" s="576" t="str">
        <f t="shared" ca="1" si="78"/>
        <v/>
      </c>
      <c r="V260" s="586"/>
      <c r="W260" s="582">
        <f ca="1">IFERROR(V260*INDEX([2]Pedidos!$Q:$Q,MATCH(T260,[2]Pedidos!$E:$E,0)),0)</f>
        <v>0</v>
      </c>
    </row>
    <row r="261" spans="1:23" x14ac:dyDescent="0.25">
      <c r="A261" s="752"/>
      <c r="C261" s="526" t="s">
        <v>161</v>
      </c>
      <c r="D261" s="453">
        <f t="shared" si="79"/>
        <v>46181</v>
      </c>
      <c r="E261" s="454" t="s">
        <v>163</v>
      </c>
      <c r="F261" s="460" t="s">
        <v>1856</v>
      </c>
      <c r="G261" s="460" t="s">
        <v>1787</v>
      </c>
      <c r="H261" s="460" t="s">
        <v>1804</v>
      </c>
      <c r="I261" s="540">
        <f t="shared" si="80"/>
        <v>757.89473684210532</v>
      </c>
      <c r="J261" s="540">
        <f t="shared" si="77"/>
        <v>714.28571428571433</v>
      </c>
      <c r="K261" s="540">
        <f t="shared" si="81"/>
        <v>714.28571428571433</v>
      </c>
      <c r="L261" s="555">
        <f>I261*INDEX([2]Pedidos!$Q:$Q,MATCH(F261,[2]Pedidos!$E:$E,0))</f>
        <v>0</v>
      </c>
      <c r="M261" s="564">
        <f>J261*INDEX([2]Pedidos!$Q:$Q,MATCH(G261,[2]Pedidos!$E:$E,0))</f>
        <v>607.14285714285722</v>
      </c>
      <c r="N261" s="555">
        <f>K261*INDEX([2]Pedidos!$Q:$Q,MATCH(H261,[2]Pedidos!$E:$E,0))</f>
        <v>392.85714285714289</v>
      </c>
      <c r="T261" s="591" t="str" cm="1">
        <f t="array" aca="1" ref="T26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1" s="576" t="str">
        <f t="shared" ca="1" si="78"/>
        <v/>
      </c>
      <c r="V261" s="586"/>
      <c r="W261" s="582">
        <f ca="1">IFERROR(V261*INDEX([2]Pedidos!$Q:$Q,MATCH(T261,[2]Pedidos!$E:$E,0)),0)</f>
        <v>0</v>
      </c>
    </row>
    <row r="262" spans="1:23" x14ac:dyDescent="0.25">
      <c r="A262" s="752"/>
      <c r="C262" s="526" t="s">
        <v>161</v>
      </c>
      <c r="D262" s="453">
        <f t="shared" si="79"/>
        <v>46181</v>
      </c>
      <c r="E262" s="454" t="s">
        <v>164</v>
      </c>
      <c r="F262" s="460" t="s">
        <v>1856</v>
      </c>
      <c r="G262" s="460" t="s">
        <v>1787</v>
      </c>
      <c r="H262" s="460" t="s">
        <v>1804</v>
      </c>
      <c r="I262" s="540">
        <f t="shared" si="80"/>
        <v>757.89473684210532</v>
      </c>
      <c r="J262" s="540">
        <f t="shared" si="77"/>
        <v>714.28571428571433</v>
      </c>
      <c r="K262" s="540">
        <f t="shared" si="81"/>
        <v>714.28571428571433</v>
      </c>
      <c r="L262" s="555">
        <f>I262*INDEX([2]Pedidos!$Q:$Q,MATCH(F262,[2]Pedidos!$E:$E,0))</f>
        <v>0</v>
      </c>
      <c r="M262" s="564">
        <f>J262*INDEX([2]Pedidos!$Q:$Q,MATCH(G262,[2]Pedidos!$E:$E,0))</f>
        <v>607.14285714285722</v>
      </c>
      <c r="N262" s="555">
        <f>K262*INDEX([2]Pedidos!$Q:$Q,MATCH(H262,[2]Pedidos!$E:$E,0))</f>
        <v>392.85714285714289</v>
      </c>
      <c r="T262" s="592" t="str" cm="1">
        <f t="array" aca="1" ref="T26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2" s="576" t="str">
        <f t="shared" ca="1" si="78"/>
        <v/>
      </c>
      <c r="V262" s="586"/>
      <c r="W262" s="582">
        <f ca="1">IFERROR(V262*INDEX([2]Pedidos!$Q:$Q,MATCH(T262,[2]Pedidos!$E:$E,0)),0)</f>
        <v>0</v>
      </c>
    </row>
    <row r="263" spans="1:23" x14ac:dyDescent="0.25">
      <c r="A263" s="752"/>
      <c r="C263" s="526" t="s">
        <v>161</v>
      </c>
      <c r="D263" s="453">
        <f t="shared" si="79"/>
        <v>46181</v>
      </c>
      <c r="E263" s="454" t="s">
        <v>165</v>
      </c>
      <c r="F263" s="460" t="s">
        <v>1856</v>
      </c>
      <c r="G263" s="460" t="s">
        <v>1787</v>
      </c>
      <c r="H263" s="460" t="s">
        <v>1804</v>
      </c>
      <c r="I263" s="540">
        <f t="shared" si="80"/>
        <v>757.89473684210532</v>
      </c>
      <c r="J263" s="540">
        <f t="shared" si="77"/>
        <v>714.28571428571433</v>
      </c>
      <c r="K263" s="540">
        <f t="shared" si="81"/>
        <v>714.28571428571433</v>
      </c>
      <c r="L263" s="555">
        <f>I263*INDEX([2]Pedidos!$Q:$Q,MATCH(F263,[2]Pedidos!$E:$E,0))</f>
        <v>0</v>
      </c>
      <c r="M263" s="564">
        <f>J263*INDEX([2]Pedidos!$Q:$Q,MATCH(G263,[2]Pedidos!$E:$E,0))</f>
        <v>607.14285714285722</v>
      </c>
      <c r="N263" s="555">
        <f>K263*INDEX([2]Pedidos!$Q:$Q,MATCH(H263,[2]Pedidos!$E:$E,0))</f>
        <v>392.85714285714289</v>
      </c>
      <c r="T263" s="591" t="str" cm="1">
        <f t="array" aca="1" ref="T26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3" s="576" t="str">
        <f t="shared" ca="1" si="78"/>
        <v/>
      </c>
      <c r="V263" s="586"/>
      <c r="W263" s="582">
        <f ca="1">IFERROR(V263*INDEX([2]Pedidos!$Q:$Q,MATCH(T263,[2]Pedidos!$E:$E,0)),0)</f>
        <v>0</v>
      </c>
    </row>
    <row r="264" spans="1:23" x14ac:dyDescent="0.25">
      <c r="A264" s="752"/>
      <c r="C264" s="526" t="s">
        <v>161</v>
      </c>
      <c r="D264" s="453">
        <f t="shared" si="79"/>
        <v>46181</v>
      </c>
      <c r="E264" s="454" t="s">
        <v>166</v>
      </c>
      <c r="F264" s="512"/>
      <c r="G264" s="512"/>
      <c r="H264" s="512"/>
      <c r="I264" s="682"/>
      <c r="J264" s="682"/>
      <c r="K264" s="682"/>
      <c r="L264" s="687"/>
      <c r="M264" s="687"/>
      <c r="N264" s="687"/>
      <c r="T264" s="592" t="str" cm="1">
        <f t="array" aca="1" ref="T26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4" s="576" t="str">
        <f t="shared" ca="1" si="78"/>
        <v/>
      </c>
      <c r="V264" s="586"/>
      <c r="W264" s="582">
        <f ca="1">IFERROR(V264*INDEX([2]Pedidos!$Q:$Q,MATCH(T264,[2]Pedidos!$E:$E,0)),0)</f>
        <v>0</v>
      </c>
    </row>
    <row r="265" spans="1:23" x14ac:dyDescent="0.25">
      <c r="A265" s="752"/>
      <c r="C265" s="526" t="s">
        <v>161</v>
      </c>
      <c r="D265" s="453">
        <f t="shared" si="79"/>
        <v>46181</v>
      </c>
      <c r="E265" s="454" t="s">
        <v>576</v>
      </c>
      <c r="F265" s="461" t="s">
        <v>1856</v>
      </c>
      <c r="G265" s="460" t="s">
        <v>1787</v>
      </c>
      <c r="H265" s="460" t="s">
        <v>1804</v>
      </c>
      <c r="I265" s="679">
        <f t="shared" ref="I265:I274" si="82">14400/19</f>
        <v>757.89473684210532</v>
      </c>
      <c r="J265" s="679">
        <f t="shared" ref="J265:J270" si="83">15000/21</f>
        <v>714.28571428571433</v>
      </c>
      <c r="K265" s="679">
        <f t="shared" ref="K265:K270" si="84">10000/14</f>
        <v>714.28571428571433</v>
      </c>
      <c r="L265" s="555">
        <f>I265*INDEX([2]Pedidos!$Q:$Q,MATCH(F265,[2]Pedidos!$E:$E,0))</f>
        <v>0</v>
      </c>
      <c r="M265" s="564">
        <f>J265*INDEX([2]Pedidos!$Q:$Q,MATCH(G265,[2]Pedidos!$E:$E,0))</f>
        <v>607.14285714285722</v>
      </c>
      <c r="N265" s="555">
        <f>K265*INDEX([2]Pedidos!$Q:$Q,MATCH(H265,[2]Pedidos!$E:$E,0))</f>
        <v>392.85714285714289</v>
      </c>
      <c r="T265" s="591" t="str" cm="1">
        <f t="array" aca="1" ref="T26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5" s="576" t="str">
        <f t="shared" ca="1" si="78"/>
        <v/>
      </c>
      <c r="V265" s="586"/>
      <c r="W265" s="582">
        <f ca="1">IFERROR(V265*INDEX([2]Pedidos!$Q:$Q,MATCH(T265,[2]Pedidos!$E:$E,0)),0)</f>
        <v>0</v>
      </c>
    </row>
    <row r="266" spans="1:23" x14ac:dyDescent="0.25">
      <c r="A266" s="752"/>
      <c r="C266" s="527" t="s">
        <v>161</v>
      </c>
      <c r="D266" s="449">
        <f t="shared" si="79"/>
        <v>46181</v>
      </c>
      <c r="E266" s="454" t="s">
        <v>167</v>
      </c>
      <c r="F266" s="460" t="s">
        <v>1856</v>
      </c>
      <c r="G266" s="460" t="s">
        <v>1787</v>
      </c>
      <c r="H266" s="460" t="s">
        <v>1804</v>
      </c>
      <c r="I266" s="540">
        <f t="shared" si="82"/>
        <v>757.89473684210532</v>
      </c>
      <c r="J266" s="540">
        <f t="shared" si="83"/>
        <v>714.28571428571433</v>
      </c>
      <c r="K266" s="540">
        <f t="shared" si="84"/>
        <v>714.28571428571433</v>
      </c>
      <c r="L266" s="555">
        <f>I266*INDEX([2]Pedidos!$Q:$Q,MATCH(F266,[2]Pedidos!$E:$E,0))</f>
        <v>0</v>
      </c>
      <c r="M266" s="564">
        <f>J266*INDEX([2]Pedidos!$Q:$Q,MATCH(G266,[2]Pedidos!$E:$E,0))</f>
        <v>607.14285714285722</v>
      </c>
      <c r="N266" s="555">
        <f>K266*INDEX([2]Pedidos!$Q:$Q,MATCH(H266,[2]Pedidos!$E:$E,0))</f>
        <v>392.85714285714289</v>
      </c>
      <c r="T266" s="592" t="str" cm="1">
        <f t="array" aca="1" ref="T26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6" s="576" t="str">
        <f t="shared" ca="1" si="78"/>
        <v/>
      </c>
      <c r="V266" s="586"/>
      <c r="W266" s="582">
        <f ca="1">IFERROR(V266*INDEX([2]Pedidos!$Q:$Q,MATCH(T266,[2]Pedidos!$E:$E,0)),0)</f>
        <v>0</v>
      </c>
    </row>
    <row r="267" spans="1:23" x14ac:dyDescent="0.25">
      <c r="A267" s="752"/>
      <c r="C267" s="527" t="s">
        <v>161</v>
      </c>
      <c r="D267" s="449">
        <f t="shared" si="79"/>
        <v>46181</v>
      </c>
      <c r="E267" s="454" t="s">
        <v>168</v>
      </c>
      <c r="F267" s="460" t="s">
        <v>1856</v>
      </c>
      <c r="G267" s="460" t="s">
        <v>1787</v>
      </c>
      <c r="H267" s="460" t="s">
        <v>1804</v>
      </c>
      <c r="I267" s="540">
        <f t="shared" si="82"/>
        <v>757.89473684210532</v>
      </c>
      <c r="J267" s="540">
        <f t="shared" si="83"/>
        <v>714.28571428571433</v>
      </c>
      <c r="K267" s="540">
        <f t="shared" si="84"/>
        <v>714.28571428571433</v>
      </c>
      <c r="L267" s="555">
        <f>I267*INDEX([2]Pedidos!$Q:$Q,MATCH(F267,[2]Pedidos!$E:$E,0))</f>
        <v>0</v>
      </c>
      <c r="M267" s="564">
        <f>J267*INDEX([2]Pedidos!$Q:$Q,MATCH(G267,[2]Pedidos!$E:$E,0))</f>
        <v>607.14285714285722</v>
      </c>
      <c r="N267" s="555">
        <f>K267*INDEX([2]Pedidos!$Q:$Q,MATCH(H267,[2]Pedidos!$E:$E,0))</f>
        <v>392.85714285714289</v>
      </c>
      <c r="T267" s="591" t="str" cm="1">
        <f t="array" aca="1" ref="T26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7" s="576" t="str">
        <f t="shared" ca="1" si="78"/>
        <v/>
      </c>
      <c r="V267" s="586"/>
      <c r="W267" s="582">
        <f ca="1">IFERROR(V267*INDEX([2]Pedidos!$Q:$Q,MATCH(T267,[2]Pedidos!$E:$E,0)),0)</f>
        <v>0</v>
      </c>
    </row>
    <row r="268" spans="1:23" x14ac:dyDescent="0.25">
      <c r="A268" s="752"/>
      <c r="C268" s="527" t="s">
        <v>161</v>
      </c>
      <c r="D268" s="449">
        <f t="shared" si="79"/>
        <v>46181</v>
      </c>
      <c r="E268" s="454" t="s">
        <v>169</v>
      </c>
      <c r="F268" s="460" t="s">
        <v>1856</v>
      </c>
      <c r="G268" s="460" t="s">
        <v>1787</v>
      </c>
      <c r="H268" s="460" t="s">
        <v>1804</v>
      </c>
      <c r="I268" s="540">
        <f t="shared" si="82"/>
        <v>757.89473684210532</v>
      </c>
      <c r="J268" s="540">
        <f t="shared" si="83"/>
        <v>714.28571428571433</v>
      </c>
      <c r="K268" s="540">
        <f t="shared" si="84"/>
        <v>714.28571428571433</v>
      </c>
      <c r="L268" s="555">
        <f>I268*INDEX([2]Pedidos!$Q:$Q,MATCH(F268,[2]Pedidos!$E:$E,0))</f>
        <v>0</v>
      </c>
      <c r="M268" s="564">
        <f>J268*INDEX([2]Pedidos!$Q:$Q,MATCH(G268,[2]Pedidos!$E:$E,0))</f>
        <v>607.14285714285722</v>
      </c>
      <c r="N268" s="555">
        <f>K268*INDEX([2]Pedidos!$Q:$Q,MATCH(H268,[2]Pedidos!$E:$E,0))</f>
        <v>392.85714285714289</v>
      </c>
      <c r="T268" s="592" t="str" cm="1">
        <f t="array" aca="1" ref="T26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8" s="576" t="str">
        <f t="shared" ca="1" si="78"/>
        <v/>
      </c>
      <c r="V268" s="586"/>
      <c r="W268" s="582">
        <f ca="1">IFERROR(V268*INDEX([2]Pedidos!$Q:$Q,MATCH(T268,[2]Pedidos!$E:$E,0)),0)</f>
        <v>0</v>
      </c>
    </row>
    <row r="269" spans="1:23" x14ac:dyDescent="0.25">
      <c r="A269" s="752"/>
      <c r="C269" s="527" t="s">
        <v>161</v>
      </c>
      <c r="D269" s="453">
        <f t="shared" si="79"/>
        <v>46181</v>
      </c>
      <c r="E269" s="454" t="s">
        <v>170</v>
      </c>
      <c r="F269" s="460" t="s">
        <v>1856</v>
      </c>
      <c r="G269" s="460" t="s">
        <v>1787</v>
      </c>
      <c r="H269" s="460" t="s">
        <v>1804</v>
      </c>
      <c r="I269" s="540">
        <f t="shared" si="82"/>
        <v>757.89473684210532</v>
      </c>
      <c r="J269" s="540">
        <f t="shared" si="83"/>
        <v>714.28571428571433</v>
      </c>
      <c r="K269" s="540">
        <f t="shared" si="84"/>
        <v>714.28571428571433</v>
      </c>
      <c r="L269" s="555">
        <f>I269*INDEX([2]Pedidos!$Q:$Q,MATCH(F269,[2]Pedidos!$E:$E,0))</f>
        <v>0</v>
      </c>
      <c r="M269" s="564">
        <f>J269*INDEX([2]Pedidos!$Q:$Q,MATCH(G269,[2]Pedidos!$E:$E,0))</f>
        <v>607.14285714285722</v>
      </c>
      <c r="N269" s="555">
        <f>K269*INDEX([2]Pedidos!$Q:$Q,MATCH(H269,[2]Pedidos!$E:$E,0))</f>
        <v>392.85714285714289</v>
      </c>
      <c r="T269" s="591" t="str" cm="1">
        <f t="array" aca="1" ref="T26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69" s="576" t="str">
        <f t="shared" ca="1" si="78"/>
        <v/>
      </c>
      <c r="V269" s="586"/>
      <c r="W269" s="582">
        <f ca="1">IFERROR(V269*INDEX([2]Pedidos!$Q:$Q,MATCH(T269,[2]Pedidos!$E:$E,0)),0)</f>
        <v>0</v>
      </c>
    </row>
    <row r="270" spans="1:23" x14ac:dyDescent="0.25">
      <c r="A270" s="752"/>
      <c r="C270" s="527" t="s">
        <v>161</v>
      </c>
      <c r="D270" s="453">
        <f t="shared" si="79"/>
        <v>46181</v>
      </c>
      <c r="E270" s="454" t="s">
        <v>585</v>
      </c>
      <c r="F270" s="460" t="s">
        <v>1856</v>
      </c>
      <c r="G270" s="460" t="s">
        <v>1787</v>
      </c>
      <c r="H270" s="460" t="s">
        <v>1804</v>
      </c>
      <c r="I270" s="684">
        <f t="shared" si="82"/>
        <v>757.89473684210532</v>
      </c>
      <c r="J270" s="684">
        <f t="shared" si="83"/>
        <v>714.28571428571433</v>
      </c>
      <c r="K270" s="684">
        <f t="shared" si="84"/>
        <v>714.28571428571433</v>
      </c>
      <c r="L270" s="555">
        <f>I270*INDEX([2]Pedidos!$Q:$Q,MATCH(F270,[2]Pedidos!$E:$E,0))</f>
        <v>0</v>
      </c>
      <c r="M270" s="564">
        <f>J270*INDEX([2]Pedidos!$Q:$Q,MATCH(G270,[2]Pedidos!$E:$E,0))</f>
        <v>607.14285714285722</v>
      </c>
      <c r="N270" s="555">
        <f>K270*INDEX([2]Pedidos!$Q:$Q,MATCH(H270,[2]Pedidos!$E:$E,0))</f>
        <v>392.85714285714289</v>
      </c>
      <c r="T270" s="592" t="str" cm="1">
        <f t="array" aca="1" ref="T27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70" s="576" t="str">
        <f t="shared" ca="1" si="78"/>
        <v/>
      </c>
      <c r="V270" s="586"/>
      <c r="W270" s="582">
        <f ca="1">IFERROR(V270*INDEX([2]Pedidos!$Q:$Q,MATCH(T270,[2]Pedidos!$E:$E,0)),0)</f>
        <v>0</v>
      </c>
    </row>
    <row r="271" spans="1:23" x14ac:dyDescent="0.25">
      <c r="A271" s="752"/>
      <c r="C271" s="527" t="s">
        <v>161</v>
      </c>
      <c r="D271" s="453">
        <f t="shared" si="79"/>
        <v>46181</v>
      </c>
      <c r="E271" s="455" t="s">
        <v>574</v>
      </c>
      <c r="F271" s="512"/>
      <c r="G271" s="512"/>
      <c r="H271" s="512"/>
      <c r="I271" s="685"/>
      <c r="J271" s="685"/>
      <c r="K271" s="685"/>
      <c r="L271" s="557"/>
      <c r="M271" s="557"/>
      <c r="N271" s="557"/>
      <c r="T271" s="591" t="str" cm="1">
        <f t="array" aca="1" ref="T27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71" s="576" t="str">
        <f t="shared" ca="1" si="78"/>
        <v/>
      </c>
      <c r="V271" s="586"/>
      <c r="W271" s="582">
        <f ca="1">IFERROR(V271*INDEX([2]Pedidos!$Q:$Q,MATCH(T271,[2]Pedidos!$E:$E,0)),0)</f>
        <v>0</v>
      </c>
    </row>
    <row r="272" spans="1:23" x14ac:dyDescent="0.25">
      <c r="A272" s="752"/>
      <c r="C272" s="527" t="s">
        <v>161</v>
      </c>
      <c r="D272" s="453">
        <f t="shared" si="79"/>
        <v>46181</v>
      </c>
      <c r="E272" s="455" t="s">
        <v>575</v>
      </c>
      <c r="F272" s="504" t="s">
        <v>1856</v>
      </c>
      <c r="G272" s="504" t="s">
        <v>1787</v>
      </c>
      <c r="H272" s="504" t="s">
        <v>1804</v>
      </c>
      <c r="I272" s="684">
        <f t="shared" si="82"/>
        <v>757.89473684210532</v>
      </c>
      <c r="J272" s="684">
        <f t="shared" ref="J272:J274" si="85">15000/21</f>
        <v>714.28571428571433</v>
      </c>
      <c r="K272" s="684">
        <f t="shared" ref="K272:K274" si="86">10000/14</f>
        <v>714.28571428571433</v>
      </c>
      <c r="L272" s="555">
        <f>I272*INDEX([2]Pedidos!$Q:$Q,MATCH(F272,[2]Pedidos!$E:$E,0))</f>
        <v>0</v>
      </c>
      <c r="M272" s="564">
        <f>J272*INDEX([2]Pedidos!$Q:$Q,MATCH(G272,[2]Pedidos!$E:$E,0))</f>
        <v>607.14285714285722</v>
      </c>
      <c r="N272" s="555">
        <f>K272*INDEX([2]Pedidos!$Q:$Q,MATCH(H272,[2]Pedidos!$E:$E,0))</f>
        <v>392.85714285714289</v>
      </c>
      <c r="T272" s="592" t="str" cm="1">
        <f t="array" aca="1" ref="T27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272" s="576" t="str">
        <f t="shared" ca="1" si="78"/>
        <v/>
      </c>
      <c r="V272" s="587"/>
      <c r="W272" s="583">
        <f ca="1">IFERROR(V272*INDEX([2]Pedidos!$Q:$Q,MATCH(T272,[2]Pedidos!$E:$E,0)),0)</f>
        <v>0</v>
      </c>
    </row>
    <row r="273" spans="1:23" x14ac:dyDescent="0.25">
      <c r="A273" s="752"/>
      <c r="C273" s="527" t="s">
        <v>161</v>
      </c>
      <c r="D273" s="453">
        <f t="shared" si="79"/>
        <v>46181</v>
      </c>
      <c r="E273" s="503" t="s">
        <v>583</v>
      </c>
      <c r="F273" s="504" t="s">
        <v>1856</v>
      </c>
      <c r="G273" s="504" t="s">
        <v>1787</v>
      </c>
      <c r="H273" s="504" t="s">
        <v>1804</v>
      </c>
      <c r="I273" s="684">
        <f t="shared" si="82"/>
        <v>757.89473684210532</v>
      </c>
      <c r="J273" s="684">
        <f t="shared" si="85"/>
        <v>714.28571428571433</v>
      </c>
      <c r="K273" s="684">
        <f t="shared" si="86"/>
        <v>714.28571428571433</v>
      </c>
      <c r="L273" s="555">
        <f>I273*INDEX([2]Pedidos!$Q:$Q,MATCH(F273,[2]Pedidos!$E:$E,0))</f>
        <v>0</v>
      </c>
      <c r="M273" s="564">
        <f>J273*INDEX([2]Pedidos!$Q:$Q,MATCH(G273,[2]Pedidos!$E:$E,0))</f>
        <v>607.14285714285722</v>
      </c>
      <c r="N273" s="555">
        <f>K273*INDEX([2]Pedidos!$Q:$Q,MATCH(H273,[2]Pedidos!$E:$E,0))</f>
        <v>392.85714285714289</v>
      </c>
      <c r="T273" s="573" t="s">
        <v>1521</v>
      </c>
      <c r="U273" s="574">
        <f ca="1">SUM(U259:U272)</f>
        <v>0</v>
      </c>
      <c r="V273" s="574">
        <f>SUM(V259:V272)</f>
        <v>0</v>
      </c>
      <c r="W273" s="584">
        <f ca="1">SUM(W259:W272)</f>
        <v>0</v>
      </c>
    </row>
    <row r="274" spans="1:23" ht="15.75" thickBot="1" x14ac:dyDescent="0.3">
      <c r="A274" s="752"/>
      <c r="C274" s="528" t="s">
        <v>161</v>
      </c>
      <c r="D274" s="451">
        <f t="shared" si="79"/>
        <v>46181</v>
      </c>
      <c r="E274" s="459" t="s">
        <v>584</v>
      </c>
      <c r="F274" s="680" t="s">
        <v>1856</v>
      </c>
      <c r="G274" s="680" t="s">
        <v>1787</v>
      </c>
      <c r="H274" s="680" t="s">
        <v>1804</v>
      </c>
      <c r="I274" s="686">
        <f t="shared" si="82"/>
        <v>757.89473684210532</v>
      </c>
      <c r="J274" s="686">
        <f t="shared" si="85"/>
        <v>714.28571428571433</v>
      </c>
      <c r="K274" s="686">
        <f t="shared" si="86"/>
        <v>714.28571428571433</v>
      </c>
      <c r="L274" s="689">
        <f>I274*INDEX([2]Pedidos!$Q:$Q,MATCH(F274,[2]Pedidos!$E:$E,0))</f>
        <v>0</v>
      </c>
      <c r="M274" s="690">
        <f>J274*INDEX([2]Pedidos!$Q:$Q,MATCH(G274,[2]Pedidos!$E:$E,0))</f>
        <v>607.14285714285722</v>
      </c>
      <c r="N274" s="689">
        <f>K274*INDEX([2]Pedidos!$Q:$Q,MATCH(H274,[2]Pedidos!$E:$E,0))</f>
        <v>392.85714285714289</v>
      </c>
    </row>
    <row r="275" spans="1:23" ht="5.25" customHeight="1" thickBot="1" x14ac:dyDescent="0.3">
      <c r="A275" s="752"/>
      <c r="I275" s="445"/>
      <c r="J275" s="445"/>
      <c r="L275" s="559"/>
      <c r="M275" s="559"/>
      <c r="N275" s="559"/>
    </row>
    <row r="276" spans="1:23" ht="15.75" thickBot="1" x14ac:dyDescent="0.3">
      <c r="A276" s="752"/>
      <c r="C276" s="538"/>
      <c r="D276" s="539"/>
      <c r="E276" s="539"/>
      <c r="F276" s="539"/>
      <c r="G276" s="539"/>
      <c r="H276" s="539"/>
      <c r="I276" s="606">
        <f t="shared" ref="I276:N276" si="87">_xlfn.AGGREGATE(9,6,I277:I292)</f>
        <v>10269.473684210527</v>
      </c>
      <c r="J276" s="607">
        <f t="shared" si="87"/>
        <v>10000.000000000002</v>
      </c>
      <c r="K276" s="544">
        <f t="shared" si="87"/>
        <v>10000.000000000002</v>
      </c>
      <c r="L276" s="560">
        <f t="shared" si="87"/>
        <v>0</v>
      </c>
      <c r="M276" s="561">
        <f t="shared" si="87"/>
        <v>5500.0000000000018</v>
      </c>
      <c r="N276" s="562">
        <f t="shared" si="87"/>
        <v>5500.0000000000018</v>
      </c>
      <c r="O276" s="548">
        <f>SUM(I276:K276)</f>
        <v>30269.473684210527</v>
      </c>
      <c r="P276" s="549">
        <f>SUM(L276:N276)</f>
        <v>11000.000000000004</v>
      </c>
    </row>
    <row r="277" spans="1:23" x14ac:dyDescent="0.25">
      <c r="A277" s="752"/>
      <c r="C277" s="446" t="s">
        <v>171</v>
      </c>
      <c r="D277" s="497">
        <f>D274+1</f>
        <v>46182</v>
      </c>
      <c r="E277" s="498" t="s">
        <v>573</v>
      </c>
      <c r="F277" s="681" t="s">
        <v>1856</v>
      </c>
      <c r="G277" s="681" t="s">
        <v>1806</v>
      </c>
      <c r="H277" s="460" t="s">
        <v>1804</v>
      </c>
      <c r="I277" s="683">
        <f t="shared" ref="I277:I281" si="88">14400/19</f>
        <v>757.89473684210532</v>
      </c>
      <c r="J277" s="683">
        <f>10000/14</f>
        <v>714.28571428571433</v>
      </c>
      <c r="K277" s="683">
        <f>10000/14</f>
        <v>714.28571428571433</v>
      </c>
      <c r="L277" s="688">
        <f>I277*INDEX([2]Pedidos!$Q:$Q,MATCH(F277,[2]Pedidos!$E:$E,0))</f>
        <v>0</v>
      </c>
      <c r="M277" s="688">
        <f>J277*INDEX([2]Pedidos!$Q:$Q,MATCH(G277,[2]Pedidos!$E:$E,0))</f>
        <v>392.85714285714289</v>
      </c>
      <c r="N277" s="688">
        <f>K277*INDEX([2]Pedidos!$Q:$Q,MATCH(H277,[2]Pedidos!$E:$E,0))</f>
        <v>392.85714285714289</v>
      </c>
    </row>
    <row r="278" spans="1:23" x14ac:dyDescent="0.25">
      <c r="A278" s="752"/>
      <c r="C278" s="452" t="s">
        <v>171</v>
      </c>
      <c r="D278" s="499">
        <f t="shared" ref="D278:D292" si="89">D277</f>
        <v>46182</v>
      </c>
      <c r="E278" s="500" t="s">
        <v>162</v>
      </c>
      <c r="F278" s="460" t="s">
        <v>1856</v>
      </c>
      <c r="G278" s="460" t="s">
        <v>1806</v>
      </c>
      <c r="H278" s="460" t="s">
        <v>1804</v>
      </c>
      <c r="I278" s="540">
        <f t="shared" si="88"/>
        <v>757.89473684210532</v>
      </c>
      <c r="J278" s="540">
        <f t="shared" ref="J278:K281" si="90">10000/14</f>
        <v>714.28571428571433</v>
      </c>
      <c r="K278" s="540">
        <f t="shared" si="90"/>
        <v>714.28571428571433</v>
      </c>
      <c r="L278" s="555">
        <f>I278*INDEX([2]Pedidos!$Q:$Q,MATCH(F278,[2]Pedidos!$E:$E,0))</f>
        <v>0</v>
      </c>
      <c r="M278" s="564">
        <f>J278*INDEX([2]Pedidos!$Q:$Q,MATCH(G278,[2]Pedidos!$E:$E,0))</f>
        <v>392.85714285714289</v>
      </c>
      <c r="N278" s="555">
        <f>K278*INDEX([2]Pedidos!$Q:$Q,MATCH(H278,[2]Pedidos!$E:$E,0))</f>
        <v>392.85714285714289</v>
      </c>
    </row>
    <row r="279" spans="1:23" x14ac:dyDescent="0.25">
      <c r="A279" s="752"/>
      <c r="C279" s="452" t="s">
        <v>171</v>
      </c>
      <c r="D279" s="449">
        <f t="shared" si="89"/>
        <v>46182</v>
      </c>
      <c r="E279" s="454" t="s">
        <v>163</v>
      </c>
      <c r="F279" s="460" t="s">
        <v>1856</v>
      </c>
      <c r="G279" s="460" t="s">
        <v>1806</v>
      </c>
      <c r="H279" s="460" t="s">
        <v>1804</v>
      </c>
      <c r="I279" s="540">
        <f t="shared" si="88"/>
        <v>757.89473684210532</v>
      </c>
      <c r="J279" s="540">
        <f t="shared" si="90"/>
        <v>714.28571428571433</v>
      </c>
      <c r="K279" s="540">
        <f t="shared" si="90"/>
        <v>714.28571428571433</v>
      </c>
      <c r="L279" s="555">
        <f>I279*INDEX([2]Pedidos!$Q:$Q,MATCH(F279,[2]Pedidos!$E:$E,0))</f>
        <v>0</v>
      </c>
      <c r="M279" s="564">
        <f>J279*INDEX([2]Pedidos!$Q:$Q,MATCH(G279,[2]Pedidos!$E:$E,0))</f>
        <v>392.85714285714289</v>
      </c>
      <c r="N279" s="555">
        <f>K279*INDEX([2]Pedidos!$Q:$Q,MATCH(H279,[2]Pedidos!$E:$E,0))</f>
        <v>392.85714285714289</v>
      </c>
    </row>
    <row r="280" spans="1:23" x14ac:dyDescent="0.25">
      <c r="A280" s="752"/>
      <c r="C280" s="452" t="s">
        <v>171</v>
      </c>
      <c r="D280" s="449">
        <f t="shared" si="89"/>
        <v>46182</v>
      </c>
      <c r="E280" s="454" t="s">
        <v>164</v>
      </c>
      <c r="F280" s="460" t="s">
        <v>1856</v>
      </c>
      <c r="G280" s="460" t="s">
        <v>1806</v>
      </c>
      <c r="H280" s="460" t="s">
        <v>1804</v>
      </c>
      <c r="I280" s="540">
        <f t="shared" si="88"/>
        <v>757.89473684210532</v>
      </c>
      <c r="J280" s="540">
        <f t="shared" si="90"/>
        <v>714.28571428571433</v>
      </c>
      <c r="K280" s="540">
        <f t="shared" si="90"/>
        <v>714.28571428571433</v>
      </c>
      <c r="L280" s="555">
        <f>I280*INDEX([2]Pedidos!$Q:$Q,MATCH(F280,[2]Pedidos!$E:$E,0))</f>
        <v>0</v>
      </c>
      <c r="M280" s="564">
        <f>J280*INDEX([2]Pedidos!$Q:$Q,MATCH(G280,[2]Pedidos!$E:$E,0))</f>
        <v>392.85714285714289</v>
      </c>
      <c r="N280" s="555">
        <f>K280*INDEX([2]Pedidos!$Q:$Q,MATCH(H280,[2]Pedidos!$E:$E,0))</f>
        <v>392.85714285714289</v>
      </c>
    </row>
    <row r="281" spans="1:23" x14ac:dyDescent="0.25">
      <c r="A281" s="752"/>
      <c r="C281" s="452" t="s">
        <v>171</v>
      </c>
      <c r="D281" s="449">
        <f t="shared" si="89"/>
        <v>46182</v>
      </c>
      <c r="E281" s="454" t="s">
        <v>165</v>
      </c>
      <c r="F281" s="460" t="s">
        <v>1856</v>
      </c>
      <c r="G281" s="460" t="s">
        <v>1806</v>
      </c>
      <c r="H281" s="460" t="s">
        <v>1804</v>
      </c>
      <c r="I281" s="540">
        <f t="shared" si="88"/>
        <v>757.89473684210532</v>
      </c>
      <c r="J281" s="540">
        <f t="shared" si="90"/>
        <v>714.28571428571433</v>
      </c>
      <c r="K281" s="540">
        <f t="shared" si="90"/>
        <v>714.28571428571433</v>
      </c>
      <c r="L281" s="555">
        <f>I281*INDEX([2]Pedidos!$Q:$Q,MATCH(F281,[2]Pedidos!$E:$E,0))</f>
        <v>0</v>
      </c>
      <c r="M281" s="564">
        <f>J281*INDEX([2]Pedidos!$Q:$Q,MATCH(G281,[2]Pedidos!$E:$E,0))</f>
        <v>392.85714285714289</v>
      </c>
      <c r="N281" s="555">
        <f>K281*INDEX([2]Pedidos!$Q:$Q,MATCH(H281,[2]Pedidos!$E:$E,0))</f>
        <v>392.85714285714289</v>
      </c>
    </row>
    <row r="282" spans="1:23" x14ac:dyDescent="0.25">
      <c r="A282" s="752"/>
      <c r="C282" s="452" t="s">
        <v>171</v>
      </c>
      <c r="D282" s="449">
        <f t="shared" si="89"/>
        <v>46182</v>
      </c>
      <c r="E282" s="454" t="s">
        <v>166</v>
      </c>
      <c r="F282" s="512"/>
      <c r="G282" s="512"/>
      <c r="H282" s="512"/>
      <c r="I282" s="682"/>
      <c r="J282" s="682"/>
      <c r="K282" s="682"/>
      <c r="L282" s="687"/>
      <c r="M282" s="687"/>
      <c r="N282" s="687"/>
    </row>
    <row r="283" spans="1:23" x14ac:dyDescent="0.25">
      <c r="A283" s="752"/>
      <c r="C283" s="452" t="s">
        <v>171</v>
      </c>
      <c r="D283" s="449">
        <f t="shared" si="89"/>
        <v>46182</v>
      </c>
      <c r="E283" s="454" t="s">
        <v>576</v>
      </c>
      <c r="F283" s="461" t="s">
        <v>1857</v>
      </c>
      <c r="G283" s="460" t="s">
        <v>1806</v>
      </c>
      <c r="H283" s="460" t="s">
        <v>1804</v>
      </c>
      <c r="I283" s="540">
        <f>14400/20</f>
        <v>720</v>
      </c>
      <c r="J283" s="679">
        <f t="shared" ref="J283:K288" si="91">10000/14</f>
        <v>714.28571428571433</v>
      </c>
      <c r="K283" s="679">
        <f t="shared" si="91"/>
        <v>714.28571428571433</v>
      </c>
      <c r="L283" s="555">
        <f>I283*INDEX([2]Pedidos!$Q:$Q,MATCH(F283,[2]Pedidos!$E:$E,0))</f>
        <v>0</v>
      </c>
      <c r="M283" s="564">
        <f>J283*INDEX([2]Pedidos!$Q:$Q,MATCH(G283,[2]Pedidos!$E:$E,0))</f>
        <v>392.85714285714289</v>
      </c>
      <c r="N283" s="555">
        <f>K283*INDEX([2]Pedidos!$Q:$Q,MATCH(H283,[2]Pedidos!$E:$E,0))</f>
        <v>392.85714285714289</v>
      </c>
    </row>
    <row r="284" spans="1:23" x14ac:dyDescent="0.25">
      <c r="A284" s="752"/>
      <c r="C284" s="452" t="s">
        <v>171</v>
      </c>
      <c r="D284" s="449">
        <f t="shared" si="89"/>
        <v>46182</v>
      </c>
      <c r="E284" s="454" t="s">
        <v>167</v>
      </c>
      <c r="F284" s="460" t="s">
        <v>1857</v>
      </c>
      <c r="G284" s="460" t="s">
        <v>1806</v>
      </c>
      <c r="H284" s="460" t="s">
        <v>1804</v>
      </c>
      <c r="I284" s="540">
        <f t="shared" ref="I284:I288" si="92">14400/20</f>
        <v>720</v>
      </c>
      <c r="J284" s="540">
        <f t="shared" si="91"/>
        <v>714.28571428571433</v>
      </c>
      <c r="K284" s="540">
        <f t="shared" si="91"/>
        <v>714.28571428571433</v>
      </c>
      <c r="L284" s="555">
        <f>I284*INDEX([2]Pedidos!$Q:$Q,MATCH(F284,[2]Pedidos!$E:$E,0))</f>
        <v>0</v>
      </c>
      <c r="M284" s="564">
        <f>J284*INDEX([2]Pedidos!$Q:$Q,MATCH(G284,[2]Pedidos!$E:$E,0))</f>
        <v>392.85714285714289</v>
      </c>
      <c r="N284" s="555">
        <f>K284*INDEX([2]Pedidos!$Q:$Q,MATCH(H284,[2]Pedidos!$E:$E,0))</f>
        <v>392.85714285714289</v>
      </c>
    </row>
    <row r="285" spans="1:23" x14ac:dyDescent="0.25">
      <c r="A285" s="752"/>
      <c r="C285" s="452" t="s">
        <v>171</v>
      </c>
      <c r="D285" s="449">
        <f t="shared" si="89"/>
        <v>46182</v>
      </c>
      <c r="E285" s="454" t="s">
        <v>168</v>
      </c>
      <c r="F285" s="460" t="s">
        <v>1857</v>
      </c>
      <c r="G285" s="460" t="s">
        <v>1806</v>
      </c>
      <c r="H285" s="460" t="s">
        <v>1804</v>
      </c>
      <c r="I285" s="540">
        <f t="shared" si="92"/>
        <v>720</v>
      </c>
      <c r="J285" s="540">
        <f t="shared" si="91"/>
        <v>714.28571428571433</v>
      </c>
      <c r="K285" s="540">
        <f t="shared" si="91"/>
        <v>714.28571428571433</v>
      </c>
      <c r="L285" s="555">
        <f>I285*INDEX([2]Pedidos!$Q:$Q,MATCH(F285,[2]Pedidos!$E:$E,0))</f>
        <v>0</v>
      </c>
      <c r="M285" s="564">
        <f>J285*INDEX([2]Pedidos!$Q:$Q,MATCH(G285,[2]Pedidos!$E:$E,0))</f>
        <v>392.85714285714289</v>
      </c>
      <c r="N285" s="555">
        <f>K285*INDEX([2]Pedidos!$Q:$Q,MATCH(H285,[2]Pedidos!$E:$E,0))</f>
        <v>392.85714285714289</v>
      </c>
    </row>
    <row r="286" spans="1:23" x14ac:dyDescent="0.25">
      <c r="A286" s="752"/>
      <c r="C286" s="452" t="s">
        <v>171</v>
      </c>
      <c r="D286" s="449">
        <f t="shared" si="89"/>
        <v>46182</v>
      </c>
      <c r="E286" s="454" t="s">
        <v>169</v>
      </c>
      <c r="F286" s="460" t="s">
        <v>1857</v>
      </c>
      <c r="G286" s="460" t="s">
        <v>1806</v>
      </c>
      <c r="H286" s="460" t="s">
        <v>1804</v>
      </c>
      <c r="I286" s="540">
        <f t="shared" si="92"/>
        <v>720</v>
      </c>
      <c r="J286" s="540">
        <f t="shared" si="91"/>
        <v>714.28571428571433</v>
      </c>
      <c r="K286" s="540">
        <f t="shared" si="91"/>
        <v>714.28571428571433</v>
      </c>
      <c r="L286" s="555">
        <f>I286*INDEX([2]Pedidos!$Q:$Q,MATCH(F286,[2]Pedidos!$E:$E,0))</f>
        <v>0</v>
      </c>
      <c r="M286" s="564">
        <f>J286*INDEX([2]Pedidos!$Q:$Q,MATCH(G286,[2]Pedidos!$E:$E,0))</f>
        <v>392.85714285714289</v>
      </c>
      <c r="N286" s="555">
        <f>K286*INDEX([2]Pedidos!$Q:$Q,MATCH(H286,[2]Pedidos!$E:$E,0))</f>
        <v>392.85714285714289</v>
      </c>
    </row>
    <row r="287" spans="1:23" x14ac:dyDescent="0.25">
      <c r="A287" s="752"/>
      <c r="C287" s="452" t="s">
        <v>171</v>
      </c>
      <c r="D287" s="449">
        <f t="shared" si="89"/>
        <v>46182</v>
      </c>
      <c r="E287" s="454" t="s">
        <v>170</v>
      </c>
      <c r="F287" s="460" t="s">
        <v>1857</v>
      </c>
      <c r="G287" s="460" t="s">
        <v>1806</v>
      </c>
      <c r="H287" s="460" t="s">
        <v>1804</v>
      </c>
      <c r="I287" s="540">
        <f t="shared" si="92"/>
        <v>720</v>
      </c>
      <c r="J287" s="540">
        <f t="shared" si="91"/>
        <v>714.28571428571433</v>
      </c>
      <c r="K287" s="540">
        <f t="shared" si="91"/>
        <v>714.28571428571433</v>
      </c>
      <c r="L287" s="555">
        <f>I287*INDEX([2]Pedidos!$Q:$Q,MATCH(F287,[2]Pedidos!$E:$E,0))</f>
        <v>0</v>
      </c>
      <c r="M287" s="564">
        <f>J287*INDEX([2]Pedidos!$Q:$Q,MATCH(G287,[2]Pedidos!$E:$E,0))</f>
        <v>392.85714285714289</v>
      </c>
      <c r="N287" s="555">
        <f>K287*INDEX([2]Pedidos!$Q:$Q,MATCH(H287,[2]Pedidos!$E:$E,0))</f>
        <v>392.85714285714289</v>
      </c>
    </row>
    <row r="288" spans="1:23" x14ac:dyDescent="0.25">
      <c r="A288" s="752"/>
      <c r="C288" s="452" t="s">
        <v>171</v>
      </c>
      <c r="D288" s="449">
        <f t="shared" si="89"/>
        <v>46182</v>
      </c>
      <c r="E288" s="454" t="s">
        <v>585</v>
      </c>
      <c r="F288" s="460" t="s">
        <v>1857</v>
      </c>
      <c r="G288" s="460" t="s">
        <v>1806</v>
      </c>
      <c r="H288" s="460" t="s">
        <v>1804</v>
      </c>
      <c r="I288" s="684">
        <f t="shared" si="92"/>
        <v>720</v>
      </c>
      <c r="J288" s="684">
        <f t="shared" si="91"/>
        <v>714.28571428571433</v>
      </c>
      <c r="K288" s="684">
        <f t="shared" si="91"/>
        <v>714.28571428571433</v>
      </c>
      <c r="L288" s="555">
        <f>I288*INDEX([2]Pedidos!$Q:$Q,MATCH(F288,[2]Pedidos!$E:$E,0))</f>
        <v>0</v>
      </c>
      <c r="M288" s="564">
        <f>J288*INDEX([2]Pedidos!$Q:$Q,MATCH(G288,[2]Pedidos!$E:$E,0))</f>
        <v>392.85714285714289</v>
      </c>
      <c r="N288" s="555">
        <f>K288*INDEX([2]Pedidos!$Q:$Q,MATCH(H288,[2]Pedidos!$E:$E,0))</f>
        <v>392.85714285714289</v>
      </c>
    </row>
    <row r="289" spans="1:16" x14ac:dyDescent="0.25">
      <c r="A289" s="752"/>
      <c r="C289" s="448" t="s">
        <v>171</v>
      </c>
      <c r="D289" s="449">
        <f t="shared" si="89"/>
        <v>46182</v>
      </c>
      <c r="E289" s="455" t="s">
        <v>574</v>
      </c>
      <c r="F289" s="512"/>
      <c r="G289" s="512"/>
      <c r="H289" s="512"/>
      <c r="I289" s="685"/>
      <c r="J289" s="685"/>
      <c r="K289" s="685"/>
      <c r="L289" s="557"/>
      <c r="M289" s="557"/>
      <c r="N289" s="557"/>
    </row>
    <row r="290" spans="1:16" x14ac:dyDescent="0.25">
      <c r="A290" s="752"/>
      <c r="C290" s="448" t="s">
        <v>171</v>
      </c>
      <c r="D290" s="449">
        <f t="shared" si="89"/>
        <v>46182</v>
      </c>
      <c r="E290" s="455" t="s">
        <v>575</v>
      </c>
      <c r="F290" s="504" t="s">
        <v>1857</v>
      </c>
      <c r="G290" s="504" t="s">
        <v>1806</v>
      </c>
      <c r="H290" s="504" t="s">
        <v>1804</v>
      </c>
      <c r="I290" s="684">
        <f t="shared" ref="I290:I292" si="93">14400/20</f>
        <v>720</v>
      </c>
      <c r="J290" s="684">
        <f t="shared" ref="J290:K292" si="94">10000/14</f>
        <v>714.28571428571433</v>
      </c>
      <c r="K290" s="684">
        <f t="shared" si="94"/>
        <v>714.28571428571433</v>
      </c>
      <c r="L290" s="555">
        <f>I290*INDEX([2]Pedidos!$Q:$Q,MATCH(F290,[2]Pedidos!$E:$E,0))</f>
        <v>0</v>
      </c>
      <c r="M290" s="564">
        <f>J290*INDEX([2]Pedidos!$Q:$Q,MATCH(G290,[2]Pedidos!$E:$E,0))</f>
        <v>392.85714285714289</v>
      </c>
      <c r="N290" s="555">
        <f>K290*INDEX([2]Pedidos!$Q:$Q,MATCH(H290,[2]Pedidos!$E:$E,0))</f>
        <v>392.85714285714289</v>
      </c>
    </row>
    <row r="291" spans="1:16" x14ac:dyDescent="0.25">
      <c r="A291" s="752"/>
      <c r="C291" s="448" t="s">
        <v>171</v>
      </c>
      <c r="D291" s="449">
        <f t="shared" si="89"/>
        <v>46182</v>
      </c>
      <c r="E291" s="503" t="s">
        <v>583</v>
      </c>
      <c r="F291" s="504" t="s">
        <v>1857</v>
      </c>
      <c r="G291" s="504" t="s">
        <v>1806</v>
      </c>
      <c r="H291" s="504" t="s">
        <v>1804</v>
      </c>
      <c r="I291" s="684">
        <f t="shared" si="93"/>
        <v>720</v>
      </c>
      <c r="J291" s="684">
        <f t="shared" si="94"/>
        <v>714.28571428571433</v>
      </c>
      <c r="K291" s="684">
        <f t="shared" si="94"/>
        <v>714.28571428571433</v>
      </c>
      <c r="L291" s="555">
        <f>I291*INDEX([2]Pedidos!$Q:$Q,MATCH(F291,[2]Pedidos!$E:$E,0))</f>
        <v>0</v>
      </c>
      <c r="M291" s="564">
        <f>J291*INDEX([2]Pedidos!$Q:$Q,MATCH(G291,[2]Pedidos!$E:$E,0))</f>
        <v>392.85714285714289</v>
      </c>
      <c r="N291" s="555">
        <f>K291*INDEX([2]Pedidos!$Q:$Q,MATCH(H291,[2]Pedidos!$E:$E,0))</f>
        <v>392.85714285714289</v>
      </c>
    </row>
    <row r="292" spans="1:16" ht="15.75" thickBot="1" x14ac:dyDescent="0.3">
      <c r="A292" s="752"/>
      <c r="C292" s="450" t="s">
        <v>171</v>
      </c>
      <c r="D292" s="451">
        <f t="shared" si="89"/>
        <v>46182</v>
      </c>
      <c r="E292" s="459" t="s">
        <v>584</v>
      </c>
      <c r="F292" s="680" t="s">
        <v>1857</v>
      </c>
      <c r="G292" s="680" t="s">
        <v>1806</v>
      </c>
      <c r="H292" s="680" t="s">
        <v>1804</v>
      </c>
      <c r="I292" s="686">
        <f t="shared" si="93"/>
        <v>720</v>
      </c>
      <c r="J292" s="686">
        <f t="shared" si="94"/>
        <v>714.28571428571433</v>
      </c>
      <c r="K292" s="686">
        <f t="shared" si="94"/>
        <v>714.28571428571433</v>
      </c>
      <c r="L292" s="689">
        <f>I292*INDEX([2]Pedidos!$Q:$Q,MATCH(F292,[2]Pedidos!$E:$E,0))</f>
        <v>0</v>
      </c>
      <c r="M292" s="690">
        <f>J292*INDEX([2]Pedidos!$Q:$Q,MATCH(G292,[2]Pedidos!$E:$E,0))</f>
        <v>392.85714285714289</v>
      </c>
      <c r="N292" s="689">
        <f>K292*INDEX([2]Pedidos!$Q:$Q,MATCH(H292,[2]Pedidos!$E:$E,0))</f>
        <v>392.85714285714289</v>
      </c>
    </row>
    <row r="293" spans="1:16" ht="5.25" customHeight="1" thickBot="1" x14ac:dyDescent="0.3">
      <c r="A293" s="752"/>
      <c r="I293" s="445"/>
      <c r="L293" s="559"/>
      <c r="M293" s="559"/>
      <c r="N293" s="559"/>
    </row>
    <row r="294" spans="1:16" ht="15.75" thickBot="1" x14ac:dyDescent="0.3">
      <c r="A294" s="752"/>
      <c r="C294" s="538"/>
      <c r="D294" s="539"/>
      <c r="E294" s="539"/>
      <c r="F294" s="539"/>
      <c r="G294" s="539"/>
      <c r="H294" s="539"/>
      <c r="I294" s="606">
        <f t="shared" ref="I294:N294" si="95">_xlfn.AGGREGATE(9,6,I295:I310)</f>
        <v>10080</v>
      </c>
      <c r="J294" s="544">
        <f>_xlfn.AGGREGATE(9,6,J295:J310)</f>
        <v>10000.000000000002</v>
      </c>
      <c r="K294" s="544">
        <f t="shared" si="95"/>
        <v>10000.000000000002</v>
      </c>
      <c r="L294" s="560">
        <f t="shared" si="95"/>
        <v>0</v>
      </c>
      <c r="M294" s="561">
        <f t="shared" si="95"/>
        <v>5500.0000000000018</v>
      </c>
      <c r="N294" s="562">
        <f t="shared" si="95"/>
        <v>5500.0000000000018</v>
      </c>
      <c r="O294" s="548">
        <f>SUM(I294:K294)</f>
        <v>30080</v>
      </c>
      <c r="P294" s="549">
        <f>SUM(L294:N294)</f>
        <v>11000.000000000004</v>
      </c>
    </row>
    <row r="295" spans="1:16" x14ac:dyDescent="0.25">
      <c r="A295" s="752"/>
      <c r="C295" s="446" t="s">
        <v>1832</v>
      </c>
      <c r="D295" s="497">
        <f>D292+1</f>
        <v>46183</v>
      </c>
      <c r="E295" s="498" t="s">
        <v>573</v>
      </c>
      <c r="F295" s="681" t="s">
        <v>1857</v>
      </c>
      <c r="G295" s="681" t="s">
        <v>1806</v>
      </c>
      <c r="H295" s="460" t="s">
        <v>1805</v>
      </c>
      <c r="I295" s="683">
        <f t="shared" ref="I295:I310" si="96">14400/20</f>
        <v>720</v>
      </c>
      <c r="J295" s="683">
        <f>10000/14</f>
        <v>714.28571428571433</v>
      </c>
      <c r="K295" s="683">
        <f>10000/14</f>
        <v>714.28571428571433</v>
      </c>
      <c r="L295" s="688">
        <f>I295*INDEX([2]Pedidos!$Q:$Q,MATCH(F295,[2]Pedidos!$E:$E,0))</f>
        <v>0</v>
      </c>
      <c r="M295" s="688">
        <f>J295*INDEX([2]Pedidos!$Q:$Q,MATCH(G295,[2]Pedidos!$E:$E,0))</f>
        <v>392.85714285714289</v>
      </c>
      <c r="N295" s="688">
        <f>K295*INDEX([2]Pedidos!$Q:$Q,MATCH(H295,[2]Pedidos!$E:$E,0))</f>
        <v>392.85714285714289</v>
      </c>
    </row>
    <row r="296" spans="1:16" x14ac:dyDescent="0.25">
      <c r="A296" s="752"/>
      <c r="C296" s="452" t="s">
        <v>1832</v>
      </c>
      <c r="D296" s="499">
        <f t="shared" ref="D296:D310" si="97">D295</f>
        <v>46183</v>
      </c>
      <c r="E296" s="500" t="s">
        <v>162</v>
      </c>
      <c r="F296" s="460" t="s">
        <v>1857</v>
      </c>
      <c r="G296" s="460" t="s">
        <v>1806</v>
      </c>
      <c r="H296" s="460" t="s">
        <v>1805</v>
      </c>
      <c r="I296" s="540">
        <f t="shared" si="96"/>
        <v>720</v>
      </c>
      <c r="J296" s="540">
        <f t="shared" ref="J296:K299" si="98">10000/14</f>
        <v>714.28571428571433</v>
      </c>
      <c r="K296" s="540">
        <f t="shared" si="98"/>
        <v>714.28571428571433</v>
      </c>
      <c r="L296" s="555">
        <f>I296*INDEX([2]Pedidos!$Q:$Q,MATCH(F296,[2]Pedidos!$E:$E,0))</f>
        <v>0</v>
      </c>
      <c r="M296" s="564">
        <f>J296*INDEX([2]Pedidos!$Q:$Q,MATCH(G296,[2]Pedidos!$E:$E,0))</f>
        <v>392.85714285714289</v>
      </c>
      <c r="N296" s="555">
        <f>K296*INDEX([2]Pedidos!$Q:$Q,MATCH(H296,[2]Pedidos!$E:$E,0))</f>
        <v>392.85714285714289</v>
      </c>
    </row>
    <row r="297" spans="1:16" x14ac:dyDescent="0.25">
      <c r="A297" s="752"/>
      <c r="C297" s="452" t="s">
        <v>1832</v>
      </c>
      <c r="D297" s="449">
        <f t="shared" si="97"/>
        <v>46183</v>
      </c>
      <c r="E297" s="454" t="s">
        <v>163</v>
      </c>
      <c r="F297" s="460" t="s">
        <v>1857</v>
      </c>
      <c r="G297" s="460" t="s">
        <v>1806</v>
      </c>
      <c r="H297" s="460" t="s">
        <v>1805</v>
      </c>
      <c r="I297" s="540">
        <f t="shared" si="96"/>
        <v>720</v>
      </c>
      <c r="J297" s="540">
        <f t="shared" si="98"/>
        <v>714.28571428571433</v>
      </c>
      <c r="K297" s="540">
        <f t="shared" si="98"/>
        <v>714.28571428571433</v>
      </c>
      <c r="L297" s="555">
        <f>I297*INDEX([2]Pedidos!$Q:$Q,MATCH(F297,[2]Pedidos!$E:$E,0))</f>
        <v>0</v>
      </c>
      <c r="M297" s="564">
        <f>J297*INDEX([2]Pedidos!$Q:$Q,MATCH(G297,[2]Pedidos!$E:$E,0))</f>
        <v>392.85714285714289</v>
      </c>
      <c r="N297" s="555">
        <f>K297*INDEX([2]Pedidos!$Q:$Q,MATCH(H297,[2]Pedidos!$E:$E,0))</f>
        <v>392.85714285714289</v>
      </c>
    </row>
    <row r="298" spans="1:16" x14ac:dyDescent="0.25">
      <c r="A298" s="752"/>
      <c r="C298" s="452" t="s">
        <v>1832</v>
      </c>
      <c r="D298" s="449">
        <f t="shared" si="97"/>
        <v>46183</v>
      </c>
      <c r="E298" s="454" t="s">
        <v>164</v>
      </c>
      <c r="F298" s="460" t="s">
        <v>1857</v>
      </c>
      <c r="G298" s="460" t="s">
        <v>1806</v>
      </c>
      <c r="H298" s="460" t="s">
        <v>1805</v>
      </c>
      <c r="I298" s="540">
        <f t="shared" si="96"/>
        <v>720</v>
      </c>
      <c r="J298" s="540">
        <f t="shared" si="98"/>
        <v>714.28571428571433</v>
      </c>
      <c r="K298" s="540">
        <f t="shared" si="98"/>
        <v>714.28571428571433</v>
      </c>
      <c r="L298" s="555">
        <f>I298*INDEX([2]Pedidos!$Q:$Q,MATCH(F298,[2]Pedidos!$E:$E,0))</f>
        <v>0</v>
      </c>
      <c r="M298" s="564">
        <f>J298*INDEX([2]Pedidos!$Q:$Q,MATCH(G298,[2]Pedidos!$E:$E,0))</f>
        <v>392.85714285714289</v>
      </c>
      <c r="N298" s="555">
        <f>K298*INDEX([2]Pedidos!$Q:$Q,MATCH(H298,[2]Pedidos!$E:$E,0))</f>
        <v>392.85714285714289</v>
      </c>
    </row>
    <row r="299" spans="1:16" x14ac:dyDescent="0.25">
      <c r="A299" s="752"/>
      <c r="C299" s="452" t="s">
        <v>1832</v>
      </c>
      <c r="D299" s="449">
        <f t="shared" si="97"/>
        <v>46183</v>
      </c>
      <c r="E299" s="454" t="s">
        <v>165</v>
      </c>
      <c r="F299" s="460" t="s">
        <v>1857</v>
      </c>
      <c r="G299" s="460" t="s">
        <v>1806</v>
      </c>
      <c r="H299" s="460" t="s">
        <v>1805</v>
      </c>
      <c r="I299" s="540">
        <f t="shared" si="96"/>
        <v>720</v>
      </c>
      <c r="J299" s="540">
        <f t="shared" si="98"/>
        <v>714.28571428571433</v>
      </c>
      <c r="K299" s="540">
        <f t="shared" si="98"/>
        <v>714.28571428571433</v>
      </c>
      <c r="L299" s="555">
        <f>I299*INDEX([2]Pedidos!$Q:$Q,MATCH(F299,[2]Pedidos!$E:$E,0))</f>
        <v>0</v>
      </c>
      <c r="M299" s="564">
        <f>J299*INDEX([2]Pedidos!$Q:$Q,MATCH(G299,[2]Pedidos!$E:$E,0))</f>
        <v>392.85714285714289</v>
      </c>
      <c r="N299" s="555">
        <f>K299*INDEX([2]Pedidos!$Q:$Q,MATCH(H299,[2]Pedidos!$E:$E,0))</f>
        <v>392.85714285714289</v>
      </c>
    </row>
    <row r="300" spans="1:16" x14ac:dyDescent="0.25">
      <c r="A300" s="752"/>
      <c r="C300" s="452" t="s">
        <v>1832</v>
      </c>
      <c r="D300" s="449">
        <f t="shared" si="97"/>
        <v>46183</v>
      </c>
      <c r="E300" s="454" t="s">
        <v>166</v>
      </c>
      <c r="F300" s="512"/>
      <c r="G300" s="512"/>
      <c r="H300" s="512"/>
      <c r="I300" s="682"/>
      <c r="J300" s="682"/>
      <c r="K300" s="682"/>
      <c r="L300" s="687"/>
      <c r="M300" s="687"/>
      <c r="N300" s="687"/>
    </row>
    <row r="301" spans="1:16" x14ac:dyDescent="0.25">
      <c r="A301" s="752"/>
      <c r="C301" s="452" t="s">
        <v>1832</v>
      </c>
      <c r="D301" s="449">
        <f t="shared" si="97"/>
        <v>46183</v>
      </c>
      <c r="E301" s="454" t="s">
        <v>576</v>
      </c>
      <c r="F301" s="461" t="s">
        <v>1857</v>
      </c>
      <c r="G301" s="460" t="s">
        <v>1806</v>
      </c>
      <c r="H301" s="460" t="s">
        <v>1805</v>
      </c>
      <c r="I301" s="679">
        <f t="shared" si="96"/>
        <v>720</v>
      </c>
      <c r="J301" s="679">
        <f t="shared" ref="J301:K306" si="99">10000/14</f>
        <v>714.28571428571433</v>
      </c>
      <c r="K301" s="679">
        <f t="shared" si="99"/>
        <v>714.28571428571433</v>
      </c>
      <c r="L301" s="555">
        <f>I301*INDEX([2]Pedidos!$Q:$Q,MATCH(F301,[2]Pedidos!$E:$E,0))</f>
        <v>0</v>
      </c>
      <c r="M301" s="564">
        <f>J301*INDEX([2]Pedidos!$Q:$Q,MATCH(G301,[2]Pedidos!$E:$E,0))</f>
        <v>392.85714285714289</v>
      </c>
      <c r="N301" s="555">
        <f>K301*INDEX([2]Pedidos!$Q:$Q,MATCH(H301,[2]Pedidos!$E:$E,0))</f>
        <v>392.85714285714289</v>
      </c>
    </row>
    <row r="302" spans="1:16" x14ac:dyDescent="0.25">
      <c r="A302" s="752"/>
      <c r="C302" s="452" t="s">
        <v>1832</v>
      </c>
      <c r="D302" s="449">
        <f t="shared" si="97"/>
        <v>46183</v>
      </c>
      <c r="E302" s="454" t="s">
        <v>167</v>
      </c>
      <c r="F302" s="460" t="s">
        <v>1857</v>
      </c>
      <c r="G302" s="460" t="s">
        <v>1806</v>
      </c>
      <c r="H302" s="460" t="s">
        <v>1805</v>
      </c>
      <c r="I302" s="540">
        <f t="shared" si="96"/>
        <v>720</v>
      </c>
      <c r="J302" s="540">
        <f t="shared" si="99"/>
        <v>714.28571428571433</v>
      </c>
      <c r="K302" s="540">
        <f t="shared" si="99"/>
        <v>714.28571428571433</v>
      </c>
      <c r="L302" s="555">
        <f>I302*INDEX([2]Pedidos!$Q:$Q,MATCH(F302,[2]Pedidos!$E:$E,0))</f>
        <v>0</v>
      </c>
      <c r="M302" s="564">
        <f>J302*INDEX([2]Pedidos!$Q:$Q,MATCH(G302,[2]Pedidos!$E:$E,0))</f>
        <v>392.85714285714289</v>
      </c>
      <c r="N302" s="555">
        <f>K302*INDEX([2]Pedidos!$Q:$Q,MATCH(H302,[2]Pedidos!$E:$E,0))</f>
        <v>392.85714285714289</v>
      </c>
    </row>
    <row r="303" spans="1:16" x14ac:dyDescent="0.25">
      <c r="A303" s="752"/>
      <c r="C303" s="452" t="s">
        <v>1832</v>
      </c>
      <c r="D303" s="449">
        <f t="shared" si="97"/>
        <v>46183</v>
      </c>
      <c r="E303" s="454" t="s">
        <v>168</v>
      </c>
      <c r="F303" s="460" t="s">
        <v>1857</v>
      </c>
      <c r="G303" s="460" t="s">
        <v>1806</v>
      </c>
      <c r="H303" s="460" t="s">
        <v>1805</v>
      </c>
      <c r="I303" s="540">
        <f t="shared" si="96"/>
        <v>720</v>
      </c>
      <c r="J303" s="540">
        <f t="shared" si="99"/>
        <v>714.28571428571433</v>
      </c>
      <c r="K303" s="540">
        <f t="shared" si="99"/>
        <v>714.28571428571433</v>
      </c>
      <c r="L303" s="555">
        <f>I303*INDEX([2]Pedidos!$Q:$Q,MATCH(F303,[2]Pedidos!$E:$E,0))</f>
        <v>0</v>
      </c>
      <c r="M303" s="564">
        <f>J303*INDEX([2]Pedidos!$Q:$Q,MATCH(G303,[2]Pedidos!$E:$E,0))</f>
        <v>392.85714285714289</v>
      </c>
      <c r="N303" s="555">
        <f>K303*INDEX([2]Pedidos!$Q:$Q,MATCH(H303,[2]Pedidos!$E:$E,0))</f>
        <v>392.85714285714289</v>
      </c>
    </row>
    <row r="304" spans="1:16" x14ac:dyDescent="0.25">
      <c r="A304" s="752"/>
      <c r="C304" s="452" t="s">
        <v>1832</v>
      </c>
      <c r="D304" s="449">
        <f t="shared" si="97"/>
        <v>46183</v>
      </c>
      <c r="E304" s="454" t="s">
        <v>169</v>
      </c>
      <c r="F304" s="460" t="s">
        <v>1857</v>
      </c>
      <c r="G304" s="460" t="s">
        <v>1806</v>
      </c>
      <c r="H304" s="460" t="s">
        <v>1805</v>
      </c>
      <c r="I304" s="540">
        <f t="shared" si="96"/>
        <v>720</v>
      </c>
      <c r="J304" s="540">
        <f t="shared" si="99"/>
        <v>714.28571428571433</v>
      </c>
      <c r="K304" s="540">
        <f t="shared" si="99"/>
        <v>714.28571428571433</v>
      </c>
      <c r="L304" s="555">
        <f>I304*INDEX([2]Pedidos!$Q:$Q,MATCH(F304,[2]Pedidos!$E:$E,0))</f>
        <v>0</v>
      </c>
      <c r="M304" s="564">
        <f>J304*INDEX([2]Pedidos!$Q:$Q,MATCH(G304,[2]Pedidos!$E:$E,0))</f>
        <v>392.85714285714289</v>
      </c>
      <c r="N304" s="555">
        <f>K304*INDEX([2]Pedidos!$Q:$Q,MATCH(H304,[2]Pedidos!$E:$E,0))</f>
        <v>392.85714285714289</v>
      </c>
    </row>
    <row r="305" spans="1:16" x14ac:dyDescent="0.25">
      <c r="A305" s="752"/>
      <c r="C305" s="452" t="s">
        <v>1832</v>
      </c>
      <c r="D305" s="449">
        <f t="shared" si="97"/>
        <v>46183</v>
      </c>
      <c r="E305" s="454" t="s">
        <v>170</v>
      </c>
      <c r="F305" s="460" t="s">
        <v>1857</v>
      </c>
      <c r="G305" s="460" t="s">
        <v>1806</v>
      </c>
      <c r="H305" s="460" t="s">
        <v>1805</v>
      </c>
      <c r="I305" s="540">
        <f t="shared" si="96"/>
        <v>720</v>
      </c>
      <c r="J305" s="540">
        <f t="shared" si="99"/>
        <v>714.28571428571433</v>
      </c>
      <c r="K305" s="540">
        <f t="shared" si="99"/>
        <v>714.28571428571433</v>
      </c>
      <c r="L305" s="555">
        <f>I305*INDEX([2]Pedidos!$Q:$Q,MATCH(F305,[2]Pedidos!$E:$E,0))</f>
        <v>0</v>
      </c>
      <c r="M305" s="564">
        <f>J305*INDEX([2]Pedidos!$Q:$Q,MATCH(G305,[2]Pedidos!$E:$E,0))</f>
        <v>392.85714285714289</v>
      </c>
      <c r="N305" s="555">
        <f>K305*INDEX([2]Pedidos!$Q:$Q,MATCH(H305,[2]Pedidos!$E:$E,0))</f>
        <v>392.85714285714289</v>
      </c>
    </row>
    <row r="306" spans="1:16" x14ac:dyDescent="0.25">
      <c r="A306" s="752"/>
      <c r="C306" s="452" t="s">
        <v>1832</v>
      </c>
      <c r="D306" s="449">
        <f t="shared" si="97"/>
        <v>46183</v>
      </c>
      <c r="E306" s="454" t="s">
        <v>585</v>
      </c>
      <c r="F306" s="460" t="s">
        <v>1857</v>
      </c>
      <c r="G306" s="460" t="s">
        <v>1806</v>
      </c>
      <c r="H306" s="460" t="s">
        <v>1805</v>
      </c>
      <c r="I306" s="684">
        <f t="shared" si="96"/>
        <v>720</v>
      </c>
      <c r="J306" s="684">
        <f t="shared" si="99"/>
        <v>714.28571428571433</v>
      </c>
      <c r="K306" s="684">
        <f t="shared" si="99"/>
        <v>714.28571428571433</v>
      </c>
      <c r="L306" s="555">
        <f>I306*INDEX([2]Pedidos!$Q:$Q,MATCH(F306,[2]Pedidos!$E:$E,0))</f>
        <v>0</v>
      </c>
      <c r="M306" s="564">
        <f>J306*INDEX([2]Pedidos!$Q:$Q,MATCH(G306,[2]Pedidos!$E:$E,0))</f>
        <v>392.85714285714289</v>
      </c>
      <c r="N306" s="555">
        <f>K306*INDEX([2]Pedidos!$Q:$Q,MATCH(H306,[2]Pedidos!$E:$E,0))</f>
        <v>392.85714285714289</v>
      </c>
    </row>
    <row r="307" spans="1:16" x14ac:dyDescent="0.25">
      <c r="A307" s="752"/>
      <c r="C307" s="448" t="s">
        <v>1832</v>
      </c>
      <c r="D307" s="449">
        <f t="shared" si="97"/>
        <v>46183</v>
      </c>
      <c r="E307" s="455" t="s">
        <v>574</v>
      </c>
      <c r="F307" s="512"/>
      <c r="G307" s="512"/>
      <c r="H307" s="512"/>
      <c r="I307" s="685"/>
      <c r="J307" s="685"/>
      <c r="K307" s="685"/>
      <c r="L307" s="557"/>
      <c r="M307" s="557"/>
      <c r="N307" s="557"/>
    </row>
    <row r="308" spans="1:16" x14ac:dyDescent="0.25">
      <c r="A308" s="752"/>
      <c r="C308" s="448" t="s">
        <v>1832</v>
      </c>
      <c r="D308" s="449">
        <f t="shared" si="97"/>
        <v>46183</v>
      </c>
      <c r="E308" s="455" t="s">
        <v>575</v>
      </c>
      <c r="F308" s="504" t="s">
        <v>1858</v>
      </c>
      <c r="G308" s="504" t="s">
        <v>1806</v>
      </c>
      <c r="H308" s="504" t="s">
        <v>1805</v>
      </c>
      <c r="I308" s="684">
        <f t="shared" si="96"/>
        <v>720</v>
      </c>
      <c r="J308" s="684">
        <f t="shared" ref="J308:K310" si="100">10000/14</f>
        <v>714.28571428571433</v>
      </c>
      <c r="K308" s="684">
        <f t="shared" si="100"/>
        <v>714.28571428571433</v>
      </c>
      <c r="L308" s="555">
        <f>I308*INDEX([2]Pedidos!$Q:$Q,MATCH(F308,[2]Pedidos!$E:$E,0))</f>
        <v>0</v>
      </c>
      <c r="M308" s="564">
        <f>J308*INDEX([2]Pedidos!$Q:$Q,MATCH(G308,[2]Pedidos!$E:$E,0))</f>
        <v>392.85714285714289</v>
      </c>
      <c r="N308" s="555">
        <f>K308*INDEX([2]Pedidos!$Q:$Q,MATCH(H308,[2]Pedidos!$E:$E,0))</f>
        <v>392.85714285714289</v>
      </c>
    </row>
    <row r="309" spans="1:16" x14ac:dyDescent="0.25">
      <c r="A309" s="752"/>
      <c r="C309" s="448" t="s">
        <v>1832</v>
      </c>
      <c r="D309" s="449">
        <f t="shared" si="97"/>
        <v>46183</v>
      </c>
      <c r="E309" s="503" t="s">
        <v>583</v>
      </c>
      <c r="F309" s="504" t="s">
        <v>1858</v>
      </c>
      <c r="G309" s="504" t="s">
        <v>1806</v>
      </c>
      <c r="H309" s="504" t="s">
        <v>1805</v>
      </c>
      <c r="I309" s="684">
        <f t="shared" si="96"/>
        <v>720</v>
      </c>
      <c r="J309" s="684">
        <f t="shared" si="100"/>
        <v>714.28571428571433</v>
      </c>
      <c r="K309" s="684">
        <f t="shared" si="100"/>
        <v>714.28571428571433</v>
      </c>
      <c r="L309" s="555">
        <f>I309*INDEX([2]Pedidos!$Q:$Q,MATCH(F309,[2]Pedidos!$E:$E,0))</f>
        <v>0</v>
      </c>
      <c r="M309" s="564">
        <f>J309*INDEX([2]Pedidos!$Q:$Q,MATCH(G309,[2]Pedidos!$E:$E,0))</f>
        <v>392.85714285714289</v>
      </c>
      <c r="N309" s="555">
        <f>K309*INDEX([2]Pedidos!$Q:$Q,MATCH(H309,[2]Pedidos!$E:$E,0))</f>
        <v>392.85714285714289</v>
      </c>
    </row>
    <row r="310" spans="1:16" ht="15.75" thickBot="1" x14ac:dyDescent="0.3">
      <c r="A310" s="752"/>
      <c r="C310" s="450" t="s">
        <v>1832</v>
      </c>
      <c r="D310" s="451">
        <f t="shared" si="97"/>
        <v>46183</v>
      </c>
      <c r="E310" s="459" t="s">
        <v>584</v>
      </c>
      <c r="F310" s="680" t="s">
        <v>1858</v>
      </c>
      <c r="G310" s="680" t="s">
        <v>1806</v>
      </c>
      <c r="H310" s="680" t="s">
        <v>1805</v>
      </c>
      <c r="I310" s="686">
        <f t="shared" si="96"/>
        <v>720</v>
      </c>
      <c r="J310" s="686">
        <f t="shared" si="100"/>
        <v>714.28571428571433</v>
      </c>
      <c r="K310" s="686">
        <f t="shared" si="100"/>
        <v>714.28571428571433</v>
      </c>
      <c r="L310" s="689">
        <f>I310*INDEX([2]Pedidos!$Q:$Q,MATCH(F310,[2]Pedidos!$E:$E,0))</f>
        <v>0</v>
      </c>
      <c r="M310" s="690">
        <f>J310*INDEX([2]Pedidos!$Q:$Q,MATCH(G310,[2]Pedidos!$E:$E,0))</f>
        <v>392.85714285714289</v>
      </c>
      <c r="N310" s="689">
        <f>K310*INDEX([2]Pedidos!$Q:$Q,MATCH(H310,[2]Pedidos!$E:$E,0))</f>
        <v>392.85714285714289</v>
      </c>
    </row>
    <row r="311" spans="1:16" ht="5.25" customHeight="1" thickBot="1" x14ac:dyDescent="0.3">
      <c r="A311" s="752"/>
      <c r="I311" s="445"/>
      <c r="J311" s="445"/>
      <c r="L311" s="559"/>
      <c r="M311" s="559"/>
      <c r="N311" s="559"/>
    </row>
    <row r="312" spans="1:16" ht="15.75" thickBot="1" x14ac:dyDescent="0.3">
      <c r="A312" s="752"/>
      <c r="C312" s="538"/>
      <c r="D312" s="539"/>
      <c r="E312" s="539"/>
      <c r="F312" s="539"/>
      <c r="G312" s="539"/>
      <c r="H312" s="539"/>
      <c r="I312" s="606">
        <f t="shared" ref="I312:N312" si="101">_xlfn.AGGREGATE(9,6,I313:I328)</f>
        <v>10080</v>
      </c>
      <c r="J312" s="607">
        <f t="shared" si="101"/>
        <v>10000.000000000002</v>
      </c>
      <c r="K312" s="544">
        <f t="shared" si="101"/>
        <v>10000.000000000002</v>
      </c>
      <c r="L312" s="560">
        <f t="shared" si="101"/>
        <v>0</v>
      </c>
      <c r="M312" s="561">
        <f t="shared" si="101"/>
        <v>0</v>
      </c>
      <c r="N312" s="562">
        <f t="shared" si="101"/>
        <v>5500.0000000000018</v>
      </c>
      <c r="O312" s="548">
        <f>SUM(I312:K312)</f>
        <v>30080</v>
      </c>
      <c r="P312" s="549">
        <f>SUM(L312:N312)</f>
        <v>5500.0000000000018</v>
      </c>
    </row>
    <row r="313" spans="1:16" x14ac:dyDescent="0.25">
      <c r="A313" s="752"/>
      <c r="C313" s="446" t="s">
        <v>1825</v>
      </c>
      <c r="D313" s="497">
        <f>D310+1</f>
        <v>46184</v>
      </c>
      <c r="E313" s="498" t="s">
        <v>573</v>
      </c>
      <c r="F313" s="681" t="s">
        <v>1858</v>
      </c>
      <c r="G313" s="681" t="s">
        <v>1859</v>
      </c>
      <c r="H313" s="460" t="s">
        <v>1805</v>
      </c>
      <c r="I313" s="683">
        <f t="shared" ref="I313:I328" si="102">14400/20</f>
        <v>720</v>
      </c>
      <c r="J313" s="683">
        <f>10000/14</f>
        <v>714.28571428571433</v>
      </c>
      <c r="K313" s="683">
        <f>10000/14</f>
        <v>714.28571428571433</v>
      </c>
      <c r="L313" s="688">
        <f>I313*INDEX([2]Pedidos!$Q:$Q,MATCH(F313,[2]Pedidos!$E:$E,0))</f>
        <v>0</v>
      </c>
      <c r="M313" s="688" t="e">
        <f>J313*INDEX([2]Pedidos!$Q:$Q,MATCH(G313,[2]Pedidos!$E:$E,0))</f>
        <v>#N/A</v>
      </c>
      <c r="N313" s="688">
        <f>K313*INDEX([2]Pedidos!$Q:$Q,MATCH(H313,[2]Pedidos!$E:$E,0))</f>
        <v>392.85714285714289</v>
      </c>
    </row>
    <row r="314" spans="1:16" x14ac:dyDescent="0.25">
      <c r="A314" s="752"/>
      <c r="C314" s="452" t="s">
        <v>1825</v>
      </c>
      <c r="D314" s="499">
        <f t="shared" ref="D314:D328" si="103">D313</f>
        <v>46184</v>
      </c>
      <c r="E314" s="500" t="s">
        <v>162</v>
      </c>
      <c r="F314" s="460" t="s">
        <v>1858</v>
      </c>
      <c r="G314" s="460" t="s">
        <v>1859</v>
      </c>
      <c r="H314" s="460" t="s">
        <v>1805</v>
      </c>
      <c r="I314" s="540">
        <f t="shared" si="102"/>
        <v>720</v>
      </c>
      <c r="J314" s="540">
        <f t="shared" ref="J314:J317" si="104">10000/14</f>
        <v>714.28571428571433</v>
      </c>
      <c r="K314" s="540">
        <f t="shared" ref="K314:K317" si="105">10000/14</f>
        <v>714.28571428571433</v>
      </c>
      <c r="L314" s="555">
        <f>I314*INDEX([2]Pedidos!$Q:$Q,MATCH(F314,[2]Pedidos!$E:$E,0))</f>
        <v>0</v>
      </c>
      <c r="M314" s="564" t="e">
        <f>J314*INDEX([2]Pedidos!$Q:$Q,MATCH(G314,[2]Pedidos!$E:$E,0))</f>
        <v>#N/A</v>
      </c>
      <c r="N314" s="555">
        <f>K314*INDEX([2]Pedidos!$Q:$Q,MATCH(H314,[2]Pedidos!$E:$E,0))</f>
        <v>392.85714285714289</v>
      </c>
    </row>
    <row r="315" spans="1:16" x14ac:dyDescent="0.25">
      <c r="A315" s="752"/>
      <c r="C315" s="452" t="s">
        <v>1825</v>
      </c>
      <c r="D315" s="449">
        <f t="shared" si="103"/>
        <v>46184</v>
      </c>
      <c r="E315" s="454" t="s">
        <v>163</v>
      </c>
      <c r="F315" s="460" t="s">
        <v>1858</v>
      </c>
      <c r="G315" s="460" t="s">
        <v>1859</v>
      </c>
      <c r="H315" s="460" t="s">
        <v>1805</v>
      </c>
      <c r="I315" s="540">
        <f t="shared" si="102"/>
        <v>720</v>
      </c>
      <c r="J315" s="540">
        <f t="shared" si="104"/>
        <v>714.28571428571433</v>
      </c>
      <c r="K315" s="540">
        <f t="shared" si="105"/>
        <v>714.28571428571433</v>
      </c>
      <c r="L315" s="555">
        <f>I315*INDEX([2]Pedidos!$Q:$Q,MATCH(F315,[2]Pedidos!$E:$E,0))</f>
        <v>0</v>
      </c>
      <c r="M315" s="564" t="e">
        <f>J315*INDEX([2]Pedidos!$Q:$Q,MATCH(G315,[2]Pedidos!$E:$E,0))</f>
        <v>#N/A</v>
      </c>
      <c r="N315" s="555">
        <f>K315*INDEX([2]Pedidos!$Q:$Q,MATCH(H315,[2]Pedidos!$E:$E,0))</f>
        <v>392.85714285714289</v>
      </c>
    </row>
    <row r="316" spans="1:16" x14ac:dyDescent="0.25">
      <c r="A316" s="752"/>
      <c r="C316" s="452" t="s">
        <v>1825</v>
      </c>
      <c r="D316" s="449">
        <f t="shared" si="103"/>
        <v>46184</v>
      </c>
      <c r="E316" s="454" t="s">
        <v>164</v>
      </c>
      <c r="F316" s="460" t="s">
        <v>1858</v>
      </c>
      <c r="G316" s="460" t="s">
        <v>1859</v>
      </c>
      <c r="H316" s="460" t="s">
        <v>1805</v>
      </c>
      <c r="I316" s="540">
        <f t="shared" si="102"/>
        <v>720</v>
      </c>
      <c r="J316" s="540">
        <f t="shared" si="104"/>
        <v>714.28571428571433</v>
      </c>
      <c r="K316" s="540">
        <f t="shared" si="105"/>
        <v>714.28571428571433</v>
      </c>
      <c r="L316" s="555">
        <f>I316*INDEX([2]Pedidos!$Q:$Q,MATCH(F316,[2]Pedidos!$E:$E,0))</f>
        <v>0</v>
      </c>
      <c r="M316" s="564" t="e">
        <f>J316*INDEX([2]Pedidos!$Q:$Q,MATCH(G316,[2]Pedidos!$E:$E,0))</f>
        <v>#N/A</v>
      </c>
      <c r="N316" s="555">
        <f>K316*INDEX([2]Pedidos!$Q:$Q,MATCH(H316,[2]Pedidos!$E:$E,0))</f>
        <v>392.85714285714289</v>
      </c>
    </row>
    <row r="317" spans="1:16" x14ac:dyDescent="0.25">
      <c r="A317" s="752"/>
      <c r="C317" s="452" t="s">
        <v>1825</v>
      </c>
      <c r="D317" s="449">
        <f t="shared" si="103"/>
        <v>46184</v>
      </c>
      <c r="E317" s="454" t="s">
        <v>165</v>
      </c>
      <c r="F317" s="460" t="s">
        <v>1858</v>
      </c>
      <c r="G317" s="460" t="s">
        <v>1859</v>
      </c>
      <c r="H317" s="460" t="s">
        <v>1805</v>
      </c>
      <c r="I317" s="540">
        <f t="shared" si="102"/>
        <v>720</v>
      </c>
      <c r="J317" s="540">
        <f t="shared" si="104"/>
        <v>714.28571428571433</v>
      </c>
      <c r="K317" s="540">
        <f t="shared" si="105"/>
        <v>714.28571428571433</v>
      </c>
      <c r="L317" s="555">
        <f>I317*INDEX([2]Pedidos!$Q:$Q,MATCH(F317,[2]Pedidos!$E:$E,0))</f>
        <v>0</v>
      </c>
      <c r="M317" s="564" t="e">
        <f>J317*INDEX([2]Pedidos!$Q:$Q,MATCH(G317,[2]Pedidos!$E:$E,0))</f>
        <v>#N/A</v>
      </c>
      <c r="N317" s="555">
        <f>K317*INDEX([2]Pedidos!$Q:$Q,MATCH(H317,[2]Pedidos!$E:$E,0))</f>
        <v>392.85714285714289</v>
      </c>
    </row>
    <row r="318" spans="1:16" x14ac:dyDescent="0.25">
      <c r="A318" s="752"/>
      <c r="C318" s="452" t="s">
        <v>1825</v>
      </c>
      <c r="D318" s="449">
        <f t="shared" si="103"/>
        <v>46184</v>
      </c>
      <c r="E318" s="454" t="s">
        <v>166</v>
      </c>
      <c r="F318" s="512"/>
      <c r="G318" s="512"/>
      <c r="H318" s="512"/>
      <c r="I318" s="682"/>
      <c r="J318" s="682"/>
      <c r="K318" s="682"/>
      <c r="L318" s="687"/>
      <c r="M318" s="687"/>
      <c r="N318" s="687"/>
    </row>
    <row r="319" spans="1:16" x14ac:dyDescent="0.25">
      <c r="A319" s="752"/>
      <c r="C319" s="452" t="s">
        <v>1825</v>
      </c>
      <c r="D319" s="449">
        <f t="shared" si="103"/>
        <v>46184</v>
      </c>
      <c r="E319" s="454" t="s">
        <v>576</v>
      </c>
      <c r="F319" s="461" t="s">
        <v>1858</v>
      </c>
      <c r="G319" s="460" t="s">
        <v>1859</v>
      </c>
      <c r="H319" s="460" t="s">
        <v>1805</v>
      </c>
      <c r="I319" s="679">
        <f t="shared" si="102"/>
        <v>720</v>
      </c>
      <c r="J319" s="679">
        <f t="shared" ref="J319:J328" si="106">10000/14</f>
        <v>714.28571428571433</v>
      </c>
      <c r="K319" s="679">
        <f t="shared" ref="K319:K324" si="107">10000/14</f>
        <v>714.28571428571433</v>
      </c>
      <c r="L319" s="555">
        <f>I319*INDEX([2]Pedidos!$Q:$Q,MATCH(F319,[2]Pedidos!$E:$E,0))</f>
        <v>0</v>
      </c>
      <c r="M319" s="564" t="e">
        <f>J319*INDEX([2]Pedidos!$Q:$Q,MATCH(G319,[2]Pedidos!$E:$E,0))</f>
        <v>#N/A</v>
      </c>
      <c r="N319" s="555">
        <f>K319*INDEX([2]Pedidos!$Q:$Q,MATCH(H319,[2]Pedidos!$E:$E,0))</f>
        <v>392.85714285714289</v>
      </c>
    </row>
    <row r="320" spans="1:16" x14ac:dyDescent="0.25">
      <c r="A320" s="752"/>
      <c r="C320" s="452" t="s">
        <v>1825</v>
      </c>
      <c r="D320" s="449">
        <f t="shared" si="103"/>
        <v>46184</v>
      </c>
      <c r="E320" s="454" t="s">
        <v>167</v>
      </c>
      <c r="F320" s="460" t="s">
        <v>1858</v>
      </c>
      <c r="G320" s="460" t="s">
        <v>1859</v>
      </c>
      <c r="H320" s="460" t="s">
        <v>1805</v>
      </c>
      <c r="I320" s="540">
        <f t="shared" si="102"/>
        <v>720</v>
      </c>
      <c r="J320" s="540">
        <f t="shared" si="106"/>
        <v>714.28571428571433</v>
      </c>
      <c r="K320" s="540">
        <f t="shared" si="107"/>
        <v>714.28571428571433</v>
      </c>
      <c r="L320" s="555">
        <f>I320*INDEX([2]Pedidos!$Q:$Q,MATCH(F320,[2]Pedidos!$E:$E,0))</f>
        <v>0</v>
      </c>
      <c r="M320" s="564" t="e">
        <f>J320*INDEX([2]Pedidos!$Q:$Q,MATCH(G320,[2]Pedidos!$E:$E,0))</f>
        <v>#N/A</v>
      </c>
      <c r="N320" s="555">
        <f>K320*INDEX([2]Pedidos!$Q:$Q,MATCH(H320,[2]Pedidos!$E:$E,0))</f>
        <v>392.85714285714289</v>
      </c>
    </row>
    <row r="321" spans="1:16" x14ac:dyDescent="0.25">
      <c r="A321" s="752"/>
      <c r="C321" s="452" t="s">
        <v>1825</v>
      </c>
      <c r="D321" s="449">
        <f t="shared" si="103"/>
        <v>46184</v>
      </c>
      <c r="E321" s="454" t="s">
        <v>168</v>
      </c>
      <c r="F321" s="460" t="s">
        <v>1858</v>
      </c>
      <c r="G321" s="460" t="s">
        <v>1859</v>
      </c>
      <c r="H321" s="460" t="s">
        <v>1805</v>
      </c>
      <c r="I321" s="540">
        <f t="shared" si="102"/>
        <v>720</v>
      </c>
      <c r="J321" s="540">
        <f t="shared" si="106"/>
        <v>714.28571428571433</v>
      </c>
      <c r="K321" s="540">
        <f t="shared" si="107"/>
        <v>714.28571428571433</v>
      </c>
      <c r="L321" s="555">
        <f>I321*INDEX([2]Pedidos!$Q:$Q,MATCH(F321,[2]Pedidos!$E:$E,0))</f>
        <v>0</v>
      </c>
      <c r="M321" s="564" t="e">
        <f>J321*INDEX([2]Pedidos!$Q:$Q,MATCH(G321,[2]Pedidos!$E:$E,0))</f>
        <v>#N/A</v>
      </c>
      <c r="N321" s="555">
        <f>K321*INDEX([2]Pedidos!$Q:$Q,MATCH(H321,[2]Pedidos!$E:$E,0))</f>
        <v>392.85714285714289</v>
      </c>
    </row>
    <row r="322" spans="1:16" x14ac:dyDescent="0.25">
      <c r="A322" s="752"/>
      <c r="C322" s="452" t="s">
        <v>1825</v>
      </c>
      <c r="D322" s="449">
        <f t="shared" si="103"/>
        <v>46184</v>
      </c>
      <c r="E322" s="454" t="s">
        <v>169</v>
      </c>
      <c r="F322" s="460" t="s">
        <v>1858</v>
      </c>
      <c r="G322" s="460" t="s">
        <v>1859</v>
      </c>
      <c r="H322" s="460" t="s">
        <v>1805</v>
      </c>
      <c r="I322" s="540">
        <f t="shared" si="102"/>
        <v>720</v>
      </c>
      <c r="J322" s="540">
        <f t="shared" si="106"/>
        <v>714.28571428571433</v>
      </c>
      <c r="K322" s="540">
        <f t="shared" si="107"/>
        <v>714.28571428571433</v>
      </c>
      <c r="L322" s="555">
        <f>I322*INDEX([2]Pedidos!$Q:$Q,MATCH(F322,[2]Pedidos!$E:$E,0))</f>
        <v>0</v>
      </c>
      <c r="M322" s="564" t="e">
        <f>J322*INDEX([2]Pedidos!$Q:$Q,MATCH(G322,[2]Pedidos!$E:$E,0))</f>
        <v>#N/A</v>
      </c>
      <c r="N322" s="555">
        <f>K322*INDEX([2]Pedidos!$Q:$Q,MATCH(H322,[2]Pedidos!$E:$E,0))</f>
        <v>392.85714285714289</v>
      </c>
    </row>
    <row r="323" spans="1:16" x14ac:dyDescent="0.25">
      <c r="A323" s="752"/>
      <c r="C323" s="452" t="s">
        <v>1825</v>
      </c>
      <c r="D323" s="449">
        <f t="shared" si="103"/>
        <v>46184</v>
      </c>
      <c r="E323" s="454" t="s">
        <v>170</v>
      </c>
      <c r="F323" s="460" t="s">
        <v>1858</v>
      </c>
      <c r="G323" s="460" t="s">
        <v>1859</v>
      </c>
      <c r="H323" s="460" t="s">
        <v>1805</v>
      </c>
      <c r="I323" s="540">
        <f t="shared" si="102"/>
        <v>720</v>
      </c>
      <c r="J323" s="540">
        <f t="shared" si="106"/>
        <v>714.28571428571433</v>
      </c>
      <c r="K323" s="540">
        <f t="shared" si="107"/>
        <v>714.28571428571433</v>
      </c>
      <c r="L323" s="555">
        <f>I323*INDEX([2]Pedidos!$Q:$Q,MATCH(F323,[2]Pedidos!$E:$E,0))</f>
        <v>0</v>
      </c>
      <c r="M323" s="564" t="e">
        <f>J323*INDEX([2]Pedidos!$Q:$Q,MATCH(G323,[2]Pedidos!$E:$E,0))</f>
        <v>#N/A</v>
      </c>
      <c r="N323" s="555">
        <f>K323*INDEX([2]Pedidos!$Q:$Q,MATCH(H323,[2]Pedidos!$E:$E,0))</f>
        <v>392.85714285714289</v>
      </c>
    </row>
    <row r="324" spans="1:16" x14ac:dyDescent="0.25">
      <c r="A324" s="752"/>
      <c r="C324" s="452" t="s">
        <v>1825</v>
      </c>
      <c r="D324" s="449">
        <f t="shared" si="103"/>
        <v>46184</v>
      </c>
      <c r="E324" s="454" t="s">
        <v>585</v>
      </c>
      <c r="F324" s="460" t="s">
        <v>1858</v>
      </c>
      <c r="G324" s="460" t="s">
        <v>1859</v>
      </c>
      <c r="H324" s="460" t="s">
        <v>1805</v>
      </c>
      <c r="I324" s="684">
        <f t="shared" si="102"/>
        <v>720</v>
      </c>
      <c r="J324" s="684">
        <f t="shared" si="106"/>
        <v>714.28571428571433</v>
      </c>
      <c r="K324" s="684">
        <f t="shared" si="107"/>
        <v>714.28571428571433</v>
      </c>
      <c r="L324" s="555">
        <f>I324*INDEX([2]Pedidos!$Q:$Q,MATCH(F324,[2]Pedidos!$E:$E,0))</f>
        <v>0</v>
      </c>
      <c r="M324" s="564" t="e">
        <f>J324*INDEX([2]Pedidos!$Q:$Q,MATCH(G324,[2]Pedidos!$E:$E,0))</f>
        <v>#N/A</v>
      </c>
      <c r="N324" s="555">
        <f>K324*INDEX([2]Pedidos!$Q:$Q,MATCH(H324,[2]Pedidos!$E:$E,0))</f>
        <v>392.85714285714289</v>
      </c>
    </row>
    <row r="325" spans="1:16" x14ac:dyDescent="0.25">
      <c r="A325" s="752"/>
      <c r="C325" s="448" t="s">
        <v>1825</v>
      </c>
      <c r="D325" s="449">
        <f t="shared" si="103"/>
        <v>46184</v>
      </c>
      <c r="E325" s="455" t="s">
        <v>574</v>
      </c>
      <c r="F325" s="512"/>
      <c r="G325" s="512"/>
      <c r="H325" s="512"/>
      <c r="I325" s="685"/>
      <c r="J325" s="685"/>
      <c r="K325" s="685"/>
      <c r="L325" s="557"/>
      <c r="M325" s="557"/>
      <c r="N325" s="557"/>
    </row>
    <row r="326" spans="1:16" x14ac:dyDescent="0.25">
      <c r="A326" s="752"/>
      <c r="C326" s="448" t="s">
        <v>1825</v>
      </c>
      <c r="D326" s="449">
        <f t="shared" si="103"/>
        <v>46184</v>
      </c>
      <c r="E326" s="455" t="s">
        <v>575</v>
      </c>
      <c r="F326" s="504" t="s">
        <v>1858</v>
      </c>
      <c r="G326" s="504" t="s">
        <v>1859</v>
      </c>
      <c r="H326" s="504" t="s">
        <v>1805</v>
      </c>
      <c r="I326" s="684">
        <f t="shared" si="102"/>
        <v>720</v>
      </c>
      <c r="J326" s="684">
        <f t="shared" si="106"/>
        <v>714.28571428571433</v>
      </c>
      <c r="K326" s="684">
        <f t="shared" ref="K326:K328" si="108">10000/14</f>
        <v>714.28571428571433</v>
      </c>
      <c r="L326" s="555">
        <f>I326*INDEX([2]Pedidos!$Q:$Q,MATCH(F326,[2]Pedidos!$E:$E,0))</f>
        <v>0</v>
      </c>
      <c r="M326" s="564" t="e">
        <f>J326*INDEX([2]Pedidos!$Q:$Q,MATCH(G326,[2]Pedidos!$E:$E,0))</f>
        <v>#N/A</v>
      </c>
      <c r="N326" s="555">
        <f>K326*INDEX([2]Pedidos!$Q:$Q,MATCH(H326,[2]Pedidos!$E:$E,0))</f>
        <v>392.85714285714289</v>
      </c>
    </row>
    <row r="327" spans="1:16" x14ac:dyDescent="0.25">
      <c r="A327" s="752"/>
      <c r="C327" s="448" t="s">
        <v>1825</v>
      </c>
      <c r="D327" s="449">
        <f t="shared" si="103"/>
        <v>46184</v>
      </c>
      <c r="E327" s="503" t="s">
        <v>583</v>
      </c>
      <c r="F327" s="504" t="s">
        <v>1858</v>
      </c>
      <c r="G327" s="504" t="s">
        <v>1859</v>
      </c>
      <c r="H327" s="504" t="s">
        <v>1805</v>
      </c>
      <c r="I327" s="684">
        <f t="shared" si="102"/>
        <v>720</v>
      </c>
      <c r="J327" s="684">
        <f t="shared" si="106"/>
        <v>714.28571428571433</v>
      </c>
      <c r="K327" s="684">
        <f t="shared" si="108"/>
        <v>714.28571428571433</v>
      </c>
      <c r="L327" s="555">
        <f>I327*INDEX([2]Pedidos!$Q:$Q,MATCH(F327,[2]Pedidos!$E:$E,0))</f>
        <v>0</v>
      </c>
      <c r="M327" s="564" t="e">
        <f>J327*INDEX([2]Pedidos!$Q:$Q,MATCH(G327,[2]Pedidos!$E:$E,0))</f>
        <v>#N/A</v>
      </c>
      <c r="N327" s="555">
        <f>K327*INDEX([2]Pedidos!$Q:$Q,MATCH(H327,[2]Pedidos!$E:$E,0))</f>
        <v>392.85714285714289</v>
      </c>
    </row>
    <row r="328" spans="1:16" ht="15.75" thickBot="1" x14ac:dyDescent="0.3">
      <c r="A328" s="752"/>
      <c r="C328" s="450" t="s">
        <v>1825</v>
      </c>
      <c r="D328" s="451">
        <f t="shared" si="103"/>
        <v>46184</v>
      </c>
      <c r="E328" s="459" t="s">
        <v>584</v>
      </c>
      <c r="F328" s="680" t="s">
        <v>1858</v>
      </c>
      <c r="G328" s="680" t="s">
        <v>1859</v>
      </c>
      <c r="H328" s="680" t="s">
        <v>1805</v>
      </c>
      <c r="I328" s="686">
        <f t="shared" si="102"/>
        <v>720</v>
      </c>
      <c r="J328" s="686">
        <f t="shared" si="106"/>
        <v>714.28571428571433</v>
      </c>
      <c r="K328" s="686">
        <f t="shared" si="108"/>
        <v>714.28571428571433</v>
      </c>
      <c r="L328" s="689">
        <f>I328*INDEX([2]Pedidos!$Q:$Q,MATCH(F328,[2]Pedidos!$E:$E,0))</f>
        <v>0</v>
      </c>
      <c r="M328" s="690" t="e">
        <f>J328*INDEX([2]Pedidos!$Q:$Q,MATCH(G328,[2]Pedidos!$E:$E,0))</f>
        <v>#N/A</v>
      </c>
      <c r="N328" s="689">
        <f>K328*INDEX([2]Pedidos!$Q:$Q,MATCH(H328,[2]Pedidos!$E:$E,0))</f>
        <v>392.85714285714289</v>
      </c>
    </row>
    <row r="329" spans="1:16" ht="4.5" customHeight="1" thickBot="1" x14ac:dyDescent="0.3">
      <c r="A329" s="752"/>
      <c r="I329" s="445"/>
      <c r="J329" s="445"/>
      <c r="L329" s="559"/>
      <c r="M329" s="559"/>
      <c r="N329" s="559"/>
    </row>
    <row r="330" spans="1:16" ht="15.75" thickBot="1" x14ac:dyDescent="0.3">
      <c r="A330" s="752"/>
      <c r="C330" s="546">
        <f>SUM(I258:K258,I276:K276,I294:K294,I312:K312,I330:K330)</f>
        <v>151120</v>
      </c>
      <c r="D330" s="547">
        <f>SUM(P330,P312,P294,P276,P258)</f>
        <v>41500.000000000015</v>
      </c>
      <c r="E330" s="539"/>
      <c r="F330" s="539"/>
      <c r="G330" s="539"/>
      <c r="H330" s="539"/>
      <c r="I330" s="606">
        <f t="shared" ref="I330:N330" si="109">_xlfn.AGGREGATE(9,6,I331:I346)</f>
        <v>10080</v>
      </c>
      <c r="J330" s="607">
        <f t="shared" si="109"/>
        <v>10000.000000000002</v>
      </c>
      <c r="K330" s="544">
        <f t="shared" si="109"/>
        <v>10000.000000000002</v>
      </c>
      <c r="L330" s="560">
        <f t="shared" si="109"/>
        <v>0</v>
      </c>
      <c r="M330" s="561">
        <f t="shared" si="109"/>
        <v>0</v>
      </c>
      <c r="N330" s="562">
        <f t="shared" si="109"/>
        <v>0</v>
      </c>
      <c r="O330" s="548">
        <f>SUM(I330:K330)</f>
        <v>30080</v>
      </c>
      <c r="P330" s="549">
        <f>SUM(L330:N330)</f>
        <v>0</v>
      </c>
    </row>
    <row r="331" spans="1:16" x14ac:dyDescent="0.25">
      <c r="A331" s="752"/>
      <c r="C331" s="446" t="s">
        <v>1826</v>
      </c>
      <c r="D331" s="497">
        <f>D328+1</f>
        <v>46185</v>
      </c>
      <c r="E331" s="498" t="s">
        <v>573</v>
      </c>
      <c r="F331" s="681" t="s">
        <v>1858</v>
      </c>
      <c r="G331" s="681" t="s">
        <v>1860</v>
      </c>
      <c r="H331" s="460" t="s">
        <v>1861</v>
      </c>
      <c r="I331" s="683">
        <f>14400/20</f>
        <v>720</v>
      </c>
      <c r="J331" s="683">
        <f>10000/14</f>
        <v>714.28571428571433</v>
      </c>
      <c r="K331" s="683">
        <f>10000/14</f>
        <v>714.28571428571433</v>
      </c>
      <c r="L331" s="688">
        <f>I331*INDEX([2]Pedidos!$Q:$Q,MATCH(F331,[2]Pedidos!$E:$E,0))</f>
        <v>0</v>
      </c>
      <c r="M331" s="688" t="e">
        <f>J331*INDEX([2]Pedidos!$Q:$Q,MATCH(G331,[2]Pedidos!$E:$E,0))</f>
        <v>#N/A</v>
      </c>
      <c r="N331" s="688" t="e">
        <f>K331*INDEX([2]Pedidos!$Q:$Q,MATCH(H331,[2]Pedidos!$E:$E,0))</f>
        <v>#N/A</v>
      </c>
    </row>
    <row r="332" spans="1:16" x14ac:dyDescent="0.25">
      <c r="A332" s="752"/>
      <c r="C332" s="452" t="s">
        <v>1826</v>
      </c>
      <c r="D332" s="499">
        <f t="shared" ref="D332:D346" si="110">D331</f>
        <v>46185</v>
      </c>
      <c r="E332" s="500" t="s">
        <v>162</v>
      </c>
      <c r="F332" s="460" t="s">
        <v>1858</v>
      </c>
      <c r="G332" s="460" t="s">
        <v>1860</v>
      </c>
      <c r="H332" s="460" t="s">
        <v>1861</v>
      </c>
      <c r="I332" s="540">
        <f>14400/20</f>
        <v>720</v>
      </c>
      <c r="J332" s="540">
        <f t="shared" ref="J332:K335" si="111">10000/14</f>
        <v>714.28571428571433</v>
      </c>
      <c r="K332" s="540">
        <f t="shared" si="111"/>
        <v>714.28571428571433</v>
      </c>
      <c r="L332" s="555">
        <f>I332*INDEX([2]Pedidos!$Q:$Q,MATCH(F332,[2]Pedidos!$E:$E,0))</f>
        <v>0</v>
      </c>
      <c r="M332" s="564" t="e">
        <f>J332*INDEX([2]Pedidos!$Q:$Q,MATCH(G332,[2]Pedidos!$E:$E,0))</f>
        <v>#N/A</v>
      </c>
      <c r="N332" s="555" t="e">
        <f>K332*INDEX([2]Pedidos!$Q:$Q,MATCH(H332,[2]Pedidos!$E:$E,0))</f>
        <v>#N/A</v>
      </c>
    </row>
    <row r="333" spans="1:16" x14ac:dyDescent="0.25">
      <c r="A333" s="752"/>
      <c r="C333" s="452" t="s">
        <v>1826</v>
      </c>
      <c r="D333" s="449">
        <f t="shared" si="110"/>
        <v>46185</v>
      </c>
      <c r="E333" s="454" t="s">
        <v>163</v>
      </c>
      <c r="F333" s="460" t="s">
        <v>1858</v>
      </c>
      <c r="G333" s="460" t="s">
        <v>1860</v>
      </c>
      <c r="H333" s="460" t="s">
        <v>1861</v>
      </c>
      <c r="I333" s="540">
        <f>14400/20</f>
        <v>720</v>
      </c>
      <c r="J333" s="540">
        <f t="shared" si="111"/>
        <v>714.28571428571433</v>
      </c>
      <c r="K333" s="540">
        <f t="shared" si="111"/>
        <v>714.28571428571433</v>
      </c>
      <c r="L333" s="555">
        <f>I333*INDEX([2]Pedidos!$Q:$Q,MATCH(F333,[2]Pedidos!$E:$E,0))</f>
        <v>0</v>
      </c>
      <c r="M333" s="564" t="e">
        <f>J333*INDEX([2]Pedidos!$Q:$Q,MATCH(G333,[2]Pedidos!$E:$E,0))</f>
        <v>#N/A</v>
      </c>
      <c r="N333" s="555" t="e">
        <f>K333*INDEX([2]Pedidos!$Q:$Q,MATCH(H333,[2]Pedidos!$E:$E,0))</f>
        <v>#N/A</v>
      </c>
    </row>
    <row r="334" spans="1:16" x14ac:dyDescent="0.25">
      <c r="A334" s="752"/>
      <c r="C334" s="452" t="s">
        <v>1826</v>
      </c>
      <c r="D334" s="449">
        <f t="shared" si="110"/>
        <v>46185</v>
      </c>
      <c r="E334" s="454" t="s">
        <v>164</v>
      </c>
      <c r="F334" s="460" t="s">
        <v>1855</v>
      </c>
      <c r="G334" s="460" t="s">
        <v>1860</v>
      </c>
      <c r="H334" s="460" t="s">
        <v>1861</v>
      </c>
      <c r="I334" s="540">
        <f>14400/20</f>
        <v>720</v>
      </c>
      <c r="J334" s="540">
        <f t="shared" si="111"/>
        <v>714.28571428571433</v>
      </c>
      <c r="K334" s="540">
        <f t="shared" si="111"/>
        <v>714.28571428571433</v>
      </c>
      <c r="L334" s="555">
        <f>I334*INDEX([2]Pedidos!$Q:$Q,MATCH(F334,[2]Pedidos!$E:$E,0))</f>
        <v>0</v>
      </c>
      <c r="M334" s="564" t="e">
        <f>J334*INDEX([2]Pedidos!$Q:$Q,MATCH(G334,[2]Pedidos!$E:$E,0))</f>
        <v>#N/A</v>
      </c>
      <c r="N334" s="555" t="e">
        <f>K334*INDEX([2]Pedidos!$Q:$Q,MATCH(H334,[2]Pedidos!$E:$E,0))</f>
        <v>#N/A</v>
      </c>
    </row>
    <row r="335" spans="1:16" x14ac:dyDescent="0.25">
      <c r="A335" s="752"/>
      <c r="C335" s="452" t="s">
        <v>1826</v>
      </c>
      <c r="D335" s="449">
        <f t="shared" si="110"/>
        <v>46185</v>
      </c>
      <c r="E335" s="454" t="s">
        <v>165</v>
      </c>
      <c r="F335" s="460" t="s">
        <v>1855</v>
      </c>
      <c r="G335" s="460" t="s">
        <v>1860</v>
      </c>
      <c r="H335" s="460" t="s">
        <v>1861</v>
      </c>
      <c r="I335" s="540">
        <f>14400/20</f>
        <v>720</v>
      </c>
      <c r="J335" s="540">
        <f t="shared" si="111"/>
        <v>714.28571428571433</v>
      </c>
      <c r="K335" s="540">
        <f t="shared" si="111"/>
        <v>714.28571428571433</v>
      </c>
      <c r="L335" s="555">
        <f>I335*INDEX([2]Pedidos!$Q:$Q,MATCH(F335,[2]Pedidos!$E:$E,0))</f>
        <v>0</v>
      </c>
      <c r="M335" s="564" t="e">
        <f>J335*INDEX([2]Pedidos!$Q:$Q,MATCH(G335,[2]Pedidos!$E:$E,0))</f>
        <v>#N/A</v>
      </c>
      <c r="N335" s="555" t="e">
        <f>K335*INDEX([2]Pedidos!$Q:$Q,MATCH(H335,[2]Pedidos!$E:$E,0))</f>
        <v>#N/A</v>
      </c>
    </row>
    <row r="336" spans="1:16" x14ac:dyDescent="0.25">
      <c r="A336" s="752"/>
      <c r="C336" s="452" t="s">
        <v>1826</v>
      </c>
      <c r="D336" s="449">
        <f t="shared" si="110"/>
        <v>46185</v>
      </c>
      <c r="E336" s="454" t="s">
        <v>166</v>
      </c>
      <c r="F336" s="512"/>
      <c r="G336" s="512"/>
      <c r="H336" s="512"/>
      <c r="I336" s="682"/>
      <c r="J336" s="682"/>
      <c r="K336" s="682"/>
      <c r="L336" s="687"/>
      <c r="M336" s="687"/>
      <c r="N336" s="687"/>
    </row>
    <row r="337" spans="1:16" x14ac:dyDescent="0.25">
      <c r="A337" s="752"/>
      <c r="C337" s="452" t="s">
        <v>1826</v>
      </c>
      <c r="D337" s="449">
        <f t="shared" si="110"/>
        <v>46185</v>
      </c>
      <c r="E337" s="454" t="s">
        <v>576</v>
      </c>
      <c r="F337" s="461" t="s">
        <v>1855</v>
      </c>
      <c r="G337" s="460" t="s">
        <v>1860</v>
      </c>
      <c r="H337" s="460" t="s">
        <v>1861</v>
      </c>
      <c r="I337" s="679">
        <f t="shared" ref="I337:I342" si="112">14400/20</f>
        <v>720</v>
      </c>
      <c r="J337" s="679">
        <f t="shared" ref="J337:K346" si="113">10000/14</f>
        <v>714.28571428571433</v>
      </c>
      <c r="K337" s="679">
        <f t="shared" si="113"/>
        <v>714.28571428571433</v>
      </c>
      <c r="L337" s="555">
        <f>I337*INDEX([2]Pedidos!$Q:$Q,MATCH(F337,[2]Pedidos!$E:$E,0))</f>
        <v>0</v>
      </c>
      <c r="M337" s="564" t="e">
        <f>J337*INDEX([2]Pedidos!$Q:$Q,MATCH(G337,[2]Pedidos!$E:$E,0))</f>
        <v>#N/A</v>
      </c>
      <c r="N337" s="555" t="e">
        <f>K337*INDEX([2]Pedidos!$Q:$Q,MATCH(H337,[2]Pedidos!$E:$E,0))</f>
        <v>#N/A</v>
      </c>
    </row>
    <row r="338" spans="1:16" x14ac:dyDescent="0.25">
      <c r="A338" s="752"/>
      <c r="C338" s="452" t="s">
        <v>1826</v>
      </c>
      <c r="D338" s="449">
        <f t="shared" si="110"/>
        <v>46185</v>
      </c>
      <c r="E338" s="454" t="s">
        <v>167</v>
      </c>
      <c r="F338" s="460" t="s">
        <v>1855</v>
      </c>
      <c r="G338" s="460" t="s">
        <v>1860</v>
      </c>
      <c r="H338" s="460" t="s">
        <v>1861</v>
      </c>
      <c r="I338" s="540">
        <f t="shared" si="112"/>
        <v>720</v>
      </c>
      <c r="J338" s="540">
        <f t="shared" si="113"/>
        <v>714.28571428571433</v>
      </c>
      <c r="K338" s="540">
        <f t="shared" si="113"/>
        <v>714.28571428571433</v>
      </c>
      <c r="L338" s="555">
        <f>I338*INDEX([2]Pedidos!$Q:$Q,MATCH(F338,[2]Pedidos!$E:$E,0))</f>
        <v>0</v>
      </c>
      <c r="M338" s="564" t="e">
        <f>J338*INDEX([2]Pedidos!$Q:$Q,MATCH(G338,[2]Pedidos!$E:$E,0))</f>
        <v>#N/A</v>
      </c>
      <c r="N338" s="555" t="e">
        <f>K338*INDEX([2]Pedidos!$Q:$Q,MATCH(H338,[2]Pedidos!$E:$E,0))</f>
        <v>#N/A</v>
      </c>
    </row>
    <row r="339" spans="1:16" x14ac:dyDescent="0.25">
      <c r="A339" s="752"/>
      <c r="C339" s="452" t="s">
        <v>1826</v>
      </c>
      <c r="D339" s="449">
        <f t="shared" si="110"/>
        <v>46185</v>
      </c>
      <c r="E339" s="454" t="s">
        <v>168</v>
      </c>
      <c r="F339" s="460" t="s">
        <v>1855</v>
      </c>
      <c r="G339" s="460" t="s">
        <v>1860</v>
      </c>
      <c r="H339" s="460" t="s">
        <v>1861</v>
      </c>
      <c r="I339" s="540">
        <f t="shared" si="112"/>
        <v>720</v>
      </c>
      <c r="J339" s="540">
        <f t="shared" si="113"/>
        <v>714.28571428571433</v>
      </c>
      <c r="K339" s="540">
        <f t="shared" si="113"/>
        <v>714.28571428571433</v>
      </c>
      <c r="L339" s="555">
        <f>I339*INDEX([2]Pedidos!$Q:$Q,MATCH(F339,[2]Pedidos!$E:$E,0))</f>
        <v>0</v>
      </c>
      <c r="M339" s="564" t="e">
        <f>J339*INDEX([2]Pedidos!$Q:$Q,MATCH(G339,[2]Pedidos!$E:$E,0))</f>
        <v>#N/A</v>
      </c>
      <c r="N339" s="555" t="e">
        <f>K339*INDEX([2]Pedidos!$Q:$Q,MATCH(H339,[2]Pedidos!$E:$E,0))</f>
        <v>#N/A</v>
      </c>
    </row>
    <row r="340" spans="1:16" x14ac:dyDescent="0.25">
      <c r="A340" s="752"/>
      <c r="C340" s="452" t="s">
        <v>1826</v>
      </c>
      <c r="D340" s="449">
        <f t="shared" si="110"/>
        <v>46185</v>
      </c>
      <c r="E340" s="454" t="s">
        <v>169</v>
      </c>
      <c r="F340" s="460" t="s">
        <v>1855</v>
      </c>
      <c r="G340" s="460" t="s">
        <v>1860</v>
      </c>
      <c r="H340" s="460" t="s">
        <v>1861</v>
      </c>
      <c r="I340" s="540">
        <f t="shared" si="112"/>
        <v>720</v>
      </c>
      <c r="J340" s="540">
        <f t="shared" si="113"/>
        <v>714.28571428571433</v>
      </c>
      <c r="K340" s="540">
        <f t="shared" si="113"/>
        <v>714.28571428571433</v>
      </c>
      <c r="L340" s="555">
        <f>I340*INDEX([2]Pedidos!$Q:$Q,MATCH(F340,[2]Pedidos!$E:$E,0))</f>
        <v>0</v>
      </c>
      <c r="M340" s="564" t="e">
        <f>J340*INDEX([2]Pedidos!$Q:$Q,MATCH(G340,[2]Pedidos!$E:$E,0))</f>
        <v>#N/A</v>
      </c>
      <c r="N340" s="555" t="e">
        <f>K340*INDEX([2]Pedidos!$Q:$Q,MATCH(H340,[2]Pedidos!$E:$E,0))</f>
        <v>#N/A</v>
      </c>
    </row>
    <row r="341" spans="1:16" x14ac:dyDescent="0.25">
      <c r="A341" s="752"/>
      <c r="C341" s="452" t="s">
        <v>1826</v>
      </c>
      <c r="D341" s="449">
        <f t="shared" si="110"/>
        <v>46185</v>
      </c>
      <c r="E341" s="454" t="s">
        <v>170</v>
      </c>
      <c r="F341" s="460" t="s">
        <v>1855</v>
      </c>
      <c r="G341" s="460" t="s">
        <v>1860</v>
      </c>
      <c r="H341" s="460" t="s">
        <v>1861</v>
      </c>
      <c r="I341" s="540">
        <f t="shared" si="112"/>
        <v>720</v>
      </c>
      <c r="J341" s="540">
        <f t="shared" si="113"/>
        <v>714.28571428571433</v>
      </c>
      <c r="K341" s="540">
        <f t="shared" si="113"/>
        <v>714.28571428571433</v>
      </c>
      <c r="L341" s="555">
        <f>I341*INDEX([2]Pedidos!$Q:$Q,MATCH(F341,[2]Pedidos!$E:$E,0))</f>
        <v>0</v>
      </c>
      <c r="M341" s="564" t="e">
        <f>J341*INDEX([2]Pedidos!$Q:$Q,MATCH(G341,[2]Pedidos!$E:$E,0))</f>
        <v>#N/A</v>
      </c>
      <c r="N341" s="555" t="e">
        <f>K341*INDEX([2]Pedidos!$Q:$Q,MATCH(H341,[2]Pedidos!$E:$E,0))</f>
        <v>#N/A</v>
      </c>
    </row>
    <row r="342" spans="1:16" x14ac:dyDescent="0.25">
      <c r="A342" s="752"/>
      <c r="C342" s="452" t="s">
        <v>1826</v>
      </c>
      <c r="D342" s="449">
        <f t="shared" si="110"/>
        <v>46185</v>
      </c>
      <c r="E342" s="454" t="s">
        <v>585</v>
      </c>
      <c r="F342" s="460" t="s">
        <v>1855</v>
      </c>
      <c r="G342" s="460" t="s">
        <v>1860</v>
      </c>
      <c r="H342" s="460" t="s">
        <v>1861</v>
      </c>
      <c r="I342" s="684">
        <f t="shared" si="112"/>
        <v>720</v>
      </c>
      <c r="J342" s="684">
        <f t="shared" si="113"/>
        <v>714.28571428571433</v>
      </c>
      <c r="K342" s="684">
        <f t="shared" si="113"/>
        <v>714.28571428571433</v>
      </c>
      <c r="L342" s="555">
        <f>I342*INDEX([2]Pedidos!$Q:$Q,MATCH(F342,[2]Pedidos!$E:$E,0))</f>
        <v>0</v>
      </c>
      <c r="M342" s="564" t="e">
        <f>J342*INDEX([2]Pedidos!$Q:$Q,MATCH(G342,[2]Pedidos!$E:$E,0))</f>
        <v>#N/A</v>
      </c>
      <c r="N342" s="555" t="e">
        <f>K342*INDEX([2]Pedidos!$Q:$Q,MATCH(H342,[2]Pedidos!$E:$E,0))</f>
        <v>#N/A</v>
      </c>
    </row>
    <row r="343" spans="1:16" x14ac:dyDescent="0.25">
      <c r="A343" s="752"/>
      <c r="C343" s="448" t="s">
        <v>1826</v>
      </c>
      <c r="D343" s="449">
        <f t="shared" si="110"/>
        <v>46185</v>
      </c>
      <c r="E343" s="455" t="s">
        <v>574</v>
      </c>
      <c r="F343" s="512"/>
      <c r="G343" s="512"/>
      <c r="H343" s="512"/>
      <c r="I343" s="685"/>
      <c r="J343" s="685"/>
      <c r="K343" s="685"/>
      <c r="L343" s="557"/>
      <c r="M343" s="557"/>
      <c r="N343" s="557"/>
    </row>
    <row r="344" spans="1:16" x14ac:dyDescent="0.25">
      <c r="A344" s="752"/>
      <c r="C344" s="448" t="s">
        <v>1826</v>
      </c>
      <c r="D344" s="449">
        <f t="shared" si="110"/>
        <v>46185</v>
      </c>
      <c r="E344" s="455" t="s">
        <v>575</v>
      </c>
      <c r="F344" s="504" t="s">
        <v>1855</v>
      </c>
      <c r="G344" s="504" t="s">
        <v>1860</v>
      </c>
      <c r="H344" s="504" t="s">
        <v>1861</v>
      </c>
      <c r="I344" s="684">
        <f>14400/20</f>
        <v>720</v>
      </c>
      <c r="J344" s="684">
        <f t="shared" si="113"/>
        <v>714.28571428571433</v>
      </c>
      <c r="K344" s="684">
        <f t="shared" si="113"/>
        <v>714.28571428571433</v>
      </c>
      <c r="L344" s="555">
        <f>I344*INDEX([2]Pedidos!$Q:$Q,MATCH(F344,[2]Pedidos!$E:$E,0))</f>
        <v>0</v>
      </c>
      <c r="M344" s="564" t="e">
        <f>J344*INDEX([2]Pedidos!$Q:$Q,MATCH(G344,[2]Pedidos!$E:$E,0))</f>
        <v>#N/A</v>
      </c>
      <c r="N344" s="555" t="e">
        <f>K344*INDEX([2]Pedidos!$Q:$Q,MATCH(H344,[2]Pedidos!$E:$E,0))</f>
        <v>#N/A</v>
      </c>
    </row>
    <row r="345" spans="1:16" x14ac:dyDescent="0.25">
      <c r="A345" s="752"/>
      <c r="C345" s="448" t="s">
        <v>1826</v>
      </c>
      <c r="D345" s="449">
        <f t="shared" si="110"/>
        <v>46185</v>
      </c>
      <c r="E345" s="503" t="s">
        <v>583</v>
      </c>
      <c r="F345" s="504" t="s">
        <v>1855</v>
      </c>
      <c r="G345" s="504" t="s">
        <v>1860</v>
      </c>
      <c r="H345" s="504" t="s">
        <v>1861</v>
      </c>
      <c r="I345" s="684">
        <f t="shared" ref="I345" si="114">14400/20</f>
        <v>720</v>
      </c>
      <c r="J345" s="684">
        <f t="shared" si="113"/>
        <v>714.28571428571433</v>
      </c>
      <c r="K345" s="684">
        <f t="shared" si="113"/>
        <v>714.28571428571433</v>
      </c>
      <c r="L345" s="555">
        <f>I345*INDEX([2]Pedidos!$Q:$Q,MATCH(F345,[2]Pedidos!$E:$E,0))</f>
        <v>0</v>
      </c>
      <c r="M345" s="564" t="e">
        <f>J345*INDEX([2]Pedidos!$Q:$Q,MATCH(G345,[2]Pedidos!$E:$E,0))</f>
        <v>#N/A</v>
      </c>
      <c r="N345" s="555" t="e">
        <f>K345*INDEX([2]Pedidos!$Q:$Q,MATCH(H345,[2]Pedidos!$E:$E,0))</f>
        <v>#N/A</v>
      </c>
    </row>
    <row r="346" spans="1:16" ht="15.75" thickBot="1" x14ac:dyDescent="0.3">
      <c r="A346" s="752"/>
      <c r="C346" s="450" t="s">
        <v>1826</v>
      </c>
      <c r="D346" s="451">
        <f t="shared" si="110"/>
        <v>46185</v>
      </c>
      <c r="E346" s="459" t="s">
        <v>584</v>
      </c>
      <c r="F346" s="680" t="s">
        <v>1855</v>
      </c>
      <c r="G346" s="680" t="s">
        <v>1860</v>
      </c>
      <c r="H346" s="680" t="s">
        <v>1861</v>
      </c>
      <c r="I346" s="686">
        <f>14400/20</f>
        <v>720</v>
      </c>
      <c r="J346" s="686">
        <f t="shared" si="113"/>
        <v>714.28571428571433</v>
      </c>
      <c r="K346" s="686">
        <f t="shared" si="113"/>
        <v>714.28571428571433</v>
      </c>
      <c r="L346" s="689">
        <f>I346*INDEX([2]Pedidos!$Q:$Q,MATCH(F346,[2]Pedidos!$E:$E,0))</f>
        <v>0</v>
      </c>
      <c r="M346" s="690" t="e">
        <f>J346*INDEX([2]Pedidos!$Q:$Q,MATCH(G346,[2]Pedidos!$E:$E,0))</f>
        <v>#N/A</v>
      </c>
      <c r="N346" s="689" t="e">
        <f>K346*INDEX([2]Pedidos!$Q:$Q,MATCH(H346,[2]Pedidos!$E:$E,0))</f>
        <v>#N/A</v>
      </c>
    </row>
    <row r="347" spans="1:16" ht="3.75" customHeight="1" thickBot="1" x14ac:dyDescent="0.3">
      <c r="A347" s="752"/>
      <c r="I347" s="445"/>
      <c r="J347" s="445"/>
      <c r="L347" s="559"/>
      <c r="M347" s="559"/>
      <c r="N347" s="559"/>
    </row>
    <row r="348" spans="1:16" ht="15.75" thickBot="1" x14ac:dyDescent="0.3">
      <c r="A348" s="752"/>
      <c r="C348" s="538"/>
      <c r="D348" s="539"/>
      <c r="E348" s="539"/>
      <c r="F348" s="539"/>
      <c r="G348" s="539"/>
      <c r="H348" s="539"/>
      <c r="I348" s="606">
        <f t="shared" ref="I348:N348" ca="1" si="115">_xlfn.AGGREGATE(9,6,I349:I364)</f>
        <v>0</v>
      </c>
      <c r="J348" s="607">
        <f t="shared" ca="1" si="115"/>
        <v>0</v>
      </c>
      <c r="K348" s="544">
        <f t="shared" ca="1" si="115"/>
        <v>0</v>
      </c>
      <c r="L348" s="560">
        <f t="shared" si="115"/>
        <v>0</v>
      </c>
      <c r="M348" s="561">
        <f t="shared" si="115"/>
        <v>0</v>
      </c>
      <c r="N348" s="562">
        <f t="shared" si="115"/>
        <v>0</v>
      </c>
      <c r="O348" s="548">
        <f ca="1">SUM(I348:K348)</f>
        <v>0</v>
      </c>
      <c r="P348" s="549">
        <f>SUM(L348:N348)</f>
        <v>0</v>
      </c>
    </row>
    <row r="349" spans="1:16" x14ac:dyDescent="0.25">
      <c r="A349" s="752"/>
      <c r="C349" s="529" t="s">
        <v>1033</v>
      </c>
      <c r="D349" s="447">
        <f>D346+1</f>
        <v>46186</v>
      </c>
      <c r="E349" s="498" t="s">
        <v>573</v>
      </c>
      <c r="F349" s="514"/>
      <c r="G349" s="514"/>
      <c r="H349" s="514"/>
      <c r="I349" s="537" cm="1">
        <f t="array" aca="1" ref="I349" ca="1">IFERROR(_xlfn.LET(_xlpm.produto,TRIM(F349)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49" s="537" cm="1">
        <f t="array" aca="1" ref="J349" ca="1">IFERROR(_xlfn.LET(_xlpm.produto,TRIM(G349)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49" s="537" cm="1">
        <f t="array" aca="1" ref="K349" ca="1">IFERROR(_xlfn.LET(_xlpm.produto,TRIM(H349)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49" s="563"/>
      <c r="M349" s="563"/>
      <c r="N349" s="563"/>
    </row>
    <row r="350" spans="1:16" x14ac:dyDescent="0.25">
      <c r="A350" s="752"/>
      <c r="C350" s="452" t="s">
        <v>1033</v>
      </c>
      <c r="D350" s="453">
        <f t="shared" ref="D350:D364" si="116">D349</f>
        <v>46186</v>
      </c>
      <c r="E350" s="500" t="s">
        <v>162</v>
      </c>
      <c r="F350" s="517"/>
      <c r="G350" s="517"/>
      <c r="H350" s="517"/>
      <c r="I350" s="540"/>
      <c r="J350" s="540"/>
      <c r="K350" s="540"/>
      <c r="L350" s="555" t="e">
        <f>I350*INDEX([2]Pedidos!$Q:$Q,MATCH(F350,[2]Pedidos!$E:$E,0))</f>
        <v>#N/A</v>
      </c>
      <c r="M350" s="555" t="e">
        <f>J350*INDEX([2]Pedidos!$Q:$Q,MATCH(G350,[2]Pedidos!$E:$E,0))</f>
        <v>#N/A</v>
      </c>
      <c r="N350" s="555" t="e">
        <f>K350*INDEX([2]Pedidos!$Q:$Q,MATCH(H350,[2]Pedidos!$E:$E,0))</f>
        <v>#N/A</v>
      </c>
    </row>
    <row r="351" spans="1:16" x14ac:dyDescent="0.25">
      <c r="A351" s="752"/>
      <c r="C351" s="452" t="s">
        <v>1033</v>
      </c>
      <c r="D351" s="453">
        <f t="shared" si="116"/>
        <v>46186</v>
      </c>
      <c r="E351" s="454" t="s">
        <v>163</v>
      </c>
      <c r="F351" s="517"/>
      <c r="G351" s="512"/>
      <c r="H351" s="505"/>
      <c r="I351" s="540"/>
      <c r="J351" s="540"/>
      <c r="K351" s="540"/>
      <c r="L351" s="564" t="e">
        <f>I351*INDEX([2]Pedidos!$Q:$Q,MATCH(F351,[2]Pedidos!$E:$E,0))</f>
        <v>#N/A</v>
      </c>
      <c r="M351" s="564" t="e">
        <f>J351*INDEX([2]Pedidos!$Q:$Q,MATCH(G351,[2]Pedidos!$E:$E,0))</f>
        <v>#N/A</v>
      </c>
      <c r="N351" s="564" t="e">
        <f>K351*INDEX([2]Pedidos!$Q:$Q,MATCH(H351,[2]Pedidos!$E:$E,0))</f>
        <v>#N/A</v>
      </c>
    </row>
    <row r="352" spans="1:16" x14ac:dyDescent="0.25">
      <c r="A352" s="752"/>
      <c r="C352" s="452" t="s">
        <v>1033</v>
      </c>
      <c r="D352" s="453">
        <f t="shared" si="116"/>
        <v>46186</v>
      </c>
      <c r="E352" s="454" t="s">
        <v>164</v>
      </c>
      <c r="F352" s="517"/>
      <c r="G352" s="512"/>
      <c r="H352" s="505"/>
      <c r="I352" s="540"/>
      <c r="J352" s="540"/>
      <c r="K352" s="540"/>
      <c r="L352" s="564" t="e">
        <f>I352*INDEX([2]Pedidos!$Q:$Q,MATCH(F352,[2]Pedidos!$E:$E,0))</f>
        <v>#N/A</v>
      </c>
      <c r="M352" s="564" t="e">
        <f>J352*INDEX([2]Pedidos!$Q:$Q,MATCH(G352,[2]Pedidos!$E:$E,0))</f>
        <v>#N/A</v>
      </c>
      <c r="N352" s="564" t="e">
        <f>K352*INDEX([2]Pedidos!$Q:$Q,MATCH(H352,[2]Pedidos!$E:$E,0))</f>
        <v>#N/A</v>
      </c>
    </row>
    <row r="353" spans="1:16" x14ac:dyDescent="0.25">
      <c r="A353" s="752"/>
      <c r="C353" s="452" t="s">
        <v>1033</v>
      </c>
      <c r="D353" s="453">
        <f t="shared" si="116"/>
        <v>46186</v>
      </c>
      <c r="E353" s="454" t="s">
        <v>165</v>
      </c>
      <c r="F353" s="517"/>
      <c r="G353" s="512"/>
      <c r="H353" s="505"/>
      <c r="I353" s="540"/>
      <c r="J353" s="540"/>
      <c r="K353" s="540"/>
      <c r="L353" s="564" t="e">
        <f>I353*INDEX([2]Pedidos!$Q:$Q,MATCH(F353,[2]Pedidos!$E:$E,0))</f>
        <v>#N/A</v>
      </c>
      <c r="M353" s="564" t="e">
        <f>J353*INDEX([2]Pedidos!$Q:$Q,MATCH(G353,[2]Pedidos!$E:$E,0))</f>
        <v>#N/A</v>
      </c>
      <c r="N353" s="564" t="e">
        <f>K353*INDEX([2]Pedidos!$Q:$Q,MATCH(H353,[2]Pedidos!$E:$E,0))</f>
        <v>#N/A</v>
      </c>
    </row>
    <row r="354" spans="1:16" x14ac:dyDescent="0.25">
      <c r="A354" s="752"/>
      <c r="C354" s="452" t="s">
        <v>1033</v>
      </c>
      <c r="D354" s="453">
        <f t="shared" si="116"/>
        <v>46186</v>
      </c>
      <c r="E354" s="454" t="s">
        <v>166</v>
      </c>
      <c r="F354" s="517"/>
      <c r="G354" s="512"/>
      <c r="H354" s="505"/>
      <c r="I354" s="540"/>
      <c r="J354" s="540"/>
      <c r="K354" s="540"/>
      <c r="L354" s="564" t="e">
        <f>I354*INDEX([2]Pedidos!$Q:$Q,MATCH(F354,[2]Pedidos!$E:$E,0))</f>
        <v>#N/A</v>
      </c>
      <c r="M354" s="564" t="e">
        <f>J354*INDEX([2]Pedidos!$Q:$Q,MATCH(G354,[2]Pedidos!$E:$E,0))</f>
        <v>#N/A</v>
      </c>
      <c r="N354" s="564" t="e">
        <f>K354*INDEX([2]Pedidos!$Q:$Q,MATCH(H354,[2]Pedidos!$E:$E,0))</f>
        <v>#N/A</v>
      </c>
    </row>
    <row r="355" spans="1:16" x14ac:dyDescent="0.25">
      <c r="A355" s="752"/>
      <c r="C355" s="452" t="s">
        <v>1033</v>
      </c>
      <c r="D355" s="453">
        <f t="shared" si="116"/>
        <v>46186</v>
      </c>
      <c r="E355" s="454" t="s">
        <v>576</v>
      </c>
      <c r="F355" s="517"/>
      <c r="G355" s="512"/>
      <c r="H355" s="505"/>
      <c r="I355" s="541" cm="1">
        <f t="array" aca="1" ref="I355" ca="1">IFERROR(_xlfn.LET(_xlpm.produto,TRIM(F355)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55" s="541" cm="1">
        <f t="array" aca="1" ref="J355" ca="1">IFERROR(_xlfn.LET(_xlpm.produto,TRIM(G355)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55" s="541" cm="1">
        <f t="array" aca="1" ref="K355" ca="1">IFERROR(_xlfn.LET(_xlpm.produto,TRIM(H355)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55" s="556"/>
      <c r="M355" s="556"/>
      <c r="N355" s="556"/>
    </row>
    <row r="356" spans="1:16" x14ac:dyDescent="0.25">
      <c r="A356" s="752"/>
      <c r="C356" s="452" t="s">
        <v>1033</v>
      </c>
      <c r="D356" s="449">
        <f t="shared" si="116"/>
        <v>46186</v>
      </c>
      <c r="E356" s="454" t="s">
        <v>167</v>
      </c>
      <c r="F356" s="517"/>
      <c r="G356" s="512"/>
      <c r="H356" s="505"/>
      <c r="I356" s="540"/>
      <c r="J356" s="540"/>
      <c r="K356" s="540"/>
      <c r="L356" s="565" t="e">
        <f>I356*INDEX([2]Pedidos!$Q:$Q,MATCH(F356,[2]Pedidos!$E:$E,0))</f>
        <v>#N/A</v>
      </c>
      <c r="M356" s="565" t="e">
        <f>J356*INDEX([2]Pedidos!$Q:$Q,MATCH(G356,[2]Pedidos!$E:$E,0))</f>
        <v>#N/A</v>
      </c>
      <c r="N356" s="565" t="e">
        <f>K356*INDEX([2]Pedidos!$Q:$Q,MATCH(H356,[2]Pedidos!$E:$E,0))</f>
        <v>#N/A</v>
      </c>
    </row>
    <row r="357" spans="1:16" x14ac:dyDescent="0.25">
      <c r="A357" s="752"/>
      <c r="C357" s="452" t="s">
        <v>1033</v>
      </c>
      <c r="D357" s="449">
        <f t="shared" si="116"/>
        <v>46186</v>
      </c>
      <c r="E357" s="454" t="s">
        <v>168</v>
      </c>
      <c r="F357" s="517"/>
      <c r="G357" s="512"/>
      <c r="H357" s="505"/>
      <c r="I357" s="540"/>
      <c r="J357" s="540"/>
      <c r="K357" s="540"/>
      <c r="L357" s="565" t="e">
        <f>I357*INDEX([2]Pedidos!$Q:$Q,MATCH(F357,[2]Pedidos!$E:$E,0))</f>
        <v>#N/A</v>
      </c>
      <c r="M357" s="565" t="e">
        <f>J357*INDEX([2]Pedidos!$Q:$Q,MATCH(G357,[2]Pedidos!$E:$E,0))</f>
        <v>#N/A</v>
      </c>
      <c r="N357" s="565" t="e">
        <f>K357*INDEX([2]Pedidos!$Q:$Q,MATCH(H357,[2]Pedidos!$E:$E,0))</f>
        <v>#N/A</v>
      </c>
    </row>
    <row r="358" spans="1:16" x14ac:dyDescent="0.25">
      <c r="A358" s="752"/>
      <c r="C358" s="452" t="s">
        <v>1033</v>
      </c>
      <c r="D358" s="449">
        <f t="shared" si="116"/>
        <v>46186</v>
      </c>
      <c r="E358" s="454" t="s">
        <v>169</v>
      </c>
      <c r="F358" s="517"/>
      <c r="G358" s="512"/>
      <c r="H358" s="505"/>
      <c r="I358" s="540"/>
      <c r="J358" s="540"/>
      <c r="K358" s="540"/>
      <c r="L358" s="565" t="e">
        <f>I358*INDEX([2]Pedidos!$Q:$Q,MATCH(F358,[2]Pedidos!$E:$E,0))</f>
        <v>#N/A</v>
      </c>
      <c r="M358" s="565" t="e">
        <f>J358*INDEX([2]Pedidos!$Q:$Q,MATCH(G358,[2]Pedidos!$E:$E,0))</f>
        <v>#N/A</v>
      </c>
      <c r="N358" s="565" t="e">
        <f>K358*INDEX([2]Pedidos!$Q:$Q,MATCH(H358,[2]Pedidos!$E:$E,0))</f>
        <v>#N/A</v>
      </c>
    </row>
    <row r="359" spans="1:16" x14ac:dyDescent="0.25">
      <c r="A359" s="752"/>
      <c r="C359" s="452" t="s">
        <v>1033</v>
      </c>
      <c r="D359" s="449">
        <f t="shared" si="116"/>
        <v>46186</v>
      </c>
      <c r="E359" s="454" t="s">
        <v>170</v>
      </c>
      <c r="F359" s="517"/>
      <c r="G359" s="512"/>
      <c r="H359" s="505"/>
      <c r="I359" s="540"/>
      <c r="J359" s="540"/>
      <c r="K359" s="540"/>
      <c r="L359" s="566" t="e">
        <f>I359*INDEX([2]Pedidos!$Q:$Q,MATCH(F359,[2]Pedidos!$E:$E,0))</f>
        <v>#N/A</v>
      </c>
      <c r="M359" s="566" t="e">
        <f>J359*INDEX([2]Pedidos!$Q:$Q,MATCH(G359,[2]Pedidos!$E:$E,0))</f>
        <v>#N/A</v>
      </c>
      <c r="N359" s="566" t="e">
        <f>K359*INDEX([2]Pedidos!$Q:$Q,MATCH(H359,[2]Pedidos!$E:$E,0))</f>
        <v>#N/A</v>
      </c>
    </row>
    <row r="360" spans="1:16" x14ac:dyDescent="0.25">
      <c r="A360" s="752"/>
      <c r="C360" s="452" t="s">
        <v>1033</v>
      </c>
      <c r="D360" s="449">
        <f t="shared" si="116"/>
        <v>46186</v>
      </c>
      <c r="E360" s="454" t="s">
        <v>585</v>
      </c>
      <c r="F360" s="505"/>
      <c r="G360" s="505"/>
      <c r="H360" s="516"/>
      <c r="I360" s="516" cm="1">
        <f t="array" aca="1" ref="I360" ca="1">IFERROR(_xlfn.LET(_xlpm.produto,TRIM(F360)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0" s="516" cm="1">
        <f t="array" aca="1" ref="J360" ca="1">IFERROR(_xlfn.LET(_xlpm.produto,TRIM(G360)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0" s="516" cm="1">
        <f t="array" aca="1" ref="K360" ca="1">IFERROR(_xlfn.LET(_xlpm.produto,TRIM(H360)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0" s="557"/>
      <c r="M360" s="557"/>
      <c r="N360" s="557"/>
    </row>
    <row r="361" spans="1:16" x14ac:dyDescent="0.25">
      <c r="A361" s="752"/>
      <c r="C361" s="452" t="s">
        <v>1033</v>
      </c>
      <c r="D361" s="449">
        <f t="shared" si="116"/>
        <v>46186</v>
      </c>
      <c r="E361" s="455" t="s">
        <v>574</v>
      </c>
      <c r="F361" s="505"/>
      <c r="G361" s="505"/>
      <c r="H361" s="516"/>
      <c r="I361" s="516" cm="1">
        <f t="array" aca="1" ref="I361" ca="1">IFERROR(_xlfn.LET(_xlpm.produto,TRIM(F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1" s="516" cm="1">
        <f t="array" aca="1" ref="J361" ca="1">IFERROR(_xlfn.LET(_xlpm.produto,TRIM(G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1" s="516" cm="1">
        <f t="array" aca="1" ref="K361" ca="1">IFERROR(_xlfn.LET(_xlpm.produto,TRIM(H361)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1" s="557"/>
      <c r="M361" s="557"/>
      <c r="N361" s="557"/>
    </row>
    <row r="362" spans="1:16" x14ac:dyDescent="0.25">
      <c r="A362" s="752"/>
      <c r="C362" s="452" t="s">
        <v>1033</v>
      </c>
      <c r="D362" s="449">
        <f t="shared" si="116"/>
        <v>46186</v>
      </c>
      <c r="E362" s="455" t="s">
        <v>575</v>
      </c>
      <c r="F362" s="506"/>
      <c r="G362" s="506"/>
      <c r="H362" s="516"/>
      <c r="I362" s="516" cm="1">
        <f t="array" aca="1" ref="I362" ca="1">IFERROR(_xlfn.LET(_xlpm.produto,TRIM(F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2" s="516" cm="1">
        <f t="array" aca="1" ref="J362" ca="1">IFERROR(_xlfn.LET(_xlpm.produto,TRIM(G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2" s="516" cm="1">
        <f t="array" aca="1" ref="K362" ca="1">IFERROR(_xlfn.LET(_xlpm.produto,TRIM(H362)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2" s="557"/>
      <c r="M362" s="557"/>
      <c r="N362" s="557"/>
    </row>
    <row r="363" spans="1:16" x14ac:dyDescent="0.25">
      <c r="A363" s="752"/>
      <c r="C363" s="452" t="s">
        <v>1033</v>
      </c>
      <c r="D363" s="449">
        <f t="shared" si="116"/>
        <v>46186</v>
      </c>
      <c r="E363" s="503" t="s">
        <v>583</v>
      </c>
      <c r="F363" s="506"/>
      <c r="G363" s="506"/>
      <c r="H363" s="516"/>
      <c r="I363" s="516" cm="1">
        <f t="array" aca="1" ref="I363" ca="1">IFERROR(_xlfn.LET(_xlpm.produto,TRIM(F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3" s="516" cm="1">
        <f t="array" aca="1" ref="J363" ca="1">IFERROR(_xlfn.LET(_xlpm.produto,TRIM(G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3" s="516" cm="1">
        <f t="array" aca="1" ref="K363" ca="1">IFERROR(_xlfn.LET(_xlpm.produto,TRIM(H363)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3" s="557"/>
      <c r="M363" s="557"/>
      <c r="N363" s="557"/>
    </row>
    <row r="364" spans="1:16" ht="15.75" thickBot="1" x14ac:dyDescent="0.3">
      <c r="A364" s="752"/>
      <c r="C364" s="530" t="s">
        <v>1033</v>
      </c>
      <c r="D364" s="451">
        <f t="shared" si="116"/>
        <v>46186</v>
      </c>
      <c r="E364" s="459" t="s">
        <v>584</v>
      </c>
      <c r="F364" s="493"/>
      <c r="G364" s="493"/>
      <c r="H364" s="513"/>
      <c r="I364" s="513" cm="1">
        <f t="array" aca="1" ref="I364" ca="1">IFERROR(_xlfn.LET(_xlpm.produto,TRIM(F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4" s="513" cm="1">
        <f t="array" aca="1" ref="J364" ca="1">IFERROR(_xlfn.LET(_xlpm.produto,TRIM(G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4" s="513" cm="1">
        <f t="array" aca="1" ref="K364" ca="1">IFERROR(_xlfn.LET(_xlpm.produto,TRIM(H364)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4" s="558"/>
      <c r="M364" s="558"/>
      <c r="N364" s="558"/>
    </row>
    <row r="365" spans="1:16" ht="5.25" customHeight="1" thickBot="1" x14ac:dyDescent="0.3">
      <c r="A365" s="752"/>
      <c r="I365" s="445"/>
      <c r="J365" s="445"/>
      <c r="L365" s="559"/>
      <c r="M365" s="559"/>
      <c r="N365" s="559"/>
    </row>
    <row r="366" spans="1:16" ht="15.75" thickBot="1" x14ac:dyDescent="0.3">
      <c r="A366" s="752"/>
      <c r="C366" s="538"/>
      <c r="D366" s="539"/>
      <c r="E366" s="539"/>
      <c r="F366" s="539"/>
      <c r="G366" s="539"/>
      <c r="H366" s="539"/>
      <c r="I366" s="606">
        <f t="shared" ref="I366:N366" ca="1" si="117">_xlfn.AGGREGATE(9,6,I367:I382)</f>
        <v>0</v>
      </c>
      <c r="J366" s="607">
        <f t="shared" ca="1" si="117"/>
        <v>0</v>
      </c>
      <c r="K366" s="544">
        <f t="shared" ca="1" si="117"/>
        <v>0</v>
      </c>
      <c r="L366" s="560">
        <f t="shared" si="117"/>
        <v>0</v>
      </c>
      <c r="M366" s="561">
        <f t="shared" si="117"/>
        <v>0</v>
      </c>
      <c r="N366" s="562">
        <f t="shared" si="117"/>
        <v>0</v>
      </c>
      <c r="O366" s="548">
        <f ca="1">SUM(I366:K366)</f>
        <v>0</v>
      </c>
      <c r="P366" s="549">
        <f>SUM(L366:N366)</f>
        <v>0</v>
      </c>
    </row>
    <row r="367" spans="1:16" x14ac:dyDescent="0.25">
      <c r="A367" s="752"/>
      <c r="C367" s="529" t="s">
        <v>1034</v>
      </c>
      <c r="D367" s="447">
        <f>D364+1</f>
        <v>46187</v>
      </c>
      <c r="E367" s="498" t="s">
        <v>573</v>
      </c>
      <c r="F367" s="514"/>
      <c r="G367" s="514"/>
      <c r="H367" s="514"/>
      <c r="I367" s="537" cm="1">
        <f t="array" aca="1" ref="I367" ca="1">IFERROR(_xlfn.LET(_xlpm.produto,TRIM(F367)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67" s="537" cm="1">
        <f t="array" aca="1" ref="J367" ca="1">IFERROR(_xlfn.LET(_xlpm.produto,TRIM(G367)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67" s="537" cm="1">
        <f t="array" aca="1" ref="K367" ca="1">IFERROR(_xlfn.LET(_xlpm.produto,TRIM(H367)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67" s="563"/>
      <c r="M367" s="563"/>
      <c r="N367" s="563"/>
    </row>
    <row r="368" spans="1:16" x14ac:dyDescent="0.25">
      <c r="A368" s="752"/>
      <c r="C368" s="452" t="s">
        <v>1034</v>
      </c>
      <c r="D368" s="453">
        <f t="shared" ref="D368:D382" si="118">D367</f>
        <v>46187</v>
      </c>
      <c r="E368" s="500" t="s">
        <v>162</v>
      </c>
      <c r="F368" s="517"/>
      <c r="G368" s="517"/>
      <c r="H368" s="517"/>
      <c r="I368" s="540"/>
      <c r="J368" s="540"/>
      <c r="K368" s="540"/>
      <c r="L368" s="555" t="e">
        <f>I368*INDEX([2]Pedidos!$Q:$Q,MATCH(F368,[2]Pedidos!$E:$E,0))</f>
        <v>#N/A</v>
      </c>
      <c r="M368" s="555" t="e">
        <f>J368*INDEX([2]Pedidos!$Q:$Q,MATCH(G368,[2]Pedidos!$E:$E,0))</f>
        <v>#N/A</v>
      </c>
      <c r="N368" s="555" t="e">
        <f>K368*INDEX([2]Pedidos!$Q:$Q,MATCH(H368,[2]Pedidos!$E:$E,0))</f>
        <v>#N/A</v>
      </c>
    </row>
    <row r="369" spans="1:23" x14ac:dyDescent="0.25">
      <c r="A369" s="752"/>
      <c r="C369" s="452" t="s">
        <v>1034</v>
      </c>
      <c r="D369" s="453">
        <f t="shared" si="118"/>
        <v>46187</v>
      </c>
      <c r="E369" s="454" t="s">
        <v>163</v>
      </c>
      <c r="F369" s="517"/>
      <c r="G369" s="512"/>
      <c r="H369" s="505"/>
      <c r="I369" s="540"/>
      <c r="J369" s="540"/>
      <c r="K369" s="540"/>
      <c r="L369" s="564" t="e">
        <f>I369*INDEX([2]Pedidos!$Q:$Q,MATCH(F369,[2]Pedidos!$E:$E,0))</f>
        <v>#N/A</v>
      </c>
      <c r="M369" s="564" t="e">
        <f>J369*INDEX([2]Pedidos!$Q:$Q,MATCH(G369,[2]Pedidos!$E:$E,0))</f>
        <v>#N/A</v>
      </c>
      <c r="N369" s="564" t="e">
        <f>K369*INDEX([2]Pedidos!$Q:$Q,MATCH(H369,[2]Pedidos!$E:$E,0))</f>
        <v>#N/A</v>
      </c>
    </row>
    <row r="370" spans="1:23" x14ac:dyDescent="0.25">
      <c r="A370" s="752"/>
      <c r="C370" s="452" t="s">
        <v>1034</v>
      </c>
      <c r="D370" s="453">
        <f t="shared" si="118"/>
        <v>46187</v>
      </c>
      <c r="E370" s="454" t="s">
        <v>164</v>
      </c>
      <c r="F370" s="517"/>
      <c r="G370" s="512"/>
      <c r="H370" s="505"/>
      <c r="I370" s="540"/>
      <c r="J370" s="540"/>
      <c r="K370" s="540"/>
      <c r="L370" s="564" t="e">
        <f>I370*INDEX([2]Pedidos!$Q:$Q,MATCH(F370,[2]Pedidos!$E:$E,0))</f>
        <v>#N/A</v>
      </c>
      <c r="M370" s="564" t="e">
        <f>J370*INDEX([2]Pedidos!$Q:$Q,MATCH(G370,[2]Pedidos!$E:$E,0))</f>
        <v>#N/A</v>
      </c>
      <c r="N370" s="564" t="e">
        <f>K370*INDEX([2]Pedidos!$Q:$Q,MATCH(H370,[2]Pedidos!$E:$E,0))</f>
        <v>#N/A</v>
      </c>
    </row>
    <row r="371" spans="1:23" x14ac:dyDescent="0.25">
      <c r="A371" s="752"/>
      <c r="C371" s="452" t="s">
        <v>1034</v>
      </c>
      <c r="D371" s="453">
        <f t="shared" si="118"/>
        <v>46187</v>
      </c>
      <c r="E371" s="454" t="s">
        <v>165</v>
      </c>
      <c r="F371" s="517"/>
      <c r="G371" s="512"/>
      <c r="H371" s="505"/>
      <c r="I371" s="540"/>
      <c r="J371" s="540"/>
      <c r="K371" s="540"/>
      <c r="L371" s="564" t="e">
        <f>I371*INDEX([2]Pedidos!$Q:$Q,MATCH(F371,[2]Pedidos!$E:$E,0))</f>
        <v>#N/A</v>
      </c>
      <c r="M371" s="564" t="e">
        <f>J371*INDEX([2]Pedidos!$Q:$Q,MATCH(G371,[2]Pedidos!$E:$E,0))</f>
        <v>#N/A</v>
      </c>
      <c r="N371" s="564" t="e">
        <f>K371*INDEX([2]Pedidos!$Q:$Q,MATCH(H371,[2]Pedidos!$E:$E,0))</f>
        <v>#N/A</v>
      </c>
    </row>
    <row r="372" spans="1:23" x14ac:dyDescent="0.25">
      <c r="A372" s="752"/>
      <c r="C372" s="452" t="s">
        <v>1034</v>
      </c>
      <c r="D372" s="453">
        <f t="shared" si="118"/>
        <v>46187</v>
      </c>
      <c r="E372" s="454" t="s">
        <v>166</v>
      </c>
      <c r="F372" s="517"/>
      <c r="G372" s="512"/>
      <c r="H372" s="505"/>
      <c r="I372" s="540"/>
      <c r="J372" s="540"/>
      <c r="K372" s="540"/>
      <c r="L372" s="564" t="e">
        <f>I372*INDEX([2]Pedidos!$Q:$Q,MATCH(F372,[2]Pedidos!$E:$E,0))</f>
        <v>#N/A</v>
      </c>
      <c r="M372" s="564" t="e">
        <f>J372*INDEX([2]Pedidos!$Q:$Q,MATCH(G372,[2]Pedidos!$E:$E,0))</f>
        <v>#N/A</v>
      </c>
      <c r="N372" s="564" t="e">
        <f>K372*INDEX([2]Pedidos!$Q:$Q,MATCH(H372,[2]Pedidos!$E:$E,0))</f>
        <v>#N/A</v>
      </c>
    </row>
    <row r="373" spans="1:23" x14ac:dyDescent="0.25">
      <c r="A373" s="752"/>
      <c r="C373" s="452" t="s">
        <v>1034</v>
      </c>
      <c r="D373" s="453">
        <f t="shared" si="118"/>
        <v>46187</v>
      </c>
      <c r="E373" s="454" t="s">
        <v>576</v>
      </c>
      <c r="F373" s="517"/>
      <c r="G373" s="512"/>
      <c r="H373" s="505"/>
      <c r="I373" s="541" cm="1">
        <f t="array" aca="1" ref="I373" ca="1">IFERROR(_xlfn.LET(_xlpm.produto,TRIM(F373)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73" s="541" cm="1">
        <f t="array" aca="1" ref="J373" ca="1">IFERROR(_xlfn.LET(_xlpm.produto,TRIM(G373)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3" s="541" cm="1">
        <f t="array" aca="1" ref="K373" ca="1">IFERROR(_xlfn.LET(_xlpm.produto,TRIM(H373)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3" s="556"/>
      <c r="M373" s="556"/>
      <c r="N373" s="556"/>
    </row>
    <row r="374" spans="1:23" x14ac:dyDescent="0.25">
      <c r="A374" s="752"/>
      <c r="C374" s="452" t="s">
        <v>1034</v>
      </c>
      <c r="D374" s="449">
        <f t="shared" si="118"/>
        <v>46187</v>
      </c>
      <c r="E374" s="454" t="s">
        <v>167</v>
      </c>
      <c r="F374" s="517"/>
      <c r="G374" s="512"/>
      <c r="H374" s="505"/>
      <c r="I374" s="540"/>
      <c r="J374" s="540"/>
      <c r="K374" s="540"/>
      <c r="L374" s="565" t="e">
        <f>I374*INDEX([2]Pedidos!$Q:$Q,MATCH(F374,[2]Pedidos!$E:$E,0))</f>
        <v>#N/A</v>
      </c>
      <c r="M374" s="565" t="e">
        <f>J374*INDEX([2]Pedidos!$Q:$Q,MATCH(G374,[2]Pedidos!$E:$E,0))</f>
        <v>#N/A</v>
      </c>
      <c r="N374" s="565" t="e">
        <f>K374*INDEX([2]Pedidos!$Q:$Q,MATCH(H374,[2]Pedidos!$E:$E,0))</f>
        <v>#N/A</v>
      </c>
    </row>
    <row r="375" spans="1:23" x14ac:dyDescent="0.25">
      <c r="A375" s="752"/>
      <c r="C375" s="452" t="s">
        <v>1034</v>
      </c>
      <c r="D375" s="449">
        <f t="shared" si="118"/>
        <v>46187</v>
      </c>
      <c r="E375" s="454" t="s">
        <v>168</v>
      </c>
      <c r="F375" s="517"/>
      <c r="G375" s="512"/>
      <c r="H375" s="505"/>
      <c r="I375" s="540"/>
      <c r="J375" s="540"/>
      <c r="K375" s="540"/>
      <c r="L375" s="565" t="e">
        <f>I375*INDEX([2]Pedidos!$Q:$Q,MATCH(F375,[2]Pedidos!$E:$E,0))</f>
        <v>#N/A</v>
      </c>
      <c r="M375" s="565" t="e">
        <f>J375*INDEX([2]Pedidos!$Q:$Q,MATCH(G375,[2]Pedidos!$E:$E,0))</f>
        <v>#N/A</v>
      </c>
      <c r="N375" s="565" t="e">
        <f>K375*INDEX([2]Pedidos!$Q:$Q,MATCH(H375,[2]Pedidos!$E:$E,0))</f>
        <v>#N/A</v>
      </c>
    </row>
    <row r="376" spans="1:23" x14ac:dyDescent="0.25">
      <c r="A376" s="752"/>
      <c r="C376" s="452" t="s">
        <v>1034</v>
      </c>
      <c r="D376" s="449">
        <f t="shared" si="118"/>
        <v>46187</v>
      </c>
      <c r="E376" s="454" t="s">
        <v>169</v>
      </c>
      <c r="F376" s="517"/>
      <c r="G376" s="512"/>
      <c r="H376" s="505"/>
      <c r="I376" s="540"/>
      <c r="J376" s="540"/>
      <c r="K376" s="540"/>
      <c r="L376" s="565" t="e">
        <f>I376*INDEX([2]Pedidos!$Q:$Q,MATCH(F376,[2]Pedidos!$E:$E,0))</f>
        <v>#N/A</v>
      </c>
      <c r="M376" s="565" t="e">
        <f>J376*INDEX([2]Pedidos!$Q:$Q,MATCH(G376,[2]Pedidos!$E:$E,0))</f>
        <v>#N/A</v>
      </c>
      <c r="N376" s="565" t="e">
        <f>K376*INDEX([2]Pedidos!$Q:$Q,MATCH(H376,[2]Pedidos!$E:$E,0))</f>
        <v>#N/A</v>
      </c>
    </row>
    <row r="377" spans="1:23" x14ac:dyDescent="0.25">
      <c r="A377" s="752"/>
      <c r="C377" s="452" t="s">
        <v>1034</v>
      </c>
      <c r="D377" s="449">
        <f t="shared" si="118"/>
        <v>46187</v>
      </c>
      <c r="E377" s="454" t="s">
        <v>170</v>
      </c>
      <c r="F377" s="517"/>
      <c r="G377" s="512"/>
      <c r="H377" s="505"/>
      <c r="I377" s="540"/>
      <c r="J377" s="540"/>
      <c r="K377" s="540"/>
      <c r="L377" s="566" t="e">
        <f>I377*INDEX([2]Pedidos!$Q:$Q,MATCH(F377,[2]Pedidos!$E:$E,0))</f>
        <v>#N/A</v>
      </c>
      <c r="M377" s="566" t="e">
        <f>J377*INDEX([2]Pedidos!$Q:$Q,MATCH(G377,[2]Pedidos!$E:$E,0))</f>
        <v>#N/A</v>
      </c>
      <c r="N377" s="566" t="e">
        <f>K377*INDEX([2]Pedidos!$Q:$Q,MATCH(H377,[2]Pedidos!$E:$E,0))</f>
        <v>#N/A</v>
      </c>
    </row>
    <row r="378" spans="1:23" x14ac:dyDescent="0.25">
      <c r="A378" s="752"/>
      <c r="C378" s="452" t="s">
        <v>1034</v>
      </c>
      <c r="D378" s="449">
        <f t="shared" si="118"/>
        <v>46187</v>
      </c>
      <c r="E378" s="454" t="s">
        <v>585</v>
      </c>
      <c r="F378" s="505"/>
      <c r="G378" s="505"/>
      <c r="H378" s="516"/>
      <c r="I378" s="516" cm="1">
        <f t="array" aca="1" ref="I378" ca="1">IFERROR(_xlfn.LET(_xlpm.produto,TRIM(F378)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78" s="516" cm="1">
        <f t="array" aca="1" ref="J378" ca="1">IFERROR(_xlfn.LET(_xlpm.produto,TRIM(G378)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8" s="516" cm="1">
        <f t="array" aca="1" ref="K378" ca="1">IFERROR(_xlfn.LET(_xlpm.produto,TRIM(H378)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8" s="557"/>
      <c r="M378" s="557"/>
      <c r="N378" s="557"/>
    </row>
    <row r="379" spans="1:23" x14ac:dyDescent="0.25">
      <c r="A379" s="752"/>
      <c r="C379" s="452" t="s">
        <v>1034</v>
      </c>
      <c r="D379" s="449">
        <f t="shared" si="118"/>
        <v>46187</v>
      </c>
      <c r="E379" s="455" t="s">
        <v>574</v>
      </c>
      <c r="F379" s="505"/>
      <c r="G379" s="505"/>
      <c r="H379" s="516"/>
      <c r="I379" s="516" cm="1">
        <f t="array" aca="1" ref="I379" ca="1">IFERROR(_xlfn.LET(_xlpm.produto,TRIM(F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79" s="516" cm="1">
        <f t="array" aca="1" ref="J379" ca="1">IFERROR(_xlfn.LET(_xlpm.produto,TRIM(G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79" s="516" cm="1">
        <f t="array" aca="1" ref="K379" ca="1">IFERROR(_xlfn.LET(_xlpm.produto,TRIM(H379)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79" s="557"/>
      <c r="M379" s="557"/>
      <c r="N379" s="557"/>
    </row>
    <row r="380" spans="1:23" x14ac:dyDescent="0.25">
      <c r="A380" s="752"/>
      <c r="C380" s="452" t="s">
        <v>1034</v>
      </c>
      <c r="D380" s="449">
        <f t="shared" si="118"/>
        <v>46187</v>
      </c>
      <c r="E380" s="455" t="s">
        <v>575</v>
      </c>
      <c r="F380" s="506"/>
      <c r="G380" s="506"/>
      <c r="H380" s="516"/>
      <c r="I380" s="516" cm="1">
        <f t="array" aca="1" ref="I380" ca="1">IFERROR(_xlfn.LET(_xlpm.produto,TRIM(F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80" s="516" cm="1">
        <f t="array" aca="1" ref="J380" ca="1">IFERROR(_xlfn.LET(_xlpm.produto,TRIM(G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0" s="516" cm="1">
        <f t="array" aca="1" ref="K380" ca="1">IFERROR(_xlfn.LET(_xlpm.produto,TRIM(H380)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0" s="557"/>
      <c r="M380" s="557"/>
      <c r="N380" s="557"/>
    </row>
    <row r="381" spans="1:23" x14ac:dyDescent="0.25">
      <c r="A381" s="752"/>
      <c r="C381" s="452" t="s">
        <v>1034</v>
      </c>
      <c r="D381" s="449">
        <f t="shared" si="118"/>
        <v>46187</v>
      </c>
      <c r="E381" s="503" t="s">
        <v>583</v>
      </c>
      <c r="F381" s="506"/>
      <c r="G381" s="506"/>
      <c r="H381" s="516"/>
      <c r="I381" s="516" cm="1">
        <f t="array" aca="1" ref="I381" ca="1">IFERROR(_xlfn.LET(_xlpm.produto,TRIM(F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81" s="516" cm="1">
        <f t="array" aca="1" ref="J381" ca="1">IFERROR(_xlfn.LET(_xlpm.produto,TRIM(G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1" s="516" cm="1">
        <f t="array" aca="1" ref="K381" ca="1">IFERROR(_xlfn.LET(_xlpm.produto,TRIM(H381)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1" s="557"/>
      <c r="M381" s="557"/>
      <c r="N381" s="557"/>
    </row>
    <row r="382" spans="1:23" ht="15.75" thickBot="1" x14ac:dyDescent="0.3">
      <c r="A382" s="752"/>
      <c r="C382" s="530" t="s">
        <v>1034</v>
      </c>
      <c r="D382" s="451">
        <f t="shared" si="118"/>
        <v>46187</v>
      </c>
      <c r="E382" s="459" t="s">
        <v>584</v>
      </c>
      <c r="F382" s="493"/>
      <c r="G382" s="493"/>
      <c r="H382" s="513"/>
      <c r="I382" s="513" cm="1">
        <f t="array" aca="1" ref="I382" ca="1">IFERROR(_xlfn.LET(_xlpm.produto,TRIM(F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82" s="513" cm="1">
        <f t="array" aca="1" ref="J382" ca="1">IFERROR(_xlfn.LET(_xlpm.produto,TRIM(G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82" s="513" cm="1">
        <f t="array" aca="1" ref="K382" ca="1">IFERROR(_xlfn.LET(_xlpm.produto,TRIM(H382)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82" s="558"/>
      <c r="M382" s="558"/>
      <c r="N382" s="558"/>
    </row>
    <row r="383" spans="1:23" ht="15.75" thickBot="1" x14ac:dyDescent="0.3"/>
    <row r="384" spans="1:23" ht="15.75" customHeight="1" thickBot="1" x14ac:dyDescent="0.3">
      <c r="A384" s="752">
        <f>A258+1</f>
        <v>24</v>
      </c>
      <c r="C384" s="538"/>
      <c r="D384" s="539"/>
      <c r="E384" s="539"/>
      <c r="F384" s="539"/>
      <c r="G384" s="539"/>
      <c r="H384" s="539"/>
      <c r="I384" s="606">
        <f t="shared" ref="I384:N384" si="119">_xlfn.AGGREGATE(9,6,I385:I400)</f>
        <v>6480</v>
      </c>
      <c r="J384" s="607">
        <f t="shared" si="119"/>
        <v>7200</v>
      </c>
      <c r="K384" s="544">
        <f t="shared" si="119"/>
        <v>6084.5070422535218</v>
      </c>
      <c r="L384" s="560">
        <f t="shared" si="119"/>
        <v>0</v>
      </c>
      <c r="M384" s="561">
        <f t="shared" si="119"/>
        <v>0</v>
      </c>
      <c r="N384" s="562">
        <f t="shared" si="119"/>
        <v>3346.4788732394363</v>
      </c>
      <c r="O384" s="548">
        <f>SUM(I384:K384)</f>
        <v>19764.507042253521</v>
      </c>
      <c r="P384" s="549">
        <f>SUM(L384:N384)</f>
        <v>3346.4788732394363</v>
      </c>
      <c r="T384" s="570" t="s">
        <v>437</v>
      </c>
      <c r="U384" s="571" t="str">
        <f>"Qtd. Total "&amp;TEXT(D385,"dd/mm/aaaa")&amp;" - "&amp;TEXT(D457,"dd/mm/aaaa")</f>
        <v>Qtd. Total 15/06/2026 - 19/06/2026</v>
      </c>
      <c r="V384" s="571" t="str">
        <f>"Produzido "&amp;TEXT(D385,"dd/mm/aaaa")&amp;" - "&amp;TEXT(D457,"dd/mm/aaaa")</f>
        <v>Produzido 15/06/2026 - 19/06/2026</v>
      </c>
      <c r="W384" s="572" t="s">
        <v>1536</v>
      </c>
    </row>
    <row r="385" spans="1:23" x14ac:dyDescent="0.25">
      <c r="A385" s="752"/>
      <c r="C385" s="496" t="s">
        <v>161</v>
      </c>
      <c r="D385" s="507">
        <f>D346+3</f>
        <v>46188</v>
      </c>
      <c r="E385" s="498" t="s">
        <v>573</v>
      </c>
      <c r="F385" s="514"/>
      <c r="G385" s="514"/>
      <c r="H385" s="514"/>
      <c r="I385" s="537"/>
      <c r="J385" s="537"/>
      <c r="K385" s="537"/>
      <c r="L385" s="563"/>
      <c r="M385" s="563"/>
      <c r="N385" s="563"/>
      <c r="T385" s="591" t="str" cm="1">
        <f t="array" aca="1" ref="T38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85" s="576" t="str">
        <f t="shared" ref="U385:U398" ca="1" si="120">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385,IF(_xlpm.p&lt;&gt;"",SUMIF(_xlpm.rF,_xlpm.p,_xlpm.rI)+SUMIF(_xlpm.rG,_xlpm.p,_xlpm.rJ)+SUMIF(_xlpm.rH,_xlpm.p,_xlpm.rK),""))</f>
        <v/>
      </c>
      <c r="V385" s="585"/>
      <c r="W385" s="581">
        <f ca="1">IFERROR(V385*INDEX([2]Pedidos!$Q:$Q,MATCH(T385,[2]Pedidos!$E:$E,0)),0)</f>
        <v>0</v>
      </c>
    </row>
    <row r="386" spans="1:23" x14ac:dyDescent="0.25">
      <c r="A386" s="752"/>
      <c r="C386" s="525" t="s">
        <v>161</v>
      </c>
      <c r="D386" s="453">
        <f t="shared" ref="D386:D400" si="121">D385</f>
        <v>46188</v>
      </c>
      <c r="E386" s="500" t="s">
        <v>162</v>
      </c>
      <c r="F386" s="460" t="s">
        <v>1855</v>
      </c>
      <c r="G386" s="460" t="s">
        <v>1862</v>
      </c>
      <c r="H386" s="460" t="s">
        <v>1864</v>
      </c>
      <c r="I386" s="540">
        <f t="shared" ref="I386:I395" si="122">14400/20</f>
        <v>720</v>
      </c>
      <c r="J386" s="540">
        <f>14400/18</f>
        <v>800</v>
      </c>
      <c r="K386" s="545">
        <f>48000/71</f>
        <v>676.05633802816897</v>
      </c>
      <c r="L386" s="555">
        <f>I386*INDEX([2]Pedidos!$Q:$Q,MATCH(F386,[2]Pedidos!$E:$E,0))</f>
        <v>0</v>
      </c>
      <c r="M386" s="564">
        <f>J386*INDEX([2]Pedidos!$Q:$Q,MATCH(G386,[2]Pedidos!$E:$E,0))</f>
        <v>0</v>
      </c>
      <c r="N386" s="555">
        <f>K386*INDEX([2]Pedidos!$Q:$Q,MATCH(H386,[2]Pedidos!$E:$E,0))</f>
        <v>371.83098591549299</v>
      </c>
      <c r="T386" s="592" t="str" cm="1">
        <f t="array" aca="1" ref="T38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86" s="576" t="str">
        <f t="shared" ca="1" si="120"/>
        <v/>
      </c>
      <c r="V386" s="586"/>
      <c r="W386" s="582">
        <f ca="1">IFERROR(V386*INDEX([2]Pedidos!$Q:$Q,MATCH(T386,[2]Pedidos!$E:$E,0)),0)</f>
        <v>0</v>
      </c>
    </row>
    <row r="387" spans="1:23" x14ac:dyDescent="0.25">
      <c r="A387" s="752"/>
      <c r="C387" s="526" t="s">
        <v>161</v>
      </c>
      <c r="D387" s="453">
        <f t="shared" si="121"/>
        <v>46188</v>
      </c>
      <c r="E387" s="454" t="s">
        <v>163</v>
      </c>
      <c r="F387" s="460" t="s">
        <v>1855</v>
      </c>
      <c r="G387" s="460" t="s">
        <v>1862</v>
      </c>
      <c r="H387" s="460" t="s">
        <v>1864</v>
      </c>
      <c r="I387" s="540">
        <f t="shared" si="122"/>
        <v>720</v>
      </c>
      <c r="J387" s="540">
        <f t="shared" ref="J387:J390" si="123">14400/18</f>
        <v>800</v>
      </c>
      <c r="K387" s="545">
        <f t="shared" ref="K387:K390" si="124">48000/71</f>
        <v>676.05633802816897</v>
      </c>
      <c r="L387" s="564">
        <f>I387*INDEX([2]Pedidos!$Q:$Q,MATCH(F387,[2]Pedidos!$E:$E,0))</f>
        <v>0</v>
      </c>
      <c r="M387" s="564">
        <f>J387*INDEX([2]Pedidos!$Q:$Q,MATCH(G387,[2]Pedidos!$E:$E,0))</f>
        <v>0</v>
      </c>
      <c r="N387" s="564">
        <f>K387*INDEX([2]Pedidos!$Q:$Q,MATCH(H387,[2]Pedidos!$E:$E,0))</f>
        <v>371.83098591549299</v>
      </c>
      <c r="T387" s="591" t="str" cm="1">
        <f t="array" aca="1" ref="T38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87" s="576" t="str">
        <f t="shared" ca="1" si="120"/>
        <v/>
      </c>
      <c r="V387" s="586"/>
      <c r="W387" s="582">
        <f ca="1">IFERROR(V387*INDEX([2]Pedidos!$Q:$Q,MATCH(T387,[2]Pedidos!$E:$E,0)),0)</f>
        <v>0</v>
      </c>
    </row>
    <row r="388" spans="1:23" x14ac:dyDescent="0.25">
      <c r="A388" s="752"/>
      <c r="C388" s="526" t="s">
        <v>161</v>
      </c>
      <c r="D388" s="453">
        <f t="shared" si="121"/>
        <v>46188</v>
      </c>
      <c r="E388" s="454" t="s">
        <v>164</v>
      </c>
      <c r="F388" s="460" t="s">
        <v>1855</v>
      </c>
      <c r="G388" s="460" t="s">
        <v>1862</v>
      </c>
      <c r="H388" s="460" t="s">
        <v>1864</v>
      </c>
      <c r="I388" s="540">
        <f t="shared" si="122"/>
        <v>720</v>
      </c>
      <c r="J388" s="540">
        <f t="shared" si="123"/>
        <v>800</v>
      </c>
      <c r="K388" s="545">
        <f t="shared" si="124"/>
        <v>676.05633802816897</v>
      </c>
      <c r="L388" s="564">
        <f>I388*INDEX([2]Pedidos!$Q:$Q,MATCH(F388,[2]Pedidos!$E:$E,0))</f>
        <v>0</v>
      </c>
      <c r="M388" s="564">
        <f>J388*INDEX([2]Pedidos!$Q:$Q,MATCH(G388,[2]Pedidos!$E:$E,0))</f>
        <v>0</v>
      </c>
      <c r="N388" s="564">
        <f>K388*INDEX([2]Pedidos!$Q:$Q,MATCH(H388,[2]Pedidos!$E:$E,0))</f>
        <v>371.83098591549299</v>
      </c>
      <c r="T388" s="592" t="str" cm="1">
        <f t="array" aca="1" ref="T38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88" s="576" t="str">
        <f t="shared" ca="1" si="120"/>
        <v/>
      </c>
      <c r="V388" s="586"/>
      <c r="W388" s="582">
        <f ca="1">IFERROR(V388*INDEX([2]Pedidos!$Q:$Q,MATCH(T388,[2]Pedidos!$E:$E,0)),0)</f>
        <v>0</v>
      </c>
    </row>
    <row r="389" spans="1:23" x14ac:dyDescent="0.25">
      <c r="A389" s="752"/>
      <c r="C389" s="526" t="s">
        <v>161</v>
      </c>
      <c r="D389" s="453">
        <f t="shared" si="121"/>
        <v>46188</v>
      </c>
      <c r="E389" s="454" t="s">
        <v>165</v>
      </c>
      <c r="F389" s="460" t="s">
        <v>1855</v>
      </c>
      <c r="G389" s="460" t="s">
        <v>1862</v>
      </c>
      <c r="H389" s="460" t="s">
        <v>1864</v>
      </c>
      <c r="I389" s="540">
        <f t="shared" si="122"/>
        <v>720</v>
      </c>
      <c r="J389" s="540">
        <f t="shared" si="123"/>
        <v>800</v>
      </c>
      <c r="K389" s="545">
        <f t="shared" si="124"/>
        <v>676.05633802816897</v>
      </c>
      <c r="L389" s="564">
        <f>I389*INDEX([2]Pedidos!$Q:$Q,MATCH(F389,[2]Pedidos!$E:$E,0))</f>
        <v>0</v>
      </c>
      <c r="M389" s="564">
        <f>J389*INDEX([2]Pedidos!$Q:$Q,MATCH(G389,[2]Pedidos!$E:$E,0))</f>
        <v>0</v>
      </c>
      <c r="N389" s="564">
        <f>K389*INDEX([2]Pedidos!$Q:$Q,MATCH(H389,[2]Pedidos!$E:$E,0))</f>
        <v>371.83098591549299</v>
      </c>
      <c r="T389" s="591" t="str" cm="1">
        <f t="array" aca="1" ref="T38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89" s="576" t="str">
        <f t="shared" ca="1" si="120"/>
        <v/>
      </c>
      <c r="V389" s="586"/>
      <c r="W389" s="582">
        <f ca="1">IFERROR(V389*INDEX([2]Pedidos!$Q:$Q,MATCH(T389,[2]Pedidos!$E:$E,0)),0)</f>
        <v>0</v>
      </c>
    </row>
    <row r="390" spans="1:23" x14ac:dyDescent="0.25">
      <c r="A390" s="752"/>
      <c r="C390" s="526" t="s">
        <v>161</v>
      </c>
      <c r="D390" s="453">
        <f t="shared" si="121"/>
        <v>46188</v>
      </c>
      <c r="E390" s="454" t="s">
        <v>166</v>
      </c>
      <c r="F390" s="460" t="s">
        <v>1855</v>
      </c>
      <c r="G390" s="460" t="s">
        <v>1862</v>
      </c>
      <c r="H390" s="460" t="s">
        <v>1864</v>
      </c>
      <c r="I390" s="540">
        <f t="shared" si="122"/>
        <v>720</v>
      </c>
      <c r="J390" s="540">
        <f t="shared" si="123"/>
        <v>800</v>
      </c>
      <c r="K390" s="545">
        <f t="shared" si="124"/>
        <v>676.05633802816897</v>
      </c>
      <c r="L390" s="564">
        <f>I390*INDEX([2]Pedidos!$Q:$Q,MATCH(F390,[2]Pedidos!$E:$E,0))</f>
        <v>0</v>
      </c>
      <c r="M390" s="564">
        <f>J390*INDEX([2]Pedidos!$Q:$Q,MATCH(G390,[2]Pedidos!$E:$E,0))</f>
        <v>0</v>
      </c>
      <c r="N390" s="564">
        <f>K390*INDEX([2]Pedidos!$Q:$Q,MATCH(H390,[2]Pedidos!$E:$E,0))</f>
        <v>371.83098591549299</v>
      </c>
      <c r="T390" s="592" t="str" cm="1">
        <f t="array" aca="1" ref="T39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0" s="576" t="str">
        <f t="shared" ca="1" si="120"/>
        <v/>
      </c>
      <c r="V390" s="586"/>
      <c r="W390" s="582">
        <f ca="1">IFERROR(V390*INDEX([2]Pedidos!$Q:$Q,MATCH(T390,[2]Pedidos!$E:$E,0)),0)</f>
        <v>0</v>
      </c>
    </row>
    <row r="391" spans="1:23" x14ac:dyDescent="0.25">
      <c r="A391" s="752"/>
      <c r="C391" s="526" t="s">
        <v>161</v>
      </c>
      <c r="D391" s="453">
        <f t="shared" si="121"/>
        <v>46188</v>
      </c>
      <c r="E391" s="454" t="s">
        <v>576</v>
      </c>
      <c r="F391" s="512"/>
      <c r="G391" s="512"/>
      <c r="H391" s="512"/>
      <c r="I391" s="554"/>
      <c r="J391" s="554"/>
      <c r="K391" s="554"/>
      <c r="L391" s="556"/>
      <c r="M391" s="556"/>
      <c r="N391" s="556"/>
      <c r="T391" s="591" t="str" cm="1">
        <f t="array" aca="1" ref="T39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1" s="576" t="str">
        <f t="shared" ca="1" si="120"/>
        <v/>
      </c>
      <c r="V391" s="586"/>
      <c r="W391" s="582">
        <f ca="1">IFERROR(V391*INDEX([2]Pedidos!$Q:$Q,MATCH(T391,[2]Pedidos!$E:$E,0)),0)</f>
        <v>0</v>
      </c>
    </row>
    <row r="392" spans="1:23" x14ac:dyDescent="0.25">
      <c r="A392" s="752"/>
      <c r="C392" s="527" t="s">
        <v>161</v>
      </c>
      <c r="D392" s="449">
        <f t="shared" si="121"/>
        <v>46188</v>
      </c>
      <c r="E392" s="454" t="s">
        <v>167</v>
      </c>
      <c r="F392" s="460" t="s">
        <v>1855</v>
      </c>
      <c r="G392" s="460" t="s">
        <v>1862</v>
      </c>
      <c r="H392" s="460" t="s">
        <v>1864</v>
      </c>
      <c r="I392" s="540">
        <f t="shared" si="122"/>
        <v>720</v>
      </c>
      <c r="J392" s="540">
        <f t="shared" ref="J392:J395" si="125">14400/18</f>
        <v>800</v>
      </c>
      <c r="K392" s="545">
        <f t="shared" ref="K392:K395" si="126">48000/71</f>
        <v>676.05633802816897</v>
      </c>
      <c r="L392" s="565">
        <f>I392*INDEX([2]Pedidos!$Q:$Q,MATCH(F392,[2]Pedidos!$E:$E,0))</f>
        <v>0</v>
      </c>
      <c r="M392" s="564">
        <f>J392*INDEX([2]Pedidos!$Q:$Q,MATCH(G392,[2]Pedidos!$E:$E,0))</f>
        <v>0</v>
      </c>
      <c r="N392" s="565">
        <f>K392*INDEX([2]Pedidos!$Q:$Q,MATCH(H392,[2]Pedidos!$E:$E,0))</f>
        <v>371.83098591549299</v>
      </c>
      <c r="T392" s="592" t="str" cm="1">
        <f t="array" aca="1" ref="T39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2" s="576" t="str">
        <f t="shared" ca="1" si="120"/>
        <v/>
      </c>
      <c r="V392" s="586"/>
      <c r="W392" s="582">
        <f ca="1">IFERROR(V392*INDEX([2]Pedidos!$Q:$Q,MATCH(T392,[2]Pedidos!$E:$E,0)),0)</f>
        <v>0</v>
      </c>
    </row>
    <row r="393" spans="1:23" x14ac:dyDescent="0.25">
      <c r="A393" s="752"/>
      <c r="C393" s="527" t="s">
        <v>161</v>
      </c>
      <c r="D393" s="449">
        <f t="shared" si="121"/>
        <v>46188</v>
      </c>
      <c r="E393" s="454" t="s">
        <v>168</v>
      </c>
      <c r="F393" s="460" t="s">
        <v>1855</v>
      </c>
      <c r="G393" s="460" t="s">
        <v>1862</v>
      </c>
      <c r="H393" s="460" t="s">
        <v>1864</v>
      </c>
      <c r="I393" s="540">
        <f t="shared" si="122"/>
        <v>720</v>
      </c>
      <c r="J393" s="540">
        <f t="shared" si="125"/>
        <v>800</v>
      </c>
      <c r="K393" s="545">
        <f t="shared" si="126"/>
        <v>676.05633802816897</v>
      </c>
      <c r="L393" s="565">
        <f>I393*INDEX([2]Pedidos!$Q:$Q,MATCH(F393,[2]Pedidos!$E:$E,0))</f>
        <v>0</v>
      </c>
      <c r="M393" s="564">
        <f>J393*INDEX([2]Pedidos!$Q:$Q,MATCH(G393,[2]Pedidos!$E:$E,0))</f>
        <v>0</v>
      </c>
      <c r="N393" s="565">
        <f>K393*INDEX([2]Pedidos!$Q:$Q,MATCH(H393,[2]Pedidos!$E:$E,0))</f>
        <v>371.83098591549299</v>
      </c>
      <c r="T393" s="591" t="str" cm="1">
        <f t="array" aca="1" ref="T39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3" s="576" t="str">
        <f t="shared" ca="1" si="120"/>
        <v/>
      </c>
      <c r="V393" s="586"/>
      <c r="W393" s="582">
        <f ca="1">IFERROR(V393*INDEX([2]Pedidos!$Q:$Q,MATCH(T393,[2]Pedidos!$E:$E,0)),0)</f>
        <v>0</v>
      </c>
    </row>
    <row r="394" spans="1:23" x14ac:dyDescent="0.25">
      <c r="A394" s="752"/>
      <c r="C394" s="527" t="s">
        <v>161</v>
      </c>
      <c r="D394" s="449">
        <f t="shared" si="121"/>
        <v>46188</v>
      </c>
      <c r="E394" s="454" t="s">
        <v>169</v>
      </c>
      <c r="F394" s="460" t="s">
        <v>1855</v>
      </c>
      <c r="G394" s="460" t="s">
        <v>1862</v>
      </c>
      <c r="H394" s="460" t="s">
        <v>1864</v>
      </c>
      <c r="I394" s="540">
        <f t="shared" si="122"/>
        <v>720</v>
      </c>
      <c r="J394" s="540">
        <f t="shared" si="125"/>
        <v>800</v>
      </c>
      <c r="K394" s="545">
        <f t="shared" si="126"/>
        <v>676.05633802816897</v>
      </c>
      <c r="L394" s="565">
        <f>I394*INDEX([2]Pedidos!$Q:$Q,MATCH(F394,[2]Pedidos!$E:$E,0))</f>
        <v>0</v>
      </c>
      <c r="M394" s="564">
        <f>J394*INDEX([2]Pedidos!$Q:$Q,MATCH(G394,[2]Pedidos!$E:$E,0))</f>
        <v>0</v>
      </c>
      <c r="N394" s="565">
        <f>K394*INDEX([2]Pedidos!$Q:$Q,MATCH(H394,[2]Pedidos!$E:$E,0))</f>
        <v>371.83098591549299</v>
      </c>
      <c r="T394" s="592" t="str" cm="1">
        <f t="array" aca="1" ref="T39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4" s="576" t="str">
        <f t="shared" ca="1" si="120"/>
        <v/>
      </c>
      <c r="V394" s="586"/>
      <c r="W394" s="582">
        <f ca="1">IFERROR(V394*INDEX([2]Pedidos!$Q:$Q,MATCH(T394,[2]Pedidos!$E:$E,0)),0)</f>
        <v>0</v>
      </c>
    </row>
    <row r="395" spans="1:23" x14ac:dyDescent="0.25">
      <c r="A395" s="752"/>
      <c r="C395" s="527" t="s">
        <v>161</v>
      </c>
      <c r="D395" s="453">
        <f t="shared" si="121"/>
        <v>46188</v>
      </c>
      <c r="E395" s="454" t="s">
        <v>170</v>
      </c>
      <c r="F395" s="460" t="s">
        <v>1855</v>
      </c>
      <c r="G395" s="460" t="s">
        <v>1862</v>
      </c>
      <c r="H395" s="460" t="s">
        <v>1864</v>
      </c>
      <c r="I395" s="540">
        <f t="shared" si="122"/>
        <v>720</v>
      </c>
      <c r="J395" s="540">
        <f t="shared" si="125"/>
        <v>800</v>
      </c>
      <c r="K395" s="545">
        <f t="shared" si="126"/>
        <v>676.05633802816897</v>
      </c>
      <c r="L395" s="566">
        <f>I395*INDEX([2]Pedidos!$Q:$Q,MATCH(F395,[2]Pedidos!$E:$E,0))</f>
        <v>0</v>
      </c>
      <c r="M395" s="564">
        <f>J395*INDEX([2]Pedidos!$Q:$Q,MATCH(G395,[2]Pedidos!$E:$E,0))</f>
        <v>0</v>
      </c>
      <c r="N395" s="566">
        <f>K395*INDEX([2]Pedidos!$Q:$Q,MATCH(H395,[2]Pedidos!$E:$E,0))</f>
        <v>371.83098591549299</v>
      </c>
      <c r="T395" s="591" t="str" cm="1">
        <f t="array" aca="1" ref="T39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5" s="576" t="str">
        <f t="shared" ca="1" si="120"/>
        <v/>
      </c>
      <c r="V395" s="586"/>
      <c r="W395" s="582">
        <f ca="1">IFERROR(V395*INDEX([2]Pedidos!$Q:$Q,MATCH(T395,[2]Pedidos!$E:$E,0)),0)</f>
        <v>0</v>
      </c>
    </row>
    <row r="396" spans="1:23" x14ac:dyDescent="0.25">
      <c r="A396" s="752"/>
      <c r="C396" s="527" t="s">
        <v>161</v>
      </c>
      <c r="D396" s="453">
        <f t="shared" si="121"/>
        <v>46188</v>
      </c>
      <c r="E396" s="454" t="s">
        <v>585</v>
      </c>
      <c r="F396" s="505"/>
      <c r="G396" s="505"/>
      <c r="H396" s="505"/>
      <c r="I396" s="516"/>
      <c r="J396" s="516"/>
      <c r="K396" s="516"/>
      <c r="L396" s="557"/>
      <c r="M396" s="557"/>
      <c r="N396" s="557"/>
      <c r="T396" s="592" t="str" cm="1">
        <f t="array" aca="1" ref="T39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6" s="576" t="str">
        <f t="shared" ca="1" si="120"/>
        <v/>
      </c>
      <c r="V396" s="586"/>
      <c r="W396" s="582">
        <f ca="1">IFERROR(V396*INDEX([2]Pedidos!$Q:$Q,MATCH(T396,[2]Pedidos!$E:$E,0)),0)</f>
        <v>0</v>
      </c>
    </row>
    <row r="397" spans="1:23" x14ac:dyDescent="0.25">
      <c r="A397" s="752"/>
      <c r="C397" s="527" t="s">
        <v>161</v>
      </c>
      <c r="D397" s="453">
        <f t="shared" si="121"/>
        <v>46188</v>
      </c>
      <c r="E397" s="455" t="s">
        <v>574</v>
      </c>
      <c r="F397" s="505"/>
      <c r="G397" s="505"/>
      <c r="H397" s="505"/>
      <c r="I397" s="516"/>
      <c r="J397" s="516"/>
      <c r="K397" s="516"/>
      <c r="L397" s="557"/>
      <c r="M397" s="557"/>
      <c r="N397" s="557"/>
      <c r="T397" s="591" t="str" cm="1">
        <f t="array" aca="1" ref="T39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7" s="576" t="str">
        <f t="shared" ca="1" si="120"/>
        <v/>
      </c>
      <c r="V397" s="586"/>
      <c r="W397" s="582">
        <f ca="1">IFERROR(V397*INDEX([2]Pedidos!$Q:$Q,MATCH(T397,[2]Pedidos!$E:$E,0)),0)</f>
        <v>0</v>
      </c>
    </row>
    <row r="398" spans="1:23" x14ac:dyDescent="0.25">
      <c r="A398" s="752"/>
      <c r="C398" s="527" t="s">
        <v>161</v>
      </c>
      <c r="D398" s="453">
        <f t="shared" si="121"/>
        <v>46188</v>
      </c>
      <c r="E398" s="455" t="s">
        <v>575</v>
      </c>
      <c r="F398" s="506"/>
      <c r="G398" s="506"/>
      <c r="H398" s="506"/>
      <c r="I398" s="516"/>
      <c r="J398" s="516"/>
      <c r="K398" s="516"/>
      <c r="L398" s="557"/>
      <c r="M398" s="557"/>
      <c r="N398" s="557"/>
      <c r="T398" s="592" t="str" cm="1">
        <f t="array" aca="1" ref="T39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98" s="576" t="str">
        <f t="shared" ca="1" si="120"/>
        <v/>
      </c>
      <c r="V398" s="587"/>
      <c r="W398" s="583">
        <f ca="1">IFERROR(V398*INDEX([2]Pedidos!$Q:$Q,MATCH(T398,[2]Pedidos!$E:$E,0)),0)</f>
        <v>0</v>
      </c>
    </row>
    <row r="399" spans="1:23" x14ac:dyDescent="0.25">
      <c r="A399" s="752"/>
      <c r="C399" s="527" t="s">
        <v>161</v>
      </c>
      <c r="D399" s="453">
        <f t="shared" si="121"/>
        <v>46188</v>
      </c>
      <c r="E399" s="503" t="s">
        <v>583</v>
      </c>
      <c r="F399" s="506"/>
      <c r="G399" s="506"/>
      <c r="H399" s="506"/>
      <c r="I399" s="516"/>
      <c r="J399" s="516"/>
      <c r="K399" s="516"/>
      <c r="L399" s="557"/>
      <c r="M399" s="557"/>
      <c r="N399" s="557"/>
      <c r="T399" s="573" t="s">
        <v>1521</v>
      </c>
      <c r="U399" s="574">
        <f ca="1">SUM(U385:U398)</f>
        <v>0</v>
      </c>
      <c r="V399" s="574">
        <f>SUM(V385:V398)</f>
        <v>0</v>
      </c>
      <c r="W399" s="584">
        <f ca="1">SUM(W385:W398)</f>
        <v>0</v>
      </c>
    </row>
    <row r="400" spans="1:23" ht="15.75" thickBot="1" x14ac:dyDescent="0.3">
      <c r="A400" s="752"/>
      <c r="C400" s="528" t="s">
        <v>161</v>
      </c>
      <c r="D400" s="451">
        <f t="shared" si="121"/>
        <v>46188</v>
      </c>
      <c r="E400" s="459" t="s">
        <v>584</v>
      </c>
      <c r="F400" s="493"/>
      <c r="G400" s="493"/>
      <c r="H400" s="493"/>
      <c r="I400" s="513"/>
      <c r="J400" s="513"/>
      <c r="K400" s="513"/>
      <c r="L400" s="558"/>
      <c r="M400" s="558"/>
      <c r="N400" s="558"/>
    </row>
    <row r="401" spans="1:16" ht="5.25" customHeight="1" thickBot="1" x14ac:dyDescent="0.3">
      <c r="A401" s="752"/>
      <c r="I401" s="445"/>
      <c r="J401" s="445"/>
      <c r="L401" s="559"/>
      <c r="M401" s="559"/>
      <c r="N401" s="559"/>
    </row>
    <row r="402" spans="1:16" ht="15.75" thickBot="1" x14ac:dyDescent="0.3">
      <c r="A402" s="752"/>
      <c r="C402" s="538"/>
      <c r="D402" s="539"/>
      <c r="E402" s="539"/>
      <c r="F402" s="539"/>
      <c r="G402" s="539"/>
      <c r="H402" s="539"/>
      <c r="I402" s="606">
        <f t="shared" ref="I402:N402" si="127">_xlfn.AGGREGATE(9,6,I403:I418)</f>
        <v>5000</v>
      </c>
      <c r="J402" s="607">
        <f t="shared" si="127"/>
        <v>7200</v>
      </c>
      <c r="K402" s="544">
        <f t="shared" si="127"/>
        <v>6084.5070422535218</v>
      </c>
      <c r="L402" s="560">
        <f t="shared" si="127"/>
        <v>0</v>
      </c>
      <c r="M402" s="561">
        <f t="shared" si="127"/>
        <v>0</v>
      </c>
      <c r="N402" s="562">
        <f t="shared" si="127"/>
        <v>3346.4788732394363</v>
      </c>
      <c r="O402" s="548">
        <f>SUM(I402:K402)</f>
        <v>18284.507042253521</v>
      </c>
      <c r="P402" s="549">
        <f>SUM(L402:N402)</f>
        <v>3346.4788732394363</v>
      </c>
    </row>
    <row r="403" spans="1:16" x14ac:dyDescent="0.25">
      <c r="A403" s="752"/>
      <c r="C403" s="446" t="s">
        <v>171</v>
      </c>
      <c r="D403" s="497">
        <f>D400+1</f>
        <v>46189</v>
      </c>
      <c r="E403" s="498" t="s">
        <v>573</v>
      </c>
      <c r="F403" s="514"/>
      <c r="G403" s="514"/>
      <c r="H403" s="514"/>
      <c r="I403" s="537"/>
      <c r="J403" s="537"/>
      <c r="K403" s="537"/>
      <c r="L403" s="563"/>
      <c r="M403" s="563"/>
      <c r="N403" s="563"/>
    </row>
    <row r="404" spans="1:16" x14ac:dyDescent="0.25">
      <c r="A404" s="752"/>
      <c r="C404" s="452" t="s">
        <v>171</v>
      </c>
      <c r="D404" s="499">
        <f t="shared" ref="D404:D418" si="128">D403</f>
        <v>46189</v>
      </c>
      <c r="E404" s="500" t="s">
        <v>162</v>
      </c>
      <c r="F404" s="460" t="s">
        <v>1865</v>
      </c>
      <c r="G404" s="460" t="s">
        <v>1862</v>
      </c>
      <c r="H404" s="460" t="s">
        <v>1864</v>
      </c>
      <c r="I404" s="540">
        <f>10000/18</f>
        <v>555.55555555555554</v>
      </c>
      <c r="J404" s="540">
        <f t="shared" ref="J404:J413" si="129">14400/18</f>
        <v>800</v>
      </c>
      <c r="K404" s="545">
        <f>48000/71</f>
        <v>676.05633802816897</v>
      </c>
      <c r="L404" s="555" t="e">
        <f>I404*INDEX([2]Pedidos!$Q:$Q,MATCH(F404,[2]Pedidos!$E:$E,0))</f>
        <v>#N/A</v>
      </c>
      <c r="M404" s="564">
        <f>J404*INDEX([2]Pedidos!$Q:$Q,MATCH(G404,[2]Pedidos!$E:$E,0))</f>
        <v>0</v>
      </c>
      <c r="N404" s="555">
        <f>K404*INDEX([2]Pedidos!$Q:$Q,MATCH(H404,[2]Pedidos!$E:$E,0))</f>
        <v>371.83098591549299</v>
      </c>
    </row>
    <row r="405" spans="1:16" x14ac:dyDescent="0.25">
      <c r="A405" s="752"/>
      <c r="C405" s="452" t="s">
        <v>171</v>
      </c>
      <c r="D405" s="449">
        <f t="shared" si="128"/>
        <v>46189</v>
      </c>
      <c r="E405" s="454" t="s">
        <v>163</v>
      </c>
      <c r="F405" s="460" t="s">
        <v>1865</v>
      </c>
      <c r="G405" s="460" t="s">
        <v>1862</v>
      </c>
      <c r="H405" s="460" t="s">
        <v>1864</v>
      </c>
      <c r="I405" s="540">
        <f t="shared" ref="I405:I408" si="130">10000/18</f>
        <v>555.55555555555554</v>
      </c>
      <c r="J405" s="540">
        <f t="shared" si="129"/>
        <v>800</v>
      </c>
      <c r="K405" s="545">
        <f t="shared" ref="K405:K408" si="131">48000/71</f>
        <v>676.05633802816897</v>
      </c>
      <c r="L405" s="564" t="e">
        <f>I405*INDEX([2]Pedidos!$Q:$Q,MATCH(F405,[2]Pedidos!$E:$E,0))</f>
        <v>#N/A</v>
      </c>
      <c r="M405" s="564">
        <f>J405*INDEX([2]Pedidos!$Q:$Q,MATCH(G405,[2]Pedidos!$E:$E,0))</f>
        <v>0</v>
      </c>
      <c r="N405" s="564">
        <f>K405*INDEX([2]Pedidos!$Q:$Q,MATCH(H405,[2]Pedidos!$E:$E,0))</f>
        <v>371.83098591549299</v>
      </c>
    </row>
    <row r="406" spans="1:16" x14ac:dyDescent="0.25">
      <c r="A406" s="752"/>
      <c r="C406" s="452" t="s">
        <v>171</v>
      </c>
      <c r="D406" s="449">
        <f t="shared" si="128"/>
        <v>46189</v>
      </c>
      <c r="E406" s="454" t="s">
        <v>164</v>
      </c>
      <c r="F406" s="460" t="s">
        <v>1865</v>
      </c>
      <c r="G406" s="460" t="s">
        <v>1862</v>
      </c>
      <c r="H406" s="460" t="s">
        <v>1864</v>
      </c>
      <c r="I406" s="540">
        <f t="shared" si="130"/>
        <v>555.55555555555554</v>
      </c>
      <c r="J406" s="540">
        <f t="shared" si="129"/>
        <v>800</v>
      </c>
      <c r="K406" s="545">
        <f t="shared" si="131"/>
        <v>676.05633802816897</v>
      </c>
      <c r="L406" s="564" t="e">
        <f>I406*INDEX([2]Pedidos!$Q:$Q,MATCH(F406,[2]Pedidos!$E:$E,0))</f>
        <v>#N/A</v>
      </c>
      <c r="M406" s="564">
        <f>J406*INDEX([2]Pedidos!$Q:$Q,MATCH(G406,[2]Pedidos!$E:$E,0))</f>
        <v>0</v>
      </c>
      <c r="N406" s="564">
        <f>K406*INDEX([2]Pedidos!$Q:$Q,MATCH(H406,[2]Pedidos!$E:$E,0))</f>
        <v>371.83098591549299</v>
      </c>
    </row>
    <row r="407" spans="1:16" x14ac:dyDescent="0.25">
      <c r="A407" s="752"/>
      <c r="C407" s="452" t="s">
        <v>171</v>
      </c>
      <c r="D407" s="449">
        <f t="shared" si="128"/>
        <v>46189</v>
      </c>
      <c r="E407" s="454" t="s">
        <v>165</v>
      </c>
      <c r="F407" s="460" t="s">
        <v>1865</v>
      </c>
      <c r="G407" s="460" t="s">
        <v>1862</v>
      </c>
      <c r="H407" s="460" t="s">
        <v>1864</v>
      </c>
      <c r="I407" s="540">
        <f t="shared" si="130"/>
        <v>555.55555555555554</v>
      </c>
      <c r="J407" s="540">
        <f t="shared" si="129"/>
        <v>800</v>
      </c>
      <c r="K407" s="545">
        <f t="shared" si="131"/>
        <v>676.05633802816897</v>
      </c>
      <c r="L407" s="564" t="e">
        <f>I407*INDEX([2]Pedidos!$Q:$Q,MATCH(F407,[2]Pedidos!$E:$E,0))</f>
        <v>#N/A</v>
      </c>
      <c r="M407" s="564">
        <f>J407*INDEX([2]Pedidos!$Q:$Q,MATCH(G407,[2]Pedidos!$E:$E,0))</f>
        <v>0</v>
      </c>
      <c r="N407" s="564">
        <f>K407*INDEX([2]Pedidos!$Q:$Q,MATCH(H407,[2]Pedidos!$E:$E,0))</f>
        <v>371.83098591549299</v>
      </c>
    </row>
    <row r="408" spans="1:16" x14ac:dyDescent="0.25">
      <c r="A408" s="752"/>
      <c r="C408" s="452" t="s">
        <v>171</v>
      </c>
      <c r="D408" s="449">
        <f t="shared" si="128"/>
        <v>46189</v>
      </c>
      <c r="E408" s="454" t="s">
        <v>166</v>
      </c>
      <c r="F408" s="460" t="s">
        <v>1865</v>
      </c>
      <c r="G408" s="460" t="s">
        <v>1862</v>
      </c>
      <c r="H408" s="460" t="s">
        <v>1864</v>
      </c>
      <c r="I408" s="540">
        <f t="shared" si="130"/>
        <v>555.55555555555554</v>
      </c>
      <c r="J408" s="540">
        <f t="shared" si="129"/>
        <v>800</v>
      </c>
      <c r="K408" s="545">
        <f t="shared" si="131"/>
        <v>676.05633802816897</v>
      </c>
      <c r="L408" s="564" t="e">
        <f>I408*INDEX([2]Pedidos!$Q:$Q,MATCH(F408,[2]Pedidos!$E:$E,0))</f>
        <v>#N/A</v>
      </c>
      <c r="M408" s="564">
        <f>J408*INDEX([2]Pedidos!$Q:$Q,MATCH(G408,[2]Pedidos!$E:$E,0))</f>
        <v>0</v>
      </c>
      <c r="N408" s="564">
        <f>K408*INDEX([2]Pedidos!$Q:$Q,MATCH(H408,[2]Pedidos!$E:$E,0))</f>
        <v>371.83098591549299</v>
      </c>
    </row>
    <row r="409" spans="1:16" x14ac:dyDescent="0.25">
      <c r="A409" s="752"/>
      <c r="C409" s="452" t="s">
        <v>171</v>
      </c>
      <c r="D409" s="449">
        <f t="shared" si="128"/>
        <v>46189</v>
      </c>
      <c r="E409" s="454" t="s">
        <v>576</v>
      </c>
      <c r="F409" s="512"/>
      <c r="G409" s="512"/>
      <c r="H409" s="512"/>
      <c r="I409" s="554"/>
      <c r="J409" s="554"/>
      <c r="K409" s="554"/>
      <c r="L409" s="556"/>
      <c r="M409" s="556"/>
      <c r="N409" s="556"/>
    </row>
    <row r="410" spans="1:16" x14ac:dyDescent="0.25">
      <c r="A410" s="752"/>
      <c r="C410" s="452" t="s">
        <v>171</v>
      </c>
      <c r="D410" s="449">
        <f t="shared" si="128"/>
        <v>46189</v>
      </c>
      <c r="E410" s="454" t="s">
        <v>167</v>
      </c>
      <c r="F410" s="460" t="s">
        <v>1865</v>
      </c>
      <c r="G410" s="460" t="s">
        <v>1862</v>
      </c>
      <c r="H410" s="460" t="s">
        <v>1864</v>
      </c>
      <c r="I410" s="540">
        <f t="shared" ref="I410:I413" si="132">10000/18</f>
        <v>555.55555555555554</v>
      </c>
      <c r="J410" s="540">
        <f t="shared" si="129"/>
        <v>800</v>
      </c>
      <c r="K410" s="545">
        <f t="shared" ref="K410:K413" si="133">48000/71</f>
        <v>676.05633802816897</v>
      </c>
      <c r="L410" s="565" t="e">
        <f>I410*INDEX([2]Pedidos!$Q:$Q,MATCH(F410,[2]Pedidos!$E:$E,0))</f>
        <v>#N/A</v>
      </c>
      <c r="M410" s="564">
        <f>J410*INDEX([2]Pedidos!$Q:$Q,MATCH(G410,[2]Pedidos!$E:$E,0))</f>
        <v>0</v>
      </c>
      <c r="N410" s="565">
        <f>K410*INDEX([2]Pedidos!$Q:$Q,MATCH(H410,[2]Pedidos!$E:$E,0))</f>
        <v>371.83098591549299</v>
      </c>
    </row>
    <row r="411" spans="1:16" x14ac:dyDescent="0.25">
      <c r="A411" s="752"/>
      <c r="C411" s="452" t="s">
        <v>171</v>
      </c>
      <c r="D411" s="449">
        <f t="shared" si="128"/>
        <v>46189</v>
      </c>
      <c r="E411" s="454" t="s">
        <v>168</v>
      </c>
      <c r="F411" s="460" t="s">
        <v>1865</v>
      </c>
      <c r="G411" s="460" t="s">
        <v>1862</v>
      </c>
      <c r="H411" s="460" t="s">
        <v>1864</v>
      </c>
      <c r="I411" s="540">
        <f t="shared" si="132"/>
        <v>555.55555555555554</v>
      </c>
      <c r="J411" s="540">
        <f t="shared" si="129"/>
        <v>800</v>
      </c>
      <c r="K411" s="545">
        <f t="shared" si="133"/>
        <v>676.05633802816897</v>
      </c>
      <c r="L411" s="565" t="e">
        <f>I411*INDEX([2]Pedidos!$Q:$Q,MATCH(F411,[2]Pedidos!$E:$E,0))</f>
        <v>#N/A</v>
      </c>
      <c r="M411" s="564">
        <f>J411*INDEX([2]Pedidos!$Q:$Q,MATCH(G411,[2]Pedidos!$E:$E,0))</f>
        <v>0</v>
      </c>
      <c r="N411" s="565">
        <f>K411*INDEX([2]Pedidos!$Q:$Q,MATCH(H411,[2]Pedidos!$E:$E,0))</f>
        <v>371.83098591549299</v>
      </c>
    </row>
    <row r="412" spans="1:16" x14ac:dyDescent="0.25">
      <c r="A412" s="752"/>
      <c r="C412" s="452" t="s">
        <v>171</v>
      </c>
      <c r="D412" s="449">
        <f t="shared" si="128"/>
        <v>46189</v>
      </c>
      <c r="E412" s="454" t="s">
        <v>169</v>
      </c>
      <c r="F412" s="460" t="s">
        <v>1865</v>
      </c>
      <c r="G412" s="460" t="s">
        <v>1862</v>
      </c>
      <c r="H412" s="460" t="s">
        <v>1864</v>
      </c>
      <c r="I412" s="540">
        <f t="shared" si="132"/>
        <v>555.55555555555554</v>
      </c>
      <c r="J412" s="540">
        <f t="shared" si="129"/>
        <v>800</v>
      </c>
      <c r="K412" s="545">
        <f t="shared" si="133"/>
        <v>676.05633802816897</v>
      </c>
      <c r="L412" s="565" t="e">
        <f>I412*INDEX([2]Pedidos!$Q:$Q,MATCH(F412,[2]Pedidos!$E:$E,0))</f>
        <v>#N/A</v>
      </c>
      <c r="M412" s="564">
        <f>J412*INDEX([2]Pedidos!$Q:$Q,MATCH(G412,[2]Pedidos!$E:$E,0))</f>
        <v>0</v>
      </c>
      <c r="N412" s="565">
        <f>K412*INDEX([2]Pedidos!$Q:$Q,MATCH(H412,[2]Pedidos!$E:$E,0))</f>
        <v>371.83098591549299</v>
      </c>
    </row>
    <row r="413" spans="1:16" x14ac:dyDescent="0.25">
      <c r="A413" s="752"/>
      <c r="C413" s="452" t="s">
        <v>171</v>
      </c>
      <c r="D413" s="449">
        <f t="shared" si="128"/>
        <v>46189</v>
      </c>
      <c r="E413" s="454" t="s">
        <v>170</v>
      </c>
      <c r="F413" s="460" t="s">
        <v>1865</v>
      </c>
      <c r="G413" s="460" t="s">
        <v>1862</v>
      </c>
      <c r="H413" s="460" t="s">
        <v>1864</v>
      </c>
      <c r="I413" s="540">
        <f t="shared" si="132"/>
        <v>555.55555555555554</v>
      </c>
      <c r="J413" s="540">
        <f t="shared" si="129"/>
        <v>800</v>
      </c>
      <c r="K413" s="545">
        <f t="shared" si="133"/>
        <v>676.05633802816897</v>
      </c>
      <c r="L413" s="566" t="e">
        <f>I413*INDEX([2]Pedidos!$Q:$Q,MATCH(F413,[2]Pedidos!$E:$E,0))</f>
        <v>#N/A</v>
      </c>
      <c r="M413" s="564">
        <f>J413*INDEX([2]Pedidos!$Q:$Q,MATCH(G413,[2]Pedidos!$E:$E,0))</f>
        <v>0</v>
      </c>
      <c r="N413" s="566">
        <f>K413*INDEX([2]Pedidos!$Q:$Q,MATCH(H413,[2]Pedidos!$E:$E,0))</f>
        <v>371.83098591549299</v>
      </c>
    </row>
    <row r="414" spans="1:16" x14ac:dyDescent="0.25">
      <c r="A414" s="752"/>
      <c r="C414" s="452" t="s">
        <v>171</v>
      </c>
      <c r="D414" s="449">
        <f t="shared" si="128"/>
        <v>46189</v>
      </c>
      <c r="E414" s="454" t="s">
        <v>585</v>
      </c>
      <c r="F414" s="505"/>
      <c r="G414" s="505"/>
      <c r="H414" s="505"/>
      <c r="I414" s="516"/>
      <c r="J414" s="516"/>
      <c r="K414" s="516"/>
      <c r="L414" s="557"/>
      <c r="M414" s="557"/>
      <c r="N414" s="557"/>
    </row>
    <row r="415" spans="1:16" x14ac:dyDescent="0.25">
      <c r="A415" s="752"/>
      <c r="C415" s="448" t="s">
        <v>171</v>
      </c>
      <c r="D415" s="449">
        <f t="shared" si="128"/>
        <v>46189</v>
      </c>
      <c r="E415" s="455" t="s">
        <v>574</v>
      </c>
      <c r="F415" s="505"/>
      <c r="G415" s="505"/>
      <c r="H415" s="505"/>
      <c r="I415" s="516"/>
      <c r="J415" s="516"/>
      <c r="K415" s="516"/>
      <c r="L415" s="557"/>
      <c r="M415" s="557"/>
      <c r="N415" s="557"/>
    </row>
    <row r="416" spans="1:16" x14ac:dyDescent="0.25">
      <c r="A416" s="752"/>
      <c r="C416" s="448" t="s">
        <v>171</v>
      </c>
      <c r="D416" s="449">
        <f t="shared" si="128"/>
        <v>46189</v>
      </c>
      <c r="E416" s="455" t="s">
        <v>575</v>
      </c>
      <c r="F416" s="506"/>
      <c r="G416" s="506"/>
      <c r="H416" s="506"/>
      <c r="I416" s="516"/>
      <c r="J416" s="516"/>
      <c r="K416" s="516"/>
      <c r="L416" s="557"/>
      <c r="M416" s="557"/>
      <c r="N416" s="557"/>
    </row>
    <row r="417" spans="1:16" x14ac:dyDescent="0.25">
      <c r="A417" s="752"/>
      <c r="C417" s="448" t="s">
        <v>171</v>
      </c>
      <c r="D417" s="449">
        <f t="shared" si="128"/>
        <v>46189</v>
      </c>
      <c r="E417" s="503" t="s">
        <v>583</v>
      </c>
      <c r="F417" s="506"/>
      <c r="G417" s="506"/>
      <c r="H417" s="506"/>
      <c r="I417" s="516"/>
      <c r="J417" s="516"/>
      <c r="K417" s="516"/>
      <c r="L417" s="557"/>
      <c r="M417" s="557"/>
      <c r="N417" s="557"/>
    </row>
    <row r="418" spans="1:16" ht="15.75" thickBot="1" x14ac:dyDescent="0.3">
      <c r="A418" s="752"/>
      <c r="C418" s="450" t="s">
        <v>171</v>
      </c>
      <c r="D418" s="451">
        <f t="shared" si="128"/>
        <v>46189</v>
      </c>
      <c r="E418" s="459" t="s">
        <v>584</v>
      </c>
      <c r="F418" s="493"/>
      <c r="G418" s="493"/>
      <c r="H418" s="493"/>
      <c r="I418" s="513"/>
      <c r="J418" s="513"/>
      <c r="K418" s="513"/>
      <c r="L418" s="558"/>
      <c r="M418" s="558"/>
      <c r="N418" s="558"/>
    </row>
    <row r="419" spans="1:16" ht="5.25" customHeight="1" thickBot="1" x14ac:dyDescent="0.3">
      <c r="A419" s="752"/>
      <c r="I419" s="445"/>
      <c r="J419" s="445"/>
      <c r="L419" s="559"/>
      <c r="M419" s="559"/>
      <c r="N419" s="559"/>
    </row>
    <row r="420" spans="1:16" ht="15.75" thickBot="1" x14ac:dyDescent="0.3">
      <c r="A420" s="752"/>
      <c r="C420" s="538"/>
      <c r="D420" s="539"/>
      <c r="E420" s="539"/>
      <c r="F420" s="539"/>
      <c r="G420" s="539"/>
      <c r="H420" s="539"/>
      <c r="I420" s="606">
        <f t="shared" ref="I420:N420" si="134">_xlfn.AGGREGATE(9,6,I421:I436)</f>
        <v>5000</v>
      </c>
      <c r="J420" s="607">
        <f t="shared" si="134"/>
        <v>7200</v>
      </c>
      <c r="K420" s="544">
        <f t="shared" si="134"/>
        <v>6084.5070422535218</v>
      </c>
      <c r="L420" s="560">
        <f t="shared" si="134"/>
        <v>0</v>
      </c>
      <c r="M420" s="561">
        <f t="shared" si="134"/>
        <v>0</v>
      </c>
      <c r="N420" s="562">
        <f t="shared" si="134"/>
        <v>3346.4788732394363</v>
      </c>
      <c r="O420" s="548">
        <f>SUM(I420:K420)</f>
        <v>18284.507042253521</v>
      </c>
      <c r="P420" s="549">
        <f>SUM(L420:N420)</f>
        <v>3346.4788732394363</v>
      </c>
    </row>
    <row r="421" spans="1:16" x14ac:dyDescent="0.25">
      <c r="A421" s="752"/>
      <c r="C421" s="446" t="s">
        <v>172</v>
      </c>
      <c r="D421" s="497">
        <f>D418+1</f>
        <v>46190</v>
      </c>
      <c r="E421" s="498" t="s">
        <v>573</v>
      </c>
      <c r="F421" s="514"/>
      <c r="G421" s="514"/>
      <c r="H421" s="514"/>
      <c r="I421" s="537"/>
      <c r="J421" s="537"/>
      <c r="K421" s="537"/>
      <c r="L421" s="563"/>
      <c r="M421" s="563"/>
      <c r="N421" s="563"/>
    </row>
    <row r="422" spans="1:16" x14ac:dyDescent="0.25">
      <c r="A422" s="752"/>
      <c r="C422" s="452" t="s">
        <v>172</v>
      </c>
      <c r="D422" s="499">
        <f t="shared" ref="D422:D436" si="135">D421</f>
        <v>46190</v>
      </c>
      <c r="E422" s="500" t="s">
        <v>162</v>
      </c>
      <c r="F422" s="460" t="s">
        <v>1865</v>
      </c>
      <c r="G422" s="460" t="s">
        <v>1863</v>
      </c>
      <c r="H422" s="460" t="s">
        <v>1864</v>
      </c>
      <c r="I422" s="540">
        <f t="shared" ref="I422:I431" si="136">10000/18</f>
        <v>555.55555555555554</v>
      </c>
      <c r="J422" s="540">
        <f t="shared" ref="J422:J431" si="137">14400/18</f>
        <v>800</v>
      </c>
      <c r="K422" s="545">
        <f>48000/71</f>
        <v>676.05633802816897</v>
      </c>
      <c r="L422" s="555" t="e">
        <f>I422*INDEX([2]Pedidos!$Q:$Q,MATCH(F422,[2]Pedidos!$E:$E,0))</f>
        <v>#N/A</v>
      </c>
      <c r="M422" s="564">
        <f>J422*INDEX([2]Pedidos!$Q:$Q,MATCH(G422,[2]Pedidos!$E:$E,0))</f>
        <v>0</v>
      </c>
      <c r="N422" s="555">
        <f>K422*INDEX([2]Pedidos!$Q:$Q,MATCH(H422,[2]Pedidos!$E:$E,0))</f>
        <v>371.83098591549299</v>
      </c>
    </row>
    <row r="423" spans="1:16" x14ac:dyDescent="0.25">
      <c r="A423" s="752"/>
      <c r="C423" s="452" t="s">
        <v>172</v>
      </c>
      <c r="D423" s="449">
        <f t="shared" si="135"/>
        <v>46190</v>
      </c>
      <c r="E423" s="454" t="s">
        <v>163</v>
      </c>
      <c r="F423" s="460" t="s">
        <v>1865</v>
      </c>
      <c r="G423" s="460" t="s">
        <v>1863</v>
      </c>
      <c r="H423" s="460" t="s">
        <v>1864</v>
      </c>
      <c r="I423" s="540">
        <f t="shared" si="136"/>
        <v>555.55555555555554</v>
      </c>
      <c r="J423" s="540">
        <f t="shared" si="137"/>
        <v>800</v>
      </c>
      <c r="K423" s="545">
        <f t="shared" ref="K423:K426" si="138">48000/71</f>
        <v>676.05633802816897</v>
      </c>
      <c r="L423" s="564" t="e">
        <f>I423*INDEX([2]Pedidos!$Q:$Q,MATCH(F423,[2]Pedidos!$E:$E,0))</f>
        <v>#N/A</v>
      </c>
      <c r="M423" s="564">
        <f>J423*INDEX([2]Pedidos!$Q:$Q,MATCH(G423,[2]Pedidos!$E:$E,0))</f>
        <v>0</v>
      </c>
      <c r="N423" s="564">
        <f>K423*INDEX([2]Pedidos!$Q:$Q,MATCH(H423,[2]Pedidos!$E:$E,0))</f>
        <v>371.83098591549299</v>
      </c>
    </row>
    <row r="424" spans="1:16" x14ac:dyDescent="0.25">
      <c r="A424" s="752"/>
      <c r="C424" s="452" t="s">
        <v>172</v>
      </c>
      <c r="D424" s="449">
        <f t="shared" si="135"/>
        <v>46190</v>
      </c>
      <c r="E424" s="454" t="s">
        <v>164</v>
      </c>
      <c r="F424" s="460" t="s">
        <v>1865</v>
      </c>
      <c r="G424" s="460" t="s">
        <v>1863</v>
      </c>
      <c r="H424" s="460" t="s">
        <v>1864</v>
      </c>
      <c r="I424" s="540">
        <f t="shared" si="136"/>
        <v>555.55555555555554</v>
      </c>
      <c r="J424" s="540">
        <f t="shared" si="137"/>
        <v>800</v>
      </c>
      <c r="K424" s="545">
        <f t="shared" si="138"/>
        <v>676.05633802816897</v>
      </c>
      <c r="L424" s="564" t="e">
        <f>I424*INDEX([2]Pedidos!$Q:$Q,MATCH(F424,[2]Pedidos!$E:$E,0))</f>
        <v>#N/A</v>
      </c>
      <c r="M424" s="564">
        <f>J424*INDEX([2]Pedidos!$Q:$Q,MATCH(G424,[2]Pedidos!$E:$E,0))</f>
        <v>0</v>
      </c>
      <c r="N424" s="564">
        <f>K424*INDEX([2]Pedidos!$Q:$Q,MATCH(H424,[2]Pedidos!$E:$E,0))</f>
        <v>371.83098591549299</v>
      </c>
    </row>
    <row r="425" spans="1:16" x14ac:dyDescent="0.25">
      <c r="A425" s="752"/>
      <c r="C425" s="452" t="s">
        <v>172</v>
      </c>
      <c r="D425" s="449">
        <f t="shared" si="135"/>
        <v>46190</v>
      </c>
      <c r="E425" s="454" t="s">
        <v>165</v>
      </c>
      <c r="F425" s="460" t="s">
        <v>1865</v>
      </c>
      <c r="G425" s="460" t="s">
        <v>1863</v>
      </c>
      <c r="H425" s="460" t="s">
        <v>1864</v>
      </c>
      <c r="I425" s="540">
        <f t="shared" si="136"/>
        <v>555.55555555555554</v>
      </c>
      <c r="J425" s="540">
        <f t="shared" si="137"/>
        <v>800</v>
      </c>
      <c r="K425" s="545">
        <f t="shared" si="138"/>
        <v>676.05633802816897</v>
      </c>
      <c r="L425" s="564" t="e">
        <f>I425*INDEX([2]Pedidos!$Q:$Q,MATCH(F425,[2]Pedidos!$E:$E,0))</f>
        <v>#N/A</v>
      </c>
      <c r="M425" s="564">
        <f>J425*INDEX([2]Pedidos!$Q:$Q,MATCH(G425,[2]Pedidos!$E:$E,0))</f>
        <v>0</v>
      </c>
      <c r="N425" s="564">
        <f>K425*INDEX([2]Pedidos!$Q:$Q,MATCH(H425,[2]Pedidos!$E:$E,0))</f>
        <v>371.83098591549299</v>
      </c>
    </row>
    <row r="426" spans="1:16" x14ac:dyDescent="0.25">
      <c r="A426" s="752"/>
      <c r="C426" s="452" t="s">
        <v>172</v>
      </c>
      <c r="D426" s="449">
        <f t="shared" si="135"/>
        <v>46190</v>
      </c>
      <c r="E426" s="454" t="s">
        <v>166</v>
      </c>
      <c r="F426" s="460" t="s">
        <v>1865</v>
      </c>
      <c r="G426" s="460" t="s">
        <v>1863</v>
      </c>
      <c r="H426" s="460" t="s">
        <v>1864</v>
      </c>
      <c r="I426" s="540">
        <f t="shared" si="136"/>
        <v>555.55555555555554</v>
      </c>
      <c r="J426" s="540">
        <f t="shared" si="137"/>
        <v>800</v>
      </c>
      <c r="K426" s="545">
        <f t="shared" si="138"/>
        <v>676.05633802816897</v>
      </c>
      <c r="L426" s="564" t="e">
        <f>I426*INDEX([2]Pedidos!$Q:$Q,MATCH(F426,[2]Pedidos!$E:$E,0))</f>
        <v>#N/A</v>
      </c>
      <c r="M426" s="564">
        <f>J426*INDEX([2]Pedidos!$Q:$Q,MATCH(G426,[2]Pedidos!$E:$E,0))</f>
        <v>0</v>
      </c>
      <c r="N426" s="564">
        <f>K426*INDEX([2]Pedidos!$Q:$Q,MATCH(H426,[2]Pedidos!$E:$E,0))</f>
        <v>371.83098591549299</v>
      </c>
    </row>
    <row r="427" spans="1:16" x14ac:dyDescent="0.25">
      <c r="A427" s="752"/>
      <c r="C427" s="452" t="s">
        <v>172</v>
      </c>
      <c r="D427" s="449">
        <f t="shared" si="135"/>
        <v>46190</v>
      </c>
      <c r="E427" s="454" t="s">
        <v>576</v>
      </c>
      <c r="F427" s="512"/>
      <c r="G427" s="512"/>
      <c r="H427" s="512"/>
      <c r="I427" s="554"/>
      <c r="J427" s="554"/>
      <c r="K427" s="554"/>
      <c r="L427" s="556"/>
      <c r="M427" s="556"/>
      <c r="N427" s="556"/>
    </row>
    <row r="428" spans="1:16" x14ac:dyDescent="0.25">
      <c r="A428" s="752"/>
      <c r="C428" s="452" t="s">
        <v>172</v>
      </c>
      <c r="D428" s="449">
        <f t="shared" si="135"/>
        <v>46190</v>
      </c>
      <c r="E428" s="454" t="s">
        <v>167</v>
      </c>
      <c r="F428" s="460" t="s">
        <v>1865</v>
      </c>
      <c r="G428" s="460" t="s">
        <v>1863</v>
      </c>
      <c r="H428" s="460" t="s">
        <v>1864</v>
      </c>
      <c r="I428" s="540">
        <f t="shared" si="136"/>
        <v>555.55555555555554</v>
      </c>
      <c r="J428" s="540">
        <f t="shared" si="137"/>
        <v>800</v>
      </c>
      <c r="K428" s="545">
        <f t="shared" ref="K428:K431" si="139">48000/71</f>
        <v>676.05633802816897</v>
      </c>
      <c r="L428" s="565" t="e">
        <f>I428*INDEX([2]Pedidos!$Q:$Q,MATCH(F428,[2]Pedidos!$E:$E,0))</f>
        <v>#N/A</v>
      </c>
      <c r="M428" s="564">
        <f>J428*INDEX([2]Pedidos!$Q:$Q,MATCH(G428,[2]Pedidos!$E:$E,0))</f>
        <v>0</v>
      </c>
      <c r="N428" s="565">
        <f>K428*INDEX([2]Pedidos!$Q:$Q,MATCH(H428,[2]Pedidos!$E:$E,0))</f>
        <v>371.83098591549299</v>
      </c>
    </row>
    <row r="429" spans="1:16" x14ac:dyDescent="0.25">
      <c r="A429" s="752"/>
      <c r="C429" s="452" t="s">
        <v>172</v>
      </c>
      <c r="D429" s="449">
        <f t="shared" si="135"/>
        <v>46190</v>
      </c>
      <c r="E429" s="454" t="s">
        <v>168</v>
      </c>
      <c r="F429" s="460" t="s">
        <v>1865</v>
      </c>
      <c r="G429" s="460" t="s">
        <v>1863</v>
      </c>
      <c r="H429" s="460" t="s">
        <v>1864</v>
      </c>
      <c r="I429" s="540">
        <f t="shared" si="136"/>
        <v>555.55555555555554</v>
      </c>
      <c r="J429" s="540">
        <f t="shared" si="137"/>
        <v>800</v>
      </c>
      <c r="K429" s="545">
        <f t="shared" si="139"/>
        <v>676.05633802816897</v>
      </c>
      <c r="L429" s="565" t="e">
        <f>I429*INDEX([2]Pedidos!$Q:$Q,MATCH(F429,[2]Pedidos!$E:$E,0))</f>
        <v>#N/A</v>
      </c>
      <c r="M429" s="564">
        <f>J429*INDEX([2]Pedidos!$Q:$Q,MATCH(G429,[2]Pedidos!$E:$E,0))</f>
        <v>0</v>
      </c>
      <c r="N429" s="565">
        <f>K429*INDEX([2]Pedidos!$Q:$Q,MATCH(H429,[2]Pedidos!$E:$E,0))</f>
        <v>371.83098591549299</v>
      </c>
    </row>
    <row r="430" spans="1:16" x14ac:dyDescent="0.25">
      <c r="A430" s="752"/>
      <c r="C430" s="452" t="s">
        <v>172</v>
      </c>
      <c r="D430" s="449">
        <f t="shared" si="135"/>
        <v>46190</v>
      </c>
      <c r="E430" s="454" t="s">
        <v>169</v>
      </c>
      <c r="F430" s="460" t="s">
        <v>1865</v>
      </c>
      <c r="G430" s="460" t="s">
        <v>1863</v>
      </c>
      <c r="H430" s="460" t="s">
        <v>1864</v>
      </c>
      <c r="I430" s="540">
        <f t="shared" si="136"/>
        <v>555.55555555555554</v>
      </c>
      <c r="J430" s="540">
        <f t="shared" si="137"/>
        <v>800</v>
      </c>
      <c r="K430" s="545">
        <f t="shared" si="139"/>
        <v>676.05633802816897</v>
      </c>
      <c r="L430" s="565" t="e">
        <f>I430*INDEX([2]Pedidos!$Q:$Q,MATCH(F430,[2]Pedidos!$E:$E,0))</f>
        <v>#N/A</v>
      </c>
      <c r="M430" s="564">
        <f>J430*INDEX([2]Pedidos!$Q:$Q,MATCH(G430,[2]Pedidos!$E:$E,0))</f>
        <v>0</v>
      </c>
      <c r="N430" s="565">
        <f>K430*INDEX([2]Pedidos!$Q:$Q,MATCH(H430,[2]Pedidos!$E:$E,0))</f>
        <v>371.83098591549299</v>
      </c>
    </row>
    <row r="431" spans="1:16" x14ac:dyDescent="0.25">
      <c r="A431" s="752"/>
      <c r="C431" s="452" t="s">
        <v>172</v>
      </c>
      <c r="D431" s="449">
        <f t="shared" si="135"/>
        <v>46190</v>
      </c>
      <c r="E431" s="454" t="s">
        <v>170</v>
      </c>
      <c r="F431" s="460" t="s">
        <v>1865</v>
      </c>
      <c r="G431" s="460" t="s">
        <v>1863</v>
      </c>
      <c r="H431" s="460" t="s">
        <v>1864</v>
      </c>
      <c r="I431" s="540">
        <f t="shared" si="136"/>
        <v>555.55555555555554</v>
      </c>
      <c r="J431" s="540">
        <f t="shared" si="137"/>
        <v>800</v>
      </c>
      <c r="K431" s="545">
        <f t="shared" si="139"/>
        <v>676.05633802816897</v>
      </c>
      <c r="L431" s="566" t="e">
        <f>I431*INDEX([2]Pedidos!$Q:$Q,MATCH(F431,[2]Pedidos!$E:$E,0))</f>
        <v>#N/A</v>
      </c>
      <c r="M431" s="564">
        <f>J431*INDEX([2]Pedidos!$Q:$Q,MATCH(G431,[2]Pedidos!$E:$E,0))</f>
        <v>0</v>
      </c>
      <c r="N431" s="566">
        <f>K431*INDEX([2]Pedidos!$Q:$Q,MATCH(H431,[2]Pedidos!$E:$E,0))</f>
        <v>371.83098591549299</v>
      </c>
    </row>
    <row r="432" spans="1:16" x14ac:dyDescent="0.25">
      <c r="A432" s="752"/>
      <c r="C432" s="452" t="s">
        <v>172</v>
      </c>
      <c r="D432" s="449">
        <f t="shared" si="135"/>
        <v>46190</v>
      </c>
      <c r="E432" s="454" t="s">
        <v>585</v>
      </c>
      <c r="F432" s="505"/>
      <c r="G432" s="505"/>
      <c r="H432" s="505"/>
      <c r="I432" s="516"/>
      <c r="J432" s="516"/>
      <c r="K432" s="516"/>
      <c r="L432" s="557"/>
      <c r="M432" s="557"/>
      <c r="N432" s="557"/>
    </row>
    <row r="433" spans="1:16" x14ac:dyDescent="0.25">
      <c r="A433" s="752"/>
      <c r="C433" s="448" t="s">
        <v>172</v>
      </c>
      <c r="D433" s="449">
        <f t="shared" si="135"/>
        <v>46190</v>
      </c>
      <c r="E433" s="455" t="s">
        <v>574</v>
      </c>
      <c r="F433" s="505"/>
      <c r="G433" s="505"/>
      <c r="H433" s="505"/>
      <c r="I433" s="516"/>
      <c r="J433" s="516"/>
      <c r="K433" s="516"/>
      <c r="L433" s="557"/>
      <c r="M433" s="557"/>
      <c r="N433" s="557"/>
    </row>
    <row r="434" spans="1:16" x14ac:dyDescent="0.25">
      <c r="A434" s="752"/>
      <c r="C434" s="448" t="s">
        <v>172</v>
      </c>
      <c r="D434" s="449">
        <f t="shared" si="135"/>
        <v>46190</v>
      </c>
      <c r="E434" s="455" t="s">
        <v>575</v>
      </c>
      <c r="F434" s="506"/>
      <c r="G434" s="506"/>
      <c r="H434" s="506"/>
      <c r="I434" s="516"/>
      <c r="J434" s="516"/>
      <c r="K434" s="516"/>
      <c r="L434" s="557"/>
      <c r="M434" s="557"/>
      <c r="N434" s="557"/>
    </row>
    <row r="435" spans="1:16" x14ac:dyDescent="0.25">
      <c r="A435" s="752"/>
      <c r="C435" s="448" t="s">
        <v>172</v>
      </c>
      <c r="D435" s="449">
        <f t="shared" si="135"/>
        <v>46190</v>
      </c>
      <c r="E435" s="503" t="s">
        <v>583</v>
      </c>
      <c r="F435" s="506"/>
      <c r="G435" s="506"/>
      <c r="H435" s="506"/>
      <c r="I435" s="516"/>
      <c r="J435" s="516"/>
      <c r="K435" s="516"/>
      <c r="L435" s="557"/>
      <c r="M435" s="557"/>
      <c r="N435" s="557"/>
    </row>
    <row r="436" spans="1:16" ht="15.75" thickBot="1" x14ac:dyDescent="0.3">
      <c r="A436" s="752"/>
      <c r="C436" s="450" t="s">
        <v>172</v>
      </c>
      <c r="D436" s="451">
        <f t="shared" si="135"/>
        <v>46190</v>
      </c>
      <c r="E436" s="459" t="s">
        <v>584</v>
      </c>
      <c r="F436" s="493"/>
      <c r="G436" s="493"/>
      <c r="H436" s="493"/>
      <c r="I436" s="513"/>
      <c r="J436" s="513"/>
      <c r="K436" s="513"/>
      <c r="L436" s="558"/>
      <c r="M436" s="558"/>
      <c r="N436" s="558"/>
    </row>
    <row r="437" spans="1:16" ht="5.25" customHeight="1" thickBot="1" x14ac:dyDescent="0.3">
      <c r="A437" s="752"/>
      <c r="I437" s="445"/>
      <c r="J437" s="445"/>
      <c r="L437" s="559"/>
      <c r="M437" s="559"/>
      <c r="N437" s="559"/>
    </row>
    <row r="438" spans="1:16" ht="15.75" thickBot="1" x14ac:dyDescent="0.3">
      <c r="A438" s="752"/>
      <c r="C438" s="538"/>
      <c r="D438" s="539"/>
      <c r="E438" s="539"/>
      <c r="F438" s="539"/>
      <c r="G438" s="539"/>
      <c r="H438" s="539"/>
      <c r="I438" s="606">
        <f t="shared" ref="I438:N438" si="140">_xlfn.AGGREGATE(9,6,I439:I454)</f>
        <v>6000</v>
      </c>
      <c r="J438" s="607">
        <f t="shared" si="140"/>
        <v>7200</v>
      </c>
      <c r="K438" s="544">
        <f t="shared" si="140"/>
        <v>6084.5070422535218</v>
      </c>
      <c r="L438" s="560">
        <f t="shared" si="140"/>
        <v>0</v>
      </c>
      <c r="M438" s="561">
        <f t="shared" si="140"/>
        <v>0</v>
      </c>
      <c r="N438" s="562">
        <f t="shared" si="140"/>
        <v>3346.4788732394363</v>
      </c>
      <c r="O438" s="548">
        <f>SUM(I438:K438)</f>
        <v>19284.507042253521</v>
      </c>
      <c r="P438" s="549">
        <f>SUM(L438:N438)</f>
        <v>3346.4788732394363</v>
      </c>
    </row>
    <row r="439" spans="1:16" x14ac:dyDescent="0.25">
      <c r="A439" s="752"/>
      <c r="C439" s="529" t="s">
        <v>173</v>
      </c>
      <c r="D439" s="447">
        <f>D436+1</f>
        <v>46191</v>
      </c>
      <c r="E439" s="498" t="s">
        <v>573</v>
      </c>
      <c r="F439" s="514"/>
      <c r="G439" s="514"/>
      <c r="H439" s="514"/>
      <c r="I439" s="537"/>
      <c r="J439" s="537"/>
      <c r="K439" s="537"/>
      <c r="L439" s="563"/>
      <c r="M439" s="563"/>
      <c r="N439" s="563"/>
    </row>
    <row r="440" spans="1:16" x14ac:dyDescent="0.25">
      <c r="A440" s="752"/>
      <c r="C440" s="452" t="s">
        <v>173</v>
      </c>
      <c r="D440" s="453">
        <f t="shared" ref="D440:D454" si="141">D439</f>
        <v>46191</v>
      </c>
      <c r="E440" s="500" t="s">
        <v>162</v>
      </c>
      <c r="F440" s="460" t="s">
        <v>1866</v>
      </c>
      <c r="G440" s="460" t="s">
        <v>1863</v>
      </c>
      <c r="H440" s="460" t="s">
        <v>1864</v>
      </c>
      <c r="I440" s="540">
        <f>6000/9</f>
        <v>666.66666666666663</v>
      </c>
      <c r="J440" s="540">
        <f t="shared" ref="J440:J449" si="142">14400/18</f>
        <v>800</v>
      </c>
      <c r="K440" s="545">
        <f>48000/71</f>
        <v>676.05633802816897</v>
      </c>
      <c r="L440" s="555" t="e">
        <f>I440*INDEX([2]Pedidos!$Q:$Q,MATCH(F440,[2]Pedidos!$E:$E,0))</f>
        <v>#N/A</v>
      </c>
      <c r="M440" s="564">
        <f>J440*INDEX([2]Pedidos!$Q:$Q,MATCH(G440,[2]Pedidos!$E:$E,0))</f>
        <v>0</v>
      </c>
      <c r="N440" s="555">
        <f>K440*INDEX([2]Pedidos!$Q:$Q,MATCH(H440,[2]Pedidos!$E:$E,0))</f>
        <v>371.83098591549299</v>
      </c>
    </row>
    <row r="441" spans="1:16" x14ac:dyDescent="0.25">
      <c r="A441" s="752"/>
      <c r="C441" s="452" t="s">
        <v>173</v>
      </c>
      <c r="D441" s="453">
        <f t="shared" si="141"/>
        <v>46191</v>
      </c>
      <c r="E441" s="454" t="s">
        <v>163</v>
      </c>
      <c r="F441" s="460" t="s">
        <v>1866</v>
      </c>
      <c r="G441" s="460" t="s">
        <v>1863</v>
      </c>
      <c r="H441" s="460" t="s">
        <v>1864</v>
      </c>
      <c r="I441" s="540">
        <f t="shared" ref="I441:I449" si="143">6000/9</f>
        <v>666.66666666666663</v>
      </c>
      <c r="J441" s="540">
        <f t="shared" si="142"/>
        <v>800</v>
      </c>
      <c r="K441" s="545">
        <f t="shared" ref="K441:K444" si="144">48000/71</f>
        <v>676.05633802816897</v>
      </c>
      <c r="L441" s="564" t="e">
        <f>I441*INDEX([2]Pedidos!$Q:$Q,MATCH(F441,[2]Pedidos!$E:$E,0))</f>
        <v>#N/A</v>
      </c>
      <c r="M441" s="564">
        <f>J441*INDEX([2]Pedidos!$Q:$Q,MATCH(G441,[2]Pedidos!$E:$E,0))</f>
        <v>0</v>
      </c>
      <c r="N441" s="564">
        <f>K441*INDEX([2]Pedidos!$Q:$Q,MATCH(H441,[2]Pedidos!$E:$E,0))</f>
        <v>371.83098591549299</v>
      </c>
    </row>
    <row r="442" spans="1:16" x14ac:dyDescent="0.25">
      <c r="A442" s="752"/>
      <c r="C442" s="452" t="s">
        <v>173</v>
      </c>
      <c r="D442" s="453">
        <f t="shared" si="141"/>
        <v>46191</v>
      </c>
      <c r="E442" s="454" t="s">
        <v>164</v>
      </c>
      <c r="F442" s="460" t="s">
        <v>1866</v>
      </c>
      <c r="G442" s="460" t="s">
        <v>1863</v>
      </c>
      <c r="H442" s="460" t="s">
        <v>1864</v>
      </c>
      <c r="I442" s="540">
        <f t="shared" si="143"/>
        <v>666.66666666666663</v>
      </c>
      <c r="J442" s="540">
        <f t="shared" si="142"/>
        <v>800</v>
      </c>
      <c r="K442" s="545">
        <f t="shared" si="144"/>
        <v>676.05633802816897</v>
      </c>
      <c r="L442" s="564" t="e">
        <f>I442*INDEX([2]Pedidos!$Q:$Q,MATCH(F442,[2]Pedidos!$E:$E,0))</f>
        <v>#N/A</v>
      </c>
      <c r="M442" s="564">
        <f>J442*INDEX([2]Pedidos!$Q:$Q,MATCH(G442,[2]Pedidos!$E:$E,0))</f>
        <v>0</v>
      </c>
      <c r="N442" s="564">
        <f>K442*INDEX([2]Pedidos!$Q:$Q,MATCH(H442,[2]Pedidos!$E:$E,0))</f>
        <v>371.83098591549299</v>
      </c>
    </row>
    <row r="443" spans="1:16" x14ac:dyDescent="0.25">
      <c r="A443" s="752"/>
      <c r="C443" s="452" t="s">
        <v>173</v>
      </c>
      <c r="D443" s="453">
        <f t="shared" si="141"/>
        <v>46191</v>
      </c>
      <c r="E443" s="454" t="s">
        <v>165</v>
      </c>
      <c r="F443" s="460" t="s">
        <v>1866</v>
      </c>
      <c r="G443" s="460" t="s">
        <v>1863</v>
      </c>
      <c r="H443" s="460" t="s">
        <v>1864</v>
      </c>
      <c r="I443" s="540">
        <f t="shared" si="143"/>
        <v>666.66666666666663</v>
      </c>
      <c r="J443" s="540">
        <f t="shared" si="142"/>
        <v>800</v>
      </c>
      <c r="K443" s="545">
        <f t="shared" si="144"/>
        <v>676.05633802816897</v>
      </c>
      <c r="L443" s="564" t="e">
        <f>I443*INDEX([2]Pedidos!$Q:$Q,MATCH(F443,[2]Pedidos!$E:$E,0))</f>
        <v>#N/A</v>
      </c>
      <c r="M443" s="564">
        <f>J443*INDEX([2]Pedidos!$Q:$Q,MATCH(G443,[2]Pedidos!$E:$E,0))</f>
        <v>0</v>
      </c>
      <c r="N443" s="564">
        <f>K443*INDEX([2]Pedidos!$Q:$Q,MATCH(H443,[2]Pedidos!$E:$E,0))</f>
        <v>371.83098591549299</v>
      </c>
    </row>
    <row r="444" spans="1:16" x14ac:dyDescent="0.25">
      <c r="A444" s="752"/>
      <c r="C444" s="452" t="s">
        <v>173</v>
      </c>
      <c r="D444" s="453">
        <f t="shared" si="141"/>
        <v>46191</v>
      </c>
      <c r="E444" s="454" t="s">
        <v>166</v>
      </c>
      <c r="F444" s="460" t="s">
        <v>1866</v>
      </c>
      <c r="G444" s="460" t="s">
        <v>1863</v>
      </c>
      <c r="H444" s="460" t="s">
        <v>1864</v>
      </c>
      <c r="I444" s="540">
        <f t="shared" si="143"/>
        <v>666.66666666666663</v>
      </c>
      <c r="J444" s="540">
        <f t="shared" si="142"/>
        <v>800</v>
      </c>
      <c r="K444" s="545">
        <f t="shared" si="144"/>
        <v>676.05633802816897</v>
      </c>
      <c r="L444" s="564" t="e">
        <f>I444*INDEX([2]Pedidos!$Q:$Q,MATCH(F444,[2]Pedidos!$E:$E,0))</f>
        <v>#N/A</v>
      </c>
      <c r="M444" s="564">
        <f>J444*INDEX([2]Pedidos!$Q:$Q,MATCH(G444,[2]Pedidos!$E:$E,0))</f>
        <v>0</v>
      </c>
      <c r="N444" s="564">
        <f>K444*INDEX([2]Pedidos!$Q:$Q,MATCH(H444,[2]Pedidos!$E:$E,0))</f>
        <v>371.83098591549299</v>
      </c>
    </row>
    <row r="445" spans="1:16" x14ac:dyDescent="0.25">
      <c r="A445" s="752"/>
      <c r="C445" s="452" t="s">
        <v>173</v>
      </c>
      <c r="D445" s="453">
        <f t="shared" si="141"/>
        <v>46191</v>
      </c>
      <c r="E445" s="454" t="s">
        <v>576</v>
      </c>
      <c r="F445" s="512"/>
      <c r="G445" s="512"/>
      <c r="H445" s="512"/>
      <c r="I445" s="554"/>
      <c r="J445" s="554"/>
      <c r="K445" s="554"/>
      <c r="L445" s="556"/>
      <c r="M445" s="556"/>
      <c r="N445" s="556"/>
    </row>
    <row r="446" spans="1:16" x14ac:dyDescent="0.25">
      <c r="A446" s="752"/>
      <c r="C446" s="452" t="s">
        <v>173</v>
      </c>
      <c r="D446" s="449">
        <f t="shared" si="141"/>
        <v>46191</v>
      </c>
      <c r="E446" s="454" t="s">
        <v>167</v>
      </c>
      <c r="F446" s="460" t="s">
        <v>1866</v>
      </c>
      <c r="G446" s="460" t="s">
        <v>1863</v>
      </c>
      <c r="H446" s="460" t="s">
        <v>1864</v>
      </c>
      <c r="I446" s="540">
        <f t="shared" si="143"/>
        <v>666.66666666666663</v>
      </c>
      <c r="J446" s="540">
        <f t="shared" si="142"/>
        <v>800</v>
      </c>
      <c r="K446" s="545">
        <f t="shared" ref="K446:K449" si="145">48000/71</f>
        <v>676.05633802816897</v>
      </c>
      <c r="L446" s="565" t="e">
        <f>I446*INDEX([2]Pedidos!$Q:$Q,MATCH(F446,[2]Pedidos!$E:$E,0))</f>
        <v>#N/A</v>
      </c>
      <c r="M446" s="564">
        <f>J446*INDEX([2]Pedidos!$Q:$Q,MATCH(G446,[2]Pedidos!$E:$E,0))</f>
        <v>0</v>
      </c>
      <c r="N446" s="565">
        <f>K446*INDEX([2]Pedidos!$Q:$Q,MATCH(H446,[2]Pedidos!$E:$E,0))</f>
        <v>371.83098591549299</v>
      </c>
    </row>
    <row r="447" spans="1:16" x14ac:dyDescent="0.25">
      <c r="A447" s="752"/>
      <c r="C447" s="452" t="s">
        <v>173</v>
      </c>
      <c r="D447" s="449">
        <f t="shared" si="141"/>
        <v>46191</v>
      </c>
      <c r="E447" s="454" t="s">
        <v>168</v>
      </c>
      <c r="F447" s="460" t="s">
        <v>1866</v>
      </c>
      <c r="G447" s="460" t="s">
        <v>1863</v>
      </c>
      <c r="H447" s="460" t="s">
        <v>1864</v>
      </c>
      <c r="I447" s="540">
        <f t="shared" si="143"/>
        <v>666.66666666666663</v>
      </c>
      <c r="J447" s="540">
        <f t="shared" si="142"/>
        <v>800</v>
      </c>
      <c r="K447" s="545">
        <f t="shared" si="145"/>
        <v>676.05633802816897</v>
      </c>
      <c r="L447" s="565" t="e">
        <f>I447*INDEX([2]Pedidos!$Q:$Q,MATCH(F447,[2]Pedidos!$E:$E,0))</f>
        <v>#N/A</v>
      </c>
      <c r="M447" s="564">
        <f>J447*INDEX([2]Pedidos!$Q:$Q,MATCH(G447,[2]Pedidos!$E:$E,0))</f>
        <v>0</v>
      </c>
      <c r="N447" s="565">
        <f>K447*INDEX([2]Pedidos!$Q:$Q,MATCH(H447,[2]Pedidos!$E:$E,0))</f>
        <v>371.83098591549299</v>
      </c>
    </row>
    <row r="448" spans="1:16" x14ac:dyDescent="0.25">
      <c r="A448" s="752"/>
      <c r="C448" s="452" t="s">
        <v>173</v>
      </c>
      <c r="D448" s="449">
        <f t="shared" si="141"/>
        <v>46191</v>
      </c>
      <c r="E448" s="454" t="s">
        <v>169</v>
      </c>
      <c r="F448" s="460" t="s">
        <v>1866</v>
      </c>
      <c r="G448" s="460" t="s">
        <v>1863</v>
      </c>
      <c r="H448" s="460" t="s">
        <v>1864</v>
      </c>
      <c r="I448" s="540">
        <f t="shared" si="143"/>
        <v>666.66666666666663</v>
      </c>
      <c r="J448" s="540">
        <f t="shared" si="142"/>
        <v>800</v>
      </c>
      <c r="K448" s="545">
        <f t="shared" si="145"/>
        <v>676.05633802816897</v>
      </c>
      <c r="L448" s="565" t="e">
        <f>I448*INDEX([2]Pedidos!$Q:$Q,MATCH(F448,[2]Pedidos!$E:$E,0))</f>
        <v>#N/A</v>
      </c>
      <c r="M448" s="564">
        <f>J448*INDEX([2]Pedidos!$Q:$Q,MATCH(G448,[2]Pedidos!$E:$E,0))</f>
        <v>0</v>
      </c>
      <c r="N448" s="565">
        <f>K448*INDEX([2]Pedidos!$Q:$Q,MATCH(H448,[2]Pedidos!$E:$E,0))</f>
        <v>371.83098591549299</v>
      </c>
    </row>
    <row r="449" spans="1:16" x14ac:dyDescent="0.25">
      <c r="A449" s="752"/>
      <c r="C449" s="452" t="s">
        <v>173</v>
      </c>
      <c r="D449" s="449">
        <f t="shared" si="141"/>
        <v>46191</v>
      </c>
      <c r="E449" s="454" t="s">
        <v>170</v>
      </c>
      <c r="F449" s="460" t="s">
        <v>1866</v>
      </c>
      <c r="G449" s="460" t="s">
        <v>1863</v>
      </c>
      <c r="H449" s="460" t="s">
        <v>1864</v>
      </c>
      <c r="I449" s="540">
        <f t="shared" si="143"/>
        <v>666.66666666666663</v>
      </c>
      <c r="J449" s="540">
        <f t="shared" si="142"/>
        <v>800</v>
      </c>
      <c r="K449" s="545">
        <f t="shared" si="145"/>
        <v>676.05633802816897</v>
      </c>
      <c r="L449" s="566" t="e">
        <f>I449*INDEX([2]Pedidos!$Q:$Q,MATCH(F449,[2]Pedidos!$E:$E,0))</f>
        <v>#N/A</v>
      </c>
      <c r="M449" s="564">
        <f>J449*INDEX([2]Pedidos!$Q:$Q,MATCH(G449,[2]Pedidos!$E:$E,0))</f>
        <v>0</v>
      </c>
      <c r="N449" s="566">
        <f>K449*INDEX([2]Pedidos!$Q:$Q,MATCH(H449,[2]Pedidos!$E:$E,0))</f>
        <v>371.83098591549299</v>
      </c>
    </row>
    <row r="450" spans="1:16" x14ac:dyDescent="0.25">
      <c r="A450" s="752"/>
      <c r="C450" s="452" t="s">
        <v>173</v>
      </c>
      <c r="D450" s="449">
        <f t="shared" si="141"/>
        <v>46191</v>
      </c>
      <c r="E450" s="454" t="s">
        <v>585</v>
      </c>
      <c r="F450" s="505"/>
      <c r="G450" s="505"/>
      <c r="H450" s="505"/>
      <c r="I450" s="516"/>
      <c r="J450" s="516"/>
      <c r="K450" s="516"/>
      <c r="L450" s="557"/>
      <c r="M450" s="557"/>
      <c r="N450" s="557"/>
    </row>
    <row r="451" spans="1:16" x14ac:dyDescent="0.25">
      <c r="A451" s="752"/>
      <c r="C451" s="452" t="s">
        <v>173</v>
      </c>
      <c r="D451" s="449">
        <f t="shared" si="141"/>
        <v>46191</v>
      </c>
      <c r="E451" s="455" t="s">
        <v>574</v>
      </c>
      <c r="F451" s="505"/>
      <c r="G451" s="505"/>
      <c r="H451" s="505"/>
      <c r="I451" s="516"/>
      <c r="J451" s="516"/>
      <c r="K451" s="516"/>
      <c r="L451" s="557"/>
      <c r="M451" s="557"/>
      <c r="N451" s="557"/>
    </row>
    <row r="452" spans="1:16" x14ac:dyDescent="0.25">
      <c r="A452" s="752"/>
      <c r="C452" s="452" t="s">
        <v>173</v>
      </c>
      <c r="D452" s="449">
        <f t="shared" si="141"/>
        <v>46191</v>
      </c>
      <c r="E452" s="455" t="s">
        <v>575</v>
      </c>
      <c r="F452" s="506"/>
      <c r="G452" s="506"/>
      <c r="H452" s="506"/>
      <c r="I452" s="516"/>
      <c r="J452" s="516"/>
      <c r="K452" s="516"/>
      <c r="L452" s="557"/>
      <c r="M452" s="557"/>
      <c r="N452" s="557"/>
    </row>
    <row r="453" spans="1:16" x14ac:dyDescent="0.25">
      <c r="A453" s="752"/>
      <c r="C453" s="452" t="s">
        <v>173</v>
      </c>
      <c r="D453" s="449">
        <f t="shared" si="141"/>
        <v>46191</v>
      </c>
      <c r="E453" s="503" t="s">
        <v>583</v>
      </c>
      <c r="F453" s="506"/>
      <c r="G453" s="506"/>
      <c r="H453" s="506"/>
      <c r="I453" s="516"/>
      <c r="J453" s="516"/>
      <c r="K453" s="516"/>
      <c r="L453" s="557"/>
      <c r="M453" s="557"/>
      <c r="N453" s="557"/>
    </row>
    <row r="454" spans="1:16" ht="15.75" thickBot="1" x14ac:dyDescent="0.3">
      <c r="A454" s="752"/>
      <c r="C454" s="530" t="s">
        <v>173</v>
      </c>
      <c r="D454" s="451">
        <f t="shared" si="141"/>
        <v>46191</v>
      </c>
      <c r="E454" s="459" t="s">
        <v>584</v>
      </c>
      <c r="F454" s="493"/>
      <c r="G454" s="493"/>
      <c r="H454" s="493"/>
      <c r="I454" s="513"/>
      <c r="J454" s="513"/>
      <c r="K454" s="513"/>
      <c r="L454" s="558"/>
      <c r="M454" s="558"/>
      <c r="N454" s="558"/>
    </row>
    <row r="455" spans="1:16" ht="5.25" customHeight="1" thickBot="1" x14ac:dyDescent="0.3">
      <c r="A455" s="752"/>
      <c r="I455" s="445"/>
      <c r="J455" s="445"/>
      <c r="L455" s="559"/>
      <c r="M455" s="559"/>
      <c r="N455" s="559"/>
    </row>
    <row r="456" spans="1:16" ht="15.75" thickBot="1" x14ac:dyDescent="0.3">
      <c r="A456" s="752"/>
      <c r="C456" s="546">
        <f>SUM(I384:K384,I402:K402,I420:K420,I438:K438,I456:K456)</f>
        <v>81026.478873239437</v>
      </c>
      <c r="D456" s="547">
        <f>SUM(P456,P438,P420,P402,P384)</f>
        <v>16360.563380281692</v>
      </c>
      <c r="E456" s="539"/>
      <c r="F456" s="539"/>
      <c r="G456" s="539"/>
      <c r="H456" s="539"/>
      <c r="I456" s="606">
        <f t="shared" ref="I456:N456" si="146">_xlfn.AGGREGATE(9,6,I457:I472)</f>
        <v>0</v>
      </c>
      <c r="J456" s="607">
        <f t="shared" si="146"/>
        <v>0</v>
      </c>
      <c r="K456" s="544">
        <f t="shared" si="146"/>
        <v>5408.4507042253526</v>
      </c>
      <c r="L456" s="560">
        <f t="shared" si="146"/>
        <v>0</v>
      </c>
      <c r="M456" s="561">
        <f t="shared" si="146"/>
        <v>0</v>
      </c>
      <c r="N456" s="562">
        <f t="shared" si="146"/>
        <v>2974.6478873239435</v>
      </c>
      <c r="O456" s="548">
        <f>SUM(I456:K456)</f>
        <v>5408.4507042253526</v>
      </c>
      <c r="P456" s="549">
        <f>SUM(L456:N456)</f>
        <v>2974.6478873239435</v>
      </c>
    </row>
    <row r="457" spans="1:16" x14ac:dyDescent="0.25">
      <c r="A457" s="752"/>
      <c r="C457" s="529" t="s">
        <v>174</v>
      </c>
      <c r="D457" s="447">
        <f>D454+1</f>
        <v>46192</v>
      </c>
      <c r="E457" s="498" t="s">
        <v>573</v>
      </c>
      <c r="F457" s="514"/>
      <c r="G457" s="514"/>
      <c r="H457" s="514"/>
      <c r="I457" s="537"/>
      <c r="J457" s="537"/>
      <c r="K457" s="537"/>
      <c r="L457" s="563"/>
      <c r="M457" s="563"/>
      <c r="N457" s="563"/>
    </row>
    <row r="458" spans="1:16" x14ac:dyDescent="0.25">
      <c r="A458" s="752"/>
      <c r="C458" s="452" t="s">
        <v>174</v>
      </c>
      <c r="D458" s="453">
        <f t="shared" ref="D458:D472" si="147">D457</f>
        <v>46192</v>
      </c>
      <c r="E458" s="500" t="s">
        <v>162</v>
      </c>
      <c r="F458" s="460" t="s">
        <v>1866</v>
      </c>
      <c r="G458" s="460"/>
      <c r="H458" s="460" t="s">
        <v>1864</v>
      </c>
      <c r="I458" s="540"/>
      <c r="J458" s="540"/>
      <c r="K458" s="545">
        <f>48000/71</f>
        <v>676.05633802816897</v>
      </c>
      <c r="L458" s="555" t="e">
        <f>I458*INDEX([2]Pedidos!$Q:$Q,MATCH(F458,[2]Pedidos!$E:$E,0))</f>
        <v>#N/A</v>
      </c>
      <c r="M458" s="564" t="e">
        <f>J458*INDEX([2]Pedidos!$Q:$Q,MATCH(G458,[2]Pedidos!$E:$E,0))</f>
        <v>#N/A</v>
      </c>
      <c r="N458" s="555">
        <f>K458*INDEX([2]Pedidos!$Q:$Q,MATCH(H458,[2]Pedidos!$E:$E,0))</f>
        <v>371.83098591549299</v>
      </c>
    </row>
    <row r="459" spans="1:16" x14ac:dyDescent="0.25">
      <c r="A459" s="752"/>
      <c r="C459" s="452" t="s">
        <v>174</v>
      </c>
      <c r="D459" s="453">
        <f t="shared" si="147"/>
        <v>46192</v>
      </c>
      <c r="E459" s="454" t="s">
        <v>163</v>
      </c>
      <c r="F459" s="460" t="s">
        <v>1866</v>
      </c>
      <c r="G459" s="460"/>
      <c r="H459" s="460" t="s">
        <v>1864</v>
      </c>
      <c r="I459" s="540"/>
      <c r="J459" s="540"/>
      <c r="K459" s="545">
        <f t="shared" ref="K459:K462" si="148">48000/71</f>
        <v>676.05633802816897</v>
      </c>
      <c r="L459" s="564" t="e">
        <f>I459*INDEX([2]Pedidos!$Q:$Q,MATCH(F459,[2]Pedidos!$E:$E,0))</f>
        <v>#N/A</v>
      </c>
      <c r="M459" s="564" t="e">
        <f>J459*INDEX([2]Pedidos!$Q:$Q,MATCH(G459,[2]Pedidos!$E:$E,0))</f>
        <v>#N/A</v>
      </c>
      <c r="N459" s="564">
        <f>K459*INDEX([2]Pedidos!$Q:$Q,MATCH(H459,[2]Pedidos!$E:$E,0))</f>
        <v>371.83098591549299</v>
      </c>
    </row>
    <row r="460" spans="1:16" x14ac:dyDescent="0.25">
      <c r="A460" s="752"/>
      <c r="C460" s="452" t="s">
        <v>174</v>
      </c>
      <c r="D460" s="453">
        <f t="shared" si="147"/>
        <v>46192</v>
      </c>
      <c r="E460" s="454" t="s">
        <v>164</v>
      </c>
      <c r="F460" s="460" t="s">
        <v>1866</v>
      </c>
      <c r="G460" s="460"/>
      <c r="H460" s="460" t="s">
        <v>1864</v>
      </c>
      <c r="I460" s="540"/>
      <c r="J460" s="540"/>
      <c r="K460" s="545">
        <f t="shared" si="148"/>
        <v>676.05633802816897</v>
      </c>
      <c r="L460" s="564" t="e">
        <f>I460*INDEX([2]Pedidos!$Q:$Q,MATCH(F460,[2]Pedidos!$E:$E,0))</f>
        <v>#N/A</v>
      </c>
      <c r="M460" s="564" t="e">
        <f>J460*INDEX([2]Pedidos!$Q:$Q,MATCH(G460,[2]Pedidos!$E:$E,0))</f>
        <v>#N/A</v>
      </c>
      <c r="N460" s="564">
        <f>K460*INDEX([2]Pedidos!$Q:$Q,MATCH(H460,[2]Pedidos!$E:$E,0))</f>
        <v>371.83098591549299</v>
      </c>
    </row>
    <row r="461" spans="1:16" x14ac:dyDescent="0.25">
      <c r="A461" s="752"/>
      <c r="C461" s="452" t="s">
        <v>174</v>
      </c>
      <c r="D461" s="453">
        <f t="shared" si="147"/>
        <v>46192</v>
      </c>
      <c r="E461" s="454" t="s">
        <v>165</v>
      </c>
      <c r="F461" s="460" t="s">
        <v>1866</v>
      </c>
      <c r="G461" s="460"/>
      <c r="H461" s="460" t="s">
        <v>1864</v>
      </c>
      <c r="I461" s="540"/>
      <c r="J461" s="540"/>
      <c r="K461" s="545">
        <f t="shared" si="148"/>
        <v>676.05633802816897</v>
      </c>
      <c r="L461" s="564" t="e">
        <f>I461*INDEX([2]Pedidos!$Q:$Q,MATCH(F461,[2]Pedidos!$E:$E,0))</f>
        <v>#N/A</v>
      </c>
      <c r="M461" s="564" t="e">
        <f>J461*INDEX([2]Pedidos!$Q:$Q,MATCH(G461,[2]Pedidos!$E:$E,0))</f>
        <v>#N/A</v>
      </c>
      <c r="N461" s="564">
        <f>K461*INDEX([2]Pedidos!$Q:$Q,MATCH(H461,[2]Pedidos!$E:$E,0))</f>
        <v>371.83098591549299</v>
      </c>
    </row>
    <row r="462" spans="1:16" x14ac:dyDescent="0.25">
      <c r="A462" s="752"/>
      <c r="C462" s="452" t="s">
        <v>174</v>
      </c>
      <c r="D462" s="453">
        <f t="shared" si="147"/>
        <v>46192</v>
      </c>
      <c r="E462" s="454" t="s">
        <v>166</v>
      </c>
      <c r="F462" s="460" t="s">
        <v>1866</v>
      </c>
      <c r="G462" s="460"/>
      <c r="H462" s="460" t="s">
        <v>1864</v>
      </c>
      <c r="I462" s="540"/>
      <c r="J462" s="540"/>
      <c r="K462" s="545">
        <f t="shared" si="148"/>
        <v>676.05633802816897</v>
      </c>
      <c r="L462" s="564" t="e">
        <f>I462*INDEX([2]Pedidos!$Q:$Q,MATCH(F462,[2]Pedidos!$E:$E,0))</f>
        <v>#N/A</v>
      </c>
      <c r="M462" s="564" t="e">
        <f>J462*INDEX([2]Pedidos!$Q:$Q,MATCH(G462,[2]Pedidos!$E:$E,0))</f>
        <v>#N/A</v>
      </c>
      <c r="N462" s="564">
        <f>K462*INDEX([2]Pedidos!$Q:$Q,MATCH(H462,[2]Pedidos!$E:$E,0))</f>
        <v>371.83098591549299</v>
      </c>
    </row>
    <row r="463" spans="1:16" x14ac:dyDescent="0.25">
      <c r="A463" s="752"/>
      <c r="C463" s="452" t="s">
        <v>174</v>
      </c>
      <c r="D463" s="453">
        <f t="shared" si="147"/>
        <v>46192</v>
      </c>
      <c r="E463" s="454" t="s">
        <v>576</v>
      </c>
      <c r="F463" s="512"/>
      <c r="G463" s="512"/>
      <c r="H463" s="512"/>
      <c r="I463" s="554"/>
      <c r="J463" s="554"/>
      <c r="K463" s="554"/>
      <c r="L463" s="556"/>
      <c r="M463" s="556"/>
      <c r="N463" s="556"/>
    </row>
    <row r="464" spans="1:16" x14ac:dyDescent="0.25">
      <c r="A464" s="752"/>
      <c r="C464" s="452" t="s">
        <v>174</v>
      </c>
      <c r="D464" s="449">
        <f t="shared" si="147"/>
        <v>46192</v>
      </c>
      <c r="E464" s="454" t="s">
        <v>167</v>
      </c>
      <c r="F464" s="460" t="s">
        <v>1866</v>
      </c>
      <c r="G464" s="460"/>
      <c r="H464" s="460" t="s">
        <v>1864</v>
      </c>
      <c r="I464" s="540"/>
      <c r="J464" s="540"/>
      <c r="K464" s="545">
        <f t="shared" ref="K464:K466" si="149">48000/71</f>
        <v>676.05633802816897</v>
      </c>
      <c r="L464" s="565" t="e">
        <f>I464*INDEX([2]Pedidos!$Q:$Q,MATCH(F464,[2]Pedidos!$E:$E,0))</f>
        <v>#N/A</v>
      </c>
      <c r="M464" s="564" t="e">
        <f>J464*INDEX([2]Pedidos!$Q:$Q,MATCH(G464,[2]Pedidos!$E:$E,0))</f>
        <v>#N/A</v>
      </c>
      <c r="N464" s="565">
        <f>K464*INDEX([2]Pedidos!$Q:$Q,MATCH(H464,[2]Pedidos!$E:$E,0))</f>
        <v>371.83098591549299</v>
      </c>
    </row>
    <row r="465" spans="1:16" x14ac:dyDescent="0.25">
      <c r="A465" s="752"/>
      <c r="C465" s="452" t="s">
        <v>174</v>
      </c>
      <c r="D465" s="449">
        <f t="shared" si="147"/>
        <v>46192</v>
      </c>
      <c r="E465" s="454" t="s">
        <v>168</v>
      </c>
      <c r="F465" s="460" t="s">
        <v>1866</v>
      </c>
      <c r="G465" s="460"/>
      <c r="H465" s="460" t="s">
        <v>1864</v>
      </c>
      <c r="I465" s="540"/>
      <c r="J465" s="540"/>
      <c r="K465" s="545">
        <f t="shared" si="149"/>
        <v>676.05633802816897</v>
      </c>
      <c r="L465" s="565" t="e">
        <f>I465*INDEX([2]Pedidos!$Q:$Q,MATCH(F465,[2]Pedidos!$E:$E,0))</f>
        <v>#N/A</v>
      </c>
      <c r="M465" s="564" t="e">
        <f>J465*INDEX([2]Pedidos!$Q:$Q,MATCH(G465,[2]Pedidos!$E:$E,0))</f>
        <v>#N/A</v>
      </c>
      <c r="N465" s="565">
        <f>K465*INDEX([2]Pedidos!$Q:$Q,MATCH(H465,[2]Pedidos!$E:$E,0))</f>
        <v>371.83098591549299</v>
      </c>
    </row>
    <row r="466" spans="1:16" x14ac:dyDescent="0.25">
      <c r="A466" s="752"/>
      <c r="C466" s="452" t="s">
        <v>174</v>
      </c>
      <c r="D466" s="449">
        <f t="shared" si="147"/>
        <v>46192</v>
      </c>
      <c r="E466" s="454" t="s">
        <v>169</v>
      </c>
      <c r="F466" s="460" t="s">
        <v>1866</v>
      </c>
      <c r="G466" s="460"/>
      <c r="H466" s="460" t="s">
        <v>1864</v>
      </c>
      <c r="I466" s="540"/>
      <c r="J466" s="540"/>
      <c r="K466" s="545">
        <f t="shared" si="149"/>
        <v>676.05633802816897</v>
      </c>
      <c r="L466" s="565" t="e">
        <f>I466*INDEX([2]Pedidos!$Q:$Q,MATCH(F466,[2]Pedidos!$E:$E,0))</f>
        <v>#N/A</v>
      </c>
      <c r="M466" s="564" t="e">
        <f>J466*INDEX([2]Pedidos!$Q:$Q,MATCH(G466,[2]Pedidos!$E:$E,0))</f>
        <v>#N/A</v>
      </c>
      <c r="N466" s="565">
        <f>K466*INDEX([2]Pedidos!$Q:$Q,MATCH(H466,[2]Pedidos!$E:$E,0))</f>
        <v>371.83098591549299</v>
      </c>
    </row>
    <row r="467" spans="1:16" x14ac:dyDescent="0.25">
      <c r="A467" s="752"/>
      <c r="C467" s="452" t="s">
        <v>174</v>
      </c>
      <c r="D467" s="449">
        <f t="shared" si="147"/>
        <v>46192</v>
      </c>
      <c r="E467" s="454" t="s">
        <v>170</v>
      </c>
      <c r="F467" s="505"/>
      <c r="G467" s="505"/>
      <c r="H467" s="505"/>
      <c r="I467" s="516"/>
      <c r="J467" s="516"/>
      <c r="K467" s="516"/>
      <c r="L467" s="566" t="e">
        <f>I467*INDEX([2]Pedidos!$Q:$Q,MATCH(F467,[2]Pedidos!$E:$E,0))</f>
        <v>#N/A</v>
      </c>
      <c r="M467" s="564" t="e">
        <f>J467*INDEX([2]Pedidos!$Q:$Q,MATCH(G467,[2]Pedidos!$E:$E,0))</f>
        <v>#N/A</v>
      </c>
      <c r="N467" s="566" t="e">
        <f>K467*INDEX([2]Pedidos!$Q:$Q,MATCH(H467,[2]Pedidos!$E:$E,0))</f>
        <v>#N/A</v>
      </c>
    </row>
    <row r="468" spans="1:16" x14ac:dyDescent="0.25">
      <c r="A468" s="752"/>
      <c r="C468" s="452" t="s">
        <v>174</v>
      </c>
      <c r="D468" s="449">
        <f t="shared" si="147"/>
        <v>46192</v>
      </c>
      <c r="E468" s="454" t="s">
        <v>585</v>
      </c>
      <c r="F468" s="505"/>
      <c r="G468" s="505"/>
      <c r="H468" s="505"/>
      <c r="I468" s="516"/>
      <c r="J468" s="516"/>
      <c r="K468" s="516"/>
      <c r="L468" s="557"/>
      <c r="M468" s="557"/>
      <c r="N468" s="557"/>
    </row>
    <row r="469" spans="1:16" x14ac:dyDescent="0.25">
      <c r="A469" s="752"/>
      <c r="C469" s="452" t="s">
        <v>174</v>
      </c>
      <c r="D469" s="449">
        <f t="shared" si="147"/>
        <v>46192</v>
      </c>
      <c r="E469" s="455" t="s">
        <v>574</v>
      </c>
      <c r="F469" s="505"/>
      <c r="G469" s="505"/>
      <c r="H469" s="505"/>
      <c r="I469" s="516"/>
      <c r="J469" s="516"/>
      <c r="K469" s="516"/>
      <c r="L469" s="557"/>
      <c r="M469" s="557"/>
      <c r="N469" s="557"/>
    </row>
    <row r="470" spans="1:16" x14ac:dyDescent="0.25">
      <c r="A470" s="752"/>
      <c r="C470" s="452" t="s">
        <v>174</v>
      </c>
      <c r="D470" s="449">
        <f t="shared" si="147"/>
        <v>46192</v>
      </c>
      <c r="E470" s="455" t="s">
        <v>575</v>
      </c>
      <c r="F470" s="506"/>
      <c r="G470" s="506"/>
      <c r="H470" s="506"/>
      <c r="I470" s="516"/>
      <c r="J470" s="516"/>
      <c r="K470" s="516"/>
      <c r="L470" s="557"/>
      <c r="M470" s="557"/>
      <c r="N470" s="557"/>
    </row>
    <row r="471" spans="1:16" x14ac:dyDescent="0.25">
      <c r="A471" s="752"/>
      <c r="C471" s="452" t="s">
        <v>174</v>
      </c>
      <c r="D471" s="502">
        <f t="shared" si="147"/>
        <v>46192</v>
      </c>
      <c r="E471" s="503" t="s">
        <v>583</v>
      </c>
      <c r="F471" s="506"/>
      <c r="G471" s="506"/>
      <c r="H471" s="506"/>
      <c r="I471" s="516"/>
      <c r="J471" s="516"/>
      <c r="K471" s="516"/>
      <c r="L471" s="557"/>
      <c r="M471" s="557"/>
      <c r="N471" s="557"/>
    </row>
    <row r="472" spans="1:16" ht="15.75" thickBot="1" x14ac:dyDescent="0.3">
      <c r="A472" s="752"/>
      <c r="C472" s="530" t="s">
        <v>174</v>
      </c>
      <c r="D472" s="451">
        <f t="shared" si="147"/>
        <v>46192</v>
      </c>
      <c r="E472" s="459" t="s">
        <v>584</v>
      </c>
      <c r="F472" s="493"/>
      <c r="G472" s="493"/>
      <c r="H472" s="493"/>
      <c r="I472" s="513"/>
      <c r="J472" s="513"/>
      <c r="K472" s="513"/>
      <c r="L472" s="558"/>
      <c r="M472" s="558"/>
      <c r="N472" s="558"/>
    </row>
    <row r="473" spans="1:16" ht="5.25" customHeight="1" thickBot="1" x14ac:dyDescent="0.3">
      <c r="A473" s="752"/>
      <c r="I473" s="445"/>
      <c r="J473" s="445"/>
      <c r="L473" s="559"/>
      <c r="M473" s="559"/>
      <c r="N473" s="559"/>
    </row>
    <row r="474" spans="1:16" ht="15.75" thickBot="1" x14ac:dyDescent="0.3">
      <c r="A474" s="752"/>
      <c r="C474" s="538"/>
      <c r="D474" s="539"/>
      <c r="E474" s="539"/>
      <c r="F474" s="539"/>
      <c r="G474" s="539"/>
      <c r="H474" s="539"/>
      <c r="I474" s="606">
        <f t="shared" ref="I474:N474" ca="1" si="150">_xlfn.AGGREGATE(9,6,I475:I490)</f>
        <v>0</v>
      </c>
      <c r="J474" s="607">
        <f t="shared" ca="1" si="150"/>
        <v>0</v>
      </c>
      <c r="K474" s="544">
        <f t="shared" ca="1" si="150"/>
        <v>0</v>
      </c>
      <c r="L474" s="560">
        <f t="shared" si="150"/>
        <v>0</v>
      </c>
      <c r="M474" s="561">
        <f t="shared" si="150"/>
        <v>0</v>
      </c>
      <c r="N474" s="562">
        <f t="shared" si="150"/>
        <v>0</v>
      </c>
      <c r="O474" s="548">
        <f ca="1">SUM(I474:K474)</f>
        <v>0</v>
      </c>
      <c r="P474" s="549">
        <f>SUM(L474:N474)</f>
        <v>0</v>
      </c>
    </row>
    <row r="475" spans="1:16" x14ac:dyDescent="0.25">
      <c r="A475" s="752"/>
      <c r="C475" s="529" t="s">
        <v>1033</v>
      </c>
      <c r="D475" s="447">
        <f>D472+1</f>
        <v>46193</v>
      </c>
      <c r="E475" s="498" t="s">
        <v>573</v>
      </c>
      <c r="F475" s="514"/>
      <c r="G475" s="514"/>
      <c r="H475" s="514"/>
      <c r="I475" s="537" cm="1">
        <f t="array" aca="1" ref="I475" ca="1">IFERROR(_xlfn.LET(_xlpm.produto,TRIM(F475)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75" s="537" cm="1">
        <f t="array" aca="1" ref="J475" ca="1">IFERROR(_xlfn.LET(_xlpm.produto,TRIM(G475)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75" s="537" cm="1">
        <f t="array" aca="1" ref="K475" ca="1">IFERROR(_xlfn.LET(_xlpm.produto,TRIM(H475)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75" s="563"/>
      <c r="M475" s="563"/>
      <c r="N475" s="563"/>
    </row>
    <row r="476" spans="1:16" x14ac:dyDescent="0.25">
      <c r="A476" s="752"/>
      <c r="C476" s="452" t="s">
        <v>1033</v>
      </c>
      <c r="D476" s="453">
        <f t="shared" ref="D476:D490" si="151">D475</f>
        <v>46193</v>
      </c>
      <c r="E476" s="500" t="s">
        <v>162</v>
      </c>
      <c r="F476" s="517"/>
      <c r="G476" s="517"/>
      <c r="H476" s="517"/>
      <c r="I476" s="540"/>
      <c r="J476" s="540"/>
      <c r="K476" s="540"/>
      <c r="L476" s="555" t="e">
        <f>I476*INDEX([2]Pedidos!$Q:$Q,MATCH(F476,[2]Pedidos!$E:$E,0))</f>
        <v>#N/A</v>
      </c>
      <c r="M476" s="555" t="e">
        <f>J476*INDEX([2]Pedidos!$Q:$Q,MATCH(G476,[2]Pedidos!$E:$E,0))</f>
        <v>#N/A</v>
      </c>
      <c r="N476" s="555" t="e">
        <f>K476*INDEX([2]Pedidos!$Q:$Q,MATCH(H476,[2]Pedidos!$E:$E,0))</f>
        <v>#N/A</v>
      </c>
    </row>
    <row r="477" spans="1:16" x14ac:dyDescent="0.25">
      <c r="A477" s="752"/>
      <c r="C477" s="452" t="s">
        <v>1033</v>
      </c>
      <c r="D477" s="453">
        <f t="shared" si="151"/>
        <v>46193</v>
      </c>
      <c r="E477" s="454" t="s">
        <v>163</v>
      </c>
      <c r="F477" s="517"/>
      <c r="G477" s="512"/>
      <c r="H477" s="505"/>
      <c r="I477" s="540"/>
      <c r="J477" s="540"/>
      <c r="K477" s="540"/>
      <c r="L477" s="564" t="e">
        <f>I477*INDEX([2]Pedidos!$Q:$Q,MATCH(F477,[2]Pedidos!$E:$E,0))</f>
        <v>#N/A</v>
      </c>
      <c r="M477" s="564" t="e">
        <f>J477*INDEX([2]Pedidos!$Q:$Q,MATCH(G477,[2]Pedidos!$E:$E,0))</f>
        <v>#N/A</v>
      </c>
      <c r="N477" s="564" t="e">
        <f>K477*INDEX([2]Pedidos!$Q:$Q,MATCH(H477,[2]Pedidos!$E:$E,0))</f>
        <v>#N/A</v>
      </c>
    </row>
    <row r="478" spans="1:16" x14ac:dyDescent="0.25">
      <c r="A478" s="752"/>
      <c r="C478" s="452" t="s">
        <v>1033</v>
      </c>
      <c r="D478" s="453">
        <f t="shared" si="151"/>
        <v>46193</v>
      </c>
      <c r="E478" s="454" t="s">
        <v>164</v>
      </c>
      <c r="F478" s="517"/>
      <c r="G478" s="512"/>
      <c r="H478" s="505"/>
      <c r="I478" s="540"/>
      <c r="J478" s="540"/>
      <c r="K478" s="540"/>
      <c r="L478" s="564" t="e">
        <f>I478*INDEX([2]Pedidos!$Q:$Q,MATCH(F478,[2]Pedidos!$E:$E,0))</f>
        <v>#N/A</v>
      </c>
      <c r="M478" s="564" t="e">
        <f>J478*INDEX([2]Pedidos!$Q:$Q,MATCH(G478,[2]Pedidos!$E:$E,0))</f>
        <v>#N/A</v>
      </c>
      <c r="N478" s="564" t="e">
        <f>K478*INDEX([2]Pedidos!$Q:$Q,MATCH(H478,[2]Pedidos!$E:$E,0))</f>
        <v>#N/A</v>
      </c>
    </row>
    <row r="479" spans="1:16" x14ac:dyDescent="0.25">
      <c r="A479" s="752"/>
      <c r="C479" s="452" t="s">
        <v>1033</v>
      </c>
      <c r="D479" s="453">
        <f t="shared" si="151"/>
        <v>46193</v>
      </c>
      <c r="E479" s="454" t="s">
        <v>165</v>
      </c>
      <c r="F479" s="517"/>
      <c r="G479" s="512"/>
      <c r="H479" s="505"/>
      <c r="I479" s="540"/>
      <c r="J479" s="540"/>
      <c r="K479" s="540"/>
      <c r="L479" s="564" t="e">
        <f>I479*INDEX([2]Pedidos!$Q:$Q,MATCH(F479,[2]Pedidos!$E:$E,0))</f>
        <v>#N/A</v>
      </c>
      <c r="M479" s="564" t="e">
        <f>J479*INDEX([2]Pedidos!$Q:$Q,MATCH(G479,[2]Pedidos!$E:$E,0))</f>
        <v>#N/A</v>
      </c>
      <c r="N479" s="564" t="e">
        <f>K479*INDEX([2]Pedidos!$Q:$Q,MATCH(H479,[2]Pedidos!$E:$E,0))</f>
        <v>#N/A</v>
      </c>
    </row>
    <row r="480" spans="1:16" x14ac:dyDescent="0.25">
      <c r="A480" s="752"/>
      <c r="C480" s="452" t="s">
        <v>1033</v>
      </c>
      <c r="D480" s="453">
        <f t="shared" si="151"/>
        <v>46193</v>
      </c>
      <c r="E480" s="454" t="s">
        <v>166</v>
      </c>
      <c r="F480" s="517"/>
      <c r="G480" s="512"/>
      <c r="H480" s="505"/>
      <c r="I480" s="540"/>
      <c r="J480" s="540"/>
      <c r="K480" s="540"/>
      <c r="L480" s="564" t="e">
        <f>I480*INDEX([2]Pedidos!$Q:$Q,MATCH(F480,[2]Pedidos!$E:$E,0))</f>
        <v>#N/A</v>
      </c>
      <c r="M480" s="564" t="e">
        <f>J480*INDEX([2]Pedidos!$Q:$Q,MATCH(G480,[2]Pedidos!$E:$E,0))</f>
        <v>#N/A</v>
      </c>
      <c r="N480" s="564" t="e">
        <f>K480*INDEX([2]Pedidos!$Q:$Q,MATCH(H480,[2]Pedidos!$E:$E,0))</f>
        <v>#N/A</v>
      </c>
    </row>
    <row r="481" spans="1:16" x14ac:dyDescent="0.25">
      <c r="A481" s="752"/>
      <c r="C481" s="452" t="s">
        <v>1033</v>
      </c>
      <c r="D481" s="453">
        <f t="shared" si="151"/>
        <v>46193</v>
      </c>
      <c r="E481" s="454" t="s">
        <v>576</v>
      </c>
      <c r="F481" s="517"/>
      <c r="G481" s="512"/>
      <c r="H481" s="505"/>
      <c r="I481" s="541" cm="1">
        <f t="array" aca="1" ref="I481" ca="1">IFERROR(_xlfn.LET(_xlpm.produto,TRIM(F481)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81" s="541" cm="1">
        <f t="array" aca="1" ref="J481" ca="1">IFERROR(_xlfn.LET(_xlpm.produto,TRIM(G481)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1" s="541" cm="1">
        <f t="array" aca="1" ref="K481" ca="1">IFERROR(_xlfn.LET(_xlpm.produto,TRIM(H481)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1" s="556"/>
      <c r="M481" s="556"/>
      <c r="N481" s="556"/>
    </row>
    <row r="482" spans="1:16" x14ac:dyDescent="0.25">
      <c r="A482" s="752"/>
      <c r="C482" s="452" t="s">
        <v>1033</v>
      </c>
      <c r="D482" s="449">
        <f t="shared" si="151"/>
        <v>46193</v>
      </c>
      <c r="E482" s="454" t="s">
        <v>167</v>
      </c>
      <c r="F482" s="517"/>
      <c r="G482" s="512"/>
      <c r="H482" s="505"/>
      <c r="I482" s="540"/>
      <c r="J482" s="540"/>
      <c r="K482" s="540"/>
      <c r="L482" s="565" t="e">
        <f>I482*INDEX([2]Pedidos!$Q:$Q,MATCH(F482,[2]Pedidos!$E:$E,0))</f>
        <v>#N/A</v>
      </c>
      <c r="M482" s="565" t="e">
        <f>J482*INDEX([2]Pedidos!$Q:$Q,MATCH(G482,[2]Pedidos!$E:$E,0))</f>
        <v>#N/A</v>
      </c>
      <c r="N482" s="565" t="e">
        <f>K482*INDEX([2]Pedidos!$Q:$Q,MATCH(H482,[2]Pedidos!$E:$E,0))</f>
        <v>#N/A</v>
      </c>
    </row>
    <row r="483" spans="1:16" x14ac:dyDescent="0.25">
      <c r="A483" s="752"/>
      <c r="C483" s="452" t="s">
        <v>1033</v>
      </c>
      <c r="D483" s="449">
        <f t="shared" si="151"/>
        <v>46193</v>
      </c>
      <c r="E483" s="454" t="s">
        <v>168</v>
      </c>
      <c r="F483" s="517"/>
      <c r="G483" s="512"/>
      <c r="H483" s="505"/>
      <c r="I483" s="540"/>
      <c r="J483" s="540"/>
      <c r="K483" s="540"/>
      <c r="L483" s="565" t="e">
        <f>I483*INDEX([2]Pedidos!$Q:$Q,MATCH(F483,[2]Pedidos!$E:$E,0))</f>
        <v>#N/A</v>
      </c>
      <c r="M483" s="565" t="e">
        <f>J483*INDEX([2]Pedidos!$Q:$Q,MATCH(G483,[2]Pedidos!$E:$E,0))</f>
        <v>#N/A</v>
      </c>
      <c r="N483" s="565" t="e">
        <f>K483*INDEX([2]Pedidos!$Q:$Q,MATCH(H483,[2]Pedidos!$E:$E,0))</f>
        <v>#N/A</v>
      </c>
    </row>
    <row r="484" spans="1:16" x14ac:dyDescent="0.25">
      <c r="A484" s="752"/>
      <c r="C484" s="452" t="s">
        <v>1033</v>
      </c>
      <c r="D484" s="449">
        <f t="shared" si="151"/>
        <v>46193</v>
      </c>
      <c r="E484" s="454" t="s">
        <v>169</v>
      </c>
      <c r="F484" s="517"/>
      <c r="G484" s="512"/>
      <c r="H484" s="505"/>
      <c r="I484" s="540"/>
      <c r="J484" s="540"/>
      <c r="K484" s="540"/>
      <c r="L484" s="565" t="e">
        <f>I484*INDEX([2]Pedidos!$Q:$Q,MATCH(F484,[2]Pedidos!$E:$E,0))</f>
        <v>#N/A</v>
      </c>
      <c r="M484" s="565" t="e">
        <f>J484*INDEX([2]Pedidos!$Q:$Q,MATCH(G484,[2]Pedidos!$E:$E,0))</f>
        <v>#N/A</v>
      </c>
      <c r="N484" s="565" t="e">
        <f>K484*INDEX([2]Pedidos!$Q:$Q,MATCH(H484,[2]Pedidos!$E:$E,0))</f>
        <v>#N/A</v>
      </c>
    </row>
    <row r="485" spans="1:16" x14ac:dyDescent="0.25">
      <c r="A485" s="752"/>
      <c r="C485" s="452" t="s">
        <v>1033</v>
      </c>
      <c r="D485" s="449">
        <f t="shared" si="151"/>
        <v>46193</v>
      </c>
      <c r="E485" s="454" t="s">
        <v>170</v>
      </c>
      <c r="F485" s="517"/>
      <c r="G485" s="512"/>
      <c r="H485" s="505"/>
      <c r="I485" s="540"/>
      <c r="J485" s="540"/>
      <c r="K485" s="540"/>
      <c r="L485" s="566" t="e">
        <f>I485*INDEX([2]Pedidos!$Q:$Q,MATCH(F485,[2]Pedidos!$E:$E,0))</f>
        <v>#N/A</v>
      </c>
      <c r="M485" s="566" t="e">
        <f>J485*INDEX([2]Pedidos!$Q:$Q,MATCH(G485,[2]Pedidos!$E:$E,0))</f>
        <v>#N/A</v>
      </c>
      <c r="N485" s="566" t="e">
        <f>K485*INDEX([2]Pedidos!$Q:$Q,MATCH(H485,[2]Pedidos!$E:$E,0))</f>
        <v>#N/A</v>
      </c>
    </row>
    <row r="486" spans="1:16" x14ac:dyDescent="0.25">
      <c r="A486" s="752"/>
      <c r="C486" s="452" t="s">
        <v>1033</v>
      </c>
      <c r="D486" s="449">
        <f t="shared" si="151"/>
        <v>46193</v>
      </c>
      <c r="E486" s="454" t="s">
        <v>585</v>
      </c>
      <c r="F486" s="505"/>
      <c r="G486" s="505"/>
      <c r="H486" s="516"/>
      <c r="I486" s="516" cm="1">
        <f t="array" aca="1" ref="I486" ca="1">IFERROR(_xlfn.LET(_xlpm.produto,TRIM(F486)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86" s="516" cm="1">
        <f t="array" aca="1" ref="J486" ca="1">IFERROR(_xlfn.LET(_xlpm.produto,TRIM(G486)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6" s="516" cm="1">
        <f t="array" aca="1" ref="K486" ca="1">IFERROR(_xlfn.LET(_xlpm.produto,TRIM(H486)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6" s="557"/>
      <c r="M486" s="557"/>
      <c r="N486" s="557"/>
    </row>
    <row r="487" spans="1:16" x14ac:dyDescent="0.25">
      <c r="A487" s="752"/>
      <c r="C487" s="452" t="s">
        <v>1033</v>
      </c>
      <c r="D487" s="449">
        <f t="shared" si="151"/>
        <v>46193</v>
      </c>
      <c r="E487" s="455" t="s">
        <v>574</v>
      </c>
      <c r="F487" s="505"/>
      <c r="G487" s="505"/>
      <c r="H487" s="516"/>
      <c r="I487" s="516" cm="1">
        <f t="array" aca="1" ref="I487" ca="1">IFERROR(_xlfn.LET(_xlpm.produto,TRIM(F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87" s="516" cm="1">
        <f t="array" aca="1" ref="J487" ca="1">IFERROR(_xlfn.LET(_xlpm.produto,TRIM(G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7" s="516" cm="1">
        <f t="array" aca="1" ref="K487" ca="1">IFERROR(_xlfn.LET(_xlpm.produto,TRIM(H487)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7" s="557"/>
      <c r="M487" s="557"/>
      <c r="N487" s="557"/>
    </row>
    <row r="488" spans="1:16" x14ac:dyDescent="0.25">
      <c r="A488" s="752"/>
      <c r="C488" s="452" t="s">
        <v>1033</v>
      </c>
      <c r="D488" s="449">
        <f t="shared" si="151"/>
        <v>46193</v>
      </c>
      <c r="E488" s="455" t="s">
        <v>575</v>
      </c>
      <c r="F488" s="506"/>
      <c r="G488" s="506"/>
      <c r="H488" s="516"/>
      <c r="I488" s="516" cm="1">
        <f t="array" aca="1" ref="I488" ca="1">IFERROR(_xlfn.LET(_xlpm.produto,TRIM(F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88" s="516" cm="1">
        <f t="array" aca="1" ref="J488" ca="1">IFERROR(_xlfn.LET(_xlpm.produto,TRIM(G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8" s="516" cm="1">
        <f t="array" aca="1" ref="K488" ca="1">IFERROR(_xlfn.LET(_xlpm.produto,TRIM(H488)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8" s="557"/>
      <c r="M488" s="557"/>
      <c r="N488" s="557"/>
    </row>
    <row r="489" spans="1:16" x14ac:dyDescent="0.25">
      <c r="A489" s="752"/>
      <c r="C489" s="452" t="s">
        <v>1033</v>
      </c>
      <c r="D489" s="449">
        <f t="shared" si="151"/>
        <v>46193</v>
      </c>
      <c r="E489" s="503" t="s">
        <v>583</v>
      </c>
      <c r="F489" s="506"/>
      <c r="G489" s="506"/>
      <c r="H489" s="516"/>
      <c r="I489" s="516" cm="1">
        <f t="array" aca="1" ref="I489" ca="1">IFERROR(_xlfn.LET(_xlpm.produto,TRIM(F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89" s="516" cm="1">
        <f t="array" aca="1" ref="J489" ca="1">IFERROR(_xlfn.LET(_xlpm.produto,TRIM(G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89" s="516" cm="1">
        <f t="array" aca="1" ref="K489" ca="1">IFERROR(_xlfn.LET(_xlpm.produto,TRIM(H489)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89" s="557"/>
      <c r="M489" s="557"/>
      <c r="N489" s="557"/>
    </row>
    <row r="490" spans="1:16" ht="15.75" thickBot="1" x14ac:dyDescent="0.3">
      <c r="A490" s="752"/>
      <c r="C490" s="530" t="s">
        <v>1033</v>
      </c>
      <c r="D490" s="451">
        <f t="shared" si="151"/>
        <v>46193</v>
      </c>
      <c r="E490" s="459" t="s">
        <v>584</v>
      </c>
      <c r="F490" s="493"/>
      <c r="G490" s="493"/>
      <c r="H490" s="513"/>
      <c r="I490" s="513" cm="1">
        <f t="array" aca="1" ref="I490" ca="1">IFERROR(_xlfn.LET(_xlpm.produto,TRIM(F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90" s="513" cm="1">
        <f t="array" aca="1" ref="J490" ca="1">IFERROR(_xlfn.LET(_xlpm.produto,TRIM(G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0" s="513" cm="1">
        <f t="array" aca="1" ref="K490" ca="1">IFERROR(_xlfn.LET(_xlpm.produto,TRIM(H490)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0" s="558"/>
      <c r="M490" s="558"/>
      <c r="N490" s="558"/>
    </row>
    <row r="491" spans="1:16" ht="5.25" customHeight="1" thickBot="1" x14ac:dyDescent="0.3">
      <c r="A491" s="752"/>
      <c r="I491" s="445"/>
      <c r="J491" s="445"/>
      <c r="L491" s="559"/>
      <c r="M491" s="559"/>
      <c r="N491" s="559"/>
    </row>
    <row r="492" spans="1:16" ht="15.75" thickBot="1" x14ac:dyDescent="0.3">
      <c r="A492" s="752"/>
      <c r="C492" s="538"/>
      <c r="D492" s="539"/>
      <c r="E492" s="539"/>
      <c r="F492" s="539"/>
      <c r="G492" s="539"/>
      <c r="H492" s="539"/>
      <c r="I492" s="606">
        <f t="shared" ref="I492:N492" ca="1" si="152">_xlfn.AGGREGATE(9,6,I493:I508)</f>
        <v>0</v>
      </c>
      <c r="J492" s="607">
        <f t="shared" ca="1" si="152"/>
        <v>0</v>
      </c>
      <c r="K492" s="544">
        <f t="shared" ca="1" si="152"/>
        <v>0</v>
      </c>
      <c r="L492" s="560">
        <f t="shared" si="152"/>
        <v>0</v>
      </c>
      <c r="M492" s="561">
        <f t="shared" si="152"/>
        <v>0</v>
      </c>
      <c r="N492" s="562">
        <f t="shared" si="152"/>
        <v>0</v>
      </c>
      <c r="O492" s="548">
        <f ca="1">SUM(I492:K492)</f>
        <v>0</v>
      </c>
      <c r="P492" s="549">
        <f>SUM(L492:N492)</f>
        <v>0</v>
      </c>
    </row>
    <row r="493" spans="1:16" x14ac:dyDescent="0.25">
      <c r="A493" s="752"/>
      <c r="C493" s="529" t="s">
        <v>1034</v>
      </c>
      <c r="D493" s="447">
        <f>D490+1</f>
        <v>46194</v>
      </c>
      <c r="E493" s="498" t="s">
        <v>573</v>
      </c>
      <c r="F493" s="514"/>
      <c r="G493" s="514"/>
      <c r="H493" s="514"/>
      <c r="I493" s="537" cm="1">
        <f t="array" aca="1" ref="I493" ca="1">IFERROR(_xlfn.LET(_xlpm.produto,TRIM(F493)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93" s="537" cm="1">
        <f t="array" aca="1" ref="J493" ca="1">IFERROR(_xlfn.LET(_xlpm.produto,TRIM(G493)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3" s="537" cm="1">
        <f t="array" aca="1" ref="K493" ca="1">IFERROR(_xlfn.LET(_xlpm.produto,TRIM(H493)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3" s="563"/>
      <c r="M493" s="563"/>
      <c r="N493" s="563"/>
    </row>
    <row r="494" spans="1:16" x14ac:dyDescent="0.25">
      <c r="A494" s="752"/>
      <c r="C494" s="452" t="s">
        <v>1034</v>
      </c>
      <c r="D494" s="453">
        <f t="shared" ref="D494:D508" si="153">D493</f>
        <v>46194</v>
      </c>
      <c r="E494" s="500" t="s">
        <v>162</v>
      </c>
      <c r="F494" s="517"/>
      <c r="G494" s="517"/>
      <c r="H494" s="517"/>
      <c r="I494" s="540"/>
      <c r="J494" s="540"/>
      <c r="K494" s="540"/>
      <c r="L494" s="555" t="e">
        <f>I494*INDEX([2]Pedidos!$Q:$Q,MATCH(F494,[2]Pedidos!$E:$E,0))</f>
        <v>#N/A</v>
      </c>
      <c r="M494" s="555" t="e">
        <f>J494*INDEX([2]Pedidos!$Q:$Q,MATCH(G494,[2]Pedidos!$E:$E,0))</f>
        <v>#N/A</v>
      </c>
      <c r="N494" s="555" t="e">
        <f>K494*INDEX([2]Pedidos!$Q:$Q,MATCH(H494,[2]Pedidos!$E:$E,0))</f>
        <v>#N/A</v>
      </c>
    </row>
    <row r="495" spans="1:16" x14ac:dyDescent="0.25">
      <c r="A495" s="752"/>
      <c r="C495" s="452" t="s">
        <v>1034</v>
      </c>
      <c r="D495" s="453">
        <f t="shared" si="153"/>
        <v>46194</v>
      </c>
      <c r="E495" s="454" t="s">
        <v>163</v>
      </c>
      <c r="F495" s="517"/>
      <c r="G495" s="512"/>
      <c r="H495" s="505"/>
      <c r="I495" s="540"/>
      <c r="J495" s="540"/>
      <c r="K495" s="540"/>
      <c r="L495" s="564" t="e">
        <f>I495*INDEX([2]Pedidos!$Q:$Q,MATCH(F495,[2]Pedidos!$E:$E,0))</f>
        <v>#N/A</v>
      </c>
      <c r="M495" s="564" t="e">
        <f>J495*INDEX([2]Pedidos!$Q:$Q,MATCH(G495,[2]Pedidos!$E:$E,0))</f>
        <v>#N/A</v>
      </c>
      <c r="N495" s="564" t="e">
        <f>K495*INDEX([2]Pedidos!$Q:$Q,MATCH(H495,[2]Pedidos!$E:$E,0))</f>
        <v>#N/A</v>
      </c>
    </row>
    <row r="496" spans="1:16" x14ac:dyDescent="0.25">
      <c r="A496" s="752"/>
      <c r="C496" s="452" t="s">
        <v>1034</v>
      </c>
      <c r="D496" s="453">
        <f t="shared" si="153"/>
        <v>46194</v>
      </c>
      <c r="E496" s="454" t="s">
        <v>164</v>
      </c>
      <c r="F496" s="517"/>
      <c r="G496" s="512"/>
      <c r="H496" s="505"/>
      <c r="I496" s="540"/>
      <c r="J496" s="540"/>
      <c r="K496" s="540"/>
      <c r="L496" s="564" t="e">
        <f>I496*INDEX([2]Pedidos!$Q:$Q,MATCH(F496,[2]Pedidos!$E:$E,0))</f>
        <v>#N/A</v>
      </c>
      <c r="M496" s="564" t="e">
        <f>J496*INDEX([2]Pedidos!$Q:$Q,MATCH(G496,[2]Pedidos!$E:$E,0))</f>
        <v>#N/A</v>
      </c>
      <c r="N496" s="564" t="e">
        <f>K496*INDEX([2]Pedidos!$Q:$Q,MATCH(H496,[2]Pedidos!$E:$E,0))</f>
        <v>#N/A</v>
      </c>
    </row>
    <row r="497" spans="1:23" x14ac:dyDescent="0.25">
      <c r="A497" s="752"/>
      <c r="C497" s="452" t="s">
        <v>1034</v>
      </c>
      <c r="D497" s="453">
        <f t="shared" si="153"/>
        <v>46194</v>
      </c>
      <c r="E497" s="454" t="s">
        <v>165</v>
      </c>
      <c r="F497" s="517"/>
      <c r="G497" s="512"/>
      <c r="H497" s="505"/>
      <c r="I497" s="540"/>
      <c r="J497" s="540"/>
      <c r="K497" s="540"/>
      <c r="L497" s="564" t="e">
        <f>I497*INDEX([2]Pedidos!$Q:$Q,MATCH(F497,[2]Pedidos!$E:$E,0))</f>
        <v>#N/A</v>
      </c>
      <c r="M497" s="564" t="e">
        <f>J497*INDEX([2]Pedidos!$Q:$Q,MATCH(G497,[2]Pedidos!$E:$E,0))</f>
        <v>#N/A</v>
      </c>
      <c r="N497" s="564" t="e">
        <f>K497*INDEX([2]Pedidos!$Q:$Q,MATCH(H497,[2]Pedidos!$E:$E,0))</f>
        <v>#N/A</v>
      </c>
    </row>
    <row r="498" spans="1:23" x14ac:dyDescent="0.25">
      <c r="A498" s="752"/>
      <c r="C498" s="452" t="s">
        <v>1034</v>
      </c>
      <c r="D498" s="453">
        <f t="shared" si="153"/>
        <v>46194</v>
      </c>
      <c r="E498" s="454" t="s">
        <v>166</v>
      </c>
      <c r="F498" s="517"/>
      <c r="G498" s="512"/>
      <c r="H498" s="505"/>
      <c r="I498" s="540"/>
      <c r="J498" s="540"/>
      <c r="K498" s="540"/>
      <c r="L498" s="564" t="e">
        <f>I498*INDEX([2]Pedidos!$Q:$Q,MATCH(F498,[2]Pedidos!$E:$E,0))</f>
        <v>#N/A</v>
      </c>
      <c r="M498" s="564" t="e">
        <f>J498*INDEX([2]Pedidos!$Q:$Q,MATCH(G498,[2]Pedidos!$E:$E,0))</f>
        <v>#N/A</v>
      </c>
      <c r="N498" s="564" t="e">
        <f>K498*INDEX([2]Pedidos!$Q:$Q,MATCH(H498,[2]Pedidos!$E:$E,0))</f>
        <v>#N/A</v>
      </c>
    </row>
    <row r="499" spans="1:23" x14ac:dyDescent="0.25">
      <c r="A499" s="752"/>
      <c r="C499" s="452" t="s">
        <v>1034</v>
      </c>
      <c r="D499" s="453">
        <f t="shared" si="153"/>
        <v>46194</v>
      </c>
      <c r="E499" s="454" t="s">
        <v>576</v>
      </c>
      <c r="F499" s="517"/>
      <c r="G499" s="512"/>
      <c r="H499" s="505"/>
      <c r="I499" s="541" cm="1">
        <f t="array" aca="1" ref="I499" ca="1">IFERROR(_xlfn.LET(_xlpm.produto,TRIM(F499)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499" s="541" cm="1">
        <f t="array" aca="1" ref="J499" ca="1">IFERROR(_xlfn.LET(_xlpm.produto,TRIM(G499)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499" s="541" cm="1">
        <f t="array" aca="1" ref="K499" ca="1">IFERROR(_xlfn.LET(_xlpm.produto,TRIM(H499)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499" s="556"/>
      <c r="M499" s="556"/>
      <c r="N499" s="556"/>
    </row>
    <row r="500" spans="1:23" x14ac:dyDescent="0.25">
      <c r="A500" s="752"/>
      <c r="C500" s="452" t="s">
        <v>1034</v>
      </c>
      <c r="D500" s="449">
        <f t="shared" si="153"/>
        <v>46194</v>
      </c>
      <c r="E500" s="454" t="s">
        <v>167</v>
      </c>
      <c r="F500" s="517"/>
      <c r="G500" s="512"/>
      <c r="H500" s="505"/>
      <c r="I500" s="540"/>
      <c r="J500" s="540"/>
      <c r="K500" s="540"/>
      <c r="L500" s="565" t="e">
        <f>I500*INDEX([2]Pedidos!$Q:$Q,MATCH(F500,[2]Pedidos!$E:$E,0))</f>
        <v>#N/A</v>
      </c>
      <c r="M500" s="565" t="e">
        <f>J500*INDEX([2]Pedidos!$Q:$Q,MATCH(G500,[2]Pedidos!$E:$E,0))</f>
        <v>#N/A</v>
      </c>
      <c r="N500" s="565" t="e">
        <f>K500*INDEX([2]Pedidos!$Q:$Q,MATCH(H500,[2]Pedidos!$E:$E,0))</f>
        <v>#N/A</v>
      </c>
    </row>
    <row r="501" spans="1:23" x14ac:dyDescent="0.25">
      <c r="A501" s="752"/>
      <c r="C501" s="452" t="s">
        <v>1034</v>
      </c>
      <c r="D501" s="449">
        <f t="shared" si="153"/>
        <v>46194</v>
      </c>
      <c r="E501" s="454" t="s">
        <v>168</v>
      </c>
      <c r="F501" s="517"/>
      <c r="G501" s="512"/>
      <c r="H501" s="505"/>
      <c r="I501" s="540"/>
      <c r="J501" s="540"/>
      <c r="K501" s="540"/>
      <c r="L501" s="565" t="e">
        <f>I501*INDEX([2]Pedidos!$Q:$Q,MATCH(F501,[2]Pedidos!$E:$E,0))</f>
        <v>#N/A</v>
      </c>
      <c r="M501" s="565" t="e">
        <f>J501*INDEX([2]Pedidos!$Q:$Q,MATCH(G501,[2]Pedidos!$E:$E,0))</f>
        <v>#N/A</v>
      </c>
      <c r="N501" s="565" t="e">
        <f>K501*INDEX([2]Pedidos!$Q:$Q,MATCH(H501,[2]Pedidos!$E:$E,0))</f>
        <v>#N/A</v>
      </c>
    </row>
    <row r="502" spans="1:23" x14ac:dyDescent="0.25">
      <c r="A502" s="752"/>
      <c r="C502" s="452" t="s">
        <v>1034</v>
      </c>
      <c r="D502" s="449">
        <f t="shared" si="153"/>
        <v>46194</v>
      </c>
      <c r="E502" s="454" t="s">
        <v>169</v>
      </c>
      <c r="F502" s="517"/>
      <c r="G502" s="512"/>
      <c r="H502" s="505"/>
      <c r="I502" s="540"/>
      <c r="J502" s="540"/>
      <c r="K502" s="540"/>
      <c r="L502" s="565" t="e">
        <f>I502*INDEX([2]Pedidos!$Q:$Q,MATCH(F502,[2]Pedidos!$E:$E,0))</f>
        <v>#N/A</v>
      </c>
      <c r="M502" s="565" t="e">
        <f>J502*INDEX([2]Pedidos!$Q:$Q,MATCH(G502,[2]Pedidos!$E:$E,0))</f>
        <v>#N/A</v>
      </c>
      <c r="N502" s="565" t="e">
        <f>K502*INDEX([2]Pedidos!$Q:$Q,MATCH(H502,[2]Pedidos!$E:$E,0))</f>
        <v>#N/A</v>
      </c>
    </row>
    <row r="503" spans="1:23" x14ac:dyDescent="0.25">
      <c r="A503" s="752"/>
      <c r="C503" s="452" t="s">
        <v>1034</v>
      </c>
      <c r="D503" s="449">
        <f t="shared" si="153"/>
        <v>46194</v>
      </c>
      <c r="E503" s="454" t="s">
        <v>170</v>
      </c>
      <c r="F503" s="517"/>
      <c r="G503" s="512"/>
      <c r="H503" s="505"/>
      <c r="I503" s="540"/>
      <c r="J503" s="540"/>
      <c r="K503" s="540"/>
      <c r="L503" s="566" t="e">
        <f>I503*INDEX([2]Pedidos!$Q:$Q,MATCH(F503,[2]Pedidos!$E:$E,0))</f>
        <v>#N/A</v>
      </c>
      <c r="M503" s="566" t="e">
        <f>J503*INDEX([2]Pedidos!$Q:$Q,MATCH(G503,[2]Pedidos!$E:$E,0))</f>
        <v>#N/A</v>
      </c>
      <c r="N503" s="566" t="e">
        <f>K503*INDEX([2]Pedidos!$Q:$Q,MATCH(H503,[2]Pedidos!$E:$E,0))</f>
        <v>#N/A</v>
      </c>
    </row>
    <row r="504" spans="1:23" x14ac:dyDescent="0.25">
      <c r="A504" s="752"/>
      <c r="C504" s="452" t="s">
        <v>1034</v>
      </c>
      <c r="D504" s="449">
        <f t="shared" si="153"/>
        <v>46194</v>
      </c>
      <c r="E504" s="454" t="s">
        <v>585</v>
      </c>
      <c r="F504" s="505"/>
      <c r="G504" s="505"/>
      <c r="H504" s="516"/>
      <c r="I504" s="516" cm="1">
        <f t="array" aca="1" ref="I504" ca="1">IFERROR(_xlfn.LET(_xlpm.produto,TRIM(F504)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504" s="516" cm="1">
        <f t="array" aca="1" ref="J504" ca="1">IFERROR(_xlfn.LET(_xlpm.produto,TRIM(G504)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4" s="516" cm="1">
        <f t="array" aca="1" ref="K504" ca="1">IFERROR(_xlfn.LET(_xlpm.produto,TRIM(H504)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4" s="557"/>
      <c r="M504" s="557"/>
      <c r="N504" s="557"/>
    </row>
    <row r="505" spans="1:23" x14ac:dyDescent="0.25">
      <c r="A505" s="752"/>
      <c r="C505" s="452" t="s">
        <v>1034</v>
      </c>
      <c r="D505" s="449">
        <f t="shared" si="153"/>
        <v>46194</v>
      </c>
      <c r="E505" s="455" t="s">
        <v>574</v>
      </c>
      <c r="F505" s="505"/>
      <c r="G505" s="505"/>
      <c r="H505" s="516"/>
      <c r="I505" s="516" cm="1">
        <f t="array" aca="1" ref="I505" ca="1">IFERROR(_xlfn.LET(_xlpm.produto,TRIM(F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505" s="516" cm="1">
        <f t="array" aca="1" ref="J505" ca="1">IFERROR(_xlfn.LET(_xlpm.produto,TRIM(G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5" s="516" cm="1">
        <f t="array" aca="1" ref="K505" ca="1">IFERROR(_xlfn.LET(_xlpm.produto,TRIM(H505)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5" s="557"/>
      <c r="M505" s="557"/>
      <c r="N505" s="557"/>
    </row>
    <row r="506" spans="1:23" x14ac:dyDescent="0.25">
      <c r="A506" s="752"/>
      <c r="C506" s="452" t="s">
        <v>1034</v>
      </c>
      <c r="D506" s="449">
        <f t="shared" si="153"/>
        <v>46194</v>
      </c>
      <c r="E506" s="455" t="s">
        <v>575</v>
      </c>
      <c r="F506" s="506"/>
      <c r="G506" s="506"/>
      <c r="H506" s="516"/>
      <c r="I506" s="516" cm="1">
        <f t="array" aca="1" ref="I506" ca="1">IFERROR(_xlfn.LET(_xlpm.produto,TRIM(F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506" s="516" cm="1">
        <f t="array" aca="1" ref="J506" ca="1">IFERROR(_xlfn.LET(_xlpm.produto,TRIM(G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6" s="516" cm="1">
        <f t="array" aca="1" ref="K506" ca="1">IFERROR(_xlfn.LET(_xlpm.produto,TRIM(H506)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6" s="557"/>
      <c r="M506" s="557"/>
      <c r="N506" s="557"/>
    </row>
    <row r="507" spans="1:23" x14ac:dyDescent="0.25">
      <c r="A507" s="752"/>
      <c r="C507" s="452" t="s">
        <v>1034</v>
      </c>
      <c r="D507" s="449">
        <f t="shared" si="153"/>
        <v>46194</v>
      </c>
      <c r="E507" s="503" t="s">
        <v>583</v>
      </c>
      <c r="F507" s="506"/>
      <c r="G507" s="506"/>
      <c r="H507" s="516"/>
      <c r="I507" s="516" cm="1">
        <f t="array" aca="1" ref="I507" ca="1">IFERROR(_xlfn.LET(_xlpm.produto,TRIM(F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507" s="516" cm="1">
        <f t="array" aca="1" ref="J507" ca="1">IFERROR(_xlfn.LET(_xlpm.produto,TRIM(G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7" s="516" cm="1">
        <f t="array" aca="1" ref="K507" ca="1">IFERROR(_xlfn.LET(_xlpm.produto,TRIM(H507)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7" s="557"/>
      <c r="M507" s="557"/>
      <c r="N507" s="557"/>
    </row>
    <row r="508" spans="1:23" ht="15.75" thickBot="1" x14ac:dyDescent="0.3">
      <c r="A508" s="752"/>
      <c r="C508" s="530" t="s">
        <v>1034</v>
      </c>
      <c r="D508" s="451">
        <f t="shared" si="153"/>
        <v>46194</v>
      </c>
      <c r="E508" s="459" t="s">
        <v>584</v>
      </c>
      <c r="F508" s="493"/>
      <c r="G508" s="493"/>
      <c r="H508" s="513"/>
      <c r="I508" s="513" cm="1">
        <f t="array" aca="1" ref="I508" ca="1">IFERROR(_xlfn.LET(_xlpm.produto,TRIM(F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508" s="513" cm="1">
        <f t="array" aca="1" ref="J508" ca="1">IFERROR(_xlfn.LET(_xlpm.produto,TRIM(G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508" s="513" cm="1">
        <f t="array" aca="1" ref="K508" ca="1">IFERROR(_xlfn.LET(_xlpm.produto,TRIM(H508)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508" s="558"/>
      <c r="M508" s="558"/>
      <c r="N508" s="558"/>
    </row>
    <row r="509" spans="1:23" ht="15.75" thickBot="1" x14ac:dyDescent="0.3"/>
    <row r="510" spans="1:23" ht="15.75" customHeight="1" thickBot="1" x14ac:dyDescent="0.3">
      <c r="A510" s="752">
        <f>A384+1</f>
        <v>25</v>
      </c>
      <c r="C510" s="538"/>
      <c r="D510" s="539"/>
      <c r="E510" s="539"/>
      <c r="F510" s="539"/>
      <c r="G510" s="539"/>
      <c r="H510" s="539"/>
      <c r="I510" s="606">
        <f t="shared" ref="I510:N510" si="154">_xlfn.AGGREGATE(9,6,I511:I526)</f>
        <v>0</v>
      </c>
      <c r="J510" s="607">
        <f t="shared" si="154"/>
        <v>0</v>
      </c>
      <c r="K510" s="544">
        <f t="shared" si="154"/>
        <v>6084.5070422535218</v>
      </c>
      <c r="L510" s="560">
        <f t="shared" si="154"/>
        <v>0</v>
      </c>
      <c r="M510" s="561">
        <f t="shared" si="154"/>
        <v>0</v>
      </c>
      <c r="N510" s="562">
        <f t="shared" si="154"/>
        <v>3346.4788732394363</v>
      </c>
      <c r="O510" s="548">
        <f>SUM(I510:K510)</f>
        <v>6084.5070422535218</v>
      </c>
      <c r="P510" s="549">
        <f>SUM(L510:N510)</f>
        <v>3346.4788732394363</v>
      </c>
      <c r="T510" s="570" t="s">
        <v>437</v>
      </c>
      <c r="U510" s="571" t="str">
        <f>"Qtd. Total "&amp;TEXT(D511,"dd/mm/aaaa")&amp;" - "&amp;TEXT(D583,"dd/mm/aaaa")</f>
        <v>Qtd. Total 22/06/2026 - 26/06/2026</v>
      </c>
      <c r="V510" s="571" t="str">
        <f>"Produzido "&amp;TEXT(D511,"dd/mm/aaaa")&amp;" - "&amp;TEXT(D583,"dd/mm/aaaa")</f>
        <v>Produzido 22/06/2026 - 26/06/2026</v>
      </c>
      <c r="W510" s="572" t="s">
        <v>1536</v>
      </c>
    </row>
    <row r="511" spans="1:23" x14ac:dyDescent="0.25">
      <c r="A511" s="752"/>
      <c r="C511" s="496" t="s">
        <v>161</v>
      </c>
      <c r="D511" s="507">
        <f>D472+3</f>
        <v>46195</v>
      </c>
      <c r="E511" s="498" t="s">
        <v>573</v>
      </c>
      <c r="F511" s="514"/>
      <c r="G511" s="514"/>
      <c r="H511" s="514"/>
      <c r="I511" s="537"/>
      <c r="J511" s="537"/>
      <c r="K511" s="537"/>
      <c r="L511" s="563"/>
      <c r="M511" s="563"/>
      <c r="N511" s="563"/>
      <c r="T511" s="591" t="str" cm="1">
        <f t="array" aca="1" ref="T51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1" s="576" t="str">
        <f t="shared" ref="U511:U524" ca="1" si="155">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511,IF(_xlpm.p&lt;&gt;"",SUMIF(_xlpm.rF,_xlpm.p,_xlpm.rI)+SUMIF(_xlpm.rG,_xlpm.p,_xlpm.rJ)+SUMIF(_xlpm.rH,_xlpm.p,_xlpm.rK),""))</f>
        <v/>
      </c>
      <c r="V511" s="585"/>
      <c r="W511" s="581">
        <f ca="1">IFERROR(V511*INDEX([2]Pedidos!$Q:$Q,MATCH(T511,[2]Pedidos!$E:$E,0)),0)</f>
        <v>0</v>
      </c>
    </row>
    <row r="512" spans="1:23" x14ac:dyDescent="0.25">
      <c r="A512" s="752"/>
      <c r="C512" s="525" t="s">
        <v>161</v>
      </c>
      <c r="D512" s="453">
        <f t="shared" ref="D512:D526" si="156">D511</f>
        <v>46195</v>
      </c>
      <c r="E512" s="500" t="s">
        <v>162</v>
      </c>
      <c r="F512" s="460" t="s">
        <v>1866</v>
      </c>
      <c r="G512" s="460"/>
      <c r="H512" s="460" t="s">
        <v>1864</v>
      </c>
      <c r="I512" s="540"/>
      <c r="J512" s="540"/>
      <c r="K512" s="545">
        <f>48000/71</f>
        <v>676.05633802816897</v>
      </c>
      <c r="L512" s="555" t="e">
        <f>I512*INDEX([2]Pedidos!$Q:$Q,MATCH(F512,[2]Pedidos!$E:$E,0))</f>
        <v>#N/A</v>
      </c>
      <c r="M512" s="564" t="e">
        <f>J512*INDEX([2]Pedidos!$Q:$Q,MATCH(G512,[2]Pedidos!$E:$E,0))</f>
        <v>#N/A</v>
      </c>
      <c r="N512" s="555">
        <f>K512*INDEX([2]Pedidos!$Q:$Q,MATCH(H512,[2]Pedidos!$E:$E,0))</f>
        <v>371.83098591549299</v>
      </c>
      <c r="T512" s="592" t="str" cm="1">
        <f t="array" aca="1" ref="T51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2" s="576" t="str">
        <f t="shared" ca="1" si="155"/>
        <v/>
      </c>
      <c r="V512" s="586"/>
      <c r="W512" s="582">
        <f ca="1">IFERROR(V512*INDEX([2]Pedidos!$Q:$Q,MATCH(T512,[2]Pedidos!$E:$E,0)),0)</f>
        <v>0</v>
      </c>
    </row>
    <row r="513" spans="1:23" x14ac:dyDescent="0.25">
      <c r="A513" s="752"/>
      <c r="C513" s="526" t="s">
        <v>161</v>
      </c>
      <c r="D513" s="453">
        <f t="shared" si="156"/>
        <v>46195</v>
      </c>
      <c r="E513" s="454" t="s">
        <v>163</v>
      </c>
      <c r="F513" s="460" t="s">
        <v>1866</v>
      </c>
      <c r="G513" s="460"/>
      <c r="H513" s="460" t="s">
        <v>1864</v>
      </c>
      <c r="I513" s="540"/>
      <c r="J513" s="540"/>
      <c r="K513" s="545">
        <f t="shared" ref="K513:K516" si="157">48000/71</f>
        <v>676.05633802816897</v>
      </c>
      <c r="L513" s="564" t="e">
        <f>I513*INDEX([2]Pedidos!$Q:$Q,MATCH(F513,[2]Pedidos!$E:$E,0))</f>
        <v>#N/A</v>
      </c>
      <c r="M513" s="564" t="e">
        <f>J513*INDEX([2]Pedidos!$Q:$Q,MATCH(G513,[2]Pedidos!$E:$E,0))</f>
        <v>#N/A</v>
      </c>
      <c r="N513" s="564">
        <f>K513*INDEX([2]Pedidos!$Q:$Q,MATCH(H513,[2]Pedidos!$E:$E,0))</f>
        <v>371.83098591549299</v>
      </c>
      <c r="T513" s="591" t="str" cm="1">
        <f t="array" aca="1" ref="T51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3" s="576" t="str">
        <f t="shared" ca="1" si="155"/>
        <v/>
      </c>
      <c r="V513" s="586"/>
      <c r="W513" s="582">
        <f ca="1">IFERROR(V513*INDEX([2]Pedidos!$Q:$Q,MATCH(T513,[2]Pedidos!$E:$E,0)),0)</f>
        <v>0</v>
      </c>
    </row>
    <row r="514" spans="1:23" x14ac:dyDescent="0.25">
      <c r="A514" s="752"/>
      <c r="C514" s="526" t="s">
        <v>161</v>
      </c>
      <c r="D514" s="453">
        <f t="shared" si="156"/>
        <v>46195</v>
      </c>
      <c r="E514" s="454" t="s">
        <v>164</v>
      </c>
      <c r="F514" s="460" t="s">
        <v>1866</v>
      </c>
      <c r="G514" s="460"/>
      <c r="H514" s="460" t="s">
        <v>1864</v>
      </c>
      <c r="I514" s="540"/>
      <c r="J514" s="540"/>
      <c r="K514" s="545">
        <f t="shared" si="157"/>
        <v>676.05633802816897</v>
      </c>
      <c r="L514" s="564" t="e">
        <f>I514*INDEX([2]Pedidos!$Q:$Q,MATCH(F514,[2]Pedidos!$E:$E,0))</f>
        <v>#N/A</v>
      </c>
      <c r="M514" s="564" t="e">
        <f>J514*INDEX([2]Pedidos!$Q:$Q,MATCH(G514,[2]Pedidos!$E:$E,0))</f>
        <v>#N/A</v>
      </c>
      <c r="N514" s="564">
        <f>K514*INDEX([2]Pedidos!$Q:$Q,MATCH(H514,[2]Pedidos!$E:$E,0))</f>
        <v>371.83098591549299</v>
      </c>
      <c r="T514" s="592" t="str" cm="1">
        <f t="array" aca="1" ref="T51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4" s="576" t="str">
        <f t="shared" ca="1" si="155"/>
        <v/>
      </c>
      <c r="V514" s="586"/>
      <c r="W514" s="582">
        <f ca="1">IFERROR(V514*INDEX([2]Pedidos!$Q:$Q,MATCH(T514,[2]Pedidos!$E:$E,0)),0)</f>
        <v>0</v>
      </c>
    </row>
    <row r="515" spans="1:23" x14ac:dyDescent="0.25">
      <c r="A515" s="752"/>
      <c r="C515" s="526" t="s">
        <v>161</v>
      </c>
      <c r="D515" s="453">
        <f t="shared" si="156"/>
        <v>46195</v>
      </c>
      <c r="E515" s="454" t="s">
        <v>165</v>
      </c>
      <c r="F515" s="460" t="s">
        <v>1866</v>
      </c>
      <c r="G515" s="460"/>
      <c r="H515" s="460" t="s">
        <v>1864</v>
      </c>
      <c r="I515" s="540"/>
      <c r="J515" s="540"/>
      <c r="K515" s="545">
        <f t="shared" si="157"/>
        <v>676.05633802816897</v>
      </c>
      <c r="L515" s="564" t="e">
        <f>I515*INDEX([2]Pedidos!$Q:$Q,MATCH(F515,[2]Pedidos!$E:$E,0))</f>
        <v>#N/A</v>
      </c>
      <c r="M515" s="564" t="e">
        <f>J515*INDEX([2]Pedidos!$Q:$Q,MATCH(G515,[2]Pedidos!$E:$E,0))</f>
        <v>#N/A</v>
      </c>
      <c r="N515" s="564">
        <f>K515*INDEX([2]Pedidos!$Q:$Q,MATCH(H515,[2]Pedidos!$E:$E,0))</f>
        <v>371.83098591549299</v>
      </c>
      <c r="T515" s="591" t="str" cm="1">
        <f t="array" aca="1" ref="T51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5" s="576" t="str">
        <f t="shared" ca="1" si="155"/>
        <v/>
      </c>
      <c r="V515" s="586"/>
      <c r="W515" s="582">
        <f ca="1">IFERROR(V515*INDEX([2]Pedidos!$Q:$Q,MATCH(T515,[2]Pedidos!$E:$E,0)),0)</f>
        <v>0</v>
      </c>
    </row>
    <row r="516" spans="1:23" x14ac:dyDescent="0.25">
      <c r="A516" s="752"/>
      <c r="C516" s="526" t="s">
        <v>161</v>
      </c>
      <c r="D516" s="453">
        <f t="shared" si="156"/>
        <v>46195</v>
      </c>
      <c r="E516" s="454" t="s">
        <v>166</v>
      </c>
      <c r="F516" s="460" t="s">
        <v>1866</v>
      </c>
      <c r="G516" s="460"/>
      <c r="H516" s="460" t="s">
        <v>1864</v>
      </c>
      <c r="I516" s="540"/>
      <c r="J516" s="540"/>
      <c r="K516" s="545">
        <f t="shared" si="157"/>
        <v>676.05633802816897</v>
      </c>
      <c r="L516" s="564" t="e">
        <f>I516*INDEX([2]Pedidos!$Q:$Q,MATCH(F516,[2]Pedidos!$E:$E,0))</f>
        <v>#N/A</v>
      </c>
      <c r="M516" s="564" t="e">
        <f>J516*INDEX([2]Pedidos!$Q:$Q,MATCH(G516,[2]Pedidos!$E:$E,0))</f>
        <v>#N/A</v>
      </c>
      <c r="N516" s="564">
        <f>K516*INDEX([2]Pedidos!$Q:$Q,MATCH(H516,[2]Pedidos!$E:$E,0))</f>
        <v>371.83098591549299</v>
      </c>
      <c r="T516" s="592" t="str" cm="1">
        <f t="array" aca="1" ref="T51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6" s="576" t="str">
        <f t="shared" ca="1" si="155"/>
        <v/>
      </c>
      <c r="V516" s="586"/>
      <c r="W516" s="582">
        <f ca="1">IFERROR(V516*INDEX([2]Pedidos!$Q:$Q,MATCH(T516,[2]Pedidos!$E:$E,0)),0)</f>
        <v>0</v>
      </c>
    </row>
    <row r="517" spans="1:23" x14ac:dyDescent="0.25">
      <c r="A517" s="752"/>
      <c r="C517" s="526" t="s">
        <v>161</v>
      </c>
      <c r="D517" s="453">
        <f t="shared" si="156"/>
        <v>46195</v>
      </c>
      <c r="E517" s="454" t="s">
        <v>576</v>
      </c>
      <c r="F517" s="512"/>
      <c r="G517" s="512"/>
      <c r="H517" s="512"/>
      <c r="I517" s="554"/>
      <c r="J517" s="554"/>
      <c r="K517" s="554"/>
      <c r="L517" s="556"/>
      <c r="M517" s="556"/>
      <c r="N517" s="556"/>
      <c r="T517" s="591" t="str" cm="1">
        <f t="array" aca="1" ref="T51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7" s="576" t="str">
        <f t="shared" ca="1" si="155"/>
        <v/>
      </c>
      <c r="V517" s="586"/>
      <c r="W517" s="582">
        <f ca="1">IFERROR(V517*INDEX([2]Pedidos!$Q:$Q,MATCH(T517,[2]Pedidos!$E:$E,0)),0)</f>
        <v>0</v>
      </c>
    </row>
    <row r="518" spans="1:23" x14ac:dyDescent="0.25">
      <c r="A518" s="752"/>
      <c r="C518" s="527" t="s">
        <v>161</v>
      </c>
      <c r="D518" s="449">
        <f t="shared" si="156"/>
        <v>46195</v>
      </c>
      <c r="E518" s="454" t="s">
        <v>167</v>
      </c>
      <c r="F518" s="460" t="s">
        <v>1866</v>
      </c>
      <c r="G518" s="460"/>
      <c r="H518" s="460" t="s">
        <v>1864</v>
      </c>
      <c r="I518" s="540"/>
      <c r="J518" s="540"/>
      <c r="K518" s="545">
        <f t="shared" ref="K518:K521" si="158">48000/71</f>
        <v>676.05633802816897</v>
      </c>
      <c r="L518" s="565" t="e">
        <f>I518*INDEX([2]Pedidos!$Q:$Q,MATCH(F518,[2]Pedidos!$E:$E,0))</f>
        <v>#N/A</v>
      </c>
      <c r="M518" s="564" t="e">
        <f>J518*INDEX([2]Pedidos!$Q:$Q,MATCH(G518,[2]Pedidos!$E:$E,0))</f>
        <v>#N/A</v>
      </c>
      <c r="N518" s="565">
        <f>K518*INDEX([2]Pedidos!$Q:$Q,MATCH(H518,[2]Pedidos!$E:$E,0))</f>
        <v>371.83098591549299</v>
      </c>
      <c r="T518" s="592" t="str" cm="1">
        <f t="array" aca="1" ref="T51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8" s="576" t="str">
        <f t="shared" ca="1" si="155"/>
        <v/>
      </c>
      <c r="V518" s="586"/>
      <c r="W518" s="582">
        <f ca="1">IFERROR(V518*INDEX([2]Pedidos!$Q:$Q,MATCH(T518,[2]Pedidos!$E:$E,0)),0)</f>
        <v>0</v>
      </c>
    </row>
    <row r="519" spans="1:23" x14ac:dyDescent="0.25">
      <c r="A519" s="752"/>
      <c r="C519" s="527" t="s">
        <v>161</v>
      </c>
      <c r="D519" s="449">
        <f t="shared" si="156"/>
        <v>46195</v>
      </c>
      <c r="E519" s="454" t="s">
        <v>168</v>
      </c>
      <c r="F519" s="460" t="s">
        <v>1866</v>
      </c>
      <c r="G519" s="460"/>
      <c r="H519" s="460" t="s">
        <v>1864</v>
      </c>
      <c r="I519" s="540"/>
      <c r="J519" s="540"/>
      <c r="K519" s="545">
        <f t="shared" si="158"/>
        <v>676.05633802816897</v>
      </c>
      <c r="L519" s="565" t="e">
        <f>I519*INDEX([2]Pedidos!$Q:$Q,MATCH(F519,[2]Pedidos!$E:$E,0))</f>
        <v>#N/A</v>
      </c>
      <c r="M519" s="564" t="e">
        <f>J519*INDEX([2]Pedidos!$Q:$Q,MATCH(G519,[2]Pedidos!$E:$E,0))</f>
        <v>#N/A</v>
      </c>
      <c r="N519" s="565">
        <f>K519*INDEX([2]Pedidos!$Q:$Q,MATCH(H519,[2]Pedidos!$E:$E,0))</f>
        <v>371.83098591549299</v>
      </c>
      <c r="T519" s="591" t="str" cm="1">
        <f t="array" aca="1" ref="T51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19" s="576" t="str">
        <f t="shared" ca="1" si="155"/>
        <v/>
      </c>
      <c r="V519" s="586"/>
      <c r="W519" s="582">
        <f ca="1">IFERROR(V519*INDEX([2]Pedidos!$Q:$Q,MATCH(T519,[2]Pedidos!$E:$E,0)),0)</f>
        <v>0</v>
      </c>
    </row>
    <row r="520" spans="1:23" x14ac:dyDescent="0.25">
      <c r="A520" s="752"/>
      <c r="C520" s="527" t="s">
        <v>161</v>
      </c>
      <c r="D520" s="449">
        <f t="shared" si="156"/>
        <v>46195</v>
      </c>
      <c r="E520" s="454" t="s">
        <v>169</v>
      </c>
      <c r="F520" s="460" t="s">
        <v>1866</v>
      </c>
      <c r="G520" s="460"/>
      <c r="H520" s="460" t="s">
        <v>1864</v>
      </c>
      <c r="I520" s="540"/>
      <c r="J520" s="540"/>
      <c r="K520" s="545">
        <f t="shared" si="158"/>
        <v>676.05633802816897</v>
      </c>
      <c r="L520" s="565" t="e">
        <f>I520*INDEX([2]Pedidos!$Q:$Q,MATCH(F520,[2]Pedidos!$E:$E,0))</f>
        <v>#N/A</v>
      </c>
      <c r="M520" s="564" t="e">
        <f>J520*INDEX([2]Pedidos!$Q:$Q,MATCH(G520,[2]Pedidos!$E:$E,0))</f>
        <v>#N/A</v>
      </c>
      <c r="N520" s="565">
        <f>K520*INDEX([2]Pedidos!$Q:$Q,MATCH(H520,[2]Pedidos!$E:$E,0))</f>
        <v>371.83098591549299</v>
      </c>
      <c r="T520" s="592" t="str" cm="1">
        <f t="array" aca="1" ref="T52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20" s="576" t="str">
        <f t="shared" ca="1" si="155"/>
        <v/>
      </c>
      <c r="V520" s="586"/>
      <c r="W520" s="582">
        <f ca="1">IFERROR(V520*INDEX([2]Pedidos!$Q:$Q,MATCH(T520,[2]Pedidos!$E:$E,0)),0)</f>
        <v>0</v>
      </c>
    </row>
    <row r="521" spans="1:23" x14ac:dyDescent="0.25">
      <c r="A521" s="752"/>
      <c r="C521" s="527" t="s">
        <v>161</v>
      </c>
      <c r="D521" s="453">
        <f t="shared" si="156"/>
        <v>46195</v>
      </c>
      <c r="E521" s="454" t="s">
        <v>170</v>
      </c>
      <c r="F521" s="460" t="s">
        <v>1866</v>
      </c>
      <c r="G521" s="460"/>
      <c r="H521" s="460" t="s">
        <v>1864</v>
      </c>
      <c r="I521" s="540"/>
      <c r="J521" s="540"/>
      <c r="K521" s="545">
        <f t="shared" si="158"/>
        <v>676.05633802816897</v>
      </c>
      <c r="L521" s="566" t="e">
        <f>I521*INDEX([2]Pedidos!$Q:$Q,MATCH(F521,[2]Pedidos!$E:$E,0))</f>
        <v>#N/A</v>
      </c>
      <c r="M521" s="564" t="e">
        <f>J521*INDEX([2]Pedidos!$Q:$Q,MATCH(G521,[2]Pedidos!$E:$E,0))</f>
        <v>#N/A</v>
      </c>
      <c r="N521" s="566">
        <f>K521*INDEX([2]Pedidos!$Q:$Q,MATCH(H521,[2]Pedidos!$E:$E,0))</f>
        <v>371.83098591549299</v>
      </c>
      <c r="T521" s="591" t="str" cm="1">
        <f t="array" aca="1" ref="T52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21" s="576" t="str">
        <f t="shared" ca="1" si="155"/>
        <v/>
      </c>
      <c r="V521" s="586"/>
      <c r="W521" s="582">
        <f ca="1">IFERROR(V521*INDEX([2]Pedidos!$Q:$Q,MATCH(T521,[2]Pedidos!$E:$E,0)),0)</f>
        <v>0</v>
      </c>
    </row>
    <row r="522" spans="1:23" x14ac:dyDescent="0.25">
      <c r="A522" s="752"/>
      <c r="C522" s="527" t="s">
        <v>161</v>
      </c>
      <c r="D522" s="453">
        <f t="shared" si="156"/>
        <v>46195</v>
      </c>
      <c r="E522" s="454" t="s">
        <v>585</v>
      </c>
      <c r="F522" s="505"/>
      <c r="G522" s="505"/>
      <c r="H522" s="505"/>
      <c r="I522" s="516"/>
      <c r="J522" s="516"/>
      <c r="K522" s="516"/>
      <c r="L522" s="557"/>
      <c r="M522" s="557"/>
      <c r="N522" s="557"/>
      <c r="T522" s="592" t="str" cm="1">
        <f t="array" aca="1" ref="T52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22" s="576" t="str">
        <f t="shared" ca="1" si="155"/>
        <v/>
      </c>
      <c r="V522" s="586"/>
      <c r="W522" s="582">
        <f ca="1">IFERROR(V522*INDEX([2]Pedidos!$Q:$Q,MATCH(T522,[2]Pedidos!$E:$E,0)),0)</f>
        <v>0</v>
      </c>
    </row>
    <row r="523" spans="1:23" x14ac:dyDescent="0.25">
      <c r="A523" s="752"/>
      <c r="C523" s="527" t="s">
        <v>161</v>
      </c>
      <c r="D523" s="453">
        <f t="shared" si="156"/>
        <v>46195</v>
      </c>
      <c r="E523" s="455" t="s">
        <v>574</v>
      </c>
      <c r="F523" s="505"/>
      <c r="G523" s="505"/>
      <c r="H523" s="505"/>
      <c r="I523" s="516"/>
      <c r="J523" s="516"/>
      <c r="K523" s="516"/>
      <c r="L523" s="557"/>
      <c r="M523" s="557"/>
      <c r="N523" s="557"/>
      <c r="T523" s="591" t="str" cm="1">
        <f t="array" aca="1" ref="T52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23" s="576" t="str">
        <f t="shared" ca="1" si="155"/>
        <v/>
      </c>
      <c r="V523" s="586"/>
      <c r="W523" s="582">
        <f ca="1">IFERROR(V523*INDEX([2]Pedidos!$Q:$Q,MATCH(T523,[2]Pedidos!$E:$E,0)),0)</f>
        <v>0</v>
      </c>
    </row>
    <row r="524" spans="1:23" x14ac:dyDescent="0.25">
      <c r="A524" s="752"/>
      <c r="C524" s="527" t="s">
        <v>161</v>
      </c>
      <c r="D524" s="453">
        <f t="shared" si="156"/>
        <v>46195</v>
      </c>
      <c r="E524" s="455" t="s">
        <v>575</v>
      </c>
      <c r="F524" s="506"/>
      <c r="G524" s="506"/>
      <c r="H524" s="506"/>
      <c r="I524" s="516"/>
      <c r="J524" s="516"/>
      <c r="K524" s="516"/>
      <c r="L524" s="557"/>
      <c r="M524" s="557"/>
      <c r="N524" s="557"/>
      <c r="T524" s="592" t="str" cm="1">
        <f t="array" aca="1" ref="T52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524" s="576" t="str">
        <f t="shared" ca="1" si="155"/>
        <v/>
      </c>
      <c r="V524" s="587"/>
      <c r="W524" s="583">
        <f ca="1">IFERROR(V524*INDEX([2]Pedidos!$Q:$Q,MATCH(T524,[2]Pedidos!$E:$E,0)),0)</f>
        <v>0</v>
      </c>
    </row>
    <row r="525" spans="1:23" x14ac:dyDescent="0.25">
      <c r="A525" s="752"/>
      <c r="C525" s="527" t="s">
        <v>161</v>
      </c>
      <c r="D525" s="453">
        <f t="shared" si="156"/>
        <v>46195</v>
      </c>
      <c r="E525" s="503" t="s">
        <v>583</v>
      </c>
      <c r="F525" s="506"/>
      <c r="G525" s="506"/>
      <c r="H525" s="506"/>
      <c r="I525" s="516"/>
      <c r="J525" s="516"/>
      <c r="K525" s="516"/>
      <c r="L525" s="557"/>
      <c r="M525" s="557"/>
      <c r="N525" s="557"/>
      <c r="T525" s="573" t="s">
        <v>1521</v>
      </c>
      <c r="U525" s="574">
        <f ca="1">SUM(U511:U524)</f>
        <v>0</v>
      </c>
      <c r="V525" s="574">
        <f>SUM(V511:V524)</f>
        <v>0</v>
      </c>
      <c r="W525" s="584">
        <f ca="1">SUM(W511:W524)</f>
        <v>0</v>
      </c>
    </row>
    <row r="526" spans="1:23" ht="15.75" thickBot="1" x14ac:dyDescent="0.3">
      <c r="A526" s="752"/>
      <c r="C526" s="528" t="s">
        <v>161</v>
      </c>
      <c r="D526" s="451">
        <f t="shared" si="156"/>
        <v>46195</v>
      </c>
      <c r="E526" s="459" t="s">
        <v>584</v>
      </c>
      <c r="F526" s="493"/>
      <c r="G526" s="493"/>
      <c r="H526" s="493"/>
      <c r="I526" s="513"/>
      <c r="J526" s="513"/>
      <c r="K526" s="513"/>
      <c r="L526" s="558"/>
      <c r="M526" s="558"/>
      <c r="N526" s="558"/>
    </row>
    <row r="527" spans="1:23" ht="8.25" customHeight="1" thickBot="1" x14ac:dyDescent="0.3">
      <c r="A527" s="752"/>
      <c r="I527" s="445"/>
      <c r="J527" s="445"/>
      <c r="L527" s="559"/>
      <c r="M527" s="559"/>
      <c r="N527" s="559"/>
    </row>
    <row r="528" spans="1:23" ht="15.75" thickBot="1" x14ac:dyDescent="0.3">
      <c r="A528" s="752"/>
      <c r="C528" s="538"/>
      <c r="D528" s="539"/>
      <c r="E528" s="539"/>
      <c r="F528" s="539"/>
      <c r="G528" s="539"/>
      <c r="H528" s="539"/>
      <c r="I528" s="606">
        <f t="shared" ref="I528:N528" si="159">_xlfn.AGGREGATE(9,6,I529:I544)</f>
        <v>0</v>
      </c>
      <c r="J528" s="607">
        <f t="shared" si="159"/>
        <v>0</v>
      </c>
      <c r="K528" s="544">
        <f t="shared" si="159"/>
        <v>6084.5070422535218</v>
      </c>
      <c r="L528" s="560">
        <f t="shared" si="159"/>
        <v>0</v>
      </c>
      <c r="M528" s="561">
        <f t="shared" si="159"/>
        <v>0</v>
      </c>
      <c r="N528" s="562">
        <f t="shared" si="159"/>
        <v>3346.4788732394363</v>
      </c>
      <c r="O528" s="548">
        <f>SUM(I528:K528)</f>
        <v>6084.5070422535218</v>
      </c>
      <c r="P528" s="549">
        <f>SUM(L528:N528)</f>
        <v>3346.4788732394363</v>
      </c>
    </row>
    <row r="529" spans="1:14" x14ac:dyDescent="0.25">
      <c r="A529" s="752"/>
      <c r="C529" s="446" t="s">
        <v>171</v>
      </c>
      <c r="D529" s="497">
        <f>D526+1</f>
        <v>46196</v>
      </c>
      <c r="E529" s="498" t="s">
        <v>573</v>
      </c>
      <c r="F529" s="514"/>
      <c r="G529" s="514"/>
      <c r="H529" s="514"/>
      <c r="I529" s="537"/>
      <c r="J529" s="537"/>
      <c r="K529" s="537"/>
      <c r="L529" s="563"/>
      <c r="M529" s="563"/>
      <c r="N529" s="563"/>
    </row>
    <row r="530" spans="1:14" x14ac:dyDescent="0.25">
      <c r="A530" s="752"/>
      <c r="C530" s="452" t="s">
        <v>171</v>
      </c>
      <c r="D530" s="499">
        <f t="shared" ref="D530:D544" si="160">D529</f>
        <v>46196</v>
      </c>
      <c r="E530" s="500" t="s">
        <v>162</v>
      </c>
      <c r="F530" s="460" t="s">
        <v>1866</v>
      </c>
      <c r="G530" s="460"/>
      <c r="H530" s="460" t="s">
        <v>1864</v>
      </c>
      <c r="I530" s="540"/>
      <c r="J530" s="540"/>
      <c r="K530" s="545">
        <f>48000/71</f>
        <v>676.05633802816897</v>
      </c>
      <c r="L530" s="555" t="e">
        <f>I530*INDEX([2]Pedidos!$Q:$Q,MATCH(F530,[2]Pedidos!$E:$E,0))</f>
        <v>#N/A</v>
      </c>
      <c r="M530" s="564" t="e">
        <f>J530*INDEX([2]Pedidos!$Q:$Q,MATCH(G530,[2]Pedidos!$E:$E,0))</f>
        <v>#N/A</v>
      </c>
      <c r="N530" s="555">
        <f>K530*INDEX([2]Pedidos!$Q:$Q,MATCH(H530,[2]Pedidos!$E:$E,0))</f>
        <v>371.83098591549299</v>
      </c>
    </row>
    <row r="531" spans="1:14" x14ac:dyDescent="0.25">
      <c r="A531" s="752"/>
      <c r="C531" s="452" t="s">
        <v>171</v>
      </c>
      <c r="D531" s="449">
        <f t="shared" si="160"/>
        <v>46196</v>
      </c>
      <c r="E531" s="454" t="s">
        <v>163</v>
      </c>
      <c r="F531" s="460" t="s">
        <v>1866</v>
      </c>
      <c r="G531" s="460"/>
      <c r="H531" s="460" t="s">
        <v>1864</v>
      </c>
      <c r="I531" s="540"/>
      <c r="J531" s="540"/>
      <c r="K531" s="545">
        <f t="shared" ref="K531:K534" si="161">48000/71</f>
        <v>676.05633802816897</v>
      </c>
      <c r="L531" s="564" t="e">
        <f>I531*INDEX([2]Pedidos!$Q:$Q,MATCH(F531,[2]Pedidos!$E:$E,0))</f>
        <v>#N/A</v>
      </c>
      <c r="M531" s="564" t="e">
        <f>J531*INDEX([2]Pedidos!$Q:$Q,MATCH(G531,[2]Pedidos!$E:$E,0))</f>
        <v>#N/A</v>
      </c>
      <c r="N531" s="564">
        <f>K531*INDEX([2]Pedidos!$Q:$Q,MATCH(H531,[2]Pedidos!$E:$E,0))</f>
        <v>371.83098591549299</v>
      </c>
    </row>
    <row r="532" spans="1:14" x14ac:dyDescent="0.25">
      <c r="A532" s="752"/>
      <c r="C532" s="452" t="s">
        <v>171</v>
      </c>
      <c r="D532" s="449">
        <f t="shared" si="160"/>
        <v>46196</v>
      </c>
      <c r="E532" s="454" t="s">
        <v>164</v>
      </c>
      <c r="F532" s="460" t="s">
        <v>1866</v>
      </c>
      <c r="G532" s="460"/>
      <c r="H532" s="460" t="s">
        <v>1864</v>
      </c>
      <c r="I532" s="540"/>
      <c r="J532" s="540"/>
      <c r="K532" s="545">
        <f t="shared" si="161"/>
        <v>676.05633802816897</v>
      </c>
      <c r="L532" s="564" t="e">
        <f>I532*INDEX([2]Pedidos!$Q:$Q,MATCH(F532,[2]Pedidos!$E:$E,0))</f>
        <v>#N/A</v>
      </c>
      <c r="M532" s="564" t="e">
        <f>J532*INDEX([2]Pedidos!$Q:$Q,MATCH(G532,[2]Pedidos!$E:$E,0))</f>
        <v>#N/A</v>
      </c>
      <c r="N532" s="564">
        <f>K532*INDEX([2]Pedidos!$Q:$Q,MATCH(H532,[2]Pedidos!$E:$E,0))</f>
        <v>371.83098591549299</v>
      </c>
    </row>
    <row r="533" spans="1:14" x14ac:dyDescent="0.25">
      <c r="A533" s="752"/>
      <c r="C533" s="452" t="s">
        <v>171</v>
      </c>
      <c r="D533" s="449">
        <f t="shared" si="160"/>
        <v>46196</v>
      </c>
      <c r="E533" s="454" t="s">
        <v>165</v>
      </c>
      <c r="F533" s="460" t="s">
        <v>1866</v>
      </c>
      <c r="G533" s="460"/>
      <c r="H533" s="460" t="s">
        <v>1864</v>
      </c>
      <c r="I533" s="540"/>
      <c r="J533" s="540"/>
      <c r="K533" s="545">
        <f t="shared" si="161"/>
        <v>676.05633802816897</v>
      </c>
      <c r="L533" s="564" t="e">
        <f>I533*INDEX([2]Pedidos!$Q:$Q,MATCH(F533,[2]Pedidos!$E:$E,0))</f>
        <v>#N/A</v>
      </c>
      <c r="M533" s="564" t="e">
        <f>J533*INDEX([2]Pedidos!$Q:$Q,MATCH(G533,[2]Pedidos!$E:$E,0))</f>
        <v>#N/A</v>
      </c>
      <c r="N533" s="564">
        <f>K533*INDEX([2]Pedidos!$Q:$Q,MATCH(H533,[2]Pedidos!$E:$E,0))</f>
        <v>371.83098591549299</v>
      </c>
    </row>
    <row r="534" spans="1:14" x14ac:dyDescent="0.25">
      <c r="A534" s="752"/>
      <c r="C534" s="452" t="s">
        <v>171</v>
      </c>
      <c r="D534" s="449">
        <f t="shared" si="160"/>
        <v>46196</v>
      </c>
      <c r="E534" s="454" t="s">
        <v>166</v>
      </c>
      <c r="F534" s="460" t="s">
        <v>1866</v>
      </c>
      <c r="G534" s="460"/>
      <c r="H534" s="460" t="s">
        <v>1864</v>
      </c>
      <c r="I534" s="540"/>
      <c r="J534" s="540"/>
      <c r="K534" s="545">
        <f t="shared" si="161"/>
        <v>676.05633802816897</v>
      </c>
      <c r="L534" s="564" t="e">
        <f>I534*INDEX([2]Pedidos!$Q:$Q,MATCH(F534,[2]Pedidos!$E:$E,0))</f>
        <v>#N/A</v>
      </c>
      <c r="M534" s="564" t="e">
        <f>J534*INDEX([2]Pedidos!$Q:$Q,MATCH(G534,[2]Pedidos!$E:$E,0))</f>
        <v>#N/A</v>
      </c>
      <c r="N534" s="564">
        <f>K534*INDEX([2]Pedidos!$Q:$Q,MATCH(H534,[2]Pedidos!$E:$E,0))</f>
        <v>371.83098591549299</v>
      </c>
    </row>
    <row r="535" spans="1:14" x14ac:dyDescent="0.25">
      <c r="A535" s="752"/>
      <c r="C535" s="452" t="s">
        <v>171</v>
      </c>
      <c r="D535" s="449">
        <f t="shared" si="160"/>
        <v>46196</v>
      </c>
      <c r="E535" s="454" t="s">
        <v>576</v>
      </c>
      <c r="F535" s="512"/>
      <c r="G535" s="512"/>
      <c r="H535" s="512"/>
      <c r="I535" s="554"/>
      <c r="J535" s="554"/>
      <c r="K535" s="554"/>
      <c r="L535" s="556"/>
      <c r="M535" s="556"/>
      <c r="N535" s="556"/>
    </row>
    <row r="536" spans="1:14" x14ac:dyDescent="0.25">
      <c r="A536" s="752"/>
      <c r="C536" s="452" t="s">
        <v>171</v>
      </c>
      <c r="D536" s="449">
        <f t="shared" si="160"/>
        <v>46196</v>
      </c>
      <c r="E536" s="454" t="s">
        <v>167</v>
      </c>
      <c r="F536" s="460" t="s">
        <v>1866</v>
      </c>
      <c r="G536" s="460"/>
      <c r="H536" s="460" t="s">
        <v>1864</v>
      </c>
      <c r="I536" s="540"/>
      <c r="J536" s="540"/>
      <c r="K536" s="545">
        <f t="shared" ref="K536:K539" si="162">48000/71</f>
        <v>676.05633802816897</v>
      </c>
      <c r="L536" s="565" t="e">
        <f>I536*INDEX([2]Pedidos!$Q:$Q,MATCH(F536,[2]Pedidos!$E:$E,0))</f>
        <v>#N/A</v>
      </c>
      <c r="M536" s="564" t="e">
        <f>J536*INDEX([2]Pedidos!$Q:$Q,MATCH(G536,[2]Pedidos!$E:$E,0))</f>
        <v>#N/A</v>
      </c>
      <c r="N536" s="565">
        <f>K536*INDEX([2]Pedidos!$Q:$Q,MATCH(H536,[2]Pedidos!$E:$E,0))</f>
        <v>371.83098591549299</v>
      </c>
    </row>
    <row r="537" spans="1:14" x14ac:dyDescent="0.25">
      <c r="A537" s="752"/>
      <c r="C537" s="452" t="s">
        <v>171</v>
      </c>
      <c r="D537" s="449">
        <f t="shared" si="160"/>
        <v>46196</v>
      </c>
      <c r="E537" s="454" t="s">
        <v>168</v>
      </c>
      <c r="F537" s="460" t="s">
        <v>1866</v>
      </c>
      <c r="G537" s="460"/>
      <c r="H537" s="460" t="s">
        <v>1864</v>
      </c>
      <c r="I537" s="540"/>
      <c r="J537" s="540"/>
      <c r="K537" s="545">
        <f t="shared" si="162"/>
        <v>676.05633802816897</v>
      </c>
      <c r="L537" s="565" t="e">
        <f>I537*INDEX([2]Pedidos!$Q:$Q,MATCH(F537,[2]Pedidos!$E:$E,0))</f>
        <v>#N/A</v>
      </c>
      <c r="M537" s="564" t="e">
        <f>J537*INDEX([2]Pedidos!$Q:$Q,MATCH(G537,[2]Pedidos!$E:$E,0))</f>
        <v>#N/A</v>
      </c>
      <c r="N537" s="565">
        <f>K537*INDEX([2]Pedidos!$Q:$Q,MATCH(H537,[2]Pedidos!$E:$E,0))</f>
        <v>371.83098591549299</v>
      </c>
    </row>
    <row r="538" spans="1:14" x14ac:dyDescent="0.25">
      <c r="A538" s="752"/>
      <c r="C538" s="452" t="s">
        <v>171</v>
      </c>
      <c r="D538" s="449">
        <f t="shared" si="160"/>
        <v>46196</v>
      </c>
      <c r="E538" s="454" t="s">
        <v>169</v>
      </c>
      <c r="F538" s="460" t="s">
        <v>1866</v>
      </c>
      <c r="G538" s="460"/>
      <c r="H538" s="460" t="s">
        <v>1864</v>
      </c>
      <c r="I538" s="540"/>
      <c r="J538" s="540"/>
      <c r="K538" s="545">
        <f t="shared" si="162"/>
        <v>676.05633802816897</v>
      </c>
      <c r="L538" s="565" t="e">
        <f>I538*INDEX([2]Pedidos!$Q:$Q,MATCH(F538,[2]Pedidos!$E:$E,0))</f>
        <v>#N/A</v>
      </c>
      <c r="M538" s="564" t="e">
        <f>J538*INDEX([2]Pedidos!$Q:$Q,MATCH(G538,[2]Pedidos!$E:$E,0))</f>
        <v>#N/A</v>
      </c>
      <c r="N538" s="565">
        <f>K538*INDEX([2]Pedidos!$Q:$Q,MATCH(H538,[2]Pedidos!$E:$E,0))</f>
        <v>371.83098591549299</v>
      </c>
    </row>
    <row r="539" spans="1:14" x14ac:dyDescent="0.25">
      <c r="A539" s="752"/>
      <c r="C539" s="452" t="s">
        <v>171</v>
      </c>
      <c r="D539" s="449">
        <f t="shared" si="160"/>
        <v>46196</v>
      </c>
      <c r="E539" s="454" t="s">
        <v>170</v>
      </c>
      <c r="F539" s="460" t="s">
        <v>1866</v>
      </c>
      <c r="G539" s="460"/>
      <c r="H539" s="460" t="s">
        <v>1864</v>
      </c>
      <c r="I539" s="540"/>
      <c r="J539" s="540"/>
      <c r="K539" s="545">
        <f t="shared" si="162"/>
        <v>676.05633802816897</v>
      </c>
      <c r="L539" s="566" t="e">
        <f>I539*INDEX([2]Pedidos!$Q:$Q,MATCH(F539,[2]Pedidos!$E:$E,0))</f>
        <v>#N/A</v>
      </c>
      <c r="M539" s="564" t="e">
        <f>J539*INDEX([2]Pedidos!$Q:$Q,MATCH(G539,[2]Pedidos!$E:$E,0))</f>
        <v>#N/A</v>
      </c>
      <c r="N539" s="566">
        <f>K539*INDEX([2]Pedidos!$Q:$Q,MATCH(H539,[2]Pedidos!$E:$E,0))</f>
        <v>371.83098591549299</v>
      </c>
    </row>
    <row r="540" spans="1:14" x14ac:dyDescent="0.25">
      <c r="A540" s="752"/>
      <c r="C540" s="452" t="s">
        <v>171</v>
      </c>
      <c r="D540" s="449">
        <f t="shared" si="160"/>
        <v>46196</v>
      </c>
      <c r="E540" s="454" t="s">
        <v>585</v>
      </c>
      <c r="F540" s="505"/>
      <c r="G540" s="505"/>
      <c r="H540" s="505"/>
      <c r="I540" s="516"/>
      <c r="J540" s="516"/>
      <c r="K540" s="516"/>
      <c r="L540" s="557"/>
      <c r="M540" s="557"/>
      <c r="N540" s="557"/>
    </row>
    <row r="541" spans="1:14" x14ac:dyDescent="0.25">
      <c r="A541" s="752"/>
      <c r="C541" s="448" t="s">
        <v>171</v>
      </c>
      <c r="D541" s="449">
        <f t="shared" si="160"/>
        <v>46196</v>
      </c>
      <c r="E541" s="455" t="s">
        <v>574</v>
      </c>
      <c r="F541" s="505"/>
      <c r="G541" s="505"/>
      <c r="H541" s="505"/>
      <c r="I541" s="516"/>
      <c r="J541" s="516"/>
      <c r="K541" s="516"/>
      <c r="L541" s="557"/>
      <c r="M541" s="557"/>
      <c r="N541" s="557"/>
    </row>
    <row r="542" spans="1:14" x14ac:dyDescent="0.25">
      <c r="A542" s="752"/>
      <c r="C542" s="448" t="s">
        <v>171</v>
      </c>
      <c r="D542" s="449">
        <f t="shared" si="160"/>
        <v>46196</v>
      </c>
      <c r="E542" s="455" t="s">
        <v>575</v>
      </c>
      <c r="F542" s="506"/>
      <c r="G542" s="506"/>
      <c r="H542" s="506"/>
      <c r="I542" s="516"/>
      <c r="J542" s="516"/>
      <c r="K542" s="516"/>
      <c r="L542" s="557"/>
      <c r="M542" s="557"/>
      <c r="N542" s="557"/>
    </row>
    <row r="543" spans="1:14" x14ac:dyDescent="0.25">
      <c r="A543" s="752"/>
      <c r="C543" s="448" t="s">
        <v>171</v>
      </c>
      <c r="D543" s="449">
        <f t="shared" si="160"/>
        <v>46196</v>
      </c>
      <c r="E543" s="503" t="s">
        <v>583</v>
      </c>
      <c r="F543" s="506"/>
      <c r="G543" s="506"/>
      <c r="H543" s="506"/>
      <c r="I543" s="516"/>
      <c r="J543" s="516"/>
      <c r="K543" s="516"/>
      <c r="L543" s="557"/>
      <c r="M543" s="557"/>
      <c r="N543" s="557"/>
    </row>
    <row r="544" spans="1:14" ht="15.75" thickBot="1" x14ac:dyDescent="0.3">
      <c r="A544" s="752"/>
      <c r="C544" s="450" t="s">
        <v>171</v>
      </c>
      <c r="D544" s="451">
        <f t="shared" si="160"/>
        <v>46196</v>
      </c>
      <c r="E544" s="459" t="s">
        <v>584</v>
      </c>
      <c r="F544" s="493"/>
      <c r="G544" s="493"/>
      <c r="H544" s="493"/>
      <c r="I544" s="513"/>
      <c r="J544" s="513"/>
      <c r="K544" s="513"/>
      <c r="L544" s="558"/>
      <c r="M544" s="558"/>
      <c r="N544" s="558"/>
    </row>
    <row r="545" spans="1:16" ht="7.5" customHeight="1" thickBot="1" x14ac:dyDescent="0.3">
      <c r="A545" s="752"/>
      <c r="I545" s="445"/>
      <c r="J545" s="445"/>
      <c r="L545" s="559"/>
      <c r="M545" s="559"/>
      <c r="N545" s="559"/>
    </row>
    <row r="546" spans="1:16" ht="15.75" thickBot="1" x14ac:dyDescent="0.3">
      <c r="A546" s="752"/>
      <c r="C546" s="538"/>
      <c r="D546" s="539"/>
      <c r="E546" s="539"/>
      <c r="F546" s="539"/>
      <c r="G546" s="539"/>
      <c r="H546" s="539"/>
      <c r="I546" s="606">
        <f t="shared" ref="I546:N546" si="163">_xlfn.AGGREGATE(9,6,I547:I562)</f>
        <v>0</v>
      </c>
      <c r="J546" s="607">
        <f t="shared" si="163"/>
        <v>0</v>
      </c>
      <c r="K546" s="544">
        <f t="shared" si="163"/>
        <v>6084.5070422535218</v>
      </c>
      <c r="L546" s="560">
        <f t="shared" si="163"/>
        <v>0</v>
      </c>
      <c r="M546" s="561">
        <f t="shared" si="163"/>
        <v>0</v>
      </c>
      <c r="N546" s="562">
        <f t="shared" si="163"/>
        <v>3346.4788732394363</v>
      </c>
      <c r="O546" s="548">
        <f>SUM(I546:K546)</f>
        <v>6084.5070422535218</v>
      </c>
      <c r="P546" s="549">
        <f>SUM(L546:N546)</f>
        <v>3346.4788732394363</v>
      </c>
    </row>
    <row r="547" spans="1:16" x14ac:dyDescent="0.25">
      <c r="A547" s="752"/>
      <c r="C547" s="446" t="s">
        <v>172</v>
      </c>
      <c r="D547" s="497">
        <f>D544+1</f>
        <v>46197</v>
      </c>
      <c r="E547" s="498" t="s">
        <v>573</v>
      </c>
      <c r="F547" s="514"/>
      <c r="G547" s="514"/>
      <c r="H547" s="514"/>
      <c r="I547" s="537"/>
      <c r="J547" s="537"/>
      <c r="K547" s="537"/>
      <c r="L547" s="563"/>
      <c r="M547" s="563"/>
      <c r="N547" s="563"/>
    </row>
    <row r="548" spans="1:16" x14ac:dyDescent="0.25">
      <c r="A548" s="752"/>
      <c r="C548" s="452" t="s">
        <v>172</v>
      </c>
      <c r="D548" s="499">
        <f t="shared" ref="D548:D562" si="164">D547</f>
        <v>46197</v>
      </c>
      <c r="E548" s="500" t="s">
        <v>162</v>
      </c>
      <c r="F548" s="460" t="s">
        <v>1866</v>
      </c>
      <c r="G548" s="460"/>
      <c r="H548" s="460" t="s">
        <v>1864</v>
      </c>
      <c r="I548" s="540"/>
      <c r="J548" s="540"/>
      <c r="K548" s="545">
        <f>48000/71</f>
        <v>676.05633802816897</v>
      </c>
      <c r="L548" s="555" t="e">
        <f>I548*INDEX([2]Pedidos!$Q:$Q,MATCH(F548,[2]Pedidos!$E:$E,0))</f>
        <v>#N/A</v>
      </c>
      <c r="M548" s="564" t="e">
        <f>J548*INDEX([2]Pedidos!$Q:$Q,MATCH(G548,[2]Pedidos!$E:$E,0))</f>
        <v>#N/A</v>
      </c>
      <c r="N548" s="555">
        <f>K548*INDEX([2]Pedidos!$Q:$Q,MATCH(H548,[2]Pedidos!$E:$E,0))</f>
        <v>371.83098591549299</v>
      </c>
    </row>
    <row r="549" spans="1:16" x14ac:dyDescent="0.25">
      <c r="A549" s="752"/>
      <c r="C549" s="452" t="s">
        <v>172</v>
      </c>
      <c r="D549" s="449">
        <f t="shared" si="164"/>
        <v>46197</v>
      </c>
      <c r="E549" s="454" t="s">
        <v>163</v>
      </c>
      <c r="F549" s="460" t="s">
        <v>1866</v>
      </c>
      <c r="G549" s="460"/>
      <c r="H549" s="460" t="s">
        <v>1864</v>
      </c>
      <c r="I549" s="540"/>
      <c r="J549" s="540"/>
      <c r="K549" s="545">
        <f t="shared" ref="K549:K552" si="165">48000/71</f>
        <v>676.05633802816897</v>
      </c>
      <c r="L549" s="564" t="e">
        <f>I549*INDEX([2]Pedidos!$Q:$Q,MATCH(F549,[2]Pedidos!$E:$E,0))</f>
        <v>#N/A</v>
      </c>
      <c r="M549" s="564" t="e">
        <f>J549*INDEX([2]Pedidos!$Q:$Q,MATCH(G549,[2]Pedidos!$E:$E,0))</f>
        <v>#N/A</v>
      </c>
      <c r="N549" s="564">
        <f>K549*INDEX([2]Pedidos!$Q:$Q,MATCH(H549,[2]Pedidos!$E:$E,0))</f>
        <v>371.83098591549299</v>
      </c>
    </row>
    <row r="550" spans="1:16" x14ac:dyDescent="0.25">
      <c r="A550" s="752"/>
      <c r="C550" s="452" t="s">
        <v>172</v>
      </c>
      <c r="D550" s="449">
        <f t="shared" si="164"/>
        <v>46197</v>
      </c>
      <c r="E550" s="454" t="s">
        <v>164</v>
      </c>
      <c r="F550" s="460" t="s">
        <v>1866</v>
      </c>
      <c r="G550" s="460"/>
      <c r="H550" s="460" t="s">
        <v>1864</v>
      </c>
      <c r="I550" s="540"/>
      <c r="J550" s="540"/>
      <c r="K550" s="545">
        <f t="shared" si="165"/>
        <v>676.05633802816897</v>
      </c>
      <c r="L550" s="564" t="e">
        <f>I550*INDEX([2]Pedidos!$Q:$Q,MATCH(F550,[2]Pedidos!$E:$E,0))</f>
        <v>#N/A</v>
      </c>
      <c r="M550" s="564" t="e">
        <f>J550*INDEX([2]Pedidos!$Q:$Q,MATCH(G550,[2]Pedidos!$E:$E,0))</f>
        <v>#N/A</v>
      </c>
      <c r="N550" s="564">
        <f>K550*INDEX([2]Pedidos!$Q:$Q,MATCH(H550,[2]Pedidos!$E:$E,0))</f>
        <v>371.83098591549299</v>
      </c>
    </row>
    <row r="551" spans="1:16" x14ac:dyDescent="0.25">
      <c r="A551" s="752"/>
      <c r="C551" s="452" t="s">
        <v>172</v>
      </c>
      <c r="D551" s="449">
        <f t="shared" si="164"/>
        <v>46197</v>
      </c>
      <c r="E551" s="454" t="s">
        <v>165</v>
      </c>
      <c r="F551" s="460" t="s">
        <v>1866</v>
      </c>
      <c r="G551" s="460"/>
      <c r="H551" s="460" t="s">
        <v>1864</v>
      </c>
      <c r="I551" s="540"/>
      <c r="J551" s="540"/>
      <c r="K551" s="545">
        <f t="shared" si="165"/>
        <v>676.05633802816897</v>
      </c>
      <c r="L551" s="564" t="e">
        <f>I551*INDEX([2]Pedidos!$Q:$Q,MATCH(F551,[2]Pedidos!$E:$E,0))</f>
        <v>#N/A</v>
      </c>
      <c r="M551" s="564" t="e">
        <f>J551*INDEX([2]Pedidos!$Q:$Q,MATCH(G551,[2]Pedidos!$E:$E,0))</f>
        <v>#N/A</v>
      </c>
      <c r="N551" s="564">
        <f>K551*INDEX([2]Pedidos!$Q:$Q,MATCH(H551,[2]Pedidos!$E:$E,0))</f>
        <v>371.83098591549299</v>
      </c>
    </row>
    <row r="552" spans="1:16" x14ac:dyDescent="0.25">
      <c r="A552" s="752"/>
      <c r="C552" s="452" t="s">
        <v>172</v>
      </c>
      <c r="D552" s="449">
        <f t="shared" si="164"/>
        <v>46197</v>
      </c>
      <c r="E552" s="454" t="s">
        <v>166</v>
      </c>
      <c r="F552" s="460" t="s">
        <v>1866</v>
      </c>
      <c r="G552" s="460"/>
      <c r="H552" s="460" t="s">
        <v>1864</v>
      </c>
      <c r="I552" s="540"/>
      <c r="J552" s="540"/>
      <c r="K552" s="545">
        <f t="shared" si="165"/>
        <v>676.05633802816897</v>
      </c>
      <c r="L552" s="564" t="e">
        <f>I552*INDEX([2]Pedidos!$Q:$Q,MATCH(F552,[2]Pedidos!$E:$E,0))</f>
        <v>#N/A</v>
      </c>
      <c r="M552" s="564" t="e">
        <f>J552*INDEX([2]Pedidos!$Q:$Q,MATCH(G552,[2]Pedidos!$E:$E,0))</f>
        <v>#N/A</v>
      </c>
      <c r="N552" s="564">
        <f>K552*INDEX([2]Pedidos!$Q:$Q,MATCH(H552,[2]Pedidos!$E:$E,0))</f>
        <v>371.83098591549299</v>
      </c>
    </row>
    <row r="553" spans="1:16" x14ac:dyDescent="0.25">
      <c r="A553" s="752"/>
      <c r="C553" s="452" t="s">
        <v>172</v>
      </c>
      <c r="D553" s="449">
        <f t="shared" si="164"/>
        <v>46197</v>
      </c>
      <c r="E553" s="454" t="s">
        <v>576</v>
      </c>
      <c r="F553" s="512"/>
      <c r="G553" s="512"/>
      <c r="H553" s="512"/>
      <c r="I553" s="554"/>
      <c r="J553" s="554"/>
      <c r="K553" s="554"/>
      <c r="L553" s="556"/>
      <c r="M553" s="556"/>
      <c r="N553" s="556"/>
    </row>
    <row r="554" spans="1:16" x14ac:dyDescent="0.25">
      <c r="A554" s="752"/>
      <c r="C554" s="452" t="s">
        <v>172</v>
      </c>
      <c r="D554" s="449">
        <f t="shared" si="164"/>
        <v>46197</v>
      </c>
      <c r="E554" s="454" t="s">
        <v>167</v>
      </c>
      <c r="F554" s="460" t="s">
        <v>1866</v>
      </c>
      <c r="G554" s="460"/>
      <c r="H554" s="460" t="s">
        <v>1864</v>
      </c>
      <c r="I554" s="540"/>
      <c r="J554" s="540"/>
      <c r="K554" s="545">
        <f t="shared" ref="K554:K557" si="166">48000/71</f>
        <v>676.05633802816897</v>
      </c>
      <c r="L554" s="565" t="e">
        <f>I554*INDEX([2]Pedidos!$Q:$Q,MATCH(F554,[2]Pedidos!$E:$E,0))</f>
        <v>#N/A</v>
      </c>
      <c r="M554" s="564" t="e">
        <f>J554*INDEX([2]Pedidos!$Q:$Q,MATCH(G554,[2]Pedidos!$E:$E,0))</f>
        <v>#N/A</v>
      </c>
      <c r="N554" s="565">
        <f>K554*INDEX([2]Pedidos!$Q:$Q,MATCH(H554,[2]Pedidos!$E:$E,0))</f>
        <v>371.83098591549299</v>
      </c>
    </row>
    <row r="555" spans="1:16" x14ac:dyDescent="0.25">
      <c r="A555" s="752"/>
      <c r="C555" s="452" t="s">
        <v>172</v>
      </c>
      <c r="D555" s="449">
        <f t="shared" si="164"/>
        <v>46197</v>
      </c>
      <c r="E555" s="454" t="s">
        <v>168</v>
      </c>
      <c r="F555" s="460" t="s">
        <v>1866</v>
      </c>
      <c r="G555" s="460"/>
      <c r="H555" s="460" t="s">
        <v>1864</v>
      </c>
      <c r="I555" s="540"/>
      <c r="J555" s="540"/>
      <c r="K555" s="545">
        <f t="shared" si="166"/>
        <v>676.05633802816897</v>
      </c>
      <c r="L555" s="565" t="e">
        <f>I555*INDEX([2]Pedidos!$Q:$Q,MATCH(F555,[2]Pedidos!$E:$E,0))</f>
        <v>#N/A</v>
      </c>
      <c r="M555" s="564" t="e">
        <f>J555*INDEX([2]Pedidos!$Q:$Q,MATCH(G555,[2]Pedidos!$E:$E,0))</f>
        <v>#N/A</v>
      </c>
      <c r="N555" s="565">
        <f>K555*INDEX([2]Pedidos!$Q:$Q,MATCH(H555,[2]Pedidos!$E:$E,0))</f>
        <v>371.83098591549299</v>
      </c>
    </row>
    <row r="556" spans="1:16" x14ac:dyDescent="0.25">
      <c r="A556" s="752"/>
      <c r="C556" s="452" t="s">
        <v>172</v>
      </c>
      <c r="D556" s="449">
        <f t="shared" si="164"/>
        <v>46197</v>
      </c>
      <c r="E556" s="454" t="s">
        <v>169</v>
      </c>
      <c r="F556" s="460" t="s">
        <v>1866</v>
      </c>
      <c r="G556" s="460"/>
      <c r="H556" s="460" t="s">
        <v>1864</v>
      </c>
      <c r="I556" s="540"/>
      <c r="J556" s="540"/>
      <c r="K556" s="545">
        <f t="shared" si="166"/>
        <v>676.05633802816897</v>
      </c>
      <c r="L556" s="565" t="e">
        <f>I556*INDEX([2]Pedidos!$Q:$Q,MATCH(F556,[2]Pedidos!$E:$E,0))</f>
        <v>#N/A</v>
      </c>
      <c r="M556" s="564" t="e">
        <f>J556*INDEX([2]Pedidos!$Q:$Q,MATCH(G556,[2]Pedidos!$E:$E,0))</f>
        <v>#N/A</v>
      </c>
      <c r="N556" s="565">
        <f>K556*INDEX([2]Pedidos!$Q:$Q,MATCH(H556,[2]Pedidos!$E:$E,0))</f>
        <v>371.83098591549299</v>
      </c>
    </row>
    <row r="557" spans="1:16" x14ac:dyDescent="0.25">
      <c r="A557" s="752"/>
      <c r="C557" s="452" t="s">
        <v>172</v>
      </c>
      <c r="D557" s="449">
        <f t="shared" si="164"/>
        <v>46197</v>
      </c>
      <c r="E557" s="454" t="s">
        <v>170</v>
      </c>
      <c r="F557" s="460" t="s">
        <v>1866</v>
      </c>
      <c r="G557" s="460"/>
      <c r="H557" s="460" t="s">
        <v>1864</v>
      </c>
      <c r="I557" s="540"/>
      <c r="J557" s="540"/>
      <c r="K557" s="545">
        <f t="shared" si="166"/>
        <v>676.05633802816897</v>
      </c>
      <c r="L557" s="566" t="e">
        <f>I557*INDEX([2]Pedidos!$Q:$Q,MATCH(F557,[2]Pedidos!$E:$E,0))</f>
        <v>#N/A</v>
      </c>
      <c r="M557" s="564" t="e">
        <f>J557*INDEX([2]Pedidos!$Q:$Q,MATCH(G557,[2]Pedidos!$E:$E,0))</f>
        <v>#N/A</v>
      </c>
      <c r="N557" s="566">
        <f>K557*INDEX([2]Pedidos!$Q:$Q,MATCH(H557,[2]Pedidos!$E:$E,0))</f>
        <v>371.83098591549299</v>
      </c>
    </row>
    <row r="558" spans="1:16" x14ac:dyDescent="0.25">
      <c r="A558" s="752"/>
      <c r="C558" s="452" t="s">
        <v>172</v>
      </c>
      <c r="D558" s="449">
        <f t="shared" si="164"/>
        <v>46197</v>
      </c>
      <c r="E558" s="454" t="s">
        <v>585</v>
      </c>
      <c r="F558" s="505"/>
      <c r="G558" s="505"/>
      <c r="H558" s="505"/>
      <c r="I558" s="516"/>
      <c r="J558" s="516"/>
      <c r="K558" s="516"/>
      <c r="L558" s="557"/>
      <c r="M558" s="557"/>
      <c r="N558" s="557"/>
    </row>
    <row r="559" spans="1:16" x14ac:dyDescent="0.25">
      <c r="A559" s="752"/>
      <c r="C559" s="448" t="s">
        <v>172</v>
      </c>
      <c r="D559" s="449">
        <f t="shared" si="164"/>
        <v>46197</v>
      </c>
      <c r="E559" s="455" t="s">
        <v>574</v>
      </c>
      <c r="F559" s="505"/>
      <c r="G559" s="505"/>
      <c r="H559" s="505"/>
      <c r="I559" s="516"/>
      <c r="J559" s="516"/>
      <c r="K559" s="516"/>
      <c r="L559" s="557"/>
      <c r="M559" s="557"/>
      <c r="N559" s="557"/>
    </row>
    <row r="560" spans="1:16" x14ac:dyDescent="0.25">
      <c r="A560" s="752"/>
      <c r="C560" s="448" t="s">
        <v>172</v>
      </c>
      <c r="D560" s="449">
        <f t="shared" si="164"/>
        <v>46197</v>
      </c>
      <c r="E560" s="455" t="s">
        <v>575</v>
      </c>
      <c r="F560" s="506"/>
      <c r="G560" s="506"/>
      <c r="H560" s="506"/>
      <c r="I560" s="516"/>
      <c r="J560" s="516"/>
      <c r="K560" s="516"/>
      <c r="L560" s="557"/>
      <c r="M560" s="557"/>
      <c r="N560" s="557"/>
    </row>
    <row r="561" spans="1:16" x14ac:dyDescent="0.25">
      <c r="A561" s="752"/>
      <c r="C561" s="448" t="s">
        <v>172</v>
      </c>
      <c r="D561" s="449">
        <f t="shared" si="164"/>
        <v>46197</v>
      </c>
      <c r="E561" s="503" t="s">
        <v>583</v>
      </c>
      <c r="F561" s="506"/>
      <c r="G561" s="506"/>
      <c r="H561" s="506"/>
      <c r="I561" s="516"/>
      <c r="J561" s="516"/>
      <c r="K561" s="516"/>
      <c r="L561" s="557"/>
      <c r="M561" s="557"/>
      <c r="N561" s="557"/>
    </row>
    <row r="562" spans="1:16" ht="15.75" thickBot="1" x14ac:dyDescent="0.3">
      <c r="A562" s="752"/>
      <c r="C562" s="450" t="s">
        <v>172</v>
      </c>
      <c r="D562" s="451">
        <f t="shared" si="164"/>
        <v>46197</v>
      </c>
      <c r="E562" s="459" t="s">
        <v>584</v>
      </c>
      <c r="F562" s="493"/>
      <c r="G562" s="493"/>
      <c r="H562" s="493"/>
      <c r="I562" s="513"/>
      <c r="J562" s="513"/>
      <c r="K562" s="513"/>
      <c r="L562" s="558"/>
      <c r="M562" s="558"/>
      <c r="N562" s="558"/>
    </row>
    <row r="563" spans="1:16" ht="8.25" customHeight="1" thickBot="1" x14ac:dyDescent="0.3">
      <c r="A563" s="752"/>
      <c r="I563" s="445"/>
      <c r="J563" s="445"/>
      <c r="L563" s="559"/>
      <c r="M563" s="559"/>
      <c r="N563" s="559"/>
    </row>
    <row r="564" spans="1:16" ht="15.75" thickBot="1" x14ac:dyDescent="0.3">
      <c r="A564" s="752"/>
      <c r="C564" s="538"/>
      <c r="D564" s="539"/>
      <c r="E564" s="539"/>
      <c r="F564" s="539"/>
      <c r="G564" s="539"/>
      <c r="H564" s="539"/>
      <c r="I564" s="606">
        <f t="shared" ref="I564:N564" si="167">_xlfn.AGGREGATE(9,6,I565:I580)</f>
        <v>0</v>
      </c>
      <c r="J564" s="607">
        <f t="shared" si="167"/>
        <v>0</v>
      </c>
      <c r="K564" s="544">
        <f t="shared" si="167"/>
        <v>0</v>
      </c>
      <c r="L564" s="560">
        <f t="shared" si="167"/>
        <v>0</v>
      </c>
      <c r="M564" s="561">
        <f t="shared" si="167"/>
        <v>0</v>
      </c>
      <c r="N564" s="562">
        <f t="shared" si="167"/>
        <v>0</v>
      </c>
      <c r="O564" s="548">
        <f>SUM(I564:K564)</f>
        <v>0</v>
      </c>
      <c r="P564" s="549">
        <f>SUM(L564:N564)</f>
        <v>0</v>
      </c>
    </row>
    <row r="565" spans="1:16" x14ac:dyDescent="0.25">
      <c r="A565" s="752"/>
      <c r="C565" s="529" t="s">
        <v>173</v>
      </c>
      <c r="D565" s="447">
        <f>D562+1</f>
        <v>46198</v>
      </c>
      <c r="E565" s="498" t="s">
        <v>573</v>
      </c>
      <c r="F565" s="514"/>
      <c r="G565" s="514"/>
      <c r="H565" s="514"/>
      <c r="I565" s="537"/>
      <c r="J565" s="537"/>
      <c r="K565" s="537"/>
      <c r="L565" s="563"/>
      <c r="M565" s="563"/>
      <c r="N565" s="563"/>
    </row>
    <row r="566" spans="1:16" x14ac:dyDescent="0.25">
      <c r="A566" s="752"/>
      <c r="C566" s="452" t="s">
        <v>173</v>
      </c>
      <c r="D566" s="453">
        <f t="shared" ref="D566:D580" si="168">D565</f>
        <v>46198</v>
      </c>
      <c r="E566" s="500" t="s">
        <v>162</v>
      </c>
      <c r="F566" s="460" t="s">
        <v>1866</v>
      </c>
      <c r="G566" s="460"/>
      <c r="H566" s="460"/>
      <c r="I566" s="540"/>
      <c r="J566" s="540"/>
      <c r="K566" s="545"/>
      <c r="L566" s="555" t="e">
        <f>I566*INDEX([2]Pedidos!$Q:$Q,MATCH(F566,[2]Pedidos!$E:$E,0))</f>
        <v>#N/A</v>
      </c>
      <c r="M566" s="564" t="e">
        <f>J566*INDEX([2]Pedidos!$Q:$Q,MATCH(G566,[2]Pedidos!$E:$E,0))</f>
        <v>#N/A</v>
      </c>
      <c r="N566" s="555" t="e">
        <f>K566*INDEX([2]Pedidos!$Q:$Q,MATCH(H566,[2]Pedidos!$E:$E,0))</f>
        <v>#N/A</v>
      </c>
    </row>
    <row r="567" spans="1:16" x14ac:dyDescent="0.25">
      <c r="A567" s="752"/>
      <c r="C567" s="452" t="s">
        <v>173</v>
      </c>
      <c r="D567" s="453">
        <f t="shared" si="168"/>
        <v>46198</v>
      </c>
      <c r="E567" s="454" t="s">
        <v>163</v>
      </c>
      <c r="F567" s="460" t="s">
        <v>1866</v>
      </c>
      <c r="G567" s="460"/>
      <c r="H567" s="460"/>
      <c r="I567" s="540"/>
      <c r="J567" s="540"/>
      <c r="K567" s="545"/>
      <c r="L567" s="564" t="e">
        <f>I567*INDEX([2]Pedidos!$Q:$Q,MATCH(F567,[2]Pedidos!$E:$E,0))</f>
        <v>#N/A</v>
      </c>
      <c r="M567" s="564" t="e">
        <f>J567*INDEX([2]Pedidos!$Q:$Q,MATCH(G567,[2]Pedidos!$E:$E,0))</f>
        <v>#N/A</v>
      </c>
      <c r="N567" s="564" t="e">
        <f>K567*INDEX([2]Pedidos!$Q:$Q,MATCH(H567,[2]Pedidos!$E:$E,0))</f>
        <v>#N/A</v>
      </c>
    </row>
    <row r="568" spans="1:16" x14ac:dyDescent="0.25">
      <c r="A568" s="752"/>
      <c r="C568" s="452" t="s">
        <v>173</v>
      </c>
      <c r="D568" s="453">
        <f t="shared" si="168"/>
        <v>46198</v>
      </c>
      <c r="E568" s="454" t="s">
        <v>164</v>
      </c>
      <c r="F568" s="460" t="s">
        <v>1866</v>
      </c>
      <c r="G568" s="460"/>
      <c r="H568" s="460"/>
      <c r="I568" s="540"/>
      <c r="J568" s="540"/>
      <c r="K568" s="545"/>
      <c r="L568" s="564" t="e">
        <f>I568*INDEX([2]Pedidos!$Q:$Q,MATCH(F568,[2]Pedidos!$E:$E,0))</f>
        <v>#N/A</v>
      </c>
      <c r="M568" s="564" t="e">
        <f>J568*INDEX([2]Pedidos!$Q:$Q,MATCH(G568,[2]Pedidos!$E:$E,0))</f>
        <v>#N/A</v>
      </c>
      <c r="N568" s="564" t="e">
        <f>K568*INDEX([2]Pedidos!$Q:$Q,MATCH(H568,[2]Pedidos!$E:$E,0))</f>
        <v>#N/A</v>
      </c>
    </row>
    <row r="569" spans="1:16" x14ac:dyDescent="0.25">
      <c r="A569" s="752"/>
      <c r="C569" s="452" t="s">
        <v>173</v>
      </c>
      <c r="D569" s="453">
        <f t="shared" si="168"/>
        <v>46198</v>
      </c>
      <c r="E569" s="454" t="s">
        <v>165</v>
      </c>
      <c r="F569" s="460" t="s">
        <v>1866</v>
      </c>
      <c r="G569" s="460"/>
      <c r="H569" s="460"/>
      <c r="I569" s="540"/>
      <c r="J569" s="540"/>
      <c r="K569" s="545"/>
      <c r="L569" s="564" t="e">
        <f>I569*INDEX([2]Pedidos!$Q:$Q,MATCH(F569,[2]Pedidos!$E:$E,0))</f>
        <v>#N/A</v>
      </c>
      <c r="M569" s="564" t="e">
        <f>J569*INDEX([2]Pedidos!$Q:$Q,MATCH(G569,[2]Pedidos!$E:$E,0))</f>
        <v>#N/A</v>
      </c>
      <c r="N569" s="564" t="e">
        <f>K569*INDEX([2]Pedidos!$Q:$Q,MATCH(H569,[2]Pedidos!$E:$E,0))</f>
        <v>#N/A</v>
      </c>
    </row>
    <row r="570" spans="1:16" x14ac:dyDescent="0.25">
      <c r="A570" s="752"/>
      <c r="C570" s="452" t="s">
        <v>173</v>
      </c>
      <c r="D570" s="453">
        <f t="shared" si="168"/>
        <v>46198</v>
      </c>
      <c r="E570" s="454" t="s">
        <v>166</v>
      </c>
      <c r="F570" s="460" t="s">
        <v>1866</v>
      </c>
      <c r="G570" s="460"/>
      <c r="H570" s="460"/>
      <c r="I570" s="540"/>
      <c r="J570" s="540"/>
      <c r="K570" s="545"/>
      <c r="L570" s="564" t="e">
        <f>I570*INDEX([2]Pedidos!$Q:$Q,MATCH(F570,[2]Pedidos!$E:$E,0))</f>
        <v>#N/A</v>
      </c>
      <c r="M570" s="564" t="e">
        <f>J570*INDEX([2]Pedidos!$Q:$Q,MATCH(G570,[2]Pedidos!$E:$E,0))</f>
        <v>#N/A</v>
      </c>
      <c r="N570" s="564" t="e">
        <f>K570*INDEX([2]Pedidos!$Q:$Q,MATCH(H570,[2]Pedidos!$E:$E,0))</f>
        <v>#N/A</v>
      </c>
    </row>
    <row r="571" spans="1:16" x14ac:dyDescent="0.25">
      <c r="A571" s="752"/>
      <c r="C571" s="452" t="s">
        <v>173</v>
      </c>
      <c r="D571" s="453">
        <f t="shared" si="168"/>
        <v>46198</v>
      </c>
      <c r="E571" s="454" t="s">
        <v>576</v>
      </c>
      <c r="F571" s="512"/>
      <c r="G571" s="512"/>
      <c r="H571" s="512"/>
      <c r="I571" s="554"/>
      <c r="J571" s="554"/>
      <c r="K571" s="554"/>
      <c r="L571" s="556"/>
      <c r="M571" s="556"/>
      <c r="N571" s="556"/>
    </row>
    <row r="572" spans="1:16" x14ac:dyDescent="0.25">
      <c r="A572" s="752"/>
      <c r="C572" s="452" t="s">
        <v>173</v>
      </c>
      <c r="D572" s="449">
        <f t="shared" si="168"/>
        <v>46198</v>
      </c>
      <c r="E572" s="454" t="s">
        <v>167</v>
      </c>
      <c r="F572" s="460" t="s">
        <v>1866</v>
      </c>
      <c r="G572" s="460"/>
      <c r="H572" s="460"/>
      <c r="I572" s="540"/>
      <c r="J572" s="540"/>
      <c r="K572" s="545"/>
      <c r="L572" s="565" t="e">
        <f>I572*INDEX([2]Pedidos!$Q:$Q,MATCH(F572,[2]Pedidos!$E:$E,0))</f>
        <v>#N/A</v>
      </c>
      <c r="M572" s="564" t="e">
        <f>J572*INDEX([2]Pedidos!$Q:$Q,MATCH(G572,[2]Pedidos!$E:$E,0))</f>
        <v>#N/A</v>
      </c>
      <c r="N572" s="565" t="e">
        <f>K572*INDEX([2]Pedidos!$Q:$Q,MATCH(H572,[2]Pedidos!$E:$E,0))</f>
        <v>#N/A</v>
      </c>
    </row>
    <row r="573" spans="1:16" x14ac:dyDescent="0.25">
      <c r="A573" s="752"/>
      <c r="C573" s="452" t="s">
        <v>173</v>
      </c>
      <c r="D573" s="449">
        <f t="shared" si="168"/>
        <v>46198</v>
      </c>
      <c r="E573" s="454" t="s">
        <v>168</v>
      </c>
      <c r="F573" s="460" t="s">
        <v>1866</v>
      </c>
      <c r="G573" s="460"/>
      <c r="H573" s="460"/>
      <c r="I573" s="540"/>
      <c r="J573" s="540"/>
      <c r="K573" s="545"/>
      <c r="L573" s="565" t="e">
        <f>I573*INDEX([2]Pedidos!$Q:$Q,MATCH(F573,[2]Pedidos!$E:$E,0))</f>
        <v>#N/A</v>
      </c>
      <c r="M573" s="564" t="e">
        <f>J573*INDEX([2]Pedidos!$Q:$Q,MATCH(G573,[2]Pedidos!$E:$E,0))</f>
        <v>#N/A</v>
      </c>
      <c r="N573" s="565" t="e">
        <f>K573*INDEX([2]Pedidos!$Q:$Q,MATCH(H573,[2]Pedidos!$E:$E,0))</f>
        <v>#N/A</v>
      </c>
    </row>
    <row r="574" spans="1:16" x14ac:dyDescent="0.25">
      <c r="A574" s="752"/>
      <c r="C574" s="452" t="s">
        <v>173</v>
      </c>
      <c r="D574" s="449">
        <f t="shared" si="168"/>
        <v>46198</v>
      </c>
      <c r="E574" s="454" t="s">
        <v>169</v>
      </c>
      <c r="F574" s="460" t="s">
        <v>1866</v>
      </c>
      <c r="G574" s="460"/>
      <c r="H574" s="460"/>
      <c r="I574" s="540"/>
      <c r="J574" s="540"/>
      <c r="K574" s="545"/>
      <c r="L574" s="565" t="e">
        <f>I574*INDEX([2]Pedidos!$Q:$Q,MATCH(F574,[2]Pedidos!$E:$E,0))</f>
        <v>#N/A</v>
      </c>
      <c r="M574" s="564" t="e">
        <f>J574*INDEX([2]Pedidos!$Q:$Q,MATCH(G574,[2]Pedidos!$E:$E,0))</f>
        <v>#N/A</v>
      </c>
      <c r="N574" s="565" t="e">
        <f>K574*INDEX([2]Pedidos!$Q:$Q,MATCH(H574,[2]Pedidos!$E:$E,0))</f>
        <v>#N/A</v>
      </c>
    </row>
    <row r="575" spans="1:16" x14ac:dyDescent="0.25">
      <c r="A575" s="752"/>
      <c r="C575" s="452" t="s">
        <v>173</v>
      </c>
      <c r="D575" s="449">
        <f t="shared" si="168"/>
        <v>46198</v>
      </c>
      <c r="E575" s="454" t="s">
        <v>170</v>
      </c>
      <c r="F575" s="460" t="s">
        <v>1866</v>
      </c>
      <c r="G575" s="460"/>
      <c r="H575" s="460"/>
      <c r="I575" s="540"/>
      <c r="J575" s="540"/>
      <c r="K575" s="545"/>
      <c r="L575" s="566" t="e">
        <f>I575*INDEX([2]Pedidos!$Q:$Q,MATCH(F575,[2]Pedidos!$E:$E,0))</f>
        <v>#N/A</v>
      </c>
      <c r="M575" s="564" t="e">
        <f>J575*INDEX([2]Pedidos!$Q:$Q,MATCH(G575,[2]Pedidos!$E:$E,0))</f>
        <v>#N/A</v>
      </c>
      <c r="N575" s="566" t="e">
        <f>K575*INDEX([2]Pedidos!$Q:$Q,MATCH(H575,[2]Pedidos!$E:$E,0))</f>
        <v>#N/A</v>
      </c>
    </row>
    <row r="576" spans="1:16" x14ac:dyDescent="0.25">
      <c r="A576" s="752"/>
      <c r="C576" s="452" t="s">
        <v>173</v>
      </c>
      <c r="D576" s="449">
        <f t="shared" si="168"/>
        <v>46198</v>
      </c>
      <c r="E576" s="454" t="s">
        <v>585</v>
      </c>
      <c r="F576" s="505"/>
      <c r="G576" s="505"/>
      <c r="H576" s="505"/>
      <c r="I576" s="516"/>
      <c r="J576" s="516"/>
      <c r="K576" s="516"/>
      <c r="L576" s="557"/>
      <c r="M576" s="557"/>
      <c r="N576" s="557"/>
    </row>
    <row r="577" spans="1:16" x14ac:dyDescent="0.25">
      <c r="A577" s="752"/>
      <c r="C577" s="452" t="s">
        <v>173</v>
      </c>
      <c r="D577" s="449">
        <f t="shared" si="168"/>
        <v>46198</v>
      </c>
      <c r="E577" s="455" t="s">
        <v>574</v>
      </c>
      <c r="F577" s="505"/>
      <c r="G577" s="505"/>
      <c r="H577" s="505"/>
      <c r="I577" s="516"/>
      <c r="J577" s="516"/>
      <c r="K577" s="516"/>
      <c r="L577" s="557"/>
      <c r="M577" s="557"/>
      <c r="N577" s="557"/>
    </row>
    <row r="578" spans="1:16" x14ac:dyDescent="0.25">
      <c r="A578" s="752"/>
      <c r="C578" s="452" t="s">
        <v>173</v>
      </c>
      <c r="D578" s="449">
        <f t="shared" si="168"/>
        <v>46198</v>
      </c>
      <c r="E578" s="455" t="s">
        <v>575</v>
      </c>
      <c r="F578" s="506"/>
      <c r="G578" s="506"/>
      <c r="H578" s="506"/>
      <c r="I578" s="516"/>
      <c r="J578" s="516"/>
      <c r="K578" s="516"/>
      <c r="L578" s="557"/>
      <c r="M578" s="557"/>
      <c r="N578" s="557"/>
    </row>
    <row r="579" spans="1:16" x14ac:dyDescent="0.25">
      <c r="A579" s="752"/>
      <c r="C579" s="452" t="s">
        <v>173</v>
      </c>
      <c r="D579" s="449">
        <f t="shared" si="168"/>
        <v>46198</v>
      </c>
      <c r="E579" s="503" t="s">
        <v>583</v>
      </c>
      <c r="F579" s="506"/>
      <c r="G579" s="506"/>
      <c r="H579" s="506"/>
      <c r="I579" s="516"/>
      <c r="J579" s="516"/>
      <c r="K579" s="516"/>
      <c r="L579" s="557"/>
      <c r="M579" s="557"/>
      <c r="N579" s="557"/>
    </row>
    <row r="580" spans="1:16" ht="15.75" thickBot="1" x14ac:dyDescent="0.3">
      <c r="A580" s="752"/>
      <c r="C580" s="530" t="s">
        <v>173</v>
      </c>
      <c r="D580" s="451">
        <f t="shared" si="168"/>
        <v>46198</v>
      </c>
      <c r="E580" s="459" t="s">
        <v>584</v>
      </c>
      <c r="F580" s="493"/>
      <c r="G580" s="493"/>
      <c r="H580" s="493"/>
      <c r="I580" s="513"/>
      <c r="J580" s="513"/>
      <c r="K580" s="513"/>
      <c r="L580" s="558"/>
      <c r="M580" s="558"/>
      <c r="N580" s="558"/>
    </row>
    <row r="581" spans="1:16" ht="8.25" customHeight="1" thickBot="1" x14ac:dyDescent="0.3">
      <c r="A581" s="752"/>
      <c r="I581" s="608"/>
      <c r="J581" s="608"/>
      <c r="K581" s="420"/>
      <c r="L581" s="559"/>
      <c r="M581" s="559"/>
      <c r="N581" s="559"/>
    </row>
    <row r="582" spans="1:16" ht="15.75" thickBot="1" x14ac:dyDescent="0.3">
      <c r="A582" s="752"/>
      <c r="C582" s="546">
        <f>SUM(I510:K510,I528:K528,I546:K546,I564:K564,I582:K582)</f>
        <v>18253.521126760566</v>
      </c>
      <c r="D582" s="547">
        <f>SUM(P582,P564,P546,P528,P510)</f>
        <v>10039.436619718308</v>
      </c>
      <c r="E582" s="539"/>
      <c r="F582" s="539"/>
      <c r="G582" s="539"/>
      <c r="H582" s="539"/>
      <c r="I582" s="606">
        <f t="shared" ref="I582:N582" si="169">_xlfn.AGGREGATE(9,6,I583:I598)</f>
        <v>0</v>
      </c>
      <c r="J582" s="607">
        <f t="shared" si="169"/>
        <v>0</v>
      </c>
      <c r="K582" s="544">
        <f t="shared" si="169"/>
        <v>0</v>
      </c>
      <c r="L582" s="560">
        <f t="shared" si="169"/>
        <v>0</v>
      </c>
      <c r="M582" s="561">
        <f t="shared" si="169"/>
        <v>0</v>
      </c>
      <c r="N582" s="562">
        <f t="shared" si="169"/>
        <v>0</v>
      </c>
      <c r="O582" s="548">
        <f>SUM(I582:K582)</f>
        <v>0</v>
      </c>
      <c r="P582" s="549">
        <f>SUM(L582:N582)</f>
        <v>0</v>
      </c>
    </row>
    <row r="583" spans="1:16" x14ac:dyDescent="0.25">
      <c r="A583" s="752"/>
      <c r="C583" s="529" t="s">
        <v>174</v>
      </c>
      <c r="D583" s="447">
        <f>D580+1</f>
        <v>46199</v>
      </c>
      <c r="E583" s="498" t="s">
        <v>573</v>
      </c>
      <c r="F583" s="514"/>
      <c r="G583" s="514"/>
      <c r="H583" s="514"/>
      <c r="I583" s="537"/>
      <c r="J583" s="537"/>
      <c r="K583" s="537"/>
      <c r="L583" s="563"/>
      <c r="M583" s="563"/>
      <c r="N583" s="563"/>
    </row>
    <row r="584" spans="1:16" x14ac:dyDescent="0.25">
      <c r="A584" s="752"/>
      <c r="C584" s="452" t="s">
        <v>174</v>
      </c>
      <c r="D584" s="453">
        <f t="shared" ref="D584:D598" si="170">D583</f>
        <v>46199</v>
      </c>
      <c r="E584" s="500" t="s">
        <v>162</v>
      </c>
      <c r="F584" s="460" t="s">
        <v>1866</v>
      </c>
      <c r="G584" s="460"/>
      <c r="H584" s="460"/>
      <c r="I584" s="540"/>
      <c r="J584" s="540"/>
      <c r="K584" s="545"/>
      <c r="L584" s="555" t="e">
        <f>I584*INDEX([2]Pedidos!$Q:$Q,MATCH(F584,[2]Pedidos!$E:$E,0))</f>
        <v>#N/A</v>
      </c>
      <c r="M584" s="564" t="e">
        <f>J584*INDEX([2]Pedidos!$Q:$Q,MATCH(G584,[2]Pedidos!$E:$E,0))</f>
        <v>#N/A</v>
      </c>
      <c r="N584" s="555" t="e">
        <f>K584*INDEX([2]Pedidos!$Q:$Q,MATCH(H584,[2]Pedidos!$E:$E,0))</f>
        <v>#N/A</v>
      </c>
    </row>
    <row r="585" spans="1:16" x14ac:dyDescent="0.25">
      <c r="A585" s="752"/>
      <c r="C585" s="452" t="s">
        <v>174</v>
      </c>
      <c r="D585" s="453">
        <f t="shared" si="170"/>
        <v>46199</v>
      </c>
      <c r="E585" s="454" t="s">
        <v>163</v>
      </c>
      <c r="F585" s="460" t="s">
        <v>1866</v>
      </c>
      <c r="G585" s="460"/>
      <c r="H585" s="460"/>
      <c r="I585" s="540"/>
      <c r="J585" s="540"/>
      <c r="K585" s="545"/>
      <c r="L585" s="564" t="e">
        <f>I585*INDEX([2]Pedidos!$Q:$Q,MATCH(F585,[2]Pedidos!$E:$E,0))</f>
        <v>#N/A</v>
      </c>
      <c r="M585" s="564" t="e">
        <f>J585*INDEX([2]Pedidos!$Q:$Q,MATCH(G585,[2]Pedidos!$E:$E,0))</f>
        <v>#N/A</v>
      </c>
      <c r="N585" s="564" t="e">
        <f>K585*INDEX([2]Pedidos!$Q:$Q,MATCH(H585,[2]Pedidos!$E:$E,0))</f>
        <v>#N/A</v>
      </c>
    </row>
    <row r="586" spans="1:16" x14ac:dyDescent="0.25">
      <c r="A586" s="752"/>
      <c r="C586" s="452" t="s">
        <v>174</v>
      </c>
      <c r="D586" s="453">
        <f t="shared" si="170"/>
        <v>46199</v>
      </c>
      <c r="E586" s="454" t="s">
        <v>164</v>
      </c>
      <c r="F586" s="460" t="s">
        <v>1866</v>
      </c>
      <c r="G586" s="460"/>
      <c r="H586" s="460"/>
      <c r="I586" s="540"/>
      <c r="J586" s="540"/>
      <c r="K586" s="545"/>
      <c r="L586" s="564" t="e">
        <f>I586*INDEX([2]Pedidos!$Q:$Q,MATCH(F586,[2]Pedidos!$E:$E,0))</f>
        <v>#N/A</v>
      </c>
      <c r="M586" s="564" t="e">
        <f>J586*INDEX([2]Pedidos!$Q:$Q,MATCH(G586,[2]Pedidos!$E:$E,0))</f>
        <v>#N/A</v>
      </c>
      <c r="N586" s="564" t="e">
        <f>K586*INDEX([2]Pedidos!$Q:$Q,MATCH(H586,[2]Pedidos!$E:$E,0))</f>
        <v>#N/A</v>
      </c>
    </row>
    <row r="587" spans="1:16" x14ac:dyDescent="0.25">
      <c r="A587" s="752"/>
      <c r="C587" s="452" t="s">
        <v>174</v>
      </c>
      <c r="D587" s="453">
        <f t="shared" si="170"/>
        <v>46199</v>
      </c>
      <c r="E587" s="454" t="s">
        <v>165</v>
      </c>
      <c r="F587" s="460" t="s">
        <v>1866</v>
      </c>
      <c r="G587" s="460"/>
      <c r="H587" s="460"/>
      <c r="I587" s="540"/>
      <c r="J587" s="540"/>
      <c r="K587" s="545"/>
      <c r="L587" s="564" t="e">
        <f>I587*INDEX([2]Pedidos!$Q:$Q,MATCH(F587,[2]Pedidos!$E:$E,0))</f>
        <v>#N/A</v>
      </c>
      <c r="M587" s="564" t="e">
        <f>J587*INDEX([2]Pedidos!$Q:$Q,MATCH(G587,[2]Pedidos!$E:$E,0))</f>
        <v>#N/A</v>
      </c>
      <c r="N587" s="564" t="e">
        <f>K587*INDEX([2]Pedidos!$Q:$Q,MATCH(H587,[2]Pedidos!$E:$E,0))</f>
        <v>#N/A</v>
      </c>
    </row>
    <row r="588" spans="1:16" x14ac:dyDescent="0.25">
      <c r="A588" s="752"/>
      <c r="C588" s="452" t="s">
        <v>174</v>
      </c>
      <c r="D588" s="453">
        <f t="shared" si="170"/>
        <v>46199</v>
      </c>
      <c r="E588" s="454" t="s">
        <v>166</v>
      </c>
      <c r="F588" s="460" t="s">
        <v>1866</v>
      </c>
      <c r="G588" s="460"/>
      <c r="H588" s="460"/>
      <c r="I588" s="540"/>
      <c r="J588" s="540"/>
      <c r="K588" s="545"/>
      <c r="L588" s="564" t="e">
        <f>I588*INDEX([2]Pedidos!$Q:$Q,MATCH(F588,[2]Pedidos!$E:$E,0))</f>
        <v>#N/A</v>
      </c>
      <c r="M588" s="564" t="e">
        <f>J588*INDEX([2]Pedidos!$Q:$Q,MATCH(G588,[2]Pedidos!$E:$E,0))</f>
        <v>#N/A</v>
      </c>
      <c r="N588" s="564" t="e">
        <f>K588*INDEX([2]Pedidos!$Q:$Q,MATCH(H588,[2]Pedidos!$E:$E,0))</f>
        <v>#N/A</v>
      </c>
    </row>
    <row r="589" spans="1:16" x14ac:dyDescent="0.25">
      <c r="A589" s="752"/>
      <c r="C589" s="452" t="s">
        <v>174</v>
      </c>
      <c r="D589" s="453">
        <f t="shared" si="170"/>
        <v>46199</v>
      </c>
      <c r="E589" s="454" t="s">
        <v>576</v>
      </c>
      <c r="F589" s="512"/>
      <c r="G589" s="512"/>
      <c r="H589" s="512"/>
      <c r="I589" s="554"/>
      <c r="J589" s="554"/>
      <c r="K589" s="554"/>
      <c r="L589" s="556"/>
      <c r="M589" s="556"/>
      <c r="N589" s="556"/>
    </row>
    <row r="590" spans="1:16" x14ac:dyDescent="0.25">
      <c r="A590" s="752"/>
      <c r="C590" s="452" t="s">
        <v>174</v>
      </c>
      <c r="D590" s="449">
        <f t="shared" si="170"/>
        <v>46199</v>
      </c>
      <c r="E590" s="454" t="s">
        <v>167</v>
      </c>
      <c r="F590" s="460" t="s">
        <v>1866</v>
      </c>
      <c r="G590" s="460"/>
      <c r="H590" s="460"/>
      <c r="I590" s="540"/>
      <c r="J590" s="540"/>
      <c r="K590" s="545"/>
      <c r="L590" s="565" t="e">
        <f>I590*INDEX([2]Pedidos!$Q:$Q,MATCH(F590,[2]Pedidos!$E:$E,0))</f>
        <v>#N/A</v>
      </c>
      <c r="M590" s="564" t="e">
        <f>J590*INDEX([2]Pedidos!$Q:$Q,MATCH(G590,[2]Pedidos!$E:$E,0))</f>
        <v>#N/A</v>
      </c>
      <c r="N590" s="565" t="e">
        <f>K590*INDEX([2]Pedidos!$Q:$Q,MATCH(H590,[2]Pedidos!$E:$E,0))</f>
        <v>#N/A</v>
      </c>
    </row>
    <row r="591" spans="1:16" x14ac:dyDescent="0.25">
      <c r="A591" s="752"/>
      <c r="C591" s="452" t="s">
        <v>174</v>
      </c>
      <c r="D591" s="449">
        <f t="shared" si="170"/>
        <v>46199</v>
      </c>
      <c r="E591" s="454" t="s">
        <v>168</v>
      </c>
      <c r="F591" s="460" t="s">
        <v>1866</v>
      </c>
      <c r="G591" s="460"/>
      <c r="H591" s="460"/>
      <c r="I591" s="540"/>
      <c r="J591" s="540"/>
      <c r="K591" s="545"/>
      <c r="L591" s="565" t="e">
        <f>I591*INDEX([2]Pedidos!$Q:$Q,MATCH(F591,[2]Pedidos!$E:$E,0))</f>
        <v>#N/A</v>
      </c>
      <c r="M591" s="564" t="e">
        <f>J591*INDEX([2]Pedidos!$Q:$Q,MATCH(G591,[2]Pedidos!$E:$E,0))</f>
        <v>#N/A</v>
      </c>
      <c r="N591" s="565" t="e">
        <f>K591*INDEX([2]Pedidos!$Q:$Q,MATCH(H591,[2]Pedidos!$E:$E,0))</f>
        <v>#N/A</v>
      </c>
    </row>
    <row r="592" spans="1:16" x14ac:dyDescent="0.25">
      <c r="A592" s="752"/>
      <c r="C592" s="452" t="s">
        <v>174</v>
      </c>
      <c r="D592" s="449">
        <f t="shared" si="170"/>
        <v>46199</v>
      </c>
      <c r="E592" s="454" t="s">
        <v>169</v>
      </c>
      <c r="F592" s="460" t="s">
        <v>1866</v>
      </c>
      <c r="G592" s="460"/>
      <c r="H592" s="460"/>
      <c r="I592" s="540"/>
      <c r="J592" s="540"/>
      <c r="K592" s="545"/>
      <c r="L592" s="565" t="e">
        <f>I592*INDEX([2]Pedidos!$Q:$Q,MATCH(F592,[2]Pedidos!$E:$E,0))</f>
        <v>#N/A</v>
      </c>
      <c r="M592" s="564" t="e">
        <f>J592*INDEX([2]Pedidos!$Q:$Q,MATCH(G592,[2]Pedidos!$E:$E,0))</f>
        <v>#N/A</v>
      </c>
      <c r="N592" s="565" t="e">
        <f>K592*INDEX([2]Pedidos!$Q:$Q,MATCH(H592,[2]Pedidos!$E:$E,0))</f>
        <v>#N/A</v>
      </c>
    </row>
    <row r="593" spans="1:16" x14ac:dyDescent="0.25">
      <c r="A593" s="752"/>
      <c r="C593" s="452" t="s">
        <v>174</v>
      </c>
      <c r="D593" s="449">
        <f t="shared" si="170"/>
        <v>46199</v>
      </c>
      <c r="E593" s="454" t="s">
        <v>170</v>
      </c>
      <c r="F593" s="460" t="s">
        <v>1866</v>
      </c>
      <c r="G593" s="460"/>
      <c r="H593" s="460"/>
      <c r="I593" s="540"/>
      <c r="J593" s="540"/>
      <c r="K593" s="545"/>
      <c r="L593" s="566" t="e">
        <f>I593*INDEX([2]Pedidos!$Q:$Q,MATCH(F593,[2]Pedidos!$E:$E,0))</f>
        <v>#N/A</v>
      </c>
      <c r="M593" s="564" t="e">
        <f>J593*INDEX([2]Pedidos!$Q:$Q,MATCH(G593,[2]Pedidos!$E:$E,0))</f>
        <v>#N/A</v>
      </c>
      <c r="N593" s="566" t="e">
        <f>K593*INDEX([2]Pedidos!$Q:$Q,MATCH(H593,[2]Pedidos!$E:$E,0))</f>
        <v>#N/A</v>
      </c>
    </row>
    <row r="594" spans="1:16" x14ac:dyDescent="0.25">
      <c r="A594" s="752"/>
      <c r="C594" s="452" t="s">
        <v>174</v>
      </c>
      <c r="D594" s="449">
        <f t="shared" si="170"/>
        <v>46199</v>
      </c>
      <c r="E594" s="454" t="s">
        <v>585</v>
      </c>
      <c r="F594" s="505"/>
      <c r="G594" s="505"/>
      <c r="H594" s="505"/>
      <c r="I594" s="516"/>
      <c r="J594" s="516"/>
      <c r="K594" s="516"/>
      <c r="L594" s="557"/>
      <c r="M594" s="557"/>
      <c r="N594" s="557"/>
    </row>
    <row r="595" spans="1:16" x14ac:dyDescent="0.25">
      <c r="A595" s="752"/>
      <c r="C595" s="452" t="s">
        <v>174</v>
      </c>
      <c r="D595" s="449">
        <f t="shared" si="170"/>
        <v>46199</v>
      </c>
      <c r="E595" s="455" t="s">
        <v>574</v>
      </c>
      <c r="F595" s="505"/>
      <c r="G595" s="505"/>
      <c r="H595" s="505"/>
      <c r="I595" s="516"/>
      <c r="J595" s="516"/>
      <c r="K595" s="516"/>
      <c r="L595" s="557"/>
      <c r="M595" s="557"/>
      <c r="N595" s="557"/>
    </row>
    <row r="596" spans="1:16" x14ac:dyDescent="0.25">
      <c r="A596" s="752"/>
      <c r="C596" s="452" t="s">
        <v>174</v>
      </c>
      <c r="D596" s="449">
        <f t="shared" si="170"/>
        <v>46199</v>
      </c>
      <c r="E596" s="455" t="s">
        <v>575</v>
      </c>
      <c r="F596" s="506"/>
      <c r="G596" s="506"/>
      <c r="H596" s="506"/>
      <c r="I596" s="516"/>
      <c r="J596" s="516"/>
      <c r="K596" s="516"/>
      <c r="L596" s="557"/>
      <c r="M596" s="557"/>
      <c r="N596" s="557"/>
    </row>
    <row r="597" spans="1:16" x14ac:dyDescent="0.25">
      <c r="A597" s="752"/>
      <c r="C597" s="452" t="s">
        <v>174</v>
      </c>
      <c r="D597" s="502">
        <f t="shared" si="170"/>
        <v>46199</v>
      </c>
      <c r="E597" s="503" t="s">
        <v>583</v>
      </c>
      <c r="F597" s="506"/>
      <c r="G597" s="506"/>
      <c r="H597" s="506"/>
      <c r="I597" s="516"/>
      <c r="J597" s="516"/>
      <c r="K597" s="516"/>
      <c r="L597" s="557"/>
      <c r="M597" s="557"/>
      <c r="N597" s="557"/>
    </row>
    <row r="598" spans="1:16" ht="15.75" thickBot="1" x14ac:dyDescent="0.3">
      <c r="A598" s="752"/>
      <c r="C598" s="530" t="s">
        <v>174</v>
      </c>
      <c r="D598" s="451">
        <f t="shared" si="170"/>
        <v>46199</v>
      </c>
      <c r="E598" s="459" t="s">
        <v>584</v>
      </c>
      <c r="F598" s="493"/>
      <c r="G598" s="493"/>
      <c r="H598" s="493"/>
      <c r="I598" s="513"/>
      <c r="J598" s="513"/>
      <c r="K598" s="513"/>
      <c r="L598" s="558"/>
      <c r="M598" s="558"/>
      <c r="N598" s="558"/>
    </row>
    <row r="599" spans="1:16" ht="6" customHeight="1" thickBot="1" x14ac:dyDescent="0.3">
      <c r="A599" s="752"/>
      <c r="I599" s="445"/>
      <c r="J599" s="445"/>
      <c r="L599" s="559"/>
      <c r="M599" s="559"/>
      <c r="N599" s="559"/>
    </row>
    <row r="600" spans="1:16" ht="15.75" thickBot="1" x14ac:dyDescent="0.3">
      <c r="A600" s="752"/>
      <c r="C600" s="538"/>
      <c r="D600" s="539"/>
      <c r="E600" s="539"/>
      <c r="F600" s="539"/>
      <c r="G600" s="539"/>
      <c r="H600" s="539"/>
      <c r="I600" s="606">
        <f t="shared" ref="I600:N600" ca="1" si="171">_xlfn.AGGREGATE(9,6,I601:I616)</f>
        <v>0</v>
      </c>
      <c r="J600" s="607">
        <f t="shared" ca="1" si="171"/>
        <v>0</v>
      </c>
      <c r="K600" s="544">
        <f t="shared" ca="1" si="171"/>
        <v>0</v>
      </c>
      <c r="L600" s="560">
        <f t="shared" si="171"/>
        <v>0</v>
      </c>
      <c r="M600" s="561">
        <f t="shared" si="171"/>
        <v>0</v>
      </c>
      <c r="N600" s="562">
        <f t="shared" si="171"/>
        <v>0</v>
      </c>
      <c r="O600" s="548">
        <f ca="1">SUM(I600:K600)</f>
        <v>0</v>
      </c>
      <c r="P600" s="549">
        <f>SUM(L600:N600)</f>
        <v>0</v>
      </c>
    </row>
    <row r="601" spans="1:16" x14ac:dyDescent="0.25">
      <c r="A601" s="752"/>
      <c r="C601" s="529" t="s">
        <v>1033</v>
      </c>
      <c r="D601" s="447">
        <f>D598+1</f>
        <v>46200</v>
      </c>
      <c r="E601" s="498" t="s">
        <v>573</v>
      </c>
      <c r="F601" s="514"/>
      <c r="G601" s="514"/>
      <c r="H601" s="514"/>
      <c r="I601" s="537" cm="1">
        <f t="array" aca="1" ref="I601" ca="1">IFERROR(_xlfn.LET(_xlpm.produto,TRIM(F601)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01" s="537" cm="1">
        <f t="array" aca="1" ref="J601" ca="1">IFERROR(_xlfn.LET(_xlpm.produto,TRIM(G601)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01" s="537" cm="1">
        <f t="array" aca="1" ref="K601" ca="1">IFERROR(_xlfn.LET(_xlpm.produto,TRIM(H601)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01" s="563"/>
      <c r="M601" s="563"/>
      <c r="N601" s="563"/>
    </row>
    <row r="602" spans="1:16" x14ac:dyDescent="0.25">
      <c r="A602" s="752"/>
      <c r="C602" s="452" t="s">
        <v>1033</v>
      </c>
      <c r="D602" s="453">
        <f t="shared" ref="D602:D616" si="172">D601</f>
        <v>46200</v>
      </c>
      <c r="E602" s="500" t="s">
        <v>162</v>
      </c>
      <c r="F602" s="517"/>
      <c r="G602" s="517"/>
      <c r="H602" s="517"/>
      <c r="I602" s="540"/>
      <c r="J602" s="540"/>
      <c r="K602" s="540"/>
      <c r="L602" s="555" t="e">
        <f>I602*INDEX([2]Pedidos!$Q:$Q,MATCH(F602,[2]Pedidos!$E:$E,0))</f>
        <v>#N/A</v>
      </c>
      <c r="M602" s="555" t="e">
        <f>J602*INDEX([2]Pedidos!$Q:$Q,MATCH(G602,[2]Pedidos!$E:$E,0))</f>
        <v>#N/A</v>
      </c>
      <c r="N602" s="555" t="e">
        <f>K602*INDEX([2]Pedidos!$Q:$Q,MATCH(H602,[2]Pedidos!$E:$E,0))</f>
        <v>#N/A</v>
      </c>
    </row>
    <row r="603" spans="1:16" x14ac:dyDescent="0.25">
      <c r="A603" s="752"/>
      <c r="C603" s="452" t="s">
        <v>1033</v>
      </c>
      <c r="D603" s="453">
        <f t="shared" si="172"/>
        <v>46200</v>
      </c>
      <c r="E603" s="454" t="s">
        <v>163</v>
      </c>
      <c r="F603" s="517"/>
      <c r="G603" s="512"/>
      <c r="H603" s="505"/>
      <c r="I603" s="540"/>
      <c r="J603" s="540"/>
      <c r="K603" s="540"/>
      <c r="L603" s="564" t="e">
        <f>I603*INDEX([2]Pedidos!$Q:$Q,MATCH(F603,[2]Pedidos!$E:$E,0))</f>
        <v>#N/A</v>
      </c>
      <c r="M603" s="564" t="e">
        <f>J603*INDEX([2]Pedidos!$Q:$Q,MATCH(G603,[2]Pedidos!$E:$E,0))</f>
        <v>#N/A</v>
      </c>
      <c r="N603" s="564" t="e">
        <f>K603*INDEX([2]Pedidos!$Q:$Q,MATCH(H603,[2]Pedidos!$E:$E,0))</f>
        <v>#N/A</v>
      </c>
    </row>
    <row r="604" spans="1:16" x14ac:dyDescent="0.25">
      <c r="A604" s="752"/>
      <c r="C604" s="452" t="s">
        <v>1033</v>
      </c>
      <c r="D604" s="453">
        <f t="shared" si="172"/>
        <v>46200</v>
      </c>
      <c r="E604" s="454" t="s">
        <v>164</v>
      </c>
      <c r="F604" s="517"/>
      <c r="G604" s="512"/>
      <c r="H604" s="505"/>
      <c r="I604" s="540"/>
      <c r="J604" s="540"/>
      <c r="K604" s="540"/>
      <c r="L604" s="564" t="e">
        <f>I604*INDEX([2]Pedidos!$Q:$Q,MATCH(F604,[2]Pedidos!$E:$E,0))</f>
        <v>#N/A</v>
      </c>
      <c r="M604" s="564" t="e">
        <f>J604*INDEX([2]Pedidos!$Q:$Q,MATCH(G604,[2]Pedidos!$E:$E,0))</f>
        <v>#N/A</v>
      </c>
      <c r="N604" s="564" t="e">
        <f>K604*INDEX([2]Pedidos!$Q:$Q,MATCH(H604,[2]Pedidos!$E:$E,0))</f>
        <v>#N/A</v>
      </c>
    </row>
    <row r="605" spans="1:16" x14ac:dyDescent="0.25">
      <c r="A605" s="752"/>
      <c r="C605" s="452" t="s">
        <v>1033</v>
      </c>
      <c r="D605" s="453">
        <f t="shared" si="172"/>
        <v>46200</v>
      </c>
      <c r="E605" s="454" t="s">
        <v>165</v>
      </c>
      <c r="F605" s="517"/>
      <c r="G605" s="512"/>
      <c r="H605" s="505"/>
      <c r="I605" s="540"/>
      <c r="J605" s="540"/>
      <c r="K605" s="540"/>
      <c r="L605" s="564" t="e">
        <f>I605*INDEX([2]Pedidos!$Q:$Q,MATCH(F605,[2]Pedidos!$E:$E,0))</f>
        <v>#N/A</v>
      </c>
      <c r="M605" s="564" t="e">
        <f>J605*INDEX([2]Pedidos!$Q:$Q,MATCH(G605,[2]Pedidos!$E:$E,0))</f>
        <v>#N/A</v>
      </c>
      <c r="N605" s="564" t="e">
        <f>K605*INDEX([2]Pedidos!$Q:$Q,MATCH(H605,[2]Pedidos!$E:$E,0))</f>
        <v>#N/A</v>
      </c>
    </row>
    <row r="606" spans="1:16" x14ac:dyDescent="0.25">
      <c r="A606" s="752"/>
      <c r="C606" s="452" t="s">
        <v>1033</v>
      </c>
      <c r="D606" s="453">
        <f t="shared" si="172"/>
        <v>46200</v>
      </c>
      <c r="E606" s="454" t="s">
        <v>166</v>
      </c>
      <c r="F606" s="517"/>
      <c r="G606" s="512"/>
      <c r="H606" s="505"/>
      <c r="I606" s="540"/>
      <c r="J606" s="540"/>
      <c r="K606" s="540"/>
      <c r="L606" s="564" t="e">
        <f>I606*INDEX([2]Pedidos!$Q:$Q,MATCH(F606,[2]Pedidos!$E:$E,0))</f>
        <v>#N/A</v>
      </c>
      <c r="M606" s="564" t="e">
        <f>J606*INDEX([2]Pedidos!$Q:$Q,MATCH(G606,[2]Pedidos!$E:$E,0))</f>
        <v>#N/A</v>
      </c>
      <c r="N606" s="564" t="e">
        <f>K606*INDEX([2]Pedidos!$Q:$Q,MATCH(H606,[2]Pedidos!$E:$E,0))</f>
        <v>#N/A</v>
      </c>
    </row>
    <row r="607" spans="1:16" x14ac:dyDescent="0.25">
      <c r="A607" s="752"/>
      <c r="C607" s="452" t="s">
        <v>1033</v>
      </c>
      <c r="D607" s="453">
        <f t="shared" si="172"/>
        <v>46200</v>
      </c>
      <c r="E607" s="454" t="s">
        <v>576</v>
      </c>
      <c r="F607" s="517"/>
      <c r="G607" s="512"/>
      <c r="H607" s="505"/>
      <c r="I607" s="541" cm="1">
        <f t="array" aca="1" ref="I607" ca="1">IFERROR(_xlfn.LET(_xlpm.produto,TRIM(F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07" s="541" cm="1">
        <f t="array" aca="1" ref="J607" ca="1">IFERROR(_xlfn.LET(_xlpm.produto,TRIM(G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07" s="541" cm="1">
        <f t="array" aca="1" ref="K607" ca="1">IFERROR(_xlfn.LET(_xlpm.produto,TRIM(H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07" s="556"/>
      <c r="M607" s="556"/>
      <c r="N607" s="556"/>
    </row>
    <row r="608" spans="1:16" x14ac:dyDescent="0.25">
      <c r="A608" s="752"/>
      <c r="C608" s="452" t="s">
        <v>1033</v>
      </c>
      <c r="D608" s="449">
        <f t="shared" si="172"/>
        <v>46200</v>
      </c>
      <c r="E608" s="454" t="s">
        <v>167</v>
      </c>
      <c r="F608" s="517"/>
      <c r="G608" s="512"/>
      <c r="H608" s="505"/>
      <c r="I608" s="540"/>
      <c r="J608" s="540"/>
      <c r="K608" s="540"/>
      <c r="L608" s="565" t="e">
        <f>I608*INDEX([2]Pedidos!$Q:$Q,MATCH(F608,[2]Pedidos!$E:$E,0))</f>
        <v>#N/A</v>
      </c>
      <c r="M608" s="565" t="e">
        <f>J608*INDEX([2]Pedidos!$Q:$Q,MATCH(G608,[2]Pedidos!$E:$E,0))</f>
        <v>#N/A</v>
      </c>
      <c r="N608" s="565" t="e">
        <f>K608*INDEX([2]Pedidos!$Q:$Q,MATCH(H608,[2]Pedidos!$E:$E,0))</f>
        <v>#N/A</v>
      </c>
    </row>
    <row r="609" spans="1:16" x14ac:dyDescent="0.25">
      <c r="A609" s="752"/>
      <c r="C609" s="452" t="s">
        <v>1033</v>
      </c>
      <c r="D609" s="449">
        <f t="shared" si="172"/>
        <v>46200</v>
      </c>
      <c r="E609" s="454" t="s">
        <v>168</v>
      </c>
      <c r="F609" s="517"/>
      <c r="G609" s="512"/>
      <c r="H609" s="505"/>
      <c r="I609" s="540"/>
      <c r="J609" s="540"/>
      <c r="K609" s="540"/>
      <c r="L609" s="565" t="e">
        <f>I609*INDEX([2]Pedidos!$Q:$Q,MATCH(F609,[2]Pedidos!$E:$E,0))</f>
        <v>#N/A</v>
      </c>
      <c r="M609" s="565" t="e">
        <f>J609*INDEX([2]Pedidos!$Q:$Q,MATCH(G609,[2]Pedidos!$E:$E,0))</f>
        <v>#N/A</v>
      </c>
      <c r="N609" s="565" t="e">
        <f>K609*INDEX([2]Pedidos!$Q:$Q,MATCH(H609,[2]Pedidos!$E:$E,0))</f>
        <v>#N/A</v>
      </c>
    </row>
    <row r="610" spans="1:16" x14ac:dyDescent="0.25">
      <c r="A610" s="752"/>
      <c r="C610" s="452" t="s">
        <v>1033</v>
      </c>
      <c r="D610" s="449">
        <f t="shared" si="172"/>
        <v>46200</v>
      </c>
      <c r="E610" s="454" t="s">
        <v>169</v>
      </c>
      <c r="F610" s="517"/>
      <c r="G610" s="512"/>
      <c r="H610" s="505"/>
      <c r="I610" s="540"/>
      <c r="J610" s="540"/>
      <c r="K610" s="540"/>
      <c r="L610" s="565" t="e">
        <f>I610*INDEX([2]Pedidos!$Q:$Q,MATCH(F610,[2]Pedidos!$E:$E,0))</f>
        <v>#N/A</v>
      </c>
      <c r="M610" s="565" t="e">
        <f>J610*INDEX([2]Pedidos!$Q:$Q,MATCH(G610,[2]Pedidos!$E:$E,0))</f>
        <v>#N/A</v>
      </c>
      <c r="N610" s="565" t="e">
        <f>K610*INDEX([2]Pedidos!$Q:$Q,MATCH(H610,[2]Pedidos!$E:$E,0))</f>
        <v>#N/A</v>
      </c>
    </row>
    <row r="611" spans="1:16" x14ac:dyDescent="0.25">
      <c r="A611" s="752"/>
      <c r="C611" s="452" t="s">
        <v>1033</v>
      </c>
      <c r="D611" s="449">
        <f t="shared" si="172"/>
        <v>46200</v>
      </c>
      <c r="E611" s="454" t="s">
        <v>170</v>
      </c>
      <c r="F611" s="517"/>
      <c r="G611" s="512"/>
      <c r="H611" s="505"/>
      <c r="I611" s="540"/>
      <c r="J611" s="540"/>
      <c r="K611" s="540"/>
      <c r="L611" s="566" t="e">
        <f>I611*INDEX([2]Pedidos!$Q:$Q,MATCH(F611,[2]Pedidos!$E:$E,0))</f>
        <v>#N/A</v>
      </c>
      <c r="M611" s="566" t="e">
        <f>J611*INDEX([2]Pedidos!$Q:$Q,MATCH(G611,[2]Pedidos!$E:$E,0))</f>
        <v>#N/A</v>
      </c>
      <c r="N611" s="566" t="e">
        <f>K611*INDEX([2]Pedidos!$Q:$Q,MATCH(H611,[2]Pedidos!$E:$E,0))</f>
        <v>#N/A</v>
      </c>
    </row>
    <row r="612" spans="1:16" x14ac:dyDescent="0.25">
      <c r="A612" s="752"/>
      <c r="C612" s="452" t="s">
        <v>1033</v>
      </c>
      <c r="D612" s="449">
        <f t="shared" si="172"/>
        <v>46200</v>
      </c>
      <c r="E612" s="454" t="s">
        <v>585</v>
      </c>
      <c r="F612" s="505"/>
      <c r="G612" s="505"/>
      <c r="H612" s="516"/>
      <c r="I612" s="516" cm="1">
        <f t="array" aca="1" ref="I612" ca="1">IFERROR(_xlfn.LET(_xlpm.produto,TRIM(F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2" s="516" cm="1">
        <f t="array" aca="1" ref="J612" ca="1">IFERROR(_xlfn.LET(_xlpm.produto,TRIM(G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2" s="516" cm="1">
        <f t="array" aca="1" ref="K612" ca="1">IFERROR(_xlfn.LET(_xlpm.produto,TRIM(H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2" s="557"/>
      <c r="M612" s="557"/>
      <c r="N612" s="557"/>
    </row>
    <row r="613" spans="1:16" x14ac:dyDescent="0.25">
      <c r="A613" s="752"/>
      <c r="C613" s="452" t="s">
        <v>1033</v>
      </c>
      <c r="D613" s="449">
        <f t="shared" si="172"/>
        <v>46200</v>
      </c>
      <c r="E613" s="455" t="s">
        <v>574</v>
      </c>
      <c r="F613" s="505"/>
      <c r="G613" s="505"/>
      <c r="H613" s="516"/>
      <c r="I613" s="516" cm="1">
        <f t="array" aca="1" ref="I613" ca="1">IFERROR(_xlfn.LET(_xlpm.produto,TRIM(F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3" s="516" cm="1">
        <f t="array" aca="1" ref="J613" ca="1">IFERROR(_xlfn.LET(_xlpm.produto,TRIM(G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3" s="516" cm="1">
        <f t="array" aca="1" ref="K613" ca="1">IFERROR(_xlfn.LET(_xlpm.produto,TRIM(H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3" s="557"/>
      <c r="M613" s="557"/>
      <c r="N613" s="557"/>
    </row>
    <row r="614" spans="1:16" x14ac:dyDescent="0.25">
      <c r="A614" s="752"/>
      <c r="C614" s="452" t="s">
        <v>1033</v>
      </c>
      <c r="D614" s="449">
        <f t="shared" si="172"/>
        <v>46200</v>
      </c>
      <c r="E614" s="455" t="s">
        <v>575</v>
      </c>
      <c r="F614" s="506"/>
      <c r="G614" s="506"/>
      <c r="H614" s="516"/>
      <c r="I614" s="516" cm="1">
        <f t="array" aca="1" ref="I614" ca="1">IFERROR(_xlfn.LET(_xlpm.produto,TRIM(F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4" s="516" cm="1">
        <f t="array" aca="1" ref="J614" ca="1">IFERROR(_xlfn.LET(_xlpm.produto,TRIM(G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4" s="516" cm="1">
        <f t="array" aca="1" ref="K614" ca="1">IFERROR(_xlfn.LET(_xlpm.produto,TRIM(H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4" s="557"/>
      <c r="M614" s="557"/>
      <c r="N614" s="557"/>
    </row>
    <row r="615" spans="1:16" x14ac:dyDescent="0.25">
      <c r="A615" s="752"/>
      <c r="C615" s="452" t="s">
        <v>1033</v>
      </c>
      <c r="D615" s="449">
        <f t="shared" si="172"/>
        <v>46200</v>
      </c>
      <c r="E615" s="503" t="s">
        <v>583</v>
      </c>
      <c r="F615" s="506"/>
      <c r="G615" s="506"/>
      <c r="H615" s="516"/>
      <c r="I615" s="516" cm="1">
        <f t="array" aca="1" ref="I615" ca="1">IFERROR(_xlfn.LET(_xlpm.produto,TRIM(F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5" s="516" cm="1">
        <f t="array" aca="1" ref="J615" ca="1">IFERROR(_xlfn.LET(_xlpm.produto,TRIM(G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5" s="516" cm="1">
        <f t="array" aca="1" ref="K615" ca="1">IFERROR(_xlfn.LET(_xlpm.produto,TRIM(H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5" s="557"/>
      <c r="M615" s="557"/>
      <c r="N615" s="557"/>
    </row>
    <row r="616" spans="1:16" ht="15.75" thickBot="1" x14ac:dyDescent="0.3">
      <c r="A616" s="752"/>
      <c r="C616" s="530" t="s">
        <v>1033</v>
      </c>
      <c r="D616" s="451">
        <f t="shared" si="172"/>
        <v>46200</v>
      </c>
      <c r="E616" s="459" t="s">
        <v>584</v>
      </c>
      <c r="F616" s="493"/>
      <c r="G616" s="493"/>
      <c r="H616" s="513"/>
      <c r="I616" s="513" cm="1">
        <f t="array" aca="1" ref="I616" ca="1">IFERROR(_xlfn.LET(_xlpm.produto,TRIM(F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6" s="513" cm="1">
        <f t="array" aca="1" ref="J616" ca="1">IFERROR(_xlfn.LET(_xlpm.produto,TRIM(G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6" s="513" cm="1">
        <f t="array" aca="1" ref="K616" ca="1">IFERROR(_xlfn.LET(_xlpm.produto,TRIM(H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6" s="558"/>
      <c r="M616" s="558"/>
      <c r="N616" s="558"/>
    </row>
    <row r="617" spans="1:16" ht="8.25" customHeight="1" thickBot="1" x14ac:dyDescent="0.3">
      <c r="A617" s="752"/>
      <c r="I617" s="445"/>
      <c r="J617" s="445"/>
      <c r="L617" s="559"/>
      <c r="M617" s="559"/>
      <c r="N617" s="559"/>
    </row>
    <row r="618" spans="1:16" ht="15.75" thickBot="1" x14ac:dyDescent="0.3">
      <c r="A618" s="752"/>
      <c r="C618" s="538"/>
      <c r="D618" s="539"/>
      <c r="E618" s="539"/>
      <c r="F618" s="539"/>
      <c r="G618" s="539"/>
      <c r="H618" s="539"/>
      <c r="I618" s="606">
        <f t="shared" ref="I618:N618" ca="1" si="173">_xlfn.AGGREGATE(9,6,I619:I634)</f>
        <v>0</v>
      </c>
      <c r="J618" s="607">
        <f t="shared" ca="1" si="173"/>
        <v>0</v>
      </c>
      <c r="K618" s="544">
        <f t="shared" ca="1" si="173"/>
        <v>0</v>
      </c>
      <c r="L618" s="560">
        <f t="shared" si="173"/>
        <v>0</v>
      </c>
      <c r="M618" s="561">
        <f t="shared" si="173"/>
        <v>0</v>
      </c>
      <c r="N618" s="562">
        <f t="shared" si="173"/>
        <v>0</v>
      </c>
      <c r="O618" s="548">
        <f ca="1">SUM(I618:K618)</f>
        <v>0</v>
      </c>
      <c r="P618" s="549">
        <f>SUM(L618:N618)</f>
        <v>0</v>
      </c>
    </row>
    <row r="619" spans="1:16" x14ac:dyDescent="0.25">
      <c r="A619" s="752"/>
      <c r="C619" s="529" t="s">
        <v>1034</v>
      </c>
      <c r="D619" s="447">
        <f>D616+1</f>
        <v>46201</v>
      </c>
      <c r="E619" s="498" t="s">
        <v>573</v>
      </c>
      <c r="F619" s="514"/>
      <c r="G619" s="514"/>
      <c r="H619" s="514"/>
      <c r="I619" s="537" cm="1">
        <f t="array" aca="1" ref="I619" ca="1">IFERROR(_xlfn.LET(_xlpm.produto,TRIM(F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19" s="537" cm="1">
        <f t="array" aca="1" ref="J619" ca="1">IFERROR(_xlfn.LET(_xlpm.produto,TRIM(G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19" s="537" cm="1">
        <f t="array" aca="1" ref="K619" ca="1">IFERROR(_xlfn.LET(_xlpm.produto,TRIM(H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19" s="563"/>
      <c r="M619" s="563"/>
      <c r="N619" s="563"/>
    </row>
    <row r="620" spans="1:16" x14ac:dyDescent="0.25">
      <c r="A620" s="752"/>
      <c r="C620" s="452" t="s">
        <v>1034</v>
      </c>
      <c r="D620" s="453">
        <f t="shared" ref="D620:D634" si="174">D619</f>
        <v>46201</v>
      </c>
      <c r="E620" s="500" t="s">
        <v>162</v>
      </c>
      <c r="F620" s="517"/>
      <c r="G620" s="517"/>
      <c r="H620" s="517"/>
      <c r="I620" s="540"/>
      <c r="J620" s="540"/>
      <c r="K620" s="540"/>
      <c r="L620" s="555" t="e">
        <f>I620*INDEX([2]Pedidos!$Q:$Q,MATCH(F620,[2]Pedidos!$E:$E,0))</f>
        <v>#N/A</v>
      </c>
      <c r="M620" s="555" t="e">
        <f>J620*INDEX([2]Pedidos!$Q:$Q,MATCH(G620,[2]Pedidos!$E:$E,0))</f>
        <v>#N/A</v>
      </c>
      <c r="N620" s="555" t="e">
        <f>K620*INDEX([2]Pedidos!$Q:$Q,MATCH(H620,[2]Pedidos!$E:$E,0))</f>
        <v>#N/A</v>
      </c>
    </row>
    <row r="621" spans="1:16" x14ac:dyDescent="0.25">
      <c r="A621" s="752"/>
      <c r="C621" s="452" t="s">
        <v>1034</v>
      </c>
      <c r="D621" s="453">
        <f t="shared" si="174"/>
        <v>46201</v>
      </c>
      <c r="E621" s="454" t="s">
        <v>163</v>
      </c>
      <c r="F621" s="517"/>
      <c r="G621" s="512"/>
      <c r="H621" s="505"/>
      <c r="I621" s="540"/>
      <c r="J621" s="540"/>
      <c r="K621" s="540"/>
      <c r="L621" s="564" t="e">
        <f>I621*INDEX([2]Pedidos!$Q:$Q,MATCH(F621,[2]Pedidos!$E:$E,0))</f>
        <v>#N/A</v>
      </c>
      <c r="M621" s="564" t="e">
        <f>J621*INDEX([2]Pedidos!$Q:$Q,MATCH(G621,[2]Pedidos!$E:$E,0))</f>
        <v>#N/A</v>
      </c>
      <c r="N621" s="564" t="e">
        <f>K621*INDEX([2]Pedidos!$Q:$Q,MATCH(H621,[2]Pedidos!$E:$E,0))</f>
        <v>#N/A</v>
      </c>
    </row>
    <row r="622" spans="1:16" x14ac:dyDescent="0.25">
      <c r="A622" s="752"/>
      <c r="C622" s="452" t="s">
        <v>1034</v>
      </c>
      <c r="D622" s="453">
        <f t="shared" si="174"/>
        <v>46201</v>
      </c>
      <c r="E622" s="454" t="s">
        <v>164</v>
      </c>
      <c r="F622" s="517"/>
      <c r="G622" s="512"/>
      <c r="H622" s="505"/>
      <c r="I622" s="540"/>
      <c r="J622" s="540"/>
      <c r="K622" s="540"/>
      <c r="L622" s="564" t="e">
        <f>I622*INDEX([2]Pedidos!$Q:$Q,MATCH(F622,[2]Pedidos!$E:$E,0))</f>
        <v>#N/A</v>
      </c>
      <c r="M622" s="564" t="e">
        <f>J622*INDEX([2]Pedidos!$Q:$Q,MATCH(G622,[2]Pedidos!$E:$E,0))</f>
        <v>#N/A</v>
      </c>
      <c r="N622" s="564" t="e">
        <f>K622*INDEX([2]Pedidos!$Q:$Q,MATCH(H622,[2]Pedidos!$E:$E,0))</f>
        <v>#N/A</v>
      </c>
    </row>
    <row r="623" spans="1:16" x14ac:dyDescent="0.25">
      <c r="A623" s="752"/>
      <c r="C623" s="452" t="s">
        <v>1034</v>
      </c>
      <c r="D623" s="453">
        <f t="shared" si="174"/>
        <v>46201</v>
      </c>
      <c r="E623" s="454" t="s">
        <v>165</v>
      </c>
      <c r="F623" s="517"/>
      <c r="G623" s="512"/>
      <c r="H623" s="505"/>
      <c r="I623" s="540"/>
      <c r="J623" s="540"/>
      <c r="K623" s="540"/>
      <c r="L623" s="564" t="e">
        <f>I623*INDEX([2]Pedidos!$Q:$Q,MATCH(F623,[2]Pedidos!$E:$E,0))</f>
        <v>#N/A</v>
      </c>
      <c r="M623" s="564" t="e">
        <f>J623*INDEX([2]Pedidos!$Q:$Q,MATCH(G623,[2]Pedidos!$E:$E,0))</f>
        <v>#N/A</v>
      </c>
      <c r="N623" s="564" t="e">
        <f>K623*INDEX([2]Pedidos!$Q:$Q,MATCH(H623,[2]Pedidos!$E:$E,0))</f>
        <v>#N/A</v>
      </c>
    </row>
    <row r="624" spans="1:16" x14ac:dyDescent="0.25">
      <c r="A624" s="752"/>
      <c r="C624" s="452" t="s">
        <v>1034</v>
      </c>
      <c r="D624" s="453">
        <f t="shared" si="174"/>
        <v>46201</v>
      </c>
      <c r="E624" s="454" t="s">
        <v>166</v>
      </c>
      <c r="F624" s="517"/>
      <c r="G624" s="512"/>
      <c r="H624" s="505"/>
      <c r="I624" s="540"/>
      <c r="J624" s="540"/>
      <c r="K624" s="540"/>
      <c r="L624" s="564" t="e">
        <f>I624*INDEX([2]Pedidos!$Q:$Q,MATCH(F624,[2]Pedidos!$E:$E,0))</f>
        <v>#N/A</v>
      </c>
      <c r="M624" s="564" t="e">
        <f>J624*INDEX([2]Pedidos!$Q:$Q,MATCH(G624,[2]Pedidos!$E:$E,0))</f>
        <v>#N/A</v>
      </c>
      <c r="N624" s="564" t="e">
        <f>K624*INDEX([2]Pedidos!$Q:$Q,MATCH(H624,[2]Pedidos!$E:$E,0))</f>
        <v>#N/A</v>
      </c>
    </row>
    <row r="625" spans="1:14" x14ac:dyDescent="0.25">
      <c r="A625" s="752"/>
      <c r="C625" s="452" t="s">
        <v>1034</v>
      </c>
      <c r="D625" s="453">
        <f t="shared" si="174"/>
        <v>46201</v>
      </c>
      <c r="E625" s="454" t="s">
        <v>576</v>
      </c>
      <c r="F625" s="517"/>
      <c r="G625" s="512"/>
      <c r="H625" s="505"/>
      <c r="I625" s="541" cm="1">
        <f t="array" aca="1" ref="I625" ca="1">IFERROR(_xlfn.LET(_xlpm.produto,TRIM(F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25" s="541" cm="1">
        <f t="array" aca="1" ref="J625" ca="1">IFERROR(_xlfn.LET(_xlpm.produto,TRIM(G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25" s="541" cm="1">
        <f t="array" aca="1" ref="K625" ca="1">IFERROR(_xlfn.LET(_xlpm.produto,TRIM(H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25" s="556"/>
      <c r="M625" s="556"/>
      <c r="N625" s="556"/>
    </row>
    <row r="626" spans="1:14" x14ac:dyDescent="0.25">
      <c r="A626" s="752"/>
      <c r="C626" s="452" t="s">
        <v>1034</v>
      </c>
      <c r="D626" s="449">
        <f t="shared" si="174"/>
        <v>46201</v>
      </c>
      <c r="E626" s="454" t="s">
        <v>167</v>
      </c>
      <c r="F626" s="517"/>
      <c r="G626" s="512"/>
      <c r="H626" s="505"/>
      <c r="I626" s="540"/>
      <c r="J626" s="540"/>
      <c r="K626" s="540"/>
      <c r="L626" s="565" t="e">
        <f>I626*INDEX([2]Pedidos!$Q:$Q,MATCH(F626,[2]Pedidos!$E:$E,0))</f>
        <v>#N/A</v>
      </c>
      <c r="M626" s="565" t="e">
        <f>J626*INDEX([2]Pedidos!$Q:$Q,MATCH(G626,[2]Pedidos!$E:$E,0))</f>
        <v>#N/A</v>
      </c>
      <c r="N626" s="565" t="e">
        <f>K626*INDEX([2]Pedidos!$Q:$Q,MATCH(H626,[2]Pedidos!$E:$E,0))</f>
        <v>#N/A</v>
      </c>
    </row>
    <row r="627" spans="1:14" x14ac:dyDescent="0.25">
      <c r="A627" s="752"/>
      <c r="C627" s="452" t="s">
        <v>1034</v>
      </c>
      <c r="D627" s="449">
        <f t="shared" si="174"/>
        <v>46201</v>
      </c>
      <c r="E627" s="454" t="s">
        <v>168</v>
      </c>
      <c r="F627" s="517"/>
      <c r="G627" s="512"/>
      <c r="H627" s="505"/>
      <c r="I627" s="540"/>
      <c r="J627" s="540"/>
      <c r="K627" s="540"/>
      <c r="L627" s="565" t="e">
        <f>I627*INDEX([2]Pedidos!$Q:$Q,MATCH(F627,[2]Pedidos!$E:$E,0))</f>
        <v>#N/A</v>
      </c>
      <c r="M627" s="565" t="e">
        <f>J627*INDEX([2]Pedidos!$Q:$Q,MATCH(G627,[2]Pedidos!$E:$E,0))</f>
        <v>#N/A</v>
      </c>
      <c r="N627" s="565" t="e">
        <f>K627*INDEX([2]Pedidos!$Q:$Q,MATCH(H627,[2]Pedidos!$E:$E,0))</f>
        <v>#N/A</v>
      </c>
    </row>
    <row r="628" spans="1:14" x14ac:dyDescent="0.25">
      <c r="A628" s="752"/>
      <c r="C628" s="452" t="s">
        <v>1034</v>
      </c>
      <c r="D628" s="449">
        <f t="shared" si="174"/>
        <v>46201</v>
      </c>
      <c r="E628" s="454" t="s">
        <v>169</v>
      </c>
      <c r="F628" s="517"/>
      <c r="G628" s="512"/>
      <c r="H628" s="505"/>
      <c r="I628" s="540"/>
      <c r="J628" s="540"/>
      <c r="K628" s="540"/>
      <c r="L628" s="565" t="e">
        <f>I628*INDEX([2]Pedidos!$Q:$Q,MATCH(F628,[2]Pedidos!$E:$E,0))</f>
        <v>#N/A</v>
      </c>
      <c r="M628" s="565" t="e">
        <f>J628*INDEX([2]Pedidos!$Q:$Q,MATCH(G628,[2]Pedidos!$E:$E,0))</f>
        <v>#N/A</v>
      </c>
      <c r="N628" s="565" t="e">
        <f>K628*INDEX([2]Pedidos!$Q:$Q,MATCH(H628,[2]Pedidos!$E:$E,0))</f>
        <v>#N/A</v>
      </c>
    </row>
    <row r="629" spans="1:14" x14ac:dyDescent="0.25">
      <c r="A629" s="752"/>
      <c r="C629" s="452" t="s">
        <v>1034</v>
      </c>
      <c r="D629" s="449">
        <f t="shared" si="174"/>
        <v>46201</v>
      </c>
      <c r="E629" s="454" t="s">
        <v>170</v>
      </c>
      <c r="F629" s="517"/>
      <c r="G629" s="512"/>
      <c r="H629" s="505"/>
      <c r="I629" s="540"/>
      <c r="J629" s="540"/>
      <c r="K629" s="540"/>
      <c r="L629" s="566" t="e">
        <f>I629*INDEX([2]Pedidos!$Q:$Q,MATCH(F629,[2]Pedidos!$E:$E,0))</f>
        <v>#N/A</v>
      </c>
      <c r="M629" s="566" t="e">
        <f>J629*INDEX([2]Pedidos!$Q:$Q,MATCH(G629,[2]Pedidos!$E:$E,0))</f>
        <v>#N/A</v>
      </c>
      <c r="N629" s="566" t="e">
        <f>K629*INDEX([2]Pedidos!$Q:$Q,MATCH(H629,[2]Pedidos!$E:$E,0))</f>
        <v>#N/A</v>
      </c>
    </row>
    <row r="630" spans="1:14" x14ac:dyDescent="0.25">
      <c r="A630" s="752"/>
      <c r="C630" s="452" t="s">
        <v>1034</v>
      </c>
      <c r="D630" s="449">
        <f t="shared" si="174"/>
        <v>46201</v>
      </c>
      <c r="E630" s="454" t="s">
        <v>585</v>
      </c>
      <c r="F630" s="505"/>
      <c r="G630" s="505"/>
      <c r="H630" s="516"/>
      <c r="I630" s="516" cm="1">
        <f t="array" aca="1" ref="I630" ca="1">IFERROR(_xlfn.LET(_xlpm.produto,TRIM(F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30" s="516" cm="1">
        <f t="array" aca="1" ref="J630" ca="1">IFERROR(_xlfn.LET(_xlpm.produto,TRIM(G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0" s="516" cm="1">
        <f t="array" aca="1" ref="K630" ca="1">IFERROR(_xlfn.LET(_xlpm.produto,TRIM(H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0" s="557"/>
      <c r="M630" s="557"/>
      <c r="N630" s="557"/>
    </row>
    <row r="631" spans="1:14" x14ac:dyDescent="0.25">
      <c r="A631" s="752"/>
      <c r="C631" s="452" t="s">
        <v>1034</v>
      </c>
      <c r="D631" s="449">
        <f t="shared" si="174"/>
        <v>46201</v>
      </c>
      <c r="E631" s="455" t="s">
        <v>574</v>
      </c>
      <c r="F631" s="505"/>
      <c r="G631" s="505"/>
      <c r="H631" s="516"/>
      <c r="I631" s="516" cm="1">
        <f t="array" aca="1" ref="I631" ca="1">IFERROR(_xlfn.LET(_xlpm.produto,TRIM(F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31" s="516" cm="1">
        <f t="array" aca="1" ref="J631" ca="1">IFERROR(_xlfn.LET(_xlpm.produto,TRIM(G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1" s="516" cm="1">
        <f t="array" aca="1" ref="K631" ca="1">IFERROR(_xlfn.LET(_xlpm.produto,TRIM(H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1" s="557"/>
      <c r="M631" s="557"/>
      <c r="N631" s="557"/>
    </row>
    <row r="632" spans="1:14" x14ac:dyDescent="0.25">
      <c r="A632" s="752"/>
      <c r="C632" s="452" t="s">
        <v>1034</v>
      </c>
      <c r="D632" s="449">
        <f t="shared" si="174"/>
        <v>46201</v>
      </c>
      <c r="E632" s="455" t="s">
        <v>575</v>
      </c>
      <c r="F632" s="506"/>
      <c r="G632" s="506"/>
      <c r="H632" s="516"/>
      <c r="I632" s="516" cm="1">
        <f t="array" aca="1" ref="I632" ca="1">IFERROR(_xlfn.LET(_xlpm.produto,TRIM(F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32" s="516" cm="1">
        <f t="array" aca="1" ref="J632" ca="1">IFERROR(_xlfn.LET(_xlpm.produto,TRIM(G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2" s="516" cm="1">
        <f t="array" aca="1" ref="K632" ca="1">IFERROR(_xlfn.LET(_xlpm.produto,TRIM(H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2" s="557"/>
      <c r="M632" s="557"/>
      <c r="N632" s="557"/>
    </row>
    <row r="633" spans="1:14" x14ac:dyDescent="0.25">
      <c r="A633" s="752"/>
      <c r="C633" s="452" t="s">
        <v>1034</v>
      </c>
      <c r="D633" s="449">
        <f t="shared" si="174"/>
        <v>46201</v>
      </c>
      <c r="E633" s="503" t="s">
        <v>583</v>
      </c>
      <c r="F633" s="506"/>
      <c r="G633" s="506"/>
      <c r="H633" s="516"/>
      <c r="I633" s="516" cm="1">
        <f t="array" aca="1" ref="I633" ca="1">IFERROR(_xlfn.LET(_xlpm.produto,TRIM(F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33" s="516" cm="1">
        <f t="array" aca="1" ref="J633" ca="1">IFERROR(_xlfn.LET(_xlpm.produto,TRIM(G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3" s="516" cm="1">
        <f t="array" aca="1" ref="K633" ca="1">IFERROR(_xlfn.LET(_xlpm.produto,TRIM(H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3" s="557"/>
      <c r="M633" s="557"/>
      <c r="N633" s="557"/>
    </row>
    <row r="634" spans="1:14" ht="15.75" thickBot="1" x14ac:dyDescent="0.3">
      <c r="A634" s="752"/>
      <c r="C634" s="530" t="s">
        <v>1034</v>
      </c>
      <c r="D634" s="451">
        <f t="shared" si="174"/>
        <v>46201</v>
      </c>
      <c r="E634" s="459" t="s">
        <v>584</v>
      </c>
      <c r="F634" s="493"/>
      <c r="G634" s="493"/>
      <c r="H634" s="513"/>
      <c r="I634" s="513" cm="1">
        <f t="array" aca="1" ref="I634" ca="1">IFERROR(_xlfn.LET(_xlpm.produto,TRIM(F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634" s="513" cm="1">
        <f t="array" aca="1" ref="J634" ca="1">IFERROR(_xlfn.LET(_xlpm.produto,TRIM(G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634" s="513" cm="1">
        <f t="array" aca="1" ref="K634" ca="1">IFERROR(_xlfn.LET(_xlpm.produto,TRIM(H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634" s="558"/>
      <c r="M634" s="558"/>
      <c r="N634" s="558"/>
    </row>
  </sheetData>
  <mergeCells count="5">
    <mergeCell ref="A6:A130"/>
    <mergeCell ref="A132:A256"/>
    <mergeCell ref="A258:A382"/>
    <mergeCell ref="A384:A508"/>
    <mergeCell ref="A510:A634"/>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48" id="{0ECE4D88-FC46-4169-B661-0834BE095A9D}">
            <xm:f>AND(I5&gt;0,OR(I5&gt;IFERROR(INDEX('https://kuryos.sharepoint.com/sites/ServidorKuryos/Shared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Produtos.xlsx]Produtos'!#REF!,0)),0)*1.1,AND(I5&lt;IFERROR(INDEX('https://kuryos.sharepoint.com/sites/ServidorKuryos/Shared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",F5)),LEFT(F5,FIND(" - ",F5)-1),F5),'https://kuryos.sharepoint.com/sites/ServidorKuryos/Shared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I41:K42 I59:K256 I5:K7</xm:sqref>
        </x14:conditionalFormatting>
        <x14:conditionalFormatting xmlns:xm="http://schemas.microsoft.com/office/excel/2006/main">
          <x14:cfRule type="expression" priority="147" id="{60B57266-60C2-4BAC-9864-455E9857C825}">
            <xm:f>AND(I258&gt;0,OR(I258&gt;IFERROR(INDEX('https://kuryos.sharepoint.com/sites/ServidorKuryos/Shared Documents/08. Logistica e Armazenamento/00. Logistica/[Controle de Produtos.xlsx]Produtos'!#REF!,MATCH(IF(ISNUMBER(FIND(" - ",F258)),LEFT(F258,FIND(" - ",F258)-1),F258),'https://kuryos.sharepoint.com/sites/ServidorKuryos/Shared Documents/08. Logistica e Armazenamento/00. Logistica/[Controle de Produtos.xlsx]Produtos'!#REF!,0)),0)*1.1,AND(I258&lt;IFERROR(INDEX('https://kuryos.sharepoint.com/sites/ServidorKuryos/Shared Documents/08. Logistica e Armazenamento/00. Logistica/[Controle de Produtos.xlsx]Produtos'!#REF!,MATCH(IF(ISNUMBER(FIND(" - ",F258)),LEFT(F258,FIND(" - ",F258)-1),F258),'https://kuryos.sharepoint.com/sites/ServidorKuryos/Shared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",F258)),LEFT(F258,FIND(" - ",F258)-1),F258),'https://kuryos.sharepoint.com/sites/ServidorKuryos/Shared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I258:K258 I312:K312 I330:K330 I348:K354 I356:K372 I355 I374:K382 I276:K276 I294:K294</xm:sqref>
        </x14:conditionalFormatting>
        <x14:conditionalFormatting xmlns:xm="http://schemas.microsoft.com/office/excel/2006/main">
          <x14:cfRule type="expression" priority="146" id="{CC70AF17-C87A-4F2F-9CF8-3796B5D56B41}">
            <xm:f>AND(I384&gt;0,OR(I384&gt;IFERROR(INDEX('https://kuryos.sharepoint.com/sites/ServidorKuryos/Shared Documents/08. Logistica e Armazenamento/00. Logistica/[Controle de Produtos.xlsx]Produtos'!#REF!,MATCH(IF(ISNUMBER(FIND(" - ",F384)),LEFT(F384,FIND(" - ",F384)-1),F384),'https://kuryos.sharepoint.com/sites/ServidorKuryos/Shared Documents/08. Logistica e Armazenamento/00. Logistica/[Controle de Produtos.xlsx]Produtos'!#REF!,0)),0)*1.1,AND(I384&lt;IFERROR(INDEX('https://kuryos.sharepoint.com/sites/ServidorKuryos/Shared Documents/08. Logistica e Armazenamento/00. Logistica/[Controle de Produtos.xlsx]Produtos'!#REF!,MATCH(IF(ISNUMBER(FIND(" - ",F384)),LEFT(F384,FIND(" - ",F384)-1),F384),'https://kuryos.sharepoint.com/sites/ServidorKuryos/Shared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",F384)),LEFT(F384,FIND(" - ",F384)-1),F384),'https://kuryos.sharepoint.com/sites/ServidorKuryos/Shared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I384:K384 I401:K402 I481 I500:K508 I419:K420 I437:K438 I455:K456 I473:K480 I482:K498</xm:sqref>
        </x14:conditionalFormatting>
        <x14:conditionalFormatting xmlns:xm="http://schemas.microsoft.com/office/excel/2006/main">
          <x14:cfRule type="expression" priority="144" id="{2DB3B543-0DD6-4E9D-A1AC-319040E56125}">
            <xm:f>AND(J355&gt;0,OR(J355&gt;IFERROR(INDEX('https://kuryos.sharepoint.com/sites/ServidorKuryos/Shared Documents/08. Logistica e Armazenamento/00. Logistica/[Controle de Produtos.xlsx]Produtos'!#REF!,MATCH(IF(ISNUMBER(FIND(" - ",G355)),LEFT(G355,FIND(" - ",G355)-1),G355),'https://kuryos.sharepoint.com/sites/ServidorKuryos/Shared Documents/08. Logistica e Armazenamento/00. Logistica/[Controle de Produtos.xlsx]Produtos'!#REF!,0)),0)*1.1,AND(J355&lt;IFERROR(INDEX('https://kuryos.sharepoint.com/sites/ServidorKuryos/Shared Documents/08. Logistica e Armazenamento/00. Logistica/[Controle de Produtos.xlsx]Produtos'!#REF!,MATCH(IF(ISNUMBER(FIND(" - ",G355)),LEFT(G355,FIND(" - ",G355)-1),G355),'https://kuryos.sharepoint.com/sites/ServidorKuryos/Shared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",G355)),LEFT(G355,FIND(" - ",G355)-1),G355),'https://kuryos.sharepoint.com/sites/ServidorKuryos/Shared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J355:K355</xm:sqref>
        </x14:conditionalFormatting>
        <x14:conditionalFormatting xmlns:xm="http://schemas.microsoft.com/office/excel/2006/main">
          <x14:cfRule type="expression" priority="143" id="{BF336755-8178-4141-9D6A-BA6B389A5A7D}">
            <xm:f>AND(I373&gt;0,OR(I373&gt;IFERROR(INDEX('https://kuryos.sharepoint.com/sites/ServidorKuryos/Shared Documents/08. Logistica e Armazenamento/00. Logistica/[Controle de Produtos.xlsx]Produtos'!#REF!,MATCH(IF(ISNUMBER(FIND(" - ",F373)),LEFT(F373,FIND(" - ",F373)-1),F373),'https://kuryos.sharepoint.com/sites/ServidorKuryos/Shared Documents/08. Logistica e Armazenamento/00. Logistica/[Controle de Produtos.xlsx]Produtos'!#REF!,0)),0)*1.1,AND(I373&lt;IFERROR(INDEX('https://kuryos.sharepoint.com/sites/ServidorKuryos/Shared Documents/08. Logistica e Armazenamento/00. Logistica/[Controle de Produtos.xlsx]Produtos'!#REF!,MATCH(IF(ISNUMBER(FIND(" - ",F373)),LEFT(F373,FIND(" - ",F373)-1),F373),'https://kuryos.sharepoint.com/sites/ServidorKuryos/Shared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",F373)),LEFT(F373,FIND(" - ",F373)-1),F373),'https://kuryos.sharepoint.com/sites/ServidorKuryos/Shared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I373:K373</xm:sqref>
        </x14:conditionalFormatting>
        <x14:conditionalFormatting xmlns:xm="http://schemas.microsoft.com/office/excel/2006/main">
          <x14:cfRule type="expression" priority="142" id="{61102E23-B245-498D-A1ED-725AA7A8888A}">
            <xm:f>AND(J481&gt;0,OR(J481&gt;IFERROR(INDEX('https://kuryos.sharepoint.com/sites/ServidorKuryos/Shared Documents/08. Logistica e Armazenamento/00. Logistica/[Controle de Produtos.xlsx]Produtos'!#REF!,MATCH(IF(ISNUMBER(FIND(" - ",G481)),LEFT(G481,FIND(" - ",G481)-1),G481),'https://kuryos.sharepoint.com/sites/ServidorKuryos/Shared Documents/08. Logistica e Armazenamento/00. Logistica/[Controle de Produtos.xlsx]Produtos'!#REF!,0)),0)*1.1,AND(J481&lt;IFERROR(INDEX('https://kuryos.sharepoint.com/sites/ServidorKuryos/Shared Documents/08. Logistica e Armazenamento/00. Logistica/[Controle de Produtos.xlsx]Produtos'!#REF!,MATCH(IF(ISNUMBER(FIND(" - ",G481)),LEFT(G481,FIND(" - ",G481)-1),G481),'https://kuryos.sharepoint.com/sites/ServidorKuryos/Shared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",G481)),LEFT(G481,FIND(" - ",G481)-1),G481),'https://kuryos.sharepoint.com/sites/ServidorKuryos/Shared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J481:K481</xm:sqref>
        </x14:conditionalFormatting>
        <x14:conditionalFormatting xmlns:xm="http://schemas.microsoft.com/office/excel/2006/main">
          <x14:cfRule type="expression" priority="141" id="{97AE6A76-F959-4252-A8AF-6058E870AA38}">
            <xm:f>AND(I499&gt;0,OR(I499&gt;IFERROR(INDEX('https://kuryos.sharepoint.com/sites/ServidorKuryos/Shared Documents/08. Logistica e Armazenamento/00. Logistica/[Controle de Produtos.xlsx]Produtos'!#REF!,MATCH(IF(ISNUMBER(FIND(" - ",F499)),LEFT(F499,FIND(" - ",F499)-1),F499),'https://kuryos.sharepoint.com/sites/ServidorKuryos/Shared Documents/08. Logistica e Armazenamento/00. Logistica/[Controle de Produtos.xlsx]Produtos'!#REF!,0)),0)*1.1,AND(I499&lt;IFERROR(INDEX('https://kuryos.sharepoint.com/sites/ServidorKuryos/Shared Documents/08. Logistica e Armazenamento/00. Logistica/[Controle de Produtos.xlsx]Produtos'!#REF!,MATCH(IF(ISNUMBER(FIND(" - ",F499)),LEFT(F499,FIND(" - ",F499)-1),F499),'https://kuryos.sharepoint.com/sites/ServidorKuryos/Shared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",F499)),LEFT(F499,FIND(" - ",F499)-1),F499),'https://kuryos.sharepoint.com/sites/ServidorKuryos/Shared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I499:K499</xm:sqref>
        </x14:conditionalFormatting>
        <x14:conditionalFormatting xmlns:xm="http://schemas.microsoft.com/office/excel/2006/main">
          <x14:cfRule type="expression" priority="140" id="{BBE898C6-8A03-4E70-ADDA-934DE31E058E}">
            <xm:f>AND(I510&gt;0,OR(I510&gt;IFERROR(INDEX('https://kuryos.sharepoint.com/sites/ServidorKuryos/Shared Documents/08. Logistica e Armazenamento/00. Logistica/[Controle de Produtos.xlsx]Produtos'!#REF!,MATCH(IF(ISNUMBER(FIND(" - ",F510)),LEFT(F510,FIND(" - ",F510)-1),F510),'https://kuryos.sharepoint.com/sites/ServidorKuryos/Shared Documents/08. Logistica e Armazenamento/00. Logistica/[Controle de Produtos.xlsx]Produtos'!#REF!,0)),0)*1.1,AND(I510&lt;IFERROR(INDEX('https://kuryos.sharepoint.com/sites/ServidorKuryos/Shared Documents/08. Logistica e Armazenamento/00. Logistica/[Controle de Produtos.xlsx]Produtos'!#REF!,MATCH(IF(ISNUMBER(FIND(" - ",F510)),LEFT(F510,FIND(" - ",F510)-1),F510),'https://kuryos.sharepoint.com/sites/ServidorKuryos/Shared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",F510)),LEFT(F510,FIND(" - ",F510)-1),F510),'https://kuryos.sharepoint.com/sites/ServidorKuryos/Shared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I510:K510 I527:K528 I545:K546 I608:K624 I607 I626:K634 I563:K564 I581:K582 I599:K606</xm:sqref>
        </x14:conditionalFormatting>
        <x14:conditionalFormatting xmlns:xm="http://schemas.microsoft.com/office/excel/2006/main">
          <x14:cfRule type="expression" priority="135" id="{BAABA2F2-0858-464B-94CE-432477507582}">
            <xm:f>AND(J607&gt;0,OR(J607&gt;IFERROR(INDEX('https://kuryos.sharepoint.com/sites/ServidorKuryos/Shared Documents/08. Logistica e Armazenamento/00. Logistica/[Controle de Produtos.xlsx]Produtos'!#REF!,MATCH(IF(ISNUMBER(FIND(" - ",G607)),LEFT(G607,FIND(" - ",G607)-1),G607),'https://kuryos.sharepoint.com/sites/ServidorKuryos/Shared Documents/08. Logistica e Armazenamento/00. Logistica/[Controle de Produtos.xlsx]Produtos'!#REF!,0)),0)*1.1,AND(J607&lt;IFERROR(INDEX('https://kuryos.sharepoint.com/sites/ServidorKuryos/Shared Documents/08. Logistica e Armazenamento/00. Logistica/[Controle de Produtos.xlsx]Produtos'!#REF!,MATCH(IF(ISNUMBER(FIND(" - ",G607)),LEFT(G607,FIND(" - ",G607)-1),G607),'https://kuryos.sharepoint.com/sites/ServidorKuryos/Shared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",G607)),LEFT(G607,FIND(" - ",G607)-1),G607),'https://kuryos.sharepoint.com/sites/ServidorKuryos/Shared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J607:K607</xm:sqref>
        </x14:conditionalFormatting>
        <x14:conditionalFormatting xmlns:xm="http://schemas.microsoft.com/office/excel/2006/main">
          <x14:cfRule type="expression" priority="134" id="{93036F1E-6193-47BC-BFFD-5EE63B3FF296}">
            <xm:f>AND(I625&gt;0,OR(I625&gt;IFERROR(INDEX('https://kuryos.sharepoint.com/sites/ServidorKuryos/Shared Documents/08. Logistica e Armazenamento/00. Logistica/[Controle de Produtos.xlsx]Produtos'!#REF!,MATCH(IF(ISNUMBER(FIND(" - ",F625)),LEFT(F625,FIND(" - ",F625)-1),F625),'https://kuryos.sharepoint.com/sites/ServidorKuryos/Shared Documents/08. Logistica e Armazenamento/00. Logistica/[Controle de Produtos.xlsx]Produtos'!#REF!,0)),0)*1.1,AND(I625&lt;IFERROR(INDEX('https://kuryos.sharepoint.com/sites/ServidorKuryos/Shared Documents/08. Logistica e Armazenamento/00. Logistica/[Controle de Produtos.xlsx]Produtos'!#REF!,MATCH(IF(ISNUMBER(FIND(" - ",F625)),LEFT(F625,FIND(" - ",F625)-1),F625),'https://kuryos.sharepoint.com/sites/ServidorKuryos/Shared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",F625)),LEFT(F625,FIND(" - ",F625)-1),F625),'https://kuryos.sharepoint.com/sites/ServidorKuryos/Shared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I625:K625</xm:sqref>
        </x14:conditionalFormatting>
        <x14:conditionalFormatting xmlns:xm="http://schemas.microsoft.com/office/excel/2006/main">
          <x14:cfRule type="expression" priority="131" id="{4546C1A2-E4B8-4312-973C-94890C73D731}">
            <xm:f>AND(I275&gt;0,OR(I275&gt;IFERROR(INDEX('https://kuryos.sharepoint.com/sites/ServidorKuryos/Shared Documents/08. Logistica e Armazenamento/00. Logistica/[Controle de Produtos.xlsx]Produtos'!#REF!,MATCH(IF(ISNUMBER(FIND(" - ",F275)),LEFT(F275,FIND(" - ",F275)-1),F275),'https://kuryos.sharepoint.com/sites/ServidorKuryos/Shared Documents/08. Logistica e Armazenamento/00. Logistica/[Controle de Produtos.xlsx]Produtos'!#REF!,0)),0)*1.1,AND(I275&lt;IFERROR(INDEX('https://kuryos.sharepoint.com/sites/ServidorKuryos/Shared Documents/08. Logistica e Armazenamento/00. Logistica/[Controle de Produtos.xlsx]Produtos'!#REF!,MATCH(IF(ISNUMBER(FIND(" - ",F275)),LEFT(F275,FIND(" - ",F275)-1),F275),'https://kuryos.sharepoint.com/sites/ServidorKuryos/Shared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",F275)),LEFT(F275,FIND(" - ",F275)-1),F275),'https://kuryos.sharepoint.com/sites/ServidorKuryos/Shared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I275:K275</xm:sqref>
        </x14:conditionalFormatting>
        <x14:conditionalFormatting xmlns:xm="http://schemas.microsoft.com/office/excel/2006/main">
          <x14:cfRule type="expression" priority="130" id="{1A0DA06D-2F1C-48CB-A8A0-F6CA18144E75}">
            <xm:f>AND(I293&gt;0,OR(I293&gt;IFERROR(INDEX('https://kuryos.sharepoint.com/sites/ServidorKuryos/Shared Documents/08. Logistica e Armazenamento/00. Logistica/[Controle de Produtos.xlsx]Produtos'!#REF!,MATCH(IF(ISNUMBER(FIND(" - ",F293)),LEFT(F293,FIND(" - ",F293)-1),F293),'https://kuryos.sharepoint.com/sites/ServidorKuryos/Shared Documents/08. Logistica e Armazenamento/00. Logistica/[Controle de Produtos.xlsx]Produtos'!#REF!,0)),0)*1.1,AND(I293&lt;IFERROR(INDEX('https://kuryos.sharepoint.com/sites/ServidorKuryos/Shared Documents/08. Logistica e Armazenamento/00. Logistica/[Controle de Produtos.xlsx]Produtos'!#REF!,MATCH(IF(ISNUMBER(FIND(" - ",F293)),LEFT(F293,FIND(" - ",F293)-1),F293),'https://kuryos.sharepoint.com/sites/ServidorKuryos/Shared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",F293)),LEFT(F293,FIND(" - ",F293)-1),F293),'https://kuryos.sharepoint.com/sites/ServidorKuryos/Shared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I293:K293</xm:sqref>
        </x14:conditionalFormatting>
        <x14:conditionalFormatting xmlns:xm="http://schemas.microsoft.com/office/excel/2006/main">
          <x14:cfRule type="expression" priority="129" id="{002CCCC9-52F0-4047-974C-17CA713B3B31}">
            <xm:f>AND(I311&gt;0,OR(I311&gt;IFERROR(INDEX('https://kuryos.sharepoint.com/sites/ServidorKuryos/Shared Documents/08. Logistica e Armazenamento/00. Logistica/[Controle de Produtos.xlsx]Produtos'!#REF!,MATCH(IF(ISNUMBER(FIND(" - ",F311)),LEFT(F311,FIND(" - ",F311)-1),F311),'https://kuryos.sharepoint.com/sites/ServidorKuryos/Shared Documents/08. Logistica e Armazenamento/00. Logistica/[Controle de Produtos.xlsx]Produtos'!#REF!,0)),0)*1.1,AND(I311&lt;IFERROR(INDEX('https://kuryos.sharepoint.com/sites/ServidorKuryos/Shared Documents/08. Logistica e Armazenamento/00. Logistica/[Controle de Produtos.xlsx]Produtos'!#REF!,MATCH(IF(ISNUMBER(FIND(" - ",F311)),LEFT(F311,FIND(" - ",F311)-1),F311),'https://kuryos.sharepoint.com/sites/ServidorKuryos/Shared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",F311)),LEFT(F311,FIND(" - ",F311)-1),F311),'https://kuryos.sharepoint.com/sites/ServidorKuryos/Shared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I311:K311</xm:sqref>
        </x14:conditionalFormatting>
        <x14:conditionalFormatting xmlns:xm="http://schemas.microsoft.com/office/excel/2006/main">
          <x14:cfRule type="expression" priority="128" id="{CEB33195-2B45-439E-A914-AD974F62334D}">
            <xm:f>AND(I329&gt;0,OR(I329&gt;IFERROR(INDEX('https://kuryos.sharepoint.com/sites/ServidorKuryos/Shared Documents/08. Logistica e Armazenamento/00. Logistica/[Controle de Produtos.xlsx]Produtos'!#REF!,MATCH(IF(ISNUMBER(FIND(" - ",F329)),LEFT(F329,FIND(" - ",F329)-1),F329),'https://kuryos.sharepoint.com/sites/ServidorKuryos/Shared Documents/08. Logistica e Armazenamento/00. Logistica/[Controle de Produtos.xlsx]Produtos'!#REF!,0)),0)*1.1,AND(I329&lt;IFERROR(INDEX('https://kuryos.sharepoint.com/sites/ServidorKuryos/Shared Documents/08. Logistica e Armazenamento/00. Logistica/[Controle de Produtos.xlsx]Produtos'!#REF!,MATCH(IF(ISNUMBER(FIND(" - ",F329)),LEFT(F329,FIND(" - ",F329)-1),F329),'https://kuryos.sharepoint.com/sites/ServidorKuryos/Shared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",F329)),LEFT(F329,FIND(" - ",F329)-1),F329),'https://kuryos.sharepoint.com/sites/ServidorKuryos/Shared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I329:K329</xm:sqref>
        </x14:conditionalFormatting>
        <x14:conditionalFormatting xmlns:xm="http://schemas.microsoft.com/office/excel/2006/main">
          <x14:cfRule type="expression" priority="127" id="{D4FC7DE4-3F60-40ED-A65F-43D2A3C13A0B}">
            <xm:f>AND(I347&gt;0,OR(I347&gt;IFERROR(INDEX('https://kuryos.sharepoint.com/sites/ServidorKuryos/Shared Documents/08. Logistica e Armazenamento/00. Logistica/[Controle de Produtos.xlsx]Produtos'!#REF!,MATCH(IF(ISNUMBER(FIND(" - ",F347)),LEFT(F347,FIND(" - ",F347)-1),F347),'https://kuryos.sharepoint.com/sites/ServidorKuryos/Shared Documents/08. Logistica e Armazenamento/00. Logistica/[Controle de Produtos.xlsx]Produtos'!#REF!,0)),0)*1.1,AND(I347&lt;IFERROR(INDEX('https://kuryos.sharepoint.com/sites/ServidorKuryos/Shared Documents/08. Logistica e Armazenamento/00. Logistica/[Controle de Produtos.xlsx]Produtos'!#REF!,MATCH(IF(ISNUMBER(FIND(" - ",F347)),LEFT(F347,FIND(" - ",F347)-1),F347),'https://kuryos.sharepoint.com/sites/ServidorKuryos/Shared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",F347)),LEFT(F347,FIND(" - ",F347)-1),F347),'https://kuryos.sharepoint.com/sites/ServidorKuryos/Shared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I347:K347</xm:sqref>
        </x14:conditionalFormatting>
        <x14:conditionalFormatting xmlns:xm="http://schemas.microsoft.com/office/excel/2006/main">
          <x14:cfRule type="expression" priority="93" id="{0576E5CE-7D11-4FDB-BF0D-27CD5BB4733E}">
            <xm:f>AND(I8&gt;0,OR(I8&gt;IFERROR(INDEX('https://kuryos.sharepoint.com/sites/ServidorKuryos/Shared Documents/08. Logistica e Armazenamento/00. Logistica/[Controle de Produtos.xlsx]Produtos'!#REF!,MATCH(IF(ISNUMBER(FIND(" - ",F8)),LEFT(F8,FIND(" - ",F8)-1),F8),'https://kuryos.sharepoint.com/sites/ServidorKuryos/Shared Documents/08. Logistica e Armazenamento/00. Logistica/[Controle de Produtos.xlsx]Produtos'!#REF!,0)),0)*1.1,AND(I8&lt;IFERROR(INDEX('https://kuryos.sharepoint.com/sites/ServidorKuryos/Shared Documents/08. Logistica e Armazenamento/00. Logistica/[Controle de Produtos.xlsx]Produtos'!#REF!,MATCH(IF(ISNUMBER(FIND(" - ",F8)),LEFT(F8,FIND(" - ",F8)-1),F8),'https://kuryos.sharepoint.com/sites/ServidorKuryos/Shared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",F8)),LEFT(F8,FIND(" - ",F8)-1),F8),'https://kuryos.sharepoint.com/sites/ServidorKuryos/Shared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I8:K40</xm:sqref>
        </x14:conditionalFormatting>
        <x14:conditionalFormatting xmlns:xm="http://schemas.microsoft.com/office/excel/2006/main">
          <x14:cfRule type="expression" priority="88" id="{54C045A2-1EDF-419F-A840-E99ED2025927}">
            <xm:f>AND(L66&gt;0,OR(L66&gt;IFERROR(INDEX('https://kuryos.sharepoint.com/sites/ServidorKuryos/Shared Documents/08. Logistica e Armazenamento/00. Logistica/[Controle de Produtos.xlsx]Produtos'!#REF!,MATCH(IF(ISNUMBER(FIND(" - ",I66)),LEFT(I66,FIND(" - ",I66)-1),I66),'https://kuryos.sharepoint.com/sites/ServidorKuryos/Shared Documents/08. Logistica e Armazenamento/00. Logistica/[Controle de Produtos.xlsx]Produtos'!#REF!,0)),0)*1.1,AND(L66&lt;IFERROR(INDEX('https://kuryos.sharepoint.com/sites/ServidorKuryos/Shared Documents/08. Logistica e Armazenamento/00. Logistica/[Controle de Produtos.xlsx]Produtos'!#REF!,MATCH(IF(ISNUMBER(FIND(" - ",I66)),LEFT(I66,FIND(" - ",I66)-1),I66),'https://kuryos.sharepoint.com/sites/ServidorKuryos/Shared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",I66)),LEFT(I66,FIND(" - ",I66)-1),I66),'https://kuryos.sharepoint.com/sites/ServidorKuryos/Shared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L66:N66</xm:sqref>
        </x14:conditionalFormatting>
        <x14:conditionalFormatting xmlns:xm="http://schemas.microsoft.com/office/excel/2006/main">
          <x14:cfRule type="expression" priority="87" id="{F76025F3-719C-487D-A5BA-338C6BD56985}">
            <xm:f>AND(L73&gt;0,OR(L73&gt;IFERROR(INDEX('https://kuryos.sharepoint.com/sites/ServidorKuryos/Shared Documents/08. Logistica e Armazenamento/00. Logistica/[Controle de Produtos.xlsx]Produtos'!#REF!,MATCH(IF(ISNUMBER(FIND(" - ",I73)),LEFT(I73,FIND(" - ",I73)-1),I73),'https://kuryos.sharepoint.com/sites/ServidorKuryos/Shared Documents/08. Logistica e Armazenamento/00. Logistica/[Controle de Produtos.xlsx]Produtos'!#REF!,0)),0)*1.1,AND(L73&lt;IFERROR(INDEX('https://kuryos.sharepoint.com/sites/ServidorKuryos/Shared Documents/08. Logistica e Armazenamento/00. Logistica/[Controle de Produtos.xlsx]Produtos'!#REF!,MATCH(IF(ISNUMBER(FIND(" - ",I73)),LEFT(I73,FIND(" - ",I73)-1),I73),'https://kuryos.sharepoint.com/sites/ServidorKuryos/Shared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",I73)),LEFT(I73,FIND(" - ",I73)-1),I73),'https://kuryos.sharepoint.com/sites/ServidorKuryos/Shared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L73:N73</xm:sqref>
        </x14:conditionalFormatting>
        <x14:conditionalFormatting xmlns:xm="http://schemas.microsoft.com/office/excel/2006/main">
          <x14:cfRule type="expression" priority="86" id="{1CCFD603-9664-407E-9D35-177834F019EE}">
            <xm:f>AND(L84&gt;0,OR(L84&gt;IFERROR(INDEX('https://kuryos.sharepoint.com/sites/ServidorKuryos/Shared Documents/08. Logistica e Armazenamento/00. Logistica/[Controle de Produtos.xlsx]Produtos'!#REF!,MATCH(IF(ISNUMBER(FIND(" - ",I84)),LEFT(I84,FIND(" - ",I84)-1),I84),'https://kuryos.sharepoint.com/sites/ServidorKuryos/Shared Documents/08. Logistica e Armazenamento/00. Logistica/[Controle de Produtos.xlsx]Produtos'!#REF!,0)),0)*1.1,AND(L84&lt;IFERROR(INDEX('https://kuryos.sharepoint.com/sites/ServidorKuryos/Shared Documents/08. Logistica e Armazenamento/00. Logistica/[Controle de Produtos.xlsx]Produtos'!#REF!,MATCH(IF(ISNUMBER(FIND(" - ",I84)),LEFT(I84,FIND(" - ",I84)-1),I84),'https://kuryos.sharepoint.com/sites/ServidorKuryos/Shared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",I84)),LEFT(I84,FIND(" - ",I84)-1),I84),'https://kuryos.sharepoint.com/sites/ServidorKuryos/Shared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L84:N84</xm:sqref>
        </x14:conditionalFormatting>
        <x14:conditionalFormatting xmlns:xm="http://schemas.microsoft.com/office/excel/2006/main">
          <x14:cfRule type="expression" priority="85" id="{296E5728-71A9-4D2A-BAB6-C6F5F3E86BBE}">
            <xm:f>AND(L91&gt;0,OR(L91&gt;IFERROR(INDEX('https://kuryos.sharepoint.com/sites/ServidorKuryos/Shared Documents/08. Logistica e Armazenamento/00. Logistica/[Controle de Produtos.xlsx]Produtos'!#REF!,MATCH(IF(ISNUMBER(FIND(" - ",I91)),LEFT(I91,FIND(" - ",I91)-1),I91),'https://kuryos.sharepoint.com/sites/ServidorKuryos/Shared Documents/08. Logistica e Armazenamento/00. Logistica/[Controle de Produtos.xlsx]Produtos'!#REF!,0)),0)*1.1,AND(L91&lt;IFERROR(INDEX('https://kuryos.sharepoint.com/sites/ServidorKuryos/Shared Documents/08. Logistica e Armazenamento/00. Logistica/[Controle de Produtos.xlsx]Produtos'!#REF!,MATCH(IF(ISNUMBER(FIND(" - ",I91)),LEFT(I91,FIND(" - ",I91)-1),I91),'https://kuryos.sharepoint.com/sites/ServidorKuryos/Shared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",I91)),LEFT(I91,FIND(" - ",I91)-1),I91),'https://kuryos.sharepoint.com/sites/ServidorKuryos/Shared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L91:N91</xm:sqref>
        </x14:conditionalFormatting>
        <x14:conditionalFormatting xmlns:xm="http://schemas.microsoft.com/office/excel/2006/main">
          <x14:cfRule type="expression" priority="84" id="{D4EF9A56-5FA0-4570-AD62-84D558521E24}">
            <xm:f>AND(L138&gt;0,OR(L138&gt;IFERROR(INDEX('https://kuryos.sharepoint.com/sites/ServidorKuryos/Shared Documents/08. Logistica e Armazenamento/00. Logistica/[Controle de Produtos.xlsx]Produtos'!#REF!,MATCH(IF(ISNUMBER(FIND(" - ",I138)),LEFT(I138,FIND(" - ",I138)-1),I138),'https://kuryos.sharepoint.com/sites/ServidorKuryos/Shared Documents/08. Logistica e Armazenamento/00. Logistica/[Controle de Produtos.xlsx]Produtos'!#REF!,0)),0)*1.1,AND(L138&lt;IFERROR(INDEX('https://kuryos.sharepoint.com/sites/ServidorKuryos/Shared Documents/08. Logistica e Armazenamento/00. Logistica/[Controle de Produtos.xlsx]Produtos'!#REF!,MATCH(IF(ISNUMBER(FIND(" - ",I138)),LEFT(I138,FIND(" - ",I138)-1),I138),'https://kuryos.sharepoint.com/sites/ServidorKuryos/Shared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",I138)),LEFT(I138,FIND(" - ",I138)-1),I138),'https://kuryos.sharepoint.com/sites/ServidorKuryos/Shared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L138:N138</xm:sqref>
        </x14:conditionalFormatting>
        <x14:conditionalFormatting xmlns:xm="http://schemas.microsoft.com/office/excel/2006/main">
          <x14:cfRule type="expression" priority="83" id="{EEED9194-87B8-403F-8212-7BB7E101ACE5}">
            <xm:f>AND(L145&gt;0,OR(L145&gt;IFERROR(INDEX('https://kuryos.sharepoint.com/sites/ServidorKuryos/Shared Documents/08. Logistica e Armazenamento/00. Logistica/[Controle de Produtos.xlsx]Produtos'!#REF!,MATCH(IF(ISNUMBER(FIND(" - ",I145)),LEFT(I145,FIND(" - ",I145)-1),I145),'https://kuryos.sharepoint.com/sites/ServidorKuryos/Shared Documents/08. Logistica e Armazenamento/00. Logistica/[Controle de Produtos.xlsx]Produtos'!#REF!,0)),0)*1.1,AND(L145&lt;IFERROR(INDEX('https://kuryos.sharepoint.com/sites/ServidorKuryos/Shared Documents/08. Logistica e Armazenamento/00. Logistica/[Controle de Produtos.xlsx]Produtos'!#REF!,MATCH(IF(ISNUMBER(FIND(" - ",I145)),LEFT(I145,FIND(" - ",I145)-1),I145),'https://kuryos.sharepoint.com/sites/ServidorKuryos/Shared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",I145)),LEFT(I145,FIND(" - ",I145)-1),I145),'https://kuryos.sharepoint.com/sites/ServidorKuryos/Shared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L145:N145</xm:sqref>
        </x14:conditionalFormatting>
        <x14:conditionalFormatting xmlns:xm="http://schemas.microsoft.com/office/excel/2006/main">
          <x14:cfRule type="expression" priority="82" id="{17D47C03-FC25-42F6-AB83-BF9EF8361525}">
            <xm:f>AND(L156&gt;0,OR(L156&gt;IFERROR(INDEX('https://kuryos.sharepoint.com/sites/ServidorKuryos/Shared Documents/08. Logistica e Armazenamento/00. Logistica/[Controle de Produtos.xlsx]Produtos'!#REF!,MATCH(IF(ISNUMBER(FIND(" - ",I156)),LEFT(I156,FIND(" - ",I156)-1),I156),'https://kuryos.sharepoint.com/sites/ServidorKuryos/Shared Documents/08. Logistica e Armazenamento/00. Logistica/[Controle de Produtos.xlsx]Produtos'!#REF!,0)),0)*1.1,AND(L156&lt;IFERROR(INDEX('https://kuryos.sharepoint.com/sites/ServidorKuryos/Shared Documents/08. Logistica e Armazenamento/00. Logistica/[Controle de Produtos.xlsx]Produtos'!#REF!,MATCH(IF(ISNUMBER(FIND(" - ",I156)),LEFT(I156,FIND(" - ",I156)-1),I156),'https://kuryos.sharepoint.com/sites/ServidorKuryos/Shared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",I156)),LEFT(I156,FIND(" - ",I156)-1),I156),'https://kuryos.sharepoint.com/sites/ServidorKuryos/Shared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L156:N156</xm:sqref>
        </x14:conditionalFormatting>
        <x14:conditionalFormatting xmlns:xm="http://schemas.microsoft.com/office/excel/2006/main">
          <x14:cfRule type="expression" priority="81" id="{8E0796E6-9678-4BEF-B915-64F2A9916EF0}">
            <xm:f>AND(L163&gt;0,OR(L163&gt;IFERROR(INDEX('https://kuryos.sharepoint.com/sites/ServidorKuryos/Shared Documents/08. Logistica e Armazenamento/00. Logistica/[Controle de Produtos.xlsx]Produtos'!#REF!,MATCH(IF(ISNUMBER(FIND(" - ",I163)),LEFT(I163,FIND(" - ",I163)-1),I163),'https://kuryos.sharepoint.com/sites/ServidorKuryos/Shared Documents/08. Logistica e Armazenamento/00. Logistica/[Controle de Produtos.xlsx]Produtos'!#REF!,0)),0)*1.1,AND(L163&lt;IFERROR(INDEX('https://kuryos.sharepoint.com/sites/ServidorKuryos/Shared Documents/08. Logistica e Armazenamento/00. Logistica/[Controle de Produtos.xlsx]Produtos'!#REF!,MATCH(IF(ISNUMBER(FIND(" - ",I163)),LEFT(I163,FIND(" - ",I163)-1),I163),'https://kuryos.sharepoint.com/sites/ServidorKuryos/Shared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",I163)),LEFT(I163,FIND(" - ",I163)-1),I163),'https://kuryos.sharepoint.com/sites/ServidorKuryos/Shared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L163:N163</xm:sqref>
        </x14:conditionalFormatting>
        <x14:conditionalFormatting xmlns:xm="http://schemas.microsoft.com/office/excel/2006/main">
          <x14:cfRule type="expression" priority="60" id="{3290F373-B1B2-4124-84C8-128FE9E51630}">
            <xm:f>AND(I385&gt;0,OR(I385&gt;IFERROR(INDEX('https://kuryos.sharepoint.com/sites/ServidorKuryos/Shared Documents/08. Logistica e Armazenamento/00. Logistica/[Controle de Produtos.xlsx]Produtos'!#REF!,MATCH(IF(ISNUMBER(FIND(" - ",F385)),LEFT(F385,FIND(" - ",F385)-1),F385),'https://kuryos.sharepoint.com/sites/ServidorKuryos/Shared Documents/08. Logistica e Armazenamento/00. Logistica/[Controle de Produtos.xlsx]Produtos'!#REF!,0)),0)*1.1,AND(I385&lt;IFERROR(INDEX('https://kuryos.sharepoint.com/sites/ServidorKuryos/Shared Documents/08. Logistica e Armazenamento/00. Logistica/[Controle de Produtos.xlsx]Produtos'!#REF!,MATCH(IF(ISNUMBER(FIND(" - ",F385)),LEFT(F385,FIND(" - ",F385)-1),F385),'https://kuryos.sharepoint.com/sites/ServidorKuryos/Shared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",F385)),LEFT(F385,FIND(" - ",F385)-1),F385),'https://kuryos.sharepoint.com/sites/ServidorKuryos/Shared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I385:K385</xm:sqref>
        </x14:conditionalFormatting>
        <x14:conditionalFormatting xmlns:xm="http://schemas.microsoft.com/office/excel/2006/main">
          <x14:cfRule type="expression" priority="59" id="{18F88A77-855E-46E8-85EA-AEA21DF07B4C}">
            <xm:f>AND(I386&gt;0,OR(I386&gt;IFERROR(INDEX('https://kuryos.sharepoint.com/sites/ServidorKuryos/Shared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Produtos.xlsx]Produtos'!#REF!,0)),0)*1.1,AND(I386&lt;IFERROR(INDEX('https://kuryos.sharepoint.com/sites/ServidorKuryos/Shared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",F386)),LEFT(F386,FIND(" - ",F386)-1),F386),'https://kuryos.sharepoint.com/sites/ServidorKuryos/Shared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I386:K400</xm:sqref>
        </x14:conditionalFormatting>
        <x14:conditionalFormatting xmlns:xm="http://schemas.microsoft.com/office/excel/2006/main">
          <x14:cfRule type="expression" priority="58" id="{23E6482C-BEDF-4888-8C02-84B1365B2C90}">
            <xm:f>AND(I403&gt;0,OR(I403&gt;IFERROR(INDEX('https://kuryos.sharepoint.com/sites/ServidorKuryos/Shared Documents/08. Logistica e Armazenamento/00. Logistica/[Controle de Produtos.xlsx]Produtos'!#REF!,MATCH(IF(ISNUMBER(FIND(" - ",F403)),LEFT(F403,FIND(" - ",F403)-1),F403),'https://kuryos.sharepoint.com/sites/ServidorKuryos/Shared Documents/08. Logistica e Armazenamento/00. Logistica/[Controle de Produtos.xlsx]Produtos'!#REF!,0)),0)*1.1,AND(I403&lt;IFERROR(INDEX('https://kuryos.sharepoint.com/sites/ServidorKuryos/Shared Documents/08. Logistica e Armazenamento/00. Logistica/[Controle de Produtos.xlsx]Produtos'!#REF!,MATCH(IF(ISNUMBER(FIND(" - ",F403)),LEFT(F403,FIND(" - ",F403)-1),F403),'https://kuryos.sharepoint.com/sites/ServidorKuryos/Shared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",F403)),LEFT(F403,FIND(" - ",F403)-1),F403),'https://kuryos.sharepoint.com/sites/ServidorKuryos/Shared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I403:K403</xm:sqref>
        </x14:conditionalFormatting>
        <x14:conditionalFormatting xmlns:xm="http://schemas.microsoft.com/office/excel/2006/main">
          <x14:cfRule type="expression" priority="57" id="{B815840C-EAE5-4E33-93AE-0C21650C0F2A}">
            <xm:f>AND(I404&gt;0,OR(I404&gt;IFERROR(INDEX('https://kuryos.sharepoint.com/sites/ServidorKuryos/Shared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Produtos.xlsx]Produtos'!#REF!,0)),0)*1.1,AND(I404&lt;IFERROR(INDEX('https://kuryos.sharepoint.com/sites/ServidorKuryos/Shared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",F404)),LEFT(F404,FIND(" - ",F404)-1),F404),'https://kuryos.sharepoint.com/sites/ServidorKuryos/Shared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I414:K418 I404:J413</xm:sqref>
        </x14:conditionalFormatting>
        <x14:conditionalFormatting xmlns:xm="http://schemas.microsoft.com/office/excel/2006/main">
          <x14:cfRule type="expression" priority="56" id="{13C0DA31-35FB-4308-8D41-BEB40BCB63EF}">
            <xm:f>AND(I421&gt;0,OR(I421&gt;IFERROR(INDEX('https://kuryos.sharepoint.com/sites/ServidorKuryos/Shared Documents/08. Logistica e Armazenamento/00. Logistica/[Controle de Produtos.xlsx]Produtos'!#REF!,MATCH(IF(ISNUMBER(FIND(" - ",F421)),LEFT(F421,FIND(" - ",F421)-1),F421),'https://kuryos.sharepoint.com/sites/ServidorKuryos/Shared Documents/08. Logistica e Armazenamento/00. Logistica/[Controle de Produtos.xlsx]Produtos'!#REF!,0)),0)*1.1,AND(I421&lt;IFERROR(INDEX('https://kuryos.sharepoint.com/sites/ServidorKuryos/Shared Documents/08. Logistica e Armazenamento/00. Logistica/[Controle de Produtos.xlsx]Produtos'!#REF!,MATCH(IF(ISNUMBER(FIND(" - ",F421)),LEFT(F421,FIND(" - ",F421)-1),F421),'https://kuryos.sharepoint.com/sites/ServidorKuryos/Shared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",F421)),LEFT(F421,FIND(" - ",F421)-1),F421),'https://kuryos.sharepoint.com/sites/ServidorKuryos/Shared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I421:K421</xm:sqref>
        </x14:conditionalFormatting>
        <x14:conditionalFormatting xmlns:xm="http://schemas.microsoft.com/office/excel/2006/main">
          <x14:cfRule type="expression" priority="55" id="{A6010D57-C947-4134-B646-4D8ADF9C273D}">
            <xm:f>AND(I422&gt;0,OR(I422&gt;IFERROR(INDEX('https://kuryos.sharepoint.com/sites/ServidorKuryos/Shared Documents/08. Logistica e Armazenamento/00. Logistica/[Controle de Produtos.xlsx]Produtos'!#REF!,MATCH(IF(ISNUMBER(FIND(" - ",F422)),LEFT(F422,FIND(" - ",F422)-1),F422),'https://kuryos.sharepoint.com/sites/ServidorKuryos/Shared Documents/08. Logistica e Armazenamento/00. Logistica/[Controle de Produtos.xlsx]Produtos'!#REF!,0)),0)*1.1,AND(I422&lt;IFERROR(INDEX('https://kuryos.sharepoint.com/sites/ServidorKuryos/Shared Documents/08. Logistica e Armazenamento/00. Logistica/[Controle de Produtos.xlsx]Produtos'!#REF!,MATCH(IF(ISNUMBER(FIND(" - ",F422)),LEFT(F422,FIND(" - ",F422)-1),F422),'https://kuryos.sharepoint.com/sites/ServidorKuryos/Shared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",F422)),LEFT(F422,FIND(" - ",F422)-1),F422),'https://kuryos.sharepoint.com/sites/ServidorKuryos/Shared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I432:K436 I422:I431</xm:sqref>
        </x14:conditionalFormatting>
        <x14:conditionalFormatting xmlns:xm="http://schemas.microsoft.com/office/excel/2006/main">
          <x14:cfRule type="expression" priority="54" id="{1554D773-F582-4865-997A-28CD8C0AA46F}">
            <xm:f>AND(I439&gt;0,OR(I439&gt;IFERROR(INDEX('https://kuryos.sharepoint.com/sites/ServidorKuryos/Shared Documents/08. Logistica e Armazenamento/00. Logistica/[Controle de Produtos.xlsx]Produtos'!#REF!,MATCH(IF(ISNUMBER(FIND(" - ",F439)),LEFT(F439,FIND(" - ",F439)-1),F439),'https://kuryos.sharepoint.com/sites/ServidorKuryos/Shared Documents/08. Logistica e Armazenamento/00. Logistica/[Controle de Produtos.xlsx]Produtos'!#REF!,0)),0)*1.1,AND(I439&lt;IFERROR(INDEX('https://kuryos.sharepoint.com/sites/ServidorKuryos/Shared Documents/08. Logistica e Armazenamento/00. Logistica/[Controle de Produtos.xlsx]Produtos'!#REF!,MATCH(IF(ISNUMBER(FIND(" - ",F439)),LEFT(F439,FIND(" - ",F439)-1),F439),'https://kuryos.sharepoint.com/sites/ServidorKuryos/Shared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",F439)),LEFT(F439,FIND(" - ",F439)-1),F439),'https://kuryos.sharepoint.com/sites/ServidorKuryos/Shared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I439:K439</xm:sqref>
        </x14:conditionalFormatting>
        <x14:conditionalFormatting xmlns:xm="http://schemas.microsoft.com/office/excel/2006/main">
          <x14:cfRule type="expression" priority="53" id="{2AAE6AD0-3F7B-443A-A22F-EF3BBA7ADEDD}">
            <xm:f>AND(I440&gt;0,OR(I440&gt;IFERROR(INDEX('https://kuryos.sharepoint.com/sites/ServidorKuryos/Shared Documents/08. Logistica e Armazenamento/00. Logistica/[Controle de Produtos.xlsx]Produtos'!#REF!,MATCH(IF(ISNUMBER(FIND(" - ",F440)),LEFT(F440,FIND(" - ",F440)-1),F440),'https://kuryos.sharepoint.com/sites/ServidorKuryos/Shared Documents/08. Logistica e Armazenamento/00. Logistica/[Controle de Produtos.xlsx]Produtos'!#REF!,0)),0)*1.1,AND(I440&lt;IFERROR(INDEX('https://kuryos.sharepoint.com/sites/ServidorKuryos/Shared Documents/08. Logistica e Armazenamento/00. Logistica/[Controle de Produtos.xlsx]Produtos'!#REF!,MATCH(IF(ISNUMBER(FIND(" - ",F440)),LEFT(F440,FIND(" - ",F440)-1),F440),'https://kuryos.sharepoint.com/sites/ServidorKuryos/Shared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",F440)),LEFT(F440,FIND(" - ",F440)-1),F440),'https://kuryos.sharepoint.com/sites/ServidorKuryos/Shared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I450:K454 I440:I449</xm:sqref>
        </x14:conditionalFormatting>
        <x14:conditionalFormatting xmlns:xm="http://schemas.microsoft.com/office/excel/2006/main">
          <x14:cfRule type="expression" priority="52" id="{AD6131AB-6AC7-4F69-8746-69BB4FDB6E21}">
            <xm:f>AND(I457&gt;0,OR(I457&gt;IFERROR(INDEX('https://kuryos.sharepoint.com/sites/ServidorKuryos/Shared Documents/08. Logistica e Armazenamento/00. Logistica/[Controle de Produtos.xlsx]Produtos'!#REF!,MATCH(IF(ISNUMBER(FIND(" - ",F457)),LEFT(F457,FIND(" - ",F457)-1),F457),'https://kuryos.sharepoint.com/sites/ServidorKuryos/Shared Documents/08. Logistica e Armazenamento/00. Logistica/[Controle de Produtos.xlsx]Produtos'!#REF!,0)),0)*1.1,AND(I457&lt;IFERROR(INDEX('https://kuryos.sharepoint.com/sites/ServidorKuryos/Shared Documents/08. Logistica e Armazenamento/00. Logistica/[Controle de Produtos.xlsx]Produtos'!#REF!,MATCH(IF(ISNUMBER(FIND(" - ",F457)),LEFT(F457,FIND(" - ",F457)-1),F457),'https://kuryos.sharepoint.com/sites/ServidorKuryos/Shared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",F457)),LEFT(F457,FIND(" - ",F457)-1),F457),'https://kuryos.sharepoint.com/sites/ServidorKuryos/Shared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I457:K457</xm:sqref>
        </x14:conditionalFormatting>
        <x14:conditionalFormatting xmlns:xm="http://schemas.microsoft.com/office/excel/2006/main">
          <x14:cfRule type="expression" priority="51" id="{F1BA4A68-176E-4325-904E-BAF0A0B93AC9}">
            <xm:f>AND(I458&gt;0,OR(I458&gt;IFERROR(INDEX('https://kuryos.sharepoint.com/sites/ServidorKuryos/Shared Documents/08. Logistica e Armazenamento/00. Logistica/[Controle de Produtos.xlsx]Produtos'!#REF!,MATCH(IF(ISNUMBER(FIND(" - ",F458)),LEFT(F458,FIND(" - ",F458)-1),F458),'https://kuryos.sharepoint.com/sites/ServidorKuryos/Shared Documents/08. Logistica e Armazenamento/00. Logistica/[Controle de Produtos.xlsx]Produtos'!#REF!,0)),0)*1.1,AND(I458&lt;IFERROR(INDEX('https://kuryos.sharepoint.com/sites/ServidorKuryos/Shared Documents/08. Logistica e Armazenamento/00. Logistica/[Controle de Produtos.xlsx]Produtos'!#REF!,MATCH(IF(ISNUMBER(FIND(" - ",F458)),LEFT(F458,FIND(" - ",F458)-1),F458),'https://kuryos.sharepoint.com/sites/ServidorKuryos/Shared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",F458)),LEFT(F458,FIND(" - ",F458)-1),F458),'https://kuryos.sharepoint.com/sites/ServidorKuryos/Shared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I458:J466 I467:K472</xm:sqref>
        </x14:conditionalFormatting>
        <x14:conditionalFormatting xmlns:xm="http://schemas.microsoft.com/office/excel/2006/main">
          <x14:cfRule type="expression" priority="50" id="{791DE29C-4670-42C3-9462-1C74CD79D1CD}">
            <xm:f>AND(I511&gt;0,OR(I511&gt;IFERROR(INDEX('https://kuryos.sharepoint.com/sites/ServidorKuryos/Shared Documents/08. Logistica e Armazenamento/00. Logistica/[Controle de Produtos.xlsx]Produtos'!#REF!,MATCH(IF(ISNUMBER(FIND(" - ",F511)),LEFT(F511,FIND(" - ",F511)-1),F511),'https://kuryos.sharepoint.com/sites/ServidorKuryos/Shared Documents/08. Logistica e Armazenamento/00. Logistica/[Controle de Produtos.xlsx]Produtos'!#REF!,0)),0)*1.1,AND(I511&lt;IFERROR(INDEX('https://kuryos.sharepoint.com/sites/ServidorKuryos/Shared Documents/08. Logistica e Armazenamento/00. Logistica/[Controle de Produtos.xlsx]Produtos'!#REF!,MATCH(IF(ISNUMBER(FIND(" - ",F511)),LEFT(F511,FIND(" - ",F511)-1),F511),'https://kuryos.sharepoint.com/sites/ServidorKuryos/Shared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",F511)),LEFT(F511,FIND(" - ",F511)-1),F511),'https://kuryos.sharepoint.com/sites/ServidorKuryos/Shared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I511:K511</xm:sqref>
        </x14:conditionalFormatting>
        <x14:conditionalFormatting xmlns:xm="http://schemas.microsoft.com/office/excel/2006/main">
          <x14:cfRule type="expression" priority="49" id="{20E8BB69-131B-4382-AAD2-EE693EE8F84C}">
            <xm:f>AND(I512&gt;0,OR(I512&gt;IFERROR(INDEX('https://kuryos.sharepoint.com/sites/ServidorKuryos/Shared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Produtos.xlsx]Produtos'!#REF!,0)),0)*1.1,AND(I512&lt;IFERROR(INDEX('https://kuryos.sharepoint.com/sites/ServidorKuryos/Shared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",F512)),LEFT(F512,FIND(" - ",F512)-1),F512),'https://kuryos.sharepoint.com/sites/ServidorKuryos/Shared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I522:K526 I512:J521</xm:sqref>
        </x14:conditionalFormatting>
        <x14:conditionalFormatting xmlns:xm="http://schemas.microsoft.com/office/excel/2006/main">
          <x14:cfRule type="expression" priority="48" id="{824526BE-45F2-4577-9DB3-6805695A59F8}">
            <xm:f>AND(I529&gt;0,OR(I529&gt;IFERROR(INDEX('https://kuryos.sharepoint.com/sites/ServidorKuryos/Shared Documents/08. Logistica e Armazenamento/00. Logistica/[Controle de Produtos.xlsx]Produtos'!#REF!,MATCH(IF(ISNUMBER(FIND(" - ",F529)),LEFT(F529,FIND(" - ",F529)-1),F529),'https://kuryos.sharepoint.com/sites/ServidorKuryos/Shared Documents/08. Logistica e Armazenamento/00. Logistica/[Controle de Produtos.xlsx]Produtos'!#REF!,0)),0)*1.1,AND(I529&lt;IFERROR(INDEX('https://kuryos.sharepoint.com/sites/ServidorKuryos/Shared Documents/08. Logistica e Armazenamento/00. Logistica/[Controle de Produtos.xlsx]Produtos'!#REF!,MATCH(IF(ISNUMBER(FIND(" - ",F529)),LEFT(F529,FIND(" - ",F529)-1),F529),'https://kuryos.sharepoint.com/sites/ServidorKuryos/Shared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",F529)),LEFT(F529,FIND(" - ",F529)-1),F529),'https://kuryos.sharepoint.com/sites/ServidorKuryos/Shared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I529:K529</xm:sqref>
        </x14:conditionalFormatting>
        <x14:conditionalFormatting xmlns:xm="http://schemas.microsoft.com/office/excel/2006/main">
          <x14:cfRule type="expression" priority="47" id="{D3E36847-65B9-4AB2-9A3B-F0CD6876E922}">
            <xm:f>AND(I530&gt;0,OR(I530&gt;IFERROR(INDEX('https://kuryos.sharepoint.com/sites/ServidorKuryos/Shared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Produtos.xlsx]Produtos'!#REF!,0)),0)*1.1,AND(I530&lt;IFERROR(INDEX('https://kuryos.sharepoint.com/sites/ServidorKuryos/Shared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",F530)),LEFT(F530,FIND(" - ",F530)-1),F530),'https://kuryos.sharepoint.com/sites/ServidorKuryos/Shared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I540:K544 I530:J539</xm:sqref>
        </x14:conditionalFormatting>
        <x14:conditionalFormatting xmlns:xm="http://schemas.microsoft.com/office/excel/2006/main">
          <x14:cfRule type="expression" priority="46" id="{B08D7933-91A0-4B21-A723-826D14FF97B5}">
            <xm:f>AND(I547&gt;0,OR(I547&gt;IFERROR(INDEX('https://kuryos.sharepoint.com/sites/ServidorKuryos/Shared Documents/08. Logistica e Armazenamento/00. Logistica/[Controle de Produtos.xlsx]Produtos'!#REF!,MATCH(IF(ISNUMBER(FIND(" - ",F547)),LEFT(F547,FIND(" - ",F547)-1),F547),'https://kuryos.sharepoint.com/sites/ServidorKuryos/Shared Documents/08. Logistica e Armazenamento/00. Logistica/[Controle de Produtos.xlsx]Produtos'!#REF!,0)),0)*1.1,AND(I547&lt;IFERROR(INDEX('https://kuryos.sharepoint.com/sites/ServidorKuryos/Shared Documents/08. Logistica e Armazenamento/00. Logistica/[Controle de Produtos.xlsx]Produtos'!#REF!,MATCH(IF(ISNUMBER(FIND(" - ",F547)),LEFT(F547,FIND(" - ",F547)-1),F547),'https://kuryos.sharepoint.com/sites/ServidorKuryos/Shared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",F547)),LEFT(F547,FIND(" - ",F547)-1),F547),'https://kuryos.sharepoint.com/sites/ServidorKuryos/Shared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I547:K547</xm:sqref>
        </x14:conditionalFormatting>
        <x14:conditionalFormatting xmlns:xm="http://schemas.microsoft.com/office/excel/2006/main">
          <x14:cfRule type="expression" priority="45" id="{62FABC91-D195-4875-B5DE-2C4F46F864ED}">
            <xm:f>AND(I548&gt;0,OR(I548&gt;IFERROR(INDEX('https://kuryos.sharepoint.com/sites/ServidorKuryos/Shared Documents/08. Logistica e Armazenamento/00. Logistica/[Controle de Produtos.xlsx]Produtos'!#REF!,MATCH(IF(ISNUMBER(FIND(" - ",F548)),LEFT(F548,FIND(" - ",F548)-1),F548),'https://kuryos.sharepoint.com/sites/ServidorKuryos/Shared Documents/08. Logistica e Armazenamento/00. Logistica/[Controle de Produtos.xlsx]Produtos'!#REF!,0)),0)*1.1,AND(I548&lt;IFERROR(INDEX('https://kuryos.sharepoint.com/sites/ServidorKuryos/Shared Documents/08. Logistica e Armazenamento/00. Logistica/[Controle de Produtos.xlsx]Produtos'!#REF!,MATCH(IF(ISNUMBER(FIND(" - ",F548)),LEFT(F548,FIND(" - ",F548)-1),F548),'https://kuryos.sharepoint.com/sites/ServidorKuryos/Shared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",F548)),LEFT(F548,FIND(" - ",F548)-1),F548),'https://kuryos.sharepoint.com/sites/ServidorKuryos/Shared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I558:K562 I548:J557</xm:sqref>
        </x14:conditionalFormatting>
        <x14:conditionalFormatting xmlns:xm="http://schemas.microsoft.com/office/excel/2006/main">
          <x14:cfRule type="expression" priority="44" id="{938B5510-E9FA-44B4-9A95-2E1BFD7C0A18}">
            <xm:f>AND(I565&gt;0,OR(I565&gt;IFERROR(INDEX('https://kuryos.sharepoint.com/sites/ServidorKuryos/Shared Documents/08. Logistica e Armazenamento/00. Logistica/[Controle de Produtos.xlsx]Produtos'!#REF!,MATCH(IF(ISNUMBER(FIND(" - ",F565)),LEFT(F565,FIND(" - ",F565)-1),F565),'https://kuryos.sharepoint.com/sites/ServidorKuryos/Shared Documents/08. Logistica e Armazenamento/00. Logistica/[Controle de Produtos.xlsx]Produtos'!#REF!,0)),0)*1.1,AND(I565&lt;IFERROR(INDEX('https://kuryos.sharepoint.com/sites/ServidorKuryos/Shared Documents/08. Logistica e Armazenamento/00. Logistica/[Controle de Produtos.xlsx]Produtos'!#REF!,MATCH(IF(ISNUMBER(FIND(" - ",F565)),LEFT(F565,FIND(" - ",F565)-1),F565),'https://kuryos.sharepoint.com/sites/ServidorKuryos/Shared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",F565)),LEFT(F565,FIND(" - ",F565)-1),F565),'https://kuryos.sharepoint.com/sites/ServidorKuryos/Shared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I565:K565</xm:sqref>
        </x14:conditionalFormatting>
        <x14:conditionalFormatting xmlns:xm="http://schemas.microsoft.com/office/excel/2006/main">
          <x14:cfRule type="expression" priority="43" id="{BFB67B5B-4DC4-4CE6-8E0E-E00D2EA6F342}">
            <xm:f>AND(I566&gt;0,OR(I566&gt;IFERROR(INDEX('https://kuryos.sharepoint.com/sites/ServidorKuryos/Shared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Produtos.xlsx]Produtos'!#REF!,0)),0)*1.1,AND(I566&lt;IFERROR(INDEX('https://kuryos.sharepoint.com/sites/ServidorKuryos/Shared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",F566)),LEFT(F566,FIND(" - ",F566)-1),F566),'https://kuryos.sharepoint.com/sites/ServidorKuryos/Shared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I566:K580</xm:sqref>
        </x14:conditionalFormatting>
        <x14:conditionalFormatting xmlns:xm="http://schemas.microsoft.com/office/excel/2006/main">
          <x14:cfRule type="expression" priority="42" id="{51F1E33D-633D-4D57-AF93-A466E9177CEC}">
            <xm:f>AND(I583&gt;0,OR(I583&gt;IFERROR(INDEX('https://kuryos.sharepoint.com/sites/ServidorKuryos/Shared Documents/08. Logistica e Armazenamento/00. Logistica/[Controle de Produtos.xlsx]Produtos'!#REF!,MATCH(IF(ISNUMBER(FIND(" - ",F583)),LEFT(F583,FIND(" - ",F583)-1),F583),'https://kuryos.sharepoint.com/sites/ServidorKuryos/Shared Documents/08. Logistica e Armazenamento/00. Logistica/[Controle de Produtos.xlsx]Produtos'!#REF!,0)),0)*1.1,AND(I583&lt;IFERROR(INDEX('https://kuryos.sharepoint.com/sites/ServidorKuryos/Shared Documents/08. Logistica e Armazenamento/00. Logistica/[Controle de Produtos.xlsx]Produtos'!#REF!,MATCH(IF(ISNUMBER(FIND(" - ",F583)),LEFT(F583,FIND(" - ",F583)-1),F583),'https://kuryos.sharepoint.com/sites/ServidorKuryos/Shared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",F583)),LEFT(F583,FIND(" - ",F583)-1),F583),'https://kuryos.sharepoint.com/sites/ServidorKuryos/Shared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I583:K583</xm:sqref>
        </x14:conditionalFormatting>
        <x14:conditionalFormatting xmlns:xm="http://schemas.microsoft.com/office/excel/2006/main">
          <x14:cfRule type="expression" priority="41" id="{909A8839-48B6-40BA-8461-F7858F9A1E19}">
            <xm:f>AND(I584&gt;0,OR(I584&gt;IFERROR(INDEX('https://kuryos.sharepoint.com/sites/ServidorKuryos/Shared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Produtos.xlsx]Produtos'!#REF!,0)),0)*1.1,AND(I584&lt;IFERROR(INDEX('https://kuryos.sharepoint.com/sites/ServidorKuryos/Shared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",F584)),LEFT(F584,FIND(" - ",F584)-1),F584),'https://kuryos.sharepoint.com/sites/ServidorKuryos/Shared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I584:K598</xm:sqref>
        </x14:conditionalFormatting>
        <x14:conditionalFormatting xmlns:xm="http://schemas.microsoft.com/office/excel/2006/main">
          <x14:cfRule type="expression" priority="37" id="{B7CEAFCA-77F6-489A-B938-E81D886B0C78}">
            <xm:f>AND(I277&gt;0,OR(I277&gt;IFERROR(INDEX('https://kuryos.sharepoint.com/sites/ServidorKuryos/Shared Documents/08. Logistica e Armazenamento/00. Logistica/[Controle de Produtos.xlsx]Produtos'!#REF!,MATCH(IF(ISNUMBER(FIND(" - ",F277)),LEFT(F277,FIND(" - ",F277)-1),F277),'https://kuryos.sharepoint.com/sites/ServidorKuryos/Shared Documents/08. Logistica e Armazenamento/00. Logistica/[Controle de Produtos.xlsx]Produtos'!#REF!,0)),0)*1.1,AND(I277&lt;IFERROR(INDEX('https://kuryos.sharepoint.com/sites/ServidorKuryos/Shared Documents/08. Logistica e Armazenamento/00. Logistica/[Controle de Produtos.xlsx]Produtos'!#REF!,MATCH(IF(ISNUMBER(FIND(" - ",F277)),LEFT(F277,FIND(" - ",F277)-1),F277),'https://kuryos.sharepoint.com/sites/ServidorKuryos/Shared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",F277)),LEFT(F277,FIND(" - ",F277)-1),F277),'https://kuryos.sharepoint.com/sites/ServidorKuryos/Shared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I277:I292</xm:sqref>
        </x14:conditionalFormatting>
        <x14:conditionalFormatting xmlns:xm="http://schemas.microsoft.com/office/excel/2006/main">
          <x14:cfRule type="expression" priority="36" id="{52F17EFD-6B6F-4D04-92FA-2DD21E95EEF1}">
            <xm:f>AND(L282&gt;0,OR(L282&gt;IFERROR(INDEX('https://kuryos.sharepoint.com/sites/ServidorKuryos/Shared Documents/08. Logistica e Armazenamento/00. Logistica/[Controle de Produtos.xlsx]Produtos'!#REF!,MATCH(IF(ISNUMBER(FIND(" - ",I282)),LEFT(I282,FIND(" - ",I282)-1),I282),'https://kuryos.sharepoint.com/sites/ServidorKuryos/Shared Documents/08. Logistica e Armazenamento/00. Logistica/[Controle de Produtos.xlsx]Produtos'!#REF!,0)),0)*1.1,AND(L282&lt;IFERROR(INDEX('https://kuryos.sharepoint.com/sites/ServidorKuryos/Shared Documents/08. Logistica e Armazenamento/00. Logistica/[Controle de Produtos.xlsx]Produtos'!#REF!,MATCH(IF(ISNUMBER(FIND(" - ",I282)),LEFT(I282,FIND(" - ",I282)-1),I282),'https://kuryos.sharepoint.com/sites/ServidorKuryos/Shared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",I282)),LEFT(I282,FIND(" - ",I282)-1),I282),'https://kuryos.sharepoint.com/sites/ServidorKuryos/Shared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L282:N282</xm:sqref>
        </x14:conditionalFormatting>
        <x14:conditionalFormatting xmlns:xm="http://schemas.microsoft.com/office/excel/2006/main">
          <x14:cfRule type="expression" priority="35" id="{0C28EBB6-B006-40CA-8668-0B9E3B4CB95F}">
            <xm:f>AND(L289&gt;0,OR(L289&gt;IFERROR(INDEX('https://kuryos.sharepoint.com/sites/ServidorKuryos/Shared Documents/08. Logistica e Armazenamento/00. Logistica/[Controle de Produtos.xlsx]Produtos'!#REF!,MATCH(IF(ISNUMBER(FIND(" - ",I289)),LEFT(I289,FIND(" - ",I289)-1),I289),'https://kuryos.sharepoint.com/sites/ServidorKuryos/Shared Documents/08. Logistica e Armazenamento/00. Logistica/[Controle de Produtos.xlsx]Produtos'!#REF!,0)),0)*1.1,AND(L289&lt;IFERROR(INDEX('https://kuryos.sharepoint.com/sites/ServidorKuryos/Shared Documents/08. Logistica e Armazenamento/00. Logistica/[Controle de Produtos.xlsx]Produtos'!#REF!,MATCH(IF(ISNUMBER(FIND(" - ",I289)),LEFT(I289,FIND(" - ",I289)-1),I289),'https://kuryos.sharepoint.com/sites/ServidorKuryos/Shared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",I289)),LEFT(I289,FIND(" - ",I289)-1),I289),'https://kuryos.sharepoint.com/sites/ServidorKuryos/Shared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L289:N289</xm:sqref>
        </x14:conditionalFormatting>
        <x14:conditionalFormatting xmlns:xm="http://schemas.microsoft.com/office/excel/2006/main">
          <x14:cfRule type="expression" priority="34" id="{CB38589A-445F-4A38-9014-0C1D801BB0A8}">
            <xm:f>AND(I295&gt;0,OR(I295&gt;IFERROR(INDEX('https://kuryos.sharepoint.com/sites/ServidorKuryos/Shared Documents/08. Logistica e Armazenamento/00. Logistica/[Controle de Produtos.xlsx]Produtos'!#REF!,MATCH(IF(ISNUMBER(FIND(" - ",F295)),LEFT(F295,FIND(" - ",F295)-1),F295),'https://kuryos.sharepoint.com/sites/ServidorKuryos/Shared Documents/08. Logistica e Armazenamento/00. Logistica/[Controle de Produtos.xlsx]Produtos'!#REF!,0)),0)*1.1,AND(I295&lt;IFERROR(INDEX('https://kuryos.sharepoint.com/sites/ServidorKuryos/Shared Documents/08. Logistica e Armazenamento/00. Logistica/[Controle de Produtos.xlsx]Produtos'!#REF!,MATCH(IF(ISNUMBER(FIND(" - ",F295)),LEFT(F295,FIND(" - ",F295)-1),F295),'https://kuryos.sharepoint.com/sites/ServidorKuryos/Shared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",F295)),LEFT(F295,FIND(" - ",F295)-1),F295),'https://kuryos.sharepoint.com/sites/ServidorKuryos/Shared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I295:I310</xm:sqref>
        </x14:conditionalFormatting>
        <x14:conditionalFormatting xmlns:xm="http://schemas.microsoft.com/office/excel/2006/main">
          <x14:cfRule type="expression" priority="33" id="{8A6B2DA8-413A-4AA0-8B4A-8F0DAF17111D}">
            <xm:f>AND(L300&gt;0,OR(L300&gt;IFERROR(INDEX('https://kuryos.sharepoint.com/sites/ServidorKuryos/Shared Documents/08. Logistica e Armazenamento/00. Logistica/[Controle de Produtos.xlsx]Produtos'!#REF!,MATCH(IF(ISNUMBER(FIND(" - ",I300)),LEFT(I300,FIND(" - ",I300)-1),I300),'https://kuryos.sharepoint.com/sites/ServidorKuryos/Shared Documents/08. Logistica e Armazenamento/00. Logistica/[Controle de Produtos.xlsx]Produtos'!#REF!,0)),0)*1.1,AND(L300&lt;IFERROR(INDEX('https://kuryos.sharepoint.com/sites/ServidorKuryos/Shared Documents/08. Logistica e Armazenamento/00. Logistica/[Controle de Produtos.xlsx]Produtos'!#REF!,MATCH(IF(ISNUMBER(FIND(" - ",I300)),LEFT(I300,FIND(" - ",I300)-1),I300),'https://kuryos.sharepoint.com/sites/ServidorKuryos/Shared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",I300)),LEFT(I300,FIND(" - ",I300)-1),I300),'https://kuryos.sharepoint.com/sites/ServidorKuryos/Shared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L300:N300</xm:sqref>
        </x14:conditionalFormatting>
        <x14:conditionalFormatting xmlns:xm="http://schemas.microsoft.com/office/excel/2006/main">
          <x14:cfRule type="expression" priority="32" id="{CE9EA66D-E187-4517-B881-7F992D099985}">
            <xm:f>AND(L307&gt;0,OR(L307&gt;IFERROR(INDEX('https://kuryos.sharepoint.com/sites/ServidorKuryos/Shared Documents/08. Logistica e Armazenamento/00. Logistica/[Controle de Produtos.xlsx]Produtos'!#REF!,MATCH(IF(ISNUMBER(FIND(" - ",I307)),LEFT(I307,FIND(" - ",I307)-1),I307),'https://kuryos.sharepoint.com/sites/ServidorKuryos/Shared Documents/08. Logistica e Armazenamento/00. Logistica/[Controle de Produtos.xlsx]Produtos'!#REF!,0)),0)*1.1,AND(L307&lt;IFERROR(INDEX('https://kuryos.sharepoint.com/sites/ServidorKuryos/Shared Documents/08. Logistica e Armazenamento/00. Logistica/[Controle de Produtos.xlsx]Produtos'!#REF!,MATCH(IF(ISNUMBER(FIND(" - ",I307)),LEFT(I307,FIND(" - ",I307)-1),I307),'https://kuryos.sharepoint.com/sites/ServidorKuryos/Shared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",I307)),LEFT(I307,FIND(" - ",I307)-1),I307),'https://kuryos.sharepoint.com/sites/ServidorKuryos/Shared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L307:N307</xm:sqref>
        </x14:conditionalFormatting>
        <x14:conditionalFormatting xmlns:xm="http://schemas.microsoft.com/office/excel/2006/main">
          <x14:cfRule type="expression" priority="30" id="{0944F831-F569-415B-A808-E6A93220D0BA}">
            <xm:f>AND(L318&gt;0,OR(L318&gt;IFERROR(INDEX('https://kuryos.sharepoint.com/sites/ServidorKuryos/Shared Documents/08. Logistica e Armazenamento/00. Logistica/[Controle de Produtos.xlsx]Produtos'!#REF!,MATCH(IF(ISNUMBER(FIND(" - ",I318)),LEFT(I318,FIND(" - ",I318)-1),I318),'https://kuryos.sharepoint.com/sites/ServidorKuryos/Shared Documents/08. Logistica e Armazenamento/00. Logistica/[Controle de Produtos.xlsx]Produtos'!#REF!,0)),0)*1.1,AND(L318&lt;IFERROR(INDEX('https://kuryos.sharepoint.com/sites/ServidorKuryos/Shared Documents/08. Logistica e Armazenamento/00. Logistica/[Controle de Produtos.xlsx]Produtos'!#REF!,MATCH(IF(ISNUMBER(FIND(" - ",I318)),LEFT(I318,FIND(" - ",I318)-1),I318),'https://kuryos.sharepoint.com/sites/ServidorKuryos/Shared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",I318)),LEFT(I318,FIND(" - ",I318)-1),I318),'https://kuryos.sharepoint.com/sites/ServidorKuryos/Shared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L318:N318</xm:sqref>
        </x14:conditionalFormatting>
        <x14:conditionalFormatting xmlns:xm="http://schemas.microsoft.com/office/excel/2006/main">
          <x14:cfRule type="expression" priority="29" id="{09837544-AEB8-4F8E-A849-320E7DD19EAB}">
            <xm:f>AND(L325&gt;0,OR(L325&gt;IFERROR(INDEX('https://kuryos.sharepoint.com/sites/ServidorKuryos/Shared Documents/08. Logistica e Armazenamento/00. Logistica/[Controle de Produtos.xlsx]Produtos'!#REF!,MATCH(IF(ISNUMBER(FIND(" - ",I325)),LEFT(I325,FIND(" - ",I325)-1),I325),'https://kuryos.sharepoint.com/sites/ServidorKuryos/Shared Documents/08. Logistica e Armazenamento/00. Logistica/[Controle de Produtos.xlsx]Produtos'!#REF!,0)),0)*1.1,AND(L325&lt;IFERROR(INDEX('https://kuryos.sharepoint.com/sites/ServidorKuryos/Shared Documents/08. Logistica e Armazenamento/00. Logistica/[Controle de Produtos.xlsx]Produtos'!#REF!,MATCH(IF(ISNUMBER(FIND(" - ",I325)),LEFT(I325,FIND(" - ",I325)-1),I325),'https://kuryos.sharepoint.com/sites/ServidorKuryos/Shared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",I325)),LEFT(I325,FIND(" - ",I325)-1),I325),'https://kuryos.sharepoint.com/sites/ServidorKuryos/Shared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L325:N325</xm:sqref>
        </x14:conditionalFormatting>
        <x14:conditionalFormatting xmlns:xm="http://schemas.microsoft.com/office/excel/2006/main">
          <x14:cfRule type="expression" priority="28" id="{CD15D3B1-9D5C-47E1-9949-3A768F7A1160}">
            <xm:f>AND(I331&gt;0,OR(I331&gt;IFERROR(INDEX('https://kuryos.sharepoint.com/sites/ServidorKuryos/Shared Documents/08. Logistica e Armazenamento/00. Logistica/[Controle de Produtos.xlsx]Produtos'!#REF!,MATCH(IF(ISNUMBER(FIND(" - ",F331)),LEFT(F331,FIND(" - ",F331)-1),F331),'https://kuryos.sharepoint.com/sites/ServidorKuryos/Shared Documents/08. Logistica e Armazenamento/00. Logistica/[Controle de Produtos.xlsx]Produtos'!#REF!,0)),0)*1.1,AND(I331&lt;IFERROR(INDEX('https://kuryos.sharepoint.com/sites/ServidorKuryos/Shared Documents/08. Logistica e Armazenamento/00. Logistica/[Controle de Produtos.xlsx]Produtos'!#REF!,MATCH(IF(ISNUMBER(FIND(" - ",F331)),LEFT(F331,FIND(" - ",F331)-1),F331),'https://kuryos.sharepoint.com/sites/ServidorKuryos/Shared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",F331)),LEFT(F331,FIND(" - ",F331)-1),F331),'https://kuryos.sharepoint.com/sites/ServidorKuryos/Shared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I331:I346 K331:K346</xm:sqref>
        </x14:conditionalFormatting>
        <x14:conditionalFormatting xmlns:xm="http://schemas.microsoft.com/office/excel/2006/main">
          <x14:cfRule type="expression" priority="27" id="{3AA2ED10-DCA8-421D-9B6D-09344FDD4402}">
            <xm:f>AND(L336&gt;0,OR(L336&gt;IFERROR(INDEX('https://kuryos.sharepoint.com/sites/ServidorKuryos/Shared Documents/08. Logistica e Armazenamento/00. Logistica/[Controle de Produtos.xlsx]Produtos'!#REF!,MATCH(IF(ISNUMBER(FIND(" - ",I336)),LEFT(I336,FIND(" - ",I336)-1),I336),'https://kuryos.sharepoint.com/sites/ServidorKuryos/Shared Documents/08. Logistica e Armazenamento/00. Logistica/[Controle de Produtos.xlsx]Produtos'!#REF!,0)),0)*1.1,AND(L336&lt;IFERROR(INDEX('https://kuryos.sharepoint.com/sites/ServidorKuryos/Shared Documents/08. Logistica e Armazenamento/00. Logistica/[Controle de Produtos.xlsx]Produtos'!#REF!,MATCH(IF(ISNUMBER(FIND(" - ",I336)),LEFT(I336,FIND(" - ",I336)-1),I336),'https://kuryos.sharepoint.com/sites/ServidorKuryos/Shared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",I336)),LEFT(I336,FIND(" - ",I336)-1),I336),'https://kuryos.sharepoint.com/sites/ServidorKuryos/Shared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L336:N336</xm:sqref>
        </x14:conditionalFormatting>
        <x14:conditionalFormatting xmlns:xm="http://schemas.microsoft.com/office/excel/2006/main">
          <x14:cfRule type="expression" priority="26" id="{5193973D-85B9-43D1-9675-EED118AF8F3E}">
            <xm:f>AND(L343&gt;0,OR(L343&gt;IFERROR(INDEX('https://kuryos.sharepoint.com/sites/ServidorKuryos/Shared Documents/08. Logistica e Armazenamento/00. Logistica/[Controle de Produtos.xlsx]Produtos'!#REF!,MATCH(IF(ISNUMBER(FIND(" - ",I343)),LEFT(I343,FIND(" - ",I343)-1),I343),'https://kuryos.sharepoint.com/sites/ServidorKuryos/Shared Documents/08. Logistica e Armazenamento/00. Logistica/[Controle de Produtos.xlsx]Produtos'!#REF!,0)),0)*1.1,AND(L343&lt;IFERROR(INDEX('https://kuryos.sharepoint.com/sites/ServidorKuryos/Shared Documents/08. Logistica e Armazenamento/00. Logistica/[Controle de Produtos.xlsx]Produtos'!#REF!,MATCH(IF(ISNUMBER(FIND(" - ",I343)),LEFT(I343,FIND(" - ",I343)-1),I343),'https://kuryos.sharepoint.com/sites/ServidorKuryos/Shared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",I343)),LEFT(I343,FIND(" - ",I343)-1),I343),'https://kuryos.sharepoint.com/sites/ServidorKuryos/Shared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L343:N343</xm:sqref>
        </x14:conditionalFormatting>
        <x14:conditionalFormatting xmlns:xm="http://schemas.microsoft.com/office/excel/2006/main">
          <x14:cfRule type="expression" priority="25" id="{D79248F6-3432-4E96-8FC8-565B3BC69D7B}">
            <xm:f>AND(I259&gt;0,OR(I259&gt;IFERROR(INDEX('https://kuryos.sharepoint.com/sites/ServidorKuryos/Shared Documents/08. Logistica e Armazenamento/00. Logistica/[Controle de Produtos.xlsx]Produtos'!#REF!,MATCH(IF(ISNUMBER(FIND(" - ",F259)),LEFT(F259,FIND(" - ",F259)-1),F259),'https://kuryos.sharepoint.com/sites/ServidorKuryos/Shared Documents/08. Logistica e Armazenamento/00. Logistica/[Controle de Produtos.xlsx]Produtos'!#REF!,0)),0)*1.1,AND(I259&lt;IFERROR(INDEX('https://kuryos.sharepoint.com/sites/ServidorKuryos/Shared Documents/08. Logistica e Armazenamento/00. Logistica/[Controle de Produtos.xlsx]Produtos'!#REF!,MATCH(IF(ISNUMBER(FIND(" - ",F259)),LEFT(F259,FIND(" - ",F259)-1),F259),'https://kuryos.sharepoint.com/sites/ServidorKuryos/Shared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",F259)),LEFT(F259,FIND(" - ",F259)-1),F259),'https://kuryos.sharepoint.com/sites/ServidorKuryos/Shared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I259:K274</xm:sqref>
        </x14:conditionalFormatting>
        <x14:conditionalFormatting xmlns:xm="http://schemas.microsoft.com/office/excel/2006/main">
          <x14:cfRule type="expression" priority="24" id="{75664651-BEC0-4836-8952-24434D862A31}">
            <xm:f>AND(L264&gt;0,OR(L264&gt;IFERROR(INDEX('https://kuryos.sharepoint.com/sites/ServidorKuryos/Shared Documents/08. Logistica e Armazenamento/00. Logistica/[Controle de Produtos.xlsx]Produtos'!#REF!,MATCH(IF(ISNUMBER(FIND(" - ",I264)),LEFT(I264,FIND(" - ",I264)-1),I264),'https://kuryos.sharepoint.com/sites/ServidorKuryos/Shared Documents/08. Logistica e Armazenamento/00. Logistica/[Controle de Produtos.xlsx]Produtos'!#REF!,0)),0)*1.1,AND(L264&lt;IFERROR(INDEX('https://kuryos.sharepoint.com/sites/ServidorKuryos/Shared Documents/08. Logistica e Armazenamento/00. Logistica/[Controle de Produtos.xlsx]Produtos'!#REF!,MATCH(IF(ISNUMBER(FIND(" - ",I264)),LEFT(I264,FIND(" - ",I264)-1),I264),'https://kuryos.sharepoint.com/sites/ServidorKuryos/Shared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",I264)),LEFT(I264,FIND(" - ",I264)-1),I264),'https://kuryos.sharepoint.com/sites/ServidorKuryos/Shared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L264:N264</xm:sqref>
        </x14:conditionalFormatting>
        <x14:conditionalFormatting xmlns:xm="http://schemas.microsoft.com/office/excel/2006/main">
          <x14:cfRule type="expression" priority="23" id="{F62CD91B-6688-4965-AE27-CCB4F51A2014}">
            <xm:f>AND(L271&gt;0,OR(L271&gt;IFERROR(INDEX('https://kuryos.sharepoint.com/sites/ServidorKuryos/Shared Documents/08. Logistica e Armazenamento/00. Logistica/[Controle de Produtos.xlsx]Produtos'!#REF!,MATCH(IF(ISNUMBER(FIND(" - ",I271)),LEFT(I271,FIND(" - ",I271)-1),I271),'https://kuryos.sharepoint.com/sites/ServidorKuryos/Shared Documents/08. Logistica e Armazenamento/00. Logistica/[Controle de Produtos.xlsx]Produtos'!#REF!,0)),0)*1.1,AND(L271&lt;IFERROR(INDEX('https://kuryos.sharepoint.com/sites/ServidorKuryos/Shared Documents/08. Logistica e Armazenamento/00. Logistica/[Controle de Produtos.xlsx]Produtos'!#REF!,MATCH(IF(ISNUMBER(FIND(" - ",I271)),LEFT(I271,FIND(" - ",I271)-1),I271),'https://kuryos.sharepoint.com/sites/ServidorKuryos/Shared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",I271)),LEFT(I271,FIND(" - ",I271)-1),I271),'https://kuryos.sharepoint.com/sites/ServidorKuryos/Shared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L271:N271</xm:sqref>
        </x14:conditionalFormatting>
        <x14:conditionalFormatting xmlns:xm="http://schemas.microsoft.com/office/excel/2006/main">
          <x14:cfRule type="expression" priority="22" id="{00B43AC2-C8BE-4C6E-BCD4-34DFC0900235}">
            <xm:f>AND(L210&gt;0,OR(L210&gt;IFERROR(INDEX('https://kuryos.sharepoint.com/sites/ServidorKuryos/Shared Documents/08. Logistica e Armazenamento/00. Logistica/[Controle de Produtos.xlsx]Produtos'!#REF!,MATCH(IF(ISNUMBER(FIND(" - ",I210)),LEFT(I210,FIND(" - ",I210)-1),I210),'https://kuryos.sharepoint.com/sites/ServidorKuryos/Shared Documents/08. Logistica e Armazenamento/00. Logistica/[Controle de Produtos.xlsx]Produtos'!#REF!,0)),0)*1.1,AND(L210&lt;IFERROR(INDEX('https://kuryos.sharepoint.com/sites/ServidorKuryos/Shared Documents/08. Logistica e Armazenamento/00. Logistica/[Controle de Produtos.xlsx]Produtos'!#REF!,MATCH(IF(ISNUMBER(FIND(" - ",I210)),LEFT(I210,FIND(" - ",I210)-1),I210),'https://kuryos.sharepoint.com/sites/ServidorKuryos/Shared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",I210)),LEFT(I210,FIND(" - ",I210)-1),I210),'https://kuryos.sharepoint.com/sites/ServidorKuryos/Shared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L210:N210</xm:sqref>
        </x14:conditionalFormatting>
        <x14:conditionalFormatting xmlns:xm="http://schemas.microsoft.com/office/excel/2006/main">
          <x14:cfRule type="expression" priority="21" id="{DFA5C2C4-DE88-4FB1-A3A2-7BE94E41182F}">
            <xm:f>AND(L217&gt;0,OR(L217&gt;IFERROR(INDEX('https://kuryos.sharepoint.com/sites/ServidorKuryos/Shared Documents/08. Logistica e Armazenamento/00. Logistica/[Controle de Produtos.xlsx]Produtos'!#REF!,MATCH(IF(ISNUMBER(FIND(" - ",I217)),LEFT(I217,FIND(" - ",I217)-1),I217),'https://kuryos.sharepoint.com/sites/ServidorKuryos/Shared Documents/08. Logistica e Armazenamento/00. Logistica/[Controle de Produtos.xlsx]Produtos'!#REF!,0)),0)*1.1,AND(L217&lt;IFERROR(INDEX('https://kuryos.sharepoint.com/sites/ServidorKuryos/Shared Documents/08. Logistica e Armazenamento/00. Logistica/[Controle de Produtos.xlsx]Produtos'!#REF!,MATCH(IF(ISNUMBER(FIND(" - ",I217)),LEFT(I217,FIND(" - ",I217)-1),I217),'https://kuryos.sharepoint.com/sites/ServidorKuryos/Shared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",I217)),LEFT(I217,FIND(" - ",I217)-1),I217),'https://kuryos.sharepoint.com/sites/ServidorKuryos/Shared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L217:N217</xm:sqref>
        </x14:conditionalFormatting>
        <x14:conditionalFormatting xmlns:xm="http://schemas.microsoft.com/office/excel/2006/main">
          <x14:cfRule type="expression" priority="20" id="{A81649E8-ABDC-4DB4-B3AC-F3CD8F32FDB3}">
            <xm:f>AND(L174&gt;0,OR(L174&gt;IFERROR(INDEX('https://kuryos.sharepoint.com/sites/ServidorKuryos/Shared Documents/08. Logistica e Armazenamento/00. Logistica/[Controle de Produtos.xlsx]Produtos'!#REF!,MATCH(IF(ISNUMBER(FIND(" - ",I174)),LEFT(I174,FIND(" - ",I174)-1),I174),'https://kuryos.sharepoint.com/sites/ServidorKuryos/Shared Documents/08. Logistica e Armazenamento/00. Logistica/[Controle de Produtos.xlsx]Produtos'!#REF!,0)),0)*1.1,AND(L174&lt;IFERROR(INDEX('https://kuryos.sharepoint.com/sites/ServidorKuryos/Shared Documents/08. Logistica e Armazenamento/00. Logistica/[Controle de Produtos.xlsx]Produtos'!#REF!,MATCH(IF(ISNUMBER(FIND(" - ",I174)),LEFT(I174,FIND(" - ",I174)-1),I174),'https://kuryos.sharepoint.com/sites/ServidorKuryos/Shared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",I174)),LEFT(I174,FIND(" - ",I174)-1),I174),'https://kuryos.sharepoint.com/sites/ServidorKuryos/Shared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L174:N174</xm:sqref>
        </x14:conditionalFormatting>
        <x14:conditionalFormatting xmlns:xm="http://schemas.microsoft.com/office/excel/2006/main">
          <x14:cfRule type="expression" priority="19" id="{E6EFE217-2785-45C2-B8BC-019505D7E720}">
            <xm:f>AND(L181&gt;0,OR(L181&gt;IFERROR(INDEX('https://kuryos.sharepoint.com/sites/ServidorKuryos/Shared Documents/08. Logistica e Armazenamento/00. Logistica/[Controle de Produtos.xlsx]Produtos'!#REF!,MATCH(IF(ISNUMBER(FIND(" - ",I181)),LEFT(I181,FIND(" - ",I181)-1),I181),'https://kuryos.sharepoint.com/sites/ServidorKuryos/Shared Documents/08. Logistica e Armazenamento/00. Logistica/[Controle de Produtos.xlsx]Produtos'!#REF!,0)),0)*1.1,AND(L181&lt;IFERROR(INDEX('https://kuryos.sharepoint.com/sites/ServidorKuryos/Shared Documents/08. Logistica e Armazenamento/00. Logistica/[Controle de Produtos.xlsx]Produtos'!#REF!,MATCH(IF(ISNUMBER(FIND(" - ",I181)),LEFT(I181,FIND(" - ",I181)-1),I181),'https://kuryos.sharepoint.com/sites/ServidorKuryos/Shared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",I181)),LEFT(I181,FIND(" - ",I181)-1),I181),'https://kuryos.sharepoint.com/sites/ServidorKuryos/Shared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L181:N181</xm:sqref>
        </x14:conditionalFormatting>
        <x14:conditionalFormatting xmlns:xm="http://schemas.microsoft.com/office/excel/2006/main">
          <x14:cfRule type="expression" priority="18" id="{42208C39-5D6A-44CE-B835-AE04774D6A7A}">
            <xm:f>AND(I43&gt;0,OR(I43&gt;IFERROR(INDEX('https://kuryos.sharepoint.com/sites/ServidorKuryos/Shared Documents/08. Logistica e Armazenamento/00. Logistica/[Controle de Produtos.xlsx]Produtos'!#REF!,MATCH(IF(ISNUMBER(FIND(" - ",F43)),LEFT(F43,FIND(" - ",F43)-1),F43),'https://kuryos.sharepoint.com/sites/ServidorKuryos/Shared Documents/08. Logistica e Armazenamento/00. Logistica/[Controle de Produtos.xlsx]Produtos'!#REF!,0)),0)*1.1,AND(I43&lt;IFERROR(INDEX('https://kuryos.sharepoint.com/sites/ServidorKuryos/Shared Documents/08. Logistica e Armazenamento/00. Logistica/[Controle de Produtos.xlsx]Produtos'!#REF!,MATCH(IF(ISNUMBER(FIND(" - ",F43)),LEFT(F43,FIND(" - ",F43)-1),F43),'https://kuryos.sharepoint.com/sites/ServidorKuryos/Shared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",F43)),LEFT(F43,FIND(" - ",F43)-1),F43),'https://kuryos.sharepoint.com/sites/ServidorKuryos/Shared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I43:K43 I54:K58 K44:K53</xm:sqref>
        </x14:conditionalFormatting>
        <x14:conditionalFormatting xmlns:xm="http://schemas.microsoft.com/office/excel/2006/main">
          <x14:cfRule type="expression" priority="17" id="{4636FE13-8BC0-490E-BD99-803A2B2461F9}">
            <xm:f>AND(I44&gt;0,OR(I44&gt;IFERROR(INDEX('https://kuryos.sharepoint.com/sites/ServidorKuryos/Shared Documents/08. Logistica e Armazenamento/00. Logistica/[Controle de Produtos.xlsx]Produtos'!#REF!,MATCH(IF(ISNUMBER(FIND(" - ",F44)),LEFT(F44,FIND(" - ",F44)-1),F44),'https://kuryos.sharepoint.com/sites/ServidorKuryos/Shared Documents/08. Logistica e Armazenamento/00. Logistica/[Controle de Produtos.xlsx]Produtos'!#REF!,0)),0)*1.1,AND(I44&lt;IFERROR(INDEX('https://kuryos.sharepoint.com/sites/ServidorKuryos/Shared Documents/08. Logistica e Armazenamento/00. Logistica/[Controle de Produtos.xlsx]Produtos'!#REF!,MATCH(IF(ISNUMBER(FIND(" - ",F44)),LEFT(F44,FIND(" - ",F44)-1),F44),'https://kuryos.sharepoint.com/sites/ServidorKuryos/Shared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",F44)),LEFT(F44,FIND(" - ",F44)-1),F44),'https://kuryos.sharepoint.com/sites/ServidorKuryos/Shared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I44:J53</xm:sqref>
        </x14:conditionalFormatting>
        <x14:conditionalFormatting xmlns:xm="http://schemas.microsoft.com/office/excel/2006/main">
          <x14:cfRule type="expression" priority="16" id="{516B04F4-8E5D-4041-8F72-E55628750914}">
            <xm:f>AND(K277&gt;0,OR(K277&gt;IFERROR(INDEX('https://kuryos.sharepoint.com/sites/ServidorKuryos/Shared Documents/08. Logistica e Armazenamento/00. Logistica/[Controle de Produtos.xlsx]Produtos'!#REF!,MATCH(IF(ISNUMBER(FIND(" - ",H277)),LEFT(H277,FIND(" - ",H277)-1),H277),'https://kuryos.sharepoint.com/sites/ServidorKuryos/Shared Documents/08. Logistica e Armazenamento/00. Logistica/[Controle de Produtos.xlsx]Produtos'!#REF!,0)),0)*1.1,AND(K277&lt;IFERROR(INDEX('https://kuryos.sharepoint.com/sites/ServidorKuryos/Shared Documents/08. Logistica e Armazenamento/00. Logistica/[Controle de Produtos.xlsx]Produtos'!#REF!,MATCH(IF(ISNUMBER(FIND(" - ",H277)),LEFT(H277,FIND(" - ",H277)-1),H277),'https://kuryos.sharepoint.com/sites/ServidorKuryos/Shared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",H277)),LEFT(H277,FIND(" - ",H277)-1),H277),'https://kuryos.sharepoint.com/sites/ServidorKuryos/Shared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K277:K292</xm:sqref>
        </x14:conditionalFormatting>
        <x14:conditionalFormatting xmlns:xm="http://schemas.microsoft.com/office/excel/2006/main">
          <x14:cfRule type="expression" priority="15" id="{AC5F1A98-4D40-43FE-BEEA-34C7D0D3A761}">
            <xm:f>AND(K295&gt;0,OR(K295&gt;IFERROR(INDEX('https://kuryos.sharepoint.com/sites/ServidorKuryos/Shared Documents/08. Logistica e Armazenamento/00. Logistica/[Controle de Produtos.xlsx]Produtos'!#REF!,MATCH(IF(ISNUMBER(FIND(" - ",H295)),LEFT(H295,FIND(" - ",H295)-1),H295),'https://kuryos.sharepoint.com/sites/ServidorKuryos/Shared Documents/08. Logistica e Armazenamento/00. Logistica/[Controle de Produtos.xlsx]Produtos'!#REF!,0)),0)*1.1,AND(K295&lt;IFERROR(INDEX('https://kuryos.sharepoint.com/sites/ServidorKuryos/Shared Documents/08. Logistica e Armazenamento/00. Logistica/[Controle de Produtos.xlsx]Produtos'!#REF!,MATCH(IF(ISNUMBER(FIND(" - ",H295)),LEFT(H295,FIND(" - ",H295)-1),H295),'https://kuryos.sharepoint.com/sites/ServidorKuryos/Shared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",H295)),LEFT(H295,FIND(" - ",H295)-1),H295),'https://kuryos.sharepoint.com/sites/ServidorKuryos/Shared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K295:K310</xm:sqref>
        </x14:conditionalFormatting>
        <x14:conditionalFormatting xmlns:xm="http://schemas.microsoft.com/office/excel/2006/main">
          <x14:cfRule type="expression" priority="14" id="{F116A214-70C3-4538-8E8C-AF457019BAA8}">
            <xm:f>AND(I313&gt;0,OR(I313&gt;IFERROR(INDEX('https://kuryos.sharepoint.com/sites/ServidorKuryos/Shared Documents/08. Logistica e Armazenamento/00. Logistica/[Controle de Produtos.xlsx]Produtos'!#REF!,MATCH(IF(ISNUMBER(FIND(" - ",F313)),LEFT(F313,FIND(" - ",F313)-1),F313),'https://kuryos.sharepoint.com/sites/ServidorKuryos/Shared Documents/08. Logistica e Armazenamento/00. Logistica/[Controle de Produtos.xlsx]Produtos'!#REF!,0)),0)*1.1,AND(I313&lt;IFERROR(INDEX('https://kuryos.sharepoint.com/sites/ServidorKuryos/Shared Documents/08. Logistica e Armazenamento/00. Logistica/[Controle de Produtos.xlsx]Produtos'!#REF!,MATCH(IF(ISNUMBER(FIND(" - ",F313)),LEFT(F313,FIND(" - ",F313)-1),F313),'https://kuryos.sharepoint.com/sites/ServidorKuryos/Shared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",F313)),LEFT(F313,FIND(" - ",F313)-1),F313),'https://kuryos.sharepoint.com/sites/ServidorKuryos/Shared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I313:J328</xm:sqref>
        </x14:conditionalFormatting>
        <x14:conditionalFormatting xmlns:xm="http://schemas.microsoft.com/office/excel/2006/main">
          <x14:cfRule type="expression" priority="13" id="{A226F38E-A487-4EE4-95DA-8079590F6347}">
            <xm:f>AND(K313&gt;0,OR(K313&gt;IFERROR(INDEX('https://kuryos.sharepoint.com/sites/ServidorKuryos/Shared Documents/08. Logistica e Armazenamento/00. Logistica/[Controle de Produtos.xlsx]Produtos'!#REF!,MATCH(IF(ISNUMBER(FIND(" - ",H313)),LEFT(H313,FIND(" - ",H313)-1),H313),'https://kuryos.sharepoint.com/sites/ServidorKuryos/Shared Documents/08. Logistica e Armazenamento/00. Logistica/[Controle de Produtos.xlsx]Produtos'!#REF!,0)),0)*1.1,AND(K313&lt;IFERROR(INDEX('https://kuryos.sharepoint.com/sites/ServidorKuryos/Shared Documents/08. Logistica e Armazenamento/00. Logistica/[Controle de Produtos.xlsx]Produtos'!#REF!,MATCH(IF(ISNUMBER(FIND(" - ",H313)),LEFT(H313,FIND(" - ",H313)-1),H313),'https://kuryos.sharepoint.com/sites/ServidorKuryos/Shared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",H313)),LEFT(H313,FIND(" - ",H313)-1),H313),'https://kuryos.sharepoint.com/sites/ServidorKuryos/Shared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K313:K328</xm:sqref>
        </x14:conditionalFormatting>
        <x14:conditionalFormatting xmlns:xm="http://schemas.microsoft.com/office/excel/2006/main">
          <x14:cfRule type="expression" priority="12" id="{FE47167A-7C9D-49C2-B3F0-8A84CD0285FD}">
            <xm:f>AND(J277&gt;0,OR(J277&gt;IFERROR(INDEX('https://kuryos.sharepoint.com/sites/ServidorKuryos/Shared Documents/08. Logistica e Armazenamento/00. Logistica/[Controle de Produtos.xlsx]Produtos'!#REF!,MATCH(IF(ISNUMBER(FIND(" - ",G277)),LEFT(G277,FIND(" - ",G277)-1),G277),'https://kuryos.sharepoint.com/sites/ServidorKuryos/Shared Documents/08. Logistica e Armazenamento/00. Logistica/[Controle de Produtos.xlsx]Produtos'!#REF!,0)),0)*1.1,AND(J277&lt;IFERROR(INDEX('https://kuryos.sharepoint.com/sites/ServidorKuryos/Shared Documents/08. Logistica e Armazenamento/00. Logistica/[Controle de Produtos.xlsx]Produtos'!#REF!,MATCH(IF(ISNUMBER(FIND(" - ",G277)),LEFT(G277,FIND(" - ",G277)-1),G277),'https://kuryos.sharepoint.com/sites/ServidorKuryos/Shared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",G277)),LEFT(G277,FIND(" - ",G277)-1),G277),'https://kuryos.sharepoint.com/sites/ServidorKuryos/Shared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J277:J292</xm:sqref>
        </x14:conditionalFormatting>
        <x14:conditionalFormatting xmlns:xm="http://schemas.microsoft.com/office/excel/2006/main">
          <x14:cfRule type="expression" priority="11" id="{3E731821-EB38-4724-AE4B-AB0CABA21876}">
            <xm:f>AND(J295&gt;0,OR(J295&gt;IFERROR(INDEX('https://kuryos.sharepoint.com/sites/ServidorKuryos/Shared Documents/08. Logistica e Armazenamento/00. Logistica/[Controle de Produtos.xlsx]Produtos'!#REF!,MATCH(IF(ISNUMBER(FIND(" - ",G295)),LEFT(G295,FIND(" - ",G295)-1),G295),'https://kuryos.sharepoint.com/sites/ServidorKuryos/Shared Documents/08. Logistica e Armazenamento/00. Logistica/[Controle de Produtos.xlsx]Produtos'!#REF!,0)),0)*1.1,AND(J295&lt;IFERROR(INDEX('https://kuryos.sharepoint.com/sites/ServidorKuryos/Shared Documents/08. Logistica e Armazenamento/00. Logistica/[Controle de Produtos.xlsx]Produtos'!#REF!,MATCH(IF(ISNUMBER(FIND(" - ",G295)),LEFT(G295,FIND(" - ",G295)-1),G295),'https://kuryos.sharepoint.com/sites/ServidorKuryos/Shared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",G295)),LEFT(G295,FIND(" - ",G295)-1),G295),'https://kuryos.sharepoint.com/sites/ServidorKuryos/Shared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J295:J310</xm:sqref>
        </x14:conditionalFormatting>
        <x14:conditionalFormatting xmlns:xm="http://schemas.microsoft.com/office/excel/2006/main">
          <x14:cfRule type="expression" priority="10" id="{FF7DD3FB-2BBA-464F-B021-2A018AD62923}">
            <xm:f>AND(J331&gt;0,OR(J331&gt;IFERROR(INDEX('https://kuryos.sharepoint.com/sites/ServidorKuryos/Shared Documents/08. Logistica e Armazenamento/00. Logistica/[Controle de Produtos.xlsx]Produtos'!#REF!,MATCH(IF(ISNUMBER(FIND(" - ",G331)),LEFT(G331,FIND(" - ",G331)-1),G331),'https://kuryos.sharepoint.com/sites/ServidorKuryos/Shared Documents/08. Logistica e Armazenamento/00. Logistica/[Controle de Produtos.xlsx]Produtos'!#REF!,0)),0)*1.1,AND(J331&lt;IFERROR(INDEX('https://kuryos.sharepoint.com/sites/ServidorKuryos/Shared Documents/08. Logistica e Armazenamento/00. Logistica/[Controle de Produtos.xlsx]Produtos'!#REF!,MATCH(IF(ISNUMBER(FIND(" - ",G331)),LEFT(G331,FIND(" - ",G331)-1),G331),'https://kuryos.sharepoint.com/sites/ServidorKuryos/Shared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",G331)),LEFT(G331,FIND(" - ",G331)-1),G331),'https://kuryos.sharepoint.com/sites/ServidorKuryos/Shared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J331:J346</xm:sqref>
        </x14:conditionalFormatting>
        <x14:conditionalFormatting xmlns:xm="http://schemas.microsoft.com/office/excel/2006/main">
          <x14:cfRule type="expression" priority="9" id="{78E29951-945E-4164-B093-A9625FDDFBE5}">
            <xm:f>AND(J422&gt;0,OR(J422&gt;IFERROR(INDEX('https://kuryos.sharepoint.com/sites/ServidorKuryos/Shared Documents/08. Logistica e Armazenamento/00. Logistica/[Controle de Produtos.xlsx]Produtos'!#REF!,MATCH(IF(ISNUMBER(FIND(" - ",G422)),LEFT(G422,FIND(" - ",G422)-1),G422),'https://kuryos.sharepoint.com/sites/ServidorKuryos/Shared Documents/08. Logistica e Armazenamento/00. Logistica/[Controle de Produtos.xlsx]Produtos'!#REF!,0)),0)*1.1,AND(J422&lt;IFERROR(INDEX('https://kuryos.sharepoint.com/sites/ServidorKuryos/Shared Documents/08. Logistica e Armazenamento/00. Logistica/[Controle de Produtos.xlsx]Produtos'!#REF!,MATCH(IF(ISNUMBER(FIND(" - ",G422)),LEFT(G422,FIND(" - ",G422)-1),G422),'https://kuryos.sharepoint.com/sites/ServidorKuryos/Shared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",G422)),LEFT(G422,FIND(" - ",G422)-1),G422),'https://kuryos.sharepoint.com/sites/ServidorKuryos/Shared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J422:J431</xm:sqref>
        </x14:conditionalFormatting>
        <x14:conditionalFormatting xmlns:xm="http://schemas.microsoft.com/office/excel/2006/main">
          <x14:cfRule type="expression" priority="8" id="{6C54B074-E714-4819-895E-A59165085048}">
            <xm:f>AND(J440&gt;0,OR(J440&gt;IFERROR(INDEX('https://kuryos.sharepoint.com/sites/ServidorKuryos/Shared Documents/08. Logistica e Armazenamento/00. Logistica/[Controle de Produtos.xlsx]Produtos'!#REF!,MATCH(IF(ISNUMBER(FIND(" - ",G440)),LEFT(G440,FIND(" - ",G440)-1),G440),'https://kuryos.sharepoint.com/sites/ServidorKuryos/Shared Documents/08. Logistica e Armazenamento/00. Logistica/[Controle de Produtos.xlsx]Produtos'!#REF!,0)),0)*1.1,AND(J440&lt;IFERROR(INDEX('https://kuryos.sharepoint.com/sites/ServidorKuryos/Shared Documents/08. Logistica e Armazenamento/00. Logistica/[Controle de Produtos.xlsx]Produtos'!#REF!,MATCH(IF(ISNUMBER(FIND(" - ",G440)),LEFT(G440,FIND(" - ",G440)-1),G440),'https://kuryos.sharepoint.com/sites/ServidorKuryos/Shared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",G440)),LEFT(G440,FIND(" - ",G440)-1),G440),'https://kuryos.sharepoint.com/sites/ServidorKuryos/Shared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J440:J449</xm:sqref>
        </x14:conditionalFormatting>
        <x14:conditionalFormatting xmlns:xm="http://schemas.microsoft.com/office/excel/2006/main">
          <x14:cfRule type="expression" priority="7" id="{937C0F5B-F3A5-4544-8176-83E40956F127}">
            <xm:f>AND(K404&gt;0,OR(K404&gt;IFERROR(INDEX('https://kuryos.sharepoint.com/sites/ServidorKuryos/Shared Documents/08. Logistica e Armazenamento/00. Logistica/[Controle de Produtos.xlsx]Produtos'!#REF!,MATCH(IF(ISNUMBER(FIND(" - ",H404)),LEFT(H404,FIND(" - ",H404)-1),H404),'https://kuryos.sharepoint.com/sites/ServidorKuryos/Shared Documents/08. Logistica e Armazenamento/00. Logistica/[Controle de Produtos.xlsx]Produtos'!#REF!,0)),0)*1.1,AND(K404&lt;IFERROR(INDEX('https://kuryos.sharepoint.com/sites/ServidorKuryos/Shared Documents/08. Logistica e Armazenamento/00. Logistica/[Controle de Produtos.xlsx]Produtos'!#REF!,MATCH(IF(ISNUMBER(FIND(" - ",H404)),LEFT(H404,FIND(" - ",H404)-1),H404),'https://kuryos.sharepoint.com/sites/ServidorKuryos/Shared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",H404)),LEFT(H404,FIND(" - ",H404)-1),H404),'https://kuryos.sharepoint.com/sites/ServidorKuryos/Shared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K404:K413</xm:sqref>
        </x14:conditionalFormatting>
        <x14:conditionalFormatting xmlns:xm="http://schemas.microsoft.com/office/excel/2006/main">
          <x14:cfRule type="expression" priority="6" id="{69C2F8F8-6AF3-4701-8483-48062466B05D}">
            <xm:f>AND(K422&gt;0,OR(K422&gt;IFERROR(INDEX('https://kuryos.sharepoint.com/sites/ServidorKuryos/Shared Documents/08. Logistica e Armazenamento/00. Logistica/[Controle de Produtos.xlsx]Produtos'!#REF!,MATCH(IF(ISNUMBER(FIND(" - ",H422)),LEFT(H422,FIND(" - ",H422)-1),H422),'https://kuryos.sharepoint.com/sites/ServidorKuryos/Shared Documents/08. Logistica e Armazenamento/00. Logistica/[Controle de Produtos.xlsx]Produtos'!#REF!,0)),0)*1.1,AND(K422&lt;IFERROR(INDEX('https://kuryos.sharepoint.com/sites/ServidorKuryos/Shared Documents/08. Logistica e Armazenamento/00. Logistica/[Controle de Produtos.xlsx]Produtos'!#REF!,MATCH(IF(ISNUMBER(FIND(" - ",H422)),LEFT(H422,FIND(" - ",H422)-1),H422),'https://kuryos.sharepoint.com/sites/ServidorKuryos/Shared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",H422)),LEFT(H422,FIND(" - ",H422)-1),H422),'https://kuryos.sharepoint.com/sites/ServidorKuryos/Shared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K422:K431</xm:sqref>
        </x14:conditionalFormatting>
        <x14:conditionalFormatting xmlns:xm="http://schemas.microsoft.com/office/excel/2006/main">
          <x14:cfRule type="expression" priority="5" id="{C294EADD-5D8C-4A81-9F29-94F9E46E1C6E}">
            <xm:f>AND(K440&gt;0,OR(K440&gt;IFERROR(INDEX('https://kuryos.sharepoint.com/sites/ServidorKuryos/Shared Documents/08. Logistica e Armazenamento/00. Logistica/[Controle de Produtos.xlsx]Produtos'!#REF!,MATCH(IF(ISNUMBER(FIND(" - ",H440)),LEFT(H440,FIND(" - ",H440)-1),H440),'https://kuryos.sharepoint.com/sites/ServidorKuryos/Shared Documents/08. Logistica e Armazenamento/00. Logistica/[Controle de Produtos.xlsx]Produtos'!#REF!,0)),0)*1.1,AND(K440&lt;IFERROR(INDEX('https://kuryos.sharepoint.com/sites/ServidorKuryos/Shared Documents/08. Logistica e Armazenamento/00. Logistica/[Controle de Produtos.xlsx]Produtos'!#REF!,MATCH(IF(ISNUMBER(FIND(" - ",H440)),LEFT(H440,FIND(" - ",H440)-1),H440),'https://kuryos.sharepoint.com/sites/ServidorKuryos/Shared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",H440)),LEFT(H440,FIND(" - ",H440)-1),H440),'https://kuryos.sharepoint.com/sites/ServidorKuryos/Shared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K440:K449</xm:sqref>
        </x14:conditionalFormatting>
        <x14:conditionalFormatting xmlns:xm="http://schemas.microsoft.com/office/excel/2006/main">
          <x14:cfRule type="expression" priority="4" id="{0D833AFF-1C9D-4936-957A-698777A78803}">
            <xm:f>AND(K458&gt;0,OR(K458&gt;IFERROR(INDEX('https://kuryos.sharepoint.com/sites/ServidorKuryos/Shared Documents/08. Logistica e Armazenamento/00. Logistica/[Controle de Produtos.xlsx]Produtos'!#REF!,MATCH(IF(ISNUMBER(FIND(" - ",H458)),LEFT(H458,FIND(" - ",H458)-1),H458),'https://kuryos.sharepoint.com/sites/ServidorKuryos/Shared Documents/08. Logistica e Armazenamento/00. Logistica/[Controle de Produtos.xlsx]Produtos'!#REF!,0)),0)*1.1,AND(K458&lt;IFERROR(INDEX('https://kuryos.sharepoint.com/sites/ServidorKuryos/Shared Documents/08. Logistica e Armazenamento/00. Logistica/[Controle de Produtos.xlsx]Produtos'!#REF!,MATCH(IF(ISNUMBER(FIND(" - ",H458)),LEFT(H458,FIND(" - ",H458)-1),H458),'https://kuryos.sharepoint.com/sites/ServidorKuryos/Shared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",H458)),LEFT(H458,FIND(" - ",H458)-1),H458),'https://kuryos.sharepoint.com/sites/ServidorKuryos/Shared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K458:K466</xm:sqref>
        </x14:conditionalFormatting>
        <x14:conditionalFormatting xmlns:xm="http://schemas.microsoft.com/office/excel/2006/main">
          <x14:cfRule type="expression" priority="3" id="{83C9D72A-AD21-466E-9CF8-E0A92B9C6FB7}">
            <xm:f>AND(K512&gt;0,OR(K512&gt;IFERROR(INDEX('https://kuryos.sharepoint.com/sites/ServidorKuryos/Shared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Produtos.xlsx]Produtos'!#REF!,0)),0)*1.1,AND(K512&lt;IFERROR(INDEX('https://kuryos.sharepoint.com/sites/ServidorKuryos/Shared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",H512)),LEFT(H512,FIND(" - ",H512)-1),H512),'https://kuryos.sharepoint.com/sites/ServidorKuryos/Shared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K512:K521</xm:sqref>
        </x14:conditionalFormatting>
        <x14:conditionalFormatting xmlns:xm="http://schemas.microsoft.com/office/excel/2006/main">
          <x14:cfRule type="expression" priority="2" id="{FCF15D1C-F508-45BE-9FE9-E79B60A8FE72}">
            <xm:f>AND(K530&gt;0,OR(K530&gt;IFERROR(INDEX('https://kuryos.sharepoint.com/sites/ServidorKuryos/Shared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Produtos.xlsx]Produtos'!#REF!,0)),0)*1.1,AND(K530&lt;IFERROR(INDEX('https://kuryos.sharepoint.com/sites/ServidorKuryos/Shared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",H530)),LEFT(H530,FIND(" - ",H530)-1),H530),'https://kuryos.sharepoint.com/sites/ServidorKuryos/Shared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K530:K539</xm:sqref>
        </x14:conditionalFormatting>
        <x14:conditionalFormatting xmlns:xm="http://schemas.microsoft.com/office/excel/2006/main">
          <x14:cfRule type="expression" priority="1" id="{E539E833-565F-4297-A1E1-CDE7A67A4BE0}">
            <xm:f>AND(K548&gt;0,OR(K548&gt;IFERROR(INDEX('https://kuryos.sharepoint.com/sites/ServidorKuryos/Shared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Produtos.xlsx]Produtos'!#REF!,0)),0)*1.1,AND(K548&lt;IFERROR(INDEX('https://kuryos.sharepoint.com/sites/ServidorKuryos/Shared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",H548)),LEFT(H548,FIND(" - ",H548)-1),H548),'https://kuryos.sharepoint.com/sites/ServidorKuryos/Shared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K548:K557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B1BC1-0A37-4780-A20E-CF47E875BE88}">
  <sheetPr codeName="Sheet10">
    <tabColor theme="5" tint="0.39997558519241921"/>
    <pageSetUpPr fitToPage="1"/>
  </sheetPr>
  <dimension ref="A1:Z3373"/>
  <sheetViews>
    <sheetView showGridLines="0" zoomScale="87" zoomScaleNormal="87" zoomScaleSheetLayoutView="100" workbookViewId="0">
      <pane xSplit="5" ySplit="4" topLeftCell="F43" activePane="bottomRight" state="frozen"/>
      <selection pane="topRight" activeCell="F1" sqref="F1"/>
      <selection pane="bottomLeft" activeCell="A5" sqref="A5"/>
      <selection pane="bottomRight" activeCell="G29" sqref="G29"/>
    </sheetView>
  </sheetViews>
  <sheetFormatPr defaultColWidth="9.140625" defaultRowHeight="15" x14ac:dyDescent="0.25"/>
  <cols>
    <col min="1" max="1" width="3.85546875" customWidth="1"/>
    <col min="2" max="2" width="2" hidden="1" customWidth="1"/>
    <col min="3" max="3" width="9.42578125" bestFit="1" customWidth="1"/>
    <col min="4" max="4" width="11" bestFit="1" customWidth="1"/>
    <col min="5" max="5" width="14" bestFit="1" customWidth="1"/>
    <col min="6" max="8" width="51.42578125" customWidth="1"/>
    <col min="9" max="11" width="20.5703125" customWidth="1"/>
    <col min="12" max="12" width="58.42578125" bestFit="1" customWidth="1"/>
    <col min="13" max="13" width="25.5703125" customWidth="1"/>
    <col min="14" max="14" width="35.42578125" bestFit="1" customWidth="1"/>
    <col min="15" max="15" width="11.42578125" bestFit="1" customWidth="1"/>
    <col min="16" max="16" width="10.5703125" customWidth="1"/>
    <col min="17" max="17" width="20.140625" bestFit="1" customWidth="1"/>
    <col min="18" max="18" width="9.85546875" bestFit="1" customWidth="1"/>
    <col min="19" max="19" width="10.5703125" customWidth="1"/>
    <col min="20" max="20" width="40.85546875" bestFit="1" customWidth="1"/>
    <col min="21" max="21" width="33.5703125" bestFit="1" customWidth="1"/>
    <col min="22" max="22" width="34.140625" bestFit="1" customWidth="1"/>
    <col min="23" max="23" width="10.5703125" bestFit="1" customWidth="1"/>
    <col min="24" max="27" width="10.42578125" bestFit="1" customWidth="1"/>
  </cols>
  <sheetData>
    <row r="1" spans="1:22" x14ac:dyDescent="0.25">
      <c r="A1" s="442" t="s">
        <v>310</v>
      </c>
      <c r="B1" s="111"/>
      <c r="C1" s="204" t="s">
        <v>451</v>
      </c>
      <c r="D1" s="204" t="s">
        <v>452</v>
      </c>
      <c r="E1" s="204" t="s">
        <v>433</v>
      </c>
      <c r="F1" s="204" t="s">
        <v>449</v>
      </c>
      <c r="G1" s="204" t="s">
        <v>450</v>
      </c>
      <c r="H1" s="204" t="s">
        <v>437</v>
      </c>
      <c r="I1" s="204"/>
      <c r="J1" s="204"/>
      <c r="K1" s="204"/>
      <c r="L1" s="204"/>
      <c r="M1" s="204"/>
      <c r="N1" s="204"/>
      <c r="Q1" s="204"/>
      <c r="U1" t="s">
        <v>580</v>
      </c>
    </row>
    <row r="2" spans="1:22" x14ac:dyDescent="0.25">
      <c r="A2" s="442"/>
      <c r="B2" s="111"/>
      <c r="C2" s="203">
        <f>INDEX([1]Produtos!$L:$L,MATCH(IFERROR(IF(SEARCH("- ",H2)&gt;1,MID(H2,1,SEARCH("- ",H2)-2),H2),H2),[1]Produtos!$C:$C,0))</f>
        <v>721.11737989561891</v>
      </c>
      <c r="D2" s="235">
        <f>C2*9</f>
        <v>6490.0564190605701</v>
      </c>
      <c r="E2" s="205">
        <v>20000</v>
      </c>
      <c r="F2" s="234">
        <f>E2/(C2)</f>
        <v>27.73473578309121</v>
      </c>
      <c r="G2" s="240">
        <f>E2/(C2*9)</f>
        <v>3.0816373092323568</v>
      </c>
      <c r="H2" s="535" t="s">
        <v>931</v>
      </c>
      <c r="I2" s="534"/>
      <c r="J2" s="534"/>
      <c r="K2" s="534"/>
      <c r="L2" s="534"/>
      <c r="M2" s="534"/>
      <c r="N2" s="534"/>
      <c r="Q2" s="234"/>
      <c r="R2" s="508"/>
      <c r="U2">
        <f>COUNTIF(F:H,"="&amp;H2)</f>
        <v>1</v>
      </c>
    </row>
    <row r="3" spans="1:22" ht="9.9499999999999993" customHeight="1" thickBot="1" x14ac:dyDescent="0.3">
      <c r="A3" s="442"/>
      <c r="B3" s="111"/>
      <c r="C3" s="111"/>
      <c r="D3" s="111"/>
      <c r="E3" s="111"/>
      <c r="F3" s="122"/>
      <c r="G3" s="122"/>
      <c r="H3" s="122"/>
      <c r="I3" s="122"/>
      <c r="J3" s="122"/>
      <c r="K3" s="122"/>
      <c r="L3" s="122"/>
      <c r="M3" s="122"/>
      <c r="N3" s="122"/>
      <c r="Q3" s="204"/>
      <c r="R3" s="204"/>
      <c r="V3" s="204"/>
    </row>
    <row r="4" spans="1:22" ht="18" customHeight="1" thickBot="1" x14ac:dyDescent="0.3">
      <c r="A4" s="443"/>
      <c r="B4" s="444" t="s">
        <v>157</v>
      </c>
      <c r="C4" s="462" t="s">
        <v>158</v>
      </c>
      <c r="D4" s="463" t="s">
        <v>201</v>
      </c>
      <c r="E4" s="464" t="s">
        <v>159</v>
      </c>
      <c r="F4" s="465" t="s">
        <v>353</v>
      </c>
      <c r="G4" s="465" t="s">
        <v>354</v>
      </c>
      <c r="H4" s="465" t="s">
        <v>438</v>
      </c>
      <c r="I4" s="465"/>
      <c r="J4" s="465" t="s">
        <v>160</v>
      </c>
      <c r="K4" s="465" t="s">
        <v>202</v>
      </c>
      <c r="L4" s="465" t="s">
        <v>203</v>
      </c>
      <c r="M4" s="465" t="s">
        <v>204</v>
      </c>
      <c r="N4" s="550" t="s">
        <v>205</v>
      </c>
      <c r="O4" s="551" t="s">
        <v>206</v>
      </c>
      <c r="P4" s="549" t="s">
        <v>207</v>
      </c>
      <c r="Q4" s="509" t="s">
        <v>208</v>
      </c>
      <c r="R4" t="s">
        <v>209</v>
      </c>
      <c r="S4" t="s">
        <v>210</v>
      </c>
      <c r="U4">
        <f>SUM(U888:U993)</f>
        <v>0</v>
      </c>
    </row>
    <row r="5" spans="1:22" ht="4.5" customHeight="1" thickBot="1" x14ac:dyDescent="0.3">
      <c r="C5" t="s">
        <v>161</v>
      </c>
      <c r="D5">
        <v>45852</v>
      </c>
      <c r="E5" t="s">
        <v>162</v>
      </c>
      <c r="F5" t="s">
        <v>300</v>
      </c>
      <c r="G5" t="s">
        <v>381</v>
      </c>
      <c r="L5" s="559"/>
      <c r="M5" s="559"/>
      <c r="N5" s="559"/>
      <c r="Q5" s="3"/>
      <c r="R5" s="3"/>
    </row>
    <row r="6" spans="1:22" ht="15" customHeight="1" thickBot="1" x14ac:dyDescent="0.3">
      <c r="A6" s="753"/>
      <c r="C6" s="538" t="s">
        <v>161</v>
      </c>
      <c r="D6" s="539">
        <f t="shared" ref="D6:D13" si="0">D5</f>
        <v>45852</v>
      </c>
      <c r="E6" s="539" t="s">
        <v>163</v>
      </c>
      <c r="F6" s="539" t="s">
        <v>300</v>
      </c>
      <c r="G6" s="539" t="s">
        <v>381</v>
      </c>
      <c r="H6" s="539"/>
      <c r="I6" s="543"/>
      <c r="J6" s="542"/>
      <c r="K6" s="544"/>
      <c r="L6" s="560"/>
      <c r="M6" s="561"/>
      <c r="N6" s="562"/>
      <c r="O6" s="548"/>
      <c r="P6" s="549"/>
      <c r="Q6" s="3"/>
      <c r="R6" s="3"/>
    </row>
    <row r="7" spans="1:22" x14ac:dyDescent="0.25">
      <c r="A7" s="753"/>
      <c r="C7" s="496" t="s">
        <v>161</v>
      </c>
      <c r="D7" s="507">
        <f t="shared" si="0"/>
        <v>45852</v>
      </c>
      <c r="E7" s="498" t="s">
        <v>164</v>
      </c>
      <c r="F7" s="514" t="s">
        <v>300</v>
      </c>
      <c r="G7" s="514" t="s">
        <v>381</v>
      </c>
      <c r="H7" s="515"/>
      <c r="I7" s="537"/>
      <c r="J7" s="537"/>
      <c r="K7" s="537"/>
      <c r="L7" s="563"/>
      <c r="M7" s="563"/>
      <c r="N7" s="563"/>
    </row>
    <row r="8" spans="1:22" x14ac:dyDescent="0.25">
      <c r="A8" s="753"/>
      <c r="C8" s="525" t="s">
        <v>161</v>
      </c>
      <c r="D8" s="499">
        <f t="shared" si="0"/>
        <v>45852</v>
      </c>
      <c r="E8" s="500" t="s">
        <v>165</v>
      </c>
      <c r="F8" s="460" t="s">
        <v>300</v>
      </c>
      <c r="G8" s="460" t="s">
        <v>381</v>
      </c>
      <c r="H8" s="460"/>
      <c r="I8" s="540"/>
      <c r="J8" s="540"/>
      <c r="K8" s="540"/>
      <c r="L8" s="555"/>
      <c r="M8" s="555"/>
      <c r="N8" s="555"/>
    </row>
    <row r="9" spans="1:22" x14ac:dyDescent="0.25">
      <c r="A9" s="753"/>
      <c r="C9" s="526" t="s">
        <v>161</v>
      </c>
      <c r="D9" s="449">
        <f t="shared" si="0"/>
        <v>45852</v>
      </c>
      <c r="E9" s="454" t="s">
        <v>166</v>
      </c>
      <c r="F9" s="460" t="s">
        <v>300</v>
      </c>
      <c r="G9" s="460" t="s">
        <v>381</v>
      </c>
      <c r="H9" s="460"/>
      <c r="I9" s="540"/>
      <c r="J9" s="540"/>
      <c r="K9" s="540"/>
      <c r="L9" s="564"/>
      <c r="M9" s="564"/>
      <c r="N9" s="564"/>
    </row>
    <row r="10" spans="1:22" x14ac:dyDescent="0.25">
      <c r="A10" s="753"/>
      <c r="C10" s="526" t="s">
        <v>161</v>
      </c>
      <c r="D10" s="449">
        <f t="shared" si="0"/>
        <v>45852</v>
      </c>
      <c r="E10" s="454" t="s">
        <v>167</v>
      </c>
      <c r="F10" s="460" t="s">
        <v>300</v>
      </c>
      <c r="G10" s="460" t="s">
        <v>381</v>
      </c>
      <c r="H10" s="460"/>
      <c r="I10" s="540"/>
      <c r="J10" s="540"/>
      <c r="K10" s="540"/>
      <c r="L10" s="564"/>
      <c r="M10" s="564"/>
      <c r="N10" s="564"/>
    </row>
    <row r="11" spans="1:22" x14ac:dyDescent="0.25">
      <c r="A11" s="753"/>
      <c r="C11" s="526" t="s">
        <v>161</v>
      </c>
      <c r="D11" s="449">
        <f t="shared" si="0"/>
        <v>45852</v>
      </c>
      <c r="E11" s="454" t="s">
        <v>167</v>
      </c>
      <c r="F11" s="460" t="s">
        <v>300</v>
      </c>
      <c r="G11" s="460" t="s">
        <v>381</v>
      </c>
      <c r="H11" s="460"/>
      <c r="I11" s="540"/>
      <c r="J11" s="540"/>
      <c r="K11" s="540"/>
      <c r="L11" s="564"/>
      <c r="M11" s="564"/>
      <c r="N11" s="564"/>
    </row>
    <row r="12" spans="1:22" x14ac:dyDescent="0.25">
      <c r="A12" s="753"/>
      <c r="C12" s="526" t="s">
        <v>161</v>
      </c>
      <c r="D12" s="449">
        <f t="shared" si="0"/>
        <v>45852</v>
      </c>
      <c r="E12" s="454" t="s">
        <v>169</v>
      </c>
      <c r="F12" s="460" t="s">
        <v>300</v>
      </c>
      <c r="G12" s="460" t="s">
        <v>381</v>
      </c>
      <c r="H12" s="460"/>
      <c r="I12" s="540"/>
      <c r="J12" s="540"/>
      <c r="K12" s="540"/>
      <c r="L12" s="564"/>
      <c r="M12" s="564"/>
      <c r="N12" s="564"/>
    </row>
    <row r="13" spans="1:22" x14ac:dyDescent="0.25">
      <c r="A13" s="753"/>
      <c r="C13" s="526" t="s">
        <v>161</v>
      </c>
      <c r="D13" s="449">
        <f t="shared" si="0"/>
        <v>45852</v>
      </c>
      <c r="E13" s="454" t="s">
        <v>170</v>
      </c>
      <c r="F13" s="512" t="s">
        <v>300</v>
      </c>
      <c r="G13" s="512" t="s">
        <v>381</v>
      </c>
      <c r="H13" s="505"/>
      <c r="I13" s="554"/>
      <c r="J13" s="541"/>
      <c r="K13" s="541"/>
      <c r="L13" s="556"/>
      <c r="M13" s="556"/>
      <c r="N13" s="556"/>
    </row>
    <row r="14" spans="1:22" x14ac:dyDescent="0.25">
      <c r="A14" s="753"/>
      <c r="C14" s="527"/>
      <c r="D14" s="449"/>
      <c r="E14" s="454"/>
      <c r="F14" s="460"/>
      <c r="G14" s="460"/>
      <c r="H14" s="460"/>
      <c r="I14" s="540"/>
      <c r="J14" s="540"/>
      <c r="K14" s="540"/>
      <c r="L14" s="565"/>
      <c r="M14" s="565"/>
      <c r="N14" s="565"/>
    </row>
    <row r="15" spans="1:22" x14ac:dyDescent="0.25">
      <c r="A15" s="753"/>
      <c r="C15" s="527" t="s">
        <v>171</v>
      </c>
      <c r="D15" s="449">
        <f>D13+1</f>
        <v>45853</v>
      </c>
      <c r="E15" s="454" t="s">
        <v>162</v>
      </c>
      <c r="F15" s="460" t="s">
        <v>300</v>
      </c>
      <c r="G15" s="460" t="s">
        <v>381</v>
      </c>
      <c r="H15" s="461"/>
      <c r="I15" s="540"/>
      <c r="J15" s="540"/>
      <c r="K15" s="540"/>
      <c r="L15" s="565"/>
      <c r="M15" s="565"/>
      <c r="N15" s="565"/>
    </row>
    <row r="16" spans="1:22" x14ac:dyDescent="0.25">
      <c r="A16" s="753"/>
      <c r="C16" s="527" t="s">
        <v>171</v>
      </c>
      <c r="D16" s="449">
        <f t="shared" ref="D16:D23" si="1">D15</f>
        <v>45853</v>
      </c>
      <c r="E16" s="454" t="s">
        <v>163</v>
      </c>
      <c r="F16" s="460" t="s">
        <v>300</v>
      </c>
      <c r="G16" s="460" t="s">
        <v>381</v>
      </c>
      <c r="H16" s="461"/>
      <c r="I16" s="540"/>
      <c r="J16" s="540"/>
      <c r="K16" s="540"/>
      <c r="L16" s="565"/>
      <c r="M16" s="565"/>
      <c r="N16" s="565"/>
    </row>
    <row r="17" spans="1:18" x14ac:dyDescent="0.25">
      <c r="A17" s="753"/>
      <c r="C17" s="527" t="s">
        <v>171</v>
      </c>
      <c r="D17" s="449">
        <f t="shared" si="1"/>
        <v>45853</v>
      </c>
      <c r="E17" s="454" t="s">
        <v>164</v>
      </c>
      <c r="F17" s="460" t="s">
        <v>300</v>
      </c>
      <c r="G17" s="460" t="s">
        <v>381</v>
      </c>
      <c r="H17" s="504"/>
      <c r="I17" s="540"/>
      <c r="J17" s="540"/>
      <c r="K17" s="540"/>
      <c r="L17" s="566"/>
      <c r="M17" s="566"/>
      <c r="N17" s="566"/>
    </row>
    <row r="18" spans="1:18" x14ac:dyDescent="0.25">
      <c r="A18" s="753"/>
      <c r="C18" s="527" t="s">
        <v>171</v>
      </c>
      <c r="D18" s="449">
        <f t="shared" si="1"/>
        <v>45853</v>
      </c>
      <c r="E18" s="454" t="s">
        <v>165</v>
      </c>
      <c r="F18" s="505" t="s">
        <v>300</v>
      </c>
      <c r="G18" s="516" t="s">
        <v>381</v>
      </c>
      <c r="H18" s="516"/>
      <c r="I18" s="516"/>
      <c r="J18" s="516"/>
      <c r="K18" s="516"/>
      <c r="L18" s="557"/>
      <c r="M18" s="557"/>
      <c r="N18" s="557"/>
    </row>
    <row r="19" spans="1:18" x14ac:dyDescent="0.25">
      <c r="A19" s="753"/>
      <c r="C19" s="527" t="s">
        <v>171</v>
      </c>
      <c r="D19" s="449">
        <f t="shared" si="1"/>
        <v>45853</v>
      </c>
      <c r="E19" s="455" t="s">
        <v>166</v>
      </c>
      <c r="F19" s="505" t="s">
        <v>300</v>
      </c>
      <c r="G19" s="516" t="s">
        <v>381</v>
      </c>
      <c r="H19" s="516"/>
      <c r="I19" s="516"/>
      <c r="J19" s="516"/>
      <c r="K19" s="516"/>
      <c r="L19" s="557"/>
      <c r="M19" s="557"/>
      <c r="N19" s="557"/>
    </row>
    <row r="20" spans="1:18" x14ac:dyDescent="0.25">
      <c r="A20" s="753"/>
      <c r="C20" s="527" t="s">
        <v>171</v>
      </c>
      <c r="D20" s="449">
        <f t="shared" si="1"/>
        <v>45853</v>
      </c>
      <c r="E20" s="455" t="s">
        <v>167</v>
      </c>
      <c r="F20" s="506" t="s">
        <v>300</v>
      </c>
      <c r="G20" s="506" t="s">
        <v>381</v>
      </c>
      <c r="H20" s="516"/>
      <c r="I20" s="516"/>
      <c r="J20" s="516"/>
      <c r="K20" s="516"/>
      <c r="L20" s="557"/>
      <c r="M20" s="557"/>
      <c r="N20" s="557"/>
    </row>
    <row r="21" spans="1:18" x14ac:dyDescent="0.25">
      <c r="A21" s="753"/>
      <c r="C21" s="527" t="s">
        <v>171</v>
      </c>
      <c r="D21" s="449">
        <f t="shared" si="1"/>
        <v>45853</v>
      </c>
      <c r="E21" s="503" t="s">
        <v>168</v>
      </c>
      <c r="F21" s="506" t="s">
        <v>300</v>
      </c>
      <c r="G21" s="506" t="s">
        <v>381</v>
      </c>
      <c r="H21" s="516"/>
      <c r="I21" s="516"/>
      <c r="J21" s="516"/>
      <c r="K21" s="516"/>
      <c r="L21" s="557"/>
      <c r="M21" s="557"/>
      <c r="N21" s="557"/>
    </row>
    <row r="22" spans="1:18" ht="15.75" thickBot="1" x14ac:dyDescent="0.3">
      <c r="A22" s="753"/>
      <c r="C22" s="528" t="s">
        <v>171</v>
      </c>
      <c r="D22" s="451">
        <f t="shared" si="1"/>
        <v>45853</v>
      </c>
      <c r="E22" s="459" t="s">
        <v>169</v>
      </c>
      <c r="F22" s="493" t="s">
        <v>300</v>
      </c>
      <c r="G22" s="493" t="s">
        <v>381</v>
      </c>
      <c r="H22" s="513"/>
      <c r="I22" s="513"/>
      <c r="J22" s="513"/>
      <c r="K22" s="513"/>
      <c r="L22" s="558"/>
      <c r="M22" s="558"/>
      <c r="N22" s="558"/>
    </row>
    <row r="23" spans="1:18" ht="4.5" customHeight="1" thickBot="1" x14ac:dyDescent="0.3">
      <c r="A23" s="753"/>
      <c r="C23" t="s">
        <v>171</v>
      </c>
      <c r="D23">
        <f t="shared" si="1"/>
        <v>45853</v>
      </c>
      <c r="E23" t="s">
        <v>170</v>
      </c>
      <c r="F23" t="s">
        <v>300</v>
      </c>
      <c r="G23" t="s">
        <v>381</v>
      </c>
      <c r="L23" s="559"/>
      <c r="M23" s="559"/>
      <c r="N23" s="559"/>
      <c r="Q23" s="3"/>
      <c r="R23" s="3"/>
    </row>
    <row r="24" spans="1:18" ht="15" customHeight="1" thickBot="1" x14ac:dyDescent="0.3">
      <c r="A24" s="753"/>
      <c r="C24" s="538"/>
      <c r="D24" s="539"/>
      <c r="E24" s="539"/>
      <c r="F24" s="539"/>
      <c r="G24" s="539"/>
      <c r="H24" s="539"/>
      <c r="I24" s="543"/>
      <c r="J24" s="542"/>
      <c r="K24" s="544"/>
      <c r="L24" s="560"/>
      <c r="M24" s="561"/>
      <c r="N24" s="562"/>
      <c r="O24" s="548"/>
      <c r="P24" s="549"/>
      <c r="Q24" s="3"/>
      <c r="R24" s="3"/>
    </row>
    <row r="25" spans="1:18" x14ac:dyDescent="0.25">
      <c r="A25" s="753"/>
      <c r="C25" s="446" t="s">
        <v>172</v>
      </c>
      <c r="D25" s="497">
        <f>D23+1</f>
        <v>45854</v>
      </c>
      <c r="E25" s="498" t="s">
        <v>162</v>
      </c>
      <c r="F25" s="514" t="s">
        <v>302</v>
      </c>
      <c r="G25" s="514" t="s">
        <v>410</v>
      </c>
      <c r="H25" s="515"/>
      <c r="I25" s="537"/>
      <c r="J25" s="537"/>
      <c r="K25" s="537"/>
      <c r="L25" s="563"/>
      <c r="M25" s="563"/>
      <c r="N25" s="563"/>
    </row>
    <row r="26" spans="1:18" x14ac:dyDescent="0.25">
      <c r="A26" s="753"/>
      <c r="C26" s="452" t="s">
        <v>172</v>
      </c>
      <c r="D26" s="499">
        <f t="shared" ref="D26:D33" si="2">D25</f>
        <v>45854</v>
      </c>
      <c r="E26" s="500" t="s">
        <v>163</v>
      </c>
      <c r="F26" s="460" t="s">
        <v>302</v>
      </c>
      <c r="G26" s="460" t="s">
        <v>410</v>
      </c>
      <c r="H26" s="501"/>
      <c r="I26" s="540"/>
      <c r="J26" s="540"/>
      <c r="K26" s="540"/>
      <c r="L26" s="555"/>
      <c r="M26" s="555"/>
      <c r="N26" s="555"/>
    </row>
    <row r="27" spans="1:18" x14ac:dyDescent="0.25">
      <c r="A27" s="753"/>
      <c r="C27" s="452" t="s">
        <v>172</v>
      </c>
      <c r="D27" s="449">
        <f t="shared" si="2"/>
        <v>45854</v>
      </c>
      <c r="E27" s="454" t="s">
        <v>164</v>
      </c>
      <c r="F27" s="460" t="s">
        <v>302</v>
      </c>
      <c r="G27" s="460" t="s">
        <v>410</v>
      </c>
      <c r="H27" s="460"/>
      <c r="I27" s="540"/>
      <c r="J27" s="540"/>
      <c r="K27" s="540"/>
      <c r="L27" s="564"/>
      <c r="M27" s="564"/>
      <c r="N27" s="564"/>
    </row>
    <row r="28" spans="1:18" x14ac:dyDescent="0.25">
      <c r="A28" s="753"/>
      <c r="C28" s="452" t="s">
        <v>172</v>
      </c>
      <c r="D28" s="449">
        <f t="shared" si="2"/>
        <v>45854</v>
      </c>
      <c r="E28" s="454" t="s">
        <v>165</v>
      </c>
      <c r="F28" s="460" t="s">
        <v>302</v>
      </c>
      <c r="G28" s="460" t="s">
        <v>410</v>
      </c>
      <c r="H28" s="460"/>
      <c r="I28" s="540"/>
      <c r="J28" s="540"/>
      <c r="K28" s="540"/>
      <c r="L28" s="564"/>
      <c r="M28" s="564"/>
      <c r="N28" s="564"/>
    </row>
    <row r="29" spans="1:18" x14ac:dyDescent="0.25">
      <c r="A29" s="753"/>
      <c r="C29" s="452" t="s">
        <v>172</v>
      </c>
      <c r="D29" s="449">
        <f t="shared" si="2"/>
        <v>45854</v>
      </c>
      <c r="E29" s="454" t="s">
        <v>166</v>
      </c>
      <c r="F29" s="460" t="s">
        <v>302</v>
      </c>
      <c r="G29" s="460" t="s">
        <v>410</v>
      </c>
      <c r="H29" s="460"/>
      <c r="I29" s="540"/>
      <c r="J29" s="540"/>
      <c r="K29" s="540"/>
      <c r="L29" s="564"/>
      <c r="M29" s="564"/>
      <c r="N29" s="564"/>
    </row>
    <row r="30" spans="1:18" x14ac:dyDescent="0.25">
      <c r="A30" s="753"/>
      <c r="C30" s="452" t="s">
        <v>172</v>
      </c>
      <c r="D30" s="449">
        <f t="shared" si="2"/>
        <v>45854</v>
      </c>
      <c r="E30" s="454" t="s">
        <v>167</v>
      </c>
      <c r="F30" s="460" t="s">
        <v>302</v>
      </c>
      <c r="G30" s="460" t="s">
        <v>410</v>
      </c>
      <c r="H30" s="460"/>
      <c r="I30" s="540"/>
      <c r="J30" s="540"/>
      <c r="K30" s="540"/>
      <c r="L30" s="564"/>
      <c r="M30" s="564"/>
      <c r="N30" s="564"/>
    </row>
    <row r="31" spans="1:18" x14ac:dyDescent="0.25">
      <c r="A31" s="753"/>
      <c r="C31" s="452" t="s">
        <v>172</v>
      </c>
      <c r="D31" s="449">
        <f t="shared" si="2"/>
        <v>45854</v>
      </c>
      <c r="E31" s="454" t="s">
        <v>168</v>
      </c>
      <c r="F31" s="517" t="s">
        <v>302</v>
      </c>
      <c r="G31" s="512" t="s">
        <v>410</v>
      </c>
      <c r="H31" s="505"/>
      <c r="I31" s="554"/>
      <c r="J31" s="541"/>
      <c r="K31" s="541"/>
      <c r="L31" s="556"/>
      <c r="M31" s="556"/>
      <c r="N31" s="556"/>
    </row>
    <row r="32" spans="1:18" x14ac:dyDescent="0.25">
      <c r="A32" s="753"/>
      <c r="C32" s="452" t="s">
        <v>172</v>
      </c>
      <c r="D32" s="449">
        <f t="shared" si="2"/>
        <v>45854</v>
      </c>
      <c r="E32" s="454" t="s">
        <v>169</v>
      </c>
      <c r="F32" s="460" t="s">
        <v>302</v>
      </c>
      <c r="G32" s="460" t="s">
        <v>410</v>
      </c>
      <c r="H32" s="461"/>
      <c r="I32" s="540"/>
      <c r="J32" s="540"/>
      <c r="K32" s="540"/>
      <c r="L32" s="565"/>
      <c r="M32" s="565"/>
      <c r="N32" s="565"/>
    </row>
    <row r="33" spans="1:18" x14ac:dyDescent="0.25">
      <c r="A33" s="753"/>
      <c r="C33" s="452" t="s">
        <v>172</v>
      </c>
      <c r="D33" s="449">
        <f t="shared" si="2"/>
        <v>45854</v>
      </c>
      <c r="E33" s="454" t="s">
        <v>170</v>
      </c>
      <c r="F33" s="460" t="s">
        <v>302</v>
      </c>
      <c r="G33" s="460" t="s">
        <v>410</v>
      </c>
      <c r="H33" s="461"/>
      <c r="I33" s="540"/>
      <c r="J33" s="540"/>
      <c r="K33" s="540"/>
      <c r="L33" s="565"/>
      <c r="M33" s="565"/>
      <c r="N33" s="565"/>
    </row>
    <row r="34" spans="1:18" x14ac:dyDescent="0.25">
      <c r="A34" s="753"/>
      <c r="C34" s="452"/>
      <c r="D34" s="449"/>
      <c r="E34" s="454"/>
      <c r="F34" s="460"/>
      <c r="G34" s="460"/>
      <c r="H34" s="461"/>
      <c r="I34" s="540"/>
      <c r="J34" s="540"/>
      <c r="K34" s="540"/>
      <c r="L34" s="565"/>
      <c r="M34" s="565"/>
      <c r="N34" s="565"/>
    </row>
    <row r="35" spans="1:18" x14ac:dyDescent="0.25">
      <c r="A35" s="753"/>
      <c r="C35" s="452" t="s">
        <v>173</v>
      </c>
      <c r="D35" s="449">
        <f>D33+1</f>
        <v>45855</v>
      </c>
      <c r="E35" s="454" t="s">
        <v>162</v>
      </c>
      <c r="F35" s="460" t="s">
        <v>302</v>
      </c>
      <c r="G35" s="460" t="s">
        <v>408</v>
      </c>
      <c r="H35" s="504"/>
      <c r="I35" s="540"/>
      <c r="J35" s="540"/>
      <c r="K35" s="540"/>
      <c r="L35" s="566"/>
      <c r="M35" s="566"/>
      <c r="N35" s="566"/>
    </row>
    <row r="36" spans="1:18" x14ac:dyDescent="0.25">
      <c r="A36" s="753"/>
      <c r="C36" s="452" t="s">
        <v>173</v>
      </c>
      <c r="D36" s="449">
        <f t="shared" ref="D36:D43" si="3">D35</f>
        <v>45855</v>
      </c>
      <c r="E36" s="454" t="s">
        <v>163</v>
      </c>
      <c r="F36" s="505" t="s">
        <v>302</v>
      </c>
      <c r="G36" s="505" t="s">
        <v>408</v>
      </c>
      <c r="H36" s="516"/>
      <c r="I36" s="516"/>
      <c r="J36" s="516"/>
      <c r="K36" s="516"/>
      <c r="L36" s="557"/>
      <c r="M36" s="557"/>
      <c r="N36" s="557"/>
    </row>
    <row r="37" spans="1:18" x14ac:dyDescent="0.25">
      <c r="A37" s="753"/>
      <c r="C37" s="448" t="s">
        <v>173</v>
      </c>
      <c r="D37" s="449">
        <f t="shared" si="3"/>
        <v>45855</v>
      </c>
      <c r="E37" s="455" t="s">
        <v>164</v>
      </c>
      <c r="F37" s="505" t="s">
        <v>302</v>
      </c>
      <c r="G37" s="505" t="s">
        <v>408</v>
      </c>
      <c r="H37" s="516"/>
      <c r="I37" s="516"/>
      <c r="J37" s="516"/>
      <c r="K37" s="516"/>
      <c r="L37" s="557"/>
      <c r="M37" s="557"/>
      <c r="N37" s="557"/>
    </row>
    <row r="38" spans="1:18" x14ac:dyDescent="0.25">
      <c r="A38" s="753"/>
      <c r="C38" s="448" t="s">
        <v>173</v>
      </c>
      <c r="D38" s="449">
        <f t="shared" si="3"/>
        <v>45855</v>
      </c>
      <c r="E38" s="455" t="s">
        <v>165</v>
      </c>
      <c r="F38" s="506" t="s">
        <v>302</v>
      </c>
      <c r="G38" s="506" t="s">
        <v>408</v>
      </c>
      <c r="H38" s="516"/>
      <c r="I38" s="516"/>
      <c r="J38" s="516"/>
      <c r="K38" s="516"/>
      <c r="L38" s="557"/>
      <c r="M38" s="557"/>
      <c r="N38" s="557"/>
    </row>
    <row r="39" spans="1:18" x14ac:dyDescent="0.25">
      <c r="A39" s="753"/>
      <c r="C39" s="448" t="s">
        <v>173</v>
      </c>
      <c r="D39" s="449">
        <f t="shared" si="3"/>
        <v>45855</v>
      </c>
      <c r="E39" s="503" t="s">
        <v>166</v>
      </c>
      <c r="F39" s="506" t="s">
        <v>302</v>
      </c>
      <c r="G39" s="506" t="s">
        <v>408</v>
      </c>
      <c r="H39" s="516"/>
      <c r="I39" s="516"/>
      <c r="J39" s="516"/>
      <c r="K39" s="516"/>
      <c r="L39" s="557"/>
      <c r="M39" s="557"/>
      <c r="N39" s="557"/>
    </row>
    <row r="40" spans="1:18" ht="15.75" thickBot="1" x14ac:dyDescent="0.3">
      <c r="A40" s="753"/>
      <c r="C40" s="450" t="s">
        <v>173</v>
      </c>
      <c r="D40" s="451">
        <f t="shared" si="3"/>
        <v>45855</v>
      </c>
      <c r="E40" s="459" t="s">
        <v>167</v>
      </c>
      <c r="F40" s="493" t="s">
        <v>302</v>
      </c>
      <c r="G40" s="493" t="s">
        <v>408</v>
      </c>
      <c r="H40" s="513"/>
      <c r="I40" s="513"/>
      <c r="J40" s="513"/>
      <c r="K40" s="513"/>
      <c r="L40" s="558"/>
      <c r="M40" s="558"/>
      <c r="N40" s="558"/>
    </row>
    <row r="41" spans="1:18" ht="4.5" customHeight="1" thickBot="1" x14ac:dyDescent="0.3">
      <c r="A41" s="753"/>
      <c r="C41" t="s">
        <v>173</v>
      </c>
      <c r="D41">
        <f t="shared" si="3"/>
        <v>45855</v>
      </c>
      <c r="E41" t="s">
        <v>168</v>
      </c>
      <c r="F41" t="s">
        <v>302</v>
      </c>
      <c r="G41" t="s">
        <v>408</v>
      </c>
      <c r="L41" s="559"/>
      <c r="M41" s="559"/>
      <c r="N41" s="559"/>
      <c r="Q41" s="3"/>
      <c r="R41" s="3"/>
    </row>
    <row r="42" spans="1:18" ht="15" customHeight="1" thickBot="1" x14ac:dyDescent="0.3">
      <c r="A42" s="753"/>
      <c r="C42" s="538" t="s">
        <v>173</v>
      </c>
      <c r="D42" s="539">
        <f t="shared" si="3"/>
        <v>45855</v>
      </c>
      <c r="E42" s="539" t="s">
        <v>169</v>
      </c>
      <c r="F42" s="539" t="s">
        <v>302</v>
      </c>
      <c r="G42" s="539" t="s">
        <v>408</v>
      </c>
      <c r="H42" s="539"/>
      <c r="I42" s="543"/>
      <c r="J42" s="542"/>
      <c r="K42" s="544"/>
      <c r="L42" s="560"/>
      <c r="M42" s="561"/>
      <c r="N42" s="562"/>
      <c r="O42" s="548"/>
      <c r="P42" s="549"/>
      <c r="Q42" s="3"/>
      <c r="R42" s="3"/>
    </row>
    <row r="43" spans="1:18" x14ac:dyDescent="0.25">
      <c r="A43" s="753"/>
      <c r="C43" s="446" t="s">
        <v>173</v>
      </c>
      <c r="D43" s="497">
        <f t="shared" si="3"/>
        <v>45855</v>
      </c>
      <c r="E43" s="498" t="s">
        <v>170</v>
      </c>
      <c r="F43" s="514" t="s">
        <v>302</v>
      </c>
      <c r="G43" s="514" t="s">
        <v>408</v>
      </c>
      <c r="H43" s="515"/>
      <c r="I43" s="537"/>
      <c r="J43" s="537"/>
      <c r="K43" s="537"/>
      <c r="L43" s="563"/>
      <c r="M43" s="563"/>
      <c r="N43" s="563"/>
    </row>
    <row r="44" spans="1:18" x14ac:dyDescent="0.25">
      <c r="A44" s="753"/>
      <c r="C44" s="452"/>
      <c r="D44" s="499"/>
      <c r="E44" s="500"/>
      <c r="F44" s="460"/>
      <c r="G44" s="460"/>
      <c r="H44" s="501"/>
      <c r="I44" s="540"/>
      <c r="J44" s="540"/>
      <c r="K44" s="540"/>
      <c r="L44" s="555"/>
      <c r="M44" s="555"/>
      <c r="N44" s="555"/>
    </row>
    <row r="45" spans="1:18" x14ac:dyDescent="0.25">
      <c r="A45" s="753"/>
      <c r="C45" s="452" t="s">
        <v>174</v>
      </c>
      <c r="D45" s="449">
        <f>D43+1</f>
        <v>45856</v>
      </c>
      <c r="E45" s="454" t="s">
        <v>162</v>
      </c>
      <c r="F45" s="460" t="s">
        <v>387</v>
      </c>
      <c r="G45" s="460" t="s">
        <v>301</v>
      </c>
      <c r="H45" s="460"/>
      <c r="I45" s="540"/>
      <c r="J45" s="540"/>
      <c r="K45" s="540"/>
      <c r="L45" s="564"/>
      <c r="M45" s="564"/>
      <c r="N45" s="564"/>
    </row>
    <row r="46" spans="1:18" x14ac:dyDescent="0.25">
      <c r="A46" s="753"/>
      <c r="C46" s="452" t="s">
        <v>174</v>
      </c>
      <c r="D46" s="449">
        <f t="shared" ref="D46:D52" si="4">D45</f>
        <v>45856</v>
      </c>
      <c r="E46" s="454" t="s">
        <v>163</v>
      </c>
      <c r="F46" s="460" t="s">
        <v>387</v>
      </c>
      <c r="G46" s="460" t="s">
        <v>301</v>
      </c>
      <c r="H46" s="460"/>
      <c r="I46" s="540"/>
      <c r="J46" s="540"/>
      <c r="K46" s="540"/>
      <c r="L46" s="564"/>
      <c r="M46" s="564"/>
      <c r="N46" s="564"/>
    </row>
    <row r="47" spans="1:18" x14ac:dyDescent="0.25">
      <c r="A47" s="753"/>
      <c r="C47" s="452" t="s">
        <v>174</v>
      </c>
      <c r="D47" s="449">
        <f t="shared" si="4"/>
        <v>45856</v>
      </c>
      <c r="E47" s="454" t="s">
        <v>164</v>
      </c>
      <c r="F47" s="460" t="s">
        <v>386</v>
      </c>
      <c r="G47" s="460" t="s">
        <v>301</v>
      </c>
      <c r="H47" s="460"/>
      <c r="I47" s="540"/>
      <c r="J47" s="540"/>
      <c r="K47" s="540"/>
      <c r="L47" s="564"/>
      <c r="M47" s="564"/>
      <c r="N47" s="564"/>
    </row>
    <row r="48" spans="1:18" x14ac:dyDescent="0.25">
      <c r="A48" s="753"/>
      <c r="C48" s="452" t="s">
        <v>174</v>
      </c>
      <c r="D48" s="449">
        <f t="shared" si="4"/>
        <v>45856</v>
      </c>
      <c r="E48" s="454" t="s">
        <v>165</v>
      </c>
      <c r="F48" s="460" t="s">
        <v>386</v>
      </c>
      <c r="G48" s="460" t="s">
        <v>301</v>
      </c>
      <c r="H48" s="460"/>
      <c r="I48" s="540"/>
      <c r="J48" s="540"/>
      <c r="K48" s="540"/>
      <c r="L48" s="564"/>
      <c r="M48" s="564"/>
      <c r="N48" s="564"/>
    </row>
    <row r="49" spans="1:18" x14ac:dyDescent="0.25">
      <c r="A49" s="753"/>
      <c r="C49" s="452" t="s">
        <v>174</v>
      </c>
      <c r="D49" s="449">
        <f t="shared" si="4"/>
        <v>45856</v>
      </c>
      <c r="E49" s="454" t="s">
        <v>166</v>
      </c>
      <c r="F49" s="517" t="s">
        <v>405</v>
      </c>
      <c r="G49" s="512" t="s">
        <v>301</v>
      </c>
      <c r="H49" s="505"/>
      <c r="I49" s="541"/>
      <c r="J49" s="541"/>
      <c r="K49" s="541"/>
      <c r="L49" s="556"/>
      <c r="M49" s="556"/>
      <c r="N49" s="556"/>
    </row>
    <row r="50" spans="1:18" x14ac:dyDescent="0.25">
      <c r="A50" s="753"/>
      <c r="C50" s="452" t="s">
        <v>174</v>
      </c>
      <c r="D50" s="449">
        <f t="shared" si="4"/>
        <v>45856</v>
      </c>
      <c r="E50" s="454" t="s">
        <v>167</v>
      </c>
      <c r="F50" s="460" t="s">
        <v>405</v>
      </c>
      <c r="G50" s="460" t="s">
        <v>301</v>
      </c>
      <c r="H50" s="461"/>
      <c r="I50" s="540"/>
      <c r="J50" s="540"/>
      <c r="K50" s="540"/>
      <c r="L50" s="565"/>
      <c r="M50" s="565"/>
      <c r="N50" s="565"/>
    </row>
    <row r="51" spans="1:18" x14ac:dyDescent="0.25">
      <c r="A51" s="753"/>
      <c r="C51" s="452" t="s">
        <v>174</v>
      </c>
      <c r="D51" s="449">
        <f t="shared" si="4"/>
        <v>45856</v>
      </c>
      <c r="E51" s="454" t="s">
        <v>168</v>
      </c>
      <c r="F51" s="460" t="s">
        <v>405</v>
      </c>
      <c r="G51" s="460" t="s">
        <v>301</v>
      </c>
      <c r="H51" s="461"/>
      <c r="I51" s="540"/>
      <c r="J51" s="540"/>
      <c r="K51" s="540"/>
      <c r="L51" s="565"/>
      <c r="M51" s="565"/>
      <c r="N51" s="565"/>
    </row>
    <row r="52" spans="1:18" x14ac:dyDescent="0.25">
      <c r="A52" s="753"/>
      <c r="C52" s="452" t="s">
        <v>174</v>
      </c>
      <c r="D52" s="449">
        <f t="shared" si="4"/>
        <v>45856</v>
      </c>
      <c r="E52" s="454" t="s">
        <v>169</v>
      </c>
      <c r="F52" s="460" t="s">
        <v>405</v>
      </c>
      <c r="G52" s="460" t="s">
        <v>301</v>
      </c>
      <c r="H52" s="461"/>
      <c r="I52" s="540"/>
      <c r="J52" s="540"/>
      <c r="K52" s="540"/>
      <c r="L52" s="565"/>
      <c r="M52" s="565"/>
      <c r="N52" s="565"/>
    </row>
    <row r="53" spans="1:18" x14ac:dyDescent="0.25">
      <c r="A53" s="753" t="s">
        <v>310</v>
      </c>
      <c r="C53" s="452"/>
      <c r="D53" s="449"/>
      <c r="E53" s="454"/>
      <c r="F53" s="460"/>
      <c r="G53" s="460"/>
      <c r="H53" s="504"/>
      <c r="I53" s="540"/>
      <c r="J53" s="540"/>
      <c r="K53" s="540"/>
      <c r="L53" s="565"/>
      <c r="M53" s="566"/>
      <c r="N53" s="566"/>
    </row>
    <row r="54" spans="1:18" x14ac:dyDescent="0.25">
      <c r="A54" s="753"/>
      <c r="C54" s="452" t="s">
        <v>161</v>
      </c>
      <c r="D54" s="449">
        <f>D52+3</f>
        <v>45859</v>
      </c>
      <c r="E54" s="454" t="s">
        <v>162</v>
      </c>
      <c r="F54" s="505" t="s">
        <v>406</v>
      </c>
      <c r="G54" s="505" t="s">
        <v>380</v>
      </c>
      <c r="H54" s="516"/>
      <c r="I54" s="516"/>
      <c r="J54" s="516"/>
      <c r="K54" s="516"/>
      <c r="L54" s="557"/>
      <c r="M54" s="557"/>
      <c r="N54" s="557"/>
    </row>
    <row r="55" spans="1:18" x14ac:dyDescent="0.25">
      <c r="A55" s="753"/>
      <c r="C55" s="448" t="s">
        <v>161</v>
      </c>
      <c r="D55" s="449">
        <f t="shared" ref="D55:D62" si="5">D54</f>
        <v>45859</v>
      </c>
      <c r="E55" s="455" t="s">
        <v>163</v>
      </c>
      <c r="F55" s="505" t="s">
        <v>406</v>
      </c>
      <c r="G55" s="505" t="s">
        <v>380</v>
      </c>
      <c r="H55" s="516"/>
      <c r="I55" s="516"/>
      <c r="J55" s="516"/>
      <c r="K55" s="516"/>
      <c r="L55" s="557"/>
      <c r="M55" s="557"/>
      <c r="N55" s="557"/>
    </row>
    <row r="56" spans="1:18" x14ac:dyDescent="0.25">
      <c r="A56" s="753"/>
      <c r="C56" s="448" t="s">
        <v>161</v>
      </c>
      <c r="D56" s="449">
        <f t="shared" si="5"/>
        <v>45859</v>
      </c>
      <c r="E56" s="455" t="s">
        <v>164</v>
      </c>
      <c r="F56" s="506" t="s">
        <v>421</v>
      </c>
      <c r="G56" s="506" t="s">
        <v>301</v>
      </c>
      <c r="H56" s="516"/>
      <c r="I56" s="516"/>
      <c r="J56" s="516"/>
      <c r="K56" s="516"/>
      <c r="L56" s="557"/>
      <c r="M56" s="557"/>
      <c r="N56" s="557"/>
    </row>
    <row r="57" spans="1:18" x14ac:dyDescent="0.25">
      <c r="A57" s="753"/>
      <c r="C57" s="448" t="s">
        <v>161</v>
      </c>
      <c r="D57" s="449">
        <f t="shared" si="5"/>
        <v>45859</v>
      </c>
      <c r="E57" s="503" t="s">
        <v>165</v>
      </c>
      <c r="F57" s="506" t="s">
        <v>421</v>
      </c>
      <c r="G57" s="506" t="s">
        <v>301</v>
      </c>
      <c r="H57" s="516"/>
      <c r="I57" s="516"/>
      <c r="J57" s="516"/>
      <c r="K57" s="516"/>
      <c r="L57" s="557"/>
      <c r="M57" s="557"/>
      <c r="N57" s="557"/>
    </row>
    <row r="58" spans="1:18" ht="15.75" thickBot="1" x14ac:dyDescent="0.3">
      <c r="A58" s="753"/>
      <c r="C58" s="450" t="s">
        <v>161</v>
      </c>
      <c r="D58" s="451">
        <f t="shared" si="5"/>
        <v>45859</v>
      </c>
      <c r="E58" s="459" t="s">
        <v>166</v>
      </c>
      <c r="F58" s="493" t="s">
        <v>421</v>
      </c>
      <c r="G58" s="493" t="s">
        <v>301</v>
      </c>
      <c r="H58" s="513"/>
      <c r="I58" s="513"/>
      <c r="J58" s="513"/>
      <c r="K58" s="513"/>
      <c r="L58" s="558"/>
      <c r="M58" s="558"/>
      <c r="N58" s="558"/>
    </row>
    <row r="59" spans="1:18" ht="4.5" customHeight="1" thickBot="1" x14ac:dyDescent="0.3">
      <c r="A59" s="753"/>
      <c r="C59" t="s">
        <v>161</v>
      </c>
      <c r="D59">
        <f t="shared" si="5"/>
        <v>45859</v>
      </c>
      <c r="E59" t="s">
        <v>167</v>
      </c>
      <c r="F59" t="s">
        <v>421</v>
      </c>
      <c r="G59" t="s">
        <v>301</v>
      </c>
      <c r="L59" s="559"/>
      <c r="M59" s="559"/>
      <c r="N59" s="559"/>
      <c r="Q59" s="3"/>
      <c r="R59" s="3"/>
    </row>
    <row r="60" spans="1:18" ht="15" customHeight="1" thickBot="1" x14ac:dyDescent="0.3">
      <c r="A60" s="753"/>
      <c r="C60" s="538" t="s">
        <v>161</v>
      </c>
      <c r="D60" s="539">
        <f t="shared" si="5"/>
        <v>45859</v>
      </c>
      <c r="E60" s="539" t="s">
        <v>167</v>
      </c>
      <c r="F60" s="539" t="s">
        <v>388</v>
      </c>
      <c r="G60" s="539" t="s">
        <v>301</v>
      </c>
      <c r="H60" s="539"/>
      <c r="I60" s="543"/>
      <c r="J60" s="542"/>
      <c r="K60" s="544"/>
      <c r="L60" s="560"/>
      <c r="M60" s="561"/>
      <c r="N60" s="562"/>
      <c r="O60" s="548"/>
      <c r="P60" s="549"/>
      <c r="Q60" s="3"/>
      <c r="R60" s="3"/>
    </row>
    <row r="61" spans="1:18" x14ac:dyDescent="0.25">
      <c r="A61" s="753"/>
      <c r="C61" s="529" t="s">
        <v>161</v>
      </c>
      <c r="D61" s="447">
        <f t="shared" si="5"/>
        <v>45859</v>
      </c>
      <c r="E61" s="498" t="s">
        <v>169</v>
      </c>
      <c r="F61" s="514" t="s">
        <v>388</v>
      </c>
      <c r="G61" s="514" t="s">
        <v>301</v>
      </c>
      <c r="H61" s="515"/>
      <c r="I61" s="537"/>
      <c r="J61" s="537"/>
      <c r="K61" s="537"/>
      <c r="L61" s="563"/>
      <c r="M61" s="563"/>
      <c r="N61" s="563"/>
    </row>
    <row r="62" spans="1:18" x14ac:dyDescent="0.25">
      <c r="A62" s="753"/>
      <c r="C62" s="452" t="s">
        <v>161</v>
      </c>
      <c r="D62" s="453">
        <f t="shared" si="5"/>
        <v>45859</v>
      </c>
      <c r="E62" s="500" t="s">
        <v>170</v>
      </c>
      <c r="F62" s="460" t="s">
        <v>388</v>
      </c>
      <c r="G62" s="460" t="s">
        <v>301</v>
      </c>
      <c r="H62" s="501"/>
      <c r="I62" s="540"/>
      <c r="J62" s="540"/>
      <c r="K62" s="540"/>
      <c r="L62" s="555"/>
      <c r="M62" s="555"/>
      <c r="N62" s="555"/>
    </row>
    <row r="63" spans="1:18" x14ac:dyDescent="0.25">
      <c r="A63" s="753"/>
      <c r="C63" s="452"/>
      <c r="D63" s="453"/>
      <c r="E63" s="454"/>
      <c r="F63" s="460"/>
      <c r="G63" s="460"/>
      <c r="H63" s="460"/>
      <c r="I63" s="540"/>
      <c r="J63" s="540"/>
      <c r="K63" s="540"/>
      <c r="L63" s="564"/>
      <c r="M63" s="564"/>
      <c r="N63" s="564"/>
    </row>
    <row r="64" spans="1:18" x14ac:dyDescent="0.25">
      <c r="A64" s="753"/>
      <c r="C64" s="452" t="s">
        <v>171</v>
      </c>
      <c r="D64" s="453">
        <f>D62+1</f>
        <v>45860</v>
      </c>
      <c r="E64" s="454" t="s">
        <v>162</v>
      </c>
      <c r="F64" s="460" t="s">
        <v>561</v>
      </c>
      <c r="G64" s="460" t="s">
        <v>301</v>
      </c>
      <c r="H64" s="460"/>
      <c r="I64" s="540"/>
      <c r="J64" s="540"/>
      <c r="K64" s="540"/>
      <c r="L64" s="564"/>
      <c r="M64" s="564"/>
      <c r="N64" s="564"/>
    </row>
    <row r="65" spans="1:18" x14ac:dyDescent="0.25">
      <c r="A65" s="753"/>
      <c r="C65" s="452" t="s">
        <v>171</v>
      </c>
      <c r="D65" s="453">
        <f t="shared" ref="D65:D72" si="6">D64</f>
        <v>45860</v>
      </c>
      <c r="E65" s="454" t="s">
        <v>163</v>
      </c>
      <c r="F65" s="460" t="s">
        <v>561</v>
      </c>
      <c r="G65" s="460" t="s">
        <v>301</v>
      </c>
      <c r="H65" s="460"/>
      <c r="I65" s="540"/>
      <c r="J65" s="540"/>
      <c r="K65" s="540"/>
      <c r="L65" s="564"/>
      <c r="M65" s="564"/>
      <c r="N65" s="564"/>
    </row>
    <row r="66" spans="1:18" x14ac:dyDescent="0.25">
      <c r="A66" s="753"/>
      <c r="C66" s="452" t="s">
        <v>171</v>
      </c>
      <c r="D66" s="453">
        <f t="shared" si="6"/>
        <v>45860</v>
      </c>
      <c r="E66" s="454" t="s">
        <v>164</v>
      </c>
      <c r="F66" s="460" t="s">
        <v>561</v>
      </c>
      <c r="G66" s="460" t="s">
        <v>301</v>
      </c>
      <c r="H66" s="460"/>
      <c r="I66" s="540"/>
      <c r="J66" s="540"/>
      <c r="K66" s="540"/>
      <c r="L66" s="564"/>
      <c r="M66" s="564"/>
      <c r="N66" s="564"/>
    </row>
    <row r="67" spans="1:18" x14ac:dyDescent="0.25">
      <c r="A67" s="753"/>
      <c r="C67" s="452" t="s">
        <v>171</v>
      </c>
      <c r="D67" s="453">
        <f t="shared" si="6"/>
        <v>45860</v>
      </c>
      <c r="E67" s="454" t="s">
        <v>165</v>
      </c>
      <c r="F67" s="517" t="s">
        <v>561</v>
      </c>
      <c r="G67" s="512" t="s">
        <v>301</v>
      </c>
      <c r="H67" s="505"/>
      <c r="I67" s="541"/>
      <c r="J67" s="541"/>
      <c r="K67" s="541"/>
      <c r="L67" s="556"/>
      <c r="M67" s="556"/>
      <c r="N67" s="556"/>
    </row>
    <row r="68" spans="1:18" x14ac:dyDescent="0.25">
      <c r="A68" s="753"/>
      <c r="C68" s="452" t="s">
        <v>171</v>
      </c>
      <c r="D68" s="449">
        <f t="shared" si="6"/>
        <v>45860</v>
      </c>
      <c r="E68" s="454" t="s">
        <v>166</v>
      </c>
      <c r="F68" s="460" t="s">
        <v>561</v>
      </c>
      <c r="G68" s="460" t="s">
        <v>301</v>
      </c>
      <c r="H68" s="461"/>
      <c r="I68" s="540"/>
      <c r="J68" s="540"/>
      <c r="K68" s="540"/>
      <c r="L68" s="565"/>
      <c r="M68" s="565"/>
      <c r="N68" s="565"/>
    </row>
    <row r="69" spans="1:18" x14ac:dyDescent="0.25">
      <c r="A69" s="753"/>
      <c r="C69" s="452" t="s">
        <v>171</v>
      </c>
      <c r="D69" s="449">
        <f t="shared" si="6"/>
        <v>45860</v>
      </c>
      <c r="E69" s="454" t="s">
        <v>167</v>
      </c>
      <c r="F69" s="460" t="s">
        <v>561</v>
      </c>
      <c r="G69" s="460" t="s">
        <v>301</v>
      </c>
      <c r="H69" s="461"/>
      <c r="I69" s="540"/>
      <c r="J69" s="540"/>
      <c r="K69" s="540"/>
      <c r="L69" s="565"/>
      <c r="M69" s="565"/>
      <c r="N69" s="565"/>
    </row>
    <row r="70" spans="1:18" x14ac:dyDescent="0.25">
      <c r="A70" s="753"/>
      <c r="C70" s="452" t="s">
        <v>171</v>
      </c>
      <c r="D70" s="449">
        <f t="shared" si="6"/>
        <v>45860</v>
      </c>
      <c r="E70" s="454" t="s">
        <v>168</v>
      </c>
      <c r="F70" s="460" t="s">
        <v>561</v>
      </c>
      <c r="G70" s="460" t="s">
        <v>301</v>
      </c>
      <c r="H70" s="461"/>
      <c r="I70" s="540"/>
      <c r="J70" s="540"/>
      <c r="K70" s="540"/>
      <c r="L70" s="565"/>
      <c r="M70" s="565"/>
      <c r="N70" s="565"/>
    </row>
    <row r="71" spans="1:18" x14ac:dyDescent="0.25">
      <c r="A71" s="753"/>
      <c r="C71" s="452" t="s">
        <v>171</v>
      </c>
      <c r="D71" s="449">
        <f t="shared" si="6"/>
        <v>45860</v>
      </c>
      <c r="E71" s="454" t="s">
        <v>169</v>
      </c>
      <c r="F71" s="460" t="s">
        <v>561</v>
      </c>
      <c r="G71" s="460" t="s">
        <v>301</v>
      </c>
      <c r="H71" s="504"/>
      <c r="I71" s="545"/>
      <c r="J71" s="540"/>
      <c r="K71" s="540"/>
      <c r="L71" s="566"/>
      <c r="M71" s="566"/>
      <c r="N71" s="566"/>
    </row>
    <row r="72" spans="1:18" x14ac:dyDescent="0.25">
      <c r="A72" s="753"/>
      <c r="C72" s="452" t="s">
        <v>171</v>
      </c>
      <c r="D72" s="449">
        <f t="shared" si="6"/>
        <v>45860</v>
      </c>
      <c r="E72" s="454" t="s">
        <v>170</v>
      </c>
      <c r="F72" s="505" t="s">
        <v>561</v>
      </c>
      <c r="G72" s="505" t="s">
        <v>301</v>
      </c>
      <c r="H72" s="516"/>
      <c r="I72" s="516"/>
      <c r="J72" s="516"/>
      <c r="K72" s="516"/>
      <c r="L72" s="557"/>
      <c r="M72" s="557"/>
      <c r="N72" s="557"/>
    </row>
    <row r="73" spans="1:18" x14ac:dyDescent="0.25">
      <c r="A73" s="753"/>
      <c r="C73" s="452"/>
      <c r="D73" s="449"/>
      <c r="E73" s="455"/>
      <c r="F73" s="505"/>
      <c r="G73" s="505"/>
      <c r="H73" s="516"/>
      <c r="I73" s="516"/>
      <c r="J73" s="516"/>
      <c r="K73" s="516"/>
      <c r="L73" s="557"/>
      <c r="M73" s="557"/>
      <c r="N73" s="557"/>
    </row>
    <row r="74" spans="1:18" x14ac:dyDescent="0.25">
      <c r="A74" s="753"/>
      <c r="C74" s="452" t="s">
        <v>172</v>
      </c>
      <c r="D74" s="449">
        <f>D72+1</f>
        <v>45861</v>
      </c>
      <c r="E74" s="455" t="s">
        <v>162</v>
      </c>
      <c r="F74" s="506" t="s">
        <v>561</v>
      </c>
      <c r="G74" s="506" t="s">
        <v>301</v>
      </c>
      <c r="H74" s="516"/>
      <c r="I74" s="516"/>
      <c r="J74" s="516"/>
      <c r="K74" s="516"/>
      <c r="L74" s="557"/>
      <c r="M74" s="557"/>
      <c r="N74" s="557"/>
    </row>
    <row r="75" spans="1:18" x14ac:dyDescent="0.25">
      <c r="A75" s="753"/>
      <c r="C75" s="452" t="s">
        <v>172</v>
      </c>
      <c r="D75" s="449">
        <f t="shared" ref="D75:D82" si="7">D74</f>
        <v>45861</v>
      </c>
      <c r="E75" s="503" t="s">
        <v>163</v>
      </c>
      <c r="F75" s="506" t="s">
        <v>561</v>
      </c>
      <c r="G75" s="506" t="s">
        <v>301</v>
      </c>
      <c r="H75" s="516"/>
      <c r="I75" s="516"/>
      <c r="J75" s="516"/>
      <c r="K75" s="516"/>
      <c r="L75" s="557"/>
      <c r="M75" s="557"/>
      <c r="N75" s="557"/>
    </row>
    <row r="76" spans="1:18" ht="15.75" thickBot="1" x14ac:dyDescent="0.3">
      <c r="A76" s="753"/>
      <c r="C76" s="530" t="s">
        <v>172</v>
      </c>
      <c r="D76" s="451">
        <f t="shared" si="7"/>
        <v>45861</v>
      </c>
      <c r="E76" s="459" t="s">
        <v>164</v>
      </c>
      <c r="F76" s="493" t="s">
        <v>561</v>
      </c>
      <c r="G76" s="493" t="s">
        <v>301</v>
      </c>
      <c r="H76" s="513"/>
      <c r="I76" s="513"/>
      <c r="J76" s="513"/>
      <c r="K76" s="513"/>
      <c r="L76" s="558"/>
      <c r="M76" s="558"/>
      <c r="N76" s="558"/>
    </row>
    <row r="77" spans="1:18" ht="4.5" customHeight="1" thickBot="1" x14ac:dyDescent="0.3">
      <c r="A77" s="753"/>
      <c r="C77" t="s">
        <v>172</v>
      </c>
      <c r="D77">
        <f t="shared" si="7"/>
        <v>45861</v>
      </c>
      <c r="E77" t="s">
        <v>165</v>
      </c>
      <c r="F77" t="s">
        <v>561</v>
      </c>
      <c r="G77" t="s">
        <v>301</v>
      </c>
      <c r="I77" s="420"/>
      <c r="J77" s="420"/>
      <c r="K77" s="420"/>
      <c r="L77" s="559"/>
      <c r="M77" s="559"/>
      <c r="N77" s="559"/>
      <c r="Q77" s="3"/>
      <c r="R77" s="3"/>
    </row>
    <row r="78" spans="1:18" ht="15" customHeight="1" thickBot="1" x14ac:dyDescent="0.3">
      <c r="A78" s="753"/>
      <c r="C78" s="546" t="s">
        <v>172</v>
      </c>
      <c r="D78" s="547">
        <f t="shared" si="7"/>
        <v>45861</v>
      </c>
      <c r="E78" s="539" t="s">
        <v>166</v>
      </c>
      <c r="F78" s="539" t="s">
        <v>561</v>
      </c>
      <c r="G78" s="539" t="s">
        <v>502</v>
      </c>
      <c r="H78" s="539"/>
      <c r="I78" s="543"/>
      <c r="J78" s="542"/>
      <c r="K78" s="544"/>
      <c r="L78" s="560"/>
      <c r="M78" s="561"/>
      <c r="N78" s="562"/>
      <c r="O78" s="548"/>
      <c r="P78" s="549"/>
      <c r="Q78" s="3"/>
      <c r="R78" s="3"/>
    </row>
    <row r="79" spans="1:18" x14ac:dyDescent="0.25">
      <c r="A79" s="753"/>
      <c r="C79" s="529" t="s">
        <v>172</v>
      </c>
      <c r="D79" s="447">
        <f t="shared" si="7"/>
        <v>45861</v>
      </c>
      <c r="E79" s="498" t="s">
        <v>167</v>
      </c>
      <c r="F79" s="514" t="s">
        <v>561</v>
      </c>
      <c r="G79" s="514" t="s">
        <v>502</v>
      </c>
      <c r="H79" s="514"/>
      <c r="I79" s="537"/>
      <c r="J79" s="537"/>
      <c r="K79" s="537"/>
      <c r="L79" s="563"/>
      <c r="M79" s="563"/>
      <c r="N79" s="563"/>
    </row>
    <row r="80" spans="1:18" x14ac:dyDescent="0.25">
      <c r="A80" s="753"/>
      <c r="C80" s="452" t="s">
        <v>172</v>
      </c>
      <c r="D80" s="453">
        <f t="shared" si="7"/>
        <v>45861</v>
      </c>
      <c r="E80" s="500" t="s">
        <v>168</v>
      </c>
      <c r="F80" s="569" t="s">
        <v>561</v>
      </c>
      <c r="G80" s="569" t="s">
        <v>502</v>
      </c>
      <c r="H80" s="569"/>
      <c r="I80" s="540"/>
      <c r="J80" s="540"/>
      <c r="K80" s="540"/>
      <c r="L80" s="555"/>
      <c r="M80" s="555"/>
      <c r="N80" s="555"/>
    </row>
    <row r="81" spans="1:18" x14ac:dyDescent="0.25">
      <c r="A81" s="753"/>
      <c r="C81" s="452" t="s">
        <v>172</v>
      </c>
      <c r="D81" s="453">
        <f t="shared" si="7"/>
        <v>45861</v>
      </c>
      <c r="E81" s="454" t="s">
        <v>169</v>
      </c>
      <c r="F81" s="569" t="s">
        <v>561</v>
      </c>
      <c r="G81" s="569" t="s">
        <v>502</v>
      </c>
      <c r="H81" s="569"/>
      <c r="I81" s="540"/>
      <c r="J81" s="540"/>
      <c r="K81" s="540"/>
      <c r="L81" s="564"/>
      <c r="M81" s="564"/>
      <c r="N81" s="564"/>
    </row>
    <row r="82" spans="1:18" x14ac:dyDescent="0.25">
      <c r="A82" s="753"/>
      <c r="C82" s="452" t="s">
        <v>172</v>
      </c>
      <c r="D82" s="453">
        <f t="shared" si="7"/>
        <v>45861</v>
      </c>
      <c r="E82" s="454" t="s">
        <v>170</v>
      </c>
      <c r="F82" s="569" t="s">
        <v>561</v>
      </c>
      <c r="G82" s="569" t="s">
        <v>502</v>
      </c>
      <c r="H82" s="569"/>
      <c r="I82" s="540"/>
      <c r="J82" s="540"/>
      <c r="K82" s="540"/>
      <c r="L82" s="564"/>
      <c r="M82" s="564"/>
      <c r="N82" s="564"/>
    </row>
    <row r="83" spans="1:18" x14ac:dyDescent="0.25">
      <c r="A83" s="753"/>
      <c r="C83" s="452"/>
      <c r="D83" s="453"/>
      <c r="E83" s="454"/>
      <c r="F83" s="569"/>
      <c r="G83" s="569"/>
      <c r="H83" s="569"/>
      <c r="I83" s="540"/>
      <c r="J83" s="540"/>
      <c r="K83" s="540"/>
      <c r="L83" s="564"/>
      <c r="M83" s="564"/>
      <c r="N83" s="564"/>
    </row>
    <row r="84" spans="1:18" x14ac:dyDescent="0.25">
      <c r="A84" s="753"/>
      <c r="C84" s="452" t="s">
        <v>173</v>
      </c>
      <c r="D84" s="453">
        <f>D82+1</f>
        <v>45862</v>
      </c>
      <c r="E84" s="454" t="s">
        <v>162</v>
      </c>
      <c r="F84" s="569" t="s">
        <v>561</v>
      </c>
      <c r="G84" s="569" t="s">
        <v>502</v>
      </c>
      <c r="H84" s="569"/>
      <c r="I84" s="540"/>
      <c r="J84" s="540"/>
      <c r="K84" s="540"/>
      <c r="L84" s="564"/>
      <c r="M84" s="564"/>
      <c r="N84" s="564"/>
    </row>
    <row r="85" spans="1:18" x14ac:dyDescent="0.25">
      <c r="A85" s="753"/>
      <c r="C85" s="452" t="s">
        <v>173</v>
      </c>
      <c r="D85" s="453">
        <f t="shared" ref="D85:D92" si="8">D84</f>
        <v>45862</v>
      </c>
      <c r="E85" s="454" t="s">
        <v>163</v>
      </c>
      <c r="F85" s="512" t="s">
        <v>561</v>
      </c>
      <c r="G85" s="512" t="s">
        <v>502</v>
      </c>
      <c r="H85" s="512"/>
      <c r="I85" s="541"/>
      <c r="J85" s="541"/>
      <c r="K85" s="541"/>
      <c r="L85" s="556"/>
      <c r="M85" s="556"/>
      <c r="N85" s="556"/>
    </row>
    <row r="86" spans="1:18" x14ac:dyDescent="0.25">
      <c r="A86" s="753"/>
      <c r="C86" s="452" t="s">
        <v>173</v>
      </c>
      <c r="D86" s="449">
        <f t="shared" si="8"/>
        <v>45862</v>
      </c>
      <c r="E86" s="454" t="s">
        <v>164</v>
      </c>
      <c r="F86" s="569" t="s">
        <v>561</v>
      </c>
      <c r="G86" s="569" t="s">
        <v>502</v>
      </c>
      <c r="H86" s="569"/>
      <c r="I86" s="540"/>
      <c r="J86" s="540"/>
      <c r="K86" s="540"/>
      <c r="L86" s="565"/>
      <c r="M86" s="565"/>
      <c r="N86" s="565"/>
    </row>
    <row r="87" spans="1:18" x14ac:dyDescent="0.25">
      <c r="A87" s="753"/>
      <c r="C87" s="452" t="s">
        <v>173</v>
      </c>
      <c r="D87" s="449">
        <f t="shared" si="8"/>
        <v>45862</v>
      </c>
      <c r="E87" s="454" t="s">
        <v>165</v>
      </c>
      <c r="F87" s="569" t="s">
        <v>561</v>
      </c>
      <c r="G87" s="569" t="s">
        <v>502</v>
      </c>
      <c r="H87" s="569"/>
      <c r="I87" s="540"/>
      <c r="J87" s="540"/>
      <c r="K87" s="540"/>
      <c r="L87" s="565"/>
      <c r="M87" s="565"/>
      <c r="N87" s="565"/>
    </row>
    <row r="88" spans="1:18" x14ac:dyDescent="0.25">
      <c r="A88" s="753"/>
      <c r="C88" s="452" t="s">
        <v>173</v>
      </c>
      <c r="D88" s="449">
        <f t="shared" si="8"/>
        <v>45862</v>
      </c>
      <c r="E88" s="454" t="s">
        <v>166</v>
      </c>
      <c r="F88" s="569" t="s">
        <v>561</v>
      </c>
      <c r="G88" s="569" t="s">
        <v>502</v>
      </c>
      <c r="H88" s="569"/>
      <c r="I88" s="540"/>
      <c r="J88" s="540"/>
      <c r="K88" s="540"/>
      <c r="L88" s="565"/>
      <c r="M88" s="565"/>
      <c r="N88" s="565"/>
    </row>
    <row r="89" spans="1:18" x14ac:dyDescent="0.25">
      <c r="A89" s="753"/>
      <c r="C89" s="452" t="s">
        <v>173</v>
      </c>
      <c r="D89" s="449">
        <f t="shared" si="8"/>
        <v>45862</v>
      </c>
      <c r="E89" s="454" t="s">
        <v>167</v>
      </c>
      <c r="F89" s="505" t="s">
        <v>427</v>
      </c>
      <c r="G89" s="505" t="s">
        <v>490</v>
      </c>
      <c r="H89" s="505"/>
      <c r="I89" s="516"/>
      <c r="J89" s="516"/>
      <c r="K89" s="516"/>
      <c r="L89" s="557"/>
      <c r="M89" s="557"/>
      <c r="N89" s="557"/>
    </row>
    <row r="90" spans="1:18" x14ac:dyDescent="0.25">
      <c r="A90" s="753"/>
      <c r="C90" s="452" t="s">
        <v>173</v>
      </c>
      <c r="D90" s="449">
        <f t="shared" si="8"/>
        <v>45862</v>
      </c>
      <c r="E90" s="454" t="s">
        <v>168</v>
      </c>
      <c r="F90" s="505" t="s">
        <v>427</v>
      </c>
      <c r="G90" s="505" t="s">
        <v>490</v>
      </c>
      <c r="H90" s="505"/>
      <c r="I90" s="516"/>
      <c r="J90" s="516"/>
      <c r="K90" s="516"/>
      <c r="L90" s="557"/>
      <c r="M90" s="557"/>
      <c r="N90" s="557"/>
    </row>
    <row r="91" spans="1:18" x14ac:dyDescent="0.25">
      <c r="A91" s="753"/>
      <c r="C91" s="452" t="s">
        <v>173</v>
      </c>
      <c r="D91" s="449">
        <f t="shared" si="8"/>
        <v>45862</v>
      </c>
      <c r="E91" s="455" t="s">
        <v>169</v>
      </c>
      <c r="F91" s="505" t="s">
        <v>427</v>
      </c>
      <c r="G91" s="505" t="s">
        <v>490</v>
      </c>
      <c r="H91" s="505"/>
      <c r="I91" s="516"/>
      <c r="J91" s="516"/>
      <c r="K91" s="516"/>
      <c r="L91" s="557"/>
      <c r="M91" s="557"/>
      <c r="N91" s="557"/>
    </row>
    <row r="92" spans="1:18" x14ac:dyDescent="0.25">
      <c r="A92" s="753"/>
      <c r="C92" s="452" t="s">
        <v>173</v>
      </c>
      <c r="D92" s="449">
        <f t="shared" si="8"/>
        <v>45862</v>
      </c>
      <c r="E92" s="455" t="s">
        <v>170</v>
      </c>
      <c r="F92" s="506" t="s">
        <v>427</v>
      </c>
      <c r="G92" s="506" t="s">
        <v>490</v>
      </c>
      <c r="H92" s="506"/>
      <c r="I92" s="516"/>
      <c r="J92" s="516"/>
      <c r="K92" s="516"/>
      <c r="L92" s="557"/>
      <c r="M92" s="557"/>
      <c r="N92" s="557"/>
    </row>
    <row r="93" spans="1:18" x14ac:dyDescent="0.25">
      <c r="A93" s="753"/>
      <c r="C93" s="452"/>
      <c r="D93" s="502"/>
      <c r="E93" s="503"/>
      <c r="F93" s="506"/>
      <c r="G93" s="506"/>
      <c r="H93" s="506"/>
      <c r="I93" s="516"/>
      <c r="J93" s="516"/>
      <c r="K93" s="516"/>
      <c r="L93" s="557"/>
      <c r="M93" s="557"/>
      <c r="N93" s="557"/>
    </row>
    <row r="94" spans="1:18" ht="15.75" thickBot="1" x14ac:dyDescent="0.3">
      <c r="A94" s="753"/>
      <c r="C94" s="530" t="s">
        <v>174</v>
      </c>
      <c r="D94" s="451">
        <f>D92+1</f>
        <v>45863</v>
      </c>
      <c r="E94" s="459" t="s">
        <v>162</v>
      </c>
      <c r="F94" s="493" t="s">
        <v>427</v>
      </c>
      <c r="G94" s="493" t="s">
        <v>490</v>
      </c>
      <c r="H94" s="493"/>
      <c r="I94" s="513"/>
      <c r="J94" s="513"/>
      <c r="K94" s="513"/>
      <c r="L94" s="558"/>
      <c r="M94" s="558"/>
      <c r="N94" s="558"/>
    </row>
    <row r="95" spans="1:18" ht="4.5" customHeight="1" thickBot="1" x14ac:dyDescent="0.3">
      <c r="C95" t="s">
        <v>174</v>
      </c>
      <c r="D95">
        <f t="shared" ref="D95:D101" si="9">D94</f>
        <v>45863</v>
      </c>
      <c r="E95" t="s">
        <v>163</v>
      </c>
      <c r="F95" t="s">
        <v>427</v>
      </c>
      <c r="G95" t="s">
        <v>490</v>
      </c>
      <c r="L95" s="559"/>
      <c r="M95" s="559"/>
      <c r="N95" s="559"/>
      <c r="Q95" s="3"/>
      <c r="R95" s="3"/>
    </row>
    <row r="96" spans="1:18" ht="15" customHeight="1" thickBot="1" x14ac:dyDescent="0.3">
      <c r="A96" s="753"/>
      <c r="C96" s="538" t="s">
        <v>174</v>
      </c>
      <c r="D96" s="539">
        <f t="shared" si="9"/>
        <v>45863</v>
      </c>
      <c r="E96" s="539" t="s">
        <v>164</v>
      </c>
      <c r="F96" s="539" t="s">
        <v>427</v>
      </c>
      <c r="G96" s="539" t="s">
        <v>490</v>
      </c>
      <c r="H96" s="539"/>
      <c r="I96" s="543"/>
      <c r="J96" s="542"/>
      <c r="K96" s="544"/>
      <c r="L96" s="560"/>
      <c r="M96" s="561"/>
      <c r="N96" s="562"/>
      <c r="O96" s="548"/>
      <c r="P96" s="549"/>
      <c r="Q96" s="3"/>
      <c r="R96" s="3"/>
    </row>
    <row r="97" spans="1:14" x14ac:dyDescent="0.25">
      <c r="A97" s="753"/>
      <c r="C97" s="496" t="s">
        <v>174</v>
      </c>
      <c r="D97" s="507">
        <f t="shared" si="9"/>
        <v>45863</v>
      </c>
      <c r="E97" s="498" t="s">
        <v>165</v>
      </c>
      <c r="F97" s="514" t="s">
        <v>427</v>
      </c>
      <c r="G97" s="514" t="s">
        <v>490</v>
      </c>
      <c r="H97" s="515"/>
      <c r="I97" s="537"/>
      <c r="J97" s="537"/>
      <c r="K97" s="537"/>
      <c r="L97" s="563"/>
      <c r="M97" s="563"/>
      <c r="N97" s="563"/>
    </row>
    <row r="98" spans="1:14" x14ac:dyDescent="0.25">
      <c r="A98" s="753"/>
      <c r="C98" s="525" t="s">
        <v>174</v>
      </c>
      <c r="D98" s="453">
        <f t="shared" si="9"/>
        <v>45863</v>
      </c>
      <c r="E98" s="500" t="s">
        <v>166</v>
      </c>
      <c r="F98" s="460" t="s">
        <v>427</v>
      </c>
      <c r="G98" s="460" t="s">
        <v>490</v>
      </c>
      <c r="H98" s="460"/>
      <c r="I98" s="545"/>
      <c r="J98" s="545"/>
      <c r="K98" s="540"/>
      <c r="L98" s="555"/>
      <c r="M98" s="555"/>
      <c r="N98" s="555"/>
    </row>
    <row r="99" spans="1:14" x14ac:dyDescent="0.25">
      <c r="A99" s="753"/>
      <c r="C99" s="526" t="s">
        <v>174</v>
      </c>
      <c r="D99" s="453">
        <f t="shared" si="9"/>
        <v>45863</v>
      </c>
      <c r="E99" s="454" t="s">
        <v>167</v>
      </c>
      <c r="F99" s="460" t="s">
        <v>427</v>
      </c>
      <c r="G99" s="460" t="s">
        <v>490</v>
      </c>
      <c r="H99" s="460"/>
      <c r="I99" s="545"/>
      <c r="J99" s="545"/>
      <c r="K99" s="540"/>
      <c r="L99" s="564"/>
      <c r="M99" s="564"/>
      <c r="N99" s="564"/>
    </row>
    <row r="100" spans="1:14" x14ac:dyDescent="0.25">
      <c r="A100" s="753"/>
      <c r="C100" s="526" t="s">
        <v>174</v>
      </c>
      <c r="D100" s="453">
        <f t="shared" si="9"/>
        <v>45863</v>
      </c>
      <c r="E100" s="454" t="s">
        <v>168</v>
      </c>
      <c r="F100" s="460" t="s">
        <v>427</v>
      </c>
      <c r="G100" s="460" t="s">
        <v>490</v>
      </c>
      <c r="H100" s="460"/>
      <c r="I100" s="545"/>
      <c r="J100" s="545"/>
      <c r="K100" s="540"/>
      <c r="L100" s="564"/>
      <c r="M100" s="564"/>
      <c r="N100" s="564"/>
    </row>
    <row r="101" spans="1:14" x14ac:dyDescent="0.25">
      <c r="A101" s="753"/>
      <c r="C101" s="526" t="s">
        <v>174</v>
      </c>
      <c r="D101" s="453">
        <f t="shared" si="9"/>
        <v>45863</v>
      </c>
      <c r="E101" s="454" t="s">
        <v>169</v>
      </c>
      <c r="F101" s="460" t="s">
        <v>427</v>
      </c>
      <c r="G101" s="460" t="s">
        <v>490</v>
      </c>
      <c r="H101" s="460"/>
      <c r="I101" s="545"/>
      <c r="J101" s="545"/>
      <c r="K101" s="540"/>
      <c r="L101" s="564"/>
      <c r="M101" s="564"/>
      <c r="N101" s="564"/>
    </row>
    <row r="102" spans="1:14" x14ac:dyDescent="0.25">
      <c r="A102" s="753" t="s">
        <v>310</v>
      </c>
      <c r="C102" s="526" t="s">
        <v>489</v>
      </c>
      <c r="D102" s="453"/>
      <c r="E102" s="454"/>
      <c r="F102" s="460"/>
      <c r="G102" s="460"/>
      <c r="H102" s="460"/>
      <c r="I102" s="545"/>
      <c r="J102" s="545"/>
      <c r="K102" s="540"/>
      <c r="L102" s="564"/>
      <c r="M102" s="564"/>
      <c r="N102" s="564"/>
    </row>
    <row r="103" spans="1:14" x14ac:dyDescent="0.25">
      <c r="A103" s="753"/>
      <c r="C103" s="526" t="s">
        <v>161</v>
      </c>
      <c r="D103" s="453">
        <f>D101+3</f>
        <v>45866</v>
      </c>
      <c r="E103" s="454" t="s">
        <v>162</v>
      </c>
      <c r="F103" s="517" t="s">
        <v>427</v>
      </c>
      <c r="G103" s="512" t="s">
        <v>423</v>
      </c>
      <c r="H103" s="505"/>
      <c r="I103" s="541"/>
      <c r="J103" s="541"/>
      <c r="K103" s="541"/>
      <c r="L103" s="556"/>
      <c r="M103" s="556"/>
      <c r="N103" s="556"/>
    </row>
    <row r="104" spans="1:14" x14ac:dyDescent="0.25">
      <c r="A104" s="753"/>
      <c r="C104" s="527" t="s">
        <v>161</v>
      </c>
      <c r="D104" s="449">
        <f t="shared" ref="D104:D111" si="10">D103</f>
        <v>45866</v>
      </c>
      <c r="E104" s="454" t="s">
        <v>163</v>
      </c>
      <c r="F104" s="460" t="s">
        <v>427</v>
      </c>
      <c r="G104" s="460" t="s">
        <v>423</v>
      </c>
      <c r="H104" s="460"/>
      <c r="I104" s="545"/>
      <c r="J104" s="545"/>
      <c r="K104" s="540"/>
      <c r="L104" s="565"/>
      <c r="M104" s="565"/>
      <c r="N104" s="565"/>
    </row>
    <row r="105" spans="1:14" x14ac:dyDescent="0.25">
      <c r="A105" s="753"/>
      <c r="C105" s="527" t="s">
        <v>161</v>
      </c>
      <c r="D105" s="449">
        <f t="shared" si="10"/>
        <v>45866</v>
      </c>
      <c r="E105" s="454" t="s">
        <v>164</v>
      </c>
      <c r="F105" s="460" t="s">
        <v>427</v>
      </c>
      <c r="G105" s="460" t="s">
        <v>423</v>
      </c>
      <c r="H105" s="460"/>
      <c r="I105" s="545"/>
      <c r="J105" s="545"/>
      <c r="K105" s="540"/>
      <c r="L105" s="565"/>
      <c r="M105" s="565"/>
      <c r="N105" s="565"/>
    </row>
    <row r="106" spans="1:14" x14ac:dyDescent="0.25">
      <c r="A106" s="753"/>
      <c r="C106" s="527" t="s">
        <v>161</v>
      </c>
      <c r="D106" s="449">
        <f t="shared" si="10"/>
        <v>45866</v>
      </c>
      <c r="E106" s="454" t="s">
        <v>165</v>
      </c>
      <c r="F106" s="460" t="s">
        <v>427</v>
      </c>
      <c r="G106" s="460" t="s">
        <v>423</v>
      </c>
      <c r="H106" s="460"/>
      <c r="I106" s="545"/>
      <c r="J106" s="545"/>
      <c r="K106" s="540"/>
      <c r="L106" s="565"/>
      <c r="M106" s="565"/>
      <c r="N106" s="565"/>
    </row>
    <row r="107" spans="1:14" x14ac:dyDescent="0.25">
      <c r="A107" s="753"/>
      <c r="C107" s="527" t="s">
        <v>161</v>
      </c>
      <c r="D107" s="453">
        <f t="shared" si="10"/>
        <v>45866</v>
      </c>
      <c r="E107" s="454" t="s">
        <v>166</v>
      </c>
      <c r="F107" s="460" t="s">
        <v>427</v>
      </c>
      <c r="G107" s="460" t="s">
        <v>423</v>
      </c>
      <c r="H107" s="460"/>
      <c r="I107" s="545"/>
      <c r="J107" s="545"/>
      <c r="K107" s="540"/>
      <c r="L107" s="566"/>
      <c r="M107" s="566"/>
      <c r="N107" s="566"/>
    </row>
    <row r="108" spans="1:14" x14ac:dyDescent="0.25">
      <c r="A108" s="753"/>
      <c r="C108" s="527" t="s">
        <v>161</v>
      </c>
      <c r="D108" s="453">
        <f t="shared" si="10"/>
        <v>45866</v>
      </c>
      <c r="E108" s="454" t="s">
        <v>167</v>
      </c>
      <c r="F108" s="505" t="s">
        <v>427</v>
      </c>
      <c r="G108" s="505" t="s">
        <v>423</v>
      </c>
      <c r="H108" s="516"/>
      <c r="I108" s="516"/>
      <c r="J108" s="516"/>
      <c r="K108" s="516"/>
      <c r="L108" s="557"/>
      <c r="M108" s="557"/>
      <c r="N108" s="557"/>
    </row>
    <row r="109" spans="1:14" x14ac:dyDescent="0.25">
      <c r="A109" s="753"/>
      <c r="C109" s="527" t="s">
        <v>161</v>
      </c>
      <c r="D109" s="453">
        <f t="shared" si="10"/>
        <v>45866</v>
      </c>
      <c r="E109" s="455" t="s">
        <v>167</v>
      </c>
      <c r="F109" s="505" t="s">
        <v>427</v>
      </c>
      <c r="G109" s="505" t="s">
        <v>423</v>
      </c>
      <c r="H109" s="516"/>
      <c r="I109" s="516"/>
      <c r="J109" s="516"/>
      <c r="K109" s="516"/>
      <c r="L109" s="557"/>
      <c r="M109" s="557"/>
      <c r="N109" s="557"/>
    </row>
    <row r="110" spans="1:14" x14ac:dyDescent="0.25">
      <c r="A110" s="753"/>
      <c r="C110" s="527" t="s">
        <v>161</v>
      </c>
      <c r="D110" s="453">
        <f t="shared" si="10"/>
        <v>45866</v>
      </c>
      <c r="E110" s="455" t="s">
        <v>169</v>
      </c>
      <c r="F110" s="506" t="s">
        <v>427</v>
      </c>
      <c r="G110" s="506" t="s">
        <v>423</v>
      </c>
      <c r="H110" s="516"/>
      <c r="I110" s="516"/>
      <c r="J110" s="516"/>
      <c r="K110" s="516"/>
      <c r="L110" s="557"/>
      <c r="M110" s="557"/>
      <c r="N110" s="557"/>
    </row>
    <row r="111" spans="1:14" x14ac:dyDescent="0.25">
      <c r="A111" s="753"/>
      <c r="C111" s="527" t="s">
        <v>161</v>
      </c>
      <c r="D111" s="453">
        <f t="shared" si="10"/>
        <v>45866</v>
      </c>
      <c r="E111" s="503" t="s">
        <v>170</v>
      </c>
      <c r="F111" s="506" t="s">
        <v>427</v>
      </c>
      <c r="G111" s="506" t="s">
        <v>423</v>
      </c>
      <c r="H111" s="516"/>
      <c r="I111" s="516"/>
      <c r="J111" s="516"/>
      <c r="K111" s="516"/>
      <c r="L111" s="557"/>
      <c r="M111" s="557"/>
      <c r="N111" s="557"/>
    </row>
    <row r="112" spans="1:14" ht="15.75" thickBot="1" x14ac:dyDescent="0.3">
      <c r="A112" s="753"/>
      <c r="C112" s="528"/>
      <c r="D112" s="451"/>
      <c r="E112" s="459"/>
      <c r="F112" s="493"/>
      <c r="G112" s="493"/>
      <c r="H112" s="513"/>
      <c r="I112" s="513"/>
      <c r="J112" s="513"/>
      <c r="K112" s="513"/>
      <c r="L112" s="558"/>
      <c r="M112" s="558"/>
      <c r="N112" s="558"/>
    </row>
    <row r="113" spans="1:18" ht="4.5" customHeight="1" thickBot="1" x14ac:dyDescent="0.3">
      <c r="A113" s="753"/>
      <c r="C113" t="s">
        <v>171</v>
      </c>
      <c r="D113">
        <f>D111+1</f>
        <v>45867</v>
      </c>
      <c r="E113" t="s">
        <v>162</v>
      </c>
      <c r="F113" t="s">
        <v>427</v>
      </c>
      <c r="G113" t="s">
        <v>423</v>
      </c>
      <c r="L113" s="559"/>
      <c r="M113" s="559"/>
      <c r="N113" s="559"/>
      <c r="Q113" s="3"/>
      <c r="R113" s="3"/>
    </row>
    <row r="114" spans="1:18" ht="15" customHeight="1" thickBot="1" x14ac:dyDescent="0.3">
      <c r="A114" s="753"/>
      <c r="C114" s="538" t="s">
        <v>171</v>
      </c>
      <c r="D114" s="539">
        <f t="shared" ref="D114:D121" si="11">D113</f>
        <v>45867</v>
      </c>
      <c r="E114" s="539" t="s">
        <v>163</v>
      </c>
      <c r="F114" s="539" t="s">
        <v>427</v>
      </c>
      <c r="G114" s="539" t="s">
        <v>423</v>
      </c>
      <c r="H114" s="539"/>
      <c r="I114" s="543"/>
      <c r="J114" s="542"/>
      <c r="K114" s="544"/>
      <c r="L114" s="560"/>
      <c r="M114" s="561"/>
      <c r="N114" s="562"/>
      <c r="O114" s="548"/>
      <c r="P114" s="549"/>
      <c r="Q114" s="3"/>
      <c r="R114" s="3"/>
    </row>
    <row r="115" spans="1:18" x14ac:dyDescent="0.25">
      <c r="A115" s="753"/>
      <c r="C115" s="446" t="s">
        <v>171</v>
      </c>
      <c r="D115" s="497">
        <f t="shared" si="11"/>
        <v>45867</v>
      </c>
      <c r="E115" s="498" t="s">
        <v>164</v>
      </c>
      <c r="F115" s="514" t="s">
        <v>427</v>
      </c>
      <c r="G115" s="514" t="s">
        <v>423</v>
      </c>
      <c r="H115" s="515"/>
      <c r="I115" s="537"/>
      <c r="J115" s="537"/>
      <c r="K115" s="537"/>
      <c r="L115" s="563"/>
      <c r="M115" s="563"/>
      <c r="N115" s="563"/>
    </row>
    <row r="116" spans="1:18" x14ac:dyDescent="0.25">
      <c r="A116" s="753"/>
      <c r="C116" s="452" t="s">
        <v>171</v>
      </c>
      <c r="D116" s="499">
        <f t="shared" si="11"/>
        <v>45867</v>
      </c>
      <c r="E116" s="500" t="s">
        <v>165</v>
      </c>
      <c r="F116" s="460" t="s">
        <v>427</v>
      </c>
      <c r="G116" s="460" t="s">
        <v>424</v>
      </c>
      <c r="H116" s="460"/>
      <c r="I116" s="545"/>
      <c r="J116" s="545"/>
      <c r="K116" s="540"/>
      <c r="L116" s="555"/>
      <c r="M116" s="555"/>
      <c r="N116" s="555"/>
    </row>
    <row r="117" spans="1:18" x14ac:dyDescent="0.25">
      <c r="A117" s="753"/>
      <c r="C117" s="452" t="s">
        <v>171</v>
      </c>
      <c r="D117" s="449">
        <f t="shared" si="11"/>
        <v>45867</v>
      </c>
      <c r="E117" s="454" t="s">
        <v>166</v>
      </c>
      <c r="F117" s="460" t="s">
        <v>427</v>
      </c>
      <c r="G117" s="460" t="s">
        <v>424</v>
      </c>
      <c r="H117" s="460"/>
      <c r="I117" s="545"/>
      <c r="J117" s="545"/>
      <c r="K117" s="540"/>
      <c r="L117" s="564"/>
      <c r="M117" s="564"/>
      <c r="N117" s="564"/>
    </row>
    <row r="118" spans="1:18" x14ac:dyDescent="0.25">
      <c r="A118" s="753"/>
      <c r="C118" s="452" t="s">
        <v>171</v>
      </c>
      <c r="D118" s="449">
        <f t="shared" si="11"/>
        <v>45867</v>
      </c>
      <c r="E118" s="454" t="s">
        <v>167</v>
      </c>
      <c r="F118" s="460" t="s">
        <v>427</v>
      </c>
      <c r="G118" s="460" t="s">
        <v>424</v>
      </c>
      <c r="H118" s="460"/>
      <c r="I118" s="545"/>
      <c r="J118" s="545"/>
      <c r="K118" s="540"/>
      <c r="L118" s="564"/>
      <c r="M118" s="564"/>
      <c r="N118" s="564"/>
    </row>
    <row r="119" spans="1:18" x14ac:dyDescent="0.25">
      <c r="A119" s="753"/>
      <c r="C119" s="452" t="s">
        <v>171</v>
      </c>
      <c r="D119" s="449">
        <f t="shared" si="11"/>
        <v>45867</v>
      </c>
      <c r="E119" s="454" t="s">
        <v>168</v>
      </c>
      <c r="F119" s="460" t="s">
        <v>427</v>
      </c>
      <c r="G119" s="460" t="s">
        <v>424</v>
      </c>
      <c r="H119" s="460"/>
      <c r="I119" s="545"/>
      <c r="J119" s="545"/>
      <c r="K119" s="540"/>
      <c r="L119" s="564"/>
      <c r="M119" s="564"/>
      <c r="N119" s="564"/>
    </row>
    <row r="120" spans="1:18" x14ac:dyDescent="0.25">
      <c r="A120" s="753"/>
      <c r="C120" s="452" t="s">
        <v>171</v>
      </c>
      <c r="D120" s="449">
        <f t="shared" si="11"/>
        <v>45867</v>
      </c>
      <c r="E120" s="454" t="s">
        <v>169</v>
      </c>
      <c r="F120" s="460" t="s">
        <v>427</v>
      </c>
      <c r="G120" s="460" t="s">
        <v>424</v>
      </c>
      <c r="H120" s="460"/>
      <c r="I120" s="545"/>
      <c r="J120" s="545"/>
      <c r="K120" s="540"/>
      <c r="L120" s="564"/>
      <c r="M120" s="564"/>
      <c r="N120" s="564"/>
    </row>
    <row r="121" spans="1:18" x14ac:dyDescent="0.25">
      <c r="A121" s="753"/>
      <c r="C121" s="452" t="s">
        <v>171</v>
      </c>
      <c r="D121" s="449">
        <f t="shared" si="11"/>
        <v>45867</v>
      </c>
      <c r="E121" s="454" t="s">
        <v>170</v>
      </c>
      <c r="F121" s="517" t="s">
        <v>427</v>
      </c>
      <c r="G121" s="512" t="s">
        <v>424</v>
      </c>
      <c r="H121" s="505"/>
      <c r="I121" s="541"/>
      <c r="J121" s="541"/>
      <c r="K121" s="541"/>
      <c r="L121" s="556"/>
      <c r="M121" s="556"/>
      <c r="N121" s="556"/>
    </row>
    <row r="122" spans="1:18" x14ac:dyDescent="0.25">
      <c r="A122" s="753"/>
      <c r="C122" s="452"/>
      <c r="D122" s="449"/>
      <c r="E122" s="454"/>
      <c r="F122" s="460"/>
      <c r="G122" s="460"/>
      <c r="H122" s="460"/>
      <c r="I122" s="545"/>
      <c r="J122" s="545"/>
      <c r="K122" s="540"/>
      <c r="L122" s="565"/>
      <c r="M122" s="565"/>
      <c r="N122" s="565"/>
    </row>
    <row r="123" spans="1:18" x14ac:dyDescent="0.25">
      <c r="A123" s="753"/>
      <c r="C123" s="452" t="s">
        <v>172</v>
      </c>
      <c r="D123" s="449">
        <f>D121+1</f>
        <v>45868</v>
      </c>
      <c r="E123" s="454" t="s">
        <v>162</v>
      </c>
      <c r="F123" s="460" t="s">
        <v>427</v>
      </c>
      <c r="G123" s="460" t="s">
        <v>424</v>
      </c>
      <c r="H123" s="460"/>
      <c r="I123" s="545"/>
      <c r="J123" s="545"/>
      <c r="K123" s="540"/>
      <c r="L123" s="565"/>
      <c r="M123" s="565"/>
      <c r="N123" s="565"/>
    </row>
    <row r="124" spans="1:18" x14ac:dyDescent="0.25">
      <c r="A124" s="753"/>
      <c r="C124" s="452" t="s">
        <v>172</v>
      </c>
      <c r="D124" s="449">
        <f t="shared" ref="D124:D131" si="12">D123</f>
        <v>45868</v>
      </c>
      <c r="E124" s="454" t="s">
        <v>163</v>
      </c>
      <c r="F124" s="460" t="s">
        <v>427</v>
      </c>
      <c r="G124" s="460" t="s">
        <v>424</v>
      </c>
      <c r="H124" s="460"/>
      <c r="I124" s="545"/>
      <c r="J124" s="545"/>
      <c r="K124" s="540"/>
      <c r="L124" s="565"/>
      <c r="M124" s="565"/>
      <c r="N124" s="565"/>
    </row>
    <row r="125" spans="1:18" x14ac:dyDescent="0.25">
      <c r="A125" s="753"/>
      <c r="C125" s="452" t="s">
        <v>172</v>
      </c>
      <c r="D125" s="449">
        <f t="shared" si="12"/>
        <v>45868</v>
      </c>
      <c r="E125" s="454" t="s">
        <v>164</v>
      </c>
      <c r="F125" s="460" t="s">
        <v>427</v>
      </c>
      <c r="G125" s="460" t="s">
        <v>424</v>
      </c>
      <c r="H125" s="460"/>
      <c r="I125" s="545"/>
      <c r="J125" s="545"/>
      <c r="K125" s="540"/>
      <c r="L125" s="566"/>
      <c r="M125" s="566"/>
      <c r="N125" s="566"/>
    </row>
    <row r="126" spans="1:18" x14ac:dyDescent="0.25">
      <c r="A126" s="753"/>
      <c r="C126" s="452" t="s">
        <v>172</v>
      </c>
      <c r="D126" s="449">
        <f t="shared" si="12"/>
        <v>45868</v>
      </c>
      <c r="E126" s="454" t="s">
        <v>165</v>
      </c>
      <c r="F126" s="505" t="s">
        <v>427</v>
      </c>
      <c r="G126" s="505" t="s">
        <v>424</v>
      </c>
      <c r="H126" s="516"/>
      <c r="I126" s="516"/>
      <c r="J126" s="516"/>
      <c r="K126" s="516"/>
      <c r="L126" s="557"/>
      <c r="M126" s="557"/>
      <c r="N126" s="557"/>
    </row>
    <row r="127" spans="1:18" x14ac:dyDescent="0.25">
      <c r="A127" s="753"/>
      <c r="C127" s="448" t="s">
        <v>172</v>
      </c>
      <c r="D127" s="449">
        <f t="shared" si="12"/>
        <v>45868</v>
      </c>
      <c r="E127" s="455" t="s">
        <v>166</v>
      </c>
      <c r="F127" s="505" t="s">
        <v>427</v>
      </c>
      <c r="G127" s="505" t="s">
        <v>424</v>
      </c>
      <c r="H127" s="516"/>
      <c r="I127" s="516"/>
      <c r="J127" s="516"/>
      <c r="K127" s="516"/>
      <c r="L127" s="557"/>
      <c r="M127" s="557"/>
      <c r="N127" s="557"/>
    </row>
    <row r="128" spans="1:18" x14ac:dyDescent="0.25">
      <c r="A128" s="753"/>
      <c r="C128" s="448" t="s">
        <v>172</v>
      </c>
      <c r="D128" s="449">
        <f t="shared" si="12"/>
        <v>45868</v>
      </c>
      <c r="E128" s="455" t="s">
        <v>167</v>
      </c>
      <c r="F128" s="506" t="s">
        <v>427</v>
      </c>
      <c r="G128" s="506" t="s">
        <v>424</v>
      </c>
      <c r="H128" s="516"/>
      <c r="I128" s="516"/>
      <c r="J128" s="516"/>
      <c r="K128" s="516"/>
      <c r="L128" s="557"/>
      <c r="M128" s="557"/>
      <c r="N128" s="557"/>
    </row>
    <row r="129" spans="1:18" x14ac:dyDescent="0.25">
      <c r="A129" s="753"/>
      <c r="C129" s="448" t="s">
        <v>172</v>
      </c>
      <c r="D129" s="449">
        <f t="shared" si="12"/>
        <v>45868</v>
      </c>
      <c r="E129" s="503" t="s">
        <v>168</v>
      </c>
      <c r="F129" s="506" t="s">
        <v>427</v>
      </c>
      <c r="G129" s="506" t="s">
        <v>425</v>
      </c>
      <c r="H129" s="516"/>
      <c r="I129" s="516"/>
      <c r="J129" s="516"/>
      <c r="K129" s="516"/>
      <c r="L129" s="557"/>
      <c r="M129" s="557"/>
      <c r="N129" s="557"/>
    </row>
    <row r="130" spans="1:18" ht="15.75" thickBot="1" x14ac:dyDescent="0.3">
      <c r="A130" s="753"/>
      <c r="C130" s="450" t="s">
        <v>172</v>
      </c>
      <c r="D130" s="451">
        <f t="shared" si="12"/>
        <v>45868</v>
      </c>
      <c r="E130" s="459" t="s">
        <v>169</v>
      </c>
      <c r="F130" s="493" t="s">
        <v>427</v>
      </c>
      <c r="G130" s="493" t="s">
        <v>425</v>
      </c>
      <c r="H130" s="513"/>
      <c r="I130" s="513"/>
      <c r="J130" s="513"/>
      <c r="K130" s="513"/>
      <c r="L130" s="558"/>
      <c r="M130" s="558"/>
      <c r="N130" s="558"/>
    </row>
    <row r="131" spans="1:18" ht="4.5" customHeight="1" thickBot="1" x14ac:dyDescent="0.3">
      <c r="A131" s="753"/>
      <c r="C131" t="s">
        <v>172</v>
      </c>
      <c r="D131">
        <f t="shared" si="12"/>
        <v>45868</v>
      </c>
      <c r="E131" t="s">
        <v>170</v>
      </c>
      <c r="F131" t="s">
        <v>427</v>
      </c>
      <c r="G131" t="s">
        <v>425</v>
      </c>
      <c r="L131" s="559"/>
      <c r="M131" s="559"/>
      <c r="N131" s="559"/>
      <c r="Q131" s="3"/>
      <c r="R131" s="3"/>
    </row>
    <row r="132" spans="1:18" ht="15" customHeight="1" thickBot="1" x14ac:dyDescent="0.3">
      <c r="A132" s="753"/>
      <c r="C132" s="538"/>
      <c r="D132" s="539"/>
      <c r="E132" s="539"/>
      <c r="F132" s="539"/>
      <c r="G132" s="539"/>
      <c r="H132" s="539"/>
      <c r="I132" s="543"/>
      <c r="J132" s="542"/>
      <c r="K132" s="544"/>
      <c r="L132" s="560"/>
      <c r="M132" s="561"/>
      <c r="N132" s="562"/>
      <c r="O132" s="548"/>
      <c r="P132" s="549"/>
      <c r="Q132" s="3"/>
      <c r="R132" s="3"/>
    </row>
    <row r="133" spans="1:18" x14ac:dyDescent="0.25">
      <c r="A133" s="753"/>
      <c r="C133" s="446" t="s">
        <v>173</v>
      </c>
      <c r="D133" s="497">
        <f>D131+1</f>
        <v>45869</v>
      </c>
      <c r="E133" s="498" t="s">
        <v>162</v>
      </c>
      <c r="F133" s="514" t="s">
        <v>427</v>
      </c>
      <c r="G133" s="514" t="s">
        <v>425</v>
      </c>
      <c r="H133" s="515"/>
      <c r="I133" s="537"/>
      <c r="J133" s="537"/>
      <c r="K133" s="537"/>
      <c r="L133" s="563"/>
      <c r="M133" s="563"/>
      <c r="N133" s="563"/>
    </row>
    <row r="134" spans="1:18" x14ac:dyDescent="0.25">
      <c r="A134" s="753"/>
      <c r="C134" s="452" t="s">
        <v>173</v>
      </c>
      <c r="D134" s="499">
        <f t="shared" ref="D134:D141" si="13">D133</f>
        <v>45869</v>
      </c>
      <c r="E134" s="500" t="s">
        <v>163</v>
      </c>
      <c r="F134" s="460" t="s">
        <v>427</v>
      </c>
      <c r="G134" s="460" t="s">
        <v>425</v>
      </c>
      <c r="H134" s="501"/>
      <c r="I134" s="540"/>
      <c r="J134" s="545"/>
      <c r="K134" s="540"/>
      <c r="L134" s="555"/>
      <c r="M134" s="555"/>
      <c r="N134" s="555"/>
    </row>
    <row r="135" spans="1:18" x14ac:dyDescent="0.25">
      <c r="A135" s="753"/>
      <c r="C135" s="452" t="s">
        <v>173</v>
      </c>
      <c r="D135" s="449">
        <f t="shared" si="13"/>
        <v>45869</v>
      </c>
      <c r="E135" s="454" t="s">
        <v>164</v>
      </c>
      <c r="F135" s="460" t="s">
        <v>427</v>
      </c>
      <c r="G135" s="460" t="s">
        <v>425</v>
      </c>
      <c r="H135" s="460"/>
      <c r="I135" s="540"/>
      <c r="J135" s="545"/>
      <c r="K135" s="540"/>
      <c r="L135" s="564"/>
      <c r="M135" s="564"/>
      <c r="N135" s="564"/>
    </row>
    <row r="136" spans="1:18" x14ac:dyDescent="0.25">
      <c r="A136" s="753"/>
      <c r="C136" s="452" t="s">
        <v>173</v>
      </c>
      <c r="D136" s="449">
        <f t="shared" si="13"/>
        <v>45869</v>
      </c>
      <c r="E136" s="454" t="s">
        <v>165</v>
      </c>
      <c r="F136" s="460" t="s">
        <v>560</v>
      </c>
      <c r="G136" s="460" t="s">
        <v>425</v>
      </c>
      <c r="H136" s="460"/>
      <c r="I136" s="540"/>
      <c r="J136" s="545"/>
      <c r="K136" s="540"/>
      <c r="L136" s="564"/>
      <c r="M136" s="564"/>
      <c r="N136" s="564"/>
    </row>
    <row r="137" spans="1:18" x14ac:dyDescent="0.25">
      <c r="A137" s="753"/>
      <c r="C137" s="452" t="s">
        <v>173</v>
      </c>
      <c r="D137" s="449">
        <f t="shared" si="13"/>
        <v>45869</v>
      </c>
      <c r="E137" s="454" t="s">
        <v>166</v>
      </c>
      <c r="F137" s="460" t="s">
        <v>560</v>
      </c>
      <c r="G137" s="460" t="s">
        <v>425</v>
      </c>
      <c r="H137" s="460"/>
      <c r="I137" s="540"/>
      <c r="J137" s="545"/>
      <c r="K137" s="540"/>
      <c r="L137" s="564"/>
      <c r="M137" s="564"/>
      <c r="N137" s="564"/>
    </row>
    <row r="138" spans="1:18" x14ac:dyDescent="0.25">
      <c r="A138" s="753"/>
      <c r="C138" s="452" t="s">
        <v>173</v>
      </c>
      <c r="D138" s="449">
        <f t="shared" si="13"/>
        <v>45869</v>
      </c>
      <c r="E138" s="454" t="s">
        <v>167</v>
      </c>
      <c r="F138" s="460" t="s">
        <v>560</v>
      </c>
      <c r="G138" s="460" t="s">
        <v>425</v>
      </c>
      <c r="H138" s="460"/>
      <c r="I138" s="540"/>
      <c r="J138" s="545"/>
      <c r="K138" s="540"/>
      <c r="L138" s="564"/>
      <c r="M138" s="564"/>
      <c r="N138" s="564"/>
    </row>
    <row r="139" spans="1:18" x14ac:dyDescent="0.25">
      <c r="A139" s="753"/>
      <c r="C139" s="452" t="s">
        <v>173</v>
      </c>
      <c r="D139" s="449">
        <f t="shared" si="13"/>
        <v>45869</v>
      </c>
      <c r="E139" s="454" t="s">
        <v>168</v>
      </c>
      <c r="F139" s="517" t="s">
        <v>560</v>
      </c>
      <c r="G139" s="512" t="s">
        <v>425</v>
      </c>
      <c r="H139" s="505"/>
      <c r="I139" s="541"/>
      <c r="J139" s="541"/>
      <c r="K139" s="541"/>
      <c r="L139" s="556"/>
      <c r="M139" s="556"/>
      <c r="N139" s="556"/>
    </row>
    <row r="140" spans="1:18" x14ac:dyDescent="0.25">
      <c r="A140" s="753"/>
      <c r="C140" s="452" t="s">
        <v>173</v>
      </c>
      <c r="D140" s="449">
        <f t="shared" si="13"/>
        <v>45869</v>
      </c>
      <c r="E140" s="454" t="s">
        <v>169</v>
      </c>
      <c r="F140" s="460" t="s">
        <v>560</v>
      </c>
      <c r="G140" s="460" t="s">
        <v>426</v>
      </c>
      <c r="H140" s="461"/>
      <c r="I140" s="540"/>
      <c r="J140" s="545"/>
      <c r="K140" s="540"/>
      <c r="L140" s="565"/>
      <c r="M140" s="565"/>
      <c r="N140" s="565"/>
    </row>
    <row r="141" spans="1:18" x14ac:dyDescent="0.25">
      <c r="A141" s="753"/>
      <c r="C141" s="452" t="s">
        <v>173</v>
      </c>
      <c r="D141" s="449">
        <f t="shared" si="13"/>
        <v>45869</v>
      </c>
      <c r="E141" s="454" t="s">
        <v>170</v>
      </c>
      <c r="F141" s="460" t="s">
        <v>560</v>
      </c>
      <c r="G141" s="460" t="s">
        <v>426</v>
      </c>
      <c r="H141" s="461"/>
      <c r="I141" s="540"/>
      <c r="J141" s="545"/>
      <c r="K141" s="540"/>
      <c r="L141" s="565"/>
      <c r="M141" s="565"/>
      <c r="N141" s="565"/>
    </row>
    <row r="142" spans="1:18" x14ac:dyDescent="0.25">
      <c r="A142" s="753"/>
      <c r="C142" s="452"/>
      <c r="D142" s="449"/>
      <c r="E142" s="454"/>
      <c r="F142" s="460"/>
      <c r="G142" s="460"/>
      <c r="H142" s="461"/>
      <c r="I142" s="540"/>
      <c r="J142" s="545"/>
      <c r="K142" s="540"/>
      <c r="L142" s="565"/>
      <c r="M142" s="565"/>
      <c r="N142" s="565"/>
    </row>
    <row r="143" spans="1:18" x14ac:dyDescent="0.25">
      <c r="A143" s="753"/>
      <c r="C143" s="452" t="s">
        <v>174</v>
      </c>
      <c r="D143" s="449">
        <f>D141+1</f>
        <v>45870</v>
      </c>
      <c r="E143" s="454" t="s">
        <v>162</v>
      </c>
      <c r="F143" s="460" t="s">
        <v>560</v>
      </c>
      <c r="G143" s="460" t="s">
        <v>426</v>
      </c>
      <c r="H143" s="504"/>
      <c r="I143" s="540"/>
      <c r="J143" s="545"/>
      <c r="K143" s="540"/>
      <c r="L143" s="566"/>
      <c r="M143" s="566"/>
      <c r="N143" s="566"/>
    </row>
    <row r="144" spans="1:18" x14ac:dyDescent="0.25">
      <c r="A144" s="753"/>
      <c r="C144" s="452" t="s">
        <v>174</v>
      </c>
      <c r="D144" s="449">
        <f t="shared" ref="D144:D150" si="14">D143</f>
        <v>45870</v>
      </c>
      <c r="E144" s="454" t="s">
        <v>163</v>
      </c>
      <c r="F144" s="505" t="s">
        <v>560</v>
      </c>
      <c r="G144" s="505" t="s">
        <v>426</v>
      </c>
      <c r="H144" s="516"/>
      <c r="I144" s="516"/>
      <c r="J144" s="516"/>
      <c r="K144" s="516"/>
      <c r="L144" s="557"/>
      <c r="M144" s="557"/>
      <c r="N144" s="557"/>
    </row>
    <row r="145" spans="1:18" x14ac:dyDescent="0.25">
      <c r="A145" s="753"/>
      <c r="C145" s="448" t="s">
        <v>174</v>
      </c>
      <c r="D145" s="449">
        <f t="shared" si="14"/>
        <v>45870</v>
      </c>
      <c r="E145" s="455" t="s">
        <v>164</v>
      </c>
      <c r="F145" s="505" t="s">
        <v>560</v>
      </c>
      <c r="G145" s="505" t="s">
        <v>426</v>
      </c>
      <c r="H145" s="516"/>
      <c r="I145" s="516"/>
      <c r="J145" s="516"/>
      <c r="K145" s="516"/>
      <c r="L145" s="557"/>
      <c r="M145" s="557"/>
      <c r="N145" s="557"/>
    </row>
    <row r="146" spans="1:18" x14ac:dyDescent="0.25">
      <c r="A146" s="753"/>
      <c r="C146" s="448" t="s">
        <v>174</v>
      </c>
      <c r="D146" s="449">
        <f t="shared" si="14"/>
        <v>45870</v>
      </c>
      <c r="E146" s="455" t="s">
        <v>165</v>
      </c>
      <c r="F146" s="506" t="s">
        <v>560</v>
      </c>
      <c r="G146" s="506" t="s">
        <v>426</v>
      </c>
      <c r="H146" s="516"/>
      <c r="I146" s="516"/>
      <c r="J146" s="516"/>
      <c r="K146" s="516"/>
      <c r="L146" s="557"/>
      <c r="M146" s="557"/>
      <c r="N146" s="557"/>
    </row>
    <row r="147" spans="1:18" x14ac:dyDescent="0.25">
      <c r="A147" s="753"/>
      <c r="C147" s="448" t="s">
        <v>174</v>
      </c>
      <c r="D147" s="449">
        <f t="shared" si="14"/>
        <v>45870</v>
      </c>
      <c r="E147" s="503" t="s">
        <v>166</v>
      </c>
      <c r="F147" s="506" t="s">
        <v>560</v>
      </c>
      <c r="G147" s="506" t="s">
        <v>426</v>
      </c>
      <c r="H147" s="516"/>
      <c r="I147" s="516"/>
      <c r="J147" s="516"/>
      <c r="K147" s="516"/>
      <c r="L147" s="557"/>
      <c r="M147" s="557"/>
      <c r="N147" s="557"/>
    </row>
    <row r="148" spans="1:18" ht="15.75" thickBot="1" x14ac:dyDescent="0.3">
      <c r="A148" s="753"/>
      <c r="C148" s="450" t="s">
        <v>174</v>
      </c>
      <c r="D148" s="451">
        <f t="shared" si="14"/>
        <v>45870</v>
      </c>
      <c r="E148" s="459" t="s">
        <v>167</v>
      </c>
      <c r="F148" s="493" t="s">
        <v>560</v>
      </c>
      <c r="G148" s="493" t="s">
        <v>426</v>
      </c>
      <c r="H148" s="513"/>
      <c r="I148" s="513"/>
      <c r="J148" s="513"/>
      <c r="K148" s="513"/>
      <c r="L148" s="558"/>
      <c r="M148" s="558"/>
      <c r="N148" s="558"/>
    </row>
    <row r="149" spans="1:18" ht="4.5" customHeight="1" thickBot="1" x14ac:dyDescent="0.3">
      <c r="A149" s="753"/>
      <c r="C149" t="s">
        <v>174</v>
      </c>
      <c r="D149">
        <f t="shared" si="14"/>
        <v>45870</v>
      </c>
      <c r="E149" t="s">
        <v>168</v>
      </c>
      <c r="F149" t="s">
        <v>409</v>
      </c>
      <c r="G149" t="s">
        <v>426</v>
      </c>
      <c r="L149" s="559"/>
      <c r="M149" s="559"/>
      <c r="N149" s="559"/>
      <c r="Q149" s="3"/>
      <c r="R149" s="3"/>
    </row>
    <row r="150" spans="1:18" ht="15" customHeight="1" thickBot="1" x14ac:dyDescent="0.3">
      <c r="A150" s="753"/>
      <c r="C150" s="538" t="s">
        <v>174</v>
      </c>
      <c r="D150" s="539">
        <f t="shared" si="14"/>
        <v>45870</v>
      </c>
      <c r="E150" s="539" t="s">
        <v>169</v>
      </c>
      <c r="F150" s="539" t="s">
        <v>409</v>
      </c>
      <c r="G150" s="539" t="s">
        <v>426</v>
      </c>
      <c r="H150" s="539"/>
      <c r="I150" s="543"/>
      <c r="J150" s="542"/>
      <c r="K150" s="544"/>
      <c r="L150" s="560"/>
      <c r="M150" s="561"/>
      <c r="N150" s="562"/>
      <c r="O150" s="548"/>
      <c r="P150" s="549"/>
      <c r="Q150" s="3"/>
      <c r="R150" s="3"/>
    </row>
    <row r="151" spans="1:18" x14ac:dyDescent="0.25">
      <c r="A151" s="753" t="s">
        <v>310</v>
      </c>
      <c r="C151" s="529"/>
      <c r="D151" s="447"/>
      <c r="E151" s="498"/>
      <c r="F151" s="514"/>
      <c r="G151" s="514"/>
      <c r="H151" s="515"/>
      <c r="I151" s="537"/>
      <c r="J151" s="537"/>
      <c r="K151" s="537"/>
      <c r="L151" s="563"/>
      <c r="M151" s="563"/>
      <c r="N151" s="563"/>
    </row>
    <row r="152" spans="1:18" x14ac:dyDescent="0.25">
      <c r="A152" s="753" t="s">
        <v>534</v>
      </c>
      <c r="C152" s="452" t="s">
        <v>161</v>
      </c>
      <c r="D152" s="453">
        <f>D150+3</f>
        <v>45873</v>
      </c>
      <c r="E152" s="500" t="s">
        <v>162</v>
      </c>
      <c r="F152" s="460" t="s">
        <v>409</v>
      </c>
      <c r="G152" s="460" t="s">
        <v>458</v>
      </c>
      <c r="H152" s="501"/>
      <c r="I152" s="545"/>
      <c r="J152" s="545"/>
      <c r="K152" s="545"/>
      <c r="L152" s="555"/>
      <c r="M152" s="555"/>
      <c r="N152" s="555"/>
    </row>
    <row r="153" spans="1:18" x14ac:dyDescent="0.25">
      <c r="A153" s="753"/>
      <c r="C153" s="452" t="s">
        <v>161</v>
      </c>
      <c r="D153" s="453">
        <f t="shared" ref="D153:D160" si="15">D152</f>
        <v>45873</v>
      </c>
      <c r="E153" s="454" t="s">
        <v>163</v>
      </c>
      <c r="F153" s="460" t="s">
        <v>409</v>
      </c>
      <c r="G153" s="460" t="s">
        <v>458</v>
      </c>
      <c r="H153" s="460"/>
      <c r="I153" s="545"/>
      <c r="J153" s="545"/>
      <c r="K153" s="545"/>
      <c r="L153" s="564"/>
      <c r="M153" s="564"/>
      <c r="N153" s="564"/>
    </row>
    <row r="154" spans="1:18" x14ac:dyDescent="0.25">
      <c r="A154" s="753"/>
      <c r="C154" s="452" t="s">
        <v>161</v>
      </c>
      <c r="D154" s="453">
        <f t="shared" si="15"/>
        <v>45873</v>
      </c>
      <c r="E154" s="454" t="s">
        <v>164</v>
      </c>
      <c r="F154" s="460" t="s">
        <v>409</v>
      </c>
      <c r="G154" s="460" t="s">
        <v>458</v>
      </c>
      <c r="H154" s="460"/>
      <c r="I154" s="545"/>
      <c r="J154" s="545"/>
      <c r="K154" s="545"/>
      <c r="L154" s="564"/>
      <c r="M154" s="564"/>
      <c r="N154" s="564"/>
    </row>
    <row r="155" spans="1:18" x14ac:dyDescent="0.25">
      <c r="A155" s="753"/>
      <c r="C155" s="452" t="s">
        <v>161</v>
      </c>
      <c r="D155" s="453">
        <f t="shared" si="15"/>
        <v>45873</v>
      </c>
      <c r="E155" s="454" t="s">
        <v>165</v>
      </c>
      <c r="F155" s="460" t="s">
        <v>409</v>
      </c>
      <c r="G155" s="460" t="s">
        <v>458</v>
      </c>
      <c r="H155" s="460"/>
      <c r="I155" s="545"/>
      <c r="J155" s="545"/>
      <c r="K155" s="545"/>
      <c r="L155" s="564"/>
      <c r="M155" s="564"/>
      <c r="N155" s="564"/>
    </row>
    <row r="156" spans="1:18" x14ac:dyDescent="0.25">
      <c r="A156" s="753"/>
      <c r="C156" s="452" t="s">
        <v>161</v>
      </c>
      <c r="D156" s="453">
        <f t="shared" si="15"/>
        <v>45873</v>
      </c>
      <c r="E156" s="454" t="s">
        <v>166</v>
      </c>
      <c r="F156" s="460" t="s">
        <v>409</v>
      </c>
      <c r="G156" s="460" t="s">
        <v>458</v>
      </c>
      <c r="H156" s="460"/>
      <c r="I156" s="545"/>
      <c r="J156" s="545"/>
      <c r="K156" s="545"/>
      <c r="L156" s="564"/>
      <c r="M156" s="564"/>
      <c r="N156" s="564"/>
    </row>
    <row r="157" spans="1:18" x14ac:dyDescent="0.25">
      <c r="A157" s="753"/>
      <c r="C157" s="452" t="s">
        <v>161</v>
      </c>
      <c r="D157" s="453">
        <f t="shared" si="15"/>
        <v>45873</v>
      </c>
      <c r="E157" s="454" t="s">
        <v>167</v>
      </c>
      <c r="F157" s="517" t="s">
        <v>409</v>
      </c>
      <c r="G157" s="512" t="s">
        <v>458</v>
      </c>
      <c r="H157" s="505"/>
      <c r="I157" s="541"/>
      <c r="J157" s="541"/>
      <c r="K157" s="541"/>
      <c r="L157" s="556"/>
      <c r="M157" s="556"/>
      <c r="N157" s="556"/>
    </row>
    <row r="158" spans="1:18" x14ac:dyDescent="0.25">
      <c r="A158" s="753"/>
      <c r="C158" s="452" t="s">
        <v>161</v>
      </c>
      <c r="D158" s="449">
        <f t="shared" si="15"/>
        <v>45873</v>
      </c>
      <c r="E158" s="454" t="s">
        <v>167</v>
      </c>
      <c r="F158" s="460" t="s">
        <v>409</v>
      </c>
      <c r="G158" s="460" t="s">
        <v>458</v>
      </c>
      <c r="H158" s="461"/>
      <c r="I158" s="545"/>
      <c r="J158" s="545"/>
      <c r="K158" s="545"/>
      <c r="L158" s="565"/>
      <c r="M158" s="565"/>
      <c r="N158" s="565"/>
    </row>
    <row r="159" spans="1:18" x14ac:dyDescent="0.25">
      <c r="A159" s="753"/>
      <c r="C159" s="452" t="s">
        <v>161</v>
      </c>
      <c r="D159" s="449">
        <f t="shared" si="15"/>
        <v>45873</v>
      </c>
      <c r="E159" s="454" t="s">
        <v>169</v>
      </c>
      <c r="F159" s="460" t="s">
        <v>409</v>
      </c>
      <c r="G159" s="460" t="s">
        <v>458</v>
      </c>
      <c r="H159" s="461"/>
      <c r="I159" s="545"/>
      <c r="J159" s="545"/>
      <c r="K159" s="545"/>
      <c r="L159" s="565"/>
      <c r="M159" s="565"/>
      <c r="N159" s="565"/>
    </row>
    <row r="160" spans="1:18" x14ac:dyDescent="0.25">
      <c r="A160" s="753"/>
      <c r="C160" s="452" t="s">
        <v>161</v>
      </c>
      <c r="D160" s="449">
        <f t="shared" si="15"/>
        <v>45873</v>
      </c>
      <c r="E160" s="454" t="s">
        <v>170</v>
      </c>
      <c r="F160" s="460" t="s">
        <v>409</v>
      </c>
      <c r="G160" s="460" t="s">
        <v>458</v>
      </c>
      <c r="H160" s="461"/>
      <c r="I160" s="545"/>
      <c r="J160" s="545"/>
      <c r="K160" s="545"/>
      <c r="L160" s="565"/>
      <c r="M160" s="565"/>
      <c r="N160" s="565"/>
    </row>
    <row r="161" spans="1:18" x14ac:dyDescent="0.25">
      <c r="A161" s="753"/>
      <c r="C161" s="452"/>
      <c r="D161" s="449"/>
      <c r="E161" s="454"/>
      <c r="F161" s="460"/>
      <c r="G161" s="460"/>
      <c r="H161" s="504"/>
      <c r="I161" s="545"/>
      <c r="J161" s="545"/>
      <c r="K161" s="545"/>
      <c r="L161" s="566"/>
      <c r="M161" s="566"/>
      <c r="N161" s="566"/>
    </row>
    <row r="162" spans="1:18" x14ac:dyDescent="0.25">
      <c r="A162" s="753"/>
      <c r="C162" s="452" t="s">
        <v>171</v>
      </c>
      <c r="D162" s="449">
        <f>D160+1</f>
        <v>45874</v>
      </c>
      <c r="E162" s="454" t="s">
        <v>162</v>
      </c>
      <c r="F162" s="505" t="s">
        <v>112</v>
      </c>
      <c r="G162" s="505" t="s">
        <v>458</v>
      </c>
      <c r="H162" s="516"/>
      <c r="I162" s="516"/>
      <c r="J162" s="516"/>
      <c r="K162" s="516"/>
      <c r="L162" s="557"/>
      <c r="M162" s="557"/>
      <c r="N162" s="557"/>
    </row>
    <row r="163" spans="1:18" x14ac:dyDescent="0.25">
      <c r="A163" s="753"/>
      <c r="C163" s="452" t="s">
        <v>171</v>
      </c>
      <c r="D163" s="449">
        <f t="shared" ref="D163:D170" si="16">D162</f>
        <v>45874</v>
      </c>
      <c r="E163" s="455" t="s">
        <v>163</v>
      </c>
      <c r="F163" s="505" t="s">
        <v>112</v>
      </c>
      <c r="G163" s="505" t="s">
        <v>458</v>
      </c>
      <c r="H163" s="516"/>
      <c r="I163" s="516"/>
      <c r="J163" s="516"/>
      <c r="K163" s="516"/>
      <c r="L163" s="557"/>
      <c r="M163" s="557"/>
      <c r="N163" s="557"/>
    </row>
    <row r="164" spans="1:18" x14ac:dyDescent="0.25">
      <c r="A164" s="753"/>
      <c r="C164" s="452" t="s">
        <v>171</v>
      </c>
      <c r="D164" s="449">
        <f t="shared" si="16"/>
        <v>45874</v>
      </c>
      <c r="E164" s="455" t="s">
        <v>164</v>
      </c>
      <c r="F164" s="506" t="s">
        <v>112</v>
      </c>
      <c r="G164" s="506" t="s">
        <v>458</v>
      </c>
      <c r="H164" s="516"/>
      <c r="I164" s="516"/>
      <c r="J164" s="516"/>
      <c r="K164" s="516"/>
      <c r="L164" s="557"/>
      <c r="M164" s="557"/>
      <c r="N164" s="557"/>
    </row>
    <row r="165" spans="1:18" x14ac:dyDescent="0.25">
      <c r="A165" s="753"/>
      <c r="C165" s="452" t="s">
        <v>171</v>
      </c>
      <c r="D165" s="449">
        <f t="shared" si="16"/>
        <v>45874</v>
      </c>
      <c r="E165" s="503" t="s">
        <v>165</v>
      </c>
      <c r="F165" s="506" t="s">
        <v>112</v>
      </c>
      <c r="G165" s="506" t="s">
        <v>458</v>
      </c>
      <c r="H165" s="516"/>
      <c r="I165" s="516"/>
      <c r="J165" s="516"/>
      <c r="K165" s="516"/>
      <c r="L165" s="557"/>
      <c r="M165" s="557"/>
      <c r="N165" s="557"/>
    </row>
    <row r="166" spans="1:18" ht="15.75" thickBot="1" x14ac:dyDescent="0.3">
      <c r="A166" s="753"/>
      <c r="C166" s="530" t="s">
        <v>171</v>
      </c>
      <c r="D166" s="451">
        <f t="shared" si="16"/>
        <v>45874</v>
      </c>
      <c r="E166" s="459" t="s">
        <v>166</v>
      </c>
      <c r="F166" s="493" t="s">
        <v>112</v>
      </c>
      <c r="G166" s="493" t="s">
        <v>458</v>
      </c>
      <c r="H166" s="513"/>
      <c r="I166" s="513"/>
      <c r="J166" s="513"/>
      <c r="K166" s="513"/>
      <c r="L166" s="558"/>
      <c r="M166" s="558"/>
      <c r="N166" s="558"/>
    </row>
    <row r="167" spans="1:18" ht="4.5" customHeight="1" thickBot="1" x14ac:dyDescent="0.3">
      <c r="A167" s="753"/>
      <c r="C167" t="s">
        <v>171</v>
      </c>
      <c r="D167">
        <f t="shared" si="16"/>
        <v>45874</v>
      </c>
      <c r="E167" t="s">
        <v>167</v>
      </c>
      <c r="F167" t="s">
        <v>112</v>
      </c>
      <c r="G167" t="s">
        <v>458</v>
      </c>
      <c r="I167" s="420"/>
      <c r="J167" s="420"/>
      <c r="K167" s="420"/>
      <c r="L167" s="559"/>
      <c r="M167" s="559"/>
      <c r="N167" s="559"/>
      <c r="Q167" s="3"/>
      <c r="R167" s="3"/>
    </row>
    <row r="168" spans="1:18" ht="15" customHeight="1" thickBot="1" x14ac:dyDescent="0.3">
      <c r="A168" s="753"/>
      <c r="C168" s="546" t="s">
        <v>171</v>
      </c>
      <c r="D168" s="547">
        <f t="shared" si="16"/>
        <v>45874</v>
      </c>
      <c r="E168" s="539" t="s">
        <v>168</v>
      </c>
      <c r="F168" s="539" t="s">
        <v>112</v>
      </c>
      <c r="G168" s="539" t="s">
        <v>458</v>
      </c>
      <c r="H168" s="539"/>
      <c r="I168" s="543"/>
      <c r="J168" s="542"/>
      <c r="K168" s="544"/>
      <c r="L168" s="560"/>
      <c r="M168" s="561"/>
      <c r="N168" s="562"/>
      <c r="O168" s="548"/>
      <c r="P168" s="549"/>
      <c r="Q168" s="3"/>
      <c r="R168" s="3"/>
    </row>
    <row r="169" spans="1:18" x14ac:dyDescent="0.25">
      <c r="A169" s="753"/>
      <c r="C169" s="529" t="s">
        <v>171</v>
      </c>
      <c r="D169" s="447">
        <f t="shared" si="16"/>
        <v>45874</v>
      </c>
      <c r="E169" s="498" t="s">
        <v>169</v>
      </c>
      <c r="F169" s="514" t="s">
        <v>112</v>
      </c>
      <c r="G169" s="514" t="s">
        <v>458</v>
      </c>
      <c r="H169" s="515"/>
      <c r="I169" s="537"/>
      <c r="J169" s="537"/>
      <c r="K169" s="537"/>
      <c r="L169" s="563"/>
      <c r="M169" s="563"/>
      <c r="N169" s="563"/>
    </row>
    <row r="170" spans="1:18" x14ac:dyDescent="0.25">
      <c r="A170" s="753"/>
      <c r="C170" s="452" t="s">
        <v>171</v>
      </c>
      <c r="D170" s="453">
        <f t="shared" si="16"/>
        <v>45874</v>
      </c>
      <c r="E170" s="500" t="s">
        <v>170</v>
      </c>
      <c r="F170" s="460" t="s">
        <v>112</v>
      </c>
      <c r="G170" s="460" t="s">
        <v>458</v>
      </c>
      <c r="H170" s="460"/>
      <c r="I170" s="545"/>
      <c r="J170" s="545"/>
      <c r="K170" s="545"/>
      <c r="L170" s="564"/>
      <c r="M170" s="555"/>
      <c r="N170" s="555"/>
    </row>
    <row r="171" spans="1:18" x14ac:dyDescent="0.25">
      <c r="A171" s="753"/>
      <c r="C171" s="452"/>
      <c r="D171" s="453"/>
      <c r="E171" s="454"/>
      <c r="F171" s="460"/>
      <c r="G171" s="460"/>
      <c r="H171" s="460"/>
      <c r="I171" s="545"/>
      <c r="J171" s="545"/>
      <c r="K171" s="545"/>
      <c r="L171" s="564"/>
      <c r="M171" s="564"/>
      <c r="N171" s="564"/>
    </row>
    <row r="172" spans="1:18" x14ac:dyDescent="0.25">
      <c r="A172" s="753"/>
      <c r="C172" s="452" t="s">
        <v>172</v>
      </c>
      <c r="D172" s="453">
        <f>D170+1</f>
        <v>45875</v>
      </c>
      <c r="E172" s="454" t="s">
        <v>162</v>
      </c>
      <c r="F172" s="460" t="s">
        <v>112</v>
      </c>
      <c r="G172" s="460" t="s">
        <v>458</v>
      </c>
      <c r="H172" s="460"/>
      <c r="I172" s="545"/>
      <c r="J172" s="545"/>
      <c r="K172" s="545"/>
      <c r="L172" s="564"/>
      <c r="M172" s="564"/>
      <c r="N172" s="564"/>
    </row>
    <row r="173" spans="1:18" x14ac:dyDescent="0.25">
      <c r="A173" s="753"/>
      <c r="C173" s="452" t="s">
        <v>172</v>
      </c>
      <c r="D173" s="453">
        <f t="shared" ref="D173:D180" si="17">D172</f>
        <v>45875</v>
      </c>
      <c r="E173" s="454" t="s">
        <v>163</v>
      </c>
      <c r="F173" s="460" t="s">
        <v>112</v>
      </c>
      <c r="G173" s="460" t="s">
        <v>458</v>
      </c>
      <c r="H173" s="460"/>
      <c r="I173" s="545"/>
      <c r="J173" s="545"/>
      <c r="K173" s="545"/>
      <c r="L173" s="564"/>
      <c r="M173" s="564"/>
      <c r="N173" s="564"/>
    </row>
    <row r="174" spans="1:18" x14ac:dyDescent="0.25">
      <c r="A174" s="753"/>
      <c r="C174" s="452" t="s">
        <v>172</v>
      </c>
      <c r="D174" s="453">
        <f t="shared" si="17"/>
        <v>45875</v>
      </c>
      <c r="E174" s="454" t="s">
        <v>164</v>
      </c>
      <c r="F174" s="460" t="s">
        <v>112</v>
      </c>
      <c r="G174" s="460" t="s">
        <v>458</v>
      </c>
      <c r="H174" s="460"/>
      <c r="I174" s="545"/>
      <c r="J174" s="545"/>
      <c r="K174" s="545"/>
      <c r="L174" s="564"/>
      <c r="M174" s="564"/>
      <c r="N174" s="564"/>
    </row>
    <row r="175" spans="1:18" x14ac:dyDescent="0.25">
      <c r="A175" s="753"/>
      <c r="C175" s="452" t="s">
        <v>172</v>
      </c>
      <c r="D175" s="453">
        <f t="shared" si="17"/>
        <v>45875</v>
      </c>
      <c r="E175" s="454" t="s">
        <v>165</v>
      </c>
      <c r="F175" s="517" t="s">
        <v>385</v>
      </c>
      <c r="G175" s="512" t="s">
        <v>458</v>
      </c>
      <c r="H175" s="505"/>
      <c r="I175" s="541"/>
      <c r="J175" s="541"/>
      <c r="K175" s="541"/>
      <c r="L175" s="556"/>
      <c r="M175" s="556"/>
      <c r="N175" s="556"/>
    </row>
    <row r="176" spans="1:18" x14ac:dyDescent="0.25">
      <c r="A176" s="753"/>
      <c r="C176" s="452" t="s">
        <v>172</v>
      </c>
      <c r="D176" s="449">
        <f t="shared" si="17"/>
        <v>45875</v>
      </c>
      <c r="E176" s="454" t="s">
        <v>166</v>
      </c>
      <c r="F176" s="460" t="s">
        <v>385</v>
      </c>
      <c r="G176" s="460" t="s">
        <v>458</v>
      </c>
      <c r="H176" s="461"/>
      <c r="I176" s="545"/>
      <c r="J176" s="545"/>
      <c r="K176" s="545"/>
      <c r="L176" s="565"/>
      <c r="M176" s="565"/>
      <c r="N176" s="565"/>
    </row>
    <row r="177" spans="1:18" x14ac:dyDescent="0.25">
      <c r="A177" s="753"/>
      <c r="C177" s="452" t="s">
        <v>172</v>
      </c>
      <c r="D177" s="449">
        <f t="shared" si="17"/>
        <v>45875</v>
      </c>
      <c r="E177" s="454" t="s">
        <v>167</v>
      </c>
      <c r="F177" s="460" t="s">
        <v>385</v>
      </c>
      <c r="G177" s="460" t="s">
        <v>458</v>
      </c>
      <c r="H177" s="461"/>
      <c r="I177" s="545"/>
      <c r="J177" s="545"/>
      <c r="K177" s="545"/>
      <c r="L177" s="565"/>
      <c r="M177" s="565"/>
      <c r="N177" s="565"/>
    </row>
    <row r="178" spans="1:18" x14ac:dyDescent="0.25">
      <c r="A178" s="753"/>
      <c r="C178" s="452" t="s">
        <v>172</v>
      </c>
      <c r="D178" s="449">
        <f t="shared" si="17"/>
        <v>45875</v>
      </c>
      <c r="E178" s="454" t="s">
        <v>168</v>
      </c>
      <c r="F178" s="460" t="s">
        <v>385</v>
      </c>
      <c r="G178" s="460" t="s">
        <v>458</v>
      </c>
      <c r="H178" s="461"/>
      <c r="I178" s="545"/>
      <c r="J178" s="545"/>
      <c r="K178" s="545"/>
      <c r="L178" s="565"/>
      <c r="M178" s="565"/>
      <c r="N178" s="565"/>
    </row>
    <row r="179" spans="1:18" x14ac:dyDescent="0.25">
      <c r="A179" s="753"/>
      <c r="C179" s="452" t="s">
        <v>172</v>
      </c>
      <c r="D179" s="449">
        <f t="shared" si="17"/>
        <v>45875</v>
      </c>
      <c r="E179" s="454" t="s">
        <v>169</v>
      </c>
      <c r="F179" s="505" t="s">
        <v>385</v>
      </c>
      <c r="G179" s="505" t="s">
        <v>458</v>
      </c>
      <c r="H179" s="516"/>
      <c r="I179" s="516"/>
      <c r="J179" s="516"/>
      <c r="K179" s="516"/>
      <c r="L179" s="557"/>
      <c r="M179" s="557"/>
      <c r="N179" s="557"/>
    </row>
    <row r="180" spans="1:18" x14ac:dyDescent="0.25">
      <c r="A180" s="753"/>
      <c r="C180" s="452" t="s">
        <v>172</v>
      </c>
      <c r="D180" s="449">
        <f t="shared" si="17"/>
        <v>45875</v>
      </c>
      <c r="E180" s="454" t="s">
        <v>170</v>
      </c>
      <c r="F180" s="505" t="s">
        <v>385</v>
      </c>
      <c r="G180" s="505" t="s">
        <v>458</v>
      </c>
      <c r="H180" s="516"/>
      <c r="I180" s="516"/>
      <c r="J180" s="516"/>
      <c r="K180" s="516"/>
      <c r="L180" s="557"/>
      <c r="M180" s="557"/>
      <c r="N180" s="557"/>
    </row>
    <row r="181" spans="1:18" x14ac:dyDescent="0.25">
      <c r="A181" s="753"/>
      <c r="C181" s="452"/>
      <c r="D181" s="449"/>
      <c r="E181" s="455"/>
      <c r="F181" s="505"/>
      <c r="G181" s="505"/>
      <c r="H181" s="516"/>
      <c r="I181" s="516"/>
      <c r="J181" s="516"/>
      <c r="K181" s="516"/>
      <c r="L181" s="557"/>
      <c r="M181" s="557"/>
      <c r="N181" s="557"/>
    </row>
    <row r="182" spans="1:18" x14ac:dyDescent="0.25">
      <c r="A182" s="753"/>
      <c r="C182" s="452" t="s">
        <v>173</v>
      </c>
      <c r="D182" s="449">
        <f>D180+1</f>
        <v>45876</v>
      </c>
      <c r="E182" s="455" t="s">
        <v>162</v>
      </c>
      <c r="F182" s="506" t="s">
        <v>385</v>
      </c>
      <c r="G182" s="506" t="s">
        <v>371</v>
      </c>
      <c r="H182" s="516"/>
      <c r="I182" s="516"/>
      <c r="J182" s="516"/>
      <c r="K182" s="516"/>
      <c r="L182" s="557"/>
      <c r="M182" s="557"/>
      <c r="N182" s="557"/>
    </row>
    <row r="183" spans="1:18" x14ac:dyDescent="0.25">
      <c r="A183" s="753"/>
      <c r="C183" s="452" t="s">
        <v>173</v>
      </c>
      <c r="D183" s="502">
        <f t="shared" ref="D183:D190" si="18">D182</f>
        <v>45876</v>
      </c>
      <c r="E183" s="503" t="s">
        <v>163</v>
      </c>
      <c r="F183" s="506" t="s">
        <v>385</v>
      </c>
      <c r="G183" s="506" t="s">
        <v>371</v>
      </c>
      <c r="H183" s="516"/>
      <c r="I183" s="516"/>
      <c r="J183" s="516"/>
      <c r="K183" s="516"/>
      <c r="L183" s="557"/>
      <c r="M183" s="557"/>
      <c r="N183" s="557"/>
    </row>
    <row r="184" spans="1:18" ht="15.75" thickBot="1" x14ac:dyDescent="0.3">
      <c r="A184" s="753"/>
      <c r="C184" s="530" t="s">
        <v>173</v>
      </c>
      <c r="D184" s="451">
        <f t="shared" si="18"/>
        <v>45876</v>
      </c>
      <c r="E184" s="459" t="s">
        <v>164</v>
      </c>
      <c r="F184" s="493" t="s">
        <v>385</v>
      </c>
      <c r="G184" s="493" t="s">
        <v>371</v>
      </c>
      <c r="H184" s="513"/>
      <c r="I184" s="513"/>
      <c r="J184" s="513"/>
      <c r="K184" s="513"/>
      <c r="L184" s="558"/>
      <c r="M184" s="558"/>
      <c r="N184" s="558"/>
    </row>
    <row r="185" spans="1:18" ht="4.5" customHeight="1" thickBot="1" x14ac:dyDescent="0.3">
      <c r="C185" t="s">
        <v>173</v>
      </c>
      <c r="D185">
        <f t="shared" si="18"/>
        <v>45876</v>
      </c>
      <c r="E185" t="s">
        <v>165</v>
      </c>
      <c r="F185" t="s">
        <v>385</v>
      </c>
      <c r="G185" t="s">
        <v>371</v>
      </c>
      <c r="L185" s="559"/>
      <c r="M185" s="559"/>
      <c r="N185" s="559"/>
      <c r="Q185" s="3"/>
      <c r="R185" s="3"/>
    </row>
    <row r="186" spans="1:18" ht="15" customHeight="1" thickBot="1" x14ac:dyDescent="0.3">
      <c r="A186" s="753"/>
      <c r="C186" s="538" t="s">
        <v>173</v>
      </c>
      <c r="D186" s="539">
        <f t="shared" si="18"/>
        <v>45876</v>
      </c>
      <c r="E186" s="539" t="s">
        <v>166</v>
      </c>
      <c r="F186" s="539" t="s">
        <v>487</v>
      </c>
      <c r="G186" s="539" t="s">
        <v>371</v>
      </c>
      <c r="H186" s="539"/>
      <c r="I186" s="543"/>
      <c r="J186" s="542"/>
      <c r="K186" s="544"/>
      <c r="L186" s="560"/>
      <c r="M186" s="561"/>
      <c r="N186" s="562"/>
      <c r="O186" s="548"/>
      <c r="P186" s="549"/>
      <c r="Q186" s="3"/>
      <c r="R186" s="3"/>
    </row>
    <row r="187" spans="1:18" x14ac:dyDescent="0.25">
      <c r="A187" s="753"/>
      <c r="C187" s="496" t="s">
        <v>173</v>
      </c>
      <c r="D187" s="507">
        <f t="shared" si="18"/>
        <v>45876</v>
      </c>
      <c r="E187" s="498" t="s">
        <v>167</v>
      </c>
      <c r="F187" s="514" t="s">
        <v>487</v>
      </c>
      <c r="G187" s="514" t="s">
        <v>371</v>
      </c>
      <c r="H187" s="515"/>
      <c r="I187" s="537"/>
      <c r="J187" s="537"/>
      <c r="K187" s="537"/>
      <c r="L187" s="563"/>
      <c r="M187" s="563"/>
      <c r="N187" s="563"/>
    </row>
    <row r="188" spans="1:18" x14ac:dyDescent="0.25">
      <c r="A188" s="753"/>
      <c r="C188" s="525" t="s">
        <v>173</v>
      </c>
      <c r="D188" s="499">
        <f t="shared" si="18"/>
        <v>45876</v>
      </c>
      <c r="E188" s="500" t="s">
        <v>168</v>
      </c>
      <c r="F188" s="460" t="s">
        <v>487</v>
      </c>
      <c r="G188" s="460" t="s">
        <v>371</v>
      </c>
      <c r="H188" s="501"/>
      <c r="I188" s="545"/>
      <c r="J188" s="545"/>
      <c r="K188" s="540"/>
      <c r="L188" s="555"/>
      <c r="M188" s="555"/>
      <c r="N188" s="555"/>
    </row>
    <row r="189" spans="1:18" x14ac:dyDescent="0.25">
      <c r="A189" s="753"/>
      <c r="C189" s="526" t="s">
        <v>173</v>
      </c>
      <c r="D189" s="449">
        <f t="shared" si="18"/>
        <v>45876</v>
      </c>
      <c r="E189" s="454" t="s">
        <v>169</v>
      </c>
      <c r="F189" s="460" t="s">
        <v>487</v>
      </c>
      <c r="G189" s="460" t="s">
        <v>371</v>
      </c>
      <c r="H189" s="460"/>
      <c r="I189" s="545"/>
      <c r="J189" s="545"/>
      <c r="K189" s="540"/>
      <c r="L189" s="564"/>
      <c r="M189" s="564"/>
      <c r="N189" s="564"/>
    </row>
    <row r="190" spans="1:18" x14ac:dyDescent="0.25">
      <c r="A190" s="753"/>
      <c r="C190" s="526" t="s">
        <v>173</v>
      </c>
      <c r="D190" s="449">
        <f t="shared" si="18"/>
        <v>45876</v>
      </c>
      <c r="E190" s="454" t="s">
        <v>170</v>
      </c>
      <c r="F190" s="460" t="s">
        <v>487</v>
      </c>
      <c r="G190" s="460" t="s">
        <v>371</v>
      </c>
      <c r="H190" s="460"/>
      <c r="I190" s="545"/>
      <c r="J190" s="545"/>
      <c r="K190" s="540"/>
      <c r="L190" s="564"/>
      <c r="M190" s="564"/>
      <c r="N190" s="564"/>
    </row>
    <row r="191" spans="1:18" x14ac:dyDescent="0.25">
      <c r="A191" s="753"/>
      <c r="C191" s="526"/>
      <c r="D191" s="449"/>
      <c r="E191" s="454"/>
      <c r="F191" s="460"/>
      <c r="G191" s="460"/>
      <c r="H191" s="460"/>
      <c r="I191" s="545"/>
      <c r="J191" s="545"/>
      <c r="K191" s="540"/>
      <c r="L191" s="564"/>
      <c r="M191" s="564"/>
      <c r="N191" s="564"/>
    </row>
    <row r="192" spans="1:18" x14ac:dyDescent="0.25">
      <c r="A192" s="753"/>
      <c r="C192" s="526" t="s">
        <v>174</v>
      </c>
      <c r="D192" s="449">
        <f>D190+1</f>
        <v>45877</v>
      </c>
      <c r="E192" s="454" t="s">
        <v>162</v>
      </c>
      <c r="F192" s="460" t="s">
        <v>487</v>
      </c>
      <c r="G192" s="460" t="s">
        <v>371</v>
      </c>
      <c r="H192" s="460"/>
      <c r="I192" s="545"/>
      <c r="J192" s="545"/>
      <c r="K192" s="540"/>
      <c r="L192" s="564"/>
      <c r="M192" s="564"/>
      <c r="N192" s="564"/>
    </row>
    <row r="193" spans="1:18" x14ac:dyDescent="0.25">
      <c r="A193" s="753"/>
      <c r="C193" s="526" t="s">
        <v>174</v>
      </c>
      <c r="D193" s="449">
        <f t="shared" ref="D193:D199" si="19">D192</f>
        <v>45877</v>
      </c>
      <c r="E193" s="454" t="s">
        <v>163</v>
      </c>
      <c r="F193" s="517" t="s">
        <v>487</v>
      </c>
      <c r="G193" s="512" t="s">
        <v>371</v>
      </c>
      <c r="H193" s="505"/>
      <c r="I193" s="541"/>
      <c r="J193" s="541"/>
      <c r="K193" s="541"/>
      <c r="L193" s="556"/>
      <c r="M193" s="556"/>
      <c r="N193" s="556"/>
    </row>
    <row r="194" spans="1:18" x14ac:dyDescent="0.25">
      <c r="A194" s="753"/>
      <c r="C194" s="527" t="s">
        <v>174</v>
      </c>
      <c r="D194" s="449">
        <f t="shared" si="19"/>
        <v>45877</v>
      </c>
      <c r="E194" s="454" t="s">
        <v>164</v>
      </c>
      <c r="F194" s="460" t="s">
        <v>487</v>
      </c>
      <c r="G194" s="460" t="s">
        <v>371</v>
      </c>
      <c r="H194" s="461"/>
      <c r="I194" s="545"/>
      <c r="J194" s="545"/>
      <c r="K194" s="540"/>
      <c r="L194" s="565"/>
      <c r="M194" s="565"/>
      <c r="N194" s="565"/>
    </row>
    <row r="195" spans="1:18" x14ac:dyDescent="0.25">
      <c r="A195" s="753"/>
      <c r="C195" s="527" t="s">
        <v>174</v>
      </c>
      <c r="D195" s="449">
        <f t="shared" si="19"/>
        <v>45877</v>
      </c>
      <c r="E195" s="454" t="s">
        <v>165</v>
      </c>
      <c r="F195" s="460" t="s">
        <v>487</v>
      </c>
      <c r="G195" s="460" t="s">
        <v>371</v>
      </c>
      <c r="H195" s="461"/>
      <c r="I195" s="545"/>
      <c r="J195" s="545"/>
      <c r="K195" s="540"/>
      <c r="L195" s="565"/>
      <c r="M195" s="565"/>
      <c r="N195" s="565"/>
    </row>
    <row r="196" spans="1:18" x14ac:dyDescent="0.25">
      <c r="A196" s="753"/>
      <c r="C196" s="527" t="s">
        <v>174</v>
      </c>
      <c r="D196" s="449">
        <f t="shared" si="19"/>
        <v>45877</v>
      </c>
      <c r="E196" s="454" t="s">
        <v>166</v>
      </c>
      <c r="F196" s="460" t="s">
        <v>487</v>
      </c>
      <c r="G196" s="460" t="s">
        <v>371</v>
      </c>
      <c r="H196" s="461"/>
      <c r="I196" s="545"/>
      <c r="J196" s="545"/>
      <c r="K196" s="540"/>
      <c r="L196" s="565"/>
      <c r="M196" s="565"/>
      <c r="N196" s="565"/>
    </row>
    <row r="197" spans="1:18" x14ac:dyDescent="0.25">
      <c r="A197" s="753"/>
      <c r="C197" s="527" t="s">
        <v>174</v>
      </c>
      <c r="D197" s="449">
        <f t="shared" si="19"/>
        <v>45877</v>
      </c>
      <c r="E197" s="454" t="s">
        <v>167</v>
      </c>
      <c r="F197" s="460" t="s">
        <v>487</v>
      </c>
      <c r="G197" s="460" t="s">
        <v>371</v>
      </c>
      <c r="H197" s="504"/>
      <c r="I197" s="545"/>
      <c r="J197" s="545"/>
      <c r="K197" s="540"/>
      <c r="L197" s="566"/>
      <c r="M197" s="566"/>
      <c r="N197" s="566"/>
    </row>
    <row r="198" spans="1:18" x14ac:dyDescent="0.25">
      <c r="A198" s="753"/>
      <c r="C198" s="527" t="s">
        <v>174</v>
      </c>
      <c r="D198" s="449">
        <f t="shared" si="19"/>
        <v>45877</v>
      </c>
      <c r="E198" s="454" t="s">
        <v>168</v>
      </c>
      <c r="F198" s="505" t="s">
        <v>487</v>
      </c>
      <c r="G198" s="516" t="s">
        <v>371</v>
      </c>
      <c r="H198" s="516"/>
      <c r="I198" s="516"/>
      <c r="J198" s="516"/>
      <c r="K198" s="516"/>
      <c r="L198" s="557"/>
      <c r="M198" s="557"/>
      <c r="N198" s="557"/>
    </row>
    <row r="199" spans="1:18" x14ac:dyDescent="0.25">
      <c r="A199" s="753"/>
      <c r="C199" s="527" t="s">
        <v>174</v>
      </c>
      <c r="D199" s="449">
        <f t="shared" si="19"/>
        <v>45877</v>
      </c>
      <c r="E199" s="455" t="s">
        <v>169</v>
      </c>
      <c r="F199" s="505" t="s">
        <v>487</v>
      </c>
      <c r="G199" s="516" t="s">
        <v>371</v>
      </c>
      <c r="H199" s="516"/>
      <c r="I199" s="516"/>
      <c r="J199" s="516"/>
      <c r="K199" s="516"/>
      <c r="L199" s="557"/>
      <c r="M199" s="557"/>
      <c r="N199" s="557"/>
    </row>
    <row r="200" spans="1:18" x14ac:dyDescent="0.25">
      <c r="A200" s="753" t="s">
        <v>310</v>
      </c>
      <c r="C200" s="527"/>
      <c r="D200" s="449"/>
      <c r="E200" s="455"/>
      <c r="F200" s="506"/>
      <c r="G200" s="506"/>
      <c r="H200" s="516"/>
      <c r="I200" s="516"/>
      <c r="J200" s="516"/>
      <c r="K200" s="516"/>
      <c r="L200" s="557"/>
      <c r="M200" s="557"/>
      <c r="N200" s="557"/>
    </row>
    <row r="201" spans="1:18" x14ac:dyDescent="0.25">
      <c r="A201" s="753" t="s">
        <v>533</v>
      </c>
      <c r="C201" s="527" t="s">
        <v>161</v>
      </c>
      <c r="D201" s="449">
        <f>D199+3</f>
        <v>45880</v>
      </c>
      <c r="E201" s="503" t="s">
        <v>162</v>
      </c>
      <c r="F201" s="506" t="s">
        <v>112</v>
      </c>
      <c r="G201" s="506" t="s">
        <v>371</v>
      </c>
      <c r="H201" s="516"/>
      <c r="I201" s="516"/>
      <c r="J201" s="516"/>
      <c r="K201" s="516"/>
      <c r="L201" s="557"/>
      <c r="M201" s="557"/>
      <c r="N201" s="557"/>
    </row>
    <row r="202" spans="1:18" ht="15.75" thickBot="1" x14ac:dyDescent="0.3">
      <c r="A202" s="753"/>
      <c r="C202" s="528" t="s">
        <v>161</v>
      </c>
      <c r="D202" s="451">
        <f t="shared" ref="D202:D209" si="20">D201</f>
        <v>45880</v>
      </c>
      <c r="E202" s="459" t="s">
        <v>163</v>
      </c>
      <c r="F202" s="493" t="s">
        <v>112</v>
      </c>
      <c r="G202" s="493" t="s">
        <v>371</v>
      </c>
      <c r="H202" s="513"/>
      <c r="I202" s="513"/>
      <c r="J202" s="513"/>
      <c r="K202" s="513"/>
      <c r="L202" s="558"/>
      <c r="M202" s="558"/>
      <c r="N202" s="558"/>
    </row>
    <row r="203" spans="1:18" ht="4.5" customHeight="1" thickBot="1" x14ac:dyDescent="0.3">
      <c r="A203" s="753"/>
      <c r="C203" t="s">
        <v>161</v>
      </c>
      <c r="D203">
        <f t="shared" si="20"/>
        <v>45880</v>
      </c>
      <c r="E203" t="s">
        <v>164</v>
      </c>
      <c r="F203" t="s">
        <v>112</v>
      </c>
      <c r="G203" t="s">
        <v>371</v>
      </c>
      <c r="L203" s="559"/>
      <c r="M203" s="559"/>
      <c r="N203" s="559"/>
      <c r="Q203" s="3"/>
      <c r="R203" s="3"/>
    </row>
    <row r="204" spans="1:18" ht="15" customHeight="1" thickBot="1" x14ac:dyDescent="0.3">
      <c r="A204" s="753"/>
      <c r="C204" s="538" t="s">
        <v>161</v>
      </c>
      <c r="D204" s="539">
        <f t="shared" si="20"/>
        <v>45880</v>
      </c>
      <c r="E204" s="539" t="s">
        <v>165</v>
      </c>
      <c r="F204" s="539" t="s">
        <v>112</v>
      </c>
      <c r="G204" s="539" t="s">
        <v>371</v>
      </c>
      <c r="H204" s="539"/>
      <c r="I204" s="543"/>
      <c r="J204" s="542"/>
      <c r="K204" s="544"/>
      <c r="L204" s="560"/>
      <c r="M204" s="561"/>
      <c r="N204" s="562"/>
      <c r="O204" s="548"/>
      <c r="P204" s="549"/>
      <c r="Q204" s="3"/>
      <c r="R204" s="3"/>
    </row>
    <row r="205" spans="1:18" x14ac:dyDescent="0.25">
      <c r="A205" s="753"/>
      <c r="C205" s="446" t="s">
        <v>161</v>
      </c>
      <c r="D205" s="497">
        <f t="shared" si="20"/>
        <v>45880</v>
      </c>
      <c r="E205" s="498" t="s">
        <v>166</v>
      </c>
      <c r="F205" s="514" t="s">
        <v>112</v>
      </c>
      <c r="G205" s="514" t="s">
        <v>371</v>
      </c>
      <c r="H205" s="515"/>
      <c r="I205" s="537"/>
      <c r="J205" s="537"/>
      <c r="K205" s="537"/>
      <c r="L205" s="563"/>
      <c r="M205" s="563"/>
      <c r="N205" s="563"/>
    </row>
    <row r="206" spans="1:18" x14ac:dyDescent="0.25">
      <c r="A206" s="753"/>
      <c r="C206" s="452" t="s">
        <v>161</v>
      </c>
      <c r="D206" s="499">
        <f t="shared" si="20"/>
        <v>45880</v>
      </c>
      <c r="E206" s="500" t="s">
        <v>167</v>
      </c>
      <c r="F206" s="460" t="s">
        <v>548</v>
      </c>
      <c r="G206" s="460" t="s">
        <v>371</v>
      </c>
      <c r="H206" s="501"/>
      <c r="I206" s="545"/>
      <c r="J206" s="545"/>
      <c r="K206" s="540"/>
      <c r="L206" s="555"/>
      <c r="M206" s="555"/>
      <c r="N206" s="555"/>
    </row>
    <row r="207" spans="1:18" x14ac:dyDescent="0.25">
      <c r="A207" s="753"/>
      <c r="C207" s="452" t="s">
        <v>161</v>
      </c>
      <c r="D207" s="449">
        <f t="shared" si="20"/>
        <v>45880</v>
      </c>
      <c r="E207" s="454" t="s">
        <v>167</v>
      </c>
      <c r="F207" s="460" t="s">
        <v>548</v>
      </c>
      <c r="G207" s="460" t="s">
        <v>371</v>
      </c>
      <c r="H207" s="460"/>
      <c r="I207" s="545"/>
      <c r="J207" s="545"/>
      <c r="K207" s="540"/>
      <c r="L207" s="564"/>
      <c r="M207" s="564"/>
      <c r="N207" s="564"/>
    </row>
    <row r="208" spans="1:18" x14ac:dyDescent="0.25">
      <c r="A208" s="753"/>
      <c r="C208" s="452" t="s">
        <v>161</v>
      </c>
      <c r="D208" s="449">
        <f t="shared" si="20"/>
        <v>45880</v>
      </c>
      <c r="E208" s="454" t="s">
        <v>169</v>
      </c>
      <c r="F208" s="460" t="s">
        <v>548</v>
      </c>
      <c r="G208" s="460" t="s">
        <v>371</v>
      </c>
      <c r="H208" s="460"/>
      <c r="I208" s="545"/>
      <c r="J208" s="545"/>
      <c r="K208" s="540"/>
      <c r="L208" s="564"/>
      <c r="M208" s="564"/>
      <c r="N208" s="564"/>
    </row>
    <row r="209" spans="1:18" x14ac:dyDescent="0.25">
      <c r="A209" s="753"/>
      <c r="C209" s="452" t="s">
        <v>161</v>
      </c>
      <c r="D209" s="449">
        <f t="shared" si="20"/>
        <v>45880</v>
      </c>
      <c r="E209" s="454" t="s">
        <v>170</v>
      </c>
      <c r="F209" s="460" t="s">
        <v>548</v>
      </c>
      <c r="G209" s="460" t="s">
        <v>371</v>
      </c>
      <c r="H209" s="460"/>
      <c r="I209" s="545"/>
      <c r="J209" s="545"/>
      <c r="K209" s="540"/>
      <c r="L209" s="564"/>
      <c r="M209" s="564"/>
      <c r="N209" s="564"/>
    </row>
    <row r="210" spans="1:18" x14ac:dyDescent="0.25">
      <c r="A210" s="753"/>
      <c r="C210" s="452"/>
      <c r="D210" s="449"/>
      <c r="E210" s="454"/>
      <c r="F210" s="460"/>
      <c r="G210" s="460"/>
      <c r="H210" s="460"/>
      <c r="I210" s="545"/>
      <c r="J210" s="545"/>
      <c r="K210" s="540"/>
      <c r="L210" s="564"/>
      <c r="M210" s="564"/>
      <c r="N210" s="564"/>
    </row>
    <row r="211" spans="1:18" x14ac:dyDescent="0.25">
      <c r="A211" s="753"/>
      <c r="C211" s="452" t="s">
        <v>171</v>
      </c>
      <c r="D211" s="449">
        <f>D209+1</f>
        <v>45881</v>
      </c>
      <c r="E211" s="454" t="s">
        <v>162</v>
      </c>
      <c r="F211" s="517" t="s">
        <v>548</v>
      </c>
      <c r="G211" s="512" t="s">
        <v>371</v>
      </c>
      <c r="H211" s="505"/>
      <c r="I211" s="541"/>
      <c r="J211" s="541"/>
      <c r="K211" s="541"/>
      <c r="L211" s="556"/>
      <c r="M211" s="556"/>
      <c r="N211" s="556"/>
    </row>
    <row r="212" spans="1:18" x14ac:dyDescent="0.25">
      <c r="A212" s="753"/>
      <c r="C212" s="452" t="s">
        <v>171</v>
      </c>
      <c r="D212" s="449">
        <f t="shared" ref="D212:D219" si="21">D211</f>
        <v>45881</v>
      </c>
      <c r="E212" s="454" t="s">
        <v>163</v>
      </c>
      <c r="F212" s="460" t="s">
        <v>548</v>
      </c>
      <c r="G212" s="460" t="s">
        <v>371</v>
      </c>
      <c r="H212" s="461"/>
      <c r="I212" s="545"/>
      <c r="J212" s="545"/>
      <c r="K212" s="540"/>
      <c r="L212" s="565"/>
      <c r="M212" s="565"/>
      <c r="N212" s="565"/>
    </row>
    <row r="213" spans="1:18" x14ac:dyDescent="0.25">
      <c r="A213" s="753"/>
      <c r="C213" s="452" t="s">
        <v>171</v>
      </c>
      <c r="D213" s="449">
        <f t="shared" si="21"/>
        <v>45881</v>
      </c>
      <c r="E213" s="454" t="s">
        <v>164</v>
      </c>
      <c r="F213" s="460" t="s">
        <v>548</v>
      </c>
      <c r="G213" s="460" t="s">
        <v>371</v>
      </c>
      <c r="H213" s="461"/>
      <c r="I213" s="545"/>
      <c r="J213" s="545"/>
      <c r="K213" s="540"/>
      <c r="L213" s="565"/>
      <c r="M213" s="565"/>
      <c r="N213" s="565"/>
    </row>
    <row r="214" spans="1:18" x14ac:dyDescent="0.25">
      <c r="A214" s="753"/>
      <c r="C214" s="452" t="s">
        <v>171</v>
      </c>
      <c r="D214" s="449">
        <f t="shared" si="21"/>
        <v>45881</v>
      </c>
      <c r="E214" s="454" t="s">
        <v>165</v>
      </c>
      <c r="F214" s="460" t="s">
        <v>548</v>
      </c>
      <c r="G214" s="460" t="s">
        <v>371</v>
      </c>
      <c r="H214" s="461"/>
      <c r="I214" s="545"/>
      <c r="J214" s="545"/>
      <c r="K214" s="540"/>
      <c r="L214" s="565"/>
      <c r="M214" s="565"/>
      <c r="N214" s="565"/>
    </row>
    <row r="215" spans="1:18" x14ac:dyDescent="0.25">
      <c r="A215" s="753"/>
      <c r="C215" s="452" t="s">
        <v>171</v>
      </c>
      <c r="D215" s="449">
        <f t="shared" si="21"/>
        <v>45881</v>
      </c>
      <c r="E215" s="454" t="s">
        <v>166</v>
      </c>
      <c r="F215" s="460" t="s">
        <v>548</v>
      </c>
      <c r="G215" s="460" t="s">
        <v>371</v>
      </c>
      <c r="H215" s="504"/>
      <c r="I215" s="545"/>
      <c r="J215" s="545"/>
      <c r="K215" s="540"/>
      <c r="L215" s="566"/>
      <c r="M215" s="566"/>
      <c r="N215" s="566"/>
    </row>
    <row r="216" spans="1:18" x14ac:dyDescent="0.25">
      <c r="A216" s="753"/>
      <c r="C216" s="452" t="s">
        <v>171</v>
      </c>
      <c r="D216" s="449">
        <f t="shared" si="21"/>
        <v>45881</v>
      </c>
      <c r="E216" s="454" t="s">
        <v>167</v>
      </c>
      <c r="F216" s="505" t="s">
        <v>548</v>
      </c>
      <c r="G216" s="505" t="s">
        <v>371</v>
      </c>
      <c r="H216" s="516"/>
      <c r="I216" s="516"/>
      <c r="J216" s="516"/>
      <c r="K216" s="516"/>
      <c r="L216" s="557"/>
      <c r="M216" s="557"/>
      <c r="N216" s="557"/>
    </row>
    <row r="217" spans="1:18" x14ac:dyDescent="0.25">
      <c r="A217" s="753"/>
      <c r="C217" s="448" t="s">
        <v>171</v>
      </c>
      <c r="D217" s="449">
        <f t="shared" si="21"/>
        <v>45881</v>
      </c>
      <c r="E217" s="455" t="s">
        <v>168</v>
      </c>
      <c r="F217" s="505" t="s">
        <v>548</v>
      </c>
      <c r="G217" s="505" t="s">
        <v>371</v>
      </c>
      <c r="H217" s="516"/>
      <c r="I217" s="516"/>
      <c r="J217" s="516"/>
      <c r="K217" s="516"/>
      <c r="L217" s="557"/>
      <c r="M217" s="557"/>
      <c r="N217" s="557"/>
    </row>
    <row r="218" spans="1:18" x14ac:dyDescent="0.25">
      <c r="A218" s="753"/>
      <c r="C218" s="448" t="s">
        <v>171</v>
      </c>
      <c r="D218" s="449">
        <f t="shared" si="21"/>
        <v>45881</v>
      </c>
      <c r="E218" s="455" t="s">
        <v>169</v>
      </c>
      <c r="F218" s="506" t="s">
        <v>548</v>
      </c>
      <c r="G218" s="506" t="s">
        <v>371</v>
      </c>
      <c r="H218" s="516"/>
      <c r="I218" s="516"/>
      <c r="J218" s="516"/>
      <c r="K218" s="516"/>
      <c r="L218" s="557"/>
      <c r="M218" s="557"/>
      <c r="N218" s="557"/>
    </row>
    <row r="219" spans="1:18" x14ac:dyDescent="0.25">
      <c r="A219" s="753"/>
      <c r="C219" s="448" t="s">
        <v>171</v>
      </c>
      <c r="D219" s="449">
        <f t="shared" si="21"/>
        <v>45881</v>
      </c>
      <c r="E219" s="503" t="s">
        <v>170</v>
      </c>
      <c r="F219" s="506" t="s">
        <v>548</v>
      </c>
      <c r="G219" s="506" t="s">
        <v>371</v>
      </c>
      <c r="H219" s="516"/>
      <c r="I219" s="516"/>
      <c r="J219" s="516"/>
      <c r="K219" s="516"/>
      <c r="L219" s="557"/>
      <c r="M219" s="557"/>
      <c r="N219" s="557"/>
    </row>
    <row r="220" spans="1:18" ht="15.75" thickBot="1" x14ac:dyDescent="0.3">
      <c r="A220" s="753"/>
      <c r="C220" s="450"/>
      <c r="D220" s="451"/>
      <c r="E220" s="459"/>
      <c r="F220" s="493"/>
      <c r="G220" s="493"/>
      <c r="H220" s="513"/>
      <c r="I220" s="513"/>
      <c r="J220" s="513"/>
      <c r="K220" s="513"/>
      <c r="L220" s="558"/>
      <c r="M220" s="558"/>
      <c r="N220" s="558"/>
    </row>
    <row r="221" spans="1:18" ht="4.5" customHeight="1" thickBot="1" x14ac:dyDescent="0.3">
      <c r="A221" s="753"/>
      <c r="C221" t="s">
        <v>172</v>
      </c>
      <c r="D221">
        <f>D219+1</f>
        <v>45882</v>
      </c>
      <c r="E221" t="s">
        <v>162</v>
      </c>
      <c r="F221" t="s">
        <v>431</v>
      </c>
      <c r="G221" t="s">
        <v>459</v>
      </c>
      <c r="L221" s="559"/>
      <c r="M221" s="559"/>
      <c r="N221" s="559"/>
      <c r="Q221" s="3"/>
      <c r="R221" s="3"/>
    </row>
    <row r="222" spans="1:18" ht="15" customHeight="1" thickBot="1" x14ac:dyDescent="0.3">
      <c r="A222" s="753"/>
      <c r="C222" s="538" t="s">
        <v>172</v>
      </c>
      <c r="D222" s="539">
        <f t="shared" ref="D222:D229" si="22">D221</f>
        <v>45882</v>
      </c>
      <c r="E222" s="539" t="s">
        <v>163</v>
      </c>
      <c r="F222" s="539" t="s">
        <v>431</v>
      </c>
      <c r="G222" s="539" t="s">
        <v>459</v>
      </c>
      <c r="H222" s="539"/>
      <c r="I222" s="543"/>
      <c r="J222" s="542"/>
      <c r="K222" s="544"/>
      <c r="L222" s="560"/>
      <c r="M222" s="561"/>
      <c r="N222" s="562"/>
      <c r="O222" s="548"/>
      <c r="P222" s="549"/>
      <c r="Q222" s="3"/>
      <c r="R222" s="3"/>
    </row>
    <row r="223" spans="1:18" x14ac:dyDescent="0.25">
      <c r="A223" s="753"/>
      <c r="C223" s="446" t="s">
        <v>172</v>
      </c>
      <c r="D223" s="497">
        <f t="shared" si="22"/>
        <v>45882</v>
      </c>
      <c r="E223" s="498" t="s">
        <v>164</v>
      </c>
      <c r="F223" s="514" t="s">
        <v>431</v>
      </c>
      <c r="G223" s="514" t="s">
        <v>459</v>
      </c>
      <c r="H223" s="515"/>
      <c r="I223" s="537"/>
      <c r="J223" s="537"/>
      <c r="K223" s="537"/>
      <c r="L223" s="563"/>
      <c r="M223" s="563"/>
      <c r="N223" s="563"/>
    </row>
    <row r="224" spans="1:18" x14ac:dyDescent="0.25">
      <c r="A224" s="753"/>
      <c r="C224" s="452" t="s">
        <v>172</v>
      </c>
      <c r="D224" s="499">
        <f t="shared" si="22"/>
        <v>45882</v>
      </c>
      <c r="E224" s="500" t="s">
        <v>165</v>
      </c>
      <c r="F224" s="460" t="s">
        <v>431</v>
      </c>
      <c r="G224" s="460" t="s">
        <v>459</v>
      </c>
      <c r="H224" s="501"/>
      <c r="I224" s="545"/>
      <c r="J224" s="545"/>
      <c r="K224" s="540"/>
      <c r="L224" s="555"/>
      <c r="M224" s="555"/>
      <c r="N224" s="555"/>
    </row>
    <row r="225" spans="1:18" x14ac:dyDescent="0.25">
      <c r="A225" s="753"/>
      <c r="C225" s="452" t="s">
        <v>172</v>
      </c>
      <c r="D225" s="449">
        <f t="shared" si="22"/>
        <v>45882</v>
      </c>
      <c r="E225" s="454" t="s">
        <v>166</v>
      </c>
      <c r="F225" s="460" t="s">
        <v>431</v>
      </c>
      <c r="G225" s="460" t="s">
        <v>459</v>
      </c>
      <c r="H225" s="460"/>
      <c r="I225" s="545"/>
      <c r="J225" s="545"/>
      <c r="K225" s="540"/>
      <c r="L225" s="564"/>
      <c r="M225" s="564"/>
      <c r="N225" s="564"/>
    </row>
    <row r="226" spans="1:18" x14ac:dyDescent="0.25">
      <c r="A226" s="753"/>
      <c r="C226" s="452" t="s">
        <v>172</v>
      </c>
      <c r="D226" s="449">
        <f t="shared" si="22"/>
        <v>45882</v>
      </c>
      <c r="E226" s="454" t="s">
        <v>167</v>
      </c>
      <c r="F226" s="460" t="s">
        <v>431</v>
      </c>
      <c r="G226" s="460" t="s">
        <v>459</v>
      </c>
      <c r="H226" s="460"/>
      <c r="I226" s="545"/>
      <c r="J226" s="545"/>
      <c r="K226" s="540"/>
      <c r="L226" s="564"/>
      <c r="M226" s="564"/>
      <c r="N226" s="564"/>
    </row>
    <row r="227" spans="1:18" x14ac:dyDescent="0.25">
      <c r="A227" s="753"/>
      <c r="C227" s="452" t="s">
        <v>172</v>
      </c>
      <c r="D227" s="449">
        <f t="shared" si="22"/>
        <v>45882</v>
      </c>
      <c r="E227" s="454" t="s">
        <v>168</v>
      </c>
      <c r="F227" s="460" t="s">
        <v>431</v>
      </c>
      <c r="G227" s="460" t="s">
        <v>459</v>
      </c>
      <c r="H227" s="460"/>
      <c r="I227" s="545"/>
      <c r="J227" s="545"/>
      <c r="K227" s="540"/>
      <c r="L227" s="564"/>
      <c r="M227" s="564"/>
      <c r="N227" s="564"/>
    </row>
    <row r="228" spans="1:18" x14ac:dyDescent="0.25">
      <c r="A228" s="753"/>
      <c r="C228" s="452" t="s">
        <v>172</v>
      </c>
      <c r="D228" s="449">
        <f t="shared" si="22"/>
        <v>45882</v>
      </c>
      <c r="E228" s="454" t="s">
        <v>169</v>
      </c>
      <c r="F228" s="460" t="s">
        <v>431</v>
      </c>
      <c r="G228" s="460" t="s">
        <v>459</v>
      </c>
      <c r="H228" s="460"/>
      <c r="I228" s="545"/>
      <c r="J228" s="545"/>
      <c r="K228" s="540"/>
      <c r="L228" s="564"/>
      <c r="M228" s="564"/>
      <c r="N228" s="564"/>
    </row>
    <row r="229" spans="1:18" x14ac:dyDescent="0.25">
      <c r="A229" s="753"/>
      <c r="C229" s="452" t="s">
        <v>172</v>
      </c>
      <c r="D229" s="449">
        <f t="shared" si="22"/>
        <v>45882</v>
      </c>
      <c r="E229" s="454" t="s">
        <v>170</v>
      </c>
      <c r="F229" s="517" t="s">
        <v>431</v>
      </c>
      <c r="G229" s="512" t="s">
        <v>459</v>
      </c>
      <c r="H229" s="505"/>
      <c r="I229" s="541"/>
      <c r="J229" s="541"/>
      <c r="K229" s="541"/>
      <c r="L229" s="556"/>
      <c r="M229" s="556"/>
      <c r="N229" s="556"/>
    </row>
    <row r="230" spans="1:18" x14ac:dyDescent="0.25">
      <c r="A230" s="753"/>
      <c r="C230" s="452"/>
      <c r="D230" s="449"/>
      <c r="E230" s="454"/>
      <c r="F230" s="460"/>
      <c r="G230" s="460"/>
      <c r="H230" s="461"/>
      <c r="I230" s="540"/>
      <c r="J230" s="545"/>
      <c r="K230" s="540"/>
      <c r="L230" s="565"/>
      <c r="M230" s="565"/>
      <c r="N230" s="565"/>
    </row>
    <row r="231" spans="1:18" x14ac:dyDescent="0.25">
      <c r="A231" s="753"/>
      <c r="C231" s="452" t="s">
        <v>173</v>
      </c>
      <c r="D231" s="449">
        <f>D229+1</f>
        <v>45883</v>
      </c>
      <c r="E231" s="454" t="s">
        <v>162</v>
      </c>
      <c r="F231" s="460" t="s">
        <v>432</v>
      </c>
      <c r="G231" s="460" t="s">
        <v>459</v>
      </c>
      <c r="H231" s="461"/>
      <c r="I231" s="540"/>
      <c r="J231" s="545"/>
      <c r="K231" s="540"/>
      <c r="L231" s="565"/>
      <c r="M231" s="565"/>
      <c r="N231" s="565"/>
    </row>
    <row r="232" spans="1:18" x14ac:dyDescent="0.25">
      <c r="A232" s="753"/>
      <c r="C232" s="452" t="s">
        <v>173</v>
      </c>
      <c r="D232" s="449">
        <f t="shared" ref="D232:D239" si="23">D231</f>
        <v>45883</v>
      </c>
      <c r="E232" s="454" t="s">
        <v>163</v>
      </c>
      <c r="F232" s="460" t="s">
        <v>432</v>
      </c>
      <c r="G232" s="460" t="s">
        <v>459</v>
      </c>
      <c r="H232" s="461"/>
      <c r="I232" s="540"/>
      <c r="J232" s="545"/>
      <c r="K232" s="540"/>
      <c r="L232" s="565"/>
      <c r="M232" s="565"/>
      <c r="N232" s="565"/>
    </row>
    <row r="233" spans="1:18" x14ac:dyDescent="0.25">
      <c r="A233" s="753"/>
      <c r="C233" s="452" t="s">
        <v>173</v>
      </c>
      <c r="D233" s="449">
        <f t="shared" si="23"/>
        <v>45883</v>
      </c>
      <c r="E233" s="454" t="s">
        <v>164</v>
      </c>
      <c r="F233" s="460" t="s">
        <v>432</v>
      </c>
      <c r="G233" s="460" t="s">
        <v>459</v>
      </c>
      <c r="H233" s="504"/>
      <c r="I233" s="540"/>
      <c r="J233" s="545"/>
      <c r="K233" s="540"/>
      <c r="L233" s="566"/>
      <c r="M233" s="566"/>
      <c r="N233" s="566"/>
    </row>
    <row r="234" spans="1:18" x14ac:dyDescent="0.25">
      <c r="A234" s="753"/>
      <c r="C234" s="452" t="s">
        <v>173</v>
      </c>
      <c r="D234" s="449">
        <f t="shared" si="23"/>
        <v>45883</v>
      </c>
      <c r="E234" s="454" t="s">
        <v>165</v>
      </c>
      <c r="F234" s="505" t="s">
        <v>432</v>
      </c>
      <c r="G234" s="505" t="s">
        <v>459</v>
      </c>
      <c r="H234" s="516"/>
      <c r="I234" s="516"/>
      <c r="J234" s="516"/>
      <c r="K234" s="516"/>
      <c r="L234" s="557"/>
      <c r="M234" s="557"/>
      <c r="N234" s="557"/>
    </row>
    <row r="235" spans="1:18" x14ac:dyDescent="0.25">
      <c r="A235" s="753"/>
      <c r="C235" s="448" t="s">
        <v>173</v>
      </c>
      <c r="D235" s="449">
        <f t="shared" si="23"/>
        <v>45883</v>
      </c>
      <c r="E235" s="455" t="s">
        <v>166</v>
      </c>
      <c r="F235" s="505" t="s">
        <v>432</v>
      </c>
      <c r="G235" s="505" t="s">
        <v>459</v>
      </c>
      <c r="H235" s="516"/>
      <c r="I235" s="516"/>
      <c r="J235" s="516"/>
      <c r="K235" s="516"/>
      <c r="L235" s="557"/>
      <c r="M235" s="557"/>
      <c r="N235" s="557"/>
    </row>
    <row r="236" spans="1:18" x14ac:dyDescent="0.25">
      <c r="A236" s="753"/>
      <c r="C236" s="448" t="s">
        <v>173</v>
      </c>
      <c r="D236" s="449">
        <f t="shared" si="23"/>
        <v>45883</v>
      </c>
      <c r="E236" s="455" t="s">
        <v>167</v>
      </c>
      <c r="F236" s="506" t="s">
        <v>432</v>
      </c>
      <c r="G236" s="506" t="s">
        <v>459</v>
      </c>
      <c r="H236" s="516"/>
      <c r="I236" s="516"/>
      <c r="J236" s="516"/>
      <c r="K236" s="516"/>
      <c r="L236" s="557"/>
      <c r="M236" s="557"/>
      <c r="N236" s="557"/>
    </row>
    <row r="237" spans="1:18" x14ac:dyDescent="0.25">
      <c r="A237" s="753"/>
      <c r="C237" s="448" t="s">
        <v>173</v>
      </c>
      <c r="D237" s="449">
        <f t="shared" si="23"/>
        <v>45883</v>
      </c>
      <c r="E237" s="503" t="s">
        <v>168</v>
      </c>
      <c r="F237" s="506" t="s">
        <v>432</v>
      </c>
      <c r="G237" s="506" t="s">
        <v>459</v>
      </c>
      <c r="H237" s="516"/>
      <c r="I237" s="516"/>
      <c r="J237" s="516"/>
      <c r="K237" s="516"/>
      <c r="L237" s="557"/>
      <c r="M237" s="557"/>
      <c r="N237" s="557"/>
    </row>
    <row r="238" spans="1:18" ht="15.75" thickBot="1" x14ac:dyDescent="0.3">
      <c r="A238" s="753"/>
      <c r="C238" s="450" t="s">
        <v>173</v>
      </c>
      <c r="D238" s="451">
        <f t="shared" si="23"/>
        <v>45883</v>
      </c>
      <c r="E238" s="459" t="s">
        <v>169</v>
      </c>
      <c r="F238" s="493" t="s">
        <v>432</v>
      </c>
      <c r="G238" s="493" t="s">
        <v>459</v>
      </c>
      <c r="H238" s="513"/>
      <c r="I238" s="513"/>
      <c r="J238" s="513"/>
      <c r="K238" s="513"/>
      <c r="L238" s="558"/>
      <c r="M238" s="558"/>
      <c r="N238" s="558"/>
    </row>
    <row r="239" spans="1:18" ht="4.5" customHeight="1" thickBot="1" x14ac:dyDescent="0.3">
      <c r="A239" s="753"/>
      <c r="C239" t="s">
        <v>173</v>
      </c>
      <c r="D239">
        <f t="shared" si="23"/>
        <v>45883</v>
      </c>
      <c r="E239" t="s">
        <v>170</v>
      </c>
      <c r="F239" t="s">
        <v>432</v>
      </c>
      <c r="G239" t="s">
        <v>459</v>
      </c>
      <c r="L239" s="559"/>
      <c r="M239" s="559"/>
      <c r="N239" s="559"/>
      <c r="Q239" s="3"/>
      <c r="R239" s="3"/>
    </row>
    <row r="240" spans="1:18" ht="15" customHeight="1" thickBot="1" x14ac:dyDescent="0.3">
      <c r="A240" s="753"/>
      <c r="C240" s="538"/>
      <c r="D240" s="539"/>
      <c r="E240" s="539"/>
      <c r="F240" s="539"/>
      <c r="G240" s="539"/>
      <c r="H240" s="539"/>
      <c r="I240" s="543"/>
      <c r="J240" s="542"/>
      <c r="K240" s="544"/>
      <c r="L240" s="560"/>
      <c r="M240" s="561"/>
      <c r="N240" s="562"/>
      <c r="O240" s="548"/>
      <c r="P240" s="549"/>
      <c r="Q240" s="3"/>
      <c r="R240" s="3"/>
    </row>
    <row r="241" spans="1:14" x14ac:dyDescent="0.25">
      <c r="A241" s="753"/>
      <c r="C241" s="529" t="s">
        <v>174</v>
      </c>
      <c r="D241" s="447">
        <f>D239+1</f>
        <v>45884</v>
      </c>
      <c r="E241" s="498" t="s">
        <v>162</v>
      </c>
      <c r="F241" s="514" t="s">
        <v>444</v>
      </c>
      <c r="G241" s="514" t="s">
        <v>459</v>
      </c>
      <c r="H241" s="515"/>
      <c r="I241" s="537"/>
      <c r="J241" s="537"/>
      <c r="K241" s="537"/>
      <c r="L241" s="563"/>
      <c r="M241" s="563"/>
      <c r="N241" s="563"/>
    </row>
    <row r="242" spans="1:14" x14ac:dyDescent="0.25">
      <c r="A242" s="753"/>
      <c r="C242" s="452" t="s">
        <v>174</v>
      </c>
      <c r="D242" s="453">
        <f t="shared" ref="D242:D248" si="24">D241</f>
        <v>45884</v>
      </c>
      <c r="E242" s="500" t="s">
        <v>163</v>
      </c>
      <c r="F242" s="460" t="s">
        <v>444</v>
      </c>
      <c r="G242" s="460" t="s">
        <v>459</v>
      </c>
      <c r="H242" s="501"/>
      <c r="I242" s="540"/>
      <c r="J242" s="545"/>
      <c r="K242" s="540"/>
      <c r="L242" s="555"/>
      <c r="M242" s="555"/>
      <c r="N242" s="555"/>
    </row>
    <row r="243" spans="1:14" x14ac:dyDescent="0.25">
      <c r="A243" s="753"/>
      <c r="C243" s="452" t="s">
        <v>174</v>
      </c>
      <c r="D243" s="453">
        <f t="shared" si="24"/>
        <v>45884</v>
      </c>
      <c r="E243" s="454" t="s">
        <v>164</v>
      </c>
      <c r="F243" s="460" t="s">
        <v>444</v>
      </c>
      <c r="G243" s="460" t="s">
        <v>459</v>
      </c>
      <c r="H243" s="460"/>
      <c r="I243" s="540"/>
      <c r="J243" s="545"/>
      <c r="K243" s="540"/>
      <c r="L243" s="564"/>
      <c r="M243" s="564"/>
      <c r="N243" s="564"/>
    </row>
    <row r="244" spans="1:14" x14ac:dyDescent="0.25">
      <c r="A244" s="753"/>
      <c r="C244" s="452" t="s">
        <v>174</v>
      </c>
      <c r="D244" s="453">
        <f t="shared" si="24"/>
        <v>45884</v>
      </c>
      <c r="E244" s="454" t="s">
        <v>165</v>
      </c>
      <c r="F244" s="460" t="s">
        <v>444</v>
      </c>
      <c r="G244" s="460" t="s">
        <v>459</v>
      </c>
      <c r="H244" s="460"/>
      <c r="I244" s="540"/>
      <c r="J244" s="545"/>
      <c r="K244" s="540"/>
      <c r="L244" s="564"/>
      <c r="M244" s="564"/>
      <c r="N244" s="564"/>
    </row>
    <row r="245" spans="1:14" x14ac:dyDescent="0.25">
      <c r="A245" s="753"/>
      <c r="C245" s="452" t="s">
        <v>174</v>
      </c>
      <c r="D245" s="453">
        <f t="shared" si="24"/>
        <v>45884</v>
      </c>
      <c r="E245" s="454" t="s">
        <v>166</v>
      </c>
      <c r="F245" s="460" t="s">
        <v>444</v>
      </c>
      <c r="G245" s="460" t="s">
        <v>459</v>
      </c>
      <c r="H245" s="460"/>
      <c r="I245" s="540"/>
      <c r="J245" s="545"/>
      <c r="K245" s="540"/>
      <c r="L245" s="564"/>
      <c r="M245" s="564"/>
      <c r="N245" s="564"/>
    </row>
    <row r="246" spans="1:14" x14ac:dyDescent="0.25">
      <c r="A246" s="753"/>
      <c r="C246" s="452" t="s">
        <v>174</v>
      </c>
      <c r="D246" s="453">
        <f t="shared" si="24"/>
        <v>45884</v>
      </c>
      <c r="E246" s="454" t="s">
        <v>167</v>
      </c>
      <c r="F246" s="460" t="s">
        <v>444</v>
      </c>
      <c r="G246" s="460" t="s">
        <v>459</v>
      </c>
      <c r="H246" s="460"/>
      <c r="I246" s="540"/>
      <c r="J246" s="545"/>
      <c r="K246" s="540"/>
      <c r="L246" s="564"/>
      <c r="M246" s="564"/>
      <c r="N246" s="564"/>
    </row>
    <row r="247" spans="1:14" x14ac:dyDescent="0.25">
      <c r="A247" s="753"/>
      <c r="C247" s="452" t="s">
        <v>174</v>
      </c>
      <c r="D247" s="453">
        <f t="shared" si="24"/>
        <v>45884</v>
      </c>
      <c r="E247" s="454" t="s">
        <v>168</v>
      </c>
      <c r="F247" s="517" t="s">
        <v>444</v>
      </c>
      <c r="G247" s="512" t="s">
        <v>459</v>
      </c>
      <c r="H247" s="505"/>
      <c r="I247" s="541"/>
      <c r="J247" s="541"/>
      <c r="K247" s="541"/>
      <c r="L247" s="556"/>
      <c r="M247" s="556"/>
      <c r="N247" s="556"/>
    </row>
    <row r="248" spans="1:14" x14ac:dyDescent="0.25">
      <c r="A248" s="753"/>
      <c r="C248" s="452" t="s">
        <v>174</v>
      </c>
      <c r="D248" s="449">
        <f t="shared" si="24"/>
        <v>45884</v>
      </c>
      <c r="E248" s="454" t="s">
        <v>169</v>
      </c>
      <c r="F248" s="460" t="s">
        <v>444</v>
      </c>
      <c r="G248" s="460"/>
      <c r="H248" s="461"/>
      <c r="I248" s="540"/>
      <c r="J248" s="545"/>
      <c r="K248" s="540"/>
      <c r="L248" s="565"/>
      <c r="M248" s="565"/>
      <c r="N248" s="565"/>
    </row>
    <row r="249" spans="1:14" x14ac:dyDescent="0.25">
      <c r="A249" s="753"/>
      <c r="C249" s="452"/>
      <c r="D249" s="449"/>
      <c r="E249" s="454"/>
      <c r="F249" s="460"/>
      <c r="G249" s="460"/>
      <c r="H249" s="461"/>
      <c r="I249" s="540"/>
      <c r="J249" s="545"/>
      <c r="K249" s="540"/>
      <c r="L249" s="565"/>
      <c r="M249" s="565"/>
      <c r="N249" s="565"/>
    </row>
    <row r="250" spans="1:14" x14ac:dyDescent="0.25">
      <c r="A250" s="753" t="s">
        <v>535</v>
      </c>
      <c r="C250" s="452" t="s">
        <v>161</v>
      </c>
      <c r="D250" s="449">
        <f>D248+3</f>
        <v>45887</v>
      </c>
      <c r="E250" s="454" t="s">
        <v>162</v>
      </c>
      <c r="F250" s="460" t="s">
        <v>444</v>
      </c>
      <c r="G250" s="460" t="s">
        <v>459</v>
      </c>
      <c r="H250" s="461"/>
      <c r="I250" s="540"/>
      <c r="J250" s="545"/>
      <c r="K250" s="540"/>
      <c r="L250" s="565"/>
      <c r="M250" s="565"/>
      <c r="N250" s="565"/>
    </row>
    <row r="251" spans="1:14" x14ac:dyDescent="0.25">
      <c r="A251" s="753"/>
      <c r="C251" s="452" t="s">
        <v>161</v>
      </c>
      <c r="D251" s="449">
        <f t="shared" ref="D251:D258" si="25">D250</f>
        <v>45887</v>
      </c>
      <c r="E251" s="454" t="s">
        <v>163</v>
      </c>
      <c r="F251" s="460" t="s">
        <v>444</v>
      </c>
      <c r="G251" s="460" t="s">
        <v>459</v>
      </c>
      <c r="H251" s="504"/>
      <c r="I251" s="540"/>
      <c r="J251" s="545"/>
      <c r="K251" s="540"/>
      <c r="L251" s="566"/>
      <c r="M251" s="566"/>
      <c r="N251" s="566"/>
    </row>
    <row r="252" spans="1:14" x14ac:dyDescent="0.25">
      <c r="A252" s="753"/>
      <c r="C252" s="452" t="s">
        <v>161</v>
      </c>
      <c r="D252" s="449">
        <f t="shared" si="25"/>
        <v>45887</v>
      </c>
      <c r="E252" s="454" t="s">
        <v>164</v>
      </c>
      <c r="F252" s="505" t="s">
        <v>444</v>
      </c>
      <c r="G252" s="505" t="s">
        <v>459</v>
      </c>
      <c r="H252" s="516"/>
      <c r="I252" s="516"/>
      <c r="J252" s="516"/>
      <c r="K252" s="516"/>
      <c r="L252" s="557"/>
      <c r="M252" s="557"/>
      <c r="N252" s="557"/>
    </row>
    <row r="253" spans="1:14" x14ac:dyDescent="0.25">
      <c r="A253" s="753"/>
      <c r="C253" s="452" t="s">
        <v>161</v>
      </c>
      <c r="D253" s="449">
        <f t="shared" si="25"/>
        <v>45887</v>
      </c>
      <c r="E253" s="455" t="s">
        <v>165</v>
      </c>
      <c r="F253" s="505" t="s">
        <v>444</v>
      </c>
      <c r="G253" s="505" t="s">
        <v>459</v>
      </c>
      <c r="H253" s="516"/>
      <c r="I253" s="516"/>
      <c r="J253" s="516"/>
      <c r="K253" s="516"/>
      <c r="L253" s="557"/>
      <c r="M253" s="557"/>
      <c r="N253" s="557"/>
    </row>
    <row r="254" spans="1:14" x14ac:dyDescent="0.25">
      <c r="A254" s="753"/>
      <c r="C254" s="452" t="s">
        <v>161</v>
      </c>
      <c r="D254" s="449">
        <f t="shared" si="25"/>
        <v>45887</v>
      </c>
      <c r="E254" s="455" t="s">
        <v>166</v>
      </c>
      <c r="F254" s="506" t="s">
        <v>444</v>
      </c>
      <c r="G254" s="506" t="s">
        <v>459</v>
      </c>
      <c r="H254" s="516"/>
      <c r="I254" s="516"/>
      <c r="J254" s="516"/>
      <c r="K254" s="516"/>
      <c r="L254" s="557"/>
      <c r="M254" s="557"/>
      <c r="N254" s="557"/>
    </row>
    <row r="255" spans="1:14" x14ac:dyDescent="0.25">
      <c r="A255" s="753"/>
      <c r="C255" s="452" t="s">
        <v>161</v>
      </c>
      <c r="D255" s="449">
        <f t="shared" si="25"/>
        <v>45887</v>
      </c>
      <c r="E255" s="503" t="s">
        <v>167</v>
      </c>
      <c r="F255" s="506" t="s">
        <v>445</v>
      </c>
      <c r="G255" s="506" t="s">
        <v>459</v>
      </c>
      <c r="H255" s="516"/>
      <c r="I255" s="516"/>
      <c r="J255" s="516"/>
      <c r="K255" s="516"/>
      <c r="L255" s="557"/>
      <c r="M255" s="557"/>
      <c r="N255" s="557"/>
    </row>
    <row r="256" spans="1:14" ht="15.75" thickBot="1" x14ac:dyDescent="0.3">
      <c r="A256" s="753"/>
      <c r="C256" s="530" t="s">
        <v>161</v>
      </c>
      <c r="D256" s="451">
        <f t="shared" si="25"/>
        <v>45887</v>
      </c>
      <c r="E256" s="459" t="s">
        <v>167</v>
      </c>
      <c r="F256" s="493" t="s">
        <v>445</v>
      </c>
      <c r="G256" s="493" t="s">
        <v>459</v>
      </c>
      <c r="H256" s="513"/>
      <c r="I256" s="513"/>
      <c r="J256" s="513"/>
      <c r="K256" s="513"/>
      <c r="L256" s="558"/>
      <c r="M256" s="558"/>
      <c r="N256" s="558"/>
    </row>
    <row r="257" spans="1:18" ht="4.5" customHeight="1" thickBot="1" x14ac:dyDescent="0.3">
      <c r="A257" s="753"/>
      <c r="C257" t="s">
        <v>161</v>
      </c>
      <c r="D257">
        <f t="shared" si="25"/>
        <v>45887</v>
      </c>
      <c r="E257" t="s">
        <v>169</v>
      </c>
      <c r="F257" t="s">
        <v>445</v>
      </c>
      <c r="G257" t="s">
        <v>459</v>
      </c>
      <c r="I257" s="420"/>
      <c r="J257" s="420"/>
      <c r="K257" s="420"/>
      <c r="L257" s="559"/>
      <c r="M257" s="559"/>
      <c r="N257" s="559"/>
      <c r="Q257" s="3"/>
      <c r="R257" s="3"/>
    </row>
    <row r="258" spans="1:18" ht="15" customHeight="1" thickBot="1" x14ac:dyDescent="0.3">
      <c r="A258" s="753"/>
      <c r="C258" s="546" t="s">
        <v>161</v>
      </c>
      <c r="D258" s="547">
        <f t="shared" si="25"/>
        <v>45887</v>
      </c>
      <c r="E258" s="539" t="s">
        <v>170</v>
      </c>
      <c r="F258" s="539" t="s">
        <v>445</v>
      </c>
      <c r="G258" s="539" t="s">
        <v>459</v>
      </c>
      <c r="H258" s="539"/>
      <c r="I258" s="543"/>
      <c r="J258" s="542"/>
      <c r="K258" s="544"/>
      <c r="L258" s="560"/>
      <c r="M258" s="561"/>
      <c r="N258" s="562"/>
      <c r="O258" s="548"/>
      <c r="P258" s="549"/>
      <c r="Q258" s="3"/>
      <c r="R258" s="3"/>
    </row>
    <row r="259" spans="1:18" x14ac:dyDescent="0.25">
      <c r="A259" s="753"/>
      <c r="C259" s="529"/>
      <c r="D259" s="447"/>
      <c r="E259" s="498"/>
      <c r="F259" s="514"/>
      <c r="G259" s="514"/>
      <c r="H259" s="515"/>
      <c r="I259" s="537"/>
      <c r="J259" s="537"/>
      <c r="K259" s="537"/>
      <c r="L259" s="563"/>
      <c r="M259" s="563"/>
      <c r="N259" s="563"/>
    </row>
    <row r="260" spans="1:18" x14ac:dyDescent="0.25">
      <c r="A260" s="753"/>
      <c r="C260" s="452" t="s">
        <v>171</v>
      </c>
      <c r="D260" s="453">
        <f>D258+1</f>
        <v>45888</v>
      </c>
      <c r="E260" s="500" t="s">
        <v>162</v>
      </c>
      <c r="F260" s="460" t="s">
        <v>445</v>
      </c>
      <c r="G260" s="460" t="s">
        <v>459</v>
      </c>
      <c r="H260" s="501"/>
      <c r="I260" s="540"/>
      <c r="J260" s="545"/>
      <c r="K260" s="540"/>
      <c r="L260" s="555"/>
      <c r="M260" s="555"/>
      <c r="N260" s="555"/>
    </row>
    <row r="261" spans="1:18" x14ac:dyDescent="0.25">
      <c r="A261" s="753"/>
      <c r="C261" s="452" t="s">
        <v>171</v>
      </c>
      <c r="D261" s="453">
        <f t="shared" ref="D261:D268" si="26">D260</f>
        <v>45888</v>
      </c>
      <c r="E261" s="454" t="s">
        <v>163</v>
      </c>
      <c r="F261" s="460" t="s">
        <v>445</v>
      </c>
      <c r="G261" s="460" t="s">
        <v>459</v>
      </c>
      <c r="H261" s="460"/>
      <c r="I261" s="540"/>
      <c r="J261" s="545"/>
      <c r="K261" s="540"/>
      <c r="L261" s="564"/>
      <c r="M261" s="564"/>
      <c r="N261" s="564"/>
    </row>
    <row r="262" spans="1:18" x14ac:dyDescent="0.25">
      <c r="A262" s="753"/>
      <c r="C262" s="452" t="s">
        <v>171</v>
      </c>
      <c r="D262" s="453">
        <f t="shared" si="26"/>
        <v>45888</v>
      </c>
      <c r="E262" s="454" t="s">
        <v>164</v>
      </c>
      <c r="F262" s="460" t="s">
        <v>445</v>
      </c>
      <c r="G262" s="460" t="s">
        <v>459</v>
      </c>
      <c r="H262" s="460"/>
      <c r="I262" s="540"/>
      <c r="J262" s="545"/>
      <c r="K262" s="540"/>
      <c r="L262" s="564"/>
      <c r="M262" s="564"/>
      <c r="N262" s="564"/>
    </row>
    <row r="263" spans="1:18" x14ac:dyDescent="0.25">
      <c r="A263" s="753"/>
      <c r="C263" s="452" t="s">
        <v>171</v>
      </c>
      <c r="D263" s="453">
        <f t="shared" si="26"/>
        <v>45888</v>
      </c>
      <c r="E263" s="454" t="s">
        <v>165</v>
      </c>
      <c r="F263" s="460" t="s">
        <v>445</v>
      </c>
      <c r="G263" s="460" t="s">
        <v>459</v>
      </c>
      <c r="H263" s="460"/>
      <c r="I263" s="540"/>
      <c r="J263" s="545"/>
      <c r="K263" s="540"/>
      <c r="L263" s="564"/>
      <c r="M263" s="564"/>
      <c r="N263" s="564"/>
    </row>
    <row r="264" spans="1:18" x14ac:dyDescent="0.25">
      <c r="A264" s="753"/>
      <c r="C264" s="452" t="s">
        <v>171</v>
      </c>
      <c r="D264" s="453">
        <f t="shared" si="26"/>
        <v>45888</v>
      </c>
      <c r="E264" s="454" t="s">
        <v>166</v>
      </c>
      <c r="F264" s="460" t="s">
        <v>445</v>
      </c>
      <c r="G264" s="460" t="s">
        <v>459</v>
      </c>
      <c r="H264" s="460"/>
      <c r="I264" s="540"/>
      <c r="J264" s="545"/>
      <c r="K264" s="540"/>
      <c r="L264" s="564"/>
      <c r="M264" s="564"/>
      <c r="N264" s="564"/>
    </row>
    <row r="265" spans="1:18" x14ac:dyDescent="0.25">
      <c r="A265" s="753"/>
      <c r="C265" s="452" t="s">
        <v>171</v>
      </c>
      <c r="D265" s="453">
        <f t="shared" si="26"/>
        <v>45888</v>
      </c>
      <c r="E265" s="454" t="s">
        <v>167</v>
      </c>
      <c r="F265" s="517" t="s">
        <v>445</v>
      </c>
      <c r="G265" s="512" t="s">
        <v>459</v>
      </c>
      <c r="H265" s="505"/>
      <c r="I265" s="541"/>
      <c r="J265" s="541"/>
      <c r="K265" s="541"/>
      <c r="L265" s="556"/>
      <c r="M265" s="556"/>
      <c r="N265" s="556"/>
    </row>
    <row r="266" spans="1:18" x14ac:dyDescent="0.25">
      <c r="A266" s="753"/>
      <c r="C266" s="452" t="s">
        <v>171</v>
      </c>
      <c r="D266" s="449">
        <f t="shared" si="26"/>
        <v>45888</v>
      </c>
      <c r="E266" s="454" t="s">
        <v>168</v>
      </c>
      <c r="F266" s="460" t="s">
        <v>445</v>
      </c>
      <c r="G266" s="460" t="s">
        <v>459</v>
      </c>
      <c r="H266" s="461"/>
      <c r="I266" s="540"/>
      <c r="J266" s="545"/>
      <c r="K266" s="540"/>
      <c r="L266" s="565"/>
      <c r="M266" s="565"/>
      <c r="N266" s="565"/>
    </row>
    <row r="267" spans="1:18" x14ac:dyDescent="0.25">
      <c r="A267" s="753"/>
      <c r="C267" s="452" t="s">
        <v>171</v>
      </c>
      <c r="D267" s="449">
        <f t="shared" si="26"/>
        <v>45888</v>
      </c>
      <c r="E267" s="454" t="s">
        <v>169</v>
      </c>
      <c r="F267" s="460" t="s">
        <v>446</v>
      </c>
      <c r="G267" s="460" t="s">
        <v>459</v>
      </c>
      <c r="H267" s="461"/>
      <c r="I267" s="540"/>
      <c r="J267" s="545"/>
      <c r="K267" s="540"/>
      <c r="L267" s="565"/>
      <c r="M267" s="565"/>
      <c r="N267" s="565"/>
    </row>
    <row r="268" spans="1:18" x14ac:dyDescent="0.25">
      <c r="A268" s="753"/>
      <c r="C268" s="452" t="s">
        <v>171</v>
      </c>
      <c r="D268" s="449">
        <f t="shared" si="26"/>
        <v>45888</v>
      </c>
      <c r="E268" s="454" t="s">
        <v>170</v>
      </c>
      <c r="F268" s="460" t="s">
        <v>446</v>
      </c>
      <c r="G268" s="460" t="s">
        <v>459</v>
      </c>
      <c r="H268" s="461"/>
      <c r="I268" s="540"/>
      <c r="J268" s="545"/>
      <c r="K268" s="540"/>
      <c r="L268" s="565"/>
      <c r="M268" s="565"/>
      <c r="N268" s="565"/>
    </row>
    <row r="269" spans="1:18" x14ac:dyDescent="0.25">
      <c r="A269" s="753"/>
      <c r="C269" s="452"/>
      <c r="D269" s="449"/>
      <c r="E269" s="454"/>
      <c r="F269" s="505"/>
      <c r="G269" s="505"/>
      <c r="H269" s="516"/>
      <c r="I269" s="516"/>
      <c r="J269" s="516"/>
      <c r="K269" s="516"/>
      <c r="L269" s="557"/>
      <c r="M269" s="557"/>
      <c r="N269" s="557"/>
    </row>
    <row r="270" spans="1:18" x14ac:dyDescent="0.25">
      <c r="A270" s="753"/>
      <c r="C270" s="452" t="s">
        <v>172</v>
      </c>
      <c r="D270" s="449">
        <f>D267+1</f>
        <v>45889</v>
      </c>
      <c r="E270" s="454" t="s">
        <v>573</v>
      </c>
      <c r="F270" s="505" t="s">
        <v>446</v>
      </c>
      <c r="G270" s="505" t="s">
        <v>145</v>
      </c>
      <c r="H270" s="516"/>
      <c r="I270" s="516"/>
      <c r="J270" s="516"/>
      <c r="K270" s="516"/>
      <c r="L270" s="557"/>
      <c r="M270" s="557"/>
      <c r="N270" s="557"/>
    </row>
    <row r="271" spans="1:18" x14ac:dyDescent="0.25">
      <c r="A271" s="753"/>
      <c r="C271" s="452" t="s">
        <v>172</v>
      </c>
      <c r="D271" s="449">
        <f>D268+1</f>
        <v>45889</v>
      </c>
      <c r="E271" s="455" t="s">
        <v>162</v>
      </c>
      <c r="F271" s="505" t="s">
        <v>443</v>
      </c>
      <c r="G271" s="505" t="s">
        <v>459</v>
      </c>
      <c r="H271" s="516"/>
      <c r="I271" s="516"/>
      <c r="J271" s="516"/>
      <c r="K271" s="516"/>
      <c r="L271" s="557"/>
      <c r="M271" s="557"/>
      <c r="N271" s="557"/>
    </row>
    <row r="272" spans="1:18" x14ac:dyDescent="0.25">
      <c r="A272" s="753"/>
      <c r="C272" s="452" t="s">
        <v>172</v>
      </c>
      <c r="D272" s="449">
        <f>D271</f>
        <v>45889</v>
      </c>
      <c r="E272" s="455" t="s">
        <v>163</v>
      </c>
      <c r="F272" s="506" t="s">
        <v>443</v>
      </c>
      <c r="G272" s="506" t="s">
        <v>459</v>
      </c>
      <c r="H272" s="516"/>
      <c r="I272" s="516"/>
      <c r="J272" s="516"/>
      <c r="K272" s="516"/>
      <c r="L272" s="557"/>
      <c r="M272" s="557"/>
      <c r="N272" s="557"/>
    </row>
    <row r="273" spans="1:18" x14ac:dyDescent="0.25">
      <c r="A273" s="753"/>
      <c r="C273" s="452" t="s">
        <v>172</v>
      </c>
      <c r="D273" s="502">
        <f>D272</f>
        <v>45889</v>
      </c>
      <c r="E273" s="503" t="s">
        <v>164</v>
      </c>
      <c r="F273" s="506" t="s">
        <v>443</v>
      </c>
      <c r="G273" s="506" t="s">
        <v>459</v>
      </c>
      <c r="H273" s="516"/>
      <c r="I273" s="516"/>
      <c r="J273" s="516"/>
      <c r="K273" s="516"/>
      <c r="L273" s="557"/>
      <c r="M273" s="557"/>
      <c r="N273" s="557"/>
    </row>
    <row r="274" spans="1:18" ht="15.75" thickBot="1" x14ac:dyDescent="0.3">
      <c r="A274" s="753"/>
      <c r="C274" s="530" t="s">
        <v>172</v>
      </c>
      <c r="D274" s="451">
        <f>D273</f>
        <v>45889</v>
      </c>
      <c r="E274" s="459" t="s">
        <v>165</v>
      </c>
      <c r="F274" s="493" t="s">
        <v>443</v>
      </c>
      <c r="G274" s="493" t="s">
        <v>459</v>
      </c>
      <c r="H274" s="513"/>
      <c r="I274" s="513"/>
      <c r="J274" s="513"/>
      <c r="K274" s="513"/>
      <c r="L274" s="558"/>
      <c r="M274" s="558"/>
      <c r="N274" s="558"/>
    </row>
    <row r="275" spans="1:18" ht="5.25" customHeight="1" thickBot="1" x14ac:dyDescent="0.3">
      <c r="C275" t="s">
        <v>172</v>
      </c>
      <c r="D275">
        <f>D274</f>
        <v>45889</v>
      </c>
      <c r="E275" t="s">
        <v>166</v>
      </c>
      <c r="F275" t="s">
        <v>443</v>
      </c>
      <c r="G275" t="s">
        <v>459</v>
      </c>
    </row>
    <row r="276" spans="1:18" ht="15" customHeight="1" thickBot="1" x14ac:dyDescent="0.3">
      <c r="A276" s="753"/>
      <c r="C276" s="538" t="s">
        <v>172</v>
      </c>
      <c r="D276" s="539">
        <f>D275</f>
        <v>45889</v>
      </c>
      <c r="E276" s="539" t="s">
        <v>576</v>
      </c>
      <c r="F276" s="539" t="s">
        <v>443</v>
      </c>
      <c r="G276" s="539" t="s">
        <v>145</v>
      </c>
      <c r="H276" s="539"/>
      <c r="I276" s="543"/>
      <c r="J276" s="542"/>
      <c r="K276" s="544"/>
      <c r="L276" s="560"/>
      <c r="M276" s="561"/>
      <c r="N276" s="562"/>
      <c r="O276" s="548"/>
      <c r="P276" s="549"/>
      <c r="Q276" s="3"/>
      <c r="R276" s="3"/>
    </row>
    <row r="277" spans="1:18" x14ac:dyDescent="0.25">
      <c r="A277" s="753"/>
      <c r="C277" s="496" t="s">
        <v>172</v>
      </c>
      <c r="D277" s="507">
        <f>D274</f>
        <v>45889</v>
      </c>
      <c r="E277" s="498" t="s">
        <v>167</v>
      </c>
      <c r="F277" s="514" t="s">
        <v>427</v>
      </c>
      <c r="G277" s="514" t="s">
        <v>459</v>
      </c>
      <c r="H277" s="515"/>
      <c r="I277" s="537"/>
      <c r="J277" s="537"/>
      <c r="K277" s="537"/>
      <c r="L277" s="563"/>
      <c r="M277" s="563"/>
      <c r="N277" s="563"/>
    </row>
    <row r="278" spans="1:18" x14ac:dyDescent="0.25">
      <c r="A278" s="753"/>
      <c r="C278" s="525" t="s">
        <v>172</v>
      </c>
      <c r="D278" s="453">
        <f>D274</f>
        <v>45889</v>
      </c>
      <c r="E278" s="500" t="s">
        <v>168</v>
      </c>
      <c r="F278" s="460" t="s">
        <v>427</v>
      </c>
      <c r="G278" s="460" t="s">
        <v>459</v>
      </c>
      <c r="H278" s="460"/>
      <c r="I278" s="540"/>
      <c r="J278" s="545"/>
      <c r="K278" s="540"/>
      <c r="L278" s="555"/>
      <c r="M278" s="555"/>
      <c r="N278" s="555"/>
    </row>
    <row r="279" spans="1:18" x14ac:dyDescent="0.25">
      <c r="A279" s="753"/>
      <c r="C279" s="526" t="s">
        <v>172</v>
      </c>
      <c r="D279" s="453">
        <f>D274</f>
        <v>45889</v>
      </c>
      <c r="E279" s="454" t="s">
        <v>169</v>
      </c>
      <c r="F279" s="460" t="s">
        <v>427</v>
      </c>
      <c r="G279" s="460" t="s">
        <v>459</v>
      </c>
      <c r="H279" s="460"/>
      <c r="I279" s="540"/>
      <c r="J279" s="545"/>
      <c r="K279" s="540"/>
      <c r="L279" s="564"/>
      <c r="M279" s="564"/>
      <c r="N279" s="564"/>
    </row>
    <row r="280" spans="1:18" x14ac:dyDescent="0.25">
      <c r="A280" s="753"/>
      <c r="C280" s="526" t="s">
        <v>172</v>
      </c>
      <c r="D280" s="453">
        <f>D275</f>
        <v>45889</v>
      </c>
      <c r="E280" s="454" t="s">
        <v>170</v>
      </c>
      <c r="F280" s="460" t="s">
        <v>427</v>
      </c>
      <c r="G280" s="460" t="s">
        <v>459</v>
      </c>
      <c r="H280" s="460"/>
      <c r="I280" s="540"/>
      <c r="J280" s="545"/>
      <c r="K280" s="540"/>
      <c r="L280" s="564"/>
      <c r="M280" s="564"/>
      <c r="N280" s="564"/>
    </row>
    <row r="281" spans="1:18" x14ac:dyDescent="0.25">
      <c r="A281" s="753"/>
      <c r="C281" s="526" t="s">
        <v>172</v>
      </c>
      <c r="D281" s="453">
        <f>D276</f>
        <v>45889</v>
      </c>
      <c r="E281" s="454" t="s">
        <v>574</v>
      </c>
      <c r="F281" s="460"/>
      <c r="G281" s="460" t="s">
        <v>145</v>
      </c>
      <c r="H281" s="460"/>
      <c r="I281" s="540"/>
      <c r="J281" s="545"/>
      <c r="K281" s="540"/>
      <c r="L281" s="564"/>
      <c r="M281" s="564"/>
      <c r="N281" s="564"/>
    </row>
    <row r="282" spans="1:18" x14ac:dyDescent="0.25">
      <c r="A282" s="753"/>
      <c r="C282" s="526" t="s">
        <v>172</v>
      </c>
      <c r="D282" s="453">
        <f>D277</f>
        <v>45889</v>
      </c>
      <c r="E282" s="454" t="s">
        <v>575</v>
      </c>
      <c r="F282" s="460"/>
      <c r="G282" s="460" t="s">
        <v>145</v>
      </c>
      <c r="H282" s="460"/>
      <c r="I282" s="540"/>
      <c r="J282" s="545"/>
      <c r="K282" s="540"/>
      <c r="L282" s="564"/>
      <c r="M282" s="564"/>
      <c r="N282" s="564"/>
    </row>
    <row r="283" spans="1:18" x14ac:dyDescent="0.25">
      <c r="A283" s="753"/>
      <c r="C283" s="526"/>
      <c r="D283" s="453"/>
      <c r="E283" s="454"/>
      <c r="F283" s="517"/>
      <c r="G283" s="512"/>
      <c r="H283" s="505"/>
      <c r="I283" s="541"/>
      <c r="J283" s="541"/>
      <c r="K283" s="541"/>
      <c r="L283" s="556"/>
      <c r="M283" s="556"/>
      <c r="N283" s="556"/>
    </row>
    <row r="284" spans="1:18" x14ac:dyDescent="0.25">
      <c r="A284" s="753"/>
      <c r="C284" s="527" t="s">
        <v>173</v>
      </c>
      <c r="D284" s="449">
        <f>D282+1</f>
        <v>45890</v>
      </c>
      <c r="E284" s="454" t="s">
        <v>573</v>
      </c>
      <c r="F284" s="460" t="s">
        <v>427</v>
      </c>
      <c r="G284" s="460" t="s">
        <v>145</v>
      </c>
      <c r="H284" s="460"/>
      <c r="I284" s="540"/>
      <c r="J284" s="545"/>
      <c r="K284" s="540"/>
      <c r="L284" s="565"/>
      <c r="M284" s="565"/>
      <c r="N284" s="565"/>
    </row>
    <row r="285" spans="1:18" x14ac:dyDescent="0.25">
      <c r="A285" s="753"/>
      <c r="C285" s="527" t="s">
        <v>173</v>
      </c>
      <c r="D285" s="449">
        <f t="shared" ref="D285:D296" si="27">D284</f>
        <v>45890</v>
      </c>
      <c r="E285" s="454" t="s">
        <v>162</v>
      </c>
      <c r="F285" s="460" t="s">
        <v>427</v>
      </c>
      <c r="G285" s="460" t="s">
        <v>459</v>
      </c>
      <c r="H285" s="460"/>
      <c r="I285" s="540"/>
      <c r="J285" s="545"/>
      <c r="K285" s="540"/>
      <c r="L285" s="565"/>
      <c r="M285" s="565"/>
      <c r="N285" s="565"/>
    </row>
    <row r="286" spans="1:18" x14ac:dyDescent="0.25">
      <c r="A286" s="753"/>
      <c r="C286" s="527" t="s">
        <v>173</v>
      </c>
      <c r="D286" s="449">
        <f t="shared" si="27"/>
        <v>45890</v>
      </c>
      <c r="E286" s="454" t="s">
        <v>163</v>
      </c>
      <c r="F286" s="460" t="s">
        <v>427</v>
      </c>
      <c r="G286" s="460" t="s">
        <v>459</v>
      </c>
      <c r="H286" s="460"/>
      <c r="I286" s="540"/>
      <c r="J286" s="545"/>
      <c r="K286" s="540"/>
      <c r="L286" s="565"/>
      <c r="M286" s="565"/>
      <c r="N286" s="565"/>
    </row>
    <row r="287" spans="1:18" x14ac:dyDescent="0.25">
      <c r="A287" s="753"/>
      <c r="C287" s="527" t="s">
        <v>173</v>
      </c>
      <c r="D287" s="453">
        <f t="shared" si="27"/>
        <v>45890</v>
      </c>
      <c r="E287" s="454" t="s">
        <v>164</v>
      </c>
      <c r="F287" s="460" t="s">
        <v>427</v>
      </c>
      <c r="G287" s="460" t="s">
        <v>459</v>
      </c>
      <c r="H287" s="460"/>
      <c r="I287" s="540"/>
      <c r="J287" s="545"/>
      <c r="K287" s="540"/>
      <c r="L287" s="566"/>
      <c r="M287" s="566"/>
      <c r="N287" s="566"/>
    </row>
    <row r="288" spans="1:18" x14ac:dyDescent="0.25">
      <c r="A288" s="753"/>
      <c r="C288" s="527" t="s">
        <v>173</v>
      </c>
      <c r="D288" s="453">
        <f t="shared" si="27"/>
        <v>45890</v>
      </c>
      <c r="E288" s="454" t="s">
        <v>165</v>
      </c>
      <c r="F288" s="505" t="s">
        <v>427</v>
      </c>
      <c r="G288" s="505" t="s">
        <v>459</v>
      </c>
      <c r="H288" s="516"/>
      <c r="I288" s="516"/>
      <c r="J288" s="516"/>
      <c r="K288" s="516"/>
      <c r="L288" s="557"/>
      <c r="M288" s="557"/>
      <c r="N288" s="557"/>
    </row>
    <row r="289" spans="1:18" x14ac:dyDescent="0.25">
      <c r="A289" s="753"/>
      <c r="C289" s="527" t="s">
        <v>173</v>
      </c>
      <c r="D289" s="453">
        <f t="shared" si="27"/>
        <v>45890</v>
      </c>
      <c r="E289" s="455" t="s">
        <v>166</v>
      </c>
      <c r="F289" s="505" t="s">
        <v>427</v>
      </c>
      <c r="G289" s="505" t="s">
        <v>459</v>
      </c>
      <c r="H289" s="516"/>
      <c r="I289" s="516"/>
      <c r="J289" s="516"/>
      <c r="K289" s="516"/>
      <c r="L289" s="557"/>
      <c r="M289" s="557"/>
      <c r="N289" s="557"/>
    </row>
    <row r="290" spans="1:18" x14ac:dyDescent="0.25">
      <c r="A290" s="753"/>
      <c r="C290" s="527" t="s">
        <v>173</v>
      </c>
      <c r="D290" s="453">
        <f t="shared" si="27"/>
        <v>45890</v>
      </c>
      <c r="E290" s="455" t="s">
        <v>576</v>
      </c>
      <c r="F290" s="506" t="s">
        <v>427</v>
      </c>
      <c r="G290" s="506" t="s">
        <v>145</v>
      </c>
      <c r="H290" s="516"/>
      <c r="I290" s="516"/>
      <c r="J290" s="516"/>
      <c r="K290" s="516"/>
      <c r="L290" s="557"/>
      <c r="M290" s="557"/>
      <c r="N290" s="557"/>
    </row>
    <row r="291" spans="1:18" x14ac:dyDescent="0.25">
      <c r="A291" s="753"/>
      <c r="C291" s="527" t="s">
        <v>173</v>
      </c>
      <c r="D291" s="453">
        <f t="shared" si="27"/>
        <v>45890</v>
      </c>
      <c r="E291" s="503" t="s">
        <v>167</v>
      </c>
      <c r="F291" s="506" t="s">
        <v>427</v>
      </c>
      <c r="G291" s="506" t="s">
        <v>460</v>
      </c>
      <c r="H291" s="516"/>
      <c r="I291" s="516"/>
      <c r="J291" s="516"/>
      <c r="K291" s="516"/>
      <c r="L291" s="557"/>
      <c r="M291" s="557"/>
      <c r="N291" s="557"/>
    </row>
    <row r="292" spans="1:18" ht="15.75" thickBot="1" x14ac:dyDescent="0.3">
      <c r="A292" s="753"/>
      <c r="C292" s="528" t="s">
        <v>173</v>
      </c>
      <c r="D292" s="451">
        <f t="shared" si="27"/>
        <v>45890</v>
      </c>
      <c r="E292" s="459" t="s">
        <v>168</v>
      </c>
      <c r="F292" s="493" t="s">
        <v>427</v>
      </c>
      <c r="G292" s="493" t="s">
        <v>460</v>
      </c>
      <c r="H292" s="513"/>
      <c r="I292" s="513"/>
      <c r="J292" s="513"/>
      <c r="K292" s="513"/>
      <c r="L292" s="558"/>
      <c r="M292" s="558"/>
      <c r="N292" s="558"/>
    </row>
    <row r="293" spans="1:18" ht="4.5" customHeight="1" thickBot="1" x14ac:dyDescent="0.3">
      <c r="A293" s="753"/>
      <c r="C293" t="s">
        <v>173</v>
      </c>
      <c r="D293">
        <f t="shared" si="27"/>
        <v>45890</v>
      </c>
      <c r="E293" t="s">
        <v>169</v>
      </c>
      <c r="F293" t="s">
        <v>427</v>
      </c>
      <c r="G293" t="s">
        <v>460</v>
      </c>
      <c r="L293" s="559"/>
      <c r="M293" s="559"/>
      <c r="N293" s="559"/>
      <c r="Q293" s="3"/>
      <c r="R293" s="3"/>
    </row>
    <row r="294" spans="1:18" ht="15" customHeight="1" thickBot="1" x14ac:dyDescent="0.3">
      <c r="A294" s="753"/>
      <c r="C294" s="538" t="s">
        <v>173</v>
      </c>
      <c r="D294" s="539">
        <f t="shared" si="27"/>
        <v>45890</v>
      </c>
      <c r="E294" s="539" t="s">
        <v>170</v>
      </c>
      <c r="F294" s="539" t="s">
        <v>427</v>
      </c>
      <c r="G294" s="539" t="s">
        <v>460</v>
      </c>
      <c r="H294" s="539"/>
      <c r="I294" s="543"/>
      <c r="J294" s="542"/>
      <c r="K294" s="544"/>
      <c r="L294" s="560"/>
      <c r="M294" s="561"/>
      <c r="N294" s="562"/>
      <c r="O294" s="548"/>
      <c r="P294" s="549"/>
      <c r="Q294" s="3"/>
      <c r="R294" s="3"/>
    </row>
    <row r="295" spans="1:18" x14ac:dyDescent="0.25">
      <c r="A295" s="753"/>
      <c r="C295" s="446" t="s">
        <v>173</v>
      </c>
      <c r="D295" s="497">
        <f t="shared" si="27"/>
        <v>45890</v>
      </c>
      <c r="E295" s="498" t="s">
        <v>574</v>
      </c>
      <c r="F295" s="514"/>
      <c r="G295" s="514"/>
      <c r="H295" s="515"/>
      <c r="I295" s="537"/>
      <c r="J295" s="537"/>
      <c r="K295" s="537"/>
      <c r="L295" s="563"/>
      <c r="M295" s="563"/>
      <c r="N295" s="563"/>
    </row>
    <row r="296" spans="1:18" x14ac:dyDescent="0.25">
      <c r="A296" s="753"/>
      <c r="C296" s="452" t="s">
        <v>173</v>
      </c>
      <c r="D296" s="499">
        <f t="shared" si="27"/>
        <v>45890</v>
      </c>
      <c r="E296" s="500" t="s">
        <v>575</v>
      </c>
      <c r="F296" s="460"/>
      <c r="G296" s="460"/>
      <c r="H296" s="460"/>
      <c r="I296" s="540"/>
      <c r="J296" s="545"/>
      <c r="K296" s="540"/>
      <c r="L296" s="555"/>
      <c r="M296" s="555"/>
      <c r="N296" s="555"/>
    </row>
    <row r="297" spans="1:18" x14ac:dyDescent="0.25">
      <c r="A297" s="753"/>
      <c r="C297" s="452"/>
      <c r="D297" s="449"/>
      <c r="E297" s="454"/>
      <c r="F297" s="460"/>
      <c r="G297" s="460"/>
      <c r="H297" s="460"/>
      <c r="I297" s="540"/>
      <c r="J297" s="545"/>
      <c r="K297" s="540"/>
      <c r="L297" s="564"/>
      <c r="M297" s="564"/>
      <c r="N297" s="564"/>
    </row>
    <row r="298" spans="1:18" x14ac:dyDescent="0.25">
      <c r="A298" s="753"/>
      <c r="C298" s="452" t="s">
        <v>174</v>
      </c>
      <c r="D298" s="449">
        <f>D296+1</f>
        <v>45891</v>
      </c>
      <c r="E298" s="454" t="s">
        <v>573</v>
      </c>
      <c r="F298" s="460"/>
      <c r="G298" s="460"/>
      <c r="H298" s="460"/>
      <c r="I298" s="540"/>
      <c r="J298" s="545"/>
      <c r="K298" s="540"/>
      <c r="L298" s="564"/>
      <c r="M298" s="564"/>
      <c r="N298" s="564"/>
    </row>
    <row r="299" spans="1:18" x14ac:dyDescent="0.25">
      <c r="A299" s="753"/>
      <c r="C299" s="452" t="s">
        <v>174</v>
      </c>
      <c r="D299" s="449">
        <f t="shared" ref="D299:D310" si="28">D298</f>
        <v>45891</v>
      </c>
      <c r="E299" s="454" t="s">
        <v>162</v>
      </c>
      <c r="F299" s="460" t="s">
        <v>427</v>
      </c>
      <c r="G299" s="460" t="s">
        <v>460</v>
      </c>
      <c r="H299" s="460"/>
      <c r="I299" s="540"/>
      <c r="J299" s="545"/>
      <c r="K299" s="540"/>
      <c r="L299" s="564"/>
      <c r="M299" s="564"/>
      <c r="N299" s="564"/>
    </row>
    <row r="300" spans="1:18" x14ac:dyDescent="0.25">
      <c r="A300" s="753"/>
      <c r="C300" s="452" t="s">
        <v>174</v>
      </c>
      <c r="D300" s="449">
        <f t="shared" si="28"/>
        <v>45891</v>
      </c>
      <c r="E300" s="454" t="s">
        <v>163</v>
      </c>
      <c r="F300" s="460" t="s">
        <v>427</v>
      </c>
      <c r="G300" s="460" t="s">
        <v>460</v>
      </c>
      <c r="H300" s="460"/>
      <c r="I300" s="540"/>
      <c r="J300" s="545"/>
      <c r="K300" s="540"/>
      <c r="L300" s="564"/>
      <c r="M300" s="564"/>
      <c r="N300" s="564"/>
    </row>
    <row r="301" spans="1:18" x14ac:dyDescent="0.25">
      <c r="A301" s="753"/>
      <c r="C301" s="452" t="s">
        <v>174</v>
      </c>
      <c r="D301" s="449">
        <f t="shared" si="28"/>
        <v>45891</v>
      </c>
      <c r="E301" s="454" t="s">
        <v>164</v>
      </c>
      <c r="F301" s="517" t="s">
        <v>427</v>
      </c>
      <c r="G301" s="512" t="s">
        <v>460</v>
      </c>
      <c r="H301" s="505"/>
      <c r="I301" s="541"/>
      <c r="J301" s="541"/>
      <c r="K301" s="541"/>
      <c r="L301" s="556"/>
      <c r="M301" s="556"/>
      <c r="N301" s="556"/>
    </row>
    <row r="302" spans="1:18" x14ac:dyDescent="0.25">
      <c r="A302" s="753"/>
      <c r="C302" s="452" t="s">
        <v>174</v>
      </c>
      <c r="D302" s="449">
        <f t="shared" si="28"/>
        <v>45891</v>
      </c>
      <c r="E302" s="454" t="s">
        <v>165</v>
      </c>
      <c r="F302" s="460" t="s">
        <v>427</v>
      </c>
      <c r="G302" s="460" t="s">
        <v>460</v>
      </c>
      <c r="H302" s="460"/>
      <c r="I302" s="540"/>
      <c r="J302" s="545"/>
      <c r="K302" s="540"/>
      <c r="L302" s="565"/>
      <c r="M302" s="565"/>
      <c r="N302" s="565"/>
    </row>
    <row r="303" spans="1:18" x14ac:dyDescent="0.25">
      <c r="A303" s="753"/>
      <c r="C303" s="452" t="s">
        <v>174</v>
      </c>
      <c r="D303" s="449">
        <f t="shared" si="28"/>
        <v>45891</v>
      </c>
      <c r="E303" s="454" t="s">
        <v>166</v>
      </c>
      <c r="F303" s="460" t="s">
        <v>427</v>
      </c>
      <c r="G303" s="460" t="s">
        <v>460</v>
      </c>
      <c r="H303" s="460"/>
      <c r="I303" s="540"/>
      <c r="J303" s="545"/>
      <c r="K303" s="540"/>
      <c r="L303" s="565"/>
      <c r="M303" s="565"/>
      <c r="N303" s="565"/>
    </row>
    <row r="304" spans="1:18" x14ac:dyDescent="0.25">
      <c r="A304" s="753"/>
      <c r="C304" s="452" t="s">
        <v>174</v>
      </c>
      <c r="D304" s="449">
        <f t="shared" si="28"/>
        <v>45891</v>
      </c>
      <c r="E304" s="454" t="s">
        <v>576</v>
      </c>
      <c r="F304" s="460" t="s">
        <v>427</v>
      </c>
      <c r="G304" s="460" t="s">
        <v>145</v>
      </c>
      <c r="H304" s="460"/>
      <c r="I304" s="540"/>
      <c r="J304" s="545"/>
      <c r="K304" s="540"/>
      <c r="L304" s="565"/>
      <c r="M304" s="565"/>
      <c r="N304" s="565"/>
    </row>
    <row r="305" spans="1:18" x14ac:dyDescent="0.25">
      <c r="A305" s="753"/>
      <c r="C305" s="452" t="s">
        <v>174</v>
      </c>
      <c r="D305" s="449">
        <f t="shared" si="28"/>
        <v>45891</v>
      </c>
      <c r="E305" s="454" t="s">
        <v>167</v>
      </c>
      <c r="F305" s="460" t="s">
        <v>427</v>
      </c>
      <c r="G305" s="460" t="s">
        <v>460</v>
      </c>
      <c r="H305" s="460"/>
      <c r="I305" s="540"/>
      <c r="J305" s="545"/>
      <c r="K305" s="540"/>
      <c r="L305" s="566"/>
      <c r="M305" s="566"/>
      <c r="N305" s="566"/>
    </row>
    <row r="306" spans="1:18" x14ac:dyDescent="0.25">
      <c r="A306" s="753"/>
      <c r="C306" s="452" t="s">
        <v>174</v>
      </c>
      <c r="D306" s="449">
        <f t="shared" si="28"/>
        <v>45891</v>
      </c>
      <c r="E306" s="454" t="s">
        <v>168</v>
      </c>
      <c r="F306" s="505" t="s">
        <v>427</v>
      </c>
      <c r="G306" s="505" t="s">
        <v>460</v>
      </c>
      <c r="H306" s="516"/>
      <c r="I306" s="516"/>
      <c r="J306" s="516"/>
      <c r="K306" s="516"/>
      <c r="L306" s="557"/>
      <c r="M306" s="557"/>
      <c r="N306" s="557"/>
    </row>
    <row r="307" spans="1:18" x14ac:dyDescent="0.25">
      <c r="A307" s="753"/>
      <c r="C307" s="448" t="s">
        <v>174</v>
      </c>
      <c r="D307" s="449">
        <f t="shared" si="28"/>
        <v>45891</v>
      </c>
      <c r="E307" s="455" t="s">
        <v>169</v>
      </c>
      <c r="F307" s="505" t="s">
        <v>427</v>
      </c>
      <c r="G307" s="505" t="s">
        <v>460</v>
      </c>
      <c r="H307" s="516"/>
      <c r="I307" s="516"/>
      <c r="J307" s="516"/>
      <c r="K307" s="516"/>
      <c r="L307" s="557"/>
      <c r="M307" s="557"/>
      <c r="N307" s="557"/>
    </row>
    <row r="308" spans="1:18" x14ac:dyDescent="0.25">
      <c r="A308" s="753"/>
      <c r="C308" s="448" t="s">
        <v>174</v>
      </c>
      <c r="D308" s="449">
        <f t="shared" si="28"/>
        <v>45891</v>
      </c>
      <c r="E308" s="455" t="s">
        <v>170</v>
      </c>
      <c r="F308" s="506"/>
      <c r="G308" s="506"/>
      <c r="H308" s="516"/>
      <c r="I308" s="516"/>
      <c r="J308" s="516"/>
      <c r="K308" s="516"/>
      <c r="L308" s="557"/>
      <c r="M308" s="557"/>
      <c r="N308" s="557"/>
    </row>
    <row r="309" spans="1:18" x14ac:dyDescent="0.25">
      <c r="A309" s="753"/>
      <c r="C309" s="448" t="s">
        <v>174</v>
      </c>
      <c r="D309" s="449">
        <f t="shared" si="28"/>
        <v>45891</v>
      </c>
      <c r="E309" s="503" t="s">
        <v>574</v>
      </c>
      <c r="F309" s="506"/>
      <c r="G309" s="506"/>
      <c r="H309" s="516"/>
      <c r="I309" s="516"/>
      <c r="J309" s="516"/>
      <c r="K309" s="516"/>
      <c r="L309" s="557"/>
      <c r="M309" s="557"/>
      <c r="N309" s="557"/>
    </row>
    <row r="310" spans="1:18" ht="15.75" thickBot="1" x14ac:dyDescent="0.3">
      <c r="A310" s="753"/>
      <c r="C310" s="450" t="s">
        <v>174</v>
      </c>
      <c r="D310" s="451">
        <f t="shared" si="28"/>
        <v>45891</v>
      </c>
      <c r="E310" s="459" t="s">
        <v>575</v>
      </c>
      <c r="F310" s="493"/>
      <c r="G310" s="493"/>
      <c r="H310" s="513"/>
      <c r="I310" s="513"/>
      <c r="J310" s="513"/>
      <c r="K310" s="513"/>
      <c r="L310" s="558"/>
      <c r="M310" s="558"/>
      <c r="N310" s="558"/>
    </row>
    <row r="311" spans="1:18" ht="4.5" customHeight="1" thickBot="1" x14ac:dyDescent="0.3">
      <c r="A311" s="753"/>
      <c r="L311" s="559"/>
      <c r="M311" s="559"/>
      <c r="N311" s="559"/>
      <c r="Q311" s="3"/>
      <c r="R311" s="3"/>
    </row>
    <row r="312" spans="1:18" ht="15" customHeight="1" thickBot="1" x14ac:dyDescent="0.3">
      <c r="A312" s="753" t="s">
        <v>536</v>
      </c>
      <c r="C312" s="538" t="s">
        <v>161</v>
      </c>
      <c r="D312" s="539">
        <f>D310+3</f>
        <v>45894</v>
      </c>
      <c r="E312" s="539" t="s">
        <v>573</v>
      </c>
      <c r="F312" s="539"/>
      <c r="G312" s="539"/>
      <c r="H312" s="539"/>
      <c r="I312" s="543"/>
      <c r="J312" s="542"/>
      <c r="K312" s="544"/>
      <c r="L312" s="560"/>
      <c r="M312" s="561"/>
      <c r="N312" s="562"/>
      <c r="O312" s="548"/>
      <c r="P312" s="549"/>
      <c r="Q312" s="3"/>
      <c r="R312" s="3"/>
    </row>
    <row r="313" spans="1:18" x14ac:dyDescent="0.25">
      <c r="A313" s="753"/>
      <c r="C313" s="446" t="s">
        <v>161</v>
      </c>
      <c r="D313" s="497">
        <f t="shared" ref="D313:D324" si="29">D312</f>
        <v>45894</v>
      </c>
      <c r="E313" s="498" t="s">
        <v>162</v>
      </c>
      <c r="F313" s="514" t="s">
        <v>427</v>
      </c>
      <c r="G313" s="514" t="s">
        <v>460</v>
      </c>
      <c r="H313" s="515"/>
      <c r="I313" s="537"/>
      <c r="J313" s="537"/>
      <c r="K313" s="537"/>
      <c r="L313" s="563"/>
      <c r="M313" s="563"/>
      <c r="N313" s="563"/>
    </row>
    <row r="314" spans="1:18" x14ac:dyDescent="0.25">
      <c r="A314" s="753"/>
      <c r="C314" s="452" t="s">
        <v>161</v>
      </c>
      <c r="D314" s="499">
        <f t="shared" si="29"/>
        <v>45894</v>
      </c>
      <c r="E314" s="500" t="s">
        <v>163</v>
      </c>
      <c r="F314" s="460" t="s">
        <v>427</v>
      </c>
      <c r="G314" s="460" t="s">
        <v>460</v>
      </c>
      <c r="H314" s="501"/>
      <c r="I314" s="540"/>
      <c r="J314" s="540"/>
      <c r="K314" s="540"/>
      <c r="L314" s="555"/>
      <c r="M314" s="555"/>
      <c r="N314" s="555"/>
    </row>
    <row r="315" spans="1:18" x14ac:dyDescent="0.25">
      <c r="A315" s="753"/>
      <c r="C315" s="452" t="s">
        <v>161</v>
      </c>
      <c r="D315" s="449">
        <f t="shared" si="29"/>
        <v>45894</v>
      </c>
      <c r="E315" s="454" t="s">
        <v>164</v>
      </c>
      <c r="F315" s="460" t="s">
        <v>427</v>
      </c>
      <c r="G315" s="460" t="s">
        <v>460</v>
      </c>
      <c r="H315" s="460"/>
      <c r="I315" s="540"/>
      <c r="J315" s="540"/>
      <c r="K315" s="540"/>
      <c r="L315" s="564"/>
      <c r="M315" s="564"/>
      <c r="N315" s="564"/>
    </row>
    <row r="316" spans="1:18" x14ac:dyDescent="0.25">
      <c r="A316" s="753"/>
      <c r="C316" s="452" t="s">
        <v>161</v>
      </c>
      <c r="D316" s="449">
        <f t="shared" si="29"/>
        <v>45894</v>
      </c>
      <c r="E316" s="454" t="s">
        <v>165</v>
      </c>
      <c r="F316" s="460" t="s">
        <v>427</v>
      </c>
      <c r="G316" s="460" t="s">
        <v>460</v>
      </c>
      <c r="H316" s="460"/>
      <c r="I316" s="540"/>
      <c r="J316" s="540"/>
      <c r="K316" s="540"/>
      <c r="L316" s="564"/>
      <c r="M316" s="564"/>
      <c r="N316" s="564"/>
    </row>
    <row r="317" spans="1:18" x14ac:dyDescent="0.25">
      <c r="A317" s="753"/>
      <c r="C317" s="452" t="s">
        <v>161</v>
      </c>
      <c r="D317" s="449">
        <f t="shared" si="29"/>
        <v>45894</v>
      </c>
      <c r="E317" s="454" t="s">
        <v>166</v>
      </c>
      <c r="F317" s="460" t="s">
        <v>581</v>
      </c>
      <c r="G317" s="460" t="s">
        <v>460</v>
      </c>
      <c r="H317" s="460"/>
      <c r="I317" s="540"/>
      <c r="J317" s="540"/>
      <c r="K317" s="540"/>
      <c r="L317" s="564"/>
      <c r="M317" s="564"/>
      <c r="N317" s="564"/>
    </row>
    <row r="318" spans="1:18" x14ac:dyDescent="0.25">
      <c r="A318" s="753"/>
      <c r="C318" s="452" t="s">
        <v>161</v>
      </c>
      <c r="D318" s="449">
        <f t="shared" si="29"/>
        <v>45894</v>
      </c>
      <c r="E318" s="454" t="s">
        <v>576</v>
      </c>
      <c r="F318" s="460" t="s">
        <v>581</v>
      </c>
      <c r="G318" s="460" t="s">
        <v>145</v>
      </c>
      <c r="H318" s="460"/>
      <c r="I318" s="540"/>
      <c r="J318" s="540"/>
      <c r="K318" s="540"/>
      <c r="L318" s="564"/>
      <c r="M318" s="564"/>
      <c r="N318" s="564"/>
    </row>
    <row r="319" spans="1:18" x14ac:dyDescent="0.25">
      <c r="A319" s="753"/>
      <c r="C319" s="452" t="s">
        <v>161</v>
      </c>
      <c r="D319" s="449">
        <f t="shared" si="29"/>
        <v>45894</v>
      </c>
      <c r="E319" s="454" t="s">
        <v>167</v>
      </c>
      <c r="F319" s="517" t="s">
        <v>581</v>
      </c>
      <c r="G319" s="512" t="s">
        <v>145</v>
      </c>
      <c r="H319" s="505"/>
      <c r="I319" s="541"/>
      <c r="J319" s="541"/>
      <c r="K319" s="541"/>
      <c r="L319" s="556"/>
      <c r="M319" s="556"/>
      <c r="N319" s="556"/>
    </row>
    <row r="320" spans="1:18" x14ac:dyDescent="0.25">
      <c r="A320" s="753"/>
      <c r="C320" s="452" t="s">
        <v>161</v>
      </c>
      <c r="D320" s="449">
        <f t="shared" si="29"/>
        <v>45894</v>
      </c>
      <c r="E320" s="454" t="s">
        <v>168</v>
      </c>
      <c r="F320" s="460" t="s">
        <v>581</v>
      </c>
      <c r="G320" s="460" t="s">
        <v>460</v>
      </c>
      <c r="H320" s="461"/>
      <c r="I320" s="540"/>
      <c r="J320" s="540"/>
      <c r="K320" s="540"/>
      <c r="L320" s="565"/>
      <c r="M320" s="565"/>
      <c r="N320" s="565"/>
    </row>
    <row r="321" spans="1:18" x14ac:dyDescent="0.25">
      <c r="A321" s="753"/>
      <c r="C321" s="452" t="s">
        <v>161</v>
      </c>
      <c r="D321" s="449">
        <f t="shared" si="29"/>
        <v>45894</v>
      </c>
      <c r="E321" s="454" t="s">
        <v>169</v>
      </c>
      <c r="F321" s="460" t="s">
        <v>581</v>
      </c>
      <c r="G321" s="460" t="s">
        <v>460</v>
      </c>
      <c r="H321" s="461"/>
      <c r="I321" s="540"/>
      <c r="J321" s="540"/>
      <c r="K321" s="540"/>
      <c r="L321" s="565"/>
      <c r="M321" s="565"/>
      <c r="N321" s="565"/>
    </row>
    <row r="322" spans="1:18" x14ac:dyDescent="0.25">
      <c r="A322" s="753"/>
      <c r="C322" s="452" t="s">
        <v>161</v>
      </c>
      <c r="D322" s="449">
        <f t="shared" si="29"/>
        <v>45894</v>
      </c>
      <c r="E322" s="454" t="s">
        <v>170</v>
      </c>
      <c r="F322" s="460" t="s">
        <v>581</v>
      </c>
      <c r="G322" s="460" t="s">
        <v>460</v>
      </c>
      <c r="H322" s="461"/>
      <c r="I322" s="540"/>
      <c r="J322" s="540"/>
      <c r="K322" s="540"/>
      <c r="L322" s="565"/>
      <c r="M322" s="565"/>
      <c r="N322" s="565"/>
    </row>
    <row r="323" spans="1:18" x14ac:dyDescent="0.25">
      <c r="A323" s="753"/>
      <c r="C323" s="452" t="s">
        <v>161</v>
      </c>
      <c r="D323" s="449">
        <f t="shared" si="29"/>
        <v>45894</v>
      </c>
      <c r="E323" s="454" t="s">
        <v>574</v>
      </c>
      <c r="F323" s="460"/>
      <c r="G323" s="460"/>
      <c r="H323" s="504"/>
      <c r="I323" s="540"/>
      <c r="J323" s="540"/>
      <c r="K323" s="540"/>
      <c r="L323" s="566"/>
      <c r="M323" s="566"/>
      <c r="N323" s="566"/>
    </row>
    <row r="324" spans="1:18" x14ac:dyDescent="0.25">
      <c r="A324" s="753"/>
      <c r="C324" s="452" t="s">
        <v>161</v>
      </c>
      <c r="D324" s="449">
        <f t="shared" si="29"/>
        <v>45894</v>
      </c>
      <c r="E324" s="454" t="s">
        <v>575</v>
      </c>
      <c r="F324" s="505"/>
      <c r="G324" s="505"/>
      <c r="H324" s="516"/>
      <c r="I324" s="516"/>
      <c r="J324" s="516"/>
      <c r="K324" s="516"/>
      <c r="L324" s="557"/>
      <c r="M324" s="557"/>
      <c r="N324" s="557"/>
    </row>
    <row r="325" spans="1:18" x14ac:dyDescent="0.25">
      <c r="A325" s="753"/>
      <c r="C325" s="448"/>
      <c r="D325" s="449"/>
      <c r="E325" s="455"/>
      <c r="F325" s="505"/>
      <c r="G325" s="505"/>
      <c r="H325" s="516"/>
      <c r="I325" s="516"/>
      <c r="J325" s="516"/>
      <c r="K325" s="516"/>
      <c r="L325" s="557"/>
      <c r="M325" s="557"/>
      <c r="N325" s="557"/>
    </row>
    <row r="326" spans="1:18" x14ac:dyDescent="0.25">
      <c r="A326" s="753"/>
      <c r="C326" s="448" t="s">
        <v>171</v>
      </c>
      <c r="D326" s="449">
        <f>D324+1</f>
        <v>45895</v>
      </c>
      <c r="E326" s="455" t="s">
        <v>573</v>
      </c>
      <c r="F326" s="506"/>
      <c r="G326" s="506"/>
      <c r="H326" s="516"/>
      <c r="I326" s="516"/>
      <c r="J326" s="516"/>
      <c r="K326" s="516"/>
      <c r="L326" s="557"/>
      <c r="M326" s="557"/>
      <c r="N326" s="557"/>
    </row>
    <row r="327" spans="1:18" x14ac:dyDescent="0.25">
      <c r="A327" s="753"/>
      <c r="C327" s="448" t="s">
        <v>171</v>
      </c>
      <c r="D327" s="449">
        <f t="shared" ref="D327:D338" si="30">D326</f>
        <v>45895</v>
      </c>
      <c r="E327" s="503" t="s">
        <v>162</v>
      </c>
      <c r="F327" s="506" t="s">
        <v>581</v>
      </c>
      <c r="G327" s="506" t="s">
        <v>460</v>
      </c>
      <c r="H327" s="516"/>
      <c r="I327" s="516"/>
      <c r="J327" s="516"/>
      <c r="K327" s="516"/>
      <c r="L327" s="557"/>
      <c r="M327" s="557"/>
      <c r="N327" s="557"/>
    </row>
    <row r="328" spans="1:18" ht="15.75" thickBot="1" x14ac:dyDescent="0.3">
      <c r="A328" s="753"/>
      <c r="C328" s="450" t="s">
        <v>171</v>
      </c>
      <c r="D328" s="451">
        <f t="shared" si="30"/>
        <v>45895</v>
      </c>
      <c r="E328" s="459" t="s">
        <v>163</v>
      </c>
      <c r="F328" s="493" t="s">
        <v>581</v>
      </c>
      <c r="G328" s="493" t="s">
        <v>460</v>
      </c>
      <c r="H328" s="513"/>
      <c r="I328" s="513"/>
      <c r="J328" s="513"/>
      <c r="K328" s="513"/>
      <c r="L328" s="558"/>
      <c r="M328" s="558"/>
      <c r="N328" s="558"/>
    </row>
    <row r="329" spans="1:18" ht="4.5" customHeight="1" thickBot="1" x14ac:dyDescent="0.3">
      <c r="A329" s="753"/>
      <c r="C329" t="s">
        <v>171</v>
      </c>
      <c r="D329">
        <f t="shared" si="30"/>
        <v>45895</v>
      </c>
      <c r="E329" t="s">
        <v>164</v>
      </c>
      <c r="F329" t="s">
        <v>581</v>
      </c>
      <c r="G329" t="s">
        <v>460</v>
      </c>
      <c r="L329" s="559"/>
      <c r="M329" s="559"/>
      <c r="N329" s="559"/>
      <c r="Q329" s="3"/>
      <c r="R329" s="3"/>
    </row>
    <row r="330" spans="1:18" ht="15" customHeight="1" thickBot="1" x14ac:dyDescent="0.3">
      <c r="A330" s="753"/>
      <c r="C330" s="538" t="s">
        <v>171</v>
      </c>
      <c r="D330" s="539">
        <f t="shared" si="30"/>
        <v>45895</v>
      </c>
      <c r="E330" s="539" t="s">
        <v>165</v>
      </c>
      <c r="F330" s="539" t="s">
        <v>581</v>
      </c>
      <c r="G330" s="539" t="s">
        <v>460</v>
      </c>
      <c r="H330" s="539"/>
      <c r="I330" s="543"/>
      <c r="J330" s="542"/>
      <c r="K330" s="544"/>
      <c r="L330" s="560"/>
      <c r="M330" s="561"/>
      <c r="N330" s="562"/>
      <c r="O330" s="548"/>
      <c r="P330" s="549"/>
      <c r="Q330" s="3"/>
      <c r="R330" s="3"/>
    </row>
    <row r="331" spans="1:18" x14ac:dyDescent="0.25">
      <c r="A331" s="753"/>
      <c r="C331" s="529" t="s">
        <v>171</v>
      </c>
      <c r="D331" s="447">
        <f t="shared" si="30"/>
        <v>45895</v>
      </c>
      <c r="E331" s="498" t="s">
        <v>166</v>
      </c>
      <c r="F331" s="514" t="s">
        <v>581</v>
      </c>
      <c r="G331" s="514" t="s">
        <v>460</v>
      </c>
      <c r="H331" s="515"/>
      <c r="I331" s="537"/>
      <c r="J331" s="537"/>
      <c r="K331" s="537"/>
      <c r="L331" s="563"/>
      <c r="M331" s="563"/>
      <c r="N331" s="563"/>
    </row>
    <row r="332" spans="1:18" x14ac:dyDescent="0.25">
      <c r="A332" s="753"/>
      <c r="C332" s="452" t="s">
        <v>171</v>
      </c>
      <c r="D332" s="453">
        <f t="shared" si="30"/>
        <v>45895</v>
      </c>
      <c r="E332" s="500" t="s">
        <v>576</v>
      </c>
      <c r="F332" s="460" t="s">
        <v>145</v>
      </c>
      <c r="G332" s="460" t="s">
        <v>145</v>
      </c>
      <c r="H332" s="501"/>
      <c r="I332" s="540"/>
      <c r="J332" s="540"/>
      <c r="K332" s="540"/>
      <c r="L332" s="555"/>
      <c r="M332" s="555"/>
      <c r="N332" s="555"/>
    </row>
    <row r="333" spans="1:18" x14ac:dyDescent="0.25">
      <c r="A333" s="753"/>
      <c r="C333" s="452" t="s">
        <v>171</v>
      </c>
      <c r="D333" s="453">
        <f t="shared" si="30"/>
        <v>45895</v>
      </c>
      <c r="E333" s="454" t="s">
        <v>167</v>
      </c>
      <c r="F333" s="460" t="s">
        <v>581</v>
      </c>
      <c r="G333" s="460" t="s">
        <v>460</v>
      </c>
      <c r="H333" s="460"/>
      <c r="I333" s="540"/>
      <c r="J333" s="540"/>
      <c r="K333" s="540"/>
      <c r="L333" s="564"/>
      <c r="M333" s="564"/>
      <c r="N333" s="564"/>
    </row>
    <row r="334" spans="1:18" x14ac:dyDescent="0.25">
      <c r="A334" s="753"/>
      <c r="C334" s="452" t="s">
        <v>171</v>
      </c>
      <c r="D334" s="453">
        <f t="shared" si="30"/>
        <v>45895</v>
      </c>
      <c r="E334" s="454" t="s">
        <v>168</v>
      </c>
      <c r="F334" s="460" t="s">
        <v>582</v>
      </c>
      <c r="G334" s="460" t="s">
        <v>460</v>
      </c>
      <c r="H334" s="460"/>
      <c r="I334" s="540"/>
      <c r="J334" s="540"/>
      <c r="K334" s="540"/>
      <c r="L334" s="564"/>
      <c r="M334" s="564"/>
      <c r="N334" s="564"/>
    </row>
    <row r="335" spans="1:18" x14ac:dyDescent="0.25">
      <c r="A335" s="753"/>
      <c r="C335" s="452" t="s">
        <v>171</v>
      </c>
      <c r="D335" s="453">
        <f t="shared" si="30"/>
        <v>45895</v>
      </c>
      <c r="E335" s="454" t="s">
        <v>169</v>
      </c>
      <c r="F335" s="460" t="s">
        <v>582</v>
      </c>
      <c r="G335" s="460" t="s">
        <v>460</v>
      </c>
      <c r="H335" s="460"/>
      <c r="I335" s="540"/>
      <c r="J335" s="540"/>
      <c r="K335" s="540"/>
      <c r="L335" s="564"/>
      <c r="M335" s="564"/>
      <c r="N335" s="564"/>
    </row>
    <row r="336" spans="1:18" x14ac:dyDescent="0.25">
      <c r="A336" s="753"/>
      <c r="C336" s="452" t="s">
        <v>171</v>
      </c>
      <c r="D336" s="453">
        <f t="shared" si="30"/>
        <v>45895</v>
      </c>
      <c r="E336" s="454" t="s">
        <v>170</v>
      </c>
      <c r="F336" s="460" t="s">
        <v>582</v>
      </c>
      <c r="G336" s="460" t="s">
        <v>460</v>
      </c>
      <c r="H336" s="460"/>
      <c r="I336" s="540"/>
      <c r="J336" s="540"/>
      <c r="K336" s="540"/>
      <c r="L336" s="564"/>
      <c r="M336" s="564"/>
      <c r="N336" s="564"/>
    </row>
    <row r="337" spans="1:18" x14ac:dyDescent="0.25">
      <c r="A337" s="753"/>
      <c r="C337" s="452" t="s">
        <v>171</v>
      </c>
      <c r="D337" s="453">
        <f t="shared" si="30"/>
        <v>45895</v>
      </c>
      <c r="E337" s="454" t="s">
        <v>574</v>
      </c>
      <c r="F337" s="517"/>
      <c r="G337" s="512"/>
      <c r="H337" s="505"/>
      <c r="I337" s="541"/>
      <c r="J337" s="541"/>
      <c r="K337" s="541"/>
      <c r="L337" s="556"/>
      <c r="M337" s="556"/>
      <c r="N337" s="556"/>
    </row>
    <row r="338" spans="1:18" x14ac:dyDescent="0.25">
      <c r="A338" s="753"/>
      <c r="C338" s="452" t="s">
        <v>171</v>
      </c>
      <c r="D338" s="449">
        <f t="shared" si="30"/>
        <v>45895</v>
      </c>
      <c r="E338" s="454" t="s">
        <v>575</v>
      </c>
      <c r="F338" s="460"/>
      <c r="G338" s="460"/>
      <c r="H338" s="461"/>
      <c r="I338" s="540"/>
      <c r="J338" s="540"/>
      <c r="K338" s="540"/>
      <c r="L338" s="565"/>
      <c r="M338" s="565"/>
      <c r="N338" s="565"/>
    </row>
    <row r="339" spans="1:18" x14ac:dyDescent="0.25">
      <c r="A339" s="753"/>
      <c r="C339" s="452"/>
      <c r="D339" s="449"/>
      <c r="E339" s="454"/>
      <c r="F339" s="460"/>
      <c r="G339" s="460"/>
      <c r="H339" s="461"/>
      <c r="I339" s="540"/>
      <c r="J339" s="540"/>
      <c r="K339" s="540"/>
      <c r="L339" s="565"/>
      <c r="M339" s="565"/>
      <c r="N339" s="565"/>
    </row>
    <row r="340" spans="1:18" x14ac:dyDescent="0.25">
      <c r="A340" s="753"/>
      <c r="C340" s="452" t="s">
        <v>172</v>
      </c>
      <c r="D340" s="449">
        <f>D338+1</f>
        <v>45896</v>
      </c>
      <c r="E340" s="454" t="s">
        <v>573</v>
      </c>
      <c r="F340" s="460"/>
      <c r="G340" s="460"/>
      <c r="H340" s="461"/>
      <c r="I340" s="540"/>
      <c r="J340" s="540"/>
      <c r="K340" s="540"/>
      <c r="L340" s="565"/>
      <c r="M340" s="565"/>
      <c r="N340" s="565"/>
    </row>
    <row r="341" spans="1:18" x14ac:dyDescent="0.25">
      <c r="A341" s="753"/>
      <c r="C341" s="452" t="s">
        <v>172</v>
      </c>
      <c r="D341" s="449">
        <f t="shared" ref="D341:D350" si="31">D340</f>
        <v>45896</v>
      </c>
      <c r="E341" s="454" t="s">
        <v>162</v>
      </c>
      <c r="F341" s="460" t="s">
        <v>582</v>
      </c>
      <c r="G341" s="460" t="s">
        <v>460</v>
      </c>
      <c r="H341" s="504"/>
      <c r="I341" s="540"/>
      <c r="J341" s="540"/>
      <c r="K341" s="540"/>
      <c r="L341" s="566"/>
      <c r="M341" s="566"/>
      <c r="N341" s="566"/>
    </row>
    <row r="342" spans="1:18" x14ac:dyDescent="0.25">
      <c r="A342" s="753"/>
      <c r="C342" s="452" t="s">
        <v>172</v>
      </c>
      <c r="D342" s="449">
        <f t="shared" si="31"/>
        <v>45896</v>
      </c>
      <c r="E342" s="454" t="s">
        <v>163</v>
      </c>
      <c r="F342" s="505" t="s">
        <v>582</v>
      </c>
      <c r="G342" s="505" t="s">
        <v>460</v>
      </c>
      <c r="H342" s="516"/>
      <c r="I342" s="516"/>
      <c r="J342" s="516"/>
      <c r="K342" s="516"/>
      <c r="L342" s="557"/>
      <c r="M342" s="557"/>
      <c r="N342" s="557"/>
    </row>
    <row r="343" spans="1:18" x14ac:dyDescent="0.25">
      <c r="A343" s="753"/>
      <c r="C343" s="452" t="s">
        <v>172</v>
      </c>
      <c r="D343" s="449">
        <f t="shared" si="31"/>
        <v>45896</v>
      </c>
      <c r="E343" s="455" t="s">
        <v>164</v>
      </c>
      <c r="F343" s="505" t="s">
        <v>582</v>
      </c>
      <c r="G343" s="505" t="s">
        <v>460</v>
      </c>
      <c r="H343" s="516"/>
      <c r="I343" s="516"/>
      <c r="J343" s="516"/>
      <c r="K343" s="516"/>
      <c r="L343" s="557"/>
      <c r="M343" s="557"/>
      <c r="N343" s="557"/>
    </row>
    <row r="344" spans="1:18" x14ac:dyDescent="0.25">
      <c r="A344" s="753"/>
      <c r="C344" s="452" t="s">
        <v>172</v>
      </c>
      <c r="D344" s="449">
        <f t="shared" si="31"/>
        <v>45896</v>
      </c>
      <c r="E344" s="455" t="s">
        <v>165</v>
      </c>
      <c r="F344" s="506" t="s">
        <v>582</v>
      </c>
      <c r="G344" s="506" t="s">
        <v>460</v>
      </c>
      <c r="H344" s="516"/>
      <c r="I344" s="516"/>
      <c r="J344" s="516"/>
      <c r="K344" s="516"/>
      <c r="L344" s="557"/>
      <c r="M344" s="557"/>
      <c r="N344" s="557"/>
    </row>
    <row r="345" spans="1:18" x14ac:dyDescent="0.25">
      <c r="A345" s="753"/>
      <c r="C345" s="452" t="s">
        <v>172</v>
      </c>
      <c r="D345" s="449">
        <f t="shared" si="31"/>
        <v>45896</v>
      </c>
      <c r="E345" s="503" t="s">
        <v>166</v>
      </c>
      <c r="F345" s="506" t="s">
        <v>482</v>
      </c>
      <c r="G345" s="506" t="s">
        <v>461</v>
      </c>
      <c r="H345" s="516"/>
      <c r="I345" s="516"/>
      <c r="J345" s="516"/>
      <c r="K345" s="516"/>
      <c r="L345" s="557"/>
      <c r="M345" s="557"/>
      <c r="N345" s="557"/>
    </row>
    <row r="346" spans="1:18" ht="15.75" thickBot="1" x14ac:dyDescent="0.3">
      <c r="A346" s="753"/>
      <c r="C346" s="530" t="s">
        <v>172</v>
      </c>
      <c r="D346" s="451">
        <f t="shared" si="31"/>
        <v>45896</v>
      </c>
      <c r="E346" s="459" t="s">
        <v>576</v>
      </c>
      <c r="F346" s="493" t="s">
        <v>145</v>
      </c>
      <c r="G346" s="493" t="s">
        <v>145</v>
      </c>
      <c r="H346" s="513"/>
      <c r="I346" s="513"/>
      <c r="J346" s="513"/>
      <c r="K346" s="513"/>
      <c r="L346" s="558"/>
      <c r="M346" s="558"/>
      <c r="N346" s="558"/>
    </row>
    <row r="347" spans="1:18" ht="4.5" customHeight="1" thickBot="1" x14ac:dyDescent="0.3">
      <c r="A347" s="753"/>
      <c r="C347" t="s">
        <v>172</v>
      </c>
      <c r="D347">
        <f t="shared" si="31"/>
        <v>45896</v>
      </c>
      <c r="E347" t="s">
        <v>167</v>
      </c>
      <c r="F347" t="s">
        <v>482</v>
      </c>
      <c r="G347" t="s">
        <v>461</v>
      </c>
      <c r="I347" s="420"/>
      <c r="J347" s="420"/>
      <c r="K347" s="420"/>
      <c r="L347" s="559"/>
      <c r="M347" s="559"/>
      <c r="N347" s="559"/>
      <c r="Q347" s="3"/>
      <c r="R347" s="3"/>
    </row>
    <row r="348" spans="1:18" ht="15" customHeight="1" thickBot="1" x14ac:dyDescent="0.3">
      <c r="A348" s="753"/>
      <c r="C348" s="546" t="s">
        <v>172</v>
      </c>
      <c r="D348" s="547">
        <f t="shared" si="31"/>
        <v>45896</v>
      </c>
      <c r="E348" s="539" t="s">
        <v>168</v>
      </c>
      <c r="F348" s="539" t="s">
        <v>482</v>
      </c>
      <c r="G348" s="539" t="s">
        <v>461</v>
      </c>
      <c r="H348" s="539"/>
      <c r="I348" s="543"/>
      <c r="J348" s="542"/>
      <c r="K348" s="544"/>
      <c r="L348" s="560"/>
      <c r="M348" s="561"/>
      <c r="N348" s="562"/>
      <c r="O348" s="548"/>
      <c r="P348" s="549"/>
      <c r="Q348" s="3"/>
      <c r="R348" s="3"/>
    </row>
    <row r="349" spans="1:18" x14ac:dyDescent="0.25">
      <c r="A349" s="753"/>
      <c r="C349" s="529" t="s">
        <v>172</v>
      </c>
      <c r="D349" s="447">
        <f t="shared" si="31"/>
        <v>45896</v>
      </c>
      <c r="E349" s="498" t="s">
        <v>169</v>
      </c>
      <c r="F349" s="514" t="s">
        <v>482</v>
      </c>
      <c r="G349" s="514" t="s">
        <v>461</v>
      </c>
      <c r="H349" s="515"/>
      <c r="I349" s="537"/>
      <c r="J349" s="537"/>
      <c r="K349" s="537"/>
      <c r="L349" s="563"/>
      <c r="M349" s="563"/>
      <c r="N349" s="563"/>
    </row>
    <row r="350" spans="1:18" x14ac:dyDescent="0.25">
      <c r="A350" s="753"/>
      <c r="C350" s="452" t="s">
        <v>172</v>
      </c>
      <c r="D350" s="453">
        <f t="shared" si="31"/>
        <v>45896</v>
      </c>
      <c r="E350" s="500" t="s">
        <v>170</v>
      </c>
      <c r="F350" s="460" t="s">
        <v>482</v>
      </c>
      <c r="G350" s="460" t="s">
        <v>461</v>
      </c>
      <c r="H350" s="460"/>
      <c r="I350" s="540"/>
      <c r="J350" s="540"/>
      <c r="K350" s="540"/>
      <c r="L350" s="564"/>
      <c r="M350" s="555"/>
      <c r="N350" s="555"/>
    </row>
    <row r="351" spans="1:18" x14ac:dyDescent="0.25">
      <c r="A351" s="753"/>
      <c r="C351" s="452" t="s">
        <v>172</v>
      </c>
      <c r="D351" s="453">
        <f>D349</f>
        <v>45896</v>
      </c>
      <c r="E351" s="454" t="s">
        <v>585</v>
      </c>
      <c r="F351" s="460"/>
      <c r="G351" s="460"/>
      <c r="H351" s="460"/>
      <c r="I351" s="540"/>
      <c r="J351" s="540"/>
      <c r="K351" s="540"/>
      <c r="L351" s="564"/>
      <c r="M351" s="564"/>
      <c r="N351" s="564"/>
    </row>
    <row r="352" spans="1:18" x14ac:dyDescent="0.25">
      <c r="A352" s="753"/>
      <c r="C352" s="452" t="s">
        <v>172</v>
      </c>
      <c r="D352" s="453">
        <f>D350</f>
        <v>45896</v>
      </c>
      <c r="E352" s="454" t="s">
        <v>574</v>
      </c>
      <c r="F352" s="460"/>
      <c r="G352" s="460"/>
      <c r="H352" s="460"/>
      <c r="I352" s="540"/>
      <c r="J352" s="540"/>
      <c r="K352" s="540"/>
      <c r="L352" s="564"/>
      <c r="M352" s="564"/>
      <c r="N352" s="564"/>
    </row>
    <row r="353" spans="1:14" x14ac:dyDescent="0.25">
      <c r="A353" s="753"/>
      <c r="C353" s="452" t="s">
        <v>172</v>
      </c>
      <c r="D353" s="453">
        <v>45896</v>
      </c>
      <c r="E353" s="454" t="s">
        <v>575</v>
      </c>
      <c r="F353" s="460"/>
      <c r="G353" s="460"/>
      <c r="H353" s="460"/>
      <c r="I353" s="540"/>
      <c r="J353" s="540"/>
      <c r="K353" s="540"/>
      <c r="L353" s="564"/>
      <c r="M353" s="564"/>
      <c r="N353" s="564"/>
    </row>
    <row r="354" spans="1:14" x14ac:dyDescent="0.25">
      <c r="A354" s="753"/>
      <c r="C354" s="452" t="s">
        <v>172</v>
      </c>
      <c r="D354" s="453">
        <v>45896</v>
      </c>
      <c r="E354" s="454" t="s">
        <v>583</v>
      </c>
      <c r="F354" s="460"/>
      <c r="G354" s="460"/>
      <c r="H354" s="460"/>
      <c r="I354" s="540"/>
      <c r="J354" s="540"/>
      <c r="K354" s="540"/>
      <c r="L354" s="564"/>
      <c r="M354" s="564"/>
      <c r="N354" s="564"/>
    </row>
    <row r="355" spans="1:14" x14ac:dyDescent="0.25">
      <c r="A355" s="753"/>
      <c r="C355" s="452" t="s">
        <v>172</v>
      </c>
      <c r="D355" s="453">
        <f>D352</f>
        <v>45896</v>
      </c>
      <c r="E355" s="454" t="s">
        <v>584</v>
      </c>
      <c r="F355" s="517"/>
      <c r="G355" s="512"/>
      <c r="H355" s="505"/>
      <c r="I355" s="541"/>
      <c r="J355" s="541"/>
      <c r="K355" s="541"/>
      <c r="L355" s="556"/>
      <c r="M355" s="556"/>
      <c r="N355" s="556"/>
    </row>
    <row r="356" spans="1:14" x14ac:dyDescent="0.25">
      <c r="A356" s="753"/>
      <c r="C356" s="452"/>
      <c r="D356" s="449"/>
      <c r="E356" s="454"/>
      <c r="F356" s="460"/>
      <c r="G356" s="460"/>
      <c r="H356" s="461"/>
      <c r="I356" s="540"/>
      <c r="J356" s="540"/>
      <c r="K356" s="540"/>
      <c r="L356" s="565"/>
      <c r="M356" s="565"/>
      <c r="N356" s="565"/>
    </row>
    <row r="357" spans="1:14" x14ac:dyDescent="0.25">
      <c r="A357" s="753"/>
      <c r="C357" s="452" t="s">
        <v>173</v>
      </c>
      <c r="D357" s="449">
        <f>D355+1</f>
        <v>45897</v>
      </c>
      <c r="E357" s="454" t="s">
        <v>573</v>
      </c>
      <c r="F357" s="460" t="s">
        <v>482</v>
      </c>
      <c r="G357" s="460" t="s">
        <v>461</v>
      </c>
      <c r="H357" s="461"/>
      <c r="I357" s="540"/>
      <c r="J357" s="540"/>
      <c r="K357" s="540"/>
      <c r="L357" s="565"/>
      <c r="M357" s="565"/>
      <c r="N357" s="565"/>
    </row>
    <row r="358" spans="1:14" x14ac:dyDescent="0.25">
      <c r="A358" s="753"/>
      <c r="C358" s="452" t="s">
        <v>173</v>
      </c>
      <c r="D358" s="449">
        <f t="shared" ref="D358:D367" si="32">D357</f>
        <v>45897</v>
      </c>
      <c r="E358" s="454" t="s">
        <v>162</v>
      </c>
      <c r="F358" s="460" t="s">
        <v>481</v>
      </c>
      <c r="G358" s="460" t="s">
        <v>462</v>
      </c>
      <c r="H358" s="461"/>
      <c r="I358" s="540"/>
      <c r="J358" s="540"/>
      <c r="K358" s="540"/>
      <c r="L358" s="565"/>
      <c r="M358" s="565"/>
      <c r="N358" s="565"/>
    </row>
    <row r="359" spans="1:14" x14ac:dyDescent="0.25">
      <c r="A359" s="753"/>
      <c r="C359" s="452" t="s">
        <v>173</v>
      </c>
      <c r="D359" s="449">
        <f t="shared" si="32"/>
        <v>45897</v>
      </c>
      <c r="E359" s="454" t="s">
        <v>163</v>
      </c>
      <c r="F359" s="505" t="s">
        <v>481</v>
      </c>
      <c r="G359" s="505" t="s">
        <v>462</v>
      </c>
      <c r="H359" s="516"/>
      <c r="I359" s="516"/>
      <c r="J359" s="516"/>
      <c r="K359" s="516"/>
      <c r="L359" s="557"/>
      <c r="M359" s="557"/>
      <c r="N359" s="557"/>
    </row>
    <row r="360" spans="1:14" x14ac:dyDescent="0.25">
      <c r="A360" s="753"/>
      <c r="C360" s="452" t="s">
        <v>173</v>
      </c>
      <c r="D360" s="449">
        <f t="shared" si="32"/>
        <v>45897</v>
      </c>
      <c r="E360" s="454" t="s">
        <v>164</v>
      </c>
      <c r="F360" s="505" t="s">
        <v>481</v>
      </c>
      <c r="G360" s="505" t="s">
        <v>462</v>
      </c>
      <c r="H360" s="516"/>
      <c r="I360" s="516"/>
      <c r="J360" s="516"/>
      <c r="K360" s="516"/>
      <c r="L360" s="557"/>
      <c r="M360" s="557"/>
      <c r="N360" s="557"/>
    </row>
    <row r="361" spans="1:14" x14ac:dyDescent="0.25">
      <c r="A361" s="753"/>
      <c r="C361" s="452" t="s">
        <v>173</v>
      </c>
      <c r="D361" s="449">
        <f t="shared" si="32"/>
        <v>45897</v>
      </c>
      <c r="E361" s="455" t="s">
        <v>165</v>
      </c>
      <c r="F361" s="505" t="s">
        <v>481</v>
      </c>
      <c r="G361" s="505" t="s">
        <v>462</v>
      </c>
      <c r="H361" s="516"/>
      <c r="I361" s="516"/>
      <c r="J361" s="516"/>
      <c r="K361" s="516"/>
      <c r="L361" s="557"/>
      <c r="M361" s="557"/>
      <c r="N361" s="557"/>
    </row>
    <row r="362" spans="1:14" x14ac:dyDescent="0.25">
      <c r="A362" s="753"/>
      <c r="C362" s="452" t="s">
        <v>173</v>
      </c>
      <c r="D362" s="449">
        <f t="shared" si="32"/>
        <v>45897</v>
      </c>
      <c r="E362" s="455" t="s">
        <v>166</v>
      </c>
      <c r="F362" s="506" t="s">
        <v>481</v>
      </c>
      <c r="G362" s="506" t="s">
        <v>578</v>
      </c>
      <c r="H362" s="516"/>
      <c r="I362" s="516"/>
      <c r="J362" s="516"/>
      <c r="K362" s="516"/>
      <c r="L362" s="557"/>
      <c r="M362" s="557"/>
      <c r="N362" s="557"/>
    </row>
    <row r="363" spans="1:14" x14ac:dyDescent="0.25">
      <c r="A363" s="753"/>
      <c r="C363" s="452" t="s">
        <v>173</v>
      </c>
      <c r="D363" s="502">
        <f t="shared" si="32"/>
        <v>45897</v>
      </c>
      <c r="E363" s="503" t="s">
        <v>576</v>
      </c>
      <c r="F363" s="506" t="s">
        <v>145</v>
      </c>
      <c r="G363" s="506" t="s">
        <v>145</v>
      </c>
      <c r="H363" s="516"/>
      <c r="I363" s="516"/>
      <c r="J363" s="516"/>
      <c r="K363" s="516"/>
      <c r="L363" s="557"/>
      <c r="M363" s="557"/>
      <c r="N363" s="557"/>
    </row>
    <row r="364" spans="1:14" ht="15.75" thickBot="1" x14ac:dyDescent="0.3">
      <c r="A364" s="753"/>
      <c r="C364" s="530" t="s">
        <v>173</v>
      </c>
      <c r="D364" s="451">
        <f t="shared" si="32"/>
        <v>45897</v>
      </c>
      <c r="E364" s="459" t="s">
        <v>167</v>
      </c>
      <c r="F364" s="493" t="s">
        <v>486</v>
      </c>
      <c r="G364" s="493" t="s">
        <v>650</v>
      </c>
      <c r="H364" s="513"/>
      <c r="I364" s="513"/>
      <c r="J364" s="513"/>
      <c r="K364" s="513"/>
      <c r="L364" s="558"/>
      <c r="M364" s="558"/>
      <c r="N364" s="558"/>
    </row>
    <row r="365" spans="1:14" x14ac:dyDescent="0.25">
      <c r="C365" t="s">
        <v>173</v>
      </c>
      <c r="D365">
        <f t="shared" si="32"/>
        <v>45897</v>
      </c>
      <c r="E365" t="s">
        <v>168</v>
      </c>
      <c r="F365" t="s">
        <v>486</v>
      </c>
      <c r="G365" t="s">
        <v>650</v>
      </c>
    </row>
    <row r="366" spans="1:14" x14ac:dyDescent="0.25">
      <c r="C366" t="s">
        <v>173</v>
      </c>
      <c r="D366">
        <f t="shared" si="32"/>
        <v>45897</v>
      </c>
      <c r="E366" t="s">
        <v>169</v>
      </c>
      <c r="F366" t="s">
        <v>486</v>
      </c>
      <c r="G366" t="s">
        <v>650</v>
      </c>
    </row>
    <row r="367" spans="1:14" x14ac:dyDescent="0.25">
      <c r="C367" t="s">
        <v>173</v>
      </c>
      <c r="D367">
        <f t="shared" si="32"/>
        <v>45897</v>
      </c>
      <c r="E367" t="s">
        <v>170</v>
      </c>
      <c r="F367" t="s">
        <v>486</v>
      </c>
      <c r="G367" t="s">
        <v>650</v>
      </c>
    </row>
    <row r="368" spans="1:14" x14ac:dyDescent="0.25">
      <c r="C368" t="s">
        <v>173</v>
      </c>
      <c r="D368">
        <f>D366</f>
        <v>45897</v>
      </c>
      <c r="E368" t="s">
        <v>585</v>
      </c>
      <c r="F368" t="s">
        <v>648</v>
      </c>
      <c r="G368" t="s">
        <v>650</v>
      </c>
    </row>
    <row r="369" spans="3:7" x14ac:dyDescent="0.25">
      <c r="C369" t="s">
        <v>173</v>
      </c>
      <c r="D369">
        <f>D367</f>
        <v>45897</v>
      </c>
      <c r="E369" t="s">
        <v>574</v>
      </c>
      <c r="F369" t="s">
        <v>648</v>
      </c>
      <c r="G369" t="s">
        <v>650</v>
      </c>
    </row>
    <row r="370" spans="3:7" x14ac:dyDescent="0.25">
      <c r="C370" t="s">
        <v>173</v>
      </c>
      <c r="D370">
        <f>D369</f>
        <v>45897</v>
      </c>
      <c r="E370" t="s">
        <v>575</v>
      </c>
      <c r="F370" t="s">
        <v>648</v>
      </c>
      <c r="G370" t="s">
        <v>650</v>
      </c>
    </row>
    <row r="371" spans="3:7" x14ac:dyDescent="0.25">
      <c r="C371" t="s">
        <v>173</v>
      </c>
      <c r="D371">
        <f>D370</f>
        <v>45897</v>
      </c>
      <c r="E371" t="s">
        <v>583</v>
      </c>
      <c r="F371" t="s">
        <v>648</v>
      </c>
      <c r="G371" t="s">
        <v>650</v>
      </c>
    </row>
    <row r="372" spans="3:7" x14ac:dyDescent="0.25">
      <c r="C372" t="s">
        <v>173</v>
      </c>
      <c r="D372">
        <f>D369</f>
        <v>45897</v>
      </c>
      <c r="E372" t="s">
        <v>584</v>
      </c>
      <c r="F372" t="s">
        <v>648</v>
      </c>
      <c r="G372" t="s">
        <v>650</v>
      </c>
    </row>
    <row r="374" spans="3:7" x14ac:dyDescent="0.25">
      <c r="C374" t="s">
        <v>174</v>
      </c>
      <c r="D374">
        <f>D372+1</f>
        <v>45898</v>
      </c>
      <c r="E374" t="s">
        <v>573</v>
      </c>
      <c r="F374" t="s">
        <v>648</v>
      </c>
      <c r="G374" t="s">
        <v>650</v>
      </c>
    </row>
    <row r="375" spans="3:7" x14ac:dyDescent="0.25">
      <c r="C375" t="s">
        <v>174</v>
      </c>
      <c r="D375">
        <f t="shared" ref="D375:D384" si="33">D374</f>
        <v>45898</v>
      </c>
      <c r="E375" t="s">
        <v>162</v>
      </c>
      <c r="F375" t="s">
        <v>648</v>
      </c>
      <c r="G375" t="s">
        <v>650</v>
      </c>
    </row>
    <row r="376" spans="3:7" x14ac:dyDescent="0.25">
      <c r="C376" t="s">
        <v>174</v>
      </c>
      <c r="D376">
        <f t="shared" si="33"/>
        <v>45898</v>
      </c>
      <c r="E376" t="s">
        <v>163</v>
      </c>
      <c r="F376" t="s">
        <v>648</v>
      </c>
      <c r="G376" t="s">
        <v>650</v>
      </c>
    </row>
    <row r="377" spans="3:7" x14ac:dyDescent="0.25">
      <c r="C377" t="s">
        <v>174</v>
      </c>
      <c r="D377">
        <f t="shared" si="33"/>
        <v>45898</v>
      </c>
      <c r="E377" t="s">
        <v>164</v>
      </c>
      <c r="F377" t="s">
        <v>648</v>
      </c>
      <c r="G377" t="s">
        <v>650</v>
      </c>
    </row>
    <row r="378" spans="3:7" x14ac:dyDescent="0.25">
      <c r="C378" t="s">
        <v>174</v>
      </c>
      <c r="D378">
        <f t="shared" si="33"/>
        <v>45898</v>
      </c>
      <c r="E378" t="s">
        <v>165</v>
      </c>
      <c r="F378" t="s">
        <v>648</v>
      </c>
      <c r="G378" t="s">
        <v>650</v>
      </c>
    </row>
    <row r="379" spans="3:7" x14ac:dyDescent="0.25">
      <c r="C379" t="s">
        <v>174</v>
      </c>
      <c r="D379">
        <f t="shared" si="33"/>
        <v>45898</v>
      </c>
      <c r="E379" t="s">
        <v>166</v>
      </c>
      <c r="F379" t="s">
        <v>648</v>
      </c>
      <c r="G379" t="s">
        <v>650</v>
      </c>
    </row>
    <row r="380" spans="3:7" x14ac:dyDescent="0.25">
      <c r="C380" t="s">
        <v>174</v>
      </c>
      <c r="D380">
        <f t="shared" si="33"/>
        <v>45898</v>
      </c>
      <c r="E380" t="s">
        <v>576</v>
      </c>
      <c r="F380" t="s">
        <v>145</v>
      </c>
      <c r="G380" t="s">
        <v>650</v>
      </c>
    </row>
    <row r="381" spans="3:7" x14ac:dyDescent="0.25">
      <c r="C381" t="s">
        <v>174</v>
      </c>
      <c r="D381">
        <f t="shared" si="33"/>
        <v>45898</v>
      </c>
      <c r="E381" t="s">
        <v>167</v>
      </c>
      <c r="F381" t="s">
        <v>648</v>
      </c>
      <c r="G381" t="s">
        <v>650</v>
      </c>
    </row>
    <row r="382" spans="3:7" x14ac:dyDescent="0.25">
      <c r="C382" t="s">
        <v>174</v>
      </c>
      <c r="D382">
        <f t="shared" si="33"/>
        <v>45898</v>
      </c>
      <c r="E382" t="s">
        <v>168</v>
      </c>
      <c r="F382" t="s">
        <v>648</v>
      </c>
      <c r="G382" t="s">
        <v>650</v>
      </c>
    </row>
    <row r="383" spans="3:7" x14ac:dyDescent="0.25">
      <c r="C383" t="s">
        <v>174</v>
      </c>
      <c r="D383">
        <f t="shared" si="33"/>
        <v>45898</v>
      </c>
      <c r="E383" t="s">
        <v>169</v>
      </c>
      <c r="F383" t="s">
        <v>648</v>
      </c>
      <c r="G383" t="s">
        <v>650</v>
      </c>
    </row>
    <row r="384" spans="3:7" x14ac:dyDescent="0.25">
      <c r="C384" t="s">
        <v>174</v>
      </c>
      <c r="D384">
        <f t="shared" si="33"/>
        <v>45898</v>
      </c>
      <c r="E384" t="s">
        <v>170</v>
      </c>
      <c r="F384" t="s">
        <v>648</v>
      </c>
      <c r="G384" t="s">
        <v>650</v>
      </c>
    </row>
    <row r="385" spans="1:18" x14ac:dyDescent="0.25">
      <c r="C385" t="s">
        <v>174</v>
      </c>
      <c r="D385">
        <f>D383</f>
        <v>45898</v>
      </c>
      <c r="E385" t="s">
        <v>585</v>
      </c>
      <c r="F385" t="s">
        <v>648</v>
      </c>
      <c r="G385" t="s">
        <v>650</v>
      </c>
    </row>
    <row r="386" spans="1:18" x14ac:dyDescent="0.25">
      <c r="C386" t="s">
        <v>174</v>
      </c>
      <c r="D386">
        <f>D384</f>
        <v>45898</v>
      </c>
      <c r="E386" t="s">
        <v>574</v>
      </c>
      <c r="F386" t="s">
        <v>648</v>
      </c>
      <c r="G386" t="s">
        <v>650</v>
      </c>
    </row>
    <row r="387" spans="1:18" x14ac:dyDescent="0.25">
      <c r="C387" t="s">
        <v>174</v>
      </c>
      <c r="D387">
        <v>45898</v>
      </c>
      <c r="E387" t="s">
        <v>575</v>
      </c>
      <c r="F387" t="s">
        <v>648</v>
      </c>
      <c r="G387" t="s">
        <v>650</v>
      </c>
    </row>
    <row r="388" spans="1:18" x14ac:dyDescent="0.25">
      <c r="C388" t="s">
        <v>174</v>
      </c>
      <c r="D388">
        <v>45898</v>
      </c>
      <c r="E388" t="s">
        <v>583</v>
      </c>
      <c r="F388" t="s">
        <v>648</v>
      </c>
      <c r="G388" t="s">
        <v>650</v>
      </c>
    </row>
    <row r="389" spans="1:18" x14ac:dyDescent="0.25">
      <c r="C389" t="s">
        <v>174</v>
      </c>
      <c r="D389">
        <f>D386</f>
        <v>45898</v>
      </c>
      <c r="E389" t="s">
        <v>584</v>
      </c>
      <c r="F389" t="s">
        <v>648</v>
      </c>
      <c r="G389" t="s">
        <v>650</v>
      </c>
    </row>
    <row r="390" spans="1:18" ht="15.75" thickBot="1" x14ac:dyDescent="0.3"/>
    <row r="391" spans="1:18" ht="15" customHeight="1" thickBot="1" x14ac:dyDescent="0.3">
      <c r="A391" s="753" t="s">
        <v>534</v>
      </c>
      <c r="C391" s="538" t="s">
        <v>161</v>
      </c>
      <c r="D391" s="539">
        <f>D389+3</f>
        <v>45901</v>
      </c>
      <c r="E391" s="539" t="s">
        <v>573</v>
      </c>
      <c r="F391" s="539" t="s">
        <v>648</v>
      </c>
      <c r="G391" s="539" t="s">
        <v>650</v>
      </c>
      <c r="H391" s="539"/>
      <c r="I391" s="543"/>
      <c r="J391" s="542"/>
      <c r="K391" s="544"/>
      <c r="L391" s="560"/>
      <c r="M391" s="561"/>
      <c r="N391" s="562"/>
      <c r="O391" s="548"/>
      <c r="P391" s="549"/>
      <c r="Q391" s="3"/>
      <c r="R391" s="3"/>
    </row>
    <row r="392" spans="1:18" x14ac:dyDescent="0.25">
      <c r="A392" s="753"/>
      <c r="C392" s="496" t="s">
        <v>161</v>
      </c>
      <c r="D392" s="507">
        <f t="shared" ref="D392:D405" si="34">D391</f>
        <v>45901</v>
      </c>
      <c r="E392" s="498" t="s">
        <v>162</v>
      </c>
      <c r="F392" s="514" t="s">
        <v>648</v>
      </c>
      <c r="G392" s="514" t="s">
        <v>650</v>
      </c>
      <c r="H392" s="515"/>
      <c r="I392" s="537"/>
      <c r="J392" s="537"/>
      <c r="K392" s="537"/>
      <c r="L392" s="563"/>
      <c r="M392" s="563"/>
      <c r="N392" s="563"/>
    </row>
    <row r="393" spans="1:18" x14ac:dyDescent="0.25">
      <c r="A393" s="753"/>
      <c r="C393" s="525" t="s">
        <v>161</v>
      </c>
      <c r="D393" s="499">
        <f t="shared" si="34"/>
        <v>45901</v>
      </c>
      <c r="E393" s="500" t="s">
        <v>163</v>
      </c>
      <c r="F393" s="460" t="s">
        <v>648</v>
      </c>
      <c r="G393" s="460" t="s">
        <v>650</v>
      </c>
      <c r="H393" s="460"/>
      <c r="I393" s="540"/>
      <c r="J393" s="540"/>
      <c r="K393" s="540"/>
      <c r="L393" s="555"/>
      <c r="M393" s="555"/>
      <c r="N393" s="555"/>
    </row>
    <row r="394" spans="1:18" x14ac:dyDescent="0.25">
      <c r="A394" s="753"/>
      <c r="C394" s="526" t="s">
        <v>161</v>
      </c>
      <c r="D394" s="449">
        <f t="shared" si="34"/>
        <v>45901</v>
      </c>
      <c r="E394" s="454" t="s">
        <v>164</v>
      </c>
      <c r="F394" s="460" t="s">
        <v>648</v>
      </c>
      <c r="G394" s="460" t="s">
        <v>650</v>
      </c>
      <c r="H394" s="460"/>
      <c r="I394" s="540"/>
      <c r="J394" s="540"/>
      <c r="K394" s="540"/>
      <c r="L394" s="564"/>
      <c r="M394" s="564"/>
      <c r="N394" s="564"/>
    </row>
    <row r="395" spans="1:18" x14ac:dyDescent="0.25">
      <c r="A395" s="753"/>
      <c r="C395" s="526" t="s">
        <v>161</v>
      </c>
      <c r="D395" s="449">
        <f t="shared" si="34"/>
        <v>45901</v>
      </c>
      <c r="E395" s="454" t="s">
        <v>165</v>
      </c>
      <c r="F395" s="460" t="s">
        <v>648</v>
      </c>
      <c r="G395" s="460" t="s">
        <v>651</v>
      </c>
      <c r="H395" s="460"/>
      <c r="I395" s="540"/>
      <c r="J395" s="540"/>
      <c r="K395" s="540"/>
      <c r="L395" s="564"/>
      <c r="M395" s="564"/>
      <c r="N395" s="564"/>
    </row>
    <row r="396" spans="1:18" x14ac:dyDescent="0.25">
      <c r="A396" s="753"/>
      <c r="C396" s="526" t="s">
        <v>161</v>
      </c>
      <c r="D396" s="449">
        <f t="shared" si="34"/>
        <v>45901</v>
      </c>
      <c r="E396" s="454" t="s">
        <v>166</v>
      </c>
      <c r="F396" s="460" t="s">
        <v>483</v>
      </c>
      <c r="G396" s="460" t="s">
        <v>651</v>
      </c>
      <c r="H396" s="460"/>
      <c r="I396" s="540"/>
      <c r="J396" s="540"/>
      <c r="K396" s="540"/>
      <c r="L396" s="564"/>
      <c r="M396" s="564"/>
      <c r="N396" s="564"/>
    </row>
    <row r="397" spans="1:18" x14ac:dyDescent="0.25">
      <c r="A397" s="753"/>
      <c r="C397" s="526" t="s">
        <v>161</v>
      </c>
      <c r="D397" s="449">
        <f t="shared" si="34"/>
        <v>45901</v>
      </c>
      <c r="E397" s="454" t="s">
        <v>576</v>
      </c>
      <c r="F397" s="460" t="s">
        <v>145</v>
      </c>
      <c r="G397" s="460" t="s">
        <v>651</v>
      </c>
      <c r="H397" s="460"/>
      <c r="I397" s="540"/>
      <c r="J397" s="540"/>
      <c r="K397" s="540"/>
      <c r="L397" s="564"/>
      <c r="M397" s="564"/>
      <c r="N397" s="564"/>
    </row>
    <row r="398" spans="1:18" x14ac:dyDescent="0.25">
      <c r="A398" s="753"/>
      <c r="C398" s="526" t="s">
        <v>161</v>
      </c>
      <c r="D398" s="449">
        <f t="shared" si="34"/>
        <v>45901</v>
      </c>
      <c r="E398" s="454" t="s">
        <v>167</v>
      </c>
      <c r="F398" s="512" t="s">
        <v>483</v>
      </c>
      <c r="G398" s="512" t="s">
        <v>651</v>
      </c>
      <c r="H398" s="505"/>
      <c r="I398" s="554"/>
      <c r="J398" s="541"/>
      <c r="K398" s="541"/>
      <c r="L398" s="556"/>
      <c r="M398" s="556"/>
      <c r="N398" s="556"/>
    </row>
    <row r="399" spans="1:18" x14ac:dyDescent="0.25">
      <c r="A399" s="753"/>
      <c r="C399" s="527" t="s">
        <v>161</v>
      </c>
      <c r="D399" s="449">
        <f t="shared" si="34"/>
        <v>45901</v>
      </c>
      <c r="E399" s="454" t="s">
        <v>168</v>
      </c>
      <c r="F399" s="460" t="s">
        <v>483</v>
      </c>
      <c r="G399" s="460" t="s">
        <v>651</v>
      </c>
      <c r="H399" s="460"/>
      <c r="I399" s="540"/>
      <c r="J399" s="540"/>
      <c r="K399" s="540"/>
      <c r="L399" s="565"/>
      <c r="M399" s="565"/>
      <c r="N399" s="565"/>
    </row>
    <row r="400" spans="1:18" x14ac:dyDescent="0.25">
      <c r="A400" s="753"/>
      <c r="C400" s="527" t="s">
        <v>161</v>
      </c>
      <c r="D400" s="449">
        <f t="shared" si="34"/>
        <v>45901</v>
      </c>
      <c r="E400" s="454" t="s">
        <v>169</v>
      </c>
      <c r="F400" s="460" t="s">
        <v>483</v>
      </c>
      <c r="G400" s="460" t="s">
        <v>651</v>
      </c>
      <c r="H400" s="461"/>
      <c r="I400" s="540"/>
      <c r="J400" s="540"/>
      <c r="K400" s="540"/>
      <c r="L400" s="565"/>
      <c r="M400" s="565"/>
      <c r="N400" s="565"/>
    </row>
    <row r="401" spans="1:18" x14ac:dyDescent="0.25">
      <c r="A401" s="753"/>
      <c r="C401" s="527" t="s">
        <v>161</v>
      </c>
      <c r="D401" s="449">
        <f t="shared" si="34"/>
        <v>45901</v>
      </c>
      <c r="E401" s="454" t="s">
        <v>170</v>
      </c>
      <c r="F401" s="460" t="s">
        <v>483</v>
      </c>
      <c r="G401" s="460" t="s">
        <v>651</v>
      </c>
      <c r="H401" s="461"/>
      <c r="I401" s="540"/>
      <c r="J401" s="540"/>
      <c r="K401" s="540"/>
      <c r="L401" s="565"/>
      <c r="M401" s="565"/>
      <c r="N401" s="565"/>
    </row>
    <row r="402" spans="1:18" x14ac:dyDescent="0.25">
      <c r="A402" s="753"/>
      <c r="C402" s="527" t="s">
        <v>161</v>
      </c>
      <c r="D402" s="449">
        <f t="shared" si="34"/>
        <v>45901</v>
      </c>
      <c r="E402" s="454" t="s">
        <v>585</v>
      </c>
      <c r="F402" s="460" t="s">
        <v>483</v>
      </c>
      <c r="G402" s="460" t="s">
        <v>651</v>
      </c>
      <c r="H402" s="504"/>
      <c r="I402" s="540"/>
      <c r="J402" s="540"/>
      <c r="K402" s="540"/>
      <c r="L402" s="566"/>
      <c r="M402" s="566"/>
      <c r="N402" s="566"/>
    </row>
    <row r="403" spans="1:18" x14ac:dyDescent="0.25">
      <c r="A403" s="753"/>
      <c r="C403" s="527" t="s">
        <v>161</v>
      </c>
      <c r="D403" s="449">
        <f t="shared" si="34"/>
        <v>45901</v>
      </c>
      <c r="E403" s="454" t="s">
        <v>574</v>
      </c>
      <c r="F403" s="505" t="s">
        <v>483</v>
      </c>
      <c r="G403" s="516" t="s">
        <v>651</v>
      </c>
      <c r="H403" s="516"/>
      <c r="I403" s="516"/>
      <c r="J403" s="516"/>
      <c r="K403" s="516"/>
      <c r="L403" s="557"/>
      <c r="M403" s="557"/>
      <c r="N403" s="557"/>
    </row>
    <row r="404" spans="1:18" x14ac:dyDescent="0.25">
      <c r="A404" s="753"/>
      <c r="C404" s="527" t="s">
        <v>161</v>
      </c>
      <c r="D404" s="449">
        <f t="shared" si="34"/>
        <v>45901</v>
      </c>
      <c r="E404" s="455" t="s">
        <v>575</v>
      </c>
      <c r="F404" s="505" t="s">
        <v>483</v>
      </c>
      <c r="G404" s="516" t="s">
        <v>651</v>
      </c>
      <c r="H404" s="516"/>
      <c r="I404" s="516"/>
      <c r="J404" s="516"/>
      <c r="K404" s="516"/>
      <c r="L404" s="557"/>
      <c r="M404" s="557"/>
      <c r="N404" s="557"/>
    </row>
    <row r="405" spans="1:18" x14ac:dyDescent="0.25">
      <c r="A405" s="753"/>
      <c r="C405" s="527" t="s">
        <v>161</v>
      </c>
      <c r="D405" s="449">
        <f t="shared" si="34"/>
        <v>45901</v>
      </c>
      <c r="E405" s="455" t="s">
        <v>583</v>
      </c>
      <c r="F405" s="506" t="s">
        <v>483</v>
      </c>
      <c r="G405" s="506" t="s">
        <v>651</v>
      </c>
      <c r="H405" s="516"/>
      <c r="I405" s="516"/>
      <c r="J405" s="516"/>
      <c r="K405" s="516"/>
      <c r="L405" s="557"/>
      <c r="M405" s="557"/>
      <c r="N405" s="557"/>
    </row>
    <row r="406" spans="1:18" x14ac:dyDescent="0.25">
      <c r="A406" s="753"/>
      <c r="C406" s="527" t="s">
        <v>161</v>
      </c>
      <c r="D406" s="449">
        <f>D402</f>
        <v>45901</v>
      </c>
      <c r="E406" s="503" t="s">
        <v>584</v>
      </c>
      <c r="F406" s="506" t="s">
        <v>483</v>
      </c>
      <c r="G406" s="506" t="s">
        <v>651</v>
      </c>
      <c r="H406" s="516"/>
      <c r="I406" s="516"/>
      <c r="J406" s="516"/>
      <c r="K406" s="516"/>
      <c r="L406" s="557"/>
      <c r="M406" s="557"/>
      <c r="N406" s="557"/>
    </row>
    <row r="407" spans="1:18" ht="15.75" thickBot="1" x14ac:dyDescent="0.3">
      <c r="A407" s="753"/>
      <c r="C407" s="528"/>
      <c r="D407" s="451"/>
      <c r="E407" s="459"/>
      <c r="F407" s="493"/>
      <c r="G407" s="493"/>
      <c r="H407" s="513"/>
      <c r="I407" s="513"/>
      <c r="J407" s="513"/>
      <c r="K407" s="513"/>
      <c r="L407" s="558"/>
      <c r="M407" s="558"/>
      <c r="N407" s="558"/>
    </row>
    <row r="408" spans="1:18" ht="4.5" customHeight="1" thickBot="1" x14ac:dyDescent="0.3">
      <c r="A408" s="753"/>
      <c r="C408" t="s">
        <v>171</v>
      </c>
      <c r="D408">
        <f>D406+1</f>
        <v>45902</v>
      </c>
      <c r="E408" t="s">
        <v>573</v>
      </c>
      <c r="F408" t="s">
        <v>483</v>
      </c>
      <c r="G408" t="s">
        <v>651</v>
      </c>
      <c r="L408" s="559"/>
      <c r="M408" s="559"/>
      <c r="N408" s="559"/>
      <c r="Q408" s="3"/>
      <c r="R408" s="3"/>
    </row>
    <row r="409" spans="1:18" ht="15" customHeight="1" thickBot="1" x14ac:dyDescent="0.3">
      <c r="A409" s="753"/>
      <c r="C409" s="538" t="s">
        <v>171</v>
      </c>
      <c r="D409" s="539">
        <f t="shared" ref="D409:D422" si="35">D408</f>
        <v>45902</v>
      </c>
      <c r="E409" s="539" t="s">
        <v>162</v>
      </c>
      <c r="F409" s="539" t="s">
        <v>483</v>
      </c>
      <c r="G409" s="539" t="s">
        <v>651</v>
      </c>
      <c r="H409" s="539"/>
      <c r="I409" s="543"/>
      <c r="J409" s="542"/>
      <c r="K409" s="544"/>
      <c r="L409" s="560"/>
      <c r="M409" s="561"/>
      <c r="N409" s="562"/>
      <c r="O409" s="548"/>
      <c r="P409" s="549"/>
      <c r="Q409" s="3"/>
      <c r="R409" s="3"/>
    </row>
    <row r="410" spans="1:18" x14ac:dyDescent="0.25">
      <c r="A410" s="753"/>
      <c r="C410" s="446" t="s">
        <v>171</v>
      </c>
      <c r="D410" s="497">
        <f t="shared" si="35"/>
        <v>45902</v>
      </c>
      <c r="E410" s="498" t="s">
        <v>163</v>
      </c>
      <c r="F410" s="514" t="s">
        <v>483</v>
      </c>
      <c r="G410" s="514" t="s">
        <v>651</v>
      </c>
      <c r="H410" s="515"/>
      <c r="I410" s="537"/>
      <c r="J410" s="537"/>
      <c r="K410" s="537"/>
      <c r="L410" s="563"/>
      <c r="M410" s="563"/>
      <c r="N410" s="563"/>
    </row>
    <row r="411" spans="1:18" x14ac:dyDescent="0.25">
      <c r="A411" s="753"/>
      <c r="C411" s="452" t="s">
        <v>171</v>
      </c>
      <c r="D411" s="499">
        <f t="shared" si="35"/>
        <v>45902</v>
      </c>
      <c r="E411" s="500" t="s">
        <v>164</v>
      </c>
      <c r="F411" s="460" t="s">
        <v>483</v>
      </c>
      <c r="G411" s="460" t="s">
        <v>651</v>
      </c>
      <c r="H411" s="501"/>
      <c r="I411" s="540"/>
      <c r="J411" s="540"/>
      <c r="K411" s="540"/>
      <c r="L411" s="555"/>
      <c r="M411" s="555"/>
      <c r="N411" s="555"/>
    </row>
    <row r="412" spans="1:18" x14ac:dyDescent="0.25">
      <c r="A412" s="753"/>
      <c r="C412" s="452" t="s">
        <v>171</v>
      </c>
      <c r="D412" s="449">
        <f t="shared" si="35"/>
        <v>45902</v>
      </c>
      <c r="E412" s="454" t="s">
        <v>165</v>
      </c>
      <c r="F412" s="460" t="s">
        <v>483</v>
      </c>
      <c r="G412" s="460" t="s">
        <v>651</v>
      </c>
      <c r="H412" s="460"/>
      <c r="I412" s="540"/>
      <c r="J412" s="540"/>
      <c r="K412" s="540"/>
      <c r="L412" s="564"/>
      <c r="M412" s="564"/>
      <c r="N412" s="564"/>
    </row>
    <row r="413" spans="1:18" x14ac:dyDescent="0.25">
      <c r="A413" s="753"/>
      <c r="C413" s="452" t="s">
        <v>171</v>
      </c>
      <c r="D413" s="449">
        <f t="shared" si="35"/>
        <v>45902</v>
      </c>
      <c r="E413" s="454" t="s">
        <v>166</v>
      </c>
      <c r="F413" s="460" t="s">
        <v>483</v>
      </c>
      <c r="G413" s="460" t="s">
        <v>651</v>
      </c>
      <c r="H413" s="460"/>
      <c r="I413" s="540"/>
      <c r="J413" s="540"/>
      <c r="K413" s="540"/>
      <c r="L413" s="564"/>
      <c r="M413" s="564"/>
      <c r="N413" s="564"/>
    </row>
    <row r="414" spans="1:18" x14ac:dyDescent="0.25">
      <c r="A414" s="753"/>
      <c r="C414" s="452" t="s">
        <v>171</v>
      </c>
      <c r="D414" s="449">
        <f t="shared" si="35"/>
        <v>45902</v>
      </c>
      <c r="E414" s="454" t="s">
        <v>576</v>
      </c>
      <c r="F414" s="460" t="s">
        <v>145</v>
      </c>
      <c r="G414" s="460" t="s">
        <v>651</v>
      </c>
      <c r="H414" s="460"/>
      <c r="I414" s="540"/>
      <c r="J414" s="540"/>
      <c r="K414" s="540"/>
      <c r="L414" s="564"/>
      <c r="M414" s="564"/>
      <c r="N414" s="564"/>
    </row>
    <row r="415" spans="1:18" x14ac:dyDescent="0.25">
      <c r="A415" s="753"/>
      <c r="C415" s="452" t="s">
        <v>171</v>
      </c>
      <c r="D415" s="449">
        <f t="shared" si="35"/>
        <v>45902</v>
      </c>
      <c r="E415" s="454" t="s">
        <v>167</v>
      </c>
      <c r="F415" s="460" t="s">
        <v>483</v>
      </c>
      <c r="G415" s="460" t="s">
        <v>651</v>
      </c>
      <c r="H415" s="460"/>
      <c r="I415" s="540"/>
      <c r="J415" s="540"/>
      <c r="K415" s="540"/>
      <c r="L415" s="564"/>
      <c r="M415" s="564"/>
      <c r="N415" s="564"/>
    </row>
    <row r="416" spans="1:18" x14ac:dyDescent="0.25">
      <c r="A416" s="753"/>
      <c r="C416" s="452" t="s">
        <v>171</v>
      </c>
      <c r="D416" s="449">
        <f t="shared" si="35"/>
        <v>45902</v>
      </c>
      <c r="E416" s="454" t="s">
        <v>168</v>
      </c>
      <c r="F416" s="517" t="s">
        <v>483</v>
      </c>
      <c r="G416" s="512" t="s">
        <v>652</v>
      </c>
      <c r="H416" s="505"/>
      <c r="I416" s="554"/>
      <c r="J416" s="541"/>
      <c r="K416" s="541"/>
      <c r="L416" s="556"/>
      <c r="M416" s="556"/>
      <c r="N416" s="556"/>
    </row>
    <row r="417" spans="1:18" x14ac:dyDescent="0.25">
      <c r="A417" s="753"/>
      <c r="C417" s="452" t="s">
        <v>171</v>
      </c>
      <c r="D417" s="449">
        <f t="shared" si="35"/>
        <v>45902</v>
      </c>
      <c r="E417" s="454" t="s">
        <v>169</v>
      </c>
      <c r="F417" s="460" t="s">
        <v>483</v>
      </c>
      <c r="G417" s="460" t="s">
        <v>652</v>
      </c>
      <c r="H417" s="461"/>
      <c r="I417" s="540"/>
      <c r="J417" s="540"/>
      <c r="K417" s="540"/>
      <c r="L417" s="565"/>
      <c r="M417" s="565"/>
      <c r="N417" s="565"/>
    </row>
    <row r="418" spans="1:18" x14ac:dyDescent="0.25">
      <c r="A418" s="753"/>
      <c r="C418" s="452" t="s">
        <v>171</v>
      </c>
      <c r="D418" s="449">
        <f t="shared" si="35"/>
        <v>45902</v>
      </c>
      <c r="E418" s="454" t="s">
        <v>170</v>
      </c>
      <c r="F418" s="460" t="s">
        <v>483</v>
      </c>
      <c r="G418" s="460" t="s">
        <v>652</v>
      </c>
      <c r="H418" s="461"/>
      <c r="I418" s="540"/>
      <c r="J418" s="540"/>
      <c r="K418" s="540"/>
      <c r="L418" s="565"/>
      <c r="M418" s="565"/>
      <c r="N418" s="565"/>
    </row>
    <row r="419" spans="1:18" x14ac:dyDescent="0.25">
      <c r="A419" s="753"/>
      <c r="C419" s="452" t="s">
        <v>171</v>
      </c>
      <c r="D419" s="449">
        <f t="shared" si="35"/>
        <v>45902</v>
      </c>
      <c r="E419" s="454" t="s">
        <v>585</v>
      </c>
      <c r="F419" s="460" t="s">
        <v>145</v>
      </c>
      <c r="G419" s="460" t="s">
        <v>652</v>
      </c>
      <c r="H419" s="461"/>
      <c r="I419" s="540"/>
      <c r="J419" s="540"/>
      <c r="K419" s="540"/>
      <c r="L419" s="565"/>
      <c r="M419" s="565"/>
      <c r="N419" s="565"/>
    </row>
    <row r="420" spans="1:18" x14ac:dyDescent="0.25">
      <c r="A420" s="753"/>
      <c r="C420" s="452" t="s">
        <v>171</v>
      </c>
      <c r="D420" s="449">
        <f t="shared" si="35"/>
        <v>45902</v>
      </c>
      <c r="E420" s="454" t="s">
        <v>574</v>
      </c>
      <c r="F420" s="460" t="s">
        <v>145</v>
      </c>
      <c r="G420" s="460" t="s">
        <v>652</v>
      </c>
      <c r="H420" s="504"/>
      <c r="I420" s="540"/>
      <c r="J420" s="540"/>
      <c r="K420" s="540"/>
      <c r="L420" s="566"/>
      <c r="M420" s="566"/>
      <c r="N420" s="566"/>
    </row>
    <row r="421" spans="1:18" x14ac:dyDescent="0.25">
      <c r="A421" s="753"/>
      <c r="C421" s="452" t="s">
        <v>171</v>
      </c>
      <c r="D421" s="449">
        <f t="shared" si="35"/>
        <v>45902</v>
      </c>
      <c r="E421" s="454" t="s">
        <v>575</v>
      </c>
      <c r="F421" s="505" t="s">
        <v>145</v>
      </c>
      <c r="G421" s="505" t="s">
        <v>652</v>
      </c>
      <c r="H421" s="516"/>
      <c r="I421" s="516"/>
      <c r="J421" s="516"/>
      <c r="K421" s="516"/>
      <c r="L421" s="557"/>
      <c r="M421" s="557"/>
      <c r="N421" s="557"/>
    </row>
    <row r="422" spans="1:18" x14ac:dyDescent="0.25">
      <c r="A422" s="753"/>
      <c r="C422" s="448" t="s">
        <v>171</v>
      </c>
      <c r="D422" s="449">
        <f t="shared" si="35"/>
        <v>45902</v>
      </c>
      <c r="E422" s="455" t="s">
        <v>583</v>
      </c>
      <c r="F422" s="505" t="s">
        <v>145</v>
      </c>
      <c r="G422" s="505" t="s">
        <v>652</v>
      </c>
      <c r="H422" s="516"/>
      <c r="I422" s="516"/>
      <c r="J422" s="516"/>
      <c r="K422" s="516"/>
      <c r="L422" s="557"/>
      <c r="M422" s="557"/>
      <c r="N422" s="557"/>
    </row>
    <row r="423" spans="1:18" x14ac:dyDescent="0.25">
      <c r="A423" s="753"/>
      <c r="C423" s="448" t="s">
        <v>171</v>
      </c>
      <c r="D423" s="449">
        <f>D419</f>
        <v>45902</v>
      </c>
      <c r="E423" s="455" t="s">
        <v>584</v>
      </c>
      <c r="F423" s="506" t="s">
        <v>145</v>
      </c>
      <c r="G423" s="506" t="s">
        <v>652</v>
      </c>
      <c r="H423" s="516"/>
      <c r="I423" s="516"/>
      <c r="J423" s="516"/>
      <c r="K423" s="516"/>
      <c r="L423" s="557"/>
      <c r="M423" s="557"/>
      <c r="N423" s="557"/>
    </row>
    <row r="424" spans="1:18" x14ac:dyDescent="0.25">
      <c r="A424" s="753"/>
      <c r="C424" s="448"/>
      <c r="D424" s="449"/>
      <c r="E424" s="503"/>
      <c r="F424" s="506"/>
      <c r="G424" s="506"/>
      <c r="H424" s="516"/>
      <c r="I424" s="516"/>
      <c r="J424" s="516"/>
      <c r="K424" s="516"/>
      <c r="L424" s="557"/>
      <c r="M424" s="557"/>
      <c r="N424" s="557"/>
    </row>
    <row r="425" spans="1:18" ht="15.75" thickBot="1" x14ac:dyDescent="0.3">
      <c r="A425" s="753"/>
      <c r="C425" s="450" t="s">
        <v>172</v>
      </c>
      <c r="D425" s="451">
        <f>D423+1</f>
        <v>45903</v>
      </c>
      <c r="E425" s="459" t="s">
        <v>573</v>
      </c>
      <c r="F425" s="493"/>
      <c r="G425" s="493" t="s">
        <v>652</v>
      </c>
      <c r="H425" s="513"/>
      <c r="I425" s="513"/>
      <c r="J425" s="513"/>
      <c r="K425" s="513"/>
      <c r="L425" s="558"/>
      <c r="M425" s="558"/>
      <c r="N425" s="558"/>
    </row>
    <row r="426" spans="1:18" ht="4.5" customHeight="1" thickBot="1" x14ac:dyDescent="0.3">
      <c r="A426" s="753"/>
      <c r="C426" t="s">
        <v>172</v>
      </c>
      <c r="D426">
        <f t="shared" ref="D426:D439" si="36">D425</f>
        <v>45903</v>
      </c>
      <c r="E426" t="s">
        <v>162</v>
      </c>
      <c r="G426" t="s">
        <v>652</v>
      </c>
      <c r="L426" s="559"/>
      <c r="M426" s="559"/>
      <c r="N426" s="559"/>
      <c r="Q426" s="3"/>
      <c r="R426" s="3"/>
    </row>
    <row r="427" spans="1:18" ht="15" customHeight="1" thickBot="1" x14ac:dyDescent="0.3">
      <c r="A427" s="753"/>
      <c r="C427" s="538" t="s">
        <v>172</v>
      </c>
      <c r="D427" s="539">
        <f t="shared" si="36"/>
        <v>45903</v>
      </c>
      <c r="E427" s="539" t="s">
        <v>163</v>
      </c>
      <c r="F427" s="539"/>
      <c r="G427" s="539" t="s">
        <v>652</v>
      </c>
      <c r="H427" s="539"/>
      <c r="I427" s="543"/>
      <c r="J427" s="542"/>
      <c r="K427" s="544"/>
      <c r="L427" s="560"/>
      <c r="M427" s="561"/>
      <c r="N427" s="562"/>
      <c r="O427" s="548"/>
      <c r="P427" s="549"/>
      <c r="Q427" s="3"/>
      <c r="R427" s="3"/>
    </row>
    <row r="428" spans="1:18" x14ac:dyDescent="0.25">
      <c r="A428" s="753"/>
      <c r="C428" s="446" t="s">
        <v>172</v>
      </c>
      <c r="D428" s="497">
        <f t="shared" si="36"/>
        <v>45903</v>
      </c>
      <c r="E428" s="498" t="s">
        <v>164</v>
      </c>
      <c r="F428" s="514"/>
      <c r="G428" s="514" t="s">
        <v>652</v>
      </c>
      <c r="H428" s="515"/>
      <c r="I428" s="537"/>
      <c r="J428" s="537"/>
      <c r="K428" s="537"/>
      <c r="L428" s="563"/>
      <c r="M428" s="563"/>
      <c r="N428" s="563"/>
    </row>
    <row r="429" spans="1:18" x14ac:dyDescent="0.25">
      <c r="A429" s="753"/>
      <c r="C429" s="452" t="s">
        <v>172</v>
      </c>
      <c r="D429" s="499">
        <f t="shared" si="36"/>
        <v>45903</v>
      </c>
      <c r="E429" s="500" t="s">
        <v>165</v>
      </c>
      <c r="F429" s="460"/>
      <c r="G429" s="460" t="s">
        <v>652</v>
      </c>
      <c r="H429" s="501"/>
      <c r="I429" s="540"/>
      <c r="J429" s="540"/>
      <c r="K429" s="540"/>
      <c r="L429" s="555"/>
      <c r="M429" s="555"/>
      <c r="N429" s="555"/>
    </row>
    <row r="430" spans="1:18" x14ac:dyDescent="0.25">
      <c r="A430" s="753"/>
      <c r="C430" s="452" t="s">
        <v>172</v>
      </c>
      <c r="D430" s="449">
        <f t="shared" si="36"/>
        <v>45903</v>
      </c>
      <c r="E430" s="454" t="s">
        <v>166</v>
      </c>
      <c r="F430" s="460"/>
      <c r="G430" s="460" t="s">
        <v>652</v>
      </c>
      <c r="H430" s="460"/>
      <c r="I430" s="540"/>
      <c r="J430" s="540"/>
      <c r="K430" s="540"/>
      <c r="L430" s="564"/>
      <c r="M430" s="564"/>
      <c r="N430" s="564"/>
    </row>
    <row r="431" spans="1:18" x14ac:dyDescent="0.25">
      <c r="A431" s="753"/>
      <c r="C431" s="452" t="s">
        <v>172</v>
      </c>
      <c r="D431" s="449">
        <f t="shared" si="36"/>
        <v>45903</v>
      </c>
      <c r="E431" s="454" t="s">
        <v>576</v>
      </c>
      <c r="F431" s="460"/>
      <c r="G431" s="460" t="s">
        <v>652</v>
      </c>
      <c r="H431" s="460"/>
      <c r="I431" s="540"/>
      <c r="J431" s="540"/>
      <c r="K431" s="540"/>
      <c r="L431" s="564"/>
      <c r="M431" s="564"/>
      <c r="N431" s="564"/>
    </row>
    <row r="432" spans="1:18" x14ac:dyDescent="0.25">
      <c r="A432" s="753"/>
      <c r="C432" s="452" t="s">
        <v>172</v>
      </c>
      <c r="D432" s="449">
        <f t="shared" si="36"/>
        <v>45903</v>
      </c>
      <c r="E432" s="454" t="s">
        <v>167</v>
      </c>
      <c r="F432" s="460"/>
      <c r="G432" s="460" t="s">
        <v>652</v>
      </c>
      <c r="H432" s="460"/>
      <c r="I432" s="540"/>
      <c r="J432" s="540"/>
      <c r="K432" s="540"/>
      <c r="L432" s="564"/>
      <c r="M432" s="564"/>
      <c r="N432" s="564"/>
    </row>
    <row r="433" spans="1:18" x14ac:dyDescent="0.25">
      <c r="A433" s="753"/>
      <c r="C433" s="452" t="s">
        <v>172</v>
      </c>
      <c r="D433" s="449">
        <f t="shared" si="36"/>
        <v>45903</v>
      </c>
      <c r="E433" s="454" t="s">
        <v>168</v>
      </c>
      <c r="F433" s="460"/>
      <c r="G433" s="460" t="s">
        <v>652</v>
      </c>
      <c r="H433" s="460"/>
      <c r="I433" s="540"/>
      <c r="J433" s="540"/>
      <c r="K433" s="540"/>
      <c r="L433" s="564"/>
      <c r="M433" s="564"/>
      <c r="N433" s="564"/>
    </row>
    <row r="434" spans="1:18" x14ac:dyDescent="0.25">
      <c r="A434" s="753"/>
      <c r="C434" s="452" t="s">
        <v>172</v>
      </c>
      <c r="D434" s="449">
        <f t="shared" si="36"/>
        <v>45903</v>
      </c>
      <c r="E434" s="454" t="s">
        <v>169</v>
      </c>
      <c r="F434" s="517"/>
      <c r="G434" s="512" t="s">
        <v>652</v>
      </c>
      <c r="H434" s="505"/>
      <c r="I434" s="541"/>
      <c r="J434" s="541"/>
      <c r="K434" s="541"/>
      <c r="L434" s="556"/>
      <c r="M434" s="556"/>
      <c r="N434" s="556"/>
    </row>
    <row r="435" spans="1:18" x14ac:dyDescent="0.25">
      <c r="A435" s="753"/>
      <c r="C435" s="452" t="s">
        <v>172</v>
      </c>
      <c r="D435" s="449">
        <f t="shared" si="36"/>
        <v>45903</v>
      </c>
      <c r="E435" s="454" t="s">
        <v>170</v>
      </c>
      <c r="F435" s="460"/>
      <c r="G435" s="460" t="s">
        <v>652</v>
      </c>
      <c r="H435" s="461"/>
      <c r="I435" s="540"/>
      <c r="J435" s="540"/>
      <c r="K435" s="540"/>
      <c r="L435" s="565"/>
      <c r="M435" s="565"/>
      <c r="N435" s="565"/>
    </row>
    <row r="436" spans="1:18" x14ac:dyDescent="0.25">
      <c r="A436" s="753"/>
      <c r="C436" s="452" t="s">
        <v>172</v>
      </c>
      <c r="D436" s="449">
        <f t="shared" si="36"/>
        <v>45903</v>
      </c>
      <c r="E436" s="454" t="s">
        <v>585</v>
      </c>
      <c r="F436" s="460"/>
      <c r="G436" s="460" t="s">
        <v>652</v>
      </c>
      <c r="H436" s="461"/>
      <c r="I436" s="540"/>
      <c r="J436" s="540"/>
      <c r="K436" s="540"/>
      <c r="L436" s="565"/>
      <c r="M436" s="565"/>
      <c r="N436" s="565"/>
    </row>
    <row r="437" spans="1:18" x14ac:dyDescent="0.25">
      <c r="A437" s="753"/>
      <c r="C437" s="452" t="s">
        <v>172</v>
      </c>
      <c r="D437" s="449">
        <f t="shared" si="36"/>
        <v>45903</v>
      </c>
      <c r="E437" s="454" t="s">
        <v>574</v>
      </c>
      <c r="F437" s="460"/>
      <c r="G437" s="460" t="s">
        <v>652</v>
      </c>
      <c r="H437" s="461"/>
      <c r="I437" s="540"/>
      <c r="J437" s="540"/>
      <c r="K437" s="540"/>
      <c r="L437" s="565"/>
      <c r="M437" s="565"/>
      <c r="N437" s="565"/>
    </row>
    <row r="438" spans="1:18" x14ac:dyDescent="0.25">
      <c r="A438" s="753"/>
      <c r="C438" s="452" t="s">
        <v>172</v>
      </c>
      <c r="D438" s="449">
        <f t="shared" si="36"/>
        <v>45903</v>
      </c>
      <c r="E438" s="454" t="s">
        <v>575</v>
      </c>
      <c r="F438" s="460"/>
      <c r="G438" s="460" t="s">
        <v>652</v>
      </c>
      <c r="H438" s="504"/>
      <c r="I438" s="540"/>
      <c r="J438" s="540"/>
      <c r="K438" s="540"/>
      <c r="L438" s="565"/>
      <c r="M438" s="566"/>
      <c r="N438" s="566"/>
    </row>
    <row r="439" spans="1:18" x14ac:dyDescent="0.25">
      <c r="A439" s="753"/>
      <c r="C439" s="452" t="s">
        <v>172</v>
      </c>
      <c r="D439" s="449">
        <f t="shared" si="36"/>
        <v>45903</v>
      </c>
      <c r="E439" s="454" t="s">
        <v>583</v>
      </c>
      <c r="F439" s="505"/>
      <c r="G439" s="505" t="s">
        <v>652</v>
      </c>
      <c r="H439" s="516"/>
      <c r="I439" s="516"/>
      <c r="J439" s="516"/>
      <c r="K439" s="516"/>
      <c r="L439" s="557"/>
      <c r="M439" s="557"/>
      <c r="N439" s="557"/>
    </row>
    <row r="440" spans="1:18" x14ac:dyDescent="0.25">
      <c r="A440" s="753"/>
      <c r="C440" s="448" t="s">
        <v>172</v>
      </c>
      <c r="D440" s="449">
        <f>D436</f>
        <v>45903</v>
      </c>
      <c r="E440" s="455" t="s">
        <v>584</v>
      </c>
      <c r="F440" s="505"/>
      <c r="G440" s="505" t="s">
        <v>652</v>
      </c>
      <c r="H440" s="516"/>
      <c r="I440" s="516"/>
      <c r="J440" s="516"/>
      <c r="K440" s="516"/>
      <c r="L440" s="557"/>
      <c r="M440" s="557"/>
      <c r="N440" s="557"/>
    </row>
    <row r="441" spans="1:18" x14ac:dyDescent="0.25">
      <c r="A441" s="753"/>
      <c r="C441" s="448"/>
      <c r="D441" s="449"/>
      <c r="E441" s="455"/>
      <c r="F441" s="506"/>
      <c r="G441" s="506"/>
      <c r="H441" s="516"/>
      <c r="I441" s="516"/>
      <c r="J441" s="516"/>
      <c r="K441" s="516"/>
      <c r="L441" s="557"/>
      <c r="M441" s="557"/>
      <c r="N441" s="557"/>
    </row>
    <row r="442" spans="1:18" x14ac:dyDescent="0.25">
      <c r="A442" s="753"/>
      <c r="C442" s="448" t="s">
        <v>173</v>
      </c>
      <c r="D442" s="449">
        <f>D440+1</f>
        <v>45904</v>
      </c>
      <c r="E442" s="503" t="s">
        <v>573</v>
      </c>
      <c r="F442" s="506"/>
      <c r="G442" s="506" t="s">
        <v>652</v>
      </c>
      <c r="H442" s="516"/>
      <c r="I442" s="516"/>
      <c r="J442" s="516"/>
      <c r="K442" s="516"/>
      <c r="L442" s="557"/>
      <c r="M442" s="557"/>
      <c r="N442" s="557"/>
    </row>
    <row r="443" spans="1:18" ht="15.75" thickBot="1" x14ac:dyDescent="0.3">
      <c r="A443" s="753"/>
      <c r="C443" s="450" t="s">
        <v>173</v>
      </c>
      <c r="D443" s="451">
        <f t="shared" ref="D443:D456" si="37">D442</f>
        <v>45904</v>
      </c>
      <c r="E443" s="459" t="s">
        <v>162</v>
      </c>
      <c r="F443" s="493"/>
      <c r="G443" s="493" t="s">
        <v>652</v>
      </c>
      <c r="H443" s="513"/>
      <c r="I443" s="513"/>
      <c r="J443" s="513"/>
      <c r="K443" s="513"/>
      <c r="L443" s="558"/>
      <c r="M443" s="558"/>
      <c r="N443" s="558"/>
    </row>
    <row r="444" spans="1:18" ht="4.5" customHeight="1" thickBot="1" x14ac:dyDescent="0.3">
      <c r="A444" s="753"/>
      <c r="C444" t="s">
        <v>173</v>
      </c>
      <c r="D444">
        <f t="shared" si="37"/>
        <v>45904</v>
      </c>
      <c r="E444" t="s">
        <v>163</v>
      </c>
      <c r="G444" t="s">
        <v>652</v>
      </c>
      <c r="L444" s="559"/>
      <c r="M444" s="559"/>
      <c r="N444" s="559"/>
      <c r="Q444" s="3"/>
      <c r="R444" s="3"/>
    </row>
    <row r="445" spans="1:18" ht="15" customHeight="1" thickBot="1" x14ac:dyDescent="0.3">
      <c r="A445" s="753"/>
      <c r="C445" s="538" t="s">
        <v>173</v>
      </c>
      <c r="D445" s="539">
        <f t="shared" si="37"/>
        <v>45904</v>
      </c>
      <c r="E445" s="539" t="s">
        <v>164</v>
      </c>
      <c r="F445" s="539"/>
      <c r="G445" s="539" t="s">
        <v>652</v>
      </c>
      <c r="H445" s="539"/>
      <c r="I445" s="543"/>
      <c r="J445" s="542"/>
      <c r="K445" s="544"/>
      <c r="L445" s="560"/>
      <c r="M445" s="561"/>
      <c r="N445" s="562"/>
      <c r="O445" s="548"/>
      <c r="P445" s="549"/>
      <c r="Q445" s="3"/>
      <c r="R445" s="3"/>
    </row>
    <row r="446" spans="1:18" x14ac:dyDescent="0.25">
      <c r="A446" s="753"/>
      <c r="C446" s="529" t="s">
        <v>173</v>
      </c>
      <c r="D446" s="447">
        <f t="shared" si="37"/>
        <v>45904</v>
      </c>
      <c r="E446" s="498" t="s">
        <v>165</v>
      </c>
      <c r="F446" s="514"/>
      <c r="G446" s="514"/>
      <c r="H446" s="515"/>
      <c r="I446" s="537"/>
      <c r="J446" s="537"/>
      <c r="K446" s="537"/>
      <c r="L446" s="563"/>
      <c r="M446" s="563"/>
      <c r="N446" s="563"/>
    </row>
    <row r="447" spans="1:18" x14ac:dyDescent="0.25">
      <c r="A447" s="753"/>
      <c r="C447" s="452" t="s">
        <v>173</v>
      </c>
      <c r="D447" s="453">
        <f t="shared" si="37"/>
        <v>45904</v>
      </c>
      <c r="E447" s="500" t="s">
        <v>166</v>
      </c>
      <c r="F447" s="460"/>
      <c r="G447" s="460"/>
      <c r="H447" s="501"/>
      <c r="I447" s="540"/>
      <c r="J447" s="540"/>
      <c r="K447" s="540"/>
      <c r="L447" s="555"/>
      <c r="M447" s="555"/>
      <c r="N447" s="555"/>
    </row>
    <row r="448" spans="1:18" x14ac:dyDescent="0.25">
      <c r="A448" s="753"/>
      <c r="C448" s="452" t="s">
        <v>173</v>
      </c>
      <c r="D448" s="453">
        <f t="shared" si="37"/>
        <v>45904</v>
      </c>
      <c r="E448" s="454" t="s">
        <v>576</v>
      </c>
      <c r="F448" s="460"/>
      <c r="G448" s="460"/>
      <c r="H448" s="460"/>
      <c r="I448" s="540"/>
      <c r="J448" s="540"/>
      <c r="K448" s="540"/>
      <c r="L448" s="564"/>
      <c r="M448" s="564"/>
      <c r="N448" s="564"/>
    </row>
    <row r="449" spans="1:18" x14ac:dyDescent="0.25">
      <c r="A449" s="753"/>
      <c r="C449" s="452" t="s">
        <v>173</v>
      </c>
      <c r="D449" s="453">
        <f t="shared" si="37"/>
        <v>45904</v>
      </c>
      <c r="E449" s="454" t="s">
        <v>167</v>
      </c>
      <c r="F449" s="460"/>
      <c r="G449" s="460"/>
      <c r="H449" s="460"/>
      <c r="I449" s="540"/>
      <c r="J449" s="540"/>
      <c r="K449" s="540"/>
      <c r="L449" s="564"/>
      <c r="M449" s="564"/>
      <c r="N449" s="564"/>
    </row>
    <row r="450" spans="1:18" x14ac:dyDescent="0.25">
      <c r="A450" s="753"/>
      <c r="C450" s="452" t="s">
        <v>173</v>
      </c>
      <c r="D450" s="453">
        <f t="shared" si="37"/>
        <v>45904</v>
      </c>
      <c r="E450" s="454" t="s">
        <v>168</v>
      </c>
      <c r="F450" s="460"/>
      <c r="G450" s="460"/>
      <c r="H450" s="460"/>
      <c r="I450" s="540"/>
      <c r="J450" s="540"/>
      <c r="K450" s="540"/>
      <c r="L450" s="564"/>
      <c r="M450" s="564"/>
      <c r="N450" s="564"/>
    </row>
    <row r="451" spans="1:18" x14ac:dyDescent="0.25">
      <c r="A451" s="753"/>
      <c r="C451" s="452" t="s">
        <v>173</v>
      </c>
      <c r="D451" s="453">
        <f t="shared" si="37"/>
        <v>45904</v>
      </c>
      <c r="E451" s="454" t="s">
        <v>169</v>
      </c>
      <c r="F451" s="460"/>
      <c r="G451" s="460"/>
      <c r="H451" s="460"/>
      <c r="I451" s="540"/>
      <c r="J451" s="540"/>
      <c r="K451" s="540"/>
      <c r="L451" s="564"/>
      <c r="M451" s="564"/>
      <c r="N451" s="564"/>
    </row>
    <row r="452" spans="1:18" x14ac:dyDescent="0.25">
      <c r="A452" s="753"/>
      <c r="C452" s="452" t="s">
        <v>173</v>
      </c>
      <c r="D452" s="453">
        <f t="shared" si="37"/>
        <v>45904</v>
      </c>
      <c r="E452" s="454" t="s">
        <v>170</v>
      </c>
      <c r="F452" s="517"/>
      <c r="G452" s="512"/>
      <c r="H452" s="505"/>
      <c r="I452" s="541"/>
      <c r="J452" s="541"/>
      <c r="K452" s="541"/>
      <c r="L452" s="556"/>
      <c r="M452" s="556"/>
      <c r="N452" s="556"/>
    </row>
    <row r="453" spans="1:18" x14ac:dyDescent="0.25">
      <c r="A453" s="753"/>
      <c r="C453" s="452" t="s">
        <v>173</v>
      </c>
      <c r="D453" s="449">
        <f t="shared" si="37"/>
        <v>45904</v>
      </c>
      <c r="E453" s="454" t="s">
        <v>585</v>
      </c>
      <c r="F453" s="460"/>
      <c r="G453" s="460"/>
      <c r="H453" s="461"/>
      <c r="I453" s="540"/>
      <c r="J453" s="540"/>
      <c r="K453" s="540"/>
      <c r="L453" s="565"/>
      <c r="M453" s="565"/>
      <c r="N453" s="565"/>
    </row>
    <row r="454" spans="1:18" x14ac:dyDescent="0.25">
      <c r="A454" s="753"/>
      <c r="C454" s="452" t="s">
        <v>173</v>
      </c>
      <c r="D454" s="449">
        <f t="shared" si="37"/>
        <v>45904</v>
      </c>
      <c r="E454" s="454" t="s">
        <v>574</v>
      </c>
      <c r="F454" s="460"/>
      <c r="G454" s="460"/>
      <c r="H454" s="461"/>
      <c r="I454" s="540"/>
      <c r="J454" s="540"/>
      <c r="K454" s="540"/>
      <c r="L454" s="565"/>
      <c r="M454" s="565"/>
      <c r="N454" s="565"/>
    </row>
    <row r="455" spans="1:18" x14ac:dyDescent="0.25">
      <c r="A455" s="753"/>
      <c r="C455" s="452" t="s">
        <v>173</v>
      </c>
      <c r="D455" s="449">
        <f t="shared" si="37"/>
        <v>45904</v>
      </c>
      <c r="E455" s="454" t="s">
        <v>575</v>
      </c>
      <c r="F455" s="460"/>
      <c r="G455" s="460"/>
      <c r="H455" s="461"/>
      <c r="I455" s="540"/>
      <c r="J455" s="540"/>
      <c r="K455" s="540"/>
      <c r="L455" s="565"/>
      <c r="M455" s="565"/>
      <c r="N455" s="565"/>
    </row>
    <row r="456" spans="1:18" x14ac:dyDescent="0.25">
      <c r="A456" s="753"/>
      <c r="C456" s="452" t="s">
        <v>173</v>
      </c>
      <c r="D456" s="449">
        <f t="shared" si="37"/>
        <v>45904</v>
      </c>
      <c r="E456" s="454" t="s">
        <v>583</v>
      </c>
      <c r="F456" s="460"/>
      <c r="G456" s="460"/>
      <c r="H456" s="504"/>
      <c r="I456" s="545"/>
      <c r="J456" s="540"/>
      <c r="K456" s="540"/>
      <c r="L456" s="566"/>
      <c r="M456" s="566"/>
      <c r="N456" s="566"/>
    </row>
    <row r="457" spans="1:18" x14ac:dyDescent="0.25">
      <c r="A457" s="753"/>
      <c r="C457" s="452" t="s">
        <v>173</v>
      </c>
      <c r="D457" s="449">
        <f>D453</f>
        <v>45904</v>
      </c>
      <c r="E457" s="454" t="s">
        <v>584</v>
      </c>
      <c r="F457" s="505"/>
      <c r="G457" s="505"/>
      <c r="H457" s="516"/>
      <c r="I457" s="516"/>
      <c r="J457" s="516"/>
      <c r="K457" s="516"/>
      <c r="L457" s="557"/>
      <c r="M457" s="557"/>
      <c r="N457" s="557"/>
    </row>
    <row r="458" spans="1:18" x14ac:dyDescent="0.25">
      <c r="A458" s="753"/>
      <c r="C458" s="452"/>
      <c r="D458" s="449"/>
      <c r="E458" s="455"/>
      <c r="F458" s="505"/>
      <c r="G458" s="505"/>
      <c r="H458" s="516"/>
      <c r="I458" s="516"/>
      <c r="J458" s="516"/>
      <c r="K458" s="516"/>
      <c r="L458" s="557"/>
      <c r="M458" s="557"/>
      <c r="N458" s="557"/>
    </row>
    <row r="459" spans="1:18" x14ac:dyDescent="0.25">
      <c r="A459" s="753"/>
      <c r="C459" s="452" t="s">
        <v>174</v>
      </c>
      <c r="D459" s="449">
        <f>D457+1</f>
        <v>45905</v>
      </c>
      <c r="E459" s="455" t="s">
        <v>573</v>
      </c>
      <c r="F459" s="506"/>
      <c r="G459" s="506"/>
      <c r="H459" s="516"/>
      <c r="I459" s="516"/>
      <c r="J459" s="516"/>
      <c r="K459" s="516"/>
      <c r="L459" s="557"/>
      <c r="M459" s="557"/>
      <c r="N459" s="557"/>
    </row>
    <row r="460" spans="1:18" x14ac:dyDescent="0.25">
      <c r="A460" s="753"/>
      <c r="C460" s="452" t="s">
        <v>174</v>
      </c>
      <c r="D460" s="449">
        <f t="shared" ref="D460:D473" si="38">D459</f>
        <v>45905</v>
      </c>
      <c r="E460" s="503" t="s">
        <v>162</v>
      </c>
      <c r="F460" s="506"/>
      <c r="G460" s="506"/>
      <c r="H460" s="516"/>
      <c r="I460" s="516"/>
      <c r="J460" s="516"/>
      <c r="K460" s="516"/>
      <c r="L460" s="557"/>
      <c r="M460" s="557"/>
      <c r="N460" s="557"/>
    </row>
    <row r="461" spans="1:18" ht="15.75" thickBot="1" x14ac:dyDescent="0.3">
      <c r="A461" s="753"/>
      <c r="C461" s="530" t="s">
        <v>174</v>
      </c>
      <c r="D461" s="451">
        <f t="shared" si="38"/>
        <v>45905</v>
      </c>
      <c r="E461" s="459" t="s">
        <v>163</v>
      </c>
      <c r="F461" s="493"/>
      <c r="G461" s="493"/>
      <c r="H461" s="513"/>
      <c r="I461" s="513"/>
      <c r="J461" s="513"/>
      <c r="K461" s="513"/>
      <c r="L461" s="558"/>
      <c r="M461" s="558"/>
      <c r="N461" s="558"/>
    </row>
    <row r="462" spans="1:18" ht="4.5" customHeight="1" thickBot="1" x14ac:dyDescent="0.3">
      <c r="A462" s="753"/>
      <c r="C462" t="s">
        <v>174</v>
      </c>
      <c r="D462">
        <f t="shared" si="38"/>
        <v>45905</v>
      </c>
      <c r="E462" t="s">
        <v>164</v>
      </c>
      <c r="I462" s="420"/>
      <c r="J462" s="420"/>
      <c r="K462" s="420"/>
      <c r="L462" s="559"/>
      <c r="M462" s="559"/>
      <c r="N462" s="559"/>
      <c r="Q462" s="3"/>
      <c r="R462" s="3"/>
    </row>
    <row r="463" spans="1:18" ht="15" customHeight="1" thickBot="1" x14ac:dyDescent="0.3">
      <c r="A463" s="753"/>
      <c r="C463" s="546" t="s">
        <v>174</v>
      </c>
      <c r="D463" s="547">
        <f t="shared" si="38"/>
        <v>45905</v>
      </c>
      <c r="E463" s="539" t="s">
        <v>165</v>
      </c>
      <c r="F463" s="539"/>
      <c r="G463" s="539"/>
      <c r="H463" s="539"/>
      <c r="I463" s="543"/>
      <c r="J463" s="542"/>
      <c r="K463" s="544"/>
      <c r="L463" s="560"/>
      <c r="M463" s="561"/>
      <c r="N463" s="562"/>
      <c r="O463" s="548"/>
      <c r="P463" s="549"/>
      <c r="Q463" s="3"/>
      <c r="R463" s="3"/>
    </row>
    <row r="464" spans="1:18" x14ac:dyDescent="0.25">
      <c r="A464" s="753"/>
      <c r="C464" s="529" t="s">
        <v>174</v>
      </c>
      <c r="D464" s="447">
        <f t="shared" si="38"/>
        <v>45905</v>
      </c>
      <c r="E464" s="498" t="s">
        <v>166</v>
      </c>
      <c r="F464" s="514"/>
      <c r="G464" s="514"/>
      <c r="H464" s="514"/>
      <c r="I464" s="537"/>
      <c r="J464" s="537"/>
      <c r="K464" s="537"/>
      <c r="L464" s="563"/>
      <c r="M464" s="563"/>
      <c r="N464" s="563"/>
    </row>
    <row r="465" spans="1:14" x14ac:dyDescent="0.25">
      <c r="A465" s="753"/>
      <c r="C465" s="452" t="s">
        <v>174</v>
      </c>
      <c r="D465" s="453">
        <f t="shared" si="38"/>
        <v>45905</v>
      </c>
      <c r="E465" s="500" t="s">
        <v>576</v>
      </c>
      <c r="F465" s="569"/>
      <c r="G465" s="569"/>
      <c r="H465" s="569"/>
      <c r="I465" s="540"/>
      <c r="J465" s="540"/>
      <c r="K465" s="540"/>
      <c r="L465" s="555"/>
      <c r="M465" s="555"/>
      <c r="N465" s="555"/>
    </row>
    <row r="466" spans="1:14" x14ac:dyDescent="0.25">
      <c r="A466" s="753"/>
      <c r="C466" s="452" t="s">
        <v>174</v>
      </c>
      <c r="D466" s="453">
        <f t="shared" si="38"/>
        <v>45905</v>
      </c>
      <c r="E466" s="454" t="s">
        <v>167</v>
      </c>
      <c r="F466" s="569"/>
      <c r="G466" s="569"/>
      <c r="H466" s="569"/>
      <c r="I466" s="540"/>
      <c r="J466" s="540"/>
      <c r="K466" s="540"/>
      <c r="L466" s="564"/>
      <c r="M466" s="564"/>
      <c r="N466" s="564"/>
    </row>
    <row r="467" spans="1:14" x14ac:dyDescent="0.25">
      <c r="A467" s="753"/>
      <c r="C467" s="452" t="s">
        <v>174</v>
      </c>
      <c r="D467" s="453">
        <f t="shared" si="38"/>
        <v>45905</v>
      </c>
      <c r="E467" s="454" t="s">
        <v>168</v>
      </c>
      <c r="F467" s="569"/>
      <c r="G467" s="569"/>
      <c r="H467" s="569"/>
      <c r="I467" s="540"/>
      <c r="J467" s="540"/>
      <c r="K467" s="540"/>
      <c r="L467" s="564"/>
      <c r="M467" s="564"/>
      <c r="N467" s="564"/>
    </row>
    <row r="468" spans="1:14" x14ac:dyDescent="0.25">
      <c r="A468" s="753"/>
      <c r="C468" s="452" t="s">
        <v>174</v>
      </c>
      <c r="D468" s="453">
        <f t="shared" si="38"/>
        <v>45905</v>
      </c>
      <c r="E468" s="454" t="s">
        <v>169</v>
      </c>
      <c r="F468" s="569"/>
      <c r="G468" s="569"/>
      <c r="H468" s="569"/>
      <c r="I468" s="540"/>
      <c r="J468" s="540"/>
      <c r="K468" s="540"/>
      <c r="L468" s="564"/>
      <c r="M468" s="564"/>
      <c r="N468" s="564"/>
    </row>
    <row r="469" spans="1:14" x14ac:dyDescent="0.25">
      <c r="A469" s="753"/>
      <c r="C469" s="452" t="s">
        <v>174</v>
      </c>
      <c r="D469" s="453">
        <f t="shared" si="38"/>
        <v>45905</v>
      </c>
      <c r="E469" s="454" t="s">
        <v>170</v>
      </c>
      <c r="F469" s="569"/>
      <c r="G469" s="569"/>
      <c r="H469" s="569"/>
      <c r="I469" s="540"/>
      <c r="J469" s="540"/>
      <c r="K469" s="540"/>
      <c r="L469" s="564"/>
      <c r="M469" s="564"/>
      <c r="N469" s="564"/>
    </row>
    <row r="470" spans="1:14" x14ac:dyDescent="0.25">
      <c r="A470" s="753"/>
      <c r="C470" s="452" t="s">
        <v>174</v>
      </c>
      <c r="D470" s="453">
        <f t="shared" si="38"/>
        <v>45905</v>
      </c>
      <c r="E470" s="454" t="s">
        <v>585</v>
      </c>
      <c r="F470" s="512"/>
      <c r="G470" s="512"/>
      <c r="H470" s="512"/>
      <c r="I470" s="541"/>
      <c r="J470" s="541"/>
      <c r="K470" s="541"/>
      <c r="L470" s="556"/>
      <c r="M470" s="556"/>
      <c r="N470" s="556"/>
    </row>
    <row r="471" spans="1:14" x14ac:dyDescent="0.25">
      <c r="A471" s="753"/>
      <c r="C471" s="452" t="s">
        <v>174</v>
      </c>
      <c r="D471" s="449">
        <f t="shared" si="38"/>
        <v>45905</v>
      </c>
      <c r="E471" s="454" t="s">
        <v>574</v>
      </c>
      <c r="F471" s="569"/>
      <c r="G471" s="569"/>
      <c r="H471" s="569"/>
      <c r="I471" s="540"/>
      <c r="J471" s="540"/>
      <c r="K471" s="540"/>
      <c r="L471" s="565"/>
      <c r="M471" s="565"/>
      <c r="N471" s="565"/>
    </row>
    <row r="472" spans="1:14" x14ac:dyDescent="0.25">
      <c r="A472" s="753"/>
      <c r="C472" s="452" t="s">
        <v>174</v>
      </c>
      <c r="D472" s="449">
        <f t="shared" si="38"/>
        <v>45905</v>
      </c>
      <c r="E472" s="454" t="s">
        <v>575</v>
      </c>
      <c r="F472" s="569"/>
      <c r="G472" s="569"/>
      <c r="H472" s="569"/>
      <c r="I472" s="540"/>
      <c r="J472" s="540"/>
      <c r="K472" s="540"/>
      <c r="L472" s="565"/>
      <c r="M472" s="565"/>
      <c r="N472" s="565"/>
    </row>
    <row r="473" spans="1:14" x14ac:dyDescent="0.25">
      <c r="A473" s="753"/>
      <c r="C473" s="452" t="s">
        <v>174</v>
      </c>
      <c r="D473" s="449">
        <f t="shared" si="38"/>
        <v>45905</v>
      </c>
      <c r="E473" s="454" t="s">
        <v>583</v>
      </c>
      <c r="F473" s="569"/>
      <c r="G473" s="569"/>
      <c r="H473" s="569"/>
      <c r="I473" s="540"/>
      <c r="J473" s="540"/>
      <c r="K473" s="540"/>
      <c r="L473" s="565"/>
      <c r="M473" s="565"/>
      <c r="N473" s="565"/>
    </row>
    <row r="474" spans="1:14" x14ac:dyDescent="0.25">
      <c r="A474" s="753"/>
      <c r="C474" s="452" t="s">
        <v>174</v>
      </c>
      <c r="D474" s="449">
        <f>D470</f>
        <v>45905</v>
      </c>
      <c r="E474" s="454" t="s">
        <v>584</v>
      </c>
      <c r="F474" s="505"/>
      <c r="G474" s="505"/>
      <c r="H474" s="505"/>
      <c r="I474" s="516"/>
      <c r="J474" s="516"/>
      <c r="K474" s="516"/>
      <c r="L474" s="557"/>
      <c r="M474" s="557"/>
      <c r="N474" s="557"/>
    </row>
    <row r="475" spans="1:14" x14ac:dyDescent="0.25">
      <c r="A475" s="753"/>
      <c r="C475" s="452"/>
      <c r="D475" s="449"/>
      <c r="E475" s="454"/>
      <c r="F475" s="505"/>
      <c r="G475" s="505"/>
      <c r="H475" s="505"/>
      <c r="I475" s="516"/>
      <c r="J475" s="516"/>
      <c r="K475" s="516"/>
      <c r="L475" s="557"/>
      <c r="M475" s="557"/>
      <c r="N475" s="557"/>
    </row>
    <row r="476" spans="1:14" x14ac:dyDescent="0.25">
      <c r="A476" s="753"/>
      <c r="C476" s="452" t="s">
        <v>649</v>
      </c>
      <c r="D476" s="449">
        <f>D474+1</f>
        <v>45906</v>
      </c>
      <c r="E476" s="455" t="s">
        <v>573</v>
      </c>
      <c r="F476" s="505"/>
      <c r="G476" s="505"/>
      <c r="H476" s="505"/>
      <c r="I476" s="516"/>
      <c r="J476" s="516"/>
      <c r="K476" s="516"/>
      <c r="L476" s="557"/>
      <c r="M476" s="557"/>
      <c r="N476" s="557"/>
    </row>
    <row r="477" spans="1:14" x14ac:dyDescent="0.25">
      <c r="A477" s="753"/>
      <c r="C477" s="452" t="s">
        <v>649</v>
      </c>
      <c r="D477" s="449">
        <f t="shared" ref="D477:D490" si="39">D476</f>
        <v>45906</v>
      </c>
      <c r="E477" s="455" t="s">
        <v>162</v>
      </c>
      <c r="F477" s="506"/>
      <c r="G477" s="506"/>
      <c r="H477" s="506"/>
      <c r="I477" s="516"/>
      <c r="J477" s="516"/>
      <c r="K477" s="516"/>
      <c r="L477" s="557"/>
      <c r="M477" s="557"/>
      <c r="N477" s="557"/>
    </row>
    <row r="478" spans="1:14" x14ac:dyDescent="0.25">
      <c r="A478" s="753"/>
      <c r="C478" s="452" t="s">
        <v>649</v>
      </c>
      <c r="D478" s="502">
        <f t="shared" si="39"/>
        <v>45906</v>
      </c>
      <c r="E478" s="503" t="s">
        <v>163</v>
      </c>
      <c r="F478" s="506"/>
      <c r="G478" s="506"/>
      <c r="H478" s="506"/>
      <c r="I478" s="516"/>
      <c r="J478" s="516"/>
      <c r="K478" s="516"/>
      <c r="L478" s="557"/>
      <c r="M478" s="557"/>
      <c r="N478" s="557"/>
    </row>
    <row r="479" spans="1:14" ht="15.75" thickBot="1" x14ac:dyDescent="0.3">
      <c r="A479" s="753"/>
      <c r="C479" s="530" t="s">
        <v>649</v>
      </c>
      <c r="D479" s="451">
        <f t="shared" si="39"/>
        <v>45906</v>
      </c>
      <c r="E479" s="459" t="s">
        <v>164</v>
      </c>
      <c r="F479" s="493"/>
      <c r="G479" s="493"/>
      <c r="H479" s="493"/>
      <c r="I479" s="513"/>
      <c r="J479" s="513"/>
      <c r="K479" s="513"/>
      <c r="L479" s="558"/>
      <c r="M479" s="558"/>
      <c r="N479" s="558"/>
    </row>
    <row r="480" spans="1:14" x14ac:dyDescent="0.25">
      <c r="C480" t="s">
        <v>649</v>
      </c>
      <c r="D480">
        <f t="shared" si="39"/>
        <v>45906</v>
      </c>
      <c r="E480" t="s">
        <v>165</v>
      </c>
    </row>
    <row r="481" spans="1:18" x14ac:dyDescent="0.25">
      <c r="C481" t="s">
        <v>649</v>
      </c>
      <c r="D481">
        <f t="shared" si="39"/>
        <v>45906</v>
      </c>
      <c r="E481" t="s">
        <v>166</v>
      </c>
    </row>
    <row r="482" spans="1:18" x14ac:dyDescent="0.25">
      <c r="C482" t="s">
        <v>649</v>
      </c>
      <c r="D482">
        <f t="shared" si="39"/>
        <v>45906</v>
      </c>
      <c r="E482" t="s">
        <v>576</v>
      </c>
    </row>
    <row r="483" spans="1:18" x14ac:dyDescent="0.25">
      <c r="C483" t="s">
        <v>649</v>
      </c>
      <c r="D483">
        <f t="shared" si="39"/>
        <v>45906</v>
      </c>
      <c r="E483" t="s">
        <v>167</v>
      </c>
    </row>
    <row r="484" spans="1:18" x14ac:dyDescent="0.25">
      <c r="C484" t="s">
        <v>649</v>
      </c>
      <c r="D484">
        <f t="shared" si="39"/>
        <v>45906</v>
      </c>
      <c r="E484" t="s">
        <v>168</v>
      </c>
    </row>
    <row r="485" spans="1:18" x14ac:dyDescent="0.25">
      <c r="C485" t="s">
        <v>649</v>
      </c>
      <c r="D485">
        <f t="shared" si="39"/>
        <v>45906</v>
      </c>
      <c r="E485" t="s">
        <v>169</v>
      </c>
    </row>
    <row r="486" spans="1:18" x14ac:dyDescent="0.25">
      <c r="C486" t="s">
        <v>649</v>
      </c>
      <c r="D486">
        <f t="shared" si="39"/>
        <v>45906</v>
      </c>
      <c r="E486" t="s">
        <v>170</v>
      </c>
    </row>
    <row r="487" spans="1:18" x14ac:dyDescent="0.25">
      <c r="C487" t="s">
        <v>649</v>
      </c>
      <c r="D487">
        <f t="shared" si="39"/>
        <v>45906</v>
      </c>
      <c r="E487" t="s">
        <v>585</v>
      </c>
    </row>
    <row r="488" spans="1:18" x14ac:dyDescent="0.25">
      <c r="C488" t="s">
        <v>649</v>
      </c>
      <c r="D488">
        <f t="shared" si="39"/>
        <v>45906</v>
      </c>
      <c r="E488" t="s">
        <v>574</v>
      </c>
    </row>
    <row r="489" spans="1:18" x14ac:dyDescent="0.25">
      <c r="C489" t="s">
        <v>649</v>
      </c>
      <c r="D489">
        <f t="shared" si="39"/>
        <v>45906</v>
      </c>
      <c r="E489" t="s">
        <v>575</v>
      </c>
    </row>
    <row r="490" spans="1:18" x14ac:dyDescent="0.25">
      <c r="C490" t="s">
        <v>649</v>
      </c>
      <c r="D490">
        <f t="shared" si="39"/>
        <v>45906</v>
      </c>
      <c r="E490" t="s">
        <v>583</v>
      </c>
    </row>
    <row r="491" spans="1:18" x14ac:dyDescent="0.25">
      <c r="C491" t="s">
        <v>649</v>
      </c>
      <c r="D491">
        <f>D487</f>
        <v>45906</v>
      </c>
      <c r="E491" t="s">
        <v>584</v>
      </c>
    </row>
    <row r="492" spans="1:18" ht="15.75" thickBot="1" x14ac:dyDescent="0.3"/>
    <row r="493" spans="1:18" ht="15" customHeight="1" thickBot="1" x14ac:dyDescent="0.3">
      <c r="A493" s="753" t="s">
        <v>738</v>
      </c>
      <c r="C493" s="538" t="s">
        <v>161</v>
      </c>
      <c r="D493" s="539">
        <f>D474+3</f>
        <v>45908</v>
      </c>
      <c r="E493" s="539" t="s">
        <v>573</v>
      </c>
      <c r="F493" s="539"/>
      <c r="G493" s="539"/>
      <c r="H493" s="539"/>
      <c r="I493" s="543"/>
      <c r="J493" s="542"/>
      <c r="K493" s="544"/>
      <c r="L493" s="560"/>
      <c r="M493" s="561"/>
      <c r="N493" s="562"/>
      <c r="O493" s="548"/>
      <c r="P493" s="549"/>
      <c r="Q493" s="3"/>
      <c r="R493" s="3"/>
    </row>
    <row r="494" spans="1:18" x14ac:dyDescent="0.25">
      <c r="A494" s="753"/>
      <c r="C494" s="496" t="s">
        <v>161</v>
      </c>
      <c r="D494" s="507">
        <f t="shared" ref="D494:D505" si="40">D493</f>
        <v>45908</v>
      </c>
      <c r="E494" s="498" t="s">
        <v>162</v>
      </c>
      <c r="F494" s="514" t="s">
        <v>740</v>
      </c>
      <c r="G494" s="514" t="s">
        <v>741</v>
      </c>
      <c r="H494" s="515"/>
      <c r="I494" s="537"/>
      <c r="J494" s="537"/>
      <c r="K494" s="537"/>
      <c r="L494" s="563"/>
      <c r="M494" s="563"/>
      <c r="N494" s="563"/>
    </row>
    <row r="495" spans="1:18" x14ac:dyDescent="0.25">
      <c r="A495" s="753"/>
      <c r="C495" s="525" t="s">
        <v>161</v>
      </c>
      <c r="D495" s="499">
        <f t="shared" si="40"/>
        <v>45908</v>
      </c>
      <c r="E495" s="500" t="s">
        <v>163</v>
      </c>
      <c r="F495" s="460" t="s">
        <v>740</v>
      </c>
      <c r="G495" s="460" t="s">
        <v>741</v>
      </c>
      <c r="H495" s="460"/>
      <c r="I495" s="540"/>
      <c r="J495" s="540"/>
      <c r="K495" s="540"/>
      <c r="L495" s="555"/>
      <c r="M495" s="555"/>
      <c r="N495" s="555"/>
    </row>
    <row r="496" spans="1:18" x14ac:dyDescent="0.25">
      <c r="A496" s="753"/>
      <c r="C496" s="526" t="s">
        <v>161</v>
      </c>
      <c r="D496" s="449">
        <f t="shared" si="40"/>
        <v>45908</v>
      </c>
      <c r="E496" s="454" t="s">
        <v>164</v>
      </c>
      <c r="F496" s="460" t="s">
        <v>740</v>
      </c>
      <c r="G496" s="460" t="s">
        <v>741</v>
      </c>
      <c r="H496" s="460"/>
      <c r="I496" s="540"/>
      <c r="J496" s="540"/>
      <c r="K496" s="540"/>
      <c r="L496" s="564"/>
      <c r="M496" s="564"/>
      <c r="N496" s="564"/>
    </row>
    <row r="497" spans="1:18" x14ac:dyDescent="0.25">
      <c r="A497" s="753"/>
      <c r="C497" s="526" t="s">
        <v>161</v>
      </c>
      <c r="D497" s="449">
        <f t="shared" si="40"/>
        <v>45908</v>
      </c>
      <c r="E497" s="454" t="s">
        <v>165</v>
      </c>
      <c r="F497" s="460" t="s">
        <v>739</v>
      </c>
      <c r="G497" s="460" t="s">
        <v>741</v>
      </c>
      <c r="H497" s="460"/>
      <c r="I497" s="540"/>
      <c r="J497" s="540"/>
      <c r="K497" s="540"/>
      <c r="L497" s="564"/>
      <c r="M497" s="564"/>
      <c r="N497" s="564"/>
    </row>
    <row r="498" spans="1:18" x14ac:dyDescent="0.25">
      <c r="A498" s="753"/>
      <c r="C498" s="526" t="s">
        <v>161</v>
      </c>
      <c r="D498" s="449">
        <f t="shared" si="40"/>
        <v>45908</v>
      </c>
      <c r="E498" s="454" t="s">
        <v>166</v>
      </c>
      <c r="F498" s="460" t="s">
        <v>739</v>
      </c>
      <c r="G498" s="460" t="s">
        <v>741</v>
      </c>
      <c r="H498" s="460"/>
      <c r="I498" s="540"/>
      <c r="J498" s="540"/>
      <c r="K498" s="540"/>
      <c r="L498" s="564"/>
      <c r="M498" s="564"/>
      <c r="N498" s="564"/>
    </row>
    <row r="499" spans="1:18" x14ac:dyDescent="0.25">
      <c r="A499" s="753"/>
      <c r="C499" s="526" t="s">
        <v>161</v>
      </c>
      <c r="D499" s="449">
        <f t="shared" si="40"/>
        <v>45908</v>
      </c>
      <c r="E499" s="454" t="s">
        <v>576</v>
      </c>
      <c r="F499" s="460" t="s">
        <v>145</v>
      </c>
      <c r="G499" s="460" t="s">
        <v>145</v>
      </c>
      <c r="H499" s="460"/>
      <c r="I499" s="540"/>
      <c r="J499" s="540"/>
      <c r="K499" s="540"/>
      <c r="L499" s="564"/>
      <c r="M499" s="564"/>
      <c r="N499" s="564"/>
    </row>
    <row r="500" spans="1:18" x14ac:dyDescent="0.25">
      <c r="A500" s="753"/>
      <c r="C500" s="526" t="s">
        <v>161</v>
      </c>
      <c r="D500" s="449">
        <f t="shared" si="40"/>
        <v>45908</v>
      </c>
      <c r="E500" s="454" t="s">
        <v>167</v>
      </c>
      <c r="F500" s="512"/>
      <c r="G500" s="512" t="s">
        <v>741</v>
      </c>
      <c r="H500" s="505"/>
      <c r="I500" s="554"/>
      <c r="J500" s="541"/>
      <c r="K500" s="541"/>
      <c r="L500" s="556"/>
      <c r="M500" s="556"/>
      <c r="N500" s="556"/>
    </row>
    <row r="501" spans="1:18" x14ac:dyDescent="0.25">
      <c r="A501" s="753"/>
      <c r="C501" s="527" t="s">
        <v>161</v>
      </c>
      <c r="D501" s="449">
        <f t="shared" si="40"/>
        <v>45908</v>
      </c>
      <c r="E501" s="454" t="s">
        <v>168</v>
      </c>
      <c r="F501" s="460"/>
      <c r="G501" s="460" t="s">
        <v>741</v>
      </c>
      <c r="H501" s="460"/>
      <c r="I501" s="540"/>
      <c r="J501" s="540"/>
      <c r="K501" s="540"/>
      <c r="L501" s="565"/>
      <c r="M501" s="565"/>
      <c r="N501" s="565"/>
    </row>
    <row r="502" spans="1:18" x14ac:dyDescent="0.25">
      <c r="A502" s="753"/>
      <c r="C502" s="527" t="s">
        <v>161</v>
      </c>
      <c r="D502" s="449">
        <f t="shared" si="40"/>
        <v>45908</v>
      </c>
      <c r="E502" s="454" t="s">
        <v>169</v>
      </c>
      <c r="F502" s="460"/>
      <c r="G502" s="460" t="s">
        <v>741</v>
      </c>
      <c r="H502" s="461"/>
      <c r="I502" s="540"/>
      <c r="J502" s="540"/>
      <c r="K502" s="540"/>
      <c r="L502" s="565"/>
      <c r="M502" s="565"/>
      <c r="N502" s="565"/>
    </row>
    <row r="503" spans="1:18" x14ac:dyDescent="0.25">
      <c r="A503" s="753"/>
      <c r="C503" s="527" t="s">
        <v>161</v>
      </c>
      <c r="D503" s="449">
        <f t="shared" si="40"/>
        <v>45908</v>
      </c>
      <c r="E503" s="454" t="s">
        <v>170</v>
      </c>
      <c r="F503" s="460"/>
      <c r="G503" s="460" t="s">
        <v>741</v>
      </c>
      <c r="H503" s="461"/>
      <c r="I503" s="540"/>
      <c r="J503" s="540"/>
      <c r="K503" s="540"/>
      <c r="L503" s="565"/>
      <c r="M503" s="565"/>
      <c r="N503" s="565"/>
    </row>
    <row r="504" spans="1:18" x14ac:dyDescent="0.25">
      <c r="A504" s="753"/>
      <c r="C504" s="527" t="s">
        <v>161</v>
      </c>
      <c r="D504" s="449">
        <f t="shared" si="40"/>
        <v>45908</v>
      </c>
      <c r="E504" s="454" t="s">
        <v>574</v>
      </c>
      <c r="F504" s="460"/>
      <c r="G504" s="460"/>
      <c r="H504" s="504"/>
      <c r="I504" s="540"/>
      <c r="J504" s="540"/>
      <c r="K504" s="540"/>
      <c r="L504" s="566"/>
      <c r="M504" s="566"/>
      <c r="N504" s="566"/>
    </row>
    <row r="505" spans="1:18" x14ac:dyDescent="0.25">
      <c r="A505" s="753"/>
      <c r="C505" s="527" t="s">
        <v>161</v>
      </c>
      <c r="D505" s="449">
        <f t="shared" si="40"/>
        <v>45908</v>
      </c>
      <c r="E505" s="454" t="s">
        <v>575</v>
      </c>
      <c r="F505" s="505"/>
      <c r="G505" s="516"/>
      <c r="H505" s="516"/>
      <c r="I505" s="516"/>
      <c r="J505" s="516"/>
      <c r="K505" s="516"/>
      <c r="L505" s="557"/>
      <c r="M505" s="557"/>
      <c r="N505" s="557"/>
    </row>
    <row r="506" spans="1:18" x14ac:dyDescent="0.25">
      <c r="A506" s="753"/>
      <c r="C506" s="527"/>
      <c r="D506" s="449"/>
      <c r="E506" s="455"/>
      <c r="F506" s="505"/>
      <c r="G506" s="516"/>
      <c r="H506" s="516"/>
      <c r="I506" s="516"/>
      <c r="J506" s="516"/>
      <c r="K506" s="516"/>
      <c r="L506" s="557"/>
      <c r="M506" s="557"/>
      <c r="N506" s="557"/>
    </row>
    <row r="507" spans="1:18" x14ac:dyDescent="0.25">
      <c r="A507" s="753"/>
      <c r="C507" s="527" t="s">
        <v>171</v>
      </c>
      <c r="D507" s="449">
        <f>D505+1</f>
        <v>45909</v>
      </c>
      <c r="E507" s="455" t="s">
        <v>573</v>
      </c>
      <c r="F507" s="506"/>
      <c r="G507" s="506"/>
      <c r="H507" s="516"/>
      <c r="I507" s="516"/>
      <c r="J507" s="516"/>
      <c r="K507" s="516"/>
      <c r="L507" s="557"/>
      <c r="M507" s="557"/>
      <c r="N507" s="557"/>
    </row>
    <row r="508" spans="1:18" x14ac:dyDescent="0.25">
      <c r="A508" s="753"/>
      <c r="C508" s="527" t="s">
        <v>171</v>
      </c>
      <c r="D508" s="449">
        <f t="shared" ref="D508:D519" si="41">D507</f>
        <v>45909</v>
      </c>
      <c r="E508" s="503" t="s">
        <v>162</v>
      </c>
      <c r="F508" s="506"/>
      <c r="G508" s="506"/>
      <c r="H508" s="516"/>
      <c r="I508" s="516"/>
      <c r="J508" s="516"/>
      <c r="K508" s="516"/>
      <c r="L508" s="557"/>
      <c r="M508" s="557"/>
      <c r="N508" s="557"/>
    </row>
    <row r="509" spans="1:18" ht="15.75" thickBot="1" x14ac:dyDescent="0.3">
      <c r="A509" s="753"/>
      <c r="C509" s="528" t="s">
        <v>171</v>
      </c>
      <c r="D509" s="451">
        <f t="shared" si="41"/>
        <v>45909</v>
      </c>
      <c r="E509" s="459" t="s">
        <v>163</v>
      </c>
      <c r="F509" s="493"/>
      <c r="G509" s="493"/>
      <c r="H509" s="513"/>
      <c r="I509" s="513"/>
      <c r="J509" s="513"/>
      <c r="K509" s="513"/>
      <c r="L509" s="558"/>
      <c r="M509" s="558"/>
      <c r="N509" s="558"/>
    </row>
    <row r="510" spans="1:18" ht="4.5" customHeight="1" thickBot="1" x14ac:dyDescent="0.3">
      <c r="A510" s="753"/>
      <c r="C510" t="s">
        <v>171</v>
      </c>
      <c r="D510">
        <f t="shared" si="41"/>
        <v>45909</v>
      </c>
      <c r="E510" t="s">
        <v>164</v>
      </c>
      <c r="L510" s="559"/>
      <c r="M510" s="559"/>
      <c r="N510" s="559"/>
      <c r="Q510" s="3"/>
      <c r="R510" s="3"/>
    </row>
    <row r="511" spans="1:18" ht="15" customHeight="1" thickBot="1" x14ac:dyDescent="0.3">
      <c r="A511" s="753"/>
      <c r="C511" s="538" t="s">
        <v>171</v>
      </c>
      <c r="D511" s="539">
        <f t="shared" si="41"/>
        <v>45909</v>
      </c>
      <c r="E511" s="539" t="s">
        <v>165</v>
      </c>
      <c r="F511" s="539"/>
      <c r="G511" s="539"/>
      <c r="H511" s="539"/>
      <c r="I511" s="543"/>
      <c r="J511" s="542"/>
      <c r="K511" s="544"/>
      <c r="L511" s="560"/>
      <c r="M511" s="561"/>
      <c r="N511" s="562"/>
      <c r="O511" s="548"/>
      <c r="P511" s="549"/>
      <c r="Q511" s="3"/>
      <c r="R511" s="3"/>
    </row>
    <row r="512" spans="1:18" x14ac:dyDescent="0.25">
      <c r="A512" s="753"/>
      <c r="C512" s="446" t="s">
        <v>171</v>
      </c>
      <c r="D512" s="497">
        <f t="shared" si="41"/>
        <v>45909</v>
      </c>
      <c r="E512" s="498" t="s">
        <v>166</v>
      </c>
      <c r="F512" s="514"/>
      <c r="G512" s="514"/>
      <c r="H512" s="515"/>
      <c r="I512" s="537"/>
      <c r="J512" s="537"/>
      <c r="K512" s="537"/>
      <c r="L512" s="563"/>
      <c r="M512" s="563"/>
      <c r="N512" s="563"/>
    </row>
    <row r="513" spans="1:18" x14ac:dyDescent="0.25">
      <c r="A513" s="753"/>
      <c r="C513" s="452" t="s">
        <v>171</v>
      </c>
      <c r="D513" s="499">
        <f t="shared" si="41"/>
        <v>45909</v>
      </c>
      <c r="E513" s="500" t="s">
        <v>576</v>
      </c>
      <c r="F513" s="460" t="s">
        <v>145</v>
      </c>
      <c r="G513" s="460" t="s">
        <v>145</v>
      </c>
      <c r="H513" s="501"/>
      <c r="I513" s="540"/>
      <c r="J513" s="540"/>
      <c r="K513" s="540"/>
      <c r="L513" s="555"/>
      <c r="M513" s="555"/>
      <c r="N513" s="555"/>
    </row>
    <row r="514" spans="1:18" x14ac:dyDescent="0.25">
      <c r="A514" s="753"/>
      <c r="C514" s="452" t="s">
        <v>171</v>
      </c>
      <c r="D514" s="449">
        <f t="shared" si="41"/>
        <v>45909</v>
      </c>
      <c r="E514" s="454" t="s">
        <v>167</v>
      </c>
      <c r="F514" s="460"/>
      <c r="G514" s="460"/>
      <c r="H514" s="460"/>
      <c r="I514" s="540"/>
      <c r="J514" s="540"/>
      <c r="K514" s="540"/>
      <c r="L514" s="564"/>
      <c r="M514" s="564"/>
      <c r="N514" s="564"/>
    </row>
    <row r="515" spans="1:18" x14ac:dyDescent="0.25">
      <c r="A515" s="753"/>
      <c r="C515" s="452" t="s">
        <v>171</v>
      </c>
      <c r="D515" s="449">
        <f t="shared" si="41"/>
        <v>45909</v>
      </c>
      <c r="E515" s="454" t="s">
        <v>168</v>
      </c>
      <c r="F515" s="460"/>
      <c r="G515" s="460"/>
      <c r="H515" s="460"/>
      <c r="I515" s="540"/>
      <c r="J515" s="540"/>
      <c r="K515" s="540"/>
      <c r="L515" s="564"/>
      <c r="M515" s="564"/>
      <c r="N515" s="564"/>
    </row>
    <row r="516" spans="1:18" x14ac:dyDescent="0.25">
      <c r="A516" s="753"/>
      <c r="C516" s="452" t="s">
        <v>171</v>
      </c>
      <c r="D516" s="449">
        <f t="shared" si="41"/>
        <v>45909</v>
      </c>
      <c r="E516" s="454" t="s">
        <v>169</v>
      </c>
      <c r="F516" s="460"/>
      <c r="G516" s="460"/>
      <c r="H516" s="460"/>
      <c r="I516" s="540"/>
      <c r="J516" s="540"/>
      <c r="K516" s="540"/>
      <c r="L516" s="564"/>
      <c r="M516" s="564"/>
      <c r="N516" s="564"/>
    </row>
    <row r="517" spans="1:18" x14ac:dyDescent="0.25">
      <c r="A517" s="753"/>
      <c r="C517" s="452" t="s">
        <v>171</v>
      </c>
      <c r="D517" s="449">
        <f t="shared" si="41"/>
        <v>45909</v>
      </c>
      <c r="E517" s="454" t="s">
        <v>170</v>
      </c>
      <c r="F517" s="460"/>
      <c r="G517" s="460"/>
      <c r="H517" s="460"/>
      <c r="I517" s="540"/>
      <c r="J517" s="540"/>
      <c r="K517" s="540"/>
      <c r="L517" s="564"/>
      <c r="M517" s="564"/>
      <c r="N517" s="564"/>
    </row>
    <row r="518" spans="1:18" x14ac:dyDescent="0.25">
      <c r="A518" s="753"/>
      <c r="C518" s="452" t="s">
        <v>171</v>
      </c>
      <c r="D518" s="449">
        <f t="shared" si="41"/>
        <v>45909</v>
      </c>
      <c r="E518" s="454" t="s">
        <v>574</v>
      </c>
      <c r="F518" s="517"/>
      <c r="G518" s="512"/>
      <c r="H518" s="505"/>
      <c r="I518" s="554"/>
      <c r="J518" s="541"/>
      <c r="K518" s="541"/>
      <c r="L518" s="556"/>
      <c r="M518" s="556"/>
      <c r="N518" s="556"/>
    </row>
    <row r="519" spans="1:18" x14ac:dyDescent="0.25">
      <c r="A519" s="753"/>
      <c r="C519" s="452" t="s">
        <v>171</v>
      </c>
      <c r="D519" s="449">
        <f t="shared" si="41"/>
        <v>45909</v>
      </c>
      <c r="E519" s="454" t="s">
        <v>575</v>
      </c>
      <c r="F519" s="460"/>
      <c r="G519" s="460"/>
      <c r="H519" s="461"/>
      <c r="I519" s="540"/>
      <c r="J519" s="540"/>
      <c r="K519" s="540"/>
      <c r="L519" s="565"/>
      <c r="M519" s="565"/>
      <c r="N519" s="565"/>
    </row>
    <row r="520" spans="1:18" x14ac:dyDescent="0.25">
      <c r="A520" s="753"/>
      <c r="C520" s="452"/>
      <c r="D520" s="449"/>
      <c r="E520" s="454"/>
      <c r="F520" s="460"/>
      <c r="G520" s="460"/>
      <c r="H520" s="461"/>
      <c r="I520" s="540"/>
      <c r="J520" s="540"/>
      <c r="K520" s="540"/>
      <c r="L520" s="565"/>
      <c r="M520" s="565"/>
      <c r="N520" s="565"/>
    </row>
    <row r="521" spans="1:18" x14ac:dyDescent="0.25">
      <c r="A521" s="753"/>
      <c r="C521" s="452" t="s">
        <v>172</v>
      </c>
      <c r="D521" s="449">
        <f>D519+1</f>
        <v>45910</v>
      </c>
      <c r="E521" s="454" t="s">
        <v>573</v>
      </c>
      <c r="F521" s="460"/>
      <c r="G521" s="460"/>
      <c r="H521" s="461"/>
      <c r="I521" s="540"/>
      <c r="J521" s="540"/>
      <c r="K521" s="540"/>
      <c r="L521" s="565"/>
      <c r="M521" s="565"/>
      <c r="N521" s="565"/>
    </row>
    <row r="522" spans="1:18" x14ac:dyDescent="0.25">
      <c r="A522" s="753"/>
      <c r="C522" s="452" t="s">
        <v>172</v>
      </c>
      <c r="D522" s="449">
        <f t="shared" ref="D522:D533" si="42">D521</f>
        <v>45910</v>
      </c>
      <c r="E522" s="454" t="s">
        <v>162</v>
      </c>
      <c r="F522" s="460"/>
      <c r="G522" s="460"/>
      <c r="H522" s="504"/>
      <c r="I522" s="540"/>
      <c r="J522" s="540"/>
      <c r="K522" s="540"/>
      <c r="L522" s="566"/>
      <c r="M522" s="566"/>
      <c r="N522" s="566"/>
    </row>
    <row r="523" spans="1:18" x14ac:dyDescent="0.25">
      <c r="A523" s="753"/>
      <c r="C523" s="452" t="s">
        <v>172</v>
      </c>
      <c r="D523" s="449">
        <f t="shared" si="42"/>
        <v>45910</v>
      </c>
      <c r="E523" s="454" t="s">
        <v>163</v>
      </c>
      <c r="F523" s="505"/>
      <c r="G523" s="505"/>
      <c r="H523" s="516"/>
      <c r="I523" s="516"/>
      <c r="J523" s="516"/>
      <c r="K523" s="516"/>
      <c r="L523" s="557"/>
      <c r="M523" s="557"/>
      <c r="N523" s="557"/>
    </row>
    <row r="524" spans="1:18" x14ac:dyDescent="0.25">
      <c r="A524" s="753"/>
      <c r="C524" s="448" t="s">
        <v>172</v>
      </c>
      <c r="D524" s="449">
        <f t="shared" si="42"/>
        <v>45910</v>
      </c>
      <c r="E524" s="455" t="s">
        <v>164</v>
      </c>
      <c r="F524" s="505"/>
      <c r="G524" s="505"/>
      <c r="H524" s="516"/>
      <c r="I524" s="516"/>
      <c r="J524" s="516"/>
      <c r="K524" s="516"/>
      <c r="L524" s="557"/>
      <c r="M524" s="557"/>
      <c r="N524" s="557"/>
    </row>
    <row r="525" spans="1:18" x14ac:dyDescent="0.25">
      <c r="A525" s="753"/>
      <c r="C525" s="448" t="s">
        <v>172</v>
      </c>
      <c r="D525" s="449">
        <f t="shared" si="42"/>
        <v>45910</v>
      </c>
      <c r="E525" s="455" t="s">
        <v>165</v>
      </c>
      <c r="F525" s="506"/>
      <c r="G525" s="506"/>
      <c r="H525" s="516"/>
      <c r="I525" s="516"/>
      <c r="J525" s="516"/>
      <c r="K525" s="516"/>
      <c r="L525" s="557"/>
      <c r="M525" s="557"/>
      <c r="N525" s="557"/>
    </row>
    <row r="526" spans="1:18" x14ac:dyDescent="0.25">
      <c r="A526" s="753"/>
      <c r="C526" s="448" t="s">
        <v>172</v>
      </c>
      <c r="D526" s="449">
        <f t="shared" si="42"/>
        <v>45910</v>
      </c>
      <c r="E526" s="503" t="s">
        <v>166</v>
      </c>
      <c r="F526" s="506"/>
      <c r="G526" s="506"/>
      <c r="H526" s="516"/>
      <c r="I526" s="516"/>
      <c r="J526" s="516"/>
      <c r="K526" s="516"/>
      <c r="L526" s="557"/>
      <c r="M526" s="557"/>
      <c r="N526" s="557"/>
    </row>
    <row r="527" spans="1:18" ht="15.75" thickBot="1" x14ac:dyDescent="0.3">
      <c r="A527" s="753"/>
      <c r="C527" s="450" t="s">
        <v>172</v>
      </c>
      <c r="D527" s="451">
        <f t="shared" si="42"/>
        <v>45910</v>
      </c>
      <c r="E527" s="459" t="s">
        <v>576</v>
      </c>
      <c r="F527" s="493" t="s">
        <v>145</v>
      </c>
      <c r="G527" s="493" t="s">
        <v>145</v>
      </c>
      <c r="H527" s="513"/>
      <c r="I527" s="513"/>
      <c r="J527" s="513"/>
      <c r="K527" s="513"/>
      <c r="L527" s="558"/>
      <c r="M527" s="558"/>
      <c r="N527" s="558"/>
    </row>
    <row r="528" spans="1:18" ht="4.5" customHeight="1" thickBot="1" x14ac:dyDescent="0.3">
      <c r="A528" s="753"/>
      <c r="C528" t="s">
        <v>172</v>
      </c>
      <c r="D528">
        <f t="shared" si="42"/>
        <v>45910</v>
      </c>
      <c r="E528" t="s">
        <v>167</v>
      </c>
      <c r="L528" s="559"/>
      <c r="M528" s="559"/>
      <c r="N528" s="559"/>
      <c r="Q528" s="3"/>
      <c r="R528" s="3"/>
    </row>
    <row r="529" spans="1:18" ht="15" customHeight="1" thickBot="1" x14ac:dyDescent="0.3">
      <c r="A529" s="753"/>
      <c r="C529" s="538" t="s">
        <v>172</v>
      </c>
      <c r="D529" s="539">
        <f t="shared" si="42"/>
        <v>45910</v>
      </c>
      <c r="E529" s="539" t="s">
        <v>168</v>
      </c>
      <c r="F529" s="539"/>
      <c r="G529" s="539"/>
      <c r="H529" s="539"/>
      <c r="I529" s="543"/>
      <c r="J529" s="542"/>
      <c r="K529" s="544"/>
      <c r="L529" s="560"/>
      <c r="M529" s="561"/>
      <c r="N529" s="562"/>
      <c r="O529" s="548"/>
      <c r="P529" s="549"/>
      <c r="Q529" s="3"/>
      <c r="R529" s="3"/>
    </row>
    <row r="530" spans="1:18" x14ac:dyDescent="0.25">
      <c r="A530" s="753"/>
      <c r="C530" s="446" t="s">
        <v>172</v>
      </c>
      <c r="D530" s="497">
        <f t="shared" si="42"/>
        <v>45910</v>
      </c>
      <c r="E530" s="498" t="s">
        <v>169</v>
      </c>
      <c r="F530" s="514"/>
      <c r="G530" s="514"/>
      <c r="H530" s="515"/>
      <c r="I530" s="537"/>
      <c r="J530" s="537"/>
      <c r="K530" s="537"/>
      <c r="L530" s="563"/>
      <c r="M530" s="563"/>
      <c r="N530" s="563"/>
    </row>
    <row r="531" spans="1:18" x14ac:dyDescent="0.25">
      <c r="A531" s="753"/>
      <c r="C531" s="452" t="s">
        <v>172</v>
      </c>
      <c r="D531" s="499">
        <f t="shared" si="42"/>
        <v>45910</v>
      </c>
      <c r="E531" s="500" t="s">
        <v>170</v>
      </c>
      <c r="F531" s="460"/>
      <c r="G531" s="460"/>
      <c r="H531" s="501"/>
      <c r="I531" s="540"/>
      <c r="J531" s="540"/>
      <c r="K531" s="540"/>
      <c r="L531" s="555"/>
      <c r="M531" s="555"/>
      <c r="N531" s="555"/>
    </row>
    <row r="532" spans="1:18" x14ac:dyDescent="0.25">
      <c r="A532" s="753"/>
      <c r="C532" s="452" t="s">
        <v>172</v>
      </c>
      <c r="D532" s="449">
        <f t="shared" si="42"/>
        <v>45910</v>
      </c>
      <c r="E532" s="454" t="s">
        <v>574</v>
      </c>
      <c r="F532" s="460"/>
      <c r="G532" s="460"/>
      <c r="H532" s="460"/>
      <c r="I532" s="540"/>
      <c r="J532" s="540"/>
      <c r="K532" s="540"/>
      <c r="L532" s="564"/>
      <c r="M532" s="564"/>
      <c r="N532" s="564"/>
    </row>
    <row r="533" spans="1:18" x14ac:dyDescent="0.25">
      <c r="A533" s="753"/>
      <c r="C533" s="452" t="s">
        <v>172</v>
      </c>
      <c r="D533" s="449">
        <f t="shared" si="42"/>
        <v>45910</v>
      </c>
      <c r="E533" s="454" t="s">
        <v>575</v>
      </c>
      <c r="F533" s="460"/>
      <c r="G533" s="460"/>
      <c r="H533" s="460"/>
      <c r="I533" s="540"/>
      <c r="J533" s="540"/>
      <c r="K533" s="540"/>
      <c r="L533" s="564"/>
      <c r="M533" s="564"/>
      <c r="N533" s="564"/>
    </row>
    <row r="534" spans="1:18" x14ac:dyDescent="0.25">
      <c r="A534" s="753"/>
      <c r="C534" s="452"/>
      <c r="D534" s="449"/>
      <c r="E534" s="454"/>
      <c r="F534" s="460"/>
      <c r="G534" s="460"/>
      <c r="H534" s="460"/>
      <c r="I534" s="540"/>
      <c r="J534" s="540"/>
      <c r="K534" s="540"/>
      <c r="L534" s="564"/>
      <c r="M534" s="564"/>
      <c r="N534" s="564"/>
    </row>
    <row r="535" spans="1:18" x14ac:dyDescent="0.25">
      <c r="A535" s="753"/>
      <c r="C535" s="452" t="s">
        <v>173</v>
      </c>
      <c r="D535" s="449">
        <f>D533+1</f>
        <v>45911</v>
      </c>
      <c r="E535" s="454" t="s">
        <v>573</v>
      </c>
      <c r="F535" s="460"/>
      <c r="G535" s="460"/>
      <c r="H535" s="460"/>
      <c r="I535" s="540"/>
      <c r="J535" s="540"/>
      <c r="K535" s="540"/>
      <c r="L535" s="564"/>
      <c r="M535" s="564"/>
      <c r="N535" s="564"/>
    </row>
    <row r="536" spans="1:18" x14ac:dyDescent="0.25">
      <c r="A536" s="753"/>
      <c r="C536" s="452" t="s">
        <v>173</v>
      </c>
      <c r="D536" s="449">
        <f t="shared" ref="D536:D547" si="43">D535</f>
        <v>45911</v>
      </c>
      <c r="E536" s="454" t="s">
        <v>162</v>
      </c>
      <c r="F536" s="517"/>
      <c r="G536" s="512"/>
      <c r="H536" s="505"/>
      <c r="I536" s="541"/>
      <c r="J536" s="541"/>
      <c r="K536" s="541"/>
      <c r="L536" s="556"/>
      <c r="M536" s="556"/>
      <c r="N536" s="556"/>
    </row>
    <row r="537" spans="1:18" x14ac:dyDescent="0.25">
      <c r="A537" s="753"/>
      <c r="C537" s="452" t="s">
        <v>173</v>
      </c>
      <c r="D537" s="449">
        <f t="shared" si="43"/>
        <v>45911</v>
      </c>
      <c r="E537" s="454" t="s">
        <v>163</v>
      </c>
      <c r="F537" s="460"/>
      <c r="G537" s="460"/>
      <c r="H537" s="461"/>
      <c r="I537" s="540"/>
      <c r="J537" s="540"/>
      <c r="K537" s="540"/>
      <c r="L537" s="565"/>
      <c r="M537" s="565"/>
      <c r="N537" s="565"/>
    </row>
    <row r="538" spans="1:18" x14ac:dyDescent="0.25">
      <c r="A538" s="753"/>
      <c r="C538" s="452" t="s">
        <v>173</v>
      </c>
      <c r="D538" s="449">
        <f t="shared" si="43"/>
        <v>45911</v>
      </c>
      <c r="E538" s="454" t="s">
        <v>164</v>
      </c>
      <c r="F538" s="460"/>
      <c r="G538" s="460"/>
      <c r="H538" s="461"/>
      <c r="I538" s="540"/>
      <c r="J538" s="540"/>
      <c r="K538" s="540"/>
      <c r="L538" s="565"/>
      <c r="M538" s="565"/>
      <c r="N538" s="565"/>
    </row>
    <row r="539" spans="1:18" x14ac:dyDescent="0.25">
      <c r="A539" s="753"/>
      <c r="C539" s="452" t="s">
        <v>173</v>
      </c>
      <c r="D539" s="449">
        <f t="shared" si="43"/>
        <v>45911</v>
      </c>
      <c r="E539" s="454" t="s">
        <v>165</v>
      </c>
      <c r="F539" s="460"/>
      <c r="G539" s="460"/>
      <c r="H539" s="461"/>
      <c r="I539" s="540"/>
      <c r="J539" s="540"/>
      <c r="K539" s="540"/>
      <c r="L539" s="565"/>
      <c r="M539" s="565"/>
      <c r="N539" s="565"/>
    </row>
    <row r="540" spans="1:18" x14ac:dyDescent="0.25">
      <c r="A540" s="753"/>
      <c r="C540" s="452" t="s">
        <v>173</v>
      </c>
      <c r="D540" s="449">
        <f t="shared" si="43"/>
        <v>45911</v>
      </c>
      <c r="E540" s="454" t="s">
        <v>166</v>
      </c>
      <c r="F540" s="460"/>
      <c r="G540" s="460"/>
      <c r="H540" s="504"/>
      <c r="I540" s="540"/>
      <c r="J540" s="540"/>
      <c r="K540" s="540"/>
      <c r="L540" s="565"/>
      <c r="M540" s="566"/>
      <c r="N540" s="566"/>
    </row>
    <row r="541" spans="1:18" x14ac:dyDescent="0.25">
      <c r="A541" s="753"/>
      <c r="C541" s="452" t="s">
        <v>173</v>
      </c>
      <c r="D541" s="449">
        <f t="shared" si="43"/>
        <v>45911</v>
      </c>
      <c r="E541" s="454" t="s">
        <v>576</v>
      </c>
      <c r="F541" s="505" t="s">
        <v>145</v>
      </c>
      <c r="G541" s="505" t="s">
        <v>145</v>
      </c>
      <c r="H541" s="516"/>
      <c r="I541" s="516"/>
      <c r="J541" s="516"/>
      <c r="K541" s="516"/>
      <c r="L541" s="557"/>
      <c r="M541" s="557"/>
      <c r="N541" s="557"/>
    </row>
    <row r="542" spans="1:18" x14ac:dyDescent="0.25">
      <c r="A542" s="753"/>
      <c r="C542" s="448" t="s">
        <v>173</v>
      </c>
      <c r="D542" s="449">
        <f t="shared" si="43"/>
        <v>45911</v>
      </c>
      <c r="E542" s="455" t="s">
        <v>167</v>
      </c>
      <c r="F542" s="505"/>
      <c r="G542" s="505"/>
      <c r="H542" s="516"/>
      <c r="I542" s="516"/>
      <c r="J542" s="516"/>
      <c r="K542" s="516"/>
      <c r="L542" s="557"/>
      <c r="M542" s="557"/>
      <c r="N542" s="557"/>
    </row>
    <row r="543" spans="1:18" x14ac:dyDescent="0.25">
      <c r="A543" s="753"/>
      <c r="C543" s="448" t="s">
        <v>173</v>
      </c>
      <c r="D543" s="449">
        <f t="shared" si="43"/>
        <v>45911</v>
      </c>
      <c r="E543" s="455" t="s">
        <v>168</v>
      </c>
      <c r="F543" s="506"/>
      <c r="G543" s="506"/>
      <c r="H543" s="516"/>
      <c r="I543" s="516"/>
      <c r="J543" s="516"/>
      <c r="K543" s="516"/>
      <c r="L543" s="557"/>
      <c r="M543" s="557"/>
      <c r="N543" s="557"/>
    </row>
    <row r="544" spans="1:18" x14ac:dyDescent="0.25">
      <c r="A544" s="753"/>
      <c r="C544" s="448" t="s">
        <v>173</v>
      </c>
      <c r="D544" s="449">
        <f t="shared" si="43"/>
        <v>45911</v>
      </c>
      <c r="E544" s="503" t="s">
        <v>169</v>
      </c>
      <c r="F544" s="506"/>
      <c r="G544" s="506"/>
      <c r="H544" s="516"/>
      <c r="I544" s="516"/>
      <c r="J544" s="516"/>
      <c r="K544" s="516"/>
      <c r="L544" s="557"/>
      <c r="M544" s="557"/>
      <c r="N544" s="557"/>
    </row>
    <row r="545" spans="1:18" ht="15.75" thickBot="1" x14ac:dyDescent="0.3">
      <c r="A545" s="753"/>
      <c r="C545" s="450" t="s">
        <v>173</v>
      </c>
      <c r="D545" s="451">
        <f t="shared" si="43"/>
        <v>45911</v>
      </c>
      <c r="E545" s="459" t="s">
        <v>170</v>
      </c>
      <c r="F545" s="493"/>
      <c r="G545" s="493"/>
      <c r="H545" s="513"/>
      <c r="I545" s="513"/>
      <c r="J545" s="513"/>
      <c r="K545" s="513"/>
      <c r="L545" s="558"/>
      <c r="M545" s="558"/>
      <c r="N545" s="558"/>
    </row>
    <row r="546" spans="1:18" ht="4.5" customHeight="1" thickBot="1" x14ac:dyDescent="0.3">
      <c r="A546" s="753"/>
      <c r="C546" t="s">
        <v>173</v>
      </c>
      <c r="D546">
        <f t="shared" si="43"/>
        <v>45911</v>
      </c>
      <c r="E546" t="s">
        <v>574</v>
      </c>
      <c r="L546" s="559"/>
      <c r="M546" s="559"/>
      <c r="N546" s="559"/>
      <c r="Q546" s="3"/>
      <c r="R546" s="3"/>
    </row>
    <row r="547" spans="1:18" ht="15" customHeight="1" thickBot="1" x14ac:dyDescent="0.3">
      <c r="A547" s="753"/>
      <c r="C547" s="538" t="s">
        <v>173</v>
      </c>
      <c r="D547" s="539">
        <f t="shared" si="43"/>
        <v>45911</v>
      </c>
      <c r="E547" s="539" t="s">
        <v>575</v>
      </c>
      <c r="F547" s="539"/>
      <c r="G547" s="539"/>
      <c r="H547" s="539"/>
      <c r="I547" s="543"/>
      <c r="J547" s="542"/>
      <c r="K547" s="544"/>
      <c r="L547" s="560"/>
      <c r="M547" s="561"/>
      <c r="N547" s="562"/>
      <c r="O547" s="548"/>
      <c r="P547" s="549"/>
      <c r="Q547" s="3"/>
      <c r="R547" s="3"/>
    </row>
    <row r="548" spans="1:18" x14ac:dyDescent="0.25">
      <c r="A548" s="753"/>
      <c r="C548" s="529"/>
      <c r="D548" s="447"/>
      <c r="E548" s="498"/>
      <c r="F548" s="514"/>
      <c r="G548" s="514"/>
      <c r="H548" s="515"/>
      <c r="I548" s="537"/>
      <c r="J548" s="537"/>
      <c r="K548" s="537"/>
      <c r="L548" s="563"/>
      <c r="M548" s="563"/>
      <c r="N548" s="563"/>
    </row>
    <row r="549" spans="1:18" x14ac:dyDescent="0.25">
      <c r="A549" s="753"/>
      <c r="C549" s="452" t="s">
        <v>174</v>
      </c>
      <c r="D549" s="453">
        <f>D547+1</f>
        <v>45912</v>
      </c>
      <c r="E549" s="500" t="s">
        <v>573</v>
      </c>
      <c r="F549" s="460"/>
      <c r="G549" s="460"/>
      <c r="H549" s="501"/>
      <c r="I549" s="540"/>
      <c r="J549" s="540"/>
      <c r="K549" s="540"/>
      <c r="L549" s="555"/>
      <c r="M549" s="555"/>
      <c r="N549" s="555"/>
    </row>
    <row r="550" spans="1:18" x14ac:dyDescent="0.25">
      <c r="A550" s="753"/>
      <c r="C550" s="452" t="s">
        <v>174</v>
      </c>
      <c r="D550" s="453">
        <f t="shared" ref="D550:D561" si="44">D549</f>
        <v>45912</v>
      </c>
      <c r="E550" s="454" t="s">
        <v>162</v>
      </c>
      <c r="F550" s="460"/>
      <c r="G550" s="460"/>
      <c r="H550" s="460"/>
      <c r="I550" s="540"/>
      <c r="J550" s="540"/>
      <c r="K550" s="540"/>
      <c r="L550" s="564"/>
      <c r="M550" s="564"/>
      <c r="N550" s="564"/>
    </row>
    <row r="551" spans="1:18" x14ac:dyDescent="0.25">
      <c r="A551" s="753"/>
      <c r="C551" s="452" t="s">
        <v>174</v>
      </c>
      <c r="D551" s="453">
        <f t="shared" si="44"/>
        <v>45912</v>
      </c>
      <c r="E551" s="454" t="s">
        <v>163</v>
      </c>
      <c r="F551" s="460"/>
      <c r="G551" s="460"/>
      <c r="H551" s="460"/>
      <c r="I551" s="540"/>
      <c r="J551" s="540"/>
      <c r="K551" s="540"/>
      <c r="L551" s="564"/>
      <c r="M551" s="564"/>
      <c r="N551" s="564"/>
    </row>
    <row r="552" spans="1:18" x14ac:dyDescent="0.25">
      <c r="A552" s="753"/>
      <c r="C552" s="452" t="s">
        <v>174</v>
      </c>
      <c r="D552" s="453">
        <f t="shared" si="44"/>
        <v>45912</v>
      </c>
      <c r="E552" s="454" t="s">
        <v>164</v>
      </c>
      <c r="F552" s="460"/>
      <c r="G552" s="460"/>
      <c r="H552" s="460"/>
      <c r="I552" s="540"/>
      <c r="J552" s="540"/>
      <c r="K552" s="540"/>
      <c r="L552" s="564"/>
      <c r="M552" s="564"/>
      <c r="N552" s="564"/>
    </row>
    <row r="553" spans="1:18" x14ac:dyDescent="0.25">
      <c r="A553" s="753"/>
      <c r="C553" s="452" t="s">
        <v>174</v>
      </c>
      <c r="D553" s="453">
        <f t="shared" si="44"/>
        <v>45912</v>
      </c>
      <c r="E553" s="454" t="s">
        <v>165</v>
      </c>
      <c r="F553" s="460"/>
      <c r="G553" s="460"/>
      <c r="H553" s="460"/>
      <c r="I553" s="540"/>
      <c r="J553" s="540"/>
      <c r="K553" s="540"/>
      <c r="L553" s="564"/>
      <c r="M553" s="564"/>
      <c r="N553" s="564"/>
    </row>
    <row r="554" spans="1:18" x14ac:dyDescent="0.25">
      <c r="A554" s="753"/>
      <c r="C554" s="452" t="s">
        <v>174</v>
      </c>
      <c r="D554" s="453">
        <f t="shared" si="44"/>
        <v>45912</v>
      </c>
      <c r="E554" s="454" t="s">
        <v>166</v>
      </c>
      <c r="F554" s="517"/>
      <c r="G554" s="512"/>
      <c r="H554" s="505"/>
      <c r="I554" s="541"/>
      <c r="J554" s="541"/>
      <c r="K554" s="541"/>
      <c r="L554" s="556"/>
      <c r="M554" s="556"/>
      <c r="N554" s="556"/>
    </row>
    <row r="555" spans="1:18" x14ac:dyDescent="0.25">
      <c r="A555" s="753"/>
      <c r="C555" s="452" t="s">
        <v>174</v>
      </c>
      <c r="D555" s="449">
        <f t="shared" si="44"/>
        <v>45912</v>
      </c>
      <c r="E555" s="454" t="s">
        <v>576</v>
      </c>
      <c r="F555" s="460" t="s">
        <v>145</v>
      </c>
      <c r="G555" s="460" t="s">
        <v>145</v>
      </c>
      <c r="H555" s="461"/>
      <c r="I555" s="540"/>
      <c r="J555" s="540"/>
      <c r="K555" s="540"/>
      <c r="L555" s="565"/>
      <c r="M555" s="565"/>
      <c r="N555" s="565"/>
    </row>
    <row r="556" spans="1:18" x14ac:dyDescent="0.25">
      <c r="A556" s="753"/>
      <c r="C556" s="452" t="s">
        <v>174</v>
      </c>
      <c r="D556" s="449">
        <f t="shared" si="44"/>
        <v>45912</v>
      </c>
      <c r="E556" s="454" t="s">
        <v>167</v>
      </c>
      <c r="F556" s="460"/>
      <c r="G556" s="460"/>
      <c r="H556" s="461"/>
      <c r="I556" s="540"/>
      <c r="J556" s="540"/>
      <c r="K556" s="540"/>
      <c r="L556" s="565"/>
      <c r="M556" s="565"/>
      <c r="N556" s="565"/>
    </row>
    <row r="557" spans="1:18" x14ac:dyDescent="0.25">
      <c r="A557" s="753"/>
      <c r="C557" s="452" t="s">
        <v>174</v>
      </c>
      <c r="D557" s="449">
        <f t="shared" si="44"/>
        <v>45912</v>
      </c>
      <c r="E557" s="454" t="s">
        <v>168</v>
      </c>
      <c r="F557" s="460"/>
      <c r="G557" s="460"/>
      <c r="H557" s="461"/>
      <c r="I557" s="540"/>
      <c r="J557" s="540"/>
      <c r="K557" s="540"/>
      <c r="L557" s="565"/>
      <c r="M557" s="565"/>
      <c r="N557" s="565"/>
    </row>
    <row r="558" spans="1:18" x14ac:dyDescent="0.25">
      <c r="A558" s="753"/>
      <c r="C558" s="452" t="s">
        <v>174</v>
      </c>
      <c r="D558" s="449">
        <f t="shared" si="44"/>
        <v>45912</v>
      </c>
      <c r="E558" s="454" t="s">
        <v>169</v>
      </c>
      <c r="F558" s="460"/>
      <c r="G558" s="460"/>
      <c r="H558" s="504"/>
      <c r="I558" s="545"/>
      <c r="J558" s="540"/>
      <c r="K558" s="540"/>
      <c r="L558" s="566"/>
      <c r="M558" s="566"/>
      <c r="N558" s="566"/>
    </row>
    <row r="559" spans="1:18" x14ac:dyDescent="0.25">
      <c r="A559" s="753"/>
      <c r="C559" s="452" t="s">
        <v>174</v>
      </c>
      <c r="D559" s="449">
        <f t="shared" si="44"/>
        <v>45912</v>
      </c>
      <c r="E559" s="454" t="s">
        <v>170</v>
      </c>
      <c r="F559" s="505"/>
      <c r="G559" s="505"/>
      <c r="H559" s="516"/>
      <c r="I559" s="516"/>
      <c r="J559" s="516"/>
      <c r="K559" s="516"/>
      <c r="L559" s="557"/>
      <c r="M559" s="557"/>
      <c r="N559" s="557"/>
    </row>
    <row r="560" spans="1:18" x14ac:dyDescent="0.25">
      <c r="A560" s="753"/>
      <c r="C560" s="452" t="s">
        <v>174</v>
      </c>
      <c r="D560" s="449">
        <f t="shared" si="44"/>
        <v>45912</v>
      </c>
      <c r="E560" s="455" t="s">
        <v>574</v>
      </c>
      <c r="F560" s="505"/>
      <c r="G560" s="505"/>
      <c r="H560" s="516"/>
      <c r="I560" s="516"/>
      <c r="J560" s="516"/>
      <c r="K560" s="516"/>
      <c r="L560" s="557"/>
      <c r="M560" s="557"/>
      <c r="N560" s="557"/>
    </row>
    <row r="561" spans="1:18" x14ac:dyDescent="0.25">
      <c r="A561" s="753"/>
      <c r="C561" s="452" t="s">
        <v>174</v>
      </c>
      <c r="D561" s="449">
        <f t="shared" si="44"/>
        <v>45912</v>
      </c>
      <c r="E561" s="455" t="s">
        <v>575</v>
      </c>
      <c r="F561" s="506"/>
      <c r="G561" s="506"/>
      <c r="H561" s="516"/>
      <c r="I561" s="516"/>
      <c r="J561" s="516"/>
      <c r="K561" s="516"/>
      <c r="L561" s="557"/>
      <c r="M561" s="557"/>
      <c r="N561" s="557"/>
    </row>
    <row r="562" spans="1:18" x14ac:dyDescent="0.25">
      <c r="A562" s="753"/>
      <c r="C562" s="452"/>
      <c r="D562" s="449"/>
      <c r="E562" s="503"/>
      <c r="F562" s="506"/>
      <c r="G562" s="506"/>
      <c r="H562" s="516"/>
      <c r="I562" s="516"/>
      <c r="J562" s="516"/>
      <c r="K562" s="516"/>
      <c r="L562" s="557"/>
      <c r="M562" s="557"/>
      <c r="N562" s="557"/>
    </row>
    <row r="563" spans="1:18" ht="15.75" thickBot="1" x14ac:dyDescent="0.3">
      <c r="A563" s="753" t="s">
        <v>742</v>
      </c>
      <c r="C563" s="530" t="s">
        <v>161</v>
      </c>
      <c r="D563" s="451">
        <f>D561+3</f>
        <v>45915</v>
      </c>
      <c r="E563" s="459" t="s">
        <v>162</v>
      </c>
      <c r="F563" s="493"/>
      <c r="G563" s="493"/>
      <c r="H563" s="513"/>
      <c r="I563" s="513"/>
      <c r="J563" s="513"/>
      <c r="K563" s="513"/>
      <c r="L563" s="558"/>
      <c r="M563" s="558"/>
      <c r="N563" s="558"/>
    </row>
    <row r="564" spans="1:18" ht="4.5" customHeight="1" thickBot="1" x14ac:dyDescent="0.3">
      <c r="A564" s="753"/>
      <c r="C564" t="s">
        <v>161</v>
      </c>
      <c r="D564">
        <f t="shared" ref="D564:D572" si="45">D563</f>
        <v>45915</v>
      </c>
      <c r="E564" t="s">
        <v>163</v>
      </c>
      <c r="I564" s="420"/>
      <c r="J564" s="420"/>
      <c r="K564" s="420"/>
      <c r="L564" s="559"/>
      <c r="M564" s="559"/>
      <c r="N564" s="559"/>
      <c r="Q564" s="3"/>
      <c r="R564" s="3"/>
    </row>
    <row r="565" spans="1:18" ht="15" customHeight="1" thickBot="1" x14ac:dyDescent="0.3">
      <c r="A565" s="753"/>
      <c r="C565" s="546" t="s">
        <v>161</v>
      </c>
      <c r="D565" s="547">
        <f t="shared" si="45"/>
        <v>45915</v>
      </c>
      <c r="E565" s="539" t="s">
        <v>164</v>
      </c>
      <c r="F565" s="539"/>
      <c r="G565" s="539"/>
      <c r="H565" s="539"/>
      <c r="I565" s="543"/>
      <c r="J565" s="542"/>
      <c r="K565" s="544"/>
      <c r="L565" s="560"/>
      <c r="M565" s="561"/>
      <c r="N565" s="562"/>
      <c r="O565" s="548"/>
      <c r="P565" s="549"/>
      <c r="Q565" s="3"/>
      <c r="R565" s="3"/>
    </row>
    <row r="566" spans="1:18" x14ac:dyDescent="0.25">
      <c r="A566" s="753"/>
      <c r="C566" s="529" t="s">
        <v>161</v>
      </c>
      <c r="D566" s="447">
        <f t="shared" si="45"/>
        <v>45915</v>
      </c>
      <c r="E566" s="498" t="s">
        <v>165</v>
      </c>
      <c r="F566" s="514"/>
      <c r="G566" s="514"/>
      <c r="H566" s="514"/>
      <c r="I566" s="537"/>
      <c r="J566" s="537"/>
      <c r="K566" s="537"/>
      <c r="L566" s="563"/>
      <c r="M566" s="563"/>
      <c r="N566" s="563"/>
    </row>
    <row r="567" spans="1:18" x14ac:dyDescent="0.25">
      <c r="A567" s="753"/>
      <c r="C567" s="452" t="s">
        <v>161</v>
      </c>
      <c r="D567" s="453">
        <f t="shared" si="45"/>
        <v>45915</v>
      </c>
      <c r="E567" s="500" t="s">
        <v>166</v>
      </c>
      <c r="F567" s="569"/>
      <c r="G567" s="569"/>
      <c r="H567" s="569"/>
      <c r="I567" s="540"/>
      <c r="J567" s="540"/>
      <c r="K567" s="540"/>
      <c r="L567" s="555"/>
      <c r="M567" s="555"/>
      <c r="N567" s="555"/>
    </row>
    <row r="568" spans="1:18" x14ac:dyDescent="0.25">
      <c r="A568" s="753"/>
      <c r="C568" s="452" t="s">
        <v>161</v>
      </c>
      <c r="D568" s="453">
        <f t="shared" si="45"/>
        <v>45915</v>
      </c>
      <c r="E568" s="454" t="s">
        <v>576</v>
      </c>
      <c r="F568" s="569" t="s">
        <v>145</v>
      </c>
      <c r="G568" s="569" t="s">
        <v>145</v>
      </c>
      <c r="H568" s="569"/>
      <c r="I568" s="540"/>
      <c r="J568" s="540"/>
      <c r="K568" s="540"/>
      <c r="L568" s="564"/>
      <c r="M568" s="564"/>
      <c r="N568" s="564"/>
    </row>
    <row r="569" spans="1:18" x14ac:dyDescent="0.25">
      <c r="A569" s="753"/>
      <c r="C569" s="452" t="s">
        <v>161</v>
      </c>
      <c r="D569" s="453">
        <f t="shared" si="45"/>
        <v>45915</v>
      </c>
      <c r="E569" s="454" t="s">
        <v>167</v>
      </c>
      <c r="F569" s="569"/>
      <c r="G569" s="569"/>
      <c r="H569" s="569"/>
      <c r="I569" s="540"/>
      <c r="J569" s="540"/>
      <c r="K569" s="540"/>
      <c r="L569" s="564"/>
      <c r="M569" s="564"/>
      <c r="N569" s="564"/>
    </row>
    <row r="570" spans="1:18" x14ac:dyDescent="0.25">
      <c r="A570" s="753"/>
      <c r="C570" s="452" t="s">
        <v>161</v>
      </c>
      <c r="D570" s="453">
        <f t="shared" si="45"/>
        <v>45915</v>
      </c>
      <c r="E570" s="454" t="s">
        <v>168</v>
      </c>
      <c r="F570" s="569"/>
      <c r="G570" s="569"/>
      <c r="H570" s="569"/>
      <c r="I570" s="540"/>
      <c r="J570" s="540"/>
      <c r="K570" s="540"/>
      <c r="L570" s="564"/>
      <c r="M570" s="564"/>
      <c r="N570" s="564"/>
    </row>
    <row r="571" spans="1:18" x14ac:dyDescent="0.25">
      <c r="A571" s="753"/>
      <c r="C571" s="452" t="s">
        <v>161</v>
      </c>
      <c r="D571" s="453">
        <f t="shared" si="45"/>
        <v>45915</v>
      </c>
      <c r="E571" s="454" t="s">
        <v>169</v>
      </c>
      <c r="F571" s="569"/>
      <c r="G571" s="569"/>
      <c r="H571" s="569"/>
      <c r="I571" s="540"/>
      <c r="J571" s="540"/>
      <c r="K571" s="540"/>
      <c r="L571" s="564"/>
      <c r="M571" s="564"/>
      <c r="N571" s="564"/>
    </row>
    <row r="572" spans="1:18" x14ac:dyDescent="0.25">
      <c r="A572" s="753"/>
      <c r="C572" s="452" t="s">
        <v>161</v>
      </c>
      <c r="D572" s="453">
        <f t="shared" si="45"/>
        <v>45915</v>
      </c>
      <c r="E572" s="454" t="s">
        <v>170</v>
      </c>
      <c r="F572" s="512"/>
      <c r="G572" s="512"/>
      <c r="H572" s="512"/>
      <c r="I572" s="541"/>
      <c r="J572" s="541"/>
      <c r="K572" s="541"/>
      <c r="L572" s="556"/>
      <c r="M572" s="556"/>
      <c r="N572" s="556"/>
    </row>
    <row r="573" spans="1:18" x14ac:dyDescent="0.25">
      <c r="A573" s="753"/>
      <c r="C573" s="452"/>
      <c r="D573" s="449"/>
      <c r="E573" s="454"/>
      <c r="F573" s="569"/>
      <c r="G573" s="569"/>
      <c r="H573" s="569"/>
      <c r="I573" s="540"/>
      <c r="J573" s="540"/>
      <c r="K573" s="540"/>
      <c r="L573" s="565"/>
      <c r="M573" s="565"/>
      <c r="N573" s="565"/>
    </row>
    <row r="574" spans="1:18" x14ac:dyDescent="0.25">
      <c r="A574" s="753"/>
      <c r="C574" s="452" t="s">
        <v>171</v>
      </c>
      <c r="D574" s="449">
        <f>D572+1</f>
        <v>45916</v>
      </c>
      <c r="E574" s="454" t="s">
        <v>162</v>
      </c>
      <c r="F574" s="569"/>
      <c r="G574" s="569"/>
      <c r="H574" s="569"/>
      <c r="I574" s="540"/>
      <c r="J574" s="540"/>
      <c r="K574" s="540"/>
      <c r="L574" s="565"/>
      <c r="M574" s="565"/>
      <c r="N574" s="565"/>
    </row>
    <row r="575" spans="1:18" x14ac:dyDescent="0.25">
      <c r="A575" s="753"/>
      <c r="C575" s="452" t="s">
        <v>171</v>
      </c>
      <c r="D575" s="449">
        <f t="shared" ref="D575:D583" si="46">D574</f>
        <v>45916</v>
      </c>
      <c r="E575" s="454" t="s">
        <v>163</v>
      </c>
      <c r="F575" s="569"/>
      <c r="G575" s="569"/>
      <c r="H575" s="569"/>
      <c r="I575" s="540"/>
      <c r="J575" s="540"/>
      <c r="K575" s="540"/>
      <c r="L575" s="565"/>
      <c r="M575" s="565"/>
      <c r="N575" s="565"/>
    </row>
    <row r="576" spans="1:18" x14ac:dyDescent="0.25">
      <c r="A576" s="753"/>
      <c r="C576" s="452" t="s">
        <v>171</v>
      </c>
      <c r="D576" s="449">
        <f t="shared" si="46"/>
        <v>45916</v>
      </c>
      <c r="E576" s="454" t="s">
        <v>164</v>
      </c>
      <c r="F576" s="505"/>
      <c r="G576" s="505"/>
      <c r="H576" s="505"/>
      <c r="I576" s="516"/>
      <c r="J576" s="516"/>
      <c r="K576" s="516"/>
      <c r="L576" s="557"/>
      <c r="M576" s="557"/>
      <c r="N576" s="557"/>
    </row>
    <row r="577" spans="1:14" x14ac:dyDescent="0.25">
      <c r="A577" s="753"/>
      <c r="C577" s="452" t="s">
        <v>171</v>
      </c>
      <c r="D577" s="449">
        <f t="shared" si="46"/>
        <v>45916</v>
      </c>
      <c r="E577" s="454" t="s">
        <v>165</v>
      </c>
      <c r="F577" s="505"/>
      <c r="G577" s="505"/>
      <c r="H577" s="505"/>
      <c r="I577" s="516"/>
      <c r="J577" s="516"/>
      <c r="K577" s="516"/>
      <c r="L577" s="557"/>
      <c r="M577" s="557"/>
      <c r="N577" s="557"/>
    </row>
    <row r="578" spans="1:14" x14ac:dyDescent="0.25">
      <c r="A578" s="753"/>
      <c r="C578" s="452" t="s">
        <v>171</v>
      </c>
      <c r="D578" s="449">
        <f t="shared" si="46"/>
        <v>45916</v>
      </c>
      <c r="E578" s="455" t="s">
        <v>166</v>
      </c>
      <c r="F578" s="505"/>
      <c r="G578" s="505"/>
      <c r="H578" s="505"/>
      <c r="I578" s="516"/>
      <c r="J578" s="516"/>
      <c r="K578" s="516"/>
      <c r="L578" s="557"/>
      <c r="M578" s="557"/>
      <c r="N578" s="557"/>
    </row>
    <row r="579" spans="1:14" x14ac:dyDescent="0.25">
      <c r="A579" s="753"/>
      <c r="C579" s="452" t="s">
        <v>171</v>
      </c>
      <c r="D579" s="449">
        <f t="shared" si="46"/>
        <v>45916</v>
      </c>
      <c r="E579" s="455" t="s">
        <v>576</v>
      </c>
      <c r="F579" s="506" t="s">
        <v>145</v>
      </c>
      <c r="G579" s="506" t="s">
        <v>145</v>
      </c>
      <c r="H579" s="506"/>
      <c r="I579" s="516"/>
      <c r="J579" s="516"/>
      <c r="K579" s="516"/>
      <c r="L579" s="557"/>
      <c r="M579" s="557"/>
      <c r="N579" s="557"/>
    </row>
    <row r="580" spans="1:14" x14ac:dyDescent="0.25">
      <c r="A580" s="753"/>
      <c r="C580" s="452" t="s">
        <v>171</v>
      </c>
      <c r="D580" s="502">
        <f t="shared" si="46"/>
        <v>45916</v>
      </c>
      <c r="E580" s="503" t="s">
        <v>167</v>
      </c>
      <c r="F580" s="506"/>
      <c r="G580" s="506"/>
      <c r="H580" s="506"/>
      <c r="I580" s="516"/>
      <c r="J580" s="516"/>
      <c r="K580" s="516"/>
      <c r="L580" s="557"/>
      <c r="M580" s="557"/>
      <c r="N580" s="557"/>
    </row>
    <row r="581" spans="1:14" ht="15.75" thickBot="1" x14ac:dyDescent="0.3">
      <c r="A581" s="753"/>
      <c r="C581" s="530" t="s">
        <v>171</v>
      </c>
      <c r="D581" s="451">
        <f t="shared" si="46"/>
        <v>45916</v>
      </c>
      <c r="E581" s="459" t="s">
        <v>168</v>
      </c>
      <c r="F581" s="493"/>
      <c r="G581" s="493"/>
      <c r="H581" s="493"/>
      <c r="I581" s="513"/>
      <c r="J581" s="513"/>
      <c r="K581" s="513"/>
      <c r="L581" s="558"/>
      <c r="M581" s="558"/>
      <c r="N581" s="558"/>
    </row>
    <row r="582" spans="1:14" x14ac:dyDescent="0.25">
      <c r="C582" t="s">
        <v>171</v>
      </c>
      <c r="D582">
        <f t="shared" si="46"/>
        <v>45916</v>
      </c>
      <c r="E582" t="s">
        <v>169</v>
      </c>
    </row>
    <row r="583" spans="1:14" x14ac:dyDescent="0.25">
      <c r="C583" t="s">
        <v>171</v>
      </c>
      <c r="D583">
        <f t="shared" si="46"/>
        <v>45916</v>
      </c>
      <c r="E583" t="s">
        <v>170</v>
      </c>
    </row>
    <row r="585" spans="1:14" x14ac:dyDescent="0.25">
      <c r="C585" t="s">
        <v>172</v>
      </c>
      <c r="D585">
        <f>D583+1</f>
        <v>45917</v>
      </c>
      <c r="E585" t="s">
        <v>162</v>
      </c>
    </row>
    <row r="586" spans="1:14" x14ac:dyDescent="0.25">
      <c r="C586" t="s">
        <v>172</v>
      </c>
      <c r="D586">
        <f t="shared" ref="D586:D594" si="47">D585</f>
        <v>45917</v>
      </c>
      <c r="E586" t="s">
        <v>163</v>
      </c>
    </row>
    <row r="587" spans="1:14" x14ac:dyDescent="0.25">
      <c r="C587" t="s">
        <v>172</v>
      </c>
      <c r="D587">
        <f t="shared" si="47"/>
        <v>45917</v>
      </c>
      <c r="E587" t="s">
        <v>164</v>
      </c>
    </row>
    <row r="588" spans="1:14" x14ac:dyDescent="0.25">
      <c r="C588" t="s">
        <v>172</v>
      </c>
      <c r="D588">
        <f t="shared" si="47"/>
        <v>45917</v>
      </c>
      <c r="E588" t="s">
        <v>165</v>
      </c>
    </row>
    <row r="589" spans="1:14" x14ac:dyDescent="0.25">
      <c r="C589" t="s">
        <v>172</v>
      </c>
      <c r="D589">
        <f t="shared" si="47"/>
        <v>45917</v>
      </c>
      <c r="E589" t="s">
        <v>166</v>
      </c>
    </row>
    <row r="590" spans="1:14" x14ac:dyDescent="0.25">
      <c r="C590" t="s">
        <v>172</v>
      </c>
      <c r="D590">
        <f t="shared" si="47"/>
        <v>45917</v>
      </c>
      <c r="E590" t="s">
        <v>576</v>
      </c>
      <c r="F590" t="s">
        <v>145</v>
      </c>
      <c r="G590" t="s">
        <v>145</v>
      </c>
    </row>
    <row r="591" spans="1:14" x14ac:dyDescent="0.25">
      <c r="C591" t="s">
        <v>172</v>
      </c>
      <c r="D591">
        <f t="shared" si="47"/>
        <v>45917</v>
      </c>
      <c r="E591" t="s">
        <v>167</v>
      </c>
    </row>
    <row r="592" spans="1:14" x14ac:dyDescent="0.25">
      <c r="C592" t="s">
        <v>172</v>
      </c>
      <c r="D592">
        <f t="shared" si="47"/>
        <v>45917</v>
      </c>
      <c r="E592" t="s">
        <v>168</v>
      </c>
    </row>
    <row r="593" spans="3:7" x14ac:dyDescent="0.25">
      <c r="C593" t="s">
        <v>172</v>
      </c>
      <c r="D593">
        <f t="shared" si="47"/>
        <v>45917</v>
      </c>
      <c r="E593" t="s">
        <v>169</v>
      </c>
    </row>
    <row r="594" spans="3:7" x14ac:dyDescent="0.25">
      <c r="C594" t="s">
        <v>172</v>
      </c>
      <c r="D594">
        <f t="shared" si="47"/>
        <v>45917</v>
      </c>
      <c r="E594" t="s">
        <v>170</v>
      </c>
    </row>
    <row r="596" spans="3:7" x14ac:dyDescent="0.25">
      <c r="C596" t="s">
        <v>173</v>
      </c>
      <c r="D596">
        <f>D594+1</f>
        <v>45918</v>
      </c>
      <c r="E596" t="s">
        <v>162</v>
      </c>
    </row>
    <row r="597" spans="3:7" x14ac:dyDescent="0.25">
      <c r="C597" t="s">
        <v>173</v>
      </c>
      <c r="D597">
        <f t="shared" ref="D597:D605" si="48">D596</f>
        <v>45918</v>
      </c>
      <c r="E597" t="s">
        <v>163</v>
      </c>
    </row>
    <row r="598" spans="3:7" x14ac:dyDescent="0.25">
      <c r="C598" t="s">
        <v>173</v>
      </c>
      <c r="D598">
        <f t="shared" si="48"/>
        <v>45918</v>
      </c>
      <c r="E598" t="s">
        <v>164</v>
      </c>
    </row>
    <row r="599" spans="3:7" x14ac:dyDescent="0.25">
      <c r="C599" t="s">
        <v>173</v>
      </c>
      <c r="D599">
        <f t="shared" si="48"/>
        <v>45918</v>
      </c>
      <c r="E599" t="s">
        <v>165</v>
      </c>
    </row>
    <row r="600" spans="3:7" x14ac:dyDescent="0.25">
      <c r="C600" t="s">
        <v>173</v>
      </c>
      <c r="D600">
        <f t="shared" si="48"/>
        <v>45918</v>
      </c>
      <c r="E600" t="s">
        <v>166</v>
      </c>
    </row>
    <row r="601" spans="3:7" x14ac:dyDescent="0.25">
      <c r="C601" t="s">
        <v>173</v>
      </c>
      <c r="D601">
        <f t="shared" si="48"/>
        <v>45918</v>
      </c>
      <c r="E601" t="s">
        <v>576</v>
      </c>
      <c r="F601" t="s">
        <v>145</v>
      </c>
      <c r="G601" t="s">
        <v>145</v>
      </c>
    </row>
    <row r="602" spans="3:7" x14ac:dyDescent="0.25">
      <c r="C602" t="s">
        <v>173</v>
      </c>
      <c r="D602">
        <f t="shared" si="48"/>
        <v>45918</v>
      </c>
      <c r="E602" t="s">
        <v>167</v>
      </c>
    </row>
    <row r="603" spans="3:7" x14ac:dyDescent="0.25">
      <c r="C603" t="s">
        <v>173</v>
      </c>
      <c r="D603">
        <f t="shared" si="48"/>
        <v>45918</v>
      </c>
      <c r="E603" t="s">
        <v>168</v>
      </c>
    </row>
    <row r="604" spans="3:7" x14ac:dyDescent="0.25">
      <c r="C604" t="s">
        <v>173</v>
      </c>
      <c r="D604">
        <f t="shared" si="48"/>
        <v>45918</v>
      </c>
      <c r="E604" t="s">
        <v>169</v>
      </c>
    </row>
    <row r="605" spans="3:7" x14ac:dyDescent="0.25">
      <c r="C605" t="s">
        <v>173</v>
      </c>
      <c r="D605">
        <f t="shared" si="48"/>
        <v>45918</v>
      </c>
      <c r="E605" t="s">
        <v>170</v>
      </c>
    </row>
    <row r="607" spans="3:7" x14ac:dyDescent="0.25">
      <c r="C607" t="s">
        <v>174</v>
      </c>
      <c r="D607">
        <f>D605+1</f>
        <v>45919</v>
      </c>
      <c r="E607" t="s">
        <v>162</v>
      </c>
    </row>
    <row r="608" spans="3:7" x14ac:dyDescent="0.25">
      <c r="C608" t="s">
        <v>174</v>
      </c>
      <c r="D608">
        <f t="shared" ref="D608:D615" si="49">D607</f>
        <v>45919</v>
      </c>
      <c r="E608" t="s">
        <v>163</v>
      </c>
    </row>
    <row r="609" spans="1:18" x14ac:dyDescent="0.25">
      <c r="C609" t="s">
        <v>174</v>
      </c>
      <c r="D609">
        <f t="shared" si="49"/>
        <v>45919</v>
      </c>
      <c r="E609" t="s">
        <v>164</v>
      </c>
    </row>
    <row r="610" spans="1:18" x14ac:dyDescent="0.25">
      <c r="C610" t="s">
        <v>174</v>
      </c>
      <c r="D610">
        <f t="shared" si="49"/>
        <v>45919</v>
      </c>
      <c r="E610" t="s">
        <v>165</v>
      </c>
    </row>
    <row r="611" spans="1:18" x14ac:dyDescent="0.25">
      <c r="C611" t="s">
        <v>174</v>
      </c>
      <c r="D611">
        <f t="shared" si="49"/>
        <v>45919</v>
      </c>
      <c r="E611" t="s">
        <v>166</v>
      </c>
    </row>
    <row r="612" spans="1:18" x14ac:dyDescent="0.25">
      <c r="C612" t="s">
        <v>174</v>
      </c>
      <c r="D612">
        <f t="shared" si="49"/>
        <v>45919</v>
      </c>
      <c r="E612" t="s">
        <v>576</v>
      </c>
      <c r="F612" t="s">
        <v>145</v>
      </c>
      <c r="G612" t="s">
        <v>145</v>
      </c>
    </row>
    <row r="613" spans="1:18" x14ac:dyDescent="0.25">
      <c r="C613" t="s">
        <v>174</v>
      </c>
      <c r="D613">
        <f t="shared" si="49"/>
        <v>45919</v>
      </c>
      <c r="E613" t="s">
        <v>167</v>
      </c>
    </row>
    <row r="614" spans="1:18" x14ac:dyDescent="0.25">
      <c r="C614" t="s">
        <v>174</v>
      </c>
      <c r="D614">
        <f t="shared" si="49"/>
        <v>45919</v>
      </c>
      <c r="E614" t="s">
        <v>168</v>
      </c>
    </row>
    <row r="615" spans="1:18" x14ac:dyDescent="0.25">
      <c r="C615" t="s">
        <v>174</v>
      </c>
      <c r="D615">
        <f t="shared" si="49"/>
        <v>45919</v>
      </c>
      <c r="E615" t="s">
        <v>169</v>
      </c>
    </row>
    <row r="616" spans="1:18" ht="15.75" thickBot="1" x14ac:dyDescent="0.3"/>
    <row r="617" spans="1:18" ht="15" customHeight="1" thickBot="1" x14ac:dyDescent="0.3">
      <c r="A617" s="753" t="s">
        <v>803</v>
      </c>
      <c r="C617" s="538" t="s">
        <v>161</v>
      </c>
      <c r="D617" s="539">
        <f>D615+3</f>
        <v>45922</v>
      </c>
      <c r="E617" s="539" t="s">
        <v>162</v>
      </c>
      <c r="F617" s="539" t="s">
        <v>743</v>
      </c>
      <c r="G617" s="539" t="s">
        <v>600</v>
      </c>
      <c r="H617" s="539"/>
      <c r="I617" s="543"/>
      <c r="J617" s="542"/>
      <c r="K617" s="544"/>
      <c r="L617" s="560"/>
      <c r="M617" s="561"/>
      <c r="N617" s="562"/>
      <c r="O617" s="548"/>
      <c r="P617" s="549"/>
      <c r="Q617" s="3"/>
      <c r="R617" s="3"/>
    </row>
    <row r="618" spans="1:18" x14ac:dyDescent="0.25">
      <c r="A618" s="753"/>
      <c r="C618" s="496" t="s">
        <v>161</v>
      </c>
      <c r="D618" s="507">
        <f t="shared" ref="D618:D626" si="50">D617</f>
        <v>45922</v>
      </c>
      <c r="E618" s="498" t="s">
        <v>163</v>
      </c>
      <c r="F618" s="514" t="s">
        <v>743</v>
      </c>
      <c r="G618" s="514" t="s">
        <v>600</v>
      </c>
      <c r="H618" s="515"/>
      <c r="I618" s="537"/>
      <c r="J618" s="537"/>
      <c r="K618" s="537"/>
      <c r="L618" s="563"/>
      <c r="M618" s="563"/>
      <c r="N618" s="563"/>
    </row>
    <row r="619" spans="1:18" x14ac:dyDescent="0.25">
      <c r="A619" s="753"/>
      <c r="C619" s="525" t="s">
        <v>161</v>
      </c>
      <c r="D619" s="499">
        <f t="shared" si="50"/>
        <v>45922</v>
      </c>
      <c r="E619" s="500" t="s">
        <v>164</v>
      </c>
      <c r="F619" s="460" t="s">
        <v>743</v>
      </c>
      <c r="G619" s="460" t="s">
        <v>600</v>
      </c>
      <c r="H619" s="460"/>
      <c r="I619" s="540"/>
      <c r="J619" s="540"/>
      <c r="K619" s="540"/>
      <c r="L619" s="555"/>
      <c r="M619" s="555"/>
      <c r="N619" s="555"/>
    </row>
    <row r="620" spans="1:18" x14ac:dyDescent="0.25">
      <c r="A620" s="753"/>
      <c r="C620" s="526" t="s">
        <v>161</v>
      </c>
      <c r="D620" s="449">
        <f t="shared" si="50"/>
        <v>45922</v>
      </c>
      <c r="E620" s="454" t="s">
        <v>165</v>
      </c>
      <c r="F620" s="460" t="s">
        <v>743</v>
      </c>
      <c r="G620" s="460" t="s">
        <v>600</v>
      </c>
      <c r="H620" s="460"/>
      <c r="I620" s="540"/>
      <c r="J620" s="540"/>
      <c r="K620" s="540"/>
      <c r="L620" s="564"/>
      <c r="M620" s="564"/>
      <c r="N620" s="564"/>
    </row>
    <row r="621" spans="1:18" x14ac:dyDescent="0.25">
      <c r="A621" s="753"/>
      <c r="C621" s="526" t="s">
        <v>161</v>
      </c>
      <c r="D621" s="449">
        <f t="shared" si="50"/>
        <v>45922</v>
      </c>
      <c r="E621" s="454" t="s">
        <v>166</v>
      </c>
      <c r="F621" s="460" t="s">
        <v>743</v>
      </c>
      <c r="G621" s="460" t="s">
        <v>600</v>
      </c>
      <c r="H621" s="460"/>
      <c r="I621" s="540"/>
      <c r="J621" s="540"/>
      <c r="K621" s="540"/>
      <c r="L621" s="564"/>
      <c r="M621" s="564"/>
      <c r="N621" s="564"/>
    </row>
    <row r="622" spans="1:18" x14ac:dyDescent="0.25">
      <c r="A622" s="753"/>
      <c r="C622" s="526" t="s">
        <v>161</v>
      </c>
      <c r="D622" s="449">
        <f t="shared" si="50"/>
        <v>45922</v>
      </c>
      <c r="E622" s="454" t="s">
        <v>576</v>
      </c>
      <c r="F622" s="460" t="s">
        <v>145</v>
      </c>
      <c r="G622" s="460" t="s">
        <v>145</v>
      </c>
      <c r="H622" s="460"/>
      <c r="I622" s="540"/>
      <c r="J622" s="540"/>
      <c r="K622" s="540"/>
      <c r="L622" s="564"/>
      <c r="M622" s="564"/>
      <c r="N622" s="564"/>
    </row>
    <row r="623" spans="1:18" x14ac:dyDescent="0.25">
      <c r="A623" s="753"/>
      <c r="C623" s="526" t="s">
        <v>161</v>
      </c>
      <c r="D623" s="449">
        <f t="shared" si="50"/>
        <v>45922</v>
      </c>
      <c r="E623" s="454" t="s">
        <v>167</v>
      </c>
      <c r="F623" s="460" t="s">
        <v>594</v>
      </c>
      <c r="G623" s="460" t="s">
        <v>600</v>
      </c>
      <c r="H623" s="460"/>
      <c r="I623" s="540"/>
      <c r="J623" s="540"/>
      <c r="K623" s="540"/>
      <c r="L623" s="564"/>
      <c r="M623" s="564"/>
      <c r="N623" s="564"/>
    </row>
    <row r="624" spans="1:18" x14ac:dyDescent="0.25">
      <c r="A624" s="753"/>
      <c r="C624" s="526" t="s">
        <v>161</v>
      </c>
      <c r="D624" s="449">
        <f t="shared" si="50"/>
        <v>45922</v>
      </c>
      <c r="E624" s="454" t="s">
        <v>168</v>
      </c>
      <c r="F624" s="512" t="s">
        <v>594</v>
      </c>
      <c r="G624" s="512" t="s">
        <v>600</v>
      </c>
      <c r="H624" s="505"/>
      <c r="I624" s="554"/>
      <c r="J624" s="541"/>
      <c r="K624" s="541"/>
      <c r="L624" s="556"/>
      <c r="M624" s="556"/>
      <c r="N624" s="556"/>
    </row>
    <row r="625" spans="1:18" x14ac:dyDescent="0.25">
      <c r="A625" s="753"/>
      <c r="C625" s="527" t="s">
        <v>161</v>
      </c>
      <c r="D625" s="449">
        <f t="shared" si="50"/>
        <v>45922</v>
      </c>
      <c r="E625" s="454" t="s">
        <v>169</v>
      </c>
      <c r="F625" s="460" t="s">
        <v>594</v>
      </c>
      <c r="G625" s="460" t="s">
        <v>601</v>
      </c>
      <c r="H625" s="460"/>
      <c r="I625" s="540"/>
      <c r="J625" s="540"/>
      <c r="K625" s="540"/>
      <c r="L625" s="565"/>
      <c r="M625" s="565"/>
      <c r="N625" s="565"/>
    </row>
    <row r="626" spans="1:18" x14ac:dyDescent="0.25">
      <c r="A626" s="753"/>
      <c r="C626" s="527" t="s">
        <v>161</v>
      </c>
      <c r="D626" s="449">
        <f t="shared" si="50"/>
        <v>45922</v>
      </c>
      <c r="E626" s="454" t="s">
        <v>170</v>
      </c>
      <c r="F626" s="460" t="s">
        <v>594</v>
      </c>
      <c r="G626" s="460" t="s">
        <v>601</v>
      </c>
      <c r="H626" s="461"/>
      <c r="I626" s="540"/>
      <c r="J626" s="540"/>
      <c r="K626" s="540"/>
      <c r="L626" s="565"/>
      <c r="M626" s="565"/>
      <c r="N626" s="565"/>
    </row>
    <row r="627" spans="1:18" x14ac:dyDescent="0.25">
      <c r="A627" s="753"/>
      <c r="C627" s="527"/>
      <c r="D627" s="449"/>
      <c r="E627" s="454"/>
      <c r="F627" s="460"/>
      <c r="G627" s="460"/>
      <c r="H627" s="461"/>
      <c r="I627" s="540"/>
      <c r="J627" s="540"/>
      <c r="K627" s="540"/>
      <c r="L627" s="565"/>
      <c r="M627" s="565"/>
      <c r="N627" s="565"/>
    </row>
    <row r="628" spans="1:18" x14ac:dyDescent="0.25">
      <c r="A628" s="753"/>
      <c r="C628" s="527" t="s">
        <v>171</v>
      </c>
      <c r="D628" s="449">
        <f>D626+1</f>
        <v>45923</v>
      </c>
      <c r="E628" s="454" t="s">
        <v>162</v>
      </c>
      <c r="F628" s="460" t="s">
        <v>594</v>
      </c>
      <c r="G628" s="460" t="s">
        <v>601</v>
      </c>
      <c r="H628" s="504"/>
      <c r="I628" s="540"/>
      <c r="J628" s="540"/>
      <c r="K628" s="540"/>
      <c r="L628" s="566"/>
      <c r="M628" s="566"/>
      <c r="N628" s="566"/>
    </row>
    <row r="629" spans="1:18" x14ac:dyDescent="0.25">
      <c r="A629" s="753"/>
      <c r="C629" s="527" t="s">
        <v>171</v>
      </c>
      <c r="D629" s="449">
        <f t="shared" ref="D629:D637" si="51">D628</f>
        <v>45923</v>
      </c>
      <c r="E629" s="454" t="s">
        <v>163</v>
      </c>
      <c r="F629" s="505" t="s">
        <v>594</v>
      </c>
      <c r="G629" s="516" t="s">
        <v>601</v>
      </c>
      <c r="H629" s="516"/>
      <c r="I629" s="516"/>
      <c r="J629" s="516"/>
      <c r="K629" s="516"/>
      <c r="L629" s="557"/>
      <c r="M629" s="557"/>
      <c r="N629" s="557"/>
    </row>
    <row r="630" spans="1:18" x14ac:dyDescent="0.25">
      <c r="A630" s="753"/>
      <c r="C630" s="527" t="s">
        <v>171</v>
      </c>
      <c r="D630" s="449">
        <f t="shared" si="51"/>
        <v>45923</v>
      </c>
      <c r="E630" s="455" t="s">
        <v>164</v>
      </c>
      <c r="F630" s="505" t="s">
        <v>594</v>
      </c>
      <c r="G630" s="516" t="s">
        <v>601</v>
      </c>
      <c r="H630" s="516"/>
      <c r="I630" s="516"/>
      <c r="J630" s="516"/>
      <c r="K630" s="516"/>
      <c r="L630" s="557"/>
      <c r="M630" s="557"/>
      <c r="N630" s="557"/>
    </row>
    <row r="631" spans="1:18" x14ac:dyDescent="0.25">
      <c r="A631" s="753"/>
      <c r="C631" s="527" t="s">
        <v>171</v>
      </c>
      <c r="D631" s="449">
        <f t="shared" si="51"/>
        <v>45923</v>
      </c>
      <c r="E631" s="455" t="s">
        <v>165</v>
      </c>
      <c r="F631" s="506" t="s">
        <v>597</v>
      </c>
      <c r="G631" s="506" t="s">
        <v>601</v>
      </c>
      <c r="H631" s="516"/>
      <c r="I631" s="516"/>
      <c r="J631" s="516"/>
      <c r="K631" s="516"/>
      <c r="L631" s="557"/>
      <c r="M631" s="557"/>
      <c r="N631" s="557"/>
    </row>
    <row r="632" spans="1:18" x14ac:dyDescent="0.25">
      <c r="A632" s="753"/>
      <c r="C632" s="527" t="s">
        <v>171</v>
      </c>
      <c r="D632" s="449">
        <f t="shared" si="51"/>
        <v>45923</v>
      </c>
      <c r="E632" s="503" t="s">
        <v>166</v>
      </c>
      <c r="F632" s="506" t="s">
        <v>597</v>
      </c>
      <c r="G632" s="506" t="s">
        <v>601</v>
      </c>
      <c r="H632" s="516"/>
      <c r="I632" s="516"/>
      <c r="J632" s="516"/>
      <c r="K632" s="516"/>
      <c r="L632" s="557"/>
      <c r="M632" s="557"/>
      <c r="N632" s="557"/>
    </row>
    <row r="633" spans="1:18" ht="15.75" thickBot="1" x14ac:dyDescent="0.3">
      <c r="A633" s="753"/>
      <c r="C633" s="528" t="s">
        <v>171</v>
      </c>
      <c r="D633" s="451">
        <f t="shared" si="51"/>
        <v>45923</v>
      </c>
      <c r="E633" s="459" t="s">
        <v>576</v>
      </c>
      <c r="F633" s="493" t="s">
        <v>145</v>
      </c>
      <c r="G633" s="493" t="s">
        <v>145</v>
      </c>
      <c r="H633" s="513"/>
      <c r="I633" s="513"/>
      <c r="J633" s="513"/>
      <c r="K633" s="513"/>
      <c r="L633" s="558"/>
      <c r="M633" s="558"/>
      <c r="N633" s="558"/>
    </row>
    <row r="634" spans="1:18" ht="4.5" customHeight="1" thickBot="1" x14ac:dyDescent="0.3">
      <c r="A634" s="753"/>
      <c r="C634" t="s">
        <v>171</v>
      </c>
      <c r="D634">
        <f t="shared" si="51"/>
        <v>45923</v>
      </c>
      <c r="E634" t="s">
        <v>167</v>
      </c>
      <c r="F634" t="s">
        <v>597</v>
      </c>
      <c r="G634" t="s">
        <v>775</v>
      </c>
      <c r="L634" s="559"/>
      <c r="M634" s="559"/>
      <c r="N634" s="559"/>
      <c r="Q634" s="3"/>
      <c r="R634" s="3"/>
    </row>
    <row r="635" spans="1:18" ht="15" customHeight="1" thickBot="1" x14ac:dyDescent="0.3">
      <c r="A635" s="753"/>
      <c r="C635" s="538" t="s">
        <v>171</v>
      </c>
      <c r="D635" s="539">
        <f t="shared" si="51"/>
        <v>45923</v>
      </c>
      <c r="E635" s="539" t="s">
        <v>168</v>
      </c>
      <c r="F635" s="539" t="s">
        <v>597</v>
      </c>
      <c r="G635" s="539" t="s">
        <v>775</v>
      </c>
      <c r="H635" s="539"/>
      <c r="I635" s="543"/>
      <c r="J635" s="542"/>
      <c r="K635" s="544"/>
      <c r="L635" s="560"/>
      <c r="M635" s="561"/>
      <c r="N635" s="562"/>
      <c r="O635" s="548"/>
      <c r="P635" s="549"/>
      <c r="Q635" s="3"/>
      <c r="R635" s="3"/>
    </row>
    <row r="636" spans="1:18" x14ac:dyDescent="0.25">
      <c r="A636" s="753"/>
      <c r="C636" s="446" t="s">
        <v>171</v>
      </c>
      <c r="D636" s="497">
        <f t="shared" si="51"/>
        <v>45923</v>
      </c>
      <c r="E636" s="498" t="s">
        <v>169</v>
      </c>
      <c r="F636" s="514" t="s">
        <v>597</v>
      </c>
      <c r="G636" s="514" t="s">
        <v>775</v>
      </c>
      <c r="H636" s="515"/>
      <c r="I636" s="537"/>
      <c r="J636" s="537"/>
      <c r="K636" s="537"/>
      <c r="L636" s="563"/>
      <c r="M636" s="563"/>
      <c r="N636" s="563"/>
    </row>
    <row r="637" spans="1:18" x14ac:dyDescent="0.25">
      <c r="A637" s="753"/>
      <c r="C637" s="452" t="s">
        <v>171</v>
      </c>
      <c r="D637" s="499">
        <f t="shared" si="51"/>
        <v>45923</v>
      </c>
      <c r="E637" s="500" t="s">
        <v>170</v>
      </c>
      <c r="F637" s="460" t="s">
        <v>597</v>
      </c>
      <c r="G637" s="460" t="s">
        <v>775</v>
      </c>
      <c r="H637" s="501"/>
      <c r="I637" s="540"/>
      <c r="J637" s="540"/>
      <c r="K637" s="540"/>
      <c r="L637" s="555"/>
      <c r="M637" s="555"/>
      <c r="N637" s="555"/>
    </row>
    <row r="638" spans="1:18" x14ac:dyDescent="0.25">
      <c r="A638" s="753"/>
      <c r="C638" s="452"/>
      <c r="D638" s="449"/>
      <c r="E638" s="454"/>
      <c r="F638" s="460"/>
      <c r="G638" s="460"/>
      <c r="H638" s="460"/>
      <c r="I638" s="540"/>
      <c r="J638" s="540"/>
      <c r="K638" s="540"/>
      <c r="L638" s="564"/>
      <c r="M638" s="564"/>
      <c r="N638" s="564"/>
    </row>
    <row r="639" spans="1:18" x14ac:dyDescent="0.25">
      <c r="A639" s="753"/>
      <c r="C639" s="452" t="s">
        <v>172</v>
      </c>
      <c r="D639" s="449">
        <f>D637+1</f>
        <v>45924</v>
      </c>
      <c r="E639" s="454" t="s">
        <v>162</v>
      </c>
      <c r="F639" s="460" t="s">
        <v>595</v>
      </c>
      <c r="G639" s="460" t="s">
        <v>295</v>
      </c>
      <c r="H639" s="460"/>
      <c r="I639" s="540"/>
      <c r="J639" s="540"/>
      <c r="K639" s="540"/>
      <c r="L639" s="564"/>
      <c r="M639" s="564"/>
      <c r="N639" s="564"/>
    </row>
    <row r="640" spans="1:18" x14ac:dyDescent="0.25">
      <c r="A640" s="753"/>
      <c r="C640" s="452" t="s">
        <v>172</v>
      </c>
      <c r="D640" s="449">
        <f t="shared" ref="D640:D648" si="52">D639</f>
        <v>45924</v>
      </c>
      <c r="E640" s="454" t="s">
        <v>163</v>
      </c>
      <c r="F640" s="460" t="s">
        <v>595</v>
      </c>
      <c r="G640" s="460" t="s">
        <v>295</v>
      </c>
      <c r="H640" s="460"/>
      <c r="I640" s="540"/>
      <c r="J640" s="540"/>
      <c r="K640" s="540"/>
      <c r="L640" s="564"/>
      <c r="M640" s="564"/>
      <c r="N640" s="564"/>
    </row>
    <row r="641" spans="1:18" x14ac:dyDescent="0.25">
      <c r="A641" s="753"/>
      <c r="C641" s="452" t="s">
        <v>172</v>
      </c>
      <c r="D641" s="449">
        <f t="shared" si="52"/>
        <v>45924</v>
      </c>
      <c r="E641" s="454" t="s">
        <v>164</v>
      </c>
      <c r="F641" s="460" t="s">
        <v>595</v>
      </c>
      <c r="G641" s="460" t="s">
        <v>295</v>
      </c>
      <c r="H641" s="460"/>
      <c r="I641" s="540"/>
      <c r="J641" s="540"/>
      <c r="K641" s="540"/>
      <c r="L641" s="564"/>
      <c r="M641" s="564"/>
      <c r="N641" s="564"/>
    </row>
    <row r="642" spans="1:18" x14ac:dyDescent="0.25">
      <c r="A642" s="753"/>
      <c r="C642" s="452" t="s">
        <v>172</v>
      </c>
      <c r="D642" s="449">
        <f t="shared" si="52"/>
        <v>45924</v>
      </c>
      <c r="E642" s="454" t="s">
        <v>165</v>
      </c>
      <c r="F642" s="517" t="s">
        <v>595</v>
      </c>
      <c r="G642" s="512" t="s">
        <v>295</v>
      </c>
      <c r="H642" s="505"/>
      <c r="I642" s="554"/>
      <c r="J642" s="541"/>
      <c r="K642" s="541"/>
      <c r="L642" s="556"/>
      <c r="M642" s="556"/>
      <c r="N642" s="556"/>
    </row>
    <row r="643" spans="1:18" x14ac:dyDescent="0.25">
      <c r="A643" s="753"/>
      <c r="C643" s="452" t="s">
        <v>172</v>
      </c>
      <c r="D643" s="449">
        <f t="shared" si="52"/>
        <v>45924</v>
      </c>
      <c r="E643" s="454" t="s">
        <v>166</v>
      </c>
      <c r="F643" s="460" t="s">
        <v>595</v>
      </c>
      <c r="G643" s="460" t="s">
        <v>295</v>
      </c>
      <c r="H643" s="461"/>
      <c r="I643" s="540"/>
      <c r="J643" s="540"/>
      <c r="K643" s="540"/>
      <c r="L643" s="565"/>
      <c r="M643" s="565"/>
      <c r="N643" s="565"/>
    </row>
    <row r="644" spans="1:18" x14ac:dyDescent="0.25">
      <c r="A644" s="753"/>
      <c r="C644" s="452" t="s">
        <v>172</v>
      </c>
      <c r="D644" s="449">
        <f t="shared" si="52"/>
        <v>45924</v>
      </c>
      <c r="E644" s="454" t="s">
        <v>576</v>
      </c>
      <c r="F644" s="460" t="s">
        <v>145</v>
      </c>
      <c r="G644" s="460" t="s">
        <v>145</v>
      </c>
      <c r="H644" s="461"/>
      <c r="I644" s="540"/>
      <c r="J644" s="540"/>
      <c r="K644" s="540"/>
      <c r="L644" s="565"/>
      <c r="M644" s="565"/>
      <c r="N644" s="565"/>
    </row>
    <row r="645" spans="1:18" x14ac:dyDescent="0.25">
      <c r="A645" s="753"/>
      <c r="C645" s="452" t="s">
        <v>172</v>
      </c>
      <c r="D645" s="449">
        <f t="shared" si="52"/>
        <v>45924</v>
      </c>
      <c r="E645" s="454" t="s">
        <v>167</v>
      </c>
      <c r="F645" s="460" t="s">
        <v>595</v>
      </c>
      <c r="G645" s="460" t="s">
        <v>295</v>
      </c>
      <c r="H645" s="461"/>
      <c r="I645" s="540"/>
      <c r="J645" s="540"/>
      <c r="K645" s="540"/>
      <c r="L645" s="565"/>
      <c r="M645" s="565"/>
      <c r="N645" s="565"/>
    </row>
    <row r="646" spans="1:18" x14ac:dyDescent="0.25">
      <c r="A646" s="753"/>
      <c r="C646" s="452" t="s">
        <v>172</v>
      </c>
      <c r="D646" s="449">
        <f t="shared" si="52"/>
        <v>45924</v>
      </c>
      <c r="E646" s="454" t="s">
        <v>168</v>
      </c>
      <c r="F646" s="460" t="s">
        <v>595</v>
      </c>
      <c r="G646" s="460" t="s">
        <v>295</v>
      </c>
      <c r="H646" s="504"/>
      <c r="I646" s="540"/>
      <c r="J646" s="540"/>
      <c r="K646" s="540"/>
      <c r="L646" s="566"/>
      <c r="M646" s="566"/>
      <c r="N646" s="566"/>
    </row>
    <row r="647" spans="1:18" x14ac:dyDescent="0.25">
      <c r="A647" s="753"/>
      <c r="C647" s="452" t="s">
        <v>172</v>
      </c>
      <c r="D647" s="449">
        <f t="shared" si="52"/>
        <v>45924</v>
      </c>
      <c r="E647" s="454" t="s">
        <v>169</v>
      </c>
      <c r="F647" s="505" t="s">
        <v>595</v>
      </c>
      <c r="G647" s="505" t="s">
        <v>295</v>
      </c>
      <c r="H647" s="516"/>
      <c r="I647" s="516"/>
      <c r="J647" s="516"/>
      <c r="K647" s="516"/>
      <c r="L647" s="557"/>
      <c r="M647" s="557"/>
      <c r="N647" s="557"/>
    </row>
    <row r="648" spans="1:18" x14ac:dyDescent="0.25">
      <c r="A648" s="753"/>
      <c r="C648" s="448" t="s">
        <v>172</v>
      </c>
      <c r="D648" s="449">
        <f t="shared" si="52"/>
        <v>45924</v>
      </c>
      <c r="E648" s="455" t="s">
        <v>170</v>
      </c>
      <c r="F648" s="505" t="s">
        <v>595</v>
      </c>
      <c r="G648" s="505" t="s">
        <v>295</v>
      </c>
      <c r="H648" s="516"/>
      <c r="I648" s="516"/>
      <c r="J648" s="516"/>
      <c r="K648" s="516"/>
      <c r="L648" s="557"/>
      <c r="M648" s="557"/>
      <c r="N648" s="557"/>
    </row>
    <row r="649" spans="1:18" x14ac:dyDescent="0.25">
      <c r="A649" s="753"/>
      <c r="C649" s="448"/>
      <c r="D649" s="449"/>
      <c r="E649" s="455"/>
      <c r="F649" s="506"/>
      <c r="G649" s="506"/>
      <c r="H649" s="516"/>
      <c r="I649" s="516"/>
      <c r="J649" s="516"/>
      <c r="K649" s="516"/>
      <c r="L649" s="557"/>
      <c r="M649" s="557"/>
      <c r="N649" s="557"/>
    </row>
    <row r="650" spans="1:18" x14ac:dyDescent="0.25">
      <c r="A650" s="753"/>
      <c r="C650" s="448" t="s">
        <v>173</v>
      </c>
      <c r="D650" s="449">
        <f>D648+1</f>
        <v>45925</v>
      </c>
      <c r="E650" s="503" t="s">
        <v>162</v>
      </c>
      <c r="F650" s="506"/>
      <c r="G650" s="506" t="s">
        <v>295</v>
      </c>
      <c r="H650" s="516"/>
      <c r="I650" s="516"/>
      <c r="J650" s="516"/>
      <c r="K650" s="516"/>
      <c r="L650" s="557"/>
      <c r="M650" s="557"/>
      <c r="N650" s="557"/>
    </row>
    <row r="651" spans="1:18" ht="15.75" thickBot="1" x14ac:dyDescent="0.3">
      <c r="A651" s="753"/>
      <c r="C651" s="450" t="s">
        <v>173</v>
      </c>
      <c r="D651" s="451">
        <f t="shared" ref="D651:D659" si="53">D650</f>
        <v>45925</v>
      </c>
      <c r="E651" s="459" t="s">
        <v>163</v>
      </c>
      <c r="F651" s="493"/>
      <c r="G651" s="493" t="s">
        <v>295</v>
      </c>
      <c r="H651" s="513"/>
      <c r="I651" s="513"/>
      <c r="J651" s="513"/>
      <c r="K651" s="513"/>
      <c r="L651" s="558"/>
      <c r="M651" s="558"/>
      <c r="N651" s="558"/>
    </row>
    <row r="652" spans="1:18" ht="4.5" customHeight="1" thickBot="1" x14ac:dyDescent="0.3">
      <c r="A652" s="753"/>
      <c r="C652" t="s">
        <v>173</v>
      </c>
      <c r="D652">
        <f t="shared" si="53"/>
        <v>45925</v>
      </c>
      <c r="E652" t="s">
        <v>164</v>
      </c>
      <c r="G652" t="s">
        <v>295</v>
      </c>
      <c r="L652" s="559"/>
      <c r="M652" s="559"/>
      <c r="N652" s="559"/>
      <c r="Q652" s="3"/>
      <c r="R652" s="3"/>
    </row>
    <row r="653" spans="1:18" ht="15" customHeight="1" thickBot="1" x14ac:dyDescent="0.3">
      <c r="A653" s="753"/>
      <c r="C653" s="538" t="s">
        <v>173</v>
      </c>
      <c r="D653" s="539">
        <f t="shared" si="53"/>
        <v>45925</v>
      </c>
      <c r="E653" s="539" t="s">
        <v>165</v>
      </c>
      <c r="F653" s="539"/>
      <c r="G653" s="539" t="s">
        <v>295</v>
      </c>
      <c r="H653" s="539"/>
      <c r="I653" s="543"/>
      <c r="J653" s="542"/>
      <c r="K653" s="544"/>
      <c r="L653" s="560"/>
      <c r="M653" s="561"/>
      <c r="N653" s="562"/>
      <c r="O653" s="548"/>
      <c r="P653" s="549"/>
      <c r="Q653" s="3"/>
      <c r="R653" s="3"/>
    </row>
    <row r="654" spans="1:18" x14ac:dyDescent="0.25">
      <c r="A654" s="753"/>
      <c r="C654" s="446" t="s">
        <v>173</v>
      </c>
      <c r="D654" s="497">
        <f t="shared" si="53"/>
        <v>45925</v>
      </c>
      <c r="E654" s="498" t="s">
        <v>166</v>
      </c>
      <c r="F654" s="514"/>
      <c r="G654" s="514" t="s">
        <v>295</v>
      </c>
      <c r="H654" s="515"/>
      <c r="I654" s="537"/>
      <c r="J654" s="537"/>
      <c r="K654" s="537"/>
      <c r="L654" s="563"/>
      <c r="M654" s="563"/>
      <c r="N654" s="563"/>
    </row>
    <row r="655" spans="1:18" x14ac:dyDescent="0.25">
      <c r="A655" s="753"/>
      <c r="C655" s="452" t="s">
        <v>173</v>
      </c>
      <c r="D655" s="499">
        <f t="shared" si="53"/>
        <v>45925</v>
      </c>
      <c r="E655" s="500" t="s">
        <v>576</v>
      </c>
      <c r="F655" s="460" t="s">
        <v>145</v>
      </c>
      <c r="G655" s="460" t="s">
        <v>145</v>
      </c>
      <c r="H655" s="501"/>
      <c r="I655" s="540"/>
      <c r="J655" s="540"/>
      <c r="K655" s="540"/>
      <c r="L655" s="555"/>
      <c r="M655" s="555"/>
      <c r="N655" s="555"/>
    </row>
    <row r="656" spans="1:18" x14ac:dyDescent="0.25">
      <c r="A656" s="753"/>
      <c r="C656" s="452" t="s">
        <v>173</v>
      </c>
      <c r="D656" s="449">
        <f t="shared" si="53"/>
        <v>45925</v>
      </c>
      <c r="E656" s="454" t="s">
        <v>167</v>
      </c>
      <c r="F656" s="460"/>
      <c r="G656" s="460" t="s">
        <v>295</v>
      </c>
      <c r="H656" s="460"/>
      <c r="I656" s="540"/>
      <c r="J656" s="540"/>
      <c r="K656" s="540"/>
      <c r="L656" s="564"/>
      <c r="M656" s="564"/>
      <c r="N656" s="564"/>
    </row>
    <row r="657" spans="1:18" x14ac:dyDescent="0.25">
      <c r="A657" s="753"/>
      <c r="C657" s="452" t="s">
        <v>173</v>
      </c>
      <c r="D657" s="449">
        <f t="shared" si="53"/>
        <v>45925</v>
      </c>
      <c r="E657" s="454" t="s">
        <v>168</v>
      </c>
      <c r="F657" s="460"/>
      <c r="G657" s="460" t="s">
        <v>295</v>
      </c>
      <c r="H657" s="460"/>
      <c r="I657" s="540"/>
      <c r="J657" s="540"/>
      <c r="K657" s="540"/>
      <c r="L657" s="564"/>
      <c r="M657" s="564"/>
      <c r="N657" s="564"/>
    </row>
    <row r="658" spans="1:18" x14ac:dyDescent="0.25">
      <c r="A658" s="753"/>
      <c r="C658" s="452" t="s">
        <v>173</v>
      </c>
      <c r="D658" s="449">
        <f t="shared" si="53"/>
        <v>45925</v>
      </c>
      <c r="E658" s="454" t="s">
        <v>169</v>
      </c>
      <c r="F658" s="460"/>
      <c r="G658" s="460" t="s">
        <v>295</v>
      </c>
      <c r="H658" s="460"/>
      <c r="I658" s="540"/>
      <c r="J658" s="540"/>
      <c r="K658" s="540"/>
      <c r="L658" s="564"/>
      <c r="M658" s="564"/>
      <c r="N658" s="564"/>
    </row>
    <row r="659" spans="1:18" x14ac:dyDescent="0.25">
      <c r="A659" s="753"/>
      <c r="C659" s="452" t="s">
        <v>173</v>
      </c>
      <c r="D659" s="449">
        <f t="shared" si="53"/>
        <v>45925</v>
      </c>
      <c r="E659" s="454" t="s">
        <v>170</v>
      </c>
      <c r="F659" s="460"/>
      <c r="G659" s="460" t="s">
        <v>295</v>
      </c>
      <c r="H659" s="460"/>
      <c r="I659" s="540"/>
      <c r="J659" s="540"/>
      <c r="K659" s="540"/>
      <c r="L659" s="564"/>
      <c r="M659" s="564"/>
      <c r="N659" s="564"/>
    </row>
    <row r="660" spans="1:18" x14ac:dyDescent="0.25">
      <c r="A660" s="753"/>
      <c r="C660" s="452"/>
      <c r="D660" s="449"/>
      <c r="E660" s="454"/>
      <c r="F660" s="517"/>
      <c r="G660" s="512"/>
      <c r="H660" s="505"/>
      <c r="I660" s="541"/>
      <c r="J660" s="541"/>
      <c r="K660" s="541"/>
      <c r="L660" s="556"/>
      <c r="M660" s="556"/>
      <c r="N660" s="556"/>
    </row>
    <row r="661" spans="1:18" x14ac:dyDescent="0.25">
      <c r="A661" s="753"/>
      <c r="C661" s="452" t="s">
        <v>174</v>
      </c>
      <c r="D661" s="449">
        <f>D659+1</f>
        <v>45926</v>
      </c>
      <c r="E661" s="454" t="s">
        <v>162</v>
      </c>
      <c r="F661" s="460" t="s">
        <v>604</v>
      </c>
      <c r="G661" s="460" t="s">
        <v>295</v>
      </c>
      <c r="H661" s="461"/>
      <c r="I661" s="540"/>
      <c r="J661" s="540"/>
      <c r="K661" s="540"/>
      <c r="L661" s="565"/>
      <c r="M661" s="565"/>
      <c r="N661" s="565"/>
    </row>
    <row r="662" spans="1:18" x14ac:dyDescent="0.25">
      <c r="A662" s="753"/>
      <c r="C662" s="452" t="s">
        <v>174</v>
      </c>
      <c r="D662" s="449">
        <f t="shared" ref="D662:D669" si="54">D661</f>
        <v>45926</v>
      </c>
      <c r="E662" s="454" t="s">
        <v>163</v>
      </c>
      <c r="F662" s="460" t="s">
        <v>604</v>
      </c>
      <c r="G662" s="460" t="s">
        <v>295</v>
      </c>
      <c r="H662" s="461"/>
      <c r="I662" s="540"/>
      <c r="J662" s="540"/>
      <c r="K662" s="540"/>
      <c r="L662" s="565"/>
      <c r="M662" s="565"/>
      <c r="N662" s="565"/>
    </row>
    <row r="663" spans="1:18" x14ac:dyDescent="0.25">
      <c r="A663" s="753"/>
      <c r="C663" s="452" t="s">
        <v>174</v>
      </c>
      <c r="D663" s="449">
        <f t="shared" si="54"/>
        <v>45926</v>
      </c>
      <c r="E663" s="454" t="s">
        <v>164</v>
      </c>
      <c r="F663" s="460" t="s">
        <v>604</v>
      </c>
      <c r="G663" s="460" t="s">
        <v>295</v>
      </c>
      <c r="H663" s="461"/>
      <c r="I663" s="540"/>
      <c r="J663" s="540"/>
      <c r="K663" s="540"/>
      <c r="L663" s="565"/>
      <c r="M663" s="565"/>
      <c r="N663" s="565"/>
    </row>
    <row r="664" spans="1:18" x14ac:dyDescent="0.25">
      <c r="A664" s="753"/>
      <c r="C664" s="452" t="s">
        <v>174</v>
      </c>
      <c r="D664" s="449">
        <f t="shared" si="54"/>
        <v>45926</v>
      </c>
      <c r="E664" s="454" t="s">
        <v>165</v>
      </c>
      <c r="F664" s="460" t="s">
        <v>604</v>
      </c>
      <c r="G664" s="460" t="s">
        <v>295</v>
      </c>
      <c r="H664" s="504"/>
      <c r="I664" s="540"/>
      <c r="J664" s="540"/>
      <c r="K664" s="540"/>
      <c r="L664" s="565"/>
      <c r="M664" s="566"/>
      <c r="N664" s="566"/>
    </row>
    <row r="665" spans="1:18" x14ac:dyDescent="0.25">
      <c r="A665" s="753"/>
      <c r="C665" s="452" t="s">
        <v>174</v>
      </c>
      <c r="D665" s="449">
        <f t="shared" si="54"/>
        <v>45926</v>
      </c>
      <c r="E665" s="454" t="s">
        <v>166</v>
      </c>
      <c r="F665" s="505" t="s">
        <v>604</v>
      </c>
      <c r="G665" s="505" t="s">
        <v>295</v>
      </c>
      <c r="H665" s="516"/>
      <c r="I665" s="516"/>
      <c r="J665" s="516"/>
      <c r="K665" s="516"/>
      <c r="L665" s="557"/>
      <c r="M665" s="557"/>
      <c r="N665" s="557"/>
    </row>
    <row r="666" spans="1:18" x14ac:dyDescent="0.25">
      <c r="A666" s="753"/>
      <c r="C666" s="448" t="s">
        <v>174</v>
      </c>
      <c r="D666" s="449">
        <f t="shared" si="54"/>
        <v>45926</v>
      </c>
      <c r="E666" s="455" t="s">
        <v>576</v>
      </c>
      <c r="F666" s="505" t="s">
        <v>145</v>
      </c>
      <c r="G666" s="505" t="s">
        <v>145</v>
      </c>
      <c r="H666" s="516"/>
      <c r="I666" s="516"/>
      <c r="J666" s="516"/>
      <c r="K666" s="516"/>
      <c r="L666" s="557"/>
      <c r="M666" s="557"/>
      <c r="N666" s="557"/>
    </row>
    <row r="667" spans="1:18" x14ac:dyDescent="0.25">
      <c r="A667" s="753"/>
      <c r="C667" s="448" t="s">
        <v>174</v>
      </c>
      <c r="D667" s="449">
        <f t="shared" si="54"/>
        <v>45926</v>
      </c>
      <c r="E667" s="455" t="s">
        <v>167</v>
      </c>
      <c r="F667" s="506" t="s">
        <v>604</v>
      </c>
      <c r="G667" s="506" t="s">
        <v>295</v>
      </c>
      <c r="H667" s="516"/>
      <c r="I667" s="516"/>
      <c r="J667" s="516"/>
      <c r="K667" s="516"/>
      <c r="L667" s="557"/>
      <c r="M667" s="557"/>
      <c r="N667" s="557"/>
    </row>
    <row r="668" spans="1:18" x14ac:dyDescent="0.25">
      <c r="A668" s="753"/>
      <c r="C668" s="448" t="s">
        <v>174</v>
      </c>
      <c r="D668" s="449">
        <f t="shared" si="54"/>
        <v>45926</v>
      </c>
      <c r="E668" s="503" t="s">
        <v>168</v>
      </c>
      <c r="F668" s="506" t="s">
        <v>604</v>
      </c>
      <c r="G668" s="506" t="s">
        <v>295</v>
      </c>
      <c r="H668" s="516"/>
      <c r="I668" s="516"/>
      <c r="J668" s="516"/>
      <c r="K668" s="516"/>
      <c r="L668" s="557"/>
      <c r="M668" s="557"/>
      <c r="N668" s="557"/>
    </row>
    <row r="669" spans="1:18" ht="15.75" thickBot="1" x14ac:dyDescent="0.3">
      <c r="A669" s="753"/>
      <c r="C669" s="450" t="s">
        <v>174</v>
      </c>
      <c r="D669" s="451">
        <f t="shared" si="54"/>
        <v>45926</v>
      </c>
      <c r="E669" s="459" t="s">
        <v>169</v>
      </c>
      <c r="F669" s="493" t="s">
        <v>604</v>
      </c>
      <c r="G669" s="493" t="s">
        <v>295</v>
      </c>
      <c r="H669" s="513"/>
      <c r="I669" s="513"/>
      <c r="J669" s="513"/>
      <c r="K669" s="513"/>
      <c r="L669" s="558"/>
      <c r="M669" s="558"/>
      <c r="N669" s="558"/>
    </row>
    <row r="670" spans="1:18" ht="4.5" customHeight="1" thickBot="1" x14ac:dyDescent="0.3">
      <c r="A670" s="753"/>
      <c r="L670" s="559"/>
      <c r="M670" s="559"/>
      <c r="N670" s="559"/>
      <c r="Q670" s="3"/>
      <c r="R670" s="3"/>
    </row>
    <row r="671" spans="1:18" ht="15" customHeight="1" thickBot="1" x14ac:dyDescent="0.3">
      <c r="A671" s="753" t="s">
        <v>804</v>
      </c>
      <c r="C671" s="538" t="s">
        <v>161</v>
      </c>
      <c r="D671" s="539">
        <f>D669+3</f>
        <v>45929</v>
      </c>
      <c r="E671" s="539" t="s">
        <v>162</v>
      </c>
      <c r="F671" s="539" t="s">
        <v>604</v>
      </c>
      <c r="G671" s="539" t="s">
        <v>295</v>
      </c>
      <c r="H671" s="539" t="s">
        <v>807</v>
      </c>
      <c r="I671" s="543"/>
      <c r="J671" s="542"/>
      <c r="K671" s="544"/>
      <c r="L671" s="560"/>
      <c r="M671" s="561"/>
      <c r="N671" s="562"/>
      <c r="O671" s="548"/>
      <c r="P671" s="549"/>
      <c r="Q671" s="3"/>
      <c r="R671" s="3"/>
    </row>
    <row r="672" spans="1:18" x14ac:dyDescent="0.25">
      <c r="A672" s="753"/>
      <c r="C672" s="529" t="s">
        <v>161</v>
      </c>
      <c r="D672" s="447">
        <f t="shared" ref="D672:D680" si="55">D671</f>
        <v>45929</v>
      </c>
      <c r="E672" s="498" t="s">
        <v>163</v>
      </c>
      <c r="F672" s="514" t="s">
        <v>604</v>
      </c>
      <c r="G672" s="514" t="s">
        <v>295</v>
      </c>
      <c r="H672" s="515" t="s">
        <v>807</v>
      </c>
      <c r="I672" s="537"/>
      <c r="J672" s="537"/>
      <c r="K672" s="537"/>
      <c r="L672" s="563"/>
      <c r="M672" s="563"/>
      <c r="N672" s="563"/>
    </row>
    <row r="673" spans="1:18" x14ac:dyDescent="0.25">
      <c r="A673" s="753"/>
      <c r="C673" s="452" t="s">
        <v>161</v>
      </c>
      <c r="D673" s="453">
        <f t="shared" si="55"/>
        <v>45929</v>
      </c>
      <c r="E673" s="500" t="s">
        <v>164</v>
      </c>
      <c r="F673" s="460" t="s">
        <v>604</v>
      </c>
      <c r="G673" s="460" t="s">
        <v>295</v>
      </c>
      <c r="H673" s="501" t="s">
        <v>807</v>
      </c>
      <c r="I673" s="540"/>
      <c r="J673" s="540"/>
      <c r="K673" s="540"/>
      <c r="L673" s="555"/>
      <c r="M673" s="555"/>
      <c r="N673" s="555"/>
    </row>
    <row r="674" spans="1:18" x14ac:dyDescent="0.25">
      <c r="A674" s="753"/>
      <c r="C674" s="452" t="s">
        <v>161</v>
      </c>
      <c r="D674" s="453">
        <f t="shared" si="55"/>
        <v>45929</v>
      </c>
      <c r="E674" s="454" t="s">
        <v>165</v>
      </c>
      <c r="F674" s="460" t="s">
        <v>604</v>
      </c>
      <c r="G674" s="460" t="s">
        <v>295</v>
      </c>
      <c r="H674" s="460" t="s">
        <v>807</v>
      </c>
      <c r="I674" s="540"/>
      <c r="J674" s="540"/>
      <c r="K674" s="540"/>
      <c r="L674" s="564"/>
      <c r="M674" s="564"/>
      <c r="N674" s="564"/>
    </row>
    <row r="675" spans="1:18" x14ac:dyDescent="0.25">
      <c r="A675" s="753"/>
      <c r="C675" s="452" t="s">
        <v>161</v>
      </c>
      <c r="D675" s="453">
        <f t="shared" si="55"/>
        <v>45929</v>
      </c>
      <c r="E675" s="454" t="s">
        <v>166</v>
      </c>
      <c r="F675" s="460" t="s">
        <v>604</v>
      </c>
      <c r="G675" s="460" t="s">
        <v>295</v>
      </c>
      <c r="H675" s="460" t="s">
        <v>807</v>
      </c>
      <c r="I675" s="540"/>
      <c r="J675" s="540"/>
      <c r="K675" s="540"/>
      <c r="L675" s="564"/>
      <c r="M675" s="564"/>
      <c r="N675" s="564"/>
    </row>
    <row r="676" spans="1:18" x14ac:dyDescent="0.25">
      <c r="A676" s="753"/>
      <c r="C676" s="452" t="s">
        <v>161</v>
      </c>
      <c r="D676" s="453">
        <f t="shared" si="55"/>
        <v>45929</v>
      </c>
      <c r="E676" s="454" t="s">
        <v>576</v>
      </c>
      <c r="F676" s="460" t="s">
        <v>145</v>
      </c>
      <c r="G676" s="460" t="s">
        <v>145</v>
      </c>
      <c r="H676" s="460"/>
      <c r="I676" s="540"/>
      <c r="J676" s="540"/>
      <c r="K676" s="540"/>
      <c r="L676" s="564"/>
      <c r="M676" s="564"/>
      <c r="N676" s="564"/>
    </row>
    <row r="677" spans="1:18" x14ac:dyDescent="0.25">
      <c r="A677" s="753"/>
      <c r="C677" s="452" t="s">
        <v>161</v>
      </c>
      <c r="D677" s="453">
        <f t="shared" si="55"/>
        <v>45929</v>
      </c>
      <c r="E677" s="454" t="s">
        <v>167</v>
      </c>
      <c r="F677" s="460" t="s">
        <v>604</v>
      </c>
      <c r="G677" s="460" t="s">
        <v>409</v>
      </c>
      <c r="H677" s="460"/>
      <c r="I677" s="540"/>
      <c r="J677" s="540"/>
      <c r="K677" s="540"/>
      <c r="L677" s="564"/>
      <c r="M677" s="564"/>
      <c r="N677" s="564"/>
    </row>
    <row r="678" spans="1:18" x14ac:dyDescent="0.25">
      <c r="A678" s="753"/>
      <c r="C678" s="452" t="s">
        <v>161</v>
      </c>
      <c r="D678" s="453">
        <f t="shared" si="55"/>
        <v>45929</v>
      </c>
      <c r="E678" s="454" t="s">
        <v>168</v>
      </c>
      <c r="F678" s="517" t="s">
        <v>604</v>
      </c>
      <c r="G678" s="512" t="s">
        <v>409</v>
      </c>
      <c r="H678" s="505" t="s">
        <v>489</v>
      </c>
      <c r="I678" s="541"/>
      <c r="J678" s="541"/>
      <c r="K678" s="541"/>
      <c r="L678" s="556"/>
      <c r="M678" s="556"/>
      <c r="N678" s="556"/>
    </row>
    <row r="679" spans="1:18" x14ac:dyDescent="0.25">
      <c r="A679" s="753"/>
      <c r="C679" s="452" t="s">
        <v>161</v>
      </c>
      <c r="D679" s="449">
        <f t="shared" si="55"/>
        <v>45929</v>
      </c>
      <c r="E679" s="454" t="s">
        <v>169</v>
      </c>
      <c r="F679" s="460" t="s">
        <v>604</v>
      </c>
      <c r="G679" s="460" t="s">
        <v>409</v>
      </c>
      <c r="H679" s="461"/>
      <c r="I679" s="540"/>
      <c r="J679" s="540"/>
      <c r="K679" s="540"/>
      <c r="L679" s="565"/>
      <c r="M679" s="565"/>
      <c r="N679" s="565"/>
    </row>
    <row r="680" spans="1:18" x14ac:dyDescent="0.25">
      <c r="A680" s="753"/>
      <c r="C680" s="452" t="s">
        <v>161</v>
      </c>
      <c r="D680" s="449">
        <f t="shared" si="55"/>
        <v>45929</v>
      </c>
      <c r="E680" s="454" t="s">
        <v>170</v>
      </c>
      <c r="F680" s="460" t="s">
        <v>604</v>
      </c>
      <c r="G680" s="460" t="s">
        <v>409</v>
      </c>
      <c r="H680" s="461"/>
      <c r="I680" s="540"/>
      <c r="J680" s="540"/>
      <c r="K680" s="540"/>
      <c r="L680" s="565"/>
      <c r="M680" s="565"/>
      <c r="N680" s="565"/>
    </row>
    <row r="681" spans="1:18" x14ac:dyDescent="0.25">
      <c r="A681" s="753"/>
      <c r="C681" s="452"/>
      <c r="D681" s="449"/>
      <c r="E681" s="454"/>
      <c r="F681" s="460"/>
      <c r="G681" s="460"/>
      <c r="H681" s="461"/>
      <c r="I681" s="540"/>
      <c r="J681" s="540"/>
      <c r="K681" s="540"/>
      <c r="L681" s="565"/>
      <c r="M681" s="565"/>
      <c r="N681" s="565"/>
    </row>
    <row r="682" spans="1:18" x14ac:dyDescent="0.25">
      <c r="A682" s="753"/>
      <c r="C682" s="452" t="s">
        <v>171</v>
      </c>
      <c r="D682" s="449">
        <f>D680+1</f>
        <v>45930</v>
      </c>
      <c r="E682" s="454" t="s">
        <v>162</v>
      </c>
      <c r="F682" s="460" t="s">
        <v>800</v>
      </c>
      <c r="G682" s="460" t="s">
        <v>484</v>
      </c>
      <c r="H682" s="504"/>
      <c r="I682" s="545"/>
      <c r="J682" s="540"/>
      <c r="K682" s="540"/>
      <c r="L682" s="566"/>
      <c r="M682" s="566"/>
      <c r="N682" s="566"/>
    </row>
    <row r="683" spans="1:18" x14ac:dyDescent="0.25">
      <c r="A683" s="753"/>
      <c r="C683" s="452" t="s">
        <v>171</v>
      </c>
      <c r="D683" s="449">
        <f t="shared" ref="D683:D691" si="56">D682</f>
        <v>45930</v>
      </c>
      <c r="E683" s="454" t="s">
        <v>163</v>
      </c>
      <c r="F683" s="505" t="s">
        <v>800</v>
      </c>
      <c r="G683" s="505" t="s">
        <v>484</v>
      </c>
      <c r="H683" s="516"/>
      <c r="I683" s="516"/>
      <c r="J683" s="516"/>
      <c r="K683" s="516"/>
      <c r="L683" s="557"/>
      <c r="M683" s="557"/>
      <c r="N683" s="557"/>
    </row>
    <row r="684" spans="1:18" x14ac:dyDescent="0.25">
      <c r="A684" s="753"/>
      <c r="C684" s="452" t="s">
        <v>171</v>
      </c>
      <c r="D684" s="449">
        <f t="shared" si="56"/>
        <v>45930</v>
      </c>
      <c r="E684" s="455" t="s">
        <v>164</v>
      </c>
      <c r="F684" s="505" t="s">
        <v>800</v>
      </c>
      <c r="G684" s="505" t="s">
        <v>484</v>
      </c>
      <c r="H684" s="516"/>
      <c r="I684" s="516"/>
      <c r="J684" s="516"/>
      <c r="K684" s="516"/>
      <c r="L684" s="557"/>
      <c r="M684" s="557"/>
      <c r="N684" s="557"/>
    </row>
    <row r="685" spans="1:18" x14ac:dyDescent="0.25">
      <c r="A685" s="753"/>
      <c r="C685" s="452" t="s">
        <v>171</v>
      </c>
      <c r="D685" s="449">
        <f t="shared" si="56"/>
        <v>45930</v>
      </c>
      <c r="E685" s="455" t="s">
        <v>165</v>
      </c>
      <c r="F685" s="506" t="s">
        <v>800</v>
      </c>
      <c r="G685" s="506" t="s">
        <v>484</v>
      </c>
      <c r="H685" s="516"/>
      <c r="I685" s="516"/>
      <c r="J685" s="516"/>
      <c r="K685" s="516"/>
      <c r="L685" s="557"/>
      <c r="M685" s="557"/>
      <c r="N685" s="557"/>
    </row>
    <row r="686" spans="1:18" x14ac:dyDescent="0.25">
      <c r="A686" s="753"/>
      <c r="C686" s="452" t="s">
        <v>171</v>
      </c>
      <c r="D686" s="449">
        <f t="shared" si="56"/>
        <v>45930</v>
      </c>
      <c r="E686" s="503" t="s">
        <v>166</v>
      </c>
      <c r="F686" s="506" t="s">
        <v>800</v>
      </c>
      <c r="G686" s="506" t="s">
        <v>484</v>
      </c>
      <c r="H686" s="516"/>
      <c r="I686" s="516"/>
      <c r="J686" s="516"/>
      <c r="K686" s="516"/>
      <c r="L686" s="557"/>
      <c r="M686" s="557"/>
      <c r="N686" s="557"/>
    </row>
    <row r="687" spans="1:18" ht="15.75" thickBot="1" x14ac:dyDescent="0.3">
      <c r="A687" s="753"/>
      <c r="C687" s="530" t="s">
        <v>171</v>
      </c>
      <c r="D687" s="451">
        <f t="shared" si="56"/>
        <v>45930</v>
      </c>
      <c r="E687" s="459" t="s">
        <v>576</v>
      </c>
      <c r="F687" s="493" t="s">
        <v>145</v>
      </c>
      <c r="G687" s="493" t="s">
        <v>145</v>
      </c>
      <c r="H687" s="513" t="s">
        <v>145</v>
      </c>
      <c r="I687" s="513"/>
      <c r="J687" s="513"/>
      <c r="K687" s="513"/>
      <c r="L687" s="558"/>
      <c r="M687" s="558"/>
      <c r="N687" s="558"/>
    </row>
    <row r="688" spans="1:18" ht="4.5" customHeight="1" thickBot="1" x14ac:dyDescent="0.3">
      <c r="A688" s="753"/>
      <c r="C688" t="s">
        <v>171</v>
      </c>
      <c r="D688">
        <f t="shared" si="56"/>
        <v>45930</v>
      </c>
      <c r="E688" t="s">
        <v>167</v>
      </c>
      <c r="F688" t="s">
        <v>605</v>
      </c>
      <c r="G688" t="s">
        <v>484</v>
      </c>
      <c r="I688" s="420"/>
      <c r="J688" s="420"/>
      <c r="K688" s="420"/>
      <c r="L688" s="559"/>
      <c r="M688" s="559"/>
      <c r="N688" s="559"/>
      <c r="Q688" s="3"/>
      <c r="R688" s="3"/>
    </row>
    <row r="689" spans="1:18" ht="15" customHeight="1" thickBot="1" x14ac:dyDescent="0.3">
      <c r="A689" s="753"/>
      <c r="C689" s="546" t="s">
        <v>171</v>
      </c>
      <c r="D689" s="547">
        <f t="shared" si="56"/>
        <v>45930</v>
      </c>
      <c r="E689" s="539" t="s">
        <v>168</v>
      </c>
      <c r="F689" s="539" t="s">
        <v>605</v>
      </c>
      <c r="G689" s="539" t="s">
        <v>484</v>
      </c>
      <c r="H689" s="539"/>
      <c r="I689" s="543"/>
      <c r="J689" s="542"/>
      <c r="K689" s="544"/>
      <c r="L689" s="560"/>
      <c r="M689" s="561"/>
      <c r="N689" s="562"/>
      <c r="O689" s="548"/>
      <c r="P689" s="549"/>
      <c r="Q689" s="3"/>
      <c r="R689" s="3"/>
    </row>
    <row r="690" spans="1:18" x14ac:dyDescent="0.25">
      <c r="A690" s="753"/>
      <c r="C690" s="529" t="s">
        <v>171</v>
      </c>
      <c r="D690" s="447">
        <f t="shared" si="56"/>
        <v>45930</v>
      </c>
      <c r="E690" s="498" t="s">
        <v>169</v>
      </c>
      <c r="F690" s="514" t="s">
        <v>605</v>
      </c>
      <c r="G690" s="514" t="s">
        <v>484</v>
      </c>
      <c r="H690" s="514"/>
      <c r="I690" s="537"/>
      <c r="J690" s="537"/>
      <c r="K690" s="537"/>
      <c r="L690" s="563"/>
      <c r="M690" s="563"/>
      <c r="N690" s="563"/>
    </row>
    <row r="691" spans="1:18" x14ac:dyDescent="0.25">
      <c r="A691" s="753"/>
      <c r="C691" s="452" t="s">
        <v>171</v>
      </c>
      <c r="D691" s="453">
        <f t="shared" si="56"/>
        <v>45930</v>
      </c>
      <c r="E691" s="500" t="s">
        <v>170</v>
      </c>
      <c r="F691" s="569" t="s">
        <v>605</v>
      </c>
      <c r="G691" s="569" t="s">
        <v>484</v>
      </c>
      <c r="H691" s="569"/>
      <c r="I691" s="540"/>
      <c r="J691" s="540"/>
      <c r="K691" s="540"/>
      <c r="L691" s="555"/>
      <c r="M691" s="555"/>
      <c r="N691" s="555"/>
    </row>
    <row r="692" spans="1:18" x14ac:dyDescent="0.25">
      <c r="A692" s="753"/>
      <c r="C692" s="452"/>
      <c r="D692" s="453"/>
      <c r="E692" s="454"/>
      <c r="F692" s="569"/>
      <c r="G692" s="569"/>
      <c r="H692" s="569"/>
      <c r="I692" s="540"/>
      <c r="J692" s="540"/>
      <c r="K692" s="540"/>
      <c r="L692" s="564"/>
      <c r="M692" s="564"/>
      <c r="N692" s="564"/>
    </row>
    <row r="693" spans="1:18" x14ac:dyDescent="0.25">
      <c r="A693" s="753"/>
      <c r="C693" s="452" t="s">
        <v>172</v>
      </c>
      <c r="D693" s="453">
        <f>D691+1</f>
        <v>45931</v>
      </c>
      <c r="E693" s="454" t="s">
        <v>162</v>
      </c>
      <c r="F693" s="569" t="s">
        <v>605</v>
      </c>
      <c r="G693" s="569" t="s">
        <v>484</v>
      </c>
      <c r="H693" s="569"/>
      <c r="I693" s="540"/>
      <c r="J693" s="540"/>
      <c r="K693" s="540"/>
      <c r="L693" s="564"/>
      <c r="M693" s="564"/>
      <c r="N693" s="564"/>
    </row>
    <row r="694" spans="1:18" x14ac:dyDescent="0.25">
      <c r="A694" s="753"/>
      <c r="C694" s="452" t="s">
        <v>172</v>
      </c>
      <c r="D694" s="453">
        <f t="shared" ref="D694:D702" si="57">D693</f>
        <v>45931</v>
      </c>
      <c r="E694" s="454" t="s">
        <v>163</v>
      </c>
      <c r="F694" s="569" t="s">
        <v>605</v>
      </c>
      <c r="G694" s="569" t="s">
        <v>484</v>
      </c>
      <c r="H694" s="569"/>
      <c r="I694" s="540"/>
      <c r="J694" s="540"/>
      <c r="K694" s="540"/>
      <c r="L694" s="564"/>
      <c r="M694" s="564"/>
      <c r="N694" s="564"/>
    </row>
    <row r="695" spans="1:18" x14ac:dyDescent="0.25">
      <c r="A695" s="753"/>
      <c r="C695" s="452" t="s">
        <v>172</v>
      </c>
      <c r="D695" s="453">
        <f t="shared" si="57"/>
        <v>45931</v>
      </c>
      <c r="E695" s="454" t="s">
        <v>164</v>
      </c>
      <c r="F695" s="569" t="s">
        <v>605</v>
      </c>
      <c r="G695" s="569" t="s">
        <v>484</v>
      </c>
      <c r="H695" s="569"/>
      <c r="I695" s="540"/>
      <c r="J695" s="540"/>
      <c r="K695" s="540"/>
      <c r="L695" s="564"/>
      <c r="M695" s="564"/>
      <c r="N695" s="564"/>
    </row>
    <row r="696" spans="1:18" x14ac:dyDescent="0.25">
      <c r="A696" s="753"/>
      <c r="C696" s="452" t="s">
        <v>172</v>
      </c>
      <c r="D696" s="453">
        <f t="shared" si="57"/>
        <v>45931</v>
      </c>
      <c r="E696" s="454" t="s">
        <v>165</v>
      </c>
      <c r="F696" s="512" t="s">
        <v>605</v>
      </c>
      <c r="G696" s="512" t="s">
        <v>484</v>
      </c>
      <c r="H696" s="512"/>
      <c r="I696" s="541"/>
      <c r="J696" s="541"/>
      <c r="K696" s="541"/>
      <c r="L696" s="556"/>
      <c r="M696" s="556"/>
      <c r="N696" s="556"/>
    </row>
    <row r="697" spans="1:18" x14ac:dyDescent="0.25">
      <c r="A697" s="753"/>
      <c r="C697" s="452" t="s">
        <v>172</v>
      </c>
      <c r="D697" s="449">
        <f t="shared" si="57"/>
        <v>45931</v>
      </c>
      <c r="E697" s="454" t="s">
        <v>166</v>
      </c>
      <c r="F697" s="569" t="s">
        <v>605</v>
      </c>
      <c r="G697" s="569" t="s">
        <v>484</v>
      </c>
      <c r="H697" s="569"/>
      <c r="I697" s="540"/>
      <c r="J697" s="540"/>
      <c r="K697" s="540"/>
      <c r="L697" s="565"/>
      <c r="M697" s="565"/>
      <c r="N697" s="565"/>
    </row>
    <row r="698" spans="1:18" x14ac:dyDescent="0.25">
      <c r="A698" s="753"/>
      <c r="C698" s="452" t="s">
        <v>172</v>
      </c>
      <c r="D698" s="449">
        <f t="shared" si="57"/>
        <v>45931</v>
      </c>
      <c r="E698" s="454" t="s">
        <v>576</v>
      </c>
      <c r="F698" s="569" t="s">
        <v>145</v>
      </c>
      <c r="G698" s="569" t="s">
        <v>145</v>
      </c>
      <c r="H698" s="569" t="s">
        <v>145</v>
      </c>
      <c r="I698" s="540"/>
      <c r="J698" s="540"/>
      <c r="K698" s="540"/>
      <c r="L698" s="565"/>
      <c r="M698" s="565"/>
      <c r="N698" s="565"/>
    </row>
    <row r="699" spans="1:18" x14ac:dyDescent="0.25">
      <c r="A699" s="753"/>
      <c r="C699" s="452" t="s">
        <v>172</v>
      </c>
      <c r="D699" s="449">
        <f t="shared" si="57"/>
        <v>45931</v>
      </c>
      <c r="E699" s="454" t="s">
        <v>167</v>
      </c>
      <c r="F699" s="569" t="s">
        <v>605</v>
      </c>
      <c r="G699" s="569" t="s">
        <v>484</v>
      </c>
      <c r="H699" s="569"/>
      <c r="I699" s="540"/>
      <c r="J699" s="540"/>
      <c r="K699" s="540"/>
      <c r="L699" s="565"/>
      <c r="M699" s="565"/>
      <c r="N699" s="565"/>
    </row>
    <row r="700" spans="1:18" x14ac:dyDescent="0.25">
      <c r="A700" s="753"/>
      <c r="C700" s="452" t="s">
        <v>172</v>
      </c>
      <c r="D700" s="449">
        <f t="shared" si="57"/>
        <v>45931</v>
      </c>
      <c r="E700" s="454" t="s">
        <v>168</v>
      </c>
      <c r="F700" s="505" t="s">
        <v>605</v>
      </c>
      <c r="G700" s="505" t="s">
        <v>484</v>
      </c>
      <c r="H700" s="505"/>
      <c r="I700" s="516"/>
      <c r="J700" s="516"/>
      <c r="K700" s="516"/>
      <c r="L700" s="557"/>
      <c r="M700" s="557"/>
      <c r="N700" s="557"/>
    </row>
    <row r="701" spans="1:18" x14ac:dyDescent="0.25">
      <c r="A701" s="753"/>
      <c r="C701" s="452" t="s">
        <v>172</v>
      </c>
      <c r="D701" s="449">
        <f t="shared" si="57"/>
        <v>45931</v>
      </c>
      <c r="E701" s="454" t="s">
        <v>169</v>
      </c>
      <c r="F701" s="505" t="s">
        <v>605</v>
      </c>
      <c r="G701" s="505" t="s">
        <v>484</v>
      </c>
      <c r="H701" s="505"/>
      <c r="I701" s="516"/>
      <c r="J701" s="516"/>
      <c r="K701" s="516"/>
      <c r="L701" s="557"/>
      <c r="M701" s="557"/>
      <c r="N701" s="557"/>
    </row>
    <row r="702" spans="1:18" x14ac:dyDescent="0.25">
      <c r="A702" s="753"/>
      <c r="C702" s="452" t="s">
        <v>172</v>
      </c>
      <c r="D702" s="449">
        <f t="shared" si="57"/>
        <v>45931</v>
      </c>
      <c r="E702" s="455" t="s">
        <v>170</v>
      </c>
      <c r="F702" s="505" t="s">
        <v>605</v>
      </c>
      <c r="G702" s="505" t="s">
        <v>484</v>
      </c>
      <c r="H702" s="505"/>
      <c r="I702" s="516"/>
      <c r="J702" s="516"/>
      <c r="K702" s="516"/>
      <c r="L702" s="557"/>
      <c r="M702" s="557"/>
      <c r="N702" s="557"/>
    </row>
    <row r="703" spans="1:18" x14ac:dyDescent="0.25">
      <c r="A703" s="753"/>
      <c r="C703" s="452"/>
      <c r="D703" s="449"/>
      <c r="E703" s="455"/>
      <c r="F703" s="506"/>
      <c r="G703" s="506"/>
      <c r="H703" s="506"/>
      <c r="I703" s="516"/>
      <c r="J703" s="516"/>
      <c r="K703" s="516"/>
      <c r="L703" s="557"/>
      <c r="M703" s="557"/>
      <c r="N703" s="557"/>
    </row>
    <row r="704" spans="1:18" x14ac:dyDescent="0.25">
      <c r="A704" s="753"/>
      <c r="C704" s="452" t="s">
        <v>173</v>
      </c>
      <c r="D704" s="502">
        <f>D702+1</f>
        <v>45932</v>
      </c>
      <c r="E704" s="503" t="s">
        <v>162</v>
      </c>
      <c r="F704" s="506" t="s">
        <v>605</v>
      </c>
      <c r="G704" s="506" t="s">
        <v>808</v>
      </c>
      <c r="H704" s="506" t="s">
        <v>807</v>
      </c>
      <c r="I704" s="516"/>
      <c r="J704" s="516"/>
      <c r="K704" s="516"/>
      <c r="L704" s="557"/>
      <c r="M704" s="557"/>
      <c r="N704" s="557"/>
    </row>
    <row r="705" spans="1:14" ht="15.75" thickBot="1" x14ac:dyDescent="0.3">
      <c r="A705" s="753"/>
      <c r="C705" s="530" t="s">
        <v>173</v>
      </c>
      <c r="D705" s="451">
        <f t="shared" ref="D705:D713" si="58">D704</f>
        <v>45932</v>
      </c>
      <c r="E705" s="459" t="s">
        <v>163</v>
      </c>
      <c r="F705" s="493" t="s">
        <v>605</v>
      </c>
      <c r="G705" s="493" t="s">
        <v>808</v>
      </c>
      <c r="H705" s="493" t="s">
        <v>807</v>
      </c>
      <c r="I705" s="513"/>
      <c r="J705" s="513"/>
      <c r="K705" s="513"/>
      <c r="L705" s="558"/>
      <c r="M705" s="558"/>
      <c r="N705" s="558"/>
    </row>
    <row r="706" spans="1:14" x14ac:dyDescent="0.25">
      <c r="C706" t="s">
        <v>173</v>
      </c>
      <c r="D706">
        <f t="shared" si="58"/>
        <v>45932</v>
      </c>
      <c r="E706" t="s">
        <v>164</v>
      </c>
      <c r="F706" t="s">
        <v>605</v>
      </c>
      <c r="G706" t="s">
        <v>808</v>
      </c>
      <c r="H706" t="s">
        <v>807</v>
      </c>
    </row>
    <row r="707" spans="1:14" x14ac:dyDescent="0.25">
      <c r="C707" t="s">
        <v>173</v>
      </c>
      <c r="D707">
        <f t="shared" si="58"/>
        <v>45932</v>
      </c>
      <c r="E707" t="s">
        <v>165</v>
      </c>
      <c r="F707" t="s">
        <v>605</v>
      </c>
      <c r="G707" t="s">
        <v>808</v>
      </c>
      <c r="H707" t="s">
        <v>807</v>
      </c>
    </row>
    <row r="708" spans="1:14" x14ac:dyDescent="0.25">
      <c r="C708" t="s">
        <v>173</v>
      </c>
      <c r="D708">
        <f t="shared" si="58"/>
        <v>45932</v>
      </c>
      <c r="E708" t="s">
        <v>166</v>
      </c>
      <c r="F708" t="s">
        <v>605</v>
      </c>
      <c r="G708" t="s">
        <v>808</v>
      </c>
      <c r="H708" t="s">
        <v>807</v>
      </c>
    </row>
    <row r="709" spans="1:14" x14ac:dyDescent="0.25">
      <c r="C709" t="s">
        <v>173</v>
      </c>
      <c r="D709">
        <f t="shared" si="58"/>
        <v>45932</v>
      </c>
      <c r="E709" t="s">
        <v>576</v>
      </c>
      <c r="F709" t="s">
        <v>145</v>
      </c>
      <c r="G709" t="s">
        <v>145</v>
      </c>
      <c r="H709" t="s">
        <v>145</v>
      </c>
    </row>
    <row r="710" spans="1:14" x14ac:dyDescent="0.25">
      <c r="C710" t="s">
        <v>173</v>
      </c>
      <c r="D710">
        <f t="shared" si="58"/>
        <v>45932</v>
      </c>
      <c r="E710" t="s">
        <v>167</v>
      </c>
      <c r="F710" t="s">
        <v>802</v>
      </c>
      <c r="G710" t="s">
        <v>808</v>
      </c>
      <c r="H710" t="s">
        <v>807</v>
      </c>
    </row>
    <row r="711" spans="1:14" x14ac:dyDescent="0.25">
      <c r="C711" t="s">
        <v>173</v>
      </c>
      <c r="D711">
        <f t="shared" si="58"/>
        <v>45932</v>
      </c>
      <c r="E711" t="s">
        <v>168</v>
      </c>
      <c r="F711" t="s">
        <v>802</v>
      </c>
      <c r="G711" t="s">
        <v>808</v>
      </c>
      <c r="H711" t="s">
        <v>807</v>
      </c>
    </row>
    <row r="712" spans="1:14" x14ac:dyDescent="0.25">
      <c r="C712" t="s">
        <v>173</v>
      </c>
      <c r="D712">
        <f t="shared" si="58"/>
        <v>45932</v>
      </c>
      <c r="E712" t="s">
        <v>169</v>
      </c>
      <c r="F712" t="s">
        <v>802</v>
      </c>
      <c r="G712" t="s">
        <v>808</v>
      </c>
      <c r="H712" t="s">
        <v>807</v>
      </c>
    </row>
    <row r="713" spans="1:14" x14ac:dyDescent="0.25">
      <c r="C713" t="s">
        <v>173</v>
      </c>
      <c r="D713">
        <f t="shared" si="58"/>
        <v>45932</v>
      </c>
      <c r="E713" t="s">
        <v>170</v>
      </c>
      <c r="F713" t="s">
        <v>802</v>
      </c>
      <c r="G713" t="s">
        <v>808</v>
      </c>
      <c r="H713" t="s">
        <v>807</v>
      </c>
    </row>
    <row r="715" spans="1:14" x14ac:dyDescent="0.25">
      <c r="C715" t="s">
        <v>174</v>
      </c>
      <c r="D715">
        <f>D713+1</f>
        <v>45933</v>
      </c>
      <c r="E715" t="s">
        <v>162</v>
      </c>
      <c r="F715" t="s">
        <v>802</v>
      </c>
      <c r="G715" t="s">
        <v>808</v>
      </c>
      <c r="H715" t="s">
        <v>807</v>
      </c>
    </row>
    <row r="716" spans="1:14" x14ac:dyDescent="0.25">
      <c r="C716" t="s">
        <v>174</v>
      </c>
      <c r="D716">
        <f t="shared" ref="D716:D723" si="59">D715</f>
        <v>45933</v>
      </c>
      <c r="E716" t="s">
        <v>163</v>
      </c>
      <c r="F716" t="s">
        <v>802</v>
      </c>
      <c r="G716" t="s">
        <v>808</v>
      </c>
      <c r="H716" t="s">
        <v>807</v>
      </c>
    </row>
    <row r="717" spans="1:14" x14ac:dyDescent="0.25">
      <c r="C717" t="s">
        <v>174</v>
      </c>
      <c r="D717">
        <f t="shared" si="59"/>
        <v>45933</v>
      </c>
      <c r="E717" t="s">
        <v>164</v>
      </c>
      <c r="F717" t="s">
        <v>802</v>
      </c>
      <c r="G717" t="s">
        <v>808</v>
      </c>
      <c r="H717" t="s">
        <v>807</v>
      </c>
    </row>
    <row r="718" spans="1:14" x14ac:dyDescent="0.25">
      <c r="C718" t="s">
        <v>174</v>
      </c>
      <c r="D718">
        <f t="shared" si="59"/>
        <v>45933</v>
      </c>
      <c r="E718" t="s">
        <v>165</v>
      </c>
      <c r="F718" t="s">
        <v>802</v>
      </c>
      <c r="G718" t="s">
        <v>808</v>
      </c>
      <c r="H718" t="s">
        <v>807</v>
      </c>
    </row>
    <row r="719" spans="1:14" x14ac:dyDescent="0.25">
      <c r="C719" t="s">
        <v>174</v>
      </c>
      <c r="D719">
        <f t="shared" si="59"/>
        <v>45933</v>
      </c>
      <c r="E719" t="s">
        <v>166</v>
      </c>
      <c r="F719" t="s">
        <v>802</v>
      </c>
      <c r="G719" t="s">
        <v>808</v>
      </c>
      <c r="H719" t="s">
        <v>807</v>
      </c>
    </row>
    <row r="720" spans="1:14" x14ac:dyDescent="0.25">
      <c r="C720" t="s">
        <v>174</v>
      </c>
      <c r="D720">
        <f t="shared" si="59"/>
        <v>45933</v>
      </c>
      <c r="E720" t="s">
        <v>576</v>
      </c>
      <c r="F720" t="s">
        <v>145</v>
      </c>
      <c r="G720" t="s">
        <v>145</v>
      </c>
      <c r="H720" t="s">
        <v>145</v>
      </c>
    </row>
    <row r="721" spans="1:18" x14ac:dyDescent="0.25">
      <c r="C721" t="s">
        <v>174</v>
      </c>
      <c r="D721">
        <f t="shared" si="59"/>
        <v>45933</v>
      </c>
      <c r="E721" t="s">
        <v>167</v>
      </c>
      <c r="F721" t="s">
        <v>802</v>
      </c>
      <c r="G721" t="s">
        <v>808</v>
      </c>
      <c r="H721" t="s">
        <v>807</v>
      </c>
    </row>
    <row r="722" spans="1:18" x14ac:dyDescent="0.25">
      <c r="C722" t="s">
        <v>174</v>
      </c>
      <c r="D722">
        <f t="shared" si="59"/>
        <v>45933</v>
      </c>
      <c r="E722" t="s">
        <v>168</v>
      </c>
      <c r="F722" t="s">
        <v>802</v>
      </c>
      <c r="G722" t="s">
        <v>808</v>
      </c>
      <c r="H722" t="s">
        <v>807</v>
      </c>
    </row>
    <row r="723" spans="1:18" x14ac:dyDescent="0.25">
      <c r="C723" t="s">
        <v>174</v>
      </c>
      <c r="D723">
        <f t="shared" si="59"/>
        <v>45933</v>
      </c>
      <c r="E723" t="s">
        <v>169</v>
      </c>
      <c r="F723" t="s">
        <v>802</v>
      </c>
      <c r="G723" t="s">
        <v>808</v>
      </c>
      <c r="H723" t="s">
        <v>807</v>
      </c>
    </row>
    <row r="724" spans="1:18" ht="15.75" thickBot="1" x14ac:dyDescent="0.3"/>
    <row r="725" spans="1:18" ht="15" customHeight="1" thickBot="1" x14ac:dyDescent="0.3">
      <c r="A725" s="753" t="s">
        <v>805</v>
      </c>
      <c r="C725" s="538" t="s">
        <v>161</v>
      </c>
      <c r="D725" s="539">
        <f>D723+3</f>
        <v>45936</v>
      </c>
      <c r="E725" s="539" t="s">
        <v>162</v>
      </c>
      <c r="F725" s="539" t="s">
        <v>637</v>
      </c>
      <c r="G725" s="539" t="s">
        <v>485</v>
      </c>
      <c r="H725" s="539" t="s">
        <v>807</v>
      </c>
      <c r="I725" s="543"/>
      <c r="J725" s="542"/>
      <c r="K725" s="544"/>
      <c r="L725" s="560"/>
      <c r="M725" s="561"/>
      <c r="N725" s="562"/>
      <c r="O725" s="548"/>
      <c r="P725" s="549"/>
      <c r="Q725" s="3"/>
      <c r="R725" s="3"/>
    </row>
    <row r="726" spans="1:18" x14ac:dyDescent="0.25">
      <c r="A726" s="753"/>
      <c r="C726" s="496" t="s">
        <v>161</v>
      </c>
      <c r="D726" s="507">
        <f t="shared" ref="D726:D734" si="60">D725</f>
        <v>45936</v>
      </c>
      <c r="E726" s="498" t="s">
        <v>163</v>
      </c>
      <c r="F726" s="514" t="s">
        <v>637</v>
      </c>
      <c r="G726" s="514" t="s">
        <v>485</v>
      </c>
      <c r="H726" s="515" t="s">
        <v>807</v>
      </c>
      <c r="I726" s="537"/>
      <c r="J726" s="537"/>
      <c r="K726" s="537"/>
      <c r="L726" s="563"/>
      <c r="M726" s="563"/>
      <c r="N726" s="563"/>
    </row>
    <row r="727" spans="1:18" x14ac:dyDescent="0.25">
      <c r="A727" s="753"/>
      <c r="C727" s="525" t="s">
        <v>161</v>
      </c>
      <c r="D727" s="499">
        <f t="shared" si="60"/>
        <v>45936</v>
      </c>
      <c r="E727" s="500" t="s">
        <v>164</v>
      </c>
      <c r="F727" s="460" t="s">
        <v>637</v>
      </c>
      <c r="G727" s="460" t="s">
        <v>485</v>
      </c>
      <c r="H727" s="460" t="s">
        <v>807</v>
      </c>
      <c r="I727" s="540"/>
      <c r="J727" s="540"/>
      <c r="K727" s="540"/>
      <c r="L727" s="555"/>
      <c r="M727" s="555"/>
      <c r="N727" s="555"/>
    </row>
    <row r="728" spans="1:18" x14ac:dyDescent="0.25">
      <c r="A728" s="753"/>
      <c r="C728" s="526" t="s">
        <v>161</v>
      </c>
      <c r="D728" s="449">
        <f t="shared" si="60"/>
        <v>45936</v>
      </c>
      <c r="E728" s="454" t="s">
        <v>165</v>
      </c>
      <c r="F728" s="460" t="s">
        <v>637</v>
      </c>
      <c r="G728" s="460" t="s">
        <v>485</v>
      </c>
      <c r="H728" s="460" t="s">
        <v>807</v>
      </c>
      <c r="I728" s="540"/>
      <c r="J728" s="540"/>
      <c r="K728" s="540"/>
      <c r="L728" s="564"/>
      <c r="M728" s="564"/>
      <c r="N728" s="564"/>
    </row>
    <row r="729" spans="1:18" x14ac:dyDescent="0.25">
      <c r="A729" s="753"/>
      <c r="C729" s="526" t="s">
        <v>161</v>
      </c>
      <c r="D729" s="449">
        <f t="shared" si="60"/>
        <v>45936</v>
      </c>
      <c r="E729" s="454" t="s">
        <v>166</v>
      </c>
      <c r="F729" s="460" t="s">
        <v>637</v>
      </c>
      <c r="G729" s="460" t="s">
        <v>485</v>
      </c>
      <c r="H729" s="460" t="s">
        <v>807</v>
      </c>
      <c r="I729" s="540"/>
      <c r="J729" s="540"/>
      <c r="K729" s="540"/>
      <c r="L729" s="564"/>
      <c r="M729" s="564"/>
      <c r="N729" s="564"/>
    </row>
    <row r="730" spans="1:18" x14ac:dyDescent="0.25">
      <c r="A730" s="753"/>
      <c r="C730" s="526" t="s">
        <v>161</v>
      </c>
      <c r="D730" s="449">
        <f t="shared" si="60"/>
        <v>45936</v>
      </c>
      <c r="E730" s="454" t="s">
        <v>576</v>
      </c>
      <c r="F730" s="460" t="s">
        <v>145</v>
      </c>
      <c r="G730" s="460" t="s">
        <v>145</v>
      </c>
      <c r="H730" s="460" t="s">
        <v>145</v>
      </c>
      <c r="I730" s="540"/>
      <c r="J730" s="540"/>
      <c r="K730" s="540"/>
      <c r="L730" s="564"/>
      <c r="M730" s="564"/>
      <c r="N730" s="564"/>
    </row>
    <row r="731" spans="1:18" x14ac:dyDescent="0.25">
      <c r="A731" s="753"/>
      <c r="C731" s="526" t="s">
        <v>161</v>
      </c>
      <c r="D731" s="449">
        <f t="shared" si="60"/>
        <v>45936</v>
      </c>
      <c r="E731" s="454" t="s">
        <v>167</v>
      </c>
      <c r="F731" s="460" t="s">
        <v>637</v>
      </c>
      <c r="G731" s="460" t="s">
        <v>485</v>
      </c>
      <c r="H731" s="460" t="s">
        <v>807</v>
      </c>
      <c r="I731" s="540"/>
      <c r="J731" s="540"/>
      <c r="K731" s="540"/>
      <c r="L731" s="564"/>
      <c r="M731" s="564"/>
      <c r="N731" s="564"/>
    </row>
    <row r="732" spans="1:18" x14ac:dyDescent="0.25">
      <c r="A732" s="753"/>
      <c r="C732" s="526" t="s">
        <v>161</v>
      </c>
      <c r="D732" s="449">
        <f t="shared" si="60"/>
        <v>45936</v>
      </c>
      <c r="E732" s="454" t="s">
        <v>168</v>
      </c>
      <c r="F732" s="512" t="s">
        <v>637</v>
      </c>
      <c r="G732" s="512" t="s">
        <v>485</v>
      </c>
      <c r="H732" s="505" t="s">
        <v>807</v>
      </c>
      <c r="I732" s="554"/>
      <c r="J732" s="541"/>
      <c r="K732" s="541"/>
      <c r="L732" s="556"/>
      <c r="M732" s="556"/>
      <c r="N732" s="556"/>
    </row>
    <row r="733" spans="1:18" x14ac:dyDescent="0.25">
      <c r="A733" s="753"/>
      <c r="C733" s="527" t="s">
        <v>161</v>
      </c>
      <c r="D733" s="449">
        <f t="shared" si="60"/>
        <v>45936</v>
      </c>
      <c r="E733" s="454" t="s">
        <v>169</v>
      </c>
      <c r="F733" s="460" t="s">
        <v>637</v>
      </c>
      <c r="G733" s="460" t="s">
        <v>485</v>
      </c>
      <c r="H733" s="460" t="s">
        <v>807</v>
      </c>
      <c r="I733" s="540"/>
      <c r="J733" s="540"/>
      <c r="K733" s="540"/>
      <c r="L733" s="565"/>
      <c r="M733" s="565"/>
      <c r="N733" s="565"/>
    </row>
    <row r="734" spans="1:18" x14ac:dyDescent="0.25">
      <c r="A734" s="753"/>
      <c r="C734" s="527" t="s">
        <v>161</v>
      </c>
      <c r="D734" s="449">
        <f t="shared" si="60"/>
        <v>45936</v>
      </c>
      <c r="E734" s="454" t="s">
        <v>170</v>
      </c>
      <c r="F734" s="460" t="s">
        <v>637</v>
      </c>
      <c r="G734" s="460" t="s">
        <v>485</v>
      </c>
      <c r="H734" s="461" t="s">
        <v>807</v>
      </c>
      <c r="I734" s="540"/>
      <c r="J734" s="540"/>
      <c r="K734" s="540"/>
      <c r="L734" s="565"/>
      <c r="M734" s="565"/>
      <c r="N734" s="565"/>
    </row>
    <row r="735" spans="1:18" x14ac:dyDescent="0.25">
      <c r="A735" s="753"/>
      <c r="C735" s="527"/>
      <c r="D735" s="449"/>
      <c r="E735" s="454"/>
      <c r="F735" s="460"/>
      <c r="G735" s="460"/>
      <c r="H735" s="461"/>
      <c r="I735" s="540"/>
      <c r="J735" s="540"/>
      <c r="K735" s="540"/>
      <c r="L735" s="565"/>
      <c r="M735" s="565"/>
      <c r="N735" s="565"/>
    </row>
    <row r="736" spans="1:18" x14ac:dyDescent="0.25">
      <c r="A736" s="753"/>
      <c r="C736" s="527" t="s">
        <v>171</v>
      </c>
      <c r="D736" s="449">
        <f>D734+1</f>
        <v>45937</v>
      </c>
      <c r="E736" s="454" t="s">
        <v>162</v>
      </c>
      <c r="F736" s="460" t="s">
        <v>637</v>
      </c>
      <c r="G736" s="460" t="s">
        <v>485</v>
      </c>
      <c r="H736" s="504" t="s">
        <v>807</v>
      </c>
      <c r="I736" s="540"/>
      <c r="J736" s="540"/>
      <c r="K736" s="540"/>
      <c r="L736" s="566"/>
      <c r="M736" s="566"/>
      <c r="N736" s="566"/>
    </row>
    <row r="737" spans="1:18" x14ac:dyDescent="0.25">
      <c r="A737" s="753"/>
      <c r="C737" s="527" t="s">
        <v>171</v>
      </c>
      <c r="D737" s="449">
        <f t="shared" ref="D737:D745" si="61">D736</f>
        <v>45937</v>
      </c>
      <c r="E737" s="454" t="s">
        <v>163</v>
      </c>
      <c r="F737" s="505" t="s">
        <v>637</v>
      </c>
      <c r="G737" s="516" t="s">
        <v>485</v>
      </c>
      <c r="H737" s="516" t="s">
        <v>807</v>
      </c>
      <c r="I737" s="516"/>
      <c r="J737" s="516"/>
      <c r="K737" s="516"/>
      <c r="L737" s="557"/>
      <c r="M737" s="557"/>
      <c r="N737" s="557"/>
    </row>
    <row r="738" spans="1:18" x14ac:dyDescent="0.25">
      <c r="A738" s="753"/>
      <c r="C738" s="527" t="s">
        <v>171</v>
      </c>
      <c r="D738" s="449">
        <f t="shared" si="61"/>
        <v>45937</v>
      </c>
      <c r="E738" s="455" t="s">
        <v>164</v>
      </c>
      <c r="F738" s="505" t="s">
        <v>637</v>
      </c>
      <c r="G738" s="516" t="s">
        <v>485</v>
      </c>
      <c r="H738" s="516" t="s">
        <v>807</v>
      </c>
      <c r="I738" s="516"/>
      <c r="J738" s="516"/>
      <c r="K738" s="516"/>
      <c r="L738" s="557"/>
      <c r="M738" s="557"/>
      <c r="N738" s="557"/>
    </row>
    <row r="739" spans="1:18" x14ac:dyDescent="0.25">
      <c r="A739" s="753"/>
      <c r="C739" s="527" t="s">
        <v>171</v>
      </c>
      <c r="D739" s="449">
        <f t="shared" si="61"/>
        <v>45937</v>
      </c>
      <c r="E739" s="455" t="s">
        <v>165</v>
      </c>
      <c r="F739" s="506" t="s">
        <v>637</v>
      </c>
      <c r="G739" s="506" t="s">
        <v>485</v>
      </c>
      <c r="H739" s="516" t="s">
        <v>807</v>
      </c>
      <c r="I739" s="516"/>
      <c r="J739" s="516"/>
      <c r="K739" s="516"/>
      <c r="L739" s="557"/>
      <c r="M739" s="557"/>
      <c r="N739" s="557"/>
    </row>
    <row r="740" spans="1:18" x14ac:dyDescent="0.25">
      <c r="A740" s="753"/>
      <c r="C740" s="527" t="s">
        <v>171</v>
      </c>
      <c r="D740" s="449">
        <f t="shared" si="61"/>
        <v>45937</v>
      </c>
      <c r="E740" s="503" t="s">
        <v>166</v>
      </c>
      <c r="F740" s="506" t="s">
        <v>637</v>
      </c>
      <c r="G740" s="506" t="s">
        <v>485</v>
      </c>
      <c r="H740" s="516" t="s">
        <v>807</v>
      </c>
      <c r="I740" s="516"/>
      <c r="J740" s="516"/>
      <c r="K740" s="516"/>
      <c r="L740" s="557"/>
      <c r="M740" s="557"/>
      <c r="N740" s="557"/>
    </row>
    <row r="741" spans="1:18" ht="15.75" thickBot="1" x14ac:dyDescent="0.3">
      <c r="A741" s="753"/>
      <c r="C741" s="528" t="s">
        <v>171</v>
      </c>
      <c r="D741" s="451">
        <f t="shared" si="61"/>
        <v>45937</v>
      </c>
      <c r="E741" s="459" t="s">
        <v>576</v>
      </c>
      <c r="F741" s="493" t="s">
        <v>145</v>
      </c>
      <c r="G741" s="493" t="s">
        <v>145</v>
      </c>
      <c r="H741" s="513" t="s">
        <v>145</v>
      </c>
      <c r="I741" s="513"/>
      <c r="J741" s="513"/>
      <c r="K741" s="513"/>
      <c r="L741" s="558"/>
      <c r="M741" s="558"/>
      <c r="N741" s="558"/>
    </row>
    <row r="742" spans="1:18" ht="4.5" customHeight="1" thickBot="1" x14ac:dyDescent="0.3">
      <c r="A742" s="753"/>
      <c r="C742" t="s">
        <v>171</v>
      </c>
      <c r="D742">
        <f t="shared" si="61"/>
        <v>45937</v>
      </c>
      <c r="E742" t="s">
        <v>167</v>
      </c>
      <c r="F742" t="s">
        <v>637</v>
      </c>
      <c r="G742" t="s">
        <v>485</v>
      </c>
      <c r="H742" t="s">
        <v>807</v>
      </c>
      <c r="L742" s="559"/>
      <c r="M742" s="559"/>
      <c r="N742" s="559"/>
      <c r="Q742" s="3"/>
      <c r="R742" s="3"/>
    </row>
    <row r="743" spans="1:18" ht="15" customHeight="1" thickBot="1" x14ac:dyDescent="0.3">
      <c r="A743" s="753"/>
      <c r="C743" s="538" t="s">
        <v>171</v>
      </c>
      <c r="D743" s="539">
        <f t="shared" si="61"/>
        <v>45937</v>
      </c>
      <c r="E743" s="539" t="s">
        <v>168</v>
      </c>
      <c r="F743" s="539" t="s">
        <v>637</v>
      </c>
      <c r="G743" s="539" t="s">
        <v>485</v>
      </c>
      <c r="H743" s="539" t="s">
        <v>807</v>
      </c>
      <c r="I743" s="543"/>
      <c r="J743" s="542"/>
      <c r="K743" s="544"/>
      <c r="L743" s="560"/>
      <c r="M743" s="561"/>
      <c r="N743" s="562"/>
      <c r="O743" s="548"/>
      <c r="P743" s="549"/>
      <c r="Q743" s="3"/>
      <c r="R743" s="3"/>
    </row>
    <row r="744" spans="1:18" x14ac:dyDescent="0.25">
      <c r="A744" s="753"/>
      <c r="C744" s="446" t="s">
        <v>171</v>
      </c>
      <c r="D744" s="497">
        <f t="shared" si="61"/>
        <v>45937</v>
      </c>
      <c r="E744" s="498" t="s">
        <v>169</v>
      </c>
      <c r="F744" s="514" t="s">
        <v>637</v>
      </c>
      <c r="G744" s="514" t="s">
        <v>485</v>
      </c>
      <c r="H744" s="515" t="s">
        <v>807</v>
      </c>
      <c r="I744" s="537"/>
      <c r="J744" s="537"/>
      <c r="K744" s="537"/>
      <c r="L744" s="563"/>
      <c r="M744" s="563"/>
      <c r="N744" s="563"/>
    </row>
    <row r="745" spans="1:18" x14ac:dyDescent="0.25">
      <c r="A745" s="753"/>
      <c r="C745" s="452" t="s">
        <v>171</v>
      </c>
      <c r="D745" s="499">
        <f t="shared" si="61"/>
        <v>45937</v>
      </c>
      <c r="E745" s="500" t="s">
        <v>170</v>
      </c>
      <c r="F745" s="460" t="s">
        <v>637</v>
      </c>
      <c r="G745" s="460" t="s">
        <v>485</v>
      </c>
      <c r="H745" s="501" t="s">
        <v>807</v>
      </c>
      <c r="I745" s="540"/>
      <c r="J745" s="540"/>
      <c r="K745" s="540"/>
      <c r="L745" s="555"/>
      <c r="M745" s="555"/>
      <c r="N745" s="555"/>
    </row>
    <row r="746" spans="1:18" x14ac:dyDescent="0.25">
      <c r="A746" s="753"/>
      <c r="C746" s="452"/>
      <c r="D746" s="449"/>
      <c r="E746" s="454"/>
      <c r="F746" s="460"/>
      <c r="G746" s="460"/>
      <c r="H746" s="460"/>
      <c r="I746" s="540"/>
      <c r="J746" s="540"/>
      <c r="K746" s="540"/>
      <c r="L746" s="564"/>
      <c r="M746" s="564"/>
      <c r="N746" s="564"/>
    </row>
    <row r="747" spans="1:18" x14ac:dyDescent="0.25">
      <c r="A747" s="753"/>
      <c r="C747" s="452" t="s">
        <v>172</v>
      </c>
      <c r="D747" s="449">
        <f>D745+1</f>
        <v>45938</v>
      </c>
      <c r="E747" s="454" t="s">
        <v>162</v>
      </c>
      <c r="F747" s="460" t="s">
        <v>637</v>
      </c>
      <c r="G747" s="460" t="s">
        <v>481</v>
      </c>
      <c r="H747" s="460" t="s">
        <v>807</v>
      </c>
      <c r="I747" s="540"/>
      <c r="J747" s="540"/>
      <c r="K747" s="540"/>
      <c r="L747" s="564"/>
      <c r="M747" s="564"/>
      <c r="N747" s="564"/>
    </row>
    <row r="748" spans="1:18" x14ac:dyDescent="0.25">
      <c r="A748" s="753"/>
      <c r="C748" s="452" t="s">
        <v>172</v>
      </c>
      <c r="D748" s="449">
        <f t="shared" ref="D748:D756" si="62">D747</f>
        <v>45938</v>
      </c>
      <c r="E748" s="454" t="s">
        <v>163</v>
      </c>
      <c r="F748" s="460" t="s">
        <v>637</v>
      </c>
      <c r="G748" s="460" t="s">
        <v>481</v>
      </c>
      <c r="H748" s="460" t="s">
        <v>807</v>
      </c>
      <c r="I748" s="540"/>
      <c r="J748" s="540"/>
      <c r="K748" s="540"/>
      <c r="L748" s="564"/>
      <c r="M748" s="564"/>
      <c r="N748" s="564"/>
    </row>
    <row r="749" spans="1:18" x14ac:dyDescent="0.25">
      <c r="A749" s="753"/>
      <c r="C749" s="452" t="s">
        <v>172</v>
      </c>
      <c r="D749" s="449">
        <f t="shared" si="62"/>
        <v>45938</v>
      </c>
      <c r="E749" s="454" t="s">
        <v>164</v>
      </c>
      <c r="F749" s="460" t="s">
        <v>637</v>
      </c>
      <c r="G749" s="460" t="s">
        <v>481</v>
      </c>
      <c r="H749" s="460" t="s">
        <v>807</v>
      </c>
      <c r="I749" s="540"/>
      <c r="J749" s="540"/>
      <c r="K749" s="540"/>
      <c r="L749" s="564"/>
      <c r="M749" s="564"/>
      <c r="N749" s="564"/>
    </row>
    <row r="750" spans="1:18" x14ac:dyDescent="0.25">
      <c r="A750" s="753"/>
      <c r="C750" s="452" t="s">
        <v>172</v>
      </c>
      <c r="D750" s="449">
        <f t="shared" si="62"/>
        <v>45938</v>
      </c>
      <c r="E750" s="454" t="s">
        <v>165</v>
      </c>
      <c r="F750" s="517" t="s">
        <v>637</v>
      </c>
      <c r="G750" s="512" t="s">
        <v>481</v>
      </c>
      <c r="H750" s="505" t="s">
        <v>807</v>
      </c>
      <c r="I750" s="554"/>
      <c r="J750" s="541"/>
      <c r="K750" s="541"/>
      <c r="L750" s="556"/>
      <c r="M750" s="556"/>
      <c r="N750" s="556"/>
    </row>
    <row r="751" spans="1:18" x14ac:dyDescent="0.25">
      <c r="A751" s="753"/>
      <c r="C751" s="452" t="s">
        <v>172</v>
      </c>
      <c r="D751" s="449">
        <f t="shared" si="62"/>
        <v>45938</v>
      </c>
      <c r="E751" s="454" t="s">
        <v>166</v>
      </c>
      <c r="F751" s="460" t="s">
        <v>637</v>
      </c>
      <c r="G751" s="460" t="s">
        <v>481</v>
      </c>
      <c r="H751" s="461" t="s">
        <v>807</v>
      </c>
      <c r="I751" s="540"/>
      <c r="J751" s="540"/>
      <c r="K751" s="540"/>
      <c r="L751" s="565"/>
      <c r="M751" s="565"/>
      <c r="N751" s="565"/>
    </row>
    <row r="752" spans="1:18" x14ac:dyDescent="0.25">
      <c r="A752" s="753"/>
      <c r="C752" s="452" t="s">
        <v>172</v>
      </c>
      <c r="D752" s="449">
        <f t="shared" si="62"/>
        <v>45938</v>
      </c>
      <c r="E752" s="454" t="s">
        <v>576</v>
      </c>
      <c r="F752" s="460" t="s">
        <v>145</v>
      </c>
      <c r="G752" s="460" t="s">
        <v>145</v>
      </c>
      <c r="H752" s="461" t="s">
        <v>145</v>
      </c>
      <c r="I752" s="540"/>
      <c r="J752" s="540"/>
      <c r="K752" s="540"/>
      <c r="L752" s="565"/>
      <c r="M752" s="565"/>
      <c r="N752" s="565"/>
    </row>
    <row r="753" spans="1:18" x14ac:dyDescent="0.25">
      <c r="A753" s="753"/>
      <c r="C753" s="452" t="s">
        <v>172</v>
      </c>
      <c r="D753" s="449">
        <f t="shared" si="62"/>
        <v>45938</v>
      </c>
      <c r="E753" s="454" t="s">
        <v>167</v>
      </c>
      <c r="F753" s="460" t="s">
        <v>637</v>
      </c>
      <c r="G753" s="460" t="s">
        <v>481</v>
      </c>
      <c r="H753" s="461" t="s">
        <v>807</v>
      </c>
      <c r="I753" s="540"/>
      <c r="J753" s="540"/>
      <c r="K753" s="540"/>
      <c r="L753" s="565"/>
      <c r="M753" s="565"/>
      <c r="N753" s="565"/>
    </row>
    <row r="754" spans="1:18" x14ac:dyDescent="0.25">
      <c r="A754" s="753"/>
      <c r="C754" s="452" t="s">
        <v>172</v>
      </c>
      <c r="D754" s="449">
        <f t="shared" si="62"/>
        <v>45938</v>
      </c>
      <c r="E754" s="454" t="s">
        <v>168</v>
      </c>
      <c r="F754" s="460" t="s">
        <v>637</v>
      </c>
      <c r="G754" s="460" t="s">
        <v>481</v>
      </c>
      <c r="H754" s="504" t="s">
        <v>807</v>
      </c>
      <c r="I754" s="540"/>
      <c r="J754" s="540"/>
      <c r="K754" s="540"/>
      <c r="L754" s="566"/>
      <c r="M754" s="566"/>
      <c r="N754" s="566"/>
    </row>
    <row r="755" spans="1:18" x14ac:dyDescent="0.25">
      <c r="A755" s="753"/>
      <c r="C755" s="452" t="s">
        <v>172</v>
      </c>
      <c r="D755" s="449">
        <f t="shared" si="62"/>
        <v>45938</v>
      </c>
      <c r="E755" s="454" t="s">
        <v>169</v>
      </c>
      <c r="F755" s="505" t="s">
        <v>637</v>
      </c>
      <c r="G755" s="505" t="s">
        <v>481</v>
      </c>
      <c r="H755" s="516" t="s">
        <v>807</v>
      </c>
      <c r="I755" s="516"/>
      <c r="J755" s="516"/>
      <c r="K755" s="516"/>
      <c r="L755" s="557"/>
      <c r="M755" s="557"/>
      <c r="N755" s="557"/>
    </row>
    <row r="756" spans="1:18" x14ac:dyDescent="0.25">
      <c r="A756" s="753"/>
      <c r="C756" s="448" t="s">
        <v>172</v>
      </c>
      <c r="D756" s="449">
        <f t="shared" si="62"/>
        <v>45938</v>
      </c>
      <c r="E756" s="455" t="s">
        <v>170</v>
      </c>
      <c r="F756" s="505" t="s">
        <v>637</v>
      </c>
      <c r="G756" s="505" t="s">
        <v>481</v>
      </c>
      <c r="H756" s="516" t="s">
        <v>807</v>
      </c>
      <c r="I756" s="516"/>
      <c r="J756" s="516"/>
      <c r="K756" s="516"/>
      <c r="L756" s="557"/>
      <c r="M756" s="557"/>
      <c r="N756" s="557"/>
    </row>
    <row r="757" spans="1:18" x14ac:dyDescent="0.25">
      <c r="A757" s="753"/>
      <c r="C757" s="448"/>
      <c r="D757" s="449"/>
      <c r="E757" s="455"/>
      <c r="F757" s="506"/>
      <c r="G757" s="506"/>
      <c r="H757" s="516"/>
      <c r="I757" s="516"/>
      <c r="J757" s="516"/>
      <c r="K757" s="516"/>
      <c r="L757" s="557"/>
      <c r="M757" s="557"/>
      <c r="N757" s="557"/>
    </row>
    <row r="758" spans="1:18" x14ac:dyDescent="0.25">
      <c r="A758" s="753"/>
      <c r="C758" s="448" t="s">
        <v>173</v>
      </c>
      <c r="D758" s="449">
        <f>D756+1</f>
        <v>45939</v>
      </c>
      <c r="E758" s="503" t="s">
        <v>162</v>
      </c>
      <c r="F758" s="506" t="s">
        <v>637</v>
      </c>
      <c r="G758" s="506" t="s">
        <v>482</v>
      </c>
      <c r="H758" s="516"/>
      <c r="I758" s="516"/>
      <c r="J758" s="516"/>
      <c r="K758" s="516"/>
      <c r="L758" s="557"/>
      <c r="M758" s="557"/>
      <c r="N758" s="557"/>
    </row>
    <row r="759" spans="1:18" ht="15.75" thickBot="1" x14ac:dyDescent="0.3">
      <c r="A759" s="753"/>
      <c r="C759" s="450" t="s">
        <v>173</v>
      </c>
      <c r="D759" s="451">
        <f t="shared" ref="D759:D767" si="63">D758</f>
        <v>45939</v>
      </c>
      <c r="E759" s="459" t="s">
        <v>163</v>
      </c>
      <c r="F759" s="493" t="s">
        <v>637</v>
      </c>
      <c r="G759" s="493" t="s">
        <v>482</v>
      </c>
      <c r="H759" s="513"/>
      <c r="I759" s="513"/>
      <c r="J759" s="513"/>
      <c r="K759" s="513"/>
      <c r="L759" s="558"/>
      <c r="M759" s="558"/>
      <c r="N759" s="558"/>
    </row>
    <row r="760" spans="1:18" ht="4.5" customHeight="1" thickBot="1" x14ac:dyDescent="0.3">
      <c r="A760" s="753"/>
      <c r="C760" t="s">
        <v>173</v>
      </c>
      <c r="D760">
        <f t="shared" si="63"/>
        <v>45939</v>
      </c>
      <c r="E760" t="s">
        <v>164</v>
      </c>
      <c r="F760" t="s">
        <v>637</v>
      </c>
      <c r="G760" t="s">
        <v>482</v>
      </c>
      <c r="L760" s="559"/>
      <c r="M760" s="559"/>
      <c r="N760" s="559"/>
      <c r="Q760" s="3"/>
      <c r="R760" s="3"/>
    </row>
    <row r="761" spans="1:18" ht="15" customHeight="1" thickBot="1" x14ac:dyDescent="0.3">
      <c r="A761" s="753"/>
      <c r="C761" s="538" t="s">
        <v>173</v>
      </c>
      <c r="D761" s="539">
        <f t="shared" si="63"/>
        <v>45939</v>
      </c>
      <c r="E761" s="539" t="s">
        <v>165</v>
      </c>
      <c r="F761" s="539" t="s">
        <v>637</v>
      </c>
      <c r="G761" s="539" t="s">
        <v>482</v>
      </c>
      <c r="H761" s="539"/>
      <c r="I761" s="543"/>
      <c r="J761" s="542"/>
      <c r="K761" s="544"/>
      <c r="L761" s="560"/>
      <c r="M761" s="561"/>
      <c r="N761" s="562"/>
      <c r="O761" s="548"/>
      <c r="P761" s="549"/>
      <c r="Q761" s="3"/>
      <c r="R761" s="3"/>
    </row>
    <row r="762" spans="1:18" x14ac:dyDescent="0.25">
      <c r="A762" s="753"/>
      <c r="C762" s="446" t="s">
        <v>173</v>
      </c>
      <c r="D762" s="497">
        <f t="shared" si="63"/>
        <v>45939</v>
      </c>
      <c r="E762" s="498" t="s">
        <v>166</v>
      </c>
      <c r="F762" s="514" t="s">
        <v>637</v>
      </c>
      <c r="G762" s="514" t="s">
        <v>482</v>
      </c>
      <c r="H762" s="515"/>
      <c r="I762" s="537"/>
      <c r="J762" s="537"/>
      <c r="K762" s="537"/>
      <c r="L762" s="563"/>
      <c r="M762" s="563"/>
      <c r="N762" s="563"/>
    </row>
    <row r="763" spans="1:18" x14ac:dyDescent="0.25">
      <c r="A763" s="753"/>
      <c r="C763" s="452" t="s">
        <v>173</v>
      </c>
      <c r="D763" s="499">
        <f t="shared" si="63"/>
        <v>45939</v>
      </c>
      <c r="E763" s="500" t="s">
        <v>576</v>
      </c>
      <c r="F763" s="460" t="s">
        <v>145</v>
      </c>
      <c r="G763" s="460" t="s">
        <v>145</v>
      </c>
      <c r="H763" s="501" t="s">
        <v>145</v>
      </c>
      <c r="I763" s="540"/>
      <c r="J763" s="540"/>
      <c r="K763" s="540"/>
      <c r="L763" s="555"/>
      <c r="M763" s="555"/>
      <c r="N763" s="555"/>
    </row>
    <row r="764" spans="1:18" x14ac:dyDescent="0.25">
      <c r="A764" s="753"/>
      <c r="C764" s="452" t="s">
        <v>173</v>
      </c>
      <c r="D764" s="449">
        <f t="shared" si="63"/>
        <v>45939</v>
      </c>
      <c r="E764" s="454" t="s">
        <v>167</v>
      </c>
      <c r="F764" s="460" t="s">
        <v>637</v>
      </c>
      <c r="G764" s="460" t="s">
        <v>582</v>
      </c>
      <c r="H764" s="460"/>
      <c r="I764" s="540"/>
      <c r="J764" s="540"/>
      <c r="K764" s="540"/>
      <c r="L764" s="564"/>
      <c r="M764" s="564"/>
      <c r="N764" s="564"/>
    </row>
    <row r="765" spans="1:18" x14ac:dyDescent="0.25">
      <c r="A765" s="753"/>
      <c r="C765" s="452" t="s">
        <v>173</v>
      </c>
      <c r="D765" s="449">
        <f t="shared" si="63"/>
        <v>45939</v>
      </c>
      <c r="E765" s="454" t="s">
        <v>168</v>
      </c>
      <c r="F765" s="460" t="s">
        <v>637</v>
      </c>
      <c r="G765" s="460" t="s">
        <v>582</v>
      </c>
      <c r="H765" s="460"/>
      <c r="I765" s="540"/>
      <c r="J765" s="540"/>
      <c r="K765" s="540"/>
      <c r="L765" s="564"/>
      <c r="M765" s="564"/>
      <c r="N765" s="564"/>
    </row>
    <row r="766" spans="1:18" x14ac:dyDescent="0.25">
      <c r="A766" s="753"/>
      <c r="C766" s="452" t="s">
        <v>173</v>
      </c>
      <c r="D766" s="449">
        <f t="shared" si="63"/>
        <v>45939</v>
      </c>
      <c r="E766" s="454" t="s">
        <v>169</v>
      </c>
      <c r="F766" s="460" t="s">
        <v>637</v>
      </c>
      <c r="G766" s="460" t="s">
        <v>582</v>
      </c>
      <c r="H766" s="460"/>
      <c r="I766" s="540"/>
      <c r="J766" s="540"/>
      <c r="K766" s="540"/>
      <c r="L766" s="564"/>
      <c r="M766" s="564"/>
      <c r="N766" s="564"/>
    </row>
    <row r="767" spans="1:18" x14ac:dyDescent="0.25">
      <c r="A767" s="753"/>
      <c r="C767" s="452" t="s">
        <v>173</v>
      </c>
      <c r="D767" s="449">
        <f t="shared" si="63"/>
        <v>45939</v>
      </c>
      <c r="E767" s="454" t="s">
        <v>170</v>
      </c>
      <c r="F767" s="460" t="s">
        <v>637</v>
      </c>
      <c r="G767" s="460" t="s">
        <v>582</v>
      </c>
      <c r="H767" s="460"/>
      <c r="I767" s="540"/>
      <c r="J767" s="540"/>
      <c r="K767" s="540"/>
      <c r="L767" s="564"/>
      <c r="M767" s="564"/>
      <c r="N767" s="564"/>
    </row>
    <row r="768" spans="1:18" x14ac:dyDescent="0.25">
      <c r="A768" s="753"/>
      <c r="C768" s="452"/>
      <c r="D768" s="449"/>
      <c r="E768" s="454"/>
      <c r="F768" s="517"/>
      <c r="G768" s="512"/>
      <c r="H768" s="505"/>
      <c r="I768" s="541"/>
      <c r="J768" s="541"/>
      <c r="K768" s="541"/>
      <c r="L768" s="556"/>
      <c r="M768" s="556"/>
      <c r="N768" s="556"/>
    </row>
    <row r="769" spans="1:18" x14ac:dyDescent="0.25">
      <c r="A769" s="753"/>
      <c r="C769" s="452" t="s">
        <v>174</v>
      </c>
      <c r="D769" s="449">
        <f>D767+1</f>
        <v>45940</v>
      </c>
      <c r="E769" s="454" t="s">
        <v>162</v>
      </c>
      <c r="F769" s="460" t="s">
        <v>637</v>
      </c>
      <c r="G769" s="460" t="s">
        <v>582</v>
      </c>
      <c r="H769" s="461"/>
      <c r="I769" s="540"/>
      <c r="J769" s="540"/>
      <c r="K769" s="540"/>
      <c r="L769" s="565"/>
      <c r="M769" s="565"/>
      <c r="N769" s="565"/>
    </row>
    <row r="770" spans="1:18" x14ac:dyDescent="0.25">
      <c r="A770" s="753"/>
      <c r="C770" s="452" t="s">
        <v>174</v>
      </c>
      <c r="D770" s="449">
        <f t="shared" ref="D770:D777" si="64">D769</f>
        <v>45940</v>
      </c>
      <c r="E770" s="454" t="s">
        <v>163</v>
      </c>
      <c r="F770" s="460" t="s">
        <v>637</v>
      </c>
      <c r="G770" s="460" t="s">
        <v>582</v>
      </c>
      <c r="H770" s="461"/>
      <c r="I770" s="540"/>
      <c r="J770" s="540"/>
      <c r="K770" s="540"/>
      <c r="L770" s="565"/>
      <c r="M770" s="565"/>
      <c r="N770" s="565"/>
    </row>
    <row r="771" spans="1:18" x14ac:dyDescent="0.25">
      <c r="A771" s="753"/>
      <c r="C771" s="452" t="s">
        <v>174</v>
      </c>
      <c r="D771" s="449">
        <f t="shared" si="64"/>
        <v>45940</v>
      </c>
      <c r="E771" s="454" t="s">
        <v>164</v>
      </c>
      <c r="F771" s="460" t="s">
        <v>637</v>
      </c>
      <c r="G771" s="460" t="s">
        <v>582</v>
      </c>
      <c r="H771" s="461"/>
      <c r="I771" s="540"/>
      <c r="J771" s="540"/>
      <c r="K771" s="540"/>
      <c r="L771" s="565"/>
      <c r="M771" s="565"/>
      <c r="N771" s="565"/>
    </row>
    <row r="772" spans="1:18" x14ac:dyDescent="0.25">
      <c r="A772" s="753"/>
      <c r="C772" s="452" t="s">
        <v>174</v>
      </c>
      <c r="D772" s="449">
        <f t="shared" si="64"/>
        <v>45940</v>
      </c>
      <c r="E772" s="454" t="s">
        <v>165</v>
      </c>
      <c r="F772" s="460" t="s">
        <v>637</v>
      </c>
      <c r="G772" s="460" t="s">
        <v>582</v>
      </c>
      <c r="H772" s="504"/>
      <c r="I772" s="540"/>
      <c r="J772" s="540"/>
      <c r="K772" s="540"/>
      <c r="L772" s="565"/>
      <c r="M772" s="566"/>
      <c r="N772" s="566"/>
    </row>
    <row r="773" spans="1:18" x14ac:dyDescent="0.25">
      <c r="A773" s="753"/>
      <c r="C773" s="452" t="s">
        <v>174</v>
      </c>
      <c r="D773" s="449">
        <f t="shared" si="64"/>
        <v>45940</v>
      </c>
      <c r="E773" s="454" t="s">
        <v>166</v>
      </c>
      <c r="F773" s="505" t="s">
        <v>637</v>
      </c>
      <c r="G773" s="505" t="s">
        <v>582</v>
      </c>
      <c r="H773" s="516"/>
      <c r="I773" s="516"/>
      <c r="J773" s="516"/>
      <c r="K773" s="516"/>
      <c r="L773" s="557"/>
      <c r="M773" s="557"/>
      <c r="N773" s="557"/>
    </row>
    <row r="774" spans="1:18" x14ac:dyDescent="0.25">
      <c r="A774" s="753"/>
      <c r="C774" s="448" t="s">
        <v>174</v>
      </c>
      <c r="D774" s="449">
        <f t="shared" si="64"/>
        <v>45940</v>
      </c>
      <c r="E774" s="455" t="s">
        <v>576</v>
      </c>
      <c r="F774" s="505" t="s">
        <v>145</v>
      </c>
      <c r="G774" s="505" t="s">
        <v>145</v>
      </c>
      <c r="H774" s="516" t="s">
        <v>145</v>
      </c>
      <c r="I774" s="516"/>
      <c r="J774" s="516"/>
      <c r="K774" s="516"/>
      <c r="L774" s="557"/>
      <c r="M774" s="557"/>
      <c r="N774" s="557"/>
    </row>
    <row r="775" spans="1:18" x14ac:dyDescent="0.25">
      <c r="A775" s="753"/>
      <c r="C775" s="448" t="s">
        <v>174</v>
      </c>
      <c r="D775" s="449">
        <f t="shared" si="64"/>
        <v>45940</v>
      </c>
      <c r="E775" s="455" t="s">
        <v>167</v>
      </c>
      <c r="F775" s="506" t="s">
        <v>857</v>
      </c>
      <c r="G775" s="506" t="s">
        <v>582</v>
      </c>
      <c r="H775" s="516"/>
      <c r="I775" s="516"/>
      <c r="J775" s="516"/>
      <c r="K775" s="516"/>
      <c r="L775" s="557"/>
      <c r="M775" s="557"/>
      <c r="N775" s="557"/>
    </row>
    <row r="776" spans="1:18" x14ac:dyDescent="0.25">
      <c r="A776" s="753"/>
      <c r="C776" s="448" t="s">
        <v>174</v>
      </c>
      <c r="D776" s="449">
        <f t="shared" si="64"/>
        <v>45940</v>
      </c>
      <c r="E776" s="503" t="s">
        <v>168</v>
      </c>
      <c r="F776" s="506" t="s">
        <v>857</v>
      </c>
      <c r="G776" s="506" t="s">
        <v>582</v>
      </c>
      <c r="H776" s="516"/>
      <c r="I776" s="516"/>
      <c r="J776" s="516"/>
      <c r="K776" s="516"/>
      <c r="L776" s="557"/>
      <c r="M776" s="557"/>
      <c r="N776" s="557"/>
    </row>
    <row r="777" spans="1:18" ht="15.75" thickBot="1" x14ac:dyDescent="0.3">
      <c r="A777" s="753"/>
      <c r="C777" s="450" t="s">
        <v>174</v>
      </c>
      <c r="D777" s="451">
        <f t="shared" si="64"/>
        <v>45940</v>
      </c>
      <c r="E777" s="459" t="s">
        <v>169</v>
      </c>
      <c r="F777" s="493" t="s">
        <v>857</v>
      </c>
      <c r="G777" s="493" t="s">
        <v>582</v>
      </c>
      <c r="H777" s="513"/>
      <c r="I777" s="513"/>
      <c r="J777" s="513"/>
      <c r="K777" s="513"/>
      <c r="L777" s="558"/>
      <c r="M777" s="558"/>
      <c r="N777" s="558"/>
    </row>
    <row r="778" spans="1:18" ht="4.5" customHeight="1" thickBot="1" x14ac:dyDescent="0.3">
      <c r="A778" s="753"/>
      <c r="L778" s="559"/>
      <c r="M778" s="559"/>
      <c r="N778" s="559"/>
      <c r="Q778" s="3"/>
      <c r="R778" s="3"/>
    </row>
    <row r="779" spans="1:18" ht="15" customHeight="1" thickBot="1" x14ac:dyDescent="0.3">
      <c r="A779" s="753" t="s">
        <v>806</v>
      </c>
      <c r="C779" s="538" t="s">
        <v>161</v>
      </c>
      <c r="D779" s="539">
        <f>D777+3</f>
        <v>45943</v>
      </c>
      <c r="E779" s="539" t="s">
        <v>162</v>
      </c>
      <c r="F779" s="539" t="s">
        <v>856</v>
      </c>
      <c r="G779" s="539" t="s">
        <v>855</v>
      </c>
      <c r="H779" s="539"/>
      <c r="I779" s="543"/>
      <c r="J779" s="542"/>
      <c r="K779" s="544"/>
      <c r="L779" s="560"/>
      <c r="M779" s="561"/>
      <c r="N779" s="562"/>
      <c r="O779" s="548"/>
      <c r="P779" s="549"/>
      <c r="Q779" s="3"/>
      <c r="R779" s="3"/>
    </row>
    <row r="780" spans="1:18" x14ac:dyDescent="0.25">
      <c r="A780" s="753"/>
      <c r="C780" s="529" t="s">
        <v>161</v>
      </c>
      <c r="D780" s="447">
        <f t="shared" ref="D780:D788" si="65">D779</f>
        <v>45943</v>
      </c>
      <c r="E780" s="498" t="s">
        <v>163</v>
      </c>
      <c r="F780" s="514" t="s">
        <v>856</v>
      </c>
      <c r="G780" s="514" t="s">
        <v>855</v>
      </c>
      <c r="H780" s="515"/>
      <c r="I780" s="537"/>
      <c r="J780" s="537"/>
      <c r="K780" s="537"/>
      <c r="L780" s="563"/>
      <c r="M780" s="563"/>
      <c r="N780" s="563"/>
    </row>
    <row r="781" spans="1:18" x14ac:dyDescent="0.25">
      <c r="A781" s="753"/>
      <c r="C781" s="452" t="s">
        <v>161</v>
      </c>
      <c r="D781" s="453">
        <f t="shared" si="65"/>
        <v>45943</v>
      </c>
      <c r="E781" s="500" t="s">
        <v>164</v>
      </c>
      <c r="F781" s="460" t="s">
        <v>856</v>
      </c>
      <c r="G781" s="460" t="s">
        <v>855</v>
      </c>
      <c r="H781" s="501"/>
      <c r="I781" s="540"/>
      <c r="J781" s="540"/>
      <c r="K781" s="540"/>
      <c r="L781" s="555"/>
      <c r="M781" s="555"/>
      <c r="N781" s="555"/>
    </row>
    <row r="782" spans="1:18" x14ac:dyDescent="0.25">
      <c r="A782" s="753"/>
      <c r="C782" s="452" t="s">
        <v>161</v>
      </c>
      <c r="D782" s="453">
        <f t="shared" si="65"/>
        <v>45943</v>
      </c>
      <c r="E782" s="454" t="s">
        <v>165</v>
      </c>
      <c r="F782" s="460" t="s">
        <v>856</v>
      </c>
      <c r="G782" s="460" t="s">
        <v>855</v>
      </c>
      <c r="H782" s="460"/>
      <c r="I782" s="540"/>
      <c r="J782" s="540"/>
      <c r="K782" s="540"/>
      <c r="L782" s="564"/>
      <c r="M782" s="564"/>
      <c r="N782" s="564"/>
    </row>
    <row r="783" spans="1:18" x14ac:dyDescent="0.25">
      <c r="A783" s="753"/>
      <c r="C783" s="452" t="s">
        <v>161</v>
      </c>
      <c r="D783" s="453">
        <f t="shared" si="65"/>
        <v>45943</v>
      </c>
      <c r="E783" s="454" t="s">
        <v>166</v>
      </c>
      <c r="F783" s="460" t="s">
        <v>856</v>
      </c>
      <c r="G783" s="460" t="s">
        <v>855</v>
      </c>
      <c r="H783" s="460"/>
      <c r="I783" s="540"/>
      <c r="J783" s="540"/>
      <c r="K783" s="540"/>
      <c r="L783" s="564"/>
      <c r="M783" s="564"/>
      <c r="N783" s="564"/>
    </row>
    <row r="784" spans="1:18" x14ac:dyDescent="0.25">
      <c r="A784" s="753"/>
      <c r="C784" s="452" t="s">
        <v>161</v>
      </c>
      <c r="D784" s="453">
        <f t="shared" si="65"/>
        <v>45943</v>
      </c>
      <c r="E784" s="454" t="s">
        <v>576</v>
      </c>
      <c r="F784" s="460" t="s">
        <v>145</v>
      </c>
      <c r="G784" s="460" t="s">
        <v>145</v>
      </c>
      <c r="H784" s="460" t="s">
        <v>145</v>
      </c>
      <c r="I784" s="540"/>
      <c r="J784" s="540"/>
      <c r="K784" s="540"/>
      <c r="L784" s="564"/>
      <c r="M784" s="564"/>
      <c r="N784" s="564"/>
    </row>
    <row r="785" spans="1:18" x14ac:dyDescent="0.25">
      <c r="A785" s="753"/>
      <c r="C785" s="452" t="s">
        <v>161</v>
      </c>
      <c r="D785" s="453">
        <f t="shared" si="65"/>
        <v>45943</v>
      </c>
      <c r="E785" s="454" t="s">
        <v>167</v>
      </c>
      <c r="F785" s="460" t="s">
        <v>176</v>
      </c>
      <c r="G785" s="460" t="s">
        <v>855</v>
      </c>
      <c r="H785" s="460"/>
      <c r="I785" s="540"/>
      <c r="J785" s="540"/>
      <c r="K785" s="540"/>
      <c r="L785" s="564"/>
      <c r="M785" s="564"/>
      <c r="N785" s="564"/>
    </row>
    <row r="786" spans="1:18" x14ac:dyDescent="0.25">
      <c r="A786" s="753"/>
      <c r="C786" s="452" t="s">
        <v>161</v>
      </c>
      <c r="D786" s="453">
        <f t="shared" si="65"/>
        <v>45943</v>
      </c>
      <c r="E786" s="454" t="s">
        <v>168</v>
      </c>
      <c r="F786" s="517" t="s">
        <v>176</v>
      </c>
      <c r="G786" s="512" t="s">
        <v>855</v>
      </c>
      <c r="H786" s="505" t="s">
        <v>489</v>
      </c>
      <c r="I786" s="541"/>
      <c r="J786" s="541"/>
      <c r="K786" s="541"/>
      <c r="L786" s="556"/>
      <c r="M786" s="556"/>
      <c r="N786" s="556"/>
    </row>
    <row r="787" spans="1:18" x14ac:dyDescent="0.25">
      <c r="A787" s="753"/>
      <c r="C787" s="452" t="s">
        <v>161</v>
      </c>
      <c r="D787" s="449">
        <f t="shared" si="65"/>
        <v>45943</v>
      </c>
      <c r="E787" s="454" t="s">
        <v>169</v>
      </c>
      <c r="F787" s="460" t="s">
        <v>176</v>
      </c>
      <c r="G787" s="460" t="s">
        <v>855</v>
      </c>
      <c r="H787" s="461"/>
      <c r="I787" s="540"/>
      <c r="J787" s="540"/>
      <c r="K787" s="540"/>
      <c r="L787" s="565"/>
      <c r="M787" s="565"/>
      <c r="N787" s="565"/>
    </row>
    <row r="788" spans="1:18" x14ac:dyDescent="0.25">
      <c r="A788" s="753"/>
      <c r="C788" s="452" t="s">
        <v>161</v>
      </c>
      <c r="D788" s="449">
        <f t="shared" si="65"/>
        <v>45943</v>
      </c>
      <c r="E788" s="454" t="s">
        <v>170</v>
      </c>
      <c r="F788" s="460" t="s">
        <v>176</v>
      </c>
      <c r="G788" s="460" t="s">
        <v>855</v>
      </c>
      <c r="H788" s="461"/>
      <c r="I788" s="540"/>
      <c r="J788" s="540"/>
      <c r="K788" s="540"/>
      <c r="L788" s="565"/>
      <c r="M788" s="565"/>
      <c r="N788" s="565"/>
    </row>
    <row r="789" spans="1:18" x14ac:dyDescent="0.25">
      <c r="A789" s="753"/>
      <c r="C789" s="452"/>
      <c r="D789" s="449"/>
      <c r="E789" s="454"/>
      <c r="F789" s="460"/>
      <c r="G789" s="460"/>
      <c r="H789" s="461"/>
      <c r="I789" s="540"/>
      <c r="J789" s="540"/>
      <c r="K789" s="540"/>
      <c r="L789" s="565"/>
      <c r="M789" s="565"/>
      <c r="N789" s="565"/>
    </row>
    <row r="790" spans="1:18" x14ac:dyDescent="0.25">
      <c r="A790" s="753"/>
      <c r="C790" s="452" t="s">
        <v>171</v>
      </c>
      <c r="D790" s="449">
        <f>D788+1</f>
        <v>45944</v>
      </c>
      <c r="E790" s="454" t="s">
        <v>162</v>
      </c>
      <c r="F790" s="460" t="s">
        <v>487</v>
      </c>
      <c r="G790" s="460" t="s">
        <v>639</v>
      </c>
      <c r="H790" s="504"/>
      <c r="I790" s="545"/>
      <c r="J790" s="540"/>
      <c r="K790" s="540"/>
      <c r="L790" s="566"/>
      <c r="M790" s="566"/>
      <c r="N790" s="566"/>
    </row>
    <row r="791" spans="1:18" x14ac:dyDescent="0.25">
      <c r="A791" s="753"/>
      <c r="C791" s="452" t="s">
        <v>171</v>
      </c>
      <c r="D791" s="449">
        <f t="shared" ref="D791:D799" si="66">D790</f>
        <v>45944</v>
      </c>
      <c r="E791" s="454" t="s">
        <v>163</v>
      </c>
      <c r="F791" s="505" t="s">
        <v>487</v>
      </c>
      <c r="G791" s="505" t="s">
        <v>639</v>
      </c>
      <c r="H791" s="516"/>
      <c r="I791" s="516"/>
      <c r="J791" s="516"/>
      <c r="K791" s="516"/>
      <c r="L791" s="557"/>
      <c r="M791" s="557"/>
      <c r="N791" s="557"/>
    </row>
    <row r="792" spans="1:18" x14ac:dyDescent="0.25">
      <c r="A792" s="753"/>
      <c r="C792" s="452" t="s">
        <v>171</v>
      </c>
      <c r="D792" s="449">
        <f t="shared" si="66"/>
        <v>45944</v>
      </c>
      <c r="E792" s="455" t="s">
        <v>164</v>
      </c>
      <c r="F792" s="505" t="s">
        <v>487</v>
      </c>
      <c r="G792" s="505" t="s">
        <v>639</v>
      </c>
      <c r="H792" s="516"/>
      <c r="I792" s="516"/>
      <c r="J792" s="516"/>
      <c r="K792" s="516"/>
      <c r="L792" s="557"/>
      <c r="M792" s="557"/>
      <c r="N792" s="557"/>
    </row>
    <row r="793" spans="1:18" x14ac:dyDescent="0.25">
      <c r="A793" s="753"/>
      <c r="C793" s="452" t="s">
        <v>171</v>
      </c>
      <c r="D793" s="449">
        <f t="shared" si="66"/>
        <v>45944</v>
      </c>
      <c r="E793" s="455" t="s">
        <v>165</v>
      </c>
      <c r="F793" s="506" t="s">
        <v>487</v>
      </c>
      <c r="G793" s="506" t="s">
        <v>639</v>
      </c>
      <c r="H793" s="516"/>
      <c r="I793" s="516"/>
      <c r="J793" s="516"/>
      <c r="K793" s="516"/>
      <c r="L793" s="557"/>
      <c r="M793" s="557"/>
      <c r="N793" s="557"/>
    </row>
    <row r="794" spans="1:18" x14ac:dyDescent="0.25">
      <c r="A794" s="753"/>
      <c r="C794" s="452" t="s">
        <v>171</v>
      </c>
      <c r="D794" s="449">
        <f t="shared" si="66"/>
        <v>45944</v>
      </c>
      <c r="E794" s="503" t="s">
        <v>166</v>
      </c>
      <c r="F794" s="506" t="s">
        <v>487</v>
      </c>
      <c r="G794" s="506" t="s">
        <v>639</v>
      </c>
      <c r="H794" s="516"/>
      <c r="I794" s="516"/>
      <c r="J794" s="516"/>
      <c r="K794" s="516"/>
      <c r="L794" s="557"/>
      <c r="M794" s="557"/>
      <c r="N794" s="557"/>
    </row>
    <row r="795" spans="1:18" ht="15.75" thickBot="1" x14ac:dyDescent="0.3">
      <c r="A795" s="753"/>
      <c r="C795" s="530" t="s">
        <v>171</v>
      </c>
      <c r="D795" s="451">
        <f t="shared" si="66"/>
        <v>45944</v>
      </c>
      <c r="E795" s="459" t="s">
        <v>576</v>
      </c>
      <c r="F795" s="493" t="s">
        <v>145</v>
      </c>
      <c r="G795" s="493" t="s">
        <v>145</v>
      </c>
      <c r="H795" s="513" t="s">
        <v>145</v>
      </c>
      <c r="I795" s="513"/>
      <c r="J795" s="513"/>
      <c r="K795" s="513"/>
      <c r="L795" s="558"/>
      <c r="M795" s="558"/>
      <c r="N795" s="558"/>
    </row>
    <row r="796" spans="1:18" ht="4.5" customHeight="1" thickBot="1" x14ac:dyDescent="0.3">
      <c r="A796" s="753"/>
      <c r="C796" t="s">
        <v>171</v>
      </c>
      <c r="D796">
        <f t="shared" si="66"/>
        <v>45944</v>
      </c>
      <c r="E796" t="s">
        <v>167</v>
      </c>
      <c r="F796" t="s">
        <v>487</v>
      </c>
      <c r="G796" t="s">
        <v>639</v>
      </c>
      <c r="I796" s="420"/>
      <c r="J796" s="420"/>
      <c r="K796" s="420"/>
      <c r="L796" s="559"/>
      <c r="M796" s="559"/>
      <c r="N796" s="559"/>
      <c r="Q796" s="3"/>
      <c r="R796" s="3"/>
    </row>
    <row r="797" spans="1:18" ht="15" customHeight="1" thickBot="1" x14ac:dyDescent="0.3">
      <c r="A797" s="753"/>
      <c r="C797" s="546" t="s">
        <v>171</v>
      </c>
      <c r="D797" s="547">
        <f t="shared" si="66"/>
        <v>45944</v>
      </c>
      <c r="E797" s="539" t="s">
        <v>168</v>
      </c>
      <c r="F797" s="539" t="s">
        <v>487</v>
      </c>
      <c r="G797" s="539" t="s">
        <v>639</v>
      </c>
      <c r="H797" s="539"/>
      <c r="I797" s="543"/>
      <c r="J797" s="542"/>
      <c r="K797" s="544"/>
      <c r="L797" s="560"/>
      <c r="M797" s="561"/>
      <c r="N797" s="562"/>
      <c r="O797" s="548"/>
      <c r="P797" s="549"/>
      <c r="Q797" s="3"/>
      <c r="R797" s="3"/>
    </row>
    <row r="798" spans="1:18" x14ac:dyDescent="0.25">
      <c r="A798" s="753"/>
      <c r="C798" s="529" t="s">
        <v>171</v>
      </c>
      <c r="D798" s="447">
        <f t="shared" si="66"/>
        <v>45944</v>
      </c>
      <c r="E798" s="498" t="s">
        <v>169</v>
      </c>
      <c r="F798" s="514" t="s">
        <v>487</v>
      </c>
      <c r="G798" s="514" t="s">
        <v>639</v>
      </c>
      <c r="H798" s="514"/>
      <c r="I798" s="537"/>
      <c r="J798" s="537"/>
      <c r="K798" s="537"/>
      <c r="L798" s="563"/>
      <c r="M798" s="563"/>
      <c r="N798" s="563"/>
    </row>
    <row r="799" spans="1:18" x14ac:dyDescent="0.25">
      <c r="A799" s="753"/>
      <c r="C799" s="452" t="s">
        <v>171</v>
      </c>
      <c r="D799" s="453">
        <f t="shared" si="66"/>
        <v>45944</v>
      </c>
      <c r="E799" s="500" t="s">
        <v>170</v>
      </c>
      <c r="F799" s="569" t="s">
        <v>487</v>
      </c>
      <c r="G799" s="569" t="s">
        <v>639</v>
      </c>
      <c r="H799" s="569"/>
      <c r="I799" s="540"/>
      <c r="J799" s="540"/>
      <c r="K799" s="540"/>
      <c r="L799" s="555"/>
      <c r="M799" s="555"/>
      <c r="N799" s="555"/>
    </row>
    <row r="800" spans="1:18" x14ac:dyDescent="0.25">
      <c r="A800" s="753"/>
      <c r="C800" s="452"/>
      <c r="D800" s="453"/>
      <c r="E800" s="454"/>
      <c r="F800" s="569"/>
      <c r="G800" s="569"/>
      <c r="H800" s="569"/>
      <c r="I800" s="540"/>
      <c r="J800" s="540"/>
      <c r="K800" s="540"/>
      <c r="L800" s="564"/>
      <c r="M800" s="564"/>
      <c r="N800" s="564"/>
    </row>
    <row r="801" spans="1:14" x14ac:dyDescent="0.25">
      <c r="A801" s="753"/>
      <c r="C801" s="452" t="s">
        <v>172</v>
      </c>
      <c r="D801" s="453">
        <f>D799+1</f>
        <v>45945</v>
      </c>
      <c r="E801" s="454" t="s">
        <v>162</v>
      </c>
      <c r="F801" s="569" t="s">
        <v>487</v>
      </c>
      <c r="G801" s="569" t="s">
        <v>639</v>
      </c>
      <c r="H801" s="569"/>
      <c r="I801" s="540"/>
      <c r="J801" s="540"/>
      <c r="K801" s="540"/>
      <c r="L801" s="564"/>
      <c r="M801" s="564"/>
      <c r="N801" s="564"/>
    </row>
    <row r="802" spans="1:14" x14ac:dyDescent="0.25">
      <c r="A802" s="753"/>
      <c r="C802" s="452" t="s">
        <v>172</v>
      </c>
      <c r="D802" s="453">
        <f t="shared" ref="D802:D810" si="67">D801</f>
        <v>45945</v>
      </c>
      <c r="E802" s="454" t="s">
        <v>163</v>
      </c>
      <c r="F802" s="569" t="s">
        <v>487</v>
      </c>
      <c r="G802" s="569" t="s">
        <v>639</v>
      </c>
      <c r="H802" s="569"/>
      <c r="I802" s="540"/>
      <c r="J802" s="540"/>
      <c r="K802" s="540"/>
      <c r="L802" s="564"/>
      <c r="M802" s="564"/>
      <c r="N802" s="564"/>
    </row>
    <row r="803" spans="1:14" x14ac:dyDescent="0.25">
      <c r="A803" s="753"/>
      <c r="C803" s="452" t="s">
        <v>172</v>
      </c>
      <c r="D803" s="453">
        <f t="shared" si="67"/>
        <v>45945</v>
      </c>
      <c r="E803" s="454" t="s">
        <v>164</v>
      </c>
      <c r="F803" s="569" t="s">
        <v>487</v>
      </c>
      <c r="G803" s="569" t="s">
        <v>639</v>
      </c>
      <c r="H803" s="569"/>
      <c r="I803" s="540"/>
      <c r="J803" s="540"/>
      <c r="K803" s="540"/>
      <c r="L803" s="564"/>
      <c r="M803" s="564"/>
      <c r="N803" s="564"/>
    </row>
    <row r="804" spans="1:14" x14ac:dyDescent="0.25">
      <c r="A804" s="753"/>
      <c r="C804" s="452" t="s">
        <v>172</v>
      </c>
      <c r="D804" s="453">
        <f t="shared" si="67"/>
        <v>45945</v>
      </c>
      <c r="E804" s="454" t="s">
        <v>165</v>
      </c>
      <c r="F804" s="512" t="s">
        <v>487</v>
      </c>
      <c r="G804" s="512" t="s">
        <v>639</v>
      </c>
      <c r="H804" s="512"/>
      <c r="I804" s="541"/>
      <c r="J804" s="541"/>
      <c r="K804" s="541"/>
      <c r="L804" s="556"/>
      <c r="M804" s="556"/>
      <c r="N804" s="556"/>
    </row>
    <row r="805" spans="1:14" x14ac:dyDescent="0.25">
      <c r="A805" s="753"/>
      <c r="C805" s="452" t="s">
        <v>172</v>
      </c>
      <c r="D805" s="449">
        <f t="shared" si="67"/>
        <v>45945</v>
      </c>
      <c r="E805" s="454" t="s">
        <v>166</v>
      </c>
      <c r="F805" s="569" t="s">
        <v>487</v>
      </c>
      <c r="G805" s="569" t="s">
        <v>639</v>
      </c>
      <c r="H805" s="569"/>
      <c r="I805" s="540"/>
      <c r="J805" s="540"/>
      <c r="K805" s="540"/>
      <c r="L805" s="565"/>
      <c r="M805" s="565"/>
      <c r="N805" s="565"/>
    </row>
    <row r="806" spans="1:14" x14ac:dyDescent="0.25">
      <c r="A806" s="753"/>
      <c r="C806" s="452" t="s">
        <v>172</v>
      </c>
      <c r="D806" s="449">
        <f t="shared" si="67"/>
        <v>45945</v>
      </c>
      <c r="E806" s="454" t="s">
        <v>576</v>
      </c>
      <c r="F806" s="569" t="s">
        <v>145</v>
      </c>
      <c r="G806" s="569" t="s">
        <v>145</v>
      </c>
      <c r="H806" s="569" t="s">
        <v>145</v>
      </c>
      <c r="I806" s="540"/>
      <c r="J806" s="540"/>
      <c r="K806" s="540"/>
      <c r="L806" s="565"/>
      <c r="M806" s="565"/>
      <c r="N806" s="565"/>
    </row>
    <row r="807" spans="1:14" x14ac:dyDescent="0.25">
      <c r="A807" s="753"/>
      <c r="C807" s="452" t="s">
        <v>172</v>
      </c>
      <c r="D807" s="449">
        <f t="shared" si="67"/>
        <v>45945</v>
      </c>
      <c r="E807" s="454" t="s">
        <v>167</v>
      </c>
      <c r="F807" s="569" t="s">
        <v>867</v>
      </c>
      <c r="G807" s="569" t="s">
        <v>639</v>
      </c>
      <c r="H807" s="569"/>
      <c r="I807" s="540"/>
      <c r="J807" s="540"/>
      <c r="K807" s="540"/>
      <c r="L807" s="565"/>
      <c r="M807" s="565"/>
      <c r="N807" s="565"/>
    </row>
    <row r="808" spans="1:14" x14ac:dyDescent="0.25">
      <c r="A808" s="753"/>
      <c r="C808" s="452" t="s">
        <v>172</v>
      </c>
      <c r="D808" s="449">
        <f t="shared" si="67"/>
        <v>45945</v>
      </c>
      <c r="E808" s="454" t="s">
        <v>168</v>
      </c>
      <c r="F808" s="505" t="s">
        <v>867</v>
      </c>
      <c r="G808" s="505" t="s">
        <v>639</v>
      </c>
      <c r="H808" s="505"/>
      <c r="I808" s="516"/>
      <c r="J808" s="516"/>
      <c r="K808" s="516"/>
      <c r="L808" s="557"/>
      <c r="M808" s="557"/>
      <c r="N808" s="557"/>
    </row>
    <row r="809" spans="1:14" x14ac:dyDescent="0.25">
      <c r="A809" s="753"/>
      <c r="C809" s="452" t="s">
        <v>172</v>
      </c>
      <c r="D809" s="449">
        <f t="shared" si="67"/>
        <v>45945</v>
      </c>
      <c r="E809" s="454" t="s">
        <v>169</v>
      </c>
      <c r="F809" s="505" t="s">
        <v>867</v>
      </c>
      <c r="G809" s="505" t="s">
        <v>639</v>
      </c>
      <c r="H809" s="505"/>
      <c r="I809" s="516"/>
      <c r="J809" s="516"/>
      <c r="K809" s="516"/>
      <c r="L809" s="557"/>
      <c r="M809" s="557"/>
      <c r="N809" s="557"/>
    </row>
    <row r="810" spans="1:14" x14ac:dyDescent="0.25">
      <c r="A810" s="753"/>
      <c r="C810" s="452" t="s">
        <v>172</v>
      </c>
      <c r="D810" s="449">
        <f t="shared" si="67"/>
        <v>45945</v>
      </c>
      <c r="E810" s="455" t="s">
        <v>170</v>
      </c>
      <c r="F810" s="505" t="s">
        <v>867</v>
      </c>
      <c r="G810" s="505" t="s">
        <v>639</v>
      </c>
      <c r="H810" s="505"/>
      <c r="I810" s="516"/>
      <c r="J810" s="516"/>
      <c r="K810" s="516"/>
      <c r="L810" s="557"/>
      <c r="M810" s="557"/>
      <c r="N810" s="557"/>
    </row>
    <row r="811" spans="1:14" x14ac:dyDescent="0.25">
      <c r="A811" s="753"/>
      <c r="C811" s="452"/>
      <c r="D811" s="449"/>
      <c r="E811" s="455"/>
      <c r="F811" s="506"/>
      <c r="G811" s="506"/>
      <c r="H811" s="506"/>
      <c r="I811" s="516"/>
      <c r="J811" s="516"/>
      <c r="K811" s="516"/>
      <c r="L811" s="557"/>
      <c r="M811" s="557"/>
      <c r="N811" s="557"/>
    </row>
    <row r="812" spans="1:14" x14ac:dyDescent="0.25">
      <c r="A812" s="753"/>
      <c r="C812" s="452" t="s">
        <v>173</v>
      </c>
      <c r="D812" s="502">
        <f>D810+1</f>
        <v>45946</v>
      </c>
      <c r="E812" s="503" t="s">
        <v>162</v>
      </c>
      <c r="F812" s="506" t="s">
        <v>867</v>
      </c>
      <c r="G812" s="506" t="s">
        <v>639</v>
      </c>
      <c r="H812" s="506"/>
      <c r="I812" s="516"/>
      <c r="J812" s="516"/>
      <c r="K812" s="516"/>
      <c r="L812" s="557"/>
      <c r="M812" s="557"/>
      <c r="N812" s="557"/>
    </row>
    <row r="813" spans="1:14" ht="15.75" thickBot="1" x14ac:dyDescent="0.3">
      <c r="A813" s="753"/>
      <c r="C813" s="530" t="s">
        <v>173</v>
      </c>
      <c r="D813" s="451">
        <f t="shared" ref="D813:D821" si="68">D812</f>
        <v>45946</v>
      </c>
      <c r="E813" s="459" t="s">
        <v>163</v>
      </c>
      <c r="F813" s="493" t="s">
        <v>867</v>
      </c>
      <c r="G813" s="493" t="s">
        <v>639</v>
      </c>
      <c r="H813" s="493"/>
      <c r="I813" s="513"/>
      <c r="J813" s="513"/>
      <c r="K813" s="513"/>
      <c r="L813" s="558"/>
      <c r="M813" s="558"/>
      <c r="N813" s="558"/>
    </row>
    <row r="814" spans="1:14" x14ac:dyDescent="0.25">
      <c r="C814" t="s">
        <v>173</v>
      </c>
      <c r="D814">
        <f t="shared" si="68"/>
        <v>45946</v>
      </c>
      <c r="E814" t="s">
        <v>164</v>
      </c>
      <c r="F814" t="s">
        <v>867</v>
      </c>
      <c r="G814" t="s">
        <v>639</v>
      </c>
    </row>
    <row r="815" spans="1:14" x14ac:dyDescent="0.25">
      <c r="C815" t="s">
        <v>173</v>
      </c>
      <c r="D815">
        <f t="shared" si="68"/>
        <v>45946</v>
      </c>
      <c r="E815" t="s">
        <v>165</v>
      </c>
      <c r="F815" t="s">
        <v>867</v>
      </c>
      <c r="G815" t="s">
        <v>639</v>
      </c>
    </row>
    <row r="816" spans="1:14" x14ac:dyDescent="0.25">
      <c r="C816" t="s">
        <v>173</v>
      </c>
      <c r="D816">
        <f t="shared" si="68"/>
        <v>45946</v>
      </c>
      <c r="E816" t="s">
        <v>166</v>
      </c>
      <c r="F816" t="s">
        <v>867</v>
      </c>
      <c r="G816" t="s">
        <v>639</v>
      </c>
    </row>
    <row r="817" spans="3:8" x14ac:dyDescent="0.25">
      <c r="C817" t="s">
        <v>173</v>
      </c>
      <c r="D817">
        <f t="shared" si="68"/>
        <v>45946</v>
      </c>
      <c r="E817" t="s">
        <v>576</v>
      </c>
      <c r="F817" t="s">
        <v>145</v>
      </c>
      <c r="G817" t="s">
        <v>145</v>
      </c>
      <c r="H817" t="s">
        <v>145</v>
      </c>
    </row>
    <row r="818" spans="3:8" x14ac:dyDescent="0.25">
      <c r="C818" t="s">
        <v>173</v>
      </c>
      <c r="D818">
        <f t="shared" si="68"/>
        <v>45946</v>
      </c>
      <c r="E818" t="s">
        <v>167</v>
      </c>
      <c r="F818" t="s">
        <v>868</v>
      </c>
      <c r="G818" t="s">
        <v>639</v>
      </c>
    </row>
    <row r="819" spans="3:8" x14ac:dyDescent="0.25">
      <c r="C819" t="s">
        <v>173</v>
      </c>
      <c r="D819">
        <f t="shared" si="68"/>
        <v>45946</v>
      </c>
      <c r="E819" t="s">
        <v>168</v>
      </c>
      <c r="F819" t="s">
        <v>868</v>
      </c>
      <c r="G819" t="s">
        <v>639</v>
      </c>
    </row>
    <row r="820" spans="3:8" x14ac:dyDescent="0.25">
      <c r="C820" t="s">
        <v>173</v>
      </c>
      <c r="D820">
        <f t="shared" si="68"/>
        <v>45946</v>
      </c>
      <c r="E820" t="s">
        <v>169</v>
      </c>
      <c r="F820" t="s">
        <v>868</v>
      </c>
      <c r="G820" t="s">
        <v>639</v>
      </c>
    </row>
    <row r="821" spans="3:8" x14ac:dyDescent="0.25">
      <c r="C821" t="s">
        <v>173</v>
      </c>
      <c r="D821">
        <f t="shared" si="68"/>
        <v>45946</v>
      </c>
      <c r="E821" t="s">
        <v>170</v>
      </c>
      <c r="F821" t="s">
        <v>868</v>
      </c>
      <c r="G821" t="s">
        <v>639</v>
      </c>
    </row>
    <row r="823" spans="3:8" x14ac:dyDescent="0.25">
      <c r="C823" t="s">
        <v>174</v>
      </c>
      <c r="D823">
        <f>D821+1</f>
        <v>45947</v>
      </c>
      <c r="E823" t="s">
        <v>162</v>
      </c>
      <c r="F823" t="s">
        <v>868</v>
      </c>
      <c r="G823" t="s">
        <v>639</v>
      </c>
    </row>
    <row r="824" spans="3:8" x14ac:dyDescent="0.25">
      <c r="C824" t="s">
        <v>174</v>
      </c>
      <c r="D824">
        <f t="shared" ref="D824:D831" si="69">D823</f>
        <v>45947</v>
      </c>
      <c r="E824" t="s">
        <v>163</v>
      </c>
      <c r="F824" t="s">
        <v>868</v>
      </c>
      <c r="G824" t="s">
        <v>639</v>
      </c>
    </row>
    <row r="825" spans="3:8" x14ac:dyDescent="0.25">
      <c r="C825" t="s">
        <v>174</v>
      </c>
      <c r="D825">
        <f t="shared" si="69"/>
        <v>45947</v>
      </c>
      <c r="E825" t="s">
        <v>164</v>
      </c>
      <c r="F825" t="s">
        <v>868</v>
      </c>
      <c r="G825" t="s">
        <v>639</v>
      </c>
    </row>
    <row r="826" spans="3:8" x14ac:dyDescent="0.25">
      <c r="C826" t="s">
        <v>174</v>
      </c>
      <c r="D826">
        <f t="shared" si="69"/>
        <v>45947</v>
      </c>
      <c r="E826" t="s">
        <v>165</v>
      </c>
      <c r="F826" t="s">
        <v>868</v>
      </c>
      <c r="G826" t="s">
        <v>639</v>
      </c>
    </row>
    <row r="827" spans="3:8" x14ac:dyDescent="0.25">
      <c r="C827" t="s">
        <v>174</v>
      </c>
      <c r="D827">
        <f t="shared" si="69"/>
        <v>45947</v>
      </c>
      <c r="E827" t="s">
        <v>166</v>
      </c>
      <c r="F827" t="s">
        <v>868</v>
      </c>
      <c r="G827" t="s">
        <v>639</v>
      </c>
    </row>
    <row r="828" spans="3:8" x14ac:dyDescent="0.25">
      <c r="C828" t="s">
        <v>174</v>
      </c>
      <c r="D828">
        <f t="shared" si="69"/>
        <v>45947</v>
      </c>
      <c r="E828" t="s">
        <v>576</v>
      </c>
      <c r="F828" t="s">
        <v>145</v>
      </c>
      <c r="G828" t="s">
        <v>145</v>
      </c>
      <c r="H828" t="s">
        <v>145</v>
      </c>
    </row>
    <row r="829" spans="3:8" x14ac:dyDescent="0.25">
      <c r="C829" t="s">
        <v>174</v>
      </c>
      <c r="D829">
        <f t="shared" si="69"/>
        <v>45947</v>
      </c>
      <c r="E829" t="s">
        <v>167</v>
      </c>
      <c r="F829" t="s">
        <v>869</v>
      </c>
      <c r="G829" t="s">
        <v>639</v>
      </c>
    </row>
    <row r="830" spans="3:8" x14ac:dyDescent="0.25">
      <c r="C830" t="s">
        <v>174</v>
      </c>
      <c r="D830">
        <f t="shared" si="69"/>
        <v>45947</v>
      </c>
      <c r="E830" t="s">
        <v>168</v>
      </c>
      <c r="F830" t="s">
        <v>869</v>
      </c>
      <c r="G830" t="s">
        <v>639</v>
      </c>
    </row>
    <row r="831" spans="3:8" x14ac:dyDescent="0.25">
      <c r="C831" t="s">
        <v>174</v>
      </c>
      <c r="D831">
        <f t="shared" si="69"/>
        <v>45947</v>
      </c>
      <c r="E831" t="s">
        <v>169</v>
      </c>
      <c r="F831" t="s">
        <v>869</v>
      </c>
      <c r="G831" t="s">
        <v>639</v>
      </c>
    </row>
    <row r="832" spans="3:8" ht="15.75" thickBot="1" x14ac:dyDescent="0.3"/>
    <row r="833" spans="1:18" ht="15" customHeight="1" thickBot="1" x14ac:dyDescent="0.3">
      <c r="A833" s="753" t="s">
        <v>864</v>
      </c>
      <c r="C833" s="538" t="s">
        <v>161</v>
      </c>
      <c r="D833" s="539">
        <f>D831+3</f>
        <v>45950</v>
      </c>
      <c r="E833" s="539" t="s">
        <v>162</v>
      </c>
      <c r="F833" s="539" t="s">
        <v>869</v>
      </c>
      <c r="G833" s="539" t="s">
        <v>638</v>
      </c>
      <c r="H833" s="539"/>
      <c r="I833" s="543"/>
      <c r="J833" s="542"/>
      <c r="K833" s="544"/>
      <c r="L833" s="560"/>
      <c r="M833" s="561"/>
      <c r="N833" s="562"/>
      <c r="O833" s="548"/>
      <c r="P833" s="549"/>
      <c r="Q833" s="3"/>
      <c r="R833" s="3"/>
    </row>
    <row r="834" spans="1:18" x14ac:dyDescent="0.25">
      <c r="A834" s="753"/>
      <c r="C834" s="496" t="s">
        <v>161</v>
      </c>
      <c r="D834" s="507">
        <f t="shared" ref="D834:D842" si="70">D833</f>
        <v>45950</v>
      </c>
      <c r="E834" s="498" t="s">
        <v>163</v>
      </c>
      <c r="F834" s="514" t="s">
        <v>869</v>
      </c>
      <c r="G834" s="514" t="s">
        <v>638</v>
      </c>
      <c r="H834" s="515"/>
      <c r="I834" s="537"/>
      <c r="J834" s="537"/>
      <c r="K834" s="537"/>
      <c r="L834" s="563"/>
      <c r="M834" s="563"/>
      <c r="N834" s="563"/>
    </row>
    <row r="835" spans="1:18" x14ac:dyDescent="0.25">
      <c r="A835" s="753"/>
      <c r="C835" s="525" t="s">
        <v>161</v>
      </c>
      <c r="D835" s="499">
        <f t="shared" si="70"/>
        <v>45950</v>
      </c>
      <c r="E835" s="500" t="s">
        <v>164</v>
      </c>
      <c r="F835" s="460" t="s">
        <v>869</v>
      </c>
      <c r="G835" s="460" t="s">
        <v>638</v>
      </c>
      <c r="H835" s="460"/>
      <c r="I835" s="540"/>
      <c r="J835" s="540"/>
      <c r="K835" s="540"/>
      <c r="L835" s="555"/>
      <c r="M835" s="555"/>
      <c r="N835" s="555"/>
    </row>
    <row r="836" spans="1:18" x14ac:dyDescent="0.25">
      <c r="A836" s="753"/>
      <c r="C836" s="526" t="s">
        <v>161</v>
      </c>
      <c r="D836" s="449">
        <f t="shared" si="70"/>
        <v>45950</v>
      </c>
      <c r="E836" s="454" t="s">
        <v>165</v>
      </c>
      <c r="F836" s="460" t="s">
        <v>869</v>
      </c>
      <c r="G836" s="460" t="s">
        <v>638</v>
      </c>
      <c r="H836" s="460"/>
      <c r="I836" s="540"/>
      <c r="J836" s="540"/>
      <c r="K836" s="540"/>
      <c r="L836" s="564"/>
      <c r="M836" s="564"/>
      <c r="N836" s="564"/>
    </row>
    <row r="837" spans="1:18" x14ac:dyDescent="0.25">
      <c r="A837" s="753"/>
      <c r="C837" s="526" t="s">
        <v>161</v>
      </c>
      <c r="D837" s="449">
        <f t="shared" si="70"/>
        <v>45950</v>
      </c>
      <c r="E837" s="454" t="s">
        <v>166</v>
      </c>
      <c r="F837" s="460" t="s">
        <v>869</v>
      </c>
      <c r="G837" s="460" t="s">
        <v>638</v>
      </c>
      <c r="H837" s="460"/>
      <c r="I837" s="540"/>
      <c r="J837" s="540"/>
      <c r="K837" s="540"/>
      <c r="L837" s="564"/>
      <c r="M837" s="564"/>
      <c r="N837" s="564"/>
    </row>
    <row r="838" spans="1:18" x14ac:dyDescent="0.25">
      <c r="A838" s="753"/>
      <c r="C838" s="526" t="s">
        <v>161</v>
      </c>
      <c r="D838" s="449">
        <f t="shared" si="70"/>
        <v>45950</v>
      </c>
      <c r="E838" s="454" t="s">
        <v>576</v>
      </c>
      <c r="F838" s="460" t="s">
        <v>145</v>
      </c>
      <c r="G838" s="460" t="s">
        <v>145</v>
      </c>
      <c r="H838" s="460" t="s">
        <v>145</v>
      </c>
      <c r="I838" s="540"/>
      <c r="J838" s="540"/>
      <c r="K838" s="540"/>
      <c r="L838" s="564"/>
      <c r="M838" s="564"/>
      <c r="N838" s="564"/>
    </row>
    <row r="839" spans="1:18" x14ac:dyDescent="0.25">
      <c r="A839" s="753"/>
      <c r="C839" s="526" t="s">
        <v>161</v>
      </c>
      <c r="D839" s="449">
        <f t="shared" si="70"/>
        <v>45950</v>
      </c>
      <c r="E839" s="454" t="s">
        <v>167</v>
      </c>
      <c r="F839" s="460" t="s">
        <v>870</v>
      </c>
      <c r="G839" s="460" t="s">
        <v>638</v>
      </c>
      <c r="H839" s="460"/>
      <c r="I839" s="540"/>
      <c r="J839" s="540"/>
      <c r="K839" s="540"/>
      <c r="L839" s="564"/>
      <c r="M839" s="564"/>
      <c r="N839" s="564"/>
    </row>
    <row r="840" spans="1:18" x14ac:dyDescent="0.25">
      <c r="A840" s="753"/>
      <c r="C840" s="526" t="s">
        <v>161</v>
      </c>
      <c r="D840" s="449">
        <f t="shared" si="70"/>
        <v>45950</v>
      </c>
      <c r="E840" s="454" t="s">
        <v>168</v>
      </c>
      <c r="F840" s="512" t="s">
        <v>870</v>
      </c>
      <c r="G840" s="512" t="s">
        <v>638</v>
      </c>
      <c r="H840" s="505" t="s">
        <v>489</v>
      </c>
      <c r="I840" s="554"/>
      <c r="J840" s="541"/>
      <c r="K840" s="541"/>
      <c r="L840" s="556"/>
      <c r="M840" s="556"/>
      <c r="N840" s="556"/>
    </row>
    <row r="841" spans="1:18" x14ac:dyDescent="0.25">
      <c r="A841" s="753"/>
      <c r="C841" s="527" t="s">
        <v>161</v>
      </c>
      <c r="D841" s="449">
        <f t="shared" si="70"/>
        <v>45950</v>
      </c>
      <c r="E841" s="454" t="s">
        <v>169</v>
      </c>
      <c r="F841" s="460" t="s">
        <v>870</v>
      </c>
      <c r="G841" s="460" t="s">
        <v>638</v>
      </c>
      <c r="H841" s="460"/>
      <c r="I841" s="540"/>
      <c r="J841" s="540"/>
      <c r="K841" s="540"/>
      <c r="L841" s="565"/>
      <c r="M841" s="565"/>
      <c r="N841" s="565"/>
    </row>
    <row r="842" spans="1:18" x14ac:dyDescent="0.25">
      <c r="A842" s="753"/>
      <c r="C842" s="527" t="s">
        <v>161</v>
      </c>
      <c r="D842" s="449">
        <f t="shared" si="70"/>
        <v>45950</v>
      </c>
      <c r="E842" s="454" t="s">
        <v>170</v>
      </c>
      <c r="F842" s="460" t="s">
        <v>870</v>
      </c>
      <c r="G842" s="460" t="s">
        <v>638</v>
      </c>
      <c r="H842" s="461"/>
      <c r="I842" s="540"/>
      <c r="J842" s="540"/>
      <c r="K842" s="540"/>
      <c r="L842" s="565"/>
      <c r="M842" s="565"/>
      <c r="N842" s="565"/>
    </row>
    <row r="843" spans="1:18" x14ac:dyDescent="0.25">
      <c r="A843" s="753"/>
      <c r="C843" s="527"/>
      <c r="D843" s="449"/>
      <c r="E843" s="454"/>
      <c r="F843" s="460"/>
      <c r="G843" s="460"/>
      <c r="H843" s="461"/>
      <c r="I843" s="540"/>
      <c r="J843" s="540"/>
      <c r="K843" s="540"/>
      <c r="L843" s="565"/>
      <c r="M843" s="565"/>
      <c r="N843" s="565"/>
    </row>
    <row r="844" spans="1:18" x14ac:dyDescent="0.25">
      <c r="A844" s="753"/>
      <c r="C844" s="527" t="s">
        <v>171</v>
      </c>
      <c r="D844" s="449">
        <f>D842+1</f>
        <v>45951</v>
      </c>
      <c r="E844" s="454" t="s">
        <v>162</v>
      </c>
      <c r="F844" s="460" t="s">
        <v>606</v>
      </c>
      <c r="G844" s="460" t="s">
        <v>638</v>
      </c>
      <c r="H844" s="504"/>
      <c r="I844" s="540"/>
      <c r="J844" s="540"/>
      <c r="K844" s="540"/>
      <c r="L844" s="566"/>
      <c r="M844" s="566"/>
      <c r="N844" s="566"/>
    </row>
    <row r="845" spans="1:18" x14ac:dyDescent="0.25">
      <c r="A845" s="753"/>
      <c r="C845" s="527" t="s">
        <v>171</v>
      </c>
      <c r="D845" s="449">
        <f t="shared" ref="D845:D853" si="71">D844</f>
        <v>45951</v>
      </c>
      <c r="E845" s="454" t="s">
        <v>163</v>
      </c>
      <c r="F845" s="505" t="s">
        <v>606</v>
      </c>
      <c r="G845" s="516" t="s">
        <v>638</v>
      </c>
      <c r="H845" s="516"/>
      <c r="I845" s="516"/>
      <c r="J845" s="516"/>
      <c r="K845" s="516"/>
      <c r="L845" s="557"/>
      <c r="M845" s="557"/>
      <c r="N845" s="557"/>
    </row>
    <row r="846" spans="1:18" x14ac:dyDescent="0.25">
      <c r="A846" s="753"/>
      <c r="C846" s="527" t="s">
        <v>171</v>
      </c>
      <c r="D846" s="449">
        <f t="shared" si="71"/>
        <v>45951</v>
      </c>
      <c r="E846" s="455" t="s">
        <v>164</v>
      </c>
      <c r="F846" s="505" t="s">
        <v>606</v>
      </c>
      <c r="G846" s="516" t="s">
        <v>638</v>
      </c>
      <c r="H846" s="516"/>
      <c r="I846" s="516"/>
      <c r="J846" s="516"/>
      <c r="K846" s="516"/>
      <c r="L846" s="557"/>
      <c r="M846" s="557"/>
      <c r="N846" s="557"/>
    </row>
    <row r="847" spans="1:18" x14ac:dyDescent="0.25">
      <c r="A847" s="753"/>
      <c r="C847" s="527" t="s">
        <v>171</v>
      </c>
      <c r="D847" s="449">
        <f t="shared" si="71"/>
        <v>45951</v>
      </c>
      <c r="E847" s="455" t="s">
        <v>165</v>
      </c>
      <c r="F847" s="506" t="s">
        <v>606</v>
      </c>
      <c r="G847" s="506" t="s">
        <v>638</v>
      </c>
      <c r="H847" s="516"/>
      <c r="I847" s="516"/>
      <c r="J847" s="516"/>
      <c r="K847" s="516"/>
      <c r="L847" s="557"/>
      <c r="M847" s="557"/>
      <c r="N847" s="557"/>
    </row>
    <row r="848" spans="1:18" x14ac:dyDescent="0.25">
      <c r="A848" s="753"/>
      <c r="C848" s="527" t="s">
        <v>171</v>
      </c>
      <c r="D848" s="449">
        <f t="shared" si="71"/>
        <v>45951</v>
      </c>
      <c r="E848" s="503" t="s">
        <v>166</v>
      </c>
      <c r="F848" s="506" t="s">
        <v>606</v>
      </c>
      <c r="G848" s="506" t="s">
        <v>638</v>
      </c>
      <c r="H848" s="516"/>
      <c r="I848" s="516"/>
      <c r="J848" s="516"/>
      <c r="K848" s="516"/>
      <c r="L848" s="557"/>
      <c r="M848" s="557"/>
      <c r="N848" s="557"/>
    </row>
    <row r="849" spans="1:18" ht="15.75" thickBot="1" x14ac:dyDescent="0.3">
      <c r="A849" s="753"/>
      <c r="C849" s="528" t="s">
        <v>171</v>
      </c>
      <c r="D849" s="451">
        <f t="shared" si="71"/>
        <v>45951</v>
      </c>
      <c r="E849" s="459" t="s">
        <v>576</v>
      </c>
      <c r="F849" s="493" t="s">
        <v>145</v>
      </c>
      <c r="G849" s="493" t="s">
        <v>145</v>
      </c>
      <c r="H849" s="513" t="s">
        <v>145</v>
      </c>
      <c r="I849" s="513"/>
      <c r="J849" s="513"/>
      <c r="K849" s="513"/>
      <c r="L849" s="558"/>
      <c r="M849" s="558"/>
      <c r="N849" s="558"/>
    </row>
    <row r="850" spans="1:18" ht="4.5" customHeight="1" thickBot="1" x14ac:dyDescent="0.3">
      <c r="A850" s="753"/>
      <c r="C850" t="s">
        <v>171</v>
      </c>
      <c r="D850">
        <f t="shared" si="71"/>
        <v>45951</v>
      </c>
      <c r="E850" t="s">
        <v>167</v>
      </c>
      <c r="F850" t="s">
        <v>871</v>
      </c>
      <c r="G850" t="s">
        <v>638</v>
      </c>
      <c r="L850" s="559"/>
      <c r="M850" s="559"/>
      <c r="N850" s="559"/>
      <c r="Q850" s="3"/>
      <c r="R850" s="3"/>
    </row>
    <row r="851" spans="1:18" ht="15" customHeight="1" thickBot="1" x14ac:dyDescent="0.3">
      <c r="A851" s="753"/>
      <c r="C851" s="538" t="s">
        <v>171</v>
      </c>
      <c r="D851" s="539">
        <f t="shared" si="71"/>
        <v>45951</v>
      </c>
      <c r="E851" s="539" t="s">
        <v>168</v>
      </c>
      <c r="F851" s="539" t="s">
        <v>871</v>
      </c>
      <c r="G851" s="539" t="s">
        <v>638</v>
      </c>
      <c r="H851" s="539"/>
      <c r="I851" s="543"/>
      <c r="J851" s="542"/>
      <c r="K851" s="544"/>
      <c r="L851" s="560"/>
      <c r="M851" s="561"/>
      <c r="N851" s="562"/>
      <c r="O851" s="548"/>
      <c r="P851" s="549"/>
      <c r="Q851" s="3"/>
      <c r="R851" s="3"/>
    </row>
    <row r="852" spans="1:18" x14ac:dyDescent="0.25">
      <c r="A852" s="753"/>
      <c r="C852" s="446" t="s">
        <v>171</v>
      </c>
      <c r="D852" s="497">
        <f t="shared" si="71"/>
        <v>45951</v>
      </c>
      <c r="E852" s="498" t="s">
        <v>169</v>
      </c>
      <c r="F852" s="514" t="s">
        <v>871</v>
      </c>
      <c r="G852" s="514" t="s">
        <v>638</v>
      </c>
      <c r="H852" s="515"/>
      <c r="I852" s="537"/>
      <c r="J852" s="537"/>
      <c r="K852" s="537"/>
      <c r="L852" s="563"/>
      <c r="M852" s="563"/>
      <c r="N852" s="563"/>
    </row>
    <row r="853" spans="1:18" x14ac:dyDescent="0.25">
      <c r="A853" s="753"/>
      <c r="C853" s="452" t="s">
        <v>171</v>
      </c>
      <c r="D853" s="499">
        <f t="shared" si="71"/>
        <v>45951</v>
      </c>
      <c r="E853" s="500" t="s">
        <v>170</v>
      </c>
      <c r="F853" s="460" t="s">
        <v>871</v>
      </c>
      <c r="G853" s="460" t="s">
        <v>638</v>
      </c>
      <c r="H853" s="501"/>
      <c r="I853" s="540"/>
      <c r="J853" s="540"/>
      <c r="K853" s="540"/>
      <c r="L853" s="555"/>
      <c r="M853" s="555"/>
      <c r="N853" s="555"/>
    </row>
    <row r="854" spans="1:18" x14ac:dyDescent="0.25">
      <c r="A854" s="753"/>
      <c r="C854" s="452"/>
      <c r="D854" s="449"/>
      <c r="E854" s="454"/>
      <c r="F854" s="460"/>
      <c r="G854" s="460"/>
      <c r="H854" s="460"/>
      <c r="I854" s="540"/>
      <c r="J854" s="540"/>
      <c r="K854" s="540"/>
      <c r="L854" s="564"/>
      <c r="M854" s="564"/>
      <c r="N854" s="564"/>
    </row>
    <row r="855" spans="1:18" x14ac:dyDescent="0.25">
      <c r="A855" s="753"/>
      <c r="C855" s="452" t="s">
        <v>172</v>
      </c>
      <c r="D855" s="449">
        <f>D853+1</f>
        <v>45952</v>
      </c>
      <c r="E855" s="454" t="s">
        <v>162</v>
      </c>
      <c r="F855" s="460" t="s">
        <v>871</v>
      </c>
      <c r="G855" s="460" t="s">
        <v>638</v>
      </c>
      <c r="H855" s="460"/>
      <c r="I855" s="540"/>
      <c r="J855" s="540"/>
      <c r="K855" s="540"/>
      <c r="L855" s="564"/>
      <c r="M855" s="564"/>
      <c r="N855" s="564"/>
    </row>
    <row r="856" spans="1:18" x14ac:dyDescent="0.25">
      <c r="A856" s="753"/>
      <c r="C856" s="452" t="s">
        <v>172</v>
      </c>
      <c r="D856" s="449">
        <f t="shared" ref="D856:D864" si="72">D855</f>
        <v>45952</v>
      </c>
      <c r="E856" s="454" t="s">
        <v>163</v>
      </c>
      <c r="F856" s="460" t="s">
        <v>871</v>
      </c>
      <c r="G856" s="460" t="s">
        <v>638</v>
      </c>
      <c r="H856" s="460"/>
      <c r="I856" s="540"/>
      <c r="J856" s="540"/>
      <c r="K856" s="540"/>
      <c r="L856" s="564"/>
      <c r="M856" s="564"/>
      <c r="N856" s="564"/>
    </row>
    <row r="857" spans="1:18" x14ac:dyDescent="0.25">
      <c r="A857" s="753"/>
      <c r="C857" s="452" t="s">
        <v>172</v>
      </c>
      <c r="D857" s="449">
        <f t="shared" si="72"/>
        <v>45952</v>
      </c>
      <c r="E857" s="454" t="s">
        <v>164</v>
      </c>
      <c r="F857" s="460" t="s">
        <v>871</v>
      </c>
      <c r="G857" s="460" t="s">
        <v>638</v>
      </c>
      <c r="H857" s="460"/>
      <c r="I857" s="540"/>
      <c r="J857" s="540"/>
      <c r="K857" s="540"/>
      <c r="L857" s="564"/>
      <c r="M857" s="564"/>
      <c r="N857" s="564"/>
    </row>
    <row r="858" spans="1:18" x14ac:dyDescent="0.25">
      <c r="A858" s="753"/>
      <c r="C858" s="452" t="s">
        <v>172</v>
      </c>
      <c r="D858" s="449">
        <f t="shared" si="72"/>
        <v>45952</v>
      </c>
      <c r="E858" s="454" t="s">
        <v>165</v>
      </c>
      <c r="F858" s="517" t="s">
        <v>871</v>
      </c>
      <c r="G858" s="512" t="s">
        <v>638</v>
      </c>
      <c r="H858" s="505"/>
      <c r="I858" s="554"/>
      <c r="J858" s="541"/>
      <c r="K858" s="541"/>
      <c r="L858" s="556"/>
      <c r="M858" s="556"/>
      <c r="N858" s="556"/>
    </row>
    <row r="859" spans="1:18" x14ac:dyDescent="0.25">
      <c r="A859" s="753"/>
      <c r="C859" s="452" t="s">
        <v>172</v>
      </c>
      <c r="D859" s="449">
        <f t="shared" si="72"/>
        <v>45952</v>
      </c>
      <c r="E859" s="454" t="s">
        <v>166</v>
      </c>
      <c r="F859" s="460" t="s">
        <v>871</v>
      </c>
      <c r="G859" s="460" t="s">
        <v>638</v>
      </c>
      <c r="H859" s="461"/>
      <c r="I859" s="540"/>
      <c r="J859" s="540"/>
      <c r="K859" s="540"/>
      <c r="L859" s="565"/>
      <c r="M859" s="565"/>
      <c r="N859" s="565"/>
    </row>
    <row r="860" spans="1:18" x14ac:dyDescent="0.25">
      <c r="A860" s="753"/>
      <c r="C860" s="452" t="s">
        <v>172</v>
      </c>
      <c r="D860" s="449">
        <f t="shared" si="72"/>
        <v>45952</v>
      </c>
      <c r="E860" s="454" t="s">
        <v>576</v>
      </c>
      <c r="F860" s="460" t="s">
        <v>145</v>
      </c>
      <c r="G860" s="460" t="s">
        <v>145</v>
      </c>
      <c r="H860" s="461" t="s">
        <v>145</v>
      </c>
      <c r="I860" s="540"/>
      <c r="J860" s="540"/>
      <c r="K860" s="540"/>
      <c r="L860" s="565"/>
      <c r="M860" s="565"/>
      <c r="N860" s="565"/>
    </row>
    <row r="861" spans="1:18" x14ac:dyDescent="0.25">
      <c r="A861" s="753"/>
      <c r="C861" s="452" t="s">
        <v>172</v>
      </c>
      <c r="D861" s="449">
        <f t="shared" si="72"/>
        <v>45952</v>
      </c>
      <c r="E861" s="454" t="s">
        <v>167</v>
      </c>
      <c r="F861" s="460" t="s">
        <v>5</v>
      </c>
      <c r="G861" s="460" t="s">
        <v>638</v>
      </c>
      <c r="H861" s="461"/>
      <c r="I861" s="540"/>
      <c r="J861" s="540"/>
      <c r="K861" s="540"/>
      <c r="L861" s="565"/>
      <c r="M861" s="565"/>
      <c r="N861" s="565"/>
    </row>
    <row r="862" spans="1:18" x14ac:dyDescent="0.25">
      <c r="A862" s="753"/>
      <c r="C862" s="452" t="s">
        <v>172</v>
      </c>
      <c r="D862" s="449">
        <f t="shared" si="72"/>
        <v>45952</v>
      </c>
      <c r="E862" s="454" t="s">
        <v>168</v>
      </c>
      <c r="F862" s="460" t="s">
        <v>5</v>
      </c>
      <c r="G862" s="460" t="s">
        <v>638</v>
      </c>
      <c r="H862" s="504"/>
      <c r="I862" s="540"/>
      <c r="J862" s="540"/>
      <c r="K862" s="540"/>
      <c r="L862" s="566"/>
      <c r="M862" s="566"/>
      <c r="N862" s="566"/>
    </row>
    <row r="863" spans="1:18" x14ac:dyDescent="0.25">
      <c r="A863" s="753"/>
      <c r="C863" s="452" t="s">
        <v>172</v>
      </c>
      <c r="D863" s="449">
        <f t="shared" si="72"/>
        <v>45952</v>
      </c>
      <c r="E863" s="454" t="s">
        <v>169</v>
      </c>
      <c r="F863" s="505" t="s">
        <v>5</v>
      </c>
      <c r="G863" s="505" t="s">
        <v>638</v>
      </c>
      <c r="H863" s="516"/>
      <c r="I863" s="516"/>
      <c r="J863" s="516"/>
      <c r="K863" s="516"/>
      <c r="L863" s="557"/>
      <c r="M863" s="557"/>
      <c r="N863" s="557"/>
    </row>
    <row r="864" spans="1:18" x14ac:dyDescent="0.25">
      <c r="A864" s="753"/>
      <c r="C864" s="448" t="s">
        <v>172</v>
      </c>
      <c r="D864" s="449">
        <f t="shared" si="72"/>
        <v>45952</v>
      </c>
      <c r="E864" s="455" t="s">
        <v>170</v>
      </c>
      <c r="F864" s="505" t="s">
        <v>5</v>
      </c>
      <c r="G864" s="505" t="s">
        <v>638</v>
      </c>
      <c r="H864" s="516"/>
      <c r="I864" s="516"/>
      <c r="J864" s="516"/>
      <c r="K864" s="516"/>
      <c r="L864" s="557"/>
      <c r="M864" s="557"/>
      <c r="N864" s="557"/>
    </row>
    <row r="865" spans="1:18" x14ac:dyDescent="0.25">
      <c r="A865" s="753"/>
      <c r="C865" s="448"/>
      <c r="D865" s="449"/>
      <c r="E865" s="455"/>
      <c r="F865" s="506"/>
      <c r="G865" s="506"/>
      <c r="H865" s="516"/>
      <c r="I865" s="516"/>
      <c r="J865" s="516"/>
      <c r="K865" s="516"/>
      <c r="L865" s="557"/>
      <c r="M865" s="557"/>
      <c r="N865" s="557"/>
    </row>
    <row r="866" spans="1:18" x14ac:dyDescent="0.25">
      <c r="A866" s="753"/>
      <c r="C866" s="448" t="s">
        <v>173</v>
      </c>
      <c r="D866" s="449">
        <f>D864+1</f>
        <v>45953</v>
      </c>
      <c r="E866" s="503" t="s">
        <v>162</v>
      </c>
      <c r="F866" s="506" t="s">
        <v>5</v>
      </c>
      <c r="G866" s="506" t="s">
        <v>638</v>
      </c>
      <c r="H866" s="516" t="s">
        <v>863</v>
      </c>
      <c r="I866" s="516"/>
      <c r="J866" s="516"/>
      <c r="K866" s="516"/>
      <c r="L866" s="557"/>
      <c r="M866" s="557"/>
      <c r="N866" s="557"/>
    </row>
    <row r="867" spans="1:18" ht="15.75" thickBot="1" x14ac:dyDescent="0.3">
      <c r="A867" s="753"/>
      <c r="C867" s="450" t="s">
        <v>173</v>
      </c>
      <c r="D867" s="451">
        <f t="shared" ref="D867:D875" si="73">D866</f>
        <v>45953</v>
      </c>
      <c r="E867" s="459" t="s">
        <v>163</v>
      </c>
      <c r="F867" s="493" t="s">
        <v>5</v>
      </c>
      <c r="G867" s="493" t="s">
        <v>638</v>
      </c>
      <c r="H867" s="513" t="s">
        <v>863</v>
      </c>
      <c r="I867" s="513"/>
      <c r="J867" s="513"/>
      <c r="K867" s="513"/>
      <c r="L867" s="558"/>
      <c r="M867" s="558"/>
      <c r="N867" s="558"/>
    </row>
    <row r="868" spans="1:18" ht="4.5" customHeight="1" thickBot="1" x14ac:dyDescent="0.3">
      <c r="A868" s="753"/>
      <c r="C868" t="s">
        <v>173</v>
      </c>
      <c r="D868">
        <f t="shared" si="73"/>
        <v>45953</v>
      </c>
      <c r="E868" t="s">
        <v>164</v>
      </c>
      <c r="F868" t="s">
        <v>5</v>
      </c>
      <c r="G868" t="s">
        <v>638</v>
      </c>
      <c r="H868" t="s">
        <v>863</v>
      </c>
      <c r="L868" s="559"/>
      <c r="M868" s="559"/>
      <c r="N868" s="559"/>
      <c r="Q868" s="3"/>
      <c r="R868" s="3"/>
    </row>
    <row r="869" spans="1:18" ht="15" customHeight="1" thickBot="1" x14ac:dyDescent="0.3">
      <c r="A869" s="753"/>
      <c r="C869" s="538" t="s">
        <v>173</v>
      </c>
      <c r="D869" s="539">
        <f t="shared" si="73"/>
        <v>45953</v>
      </c>
      <c r="E869" s="539" t="s">
        <v>165</v>
      </c>
      <c r="F869" s="539" t="s">
        <v>5</v>
      </c>
      <c r="G869" s="539" t="s">
        <v>638</v>
      </c>
      <c r="H869" s="539" t="s">
        <v>863</v>
      </c>
      <c r="I869" s="543"/>
      <c r="J869" s="542"/>
      <c r="K869" s="544"/>
      <c r="L869" s="560"/>
      <c r="M869" s="561"/>
      <c r="N869" s="562"/>
      <c r="O869" s="548"/>
      <c r="P869" s="549"/>
      <c r="Q869" s="3"/>
      <c r="R869" s="3"/>
    </row>
    <row r="870" spans="1:18" x14ac:dyDescent="0.25">
      <c r="A870" s="753"/>
      <c r="C870" s="446" t="s">
        <v>173</v>
      </c>
      <c r="D870" s="497">
        <f t="shared" si="73"/>
        <v>45953</v>
      </c>
      <c r="E870" s="498" t="s">
        <v>166</v>
      </c>
      <c r="F870" s="514" t="s">
        <v>5</v>
      </c>
      <c r="G870" s="514" t="s">
        <v>638</v>
      </c>
      <c r="H870" s="515" t="s">
        <v>863</v>
      </c>
      <c r="I870" s="537"/>
      <c r="J870" s="537"/>
      <c r="K870" s="537"/>
      <c r="L870" s="563"/>
      <c r="M870" s="563"/>
      <c r="N870" s="563"/>
    </row>
    <row r="871" spans="1:18" x14ac:dyDescent="0.25">
      <c r="A871" s="753"/>
      <c r="C871" s="452" t="s">
        <v>173</v>
      </c>
      <c r="D871" s="499">
        <f t="shared" si="73"/>
        <v>45953</v>
      </c>
      <c r="E871" s="500" t="s">
        <v>576</v>
      </c>
      <c r="F871" s="460" t="s">
        <v>145</v>
      </c>
      <c r="G871" s="460" t="s">
        <v>145</v>
      </c>
      <c r="H871" s="501" t="s">
        <v>145</v>
      </c>
      <c r="I871" s="540"/>
      <c r="J871" s="540"/>
      <c r="K871" s="540"/>
      <c r="L871" s="555"/>
      <c r="M871" s="555"/>
      <c r="N871" s="555"/>
    </row>
    <row r="872" spans="1:18" x14ac:dyDescent="0.25">
      <c r="A872" s="753"/>
      <c r="C872" s="452" t="s">
        <v>173</v>
      </c>
      <c r="D872" s="449">
        <f t="shared" si="73"/>
        <v>45953</v>
      </c>
      <c r="E872" s="454" t="s">
        <v>167</v>
      </c>
      <c r="F872" s="460" t="s">
        <v>5</v>
      </c>
      <c r="G872" s="460" t="s">
        <v>638</v>
      </c>
      <c r="H872" s="460" t="s">
        <v>863</v>
      </c>
      <c r="I872" s="540"/>
      <c r="J872" s="540"/>
      <c r="K872" s="540"/>
      <c r="L872" s="564"/>
      <c r="M872" s="564"/>
      <c r="N872" s="564"/>
    </row>
    <row r="873" spans="1:18" x14ac:dyDescent="0.25">
      <c r="A873" s="753"/>
      <c r="C873" s="452" t="s">
        <v>173</v>
      </c>
      <c r="D873" s="449">
        <f t="shared" si="73"/>
        <v>45953</v>
      </c>
      <c r="E873" s="454" t="s">
        <v>168</v>
      </c>
      <c r="F873" s="460" t="s">
        <v>5</v>
      </c>
      <c r="G873" s="460" t="s">
        <v>638</v>
      </c>
      <c r="H873" s="460" t="s">
        <v>863</v>
      </c>
      <c r="I873" s="540"/>
      <c r="J873" s="540"/>
      <c r="K873" s="540"/>
      <c r="L873" s="564"/>
      <c r="M873" s="564"/>
      <c r="N873" s="564"/>
    </row>
    <row r="874" spans="1:18" x14ac:dyDescent="0.25">
      <c r="A874" s="753"/>
      <c r="C874" s="452" t="s">
        <v>173</v>
      </c>
      <c r="D874" s="449">
        <f t="shared" si="73"/>
        <v>45953</v>
      </c>
      <c r="E874" s="454" t="s">
        <v>169</v>
      </c>
      <c r="F874" s="460" t="s">
        <v>5</v>
      </c>
      <c r="G874" s="460" t="s">
        <v>638</v>
      </c>
      <c r="H874" s="460" t="s">
        <v>863</v>
      </c>
      <c r="I874" s="540"/>
      <c r="J874" s="540"/>
      <c r="K874" s="540"/>
      <c r="L874" s="564"/>
      <c r="M874" s="564"/>
      <c r="N874" s="564"/>
    </row>
    <row r="875" spans="1:18" x14ac:dyDescent="0.25">
      <c r="A875" s="753"/>
      <c r="C875" s="452" t="s">
        <v>173</v>
      </c>
      <c r="D875" s="449">
        <f t="shared" si="73"/>
        <v>45953</v>
      </c>
      <c r="E875" s="454" t="s">
        <v>170</v>
      </c>
      <c r="F875" s="460" t="s">
        <v>5</v>
      </c>
      <c r="G875" s="460" t="s">
        <v>638</v>
      </c>
      <c r="H875" s="460" t="s">
        <v>863</v>
      </c>
      <c r="I875" s="540"/>
      <c r="J875" s="540"/>
      <c r="K875" s="540"/>
      <c r="L875" s="564"/>
      <c r="M875" s="564"/>
      <c r="N875" s="564"/>
    </row>
    <row r="876" spans="1:18" x14ac:dyDescent="0.25">
      <c r="A876" s="753"/>
      <c r="C876" s="452"/>
      <c r="D876" s="449"/>
      <c r="E876" s="454"/>
      <c r="F876" s="517"/>
      <c r="G876" s="512"/>
      <c r="H876" s="505"/>
      <c r="I876" s="541"/>
      <c r="J876" s="541"/>
      <c r="K876" s="541"/>
      <c r="L876" s="556"/>
      <c r="M876" s="556"/>
      <c r="N876" s="556"/>
    </row>
    <row r="877" spans="1:18" x14ac:dyDescent="0.25">
      <c r="A877" s="753"/>
      <c r="C877" s="452" t="s">
        <v>174</v>
      </c>
      <c r="D877" s="449">
        <f>D875+1</f>
        <v>45954</v>
      </c>
      <c r="E877" s="454" t="s">
        <v>162</v>
      </c>
      <c r="F877" s="460" t="s">
        <v>5</v>
      </c>
      <c r="G877" s="460" t="s">
        <v>638</v>
      </c>
      <c r="H877" s="461" t="s">
        <v>863</v>
      </c>
      <c r="I877" s="540"/>
      <c r="J877" s="540"/>
      <c r="K877" s="540"/>
      <c r="L877" s="565"/>
      <c r="M877" s="565"/>
      <c r="N877" s="565"/>
    </row>
    <row r="878" spans="1:18" x14ac:dyDescent="0.25">
      <c r="A878" s="753"/>
      <c r="C878" s="452" t="s">
        <v>174</v>
      </c>
      <c r="D878" s="449">
        <f t="shared" ref="D878:D885" si="74">D877</f>
        <v>45954</v>
      </c>
      <c r="E878" s="454" t="s">
        <v>163</v>
      </c>
      <c r="F878" s="460" t="s">
        <v>5</v>
      </c>
      <c r="G878" s="460" t="s">
        <v>638</v>
      </c>
      <c r="H878" s="461" t="s">
        <v>863</v>
      </c>
      <c r="I878" s="540"/>
      <c r="J878" s="540"/>
      <c r="K878" s="540"/>
      <c r="L878" s="565"/>
      <c r="M878" s="565"/>
      <c r="N878" s="565"/>
    </row>
    <row r="879" spans="1:18" x14ac:dyDescent="0.25">
      <c r="A879" s="753"/>
      <c r="C879" s="452" t="s">
        <v>174</v>
      </c>
      <c r="D879" s="449">
        <f t="shared" si="74"/>
        <v>45954</v>
      </c>
      <c r="E879" s="454" t="s">
        <v>164</v>
      </c>
      <c r="F879" s="460" t="s">
        <v>5</v>
      </c>
      <c r="G879" s="460" t="s">
        <v>638</v>
      </c>
      <c r="H879" s="461" t="s">
        <v>863</v>
      </c>
      <c r="I879" s="540"/>
      <c r="J879" s="540"/>
      <c r="K879" s="540"/>
      <c r="L879" s="565"/>
      <c r="M879" s="565"/>
      <c r="N879" s="565"/>
    </row>
    <row r="880" spans="1:18" x14ac:dyDescent="0.25">
      <c r="A880" s="753"/>
      <c r="C880" s="452" t="s">
        <v>174</v>
      </c>
      <c r="D880" s="449">
        <f t="shared" si="74"/>
        <v>45954</v>
      </c>
      <c r="E880" s="454" t="s">
        <v>165</v>
      </c>
      <c r="F880" s="460" t="s">
        <v>5</v>
      </c>
      <c r="G880" s="460" t="s">
        <v>638</v>
      </c>
      <c r="H880" s="504" t="s">
        <v>863</v>
      </c>
      <c r="I880" s="540"/>
      <c r="J880" s="540"/>
      <c r="K880" s="540"/>
      <c r="L880" s="565"/>
      <c r="M880" s="566"/>
      <c r="N880" s="566"/>
    </row>
    <row r="881" spans="1:18" x14ac:dyDescent="0.25">
      <c r="A881" s="753"/>
      <c r="C881" s="452" t="s">
        <v>174</v>
      </c>
      <c r="D881" s="449">
        <f t="shared" si="74"/>
        <v>45954</v>
      </c>
      <c r="E881" s="454" t="s">
        <v>166</v>
      </c>
      <c r="F881" s="505" t="s">
        <v>5</v>
      </c>
      <c r="G881" s="505" t="s">
        <v>638</v>
      </c>
      <c r="H881" s="516" t="s">
        <v>863</v>
      </c>
      <c r="I881" s="516"/>
      <c r="J881" s="516"/>
      <c r="K881" s="516"/>
      <c r="L881" s="557"/>
      <c r="M881" s="557"/>
      <c r="N881" s="557"/>
    </row>
    <row r="882" spans="1:18" x14ac:dyDescent="0.25">
      <c r="A882" s="753"/>
      <c r="C882" s="448" t="s">
        <v>174</v>
      </c>
      <c r="D882" s="449">
        <f t="shared" si="74"/>
        <v>45954</v>
      </c>
      <c r="E882" s="455" t="s">
        <v>576</v>
      </c>
      <c r="F882" s="505" t="s">
        <v>145</v>
      </c>
      <c r="G882" s="505" t="s">
        <v>145</v>
      </c>
      <c r="H882" s="516" t="s">
        <v>145</v>
      </c>
      <c r="I882" s="516"/>
      <c r="J882" s="516"/>
      <c r="K882" s="516"/>
      <c r="L882" s="557"/>
      <c r="M882" s="557"/>
      <c r="N882" s="557"/>
    </row>
    <row r="883" spans="1:18" x14ac:dyDescent="0.25">
      <c r="A883" s="753"/>
      <c r="C883" s="448" t="s">
        <v>174</v>
      </c>
      <c r="D883" s="449">
        <f t="shared" si="74"/>
        <v>45954</v>
      </c>
      <c r="E883" s="455" t="s">
        <v>167</v>
      </c>
      <c r="F883" s="506" t="s">
        <v>5</v>
      </c>
      <c r="G883" s="506" t="s">
        <v>638</v>
      </c>
      <c r="H883" s="516" t="s">
        <v>863</v>
      </c>
      <c r="I883" s="516"/>
      <c r="J883" s="516"/>
      <c r="K883" s="516"/>
      <c r="L883" s="557"/>
      <c r="M883" s="557"/>
      <c r="N883" s="557"/>
    </row>
    <row r="884" spans="1:18" x14ac:dyDescent="0.25">
      <c r="A884" s="753"/>
      <c r="C884" s="448" t="s">
        <v>174</v>
      </c>
      <c r="D884" s="449">
        <f t="shared" si="74"/>
        <v>45954</v>
      </c>
      <c r="E884" s="503" t="s">
        <v>168</v>
      </c>
      <c r="F884" s="506" t="s">
        <v>5</v>
      </c>
      <c r="G884" s="506" t="s">
        <v>638</v>
      </c>
      <c r="H884" s="516" t="s">
        <v>863</v>
      </c>
      <c r="I884" s="516"/>
      <c r="J884" s="516"/>
      <c r="K884" s="516"/>
      <c r="L884" s="557"/>
      <c r="M884" s="557"/>
      <c r="N884" s="557"/>
    </row>
    <row r="885" spans="1:18" ht="15.75" thickBot="1" x14ac:dyDescent="0.3">
      <c r="A885" s="753"/>
      <c r="C885" s="450" t="s">
        <v>174</v>
      </c>
      <c r="D885" s="451">
        <f t="shared" si="74"/>
        <v>45954</v>
      </c>
      <c r="E885" s="459" t="s">
        <v>169</v>
      </c>
      <c r="F885" s="493" t="s">
        <v>5</v>
      </c>
      <c r="G885" s="493" t="s">
        <v>638</v>
      </c>
      <c r="H885" s="513" t="s">
        <v>863</v>
      </c>
      <c r="I885" s="513"/>
      <c r="J885" s="513"/>
      <c r="K885" s="513"/>
      <c r="L885" s="558"/>
      <c r="M885" s="558"/>
      <c r="N885" s="558"/>
    </row>
    <row r="886" spans="1:18" ht="4.5" customHeight="1" thickBot="1" x14ac:dyDescent="0.3">
      <c r="A886" s="753"/>
      <c r="L886" s="559"/>
      <c r="M886" s="559"/>
      <c r="N886" s="559"/>
      <c r="Q886" s="3"/>
      <c r="R886" s="3"/>
    </row>
    <row r="887" spans="1:18" ht="15" customHeight="1" thickBot="1" x14ac:dyDescent="0.3">
      <c r="A887" s="753" t="s">
        <v>893</v>
      </c>
      <c r="C887" s="538" t="s">
        <v>161</v>
      </c>
      <c r="D887" s="539">
        <f>D885+3</f>
        <v>45957</v>
      </c>
      <c r="E887" s="539" t="s">
        <v>162</v>
      </c>
      <c r="F887" s="539" t="s">
        <v>5</v>
      </c>
      <c r="G887" s="539" t="s">
        <v>638</v>
      </c>
      <c r="H887" s="539"/>
      <c r="I887" s="543"/>
      <c r="J887" s="542"/>
      <c r="K887" s="544"/>
      <c r="L887" s="560"/>
      <c r="M887" s="561"/>
      <c r="N887" s="562"/>
      <c r="O887" s="548"/>
      <c r="P887" s="549"/>
      <c r="Q887" s="3"/>
      <c r="R887" s="3"/>
    </row>
    <row r="888" spans="1:18" x14ac:dyDescent="0.25">
      <c r="A888" s="753"/>
      <c r="C888" s="529" t="s">
        <v>161</v>
      </c>
      <c r="D888" s="447">
        <f t="shared" ref="D888:D896" si="75">D887</f>
        <v>45957</v>
      </c>
      <c r="E888" s="498" t="s">
        <v>163</v>
      </c>
      <c r="F888" s="514" t="s">
        <v>5</v>
      </c>
      <c r="G888" s="514" t="s">
        <v>638</v>
      </c>
      <c r="H888" s="515"/>
      <c r="I888" s="537"/>
      <c r="J888" s="537"/>
      <c r="K888" s="537"/>
      <c r="L888" s="563"/>
      <c r="M888" s="563"/>
      <c r="N888" s="563"/>
    </row>
    <row r="889" spans="1:18" x14ac:dyDescent="0.25">
      <c r="A889" s="753"/>
      <c r="C889" s="452" t="s">
        <v>161</v>
      </c>
      <c r="D889" s="453">
        <f t="shared" si="75"/>
        <v>45957</v>
      </c>
      <c r="E889" s="500" t="s">
        <v>164</v>
      </c>
      <c r="F889" s="460" t="s">
        <v>5</v>
      </c>
      <c r="G889" s="460" t="s">
        <v>638</v>
      </c>
      <c r="H889" s="501"/>
      <c r="I889" s="540"/>
      <c r="J889" s="540"/>
      <c r="K889" s="540"/>
      <c r="L889" s="555"/>
      <c r="M889" s="555"/>
      <c r="N889" s="555"/>
    </row>
    <row r="890" spans="1:18" x14ac:dyDescent="0.25">
      <c r="A890" s="753"/>
      <c r="C890" s="452" t="s">
        <v>161</v>
      </c>
      <c r="D890" s="453">
        <f t="shared" si="75"/>
        <v>45957</v>
      </c>
      <c r="E890" s="454" t="s">
        <v>165</v>
      </c>
      <c r="F890" s="460" t="s">
        <v>5</v>
      </c>
      <c r="G890" s="460" t="s">
        <v>638</v>
      </c>
      <c r="H890" s="460"/>
      <c r="I890" s="540"/>
      <c r="J890" s="540"/>
      <c r="K890" s="540"/>
      <c r="L890" s="564"/>
      <c r="M890" s="564"/>
      <c r="N890" s="564"/>
    </row>
    <row r="891" spans="1:18" x14ac:dyDescent="0.25">
      <c r="A891" s="753"/>
      <c r="C891" s="452" t="s">
        <v>161</v>
      </c>
      <c r="D891" s="453">
        <f t="shared" si="75"/>
        <v>45957</v>
      </c>
      <c r="E891" s="454" t="s">
        <v>166</v>
      </c>
      <c r="F891" s="460" t="s">
        <v>5</v>
      </c>
      <c r="G891" s="460" t="s">
        <v>638</v>
      </c>
      <c r="H891" s="460"/>
      <c r="I891" s="540"/>
      <c r="J891" s="540"/>
      <c r="K891" s="540"/>
      <c r="L891" s="564"/>
      <c r="M891" s="564"/>
      <c r="N891" s="564"/>
    </row>
    <row r="892" spans="1:18" x14ac:dyDescent="0.25">
      <c r="A892" s="753"/>
      <c r="C892" s="452" t="s">
        <v>161</v>
      </c>
      <c r="D892" s="453">
        <f t="shared" si="75"/>
        <v>45957</v>
      </c>
      <c r="E892" s="454" t="s">
        <v>576</v>
      </c>
      <c r="F892" s="460" t="s">
        <v>145</v>
      </c>
      <c r="G892" s="460" t="s">
        <v>145</v>
      </c>
      <c r="H892" s="460" t="s">
        <v>145</v>
      </c>
      <c r="I892" s="540"/>
      <c r="J892" s="540"/>
      <c r="K892" s="540"/>
      <c r="L892" s="564"/>
      <c r="M892" s="564"/>
      <c r="N892" s="564"/>
    </row>
    <row r="893" spans="1:18" x14ac:dyDescent="0.25">
      <c r="A893" s="753"/>
      <c r="C893" s="452" t="s">
        <v>161</v>
      </c>
      <c r="D893" s="453">
        <f t="shared" si="75"/>
        <v>45957</v>
      </c>
      <c r="E893" s="454" t="s">
        <v>167</v>
      </c>
      <c r="F893" s="460" t="s">
        <v>5</v>
      </c>
      <c r="G893" s="460" t="s">
        <v>638</v>
      </c>
      <c r="H893" s="460"/>
      <c r="I893" s="540"/>
      <c r="J893" s="540"/>
      <c r="K893" s="540"/>
      <c r="L893" s="564"/>
      <c r="M893" s="564"/>
      <c r="N893" s="564"/>
    </row>
    <row r="894" spans="1:18" x14ac:dyDescent="0.25">
      <c r="A894" s="753"/>
      <c r="C894" s="452" t="s">
        <v>161</v>
      </c>
      <c r="D894" s="453">
        <f t="shared" si="75"/>
        <v>45957</v>
      </c>
      <c r="E894" s="454" t="s">
        <v>168</v>
      </c>
      <c r="F894" s="517" t="s">
        <v>5</v>
      </c>
      <c r="G894" s="512" t="s">
        <v>638</v>
      </c>
      <c r="H894" s="505" t="s">
        <v>489</v>
      </c>
      <c r="I894" s="541"/>
      <c r="J894" s="541"/>
      <c r="K894" s="541"/>
      <c r="L894" s="556"/>
      <c r="M894" s="556"/>
      <c r="N894" s="556"/>
    </row>
    <row r="895" spans="1:18" x14ac:dyDescent="0.25">
      <c r="A895" s="753"/>
      <c r="C895" s="452" t="s">
        <v>161</v>
      </c>
      <c r="D895" s="449">
        <f t="shared" si="75"/>
        <v>45957</v>
      </c>
      <c r="E895" s="454" t="s">
        <v>169</v>
      </c>
      <c r="F895" s="460" t="s">
        <v>5</v>
      </c>
      <c r="G895" s="460" t="s">
        <v>638</v>
      </c>
      <c r="H895" s="461"/>
      <c r="I895" s="540"/>
      <c r="J895" s="540"/>
      <c r="K895" s="540"/>
      <c r="L895" s="565"/>
      <c r="M895" s="565"/>
      <c r="N895" s="565"/>
    </row>
    <row r="896" spans="1:18" x14ac:dyDescent="0.25">
      <c r="A896" s="753"/>
      <c r="C896" s="452" t="s">
        <v>161</v>
      </c>
      <c r="D896" s="449">
        <f t="shared" si="75"/>
        <v>45957</v>
      </c>
      <c r="E896" s="454" t="s">
        <v>170</v>
      </c>
      <c r="F896" s="460" t="s">
        <v>5</v>
      </c>
      <c r="G896" s="460" t="s">
        <v>638</v>
      </c>
      <c r="H896" s="461"/>
      <c r="I896" s="540"/>
      <c r="J896" s="540"/>
      <c r="K896" s="540"/>
      <c r="L896" s="565"/>
      <c r="M896" s="565"/>
      <c r="N896" s="565"/>
    </row>
    <row r="897" spans="1:18" x14ac:dyDescent="0.25">
      <c r="A897" s="753"/>
      <c r="C897" s="452"/>
      <c r="D897" s="449"/>
      <c r="E897" s="454"/>
      <c r="F897" s="460"/>
      <c r="G897" s="460"/>
      <c r="H897" s="461"/>
      <c r="I897" s="540"/>
      <c r="J897" s="540"/>
      <c r="K897" s="540"/>
      <c r="L897" s="565"/>
      <c r="M897" s="565"/>
      <c r="N897" s="565"/>
    </row>
    <row r="898" spans="1:18" x14ac:dyDescent="0.25">
      <c r="A898" s="753"/>
      <c r="C898" s="452" t="s">
        <v>171</v>
      </c>
      <c r="D898" s="449">
        <f>D896+1</f>
        <v>45958</v>
      </c>
      <c r="E898" s="454" t="s">
        <v>162</v>
      </c>
      <c r="F898" s="460" t="s">
        <v>5</v>
      </c>
      <c r="G898" s="460" t="s">
        <v>638</v>
      </c>
      <c r="H898" s="504"/>
      <c r="I898" s="545"/>
      <c r="J898" s="540"/>
      <c r="K898" s="540"/>
      <c r="L898" s="566"/>
      <c r="M898" s="566"/>
      <c r="N898" s="566"/>
    </row>
    <row r="899" spans="1:18" x14ac:dyDescent="0.25">
      <c r="A899" s="753"/>
      <c r="C899" s="452" t="s">
        <v>171</v>
      </c>
      <c r="D899" s="449">
        <f t="shared" ref="D899:D907" si="76">D898</f>
        <v>45958</v>
      </c>
      <c r="E899" s="454" t="s">
        <v>163</v>
      </c>
      <c r="F899" s="505" t="s">
        <v>5</v>
      </c>
      <c r="G899" s="505" t="s">
        <v>638</v>
      </c>
      <c r="H899" s="516"/>
      <c r="I899" s="516"/>
      <c r="J899" s="516"/>
      <c r="K899" s="516"/>
      <c r="L899" s="557"/>
      <c r="M899" s="557"/>
      <c r="N899" s="557"/>
    </row>
    <row r="900" spans="1:18" x14ac:dyDescent="0.25">
      <c r="A900" s="753"/>
      <c r="C900" s="452" t="s">
        <v>171</v>
      </c>
      <c r="D900" s="449">
        <f t="shared" si="76"/>
        <v>45958</v>
      </c>
      <c r="E900" s="455" t="s">
        <v>164</v>
      </c>
      <c r="F900" s="505" t="s">
        <v>5</v>
      </c>
      <c r="G900" s="505" t="s">
        <v>638</v>
      </c>
      <c r="H900" s="516"/>
      <c r="I900" s="516"/>
      <c r="J900" s="516"/>
      <c r="K900" s="516"/>
      <c r="L900" s="557"/>
      <c r="M900" s="557"/>
      <c r="N900" s="557"/>
    </row>
    <row r="901" spans="1:18" x14ac:dyDescent="0.25">
      <c r="A901" s="753"/>
      <c r="C901" s="452" t="s">
        <v>171</v>
      </c>
      <c r="D901" s="449">
        <f t="shared" si="76"/>
        <v>45958</v>
      </c>
      <c r="E901" s="455" t="s">
        <v>165</v>
      </c>
      <c r="F901" s="506" t="s">
        <v>5</v>
      </c>
      <c r="G901" s="506" t="s">
        <v>638</v>
      </c>
      <c r="H901" s="516"/>
      <c r="I901" s="516"/>
      <c r="J901" s="516"/>
      <c r="K901" s="516"/>
      <c r="L901" s="557"/>
      <c r="M901" s="557"/>
      <c r="N901" s="557"/>
    </row>
    <row r="902" spans="1:18" x14ac:dyDescent="0.25">
      <c r="A902" s="753"/>
      <c r="C902" s="452" t="s">
        <v>171</v>
      </c>
      <c r="D902" s="449">
        <f t="shared" si="76"/>
        <v>45958</v>
      </c>
      <c r="E902" s="503" t="s">
        <v>166</v>
      </c>
      <c r="F902" s="506" t="s">
        <v>5</v>
      </c>
      <c r="G902" s="506" t="s">
        <v>638</v>
      </c>
      <c r="H902" s="516"/>
      <c r="I902" s="516"/>
      <c r="J902" s="516"/>
      <c r="K902" s="516"/>
      <c r="L902" s="557"/>
      <c r="M902" s="557"/>
      <c r="N902" s="557"/>
    </row>
    <row r="903" spans="1:18" ht="15.75" thickBot="1" x14ac:dyDescent="0.3">
      <c r="A903" s="753"/>
      <c r="C903" s="530" t="s">
        <v>171</v>
      </c>
      <c r="D903" s="451">
        <f t="shared" si="76"/>
        <v>45958</v>
      </c>
      <c r="E903" s="459" t="s">
        <v>576</v>
      </c>
      <c r="F903" s="493" t="s">
        <v>145</v>
      </c>
      <c r="G903" s="493" t="s">
        <v>145</v>
      </c>
      <c r="H903" s="513" t="s">
        <v>145</v>
      </c>
      <c r="I903" s="513"/>
      <c r="J903" s="513"/>
      <c r="K903" s="513"/>
      <c r="L903" s="558"/>
      <c r="M903" s="558"/>
      <c r="N903" s="558"/>
    </row>
    <row r="904" spans="1:18" ht="4.5" customHeight="1" thickBot="1" x14ac:dyDescent="0.3">
      <c r="A904" s="753"/>
      <c r="C904" t="s">
        <v>171</v>
      </c>
      <c r="D904">
        <f t="shared" si="76"/>
        <v>45958</v>
      </c>
      <c r="E904" t="s">
        <v>167</v>
      </c>
      <c r="G904" t="s">
        <v>638</v>
      </c>
      <c r="I904" s="420"/>
      <c r="J904" s="420"/>
      <c r="K904" s="420"/>
      <c r="L904" s="559"/>
      <c r="M904" s="559"/>
      <c r="N904" s="559"/>
      <c r="Q904" s="3"/>
      <c r="R904" s="3"/>
    </row>
    <row r="905" spans="1:18" ht="15" customHeight="1" thickBot="1" x14ac:dyDescent="0.3">
      <c r="A905" s="753"/>
      <c r="C905" s="546" t="s">
        <v>171</v>
      </c>
      <c r="D905" s="547">
        <f t="shared" si="76"/>
        <v>45958</v>
      </c>
      <c r="E905" s="539" t="s">
        <v>168</v>
      </c>
      <c r="F905" s="539"/>
      <c r="G905" s="539" t="s">
        <v>638</v>
      </c>
      <c r="H905" s="539"/>
      <c r="I905" s="543"/>
      <c r="J905" s="542"/>
      <c r="K905" s="544"/>
      <c r="L905" s="560"/>
      <c r="M905" s="561"/>
      <c r="N905" s="562"/>
      <c r="O905" s="548"/>
      <c r="P905" s="549"/>
      <c r="Q905" s="3"/>
      <c r="R905" s="3"/>
    </row>
    <row r="906" spans="1:18" x14ac:dyDescent="0.25">
      <c r="A906" s="753"/>
      <c r="C906" s="529" t="s">
        <v>171</v>
      </c>
      <c r="D906" s="447">
        <f t="shared" si="76"/>
        <v>45958</v>
      </c>
      <c r="E906" s="498" t="s">
        <v>169</v>
      </c>
      <c r="F906" s="514"/>
      <c r="G906" s="514" t="s">
        <v>638</v>
      </c>
      <c r="H906" s="514"/>
      <c r="I906" s="537"/>
      <c r="J906" s="537"/>
      <c r="K906" s="537"/>
      <c r="L906" s="563"/>
      <c r="M906" s="563"/>
      <c r="N906" s="563"/>
    </row>
    <row r="907" spans="1:18" x14ac:dyDescent="0.25">
      <c r="A907" s="753"/>
      <c r="C907" s="452" t="s">
        <v>171</v>
      </c>
      <c r="D907" s="453">
        <f t="shared" si="76"/>
        <v>45958</v>
      </c>
      <c r="E907" s="500" t="s">
        <v>170</v>
      </c>
      <c r="F907" s="569"/>
      <c r="G907" s="569" t="s">
        <v>638</v>
      </c>
      <c r="H907" s="569"/>
      <c r="I907" s="540"/>
      <c r="J907" s="540"/>
      <c r="K907" s="540"/>
      <c r="L907" s="555"/>
      <c r="M907" s="555"/>
      <c r="N907" s="555"/>
    </row>
    <row r="908" spans="1:18" x14ac:dyDescent="0.25">
      <c r="A908" s="753"/>
      <c r="C908" s="452"/>
      <c r="D908" s="453"/>
      <c r="E908" s="454"/>
      <c r="F908" s="569"/>
      <c r="G908" s="569"/>
      <c r="H908" s="569"/>
      <c r="I908" s="540"/>
      <c r="J908" s="540"/>
      <c r="K908" s="540"/>
      <c r="L908" s="564"/>
      <c r="M908" s="564"/>
      <c r="N908" s="564"/>
    </row>
    <row r="909" spans="1:18" x14ac:dyDescent="0.25">
      <c r="A909" s="753"/>
      <c r="C909" s="452" t="s">
        <v>172</v>
      </c>
      <c r="D909" s="453">
        <f>D907+1</f>
        <v>45959</v>
      </c>
      <c r="E909" s="454" t="s">
        <v>162</v>
      </c>
      <c r="F909" s="569" t="s">
        <v>5</v>
      </c>
      <c r="G909" s="569" t="s">
        <v>638</v>
      </c>
      <c r="H909" s="569"/>
      <c r="I909" s="540"/>
      <c r="J909" s="540"/>
      <c r="K909" s="540"/>
      <c r="L909" s="564"/>
      <c r="M909" s="564"/>
      <c r="N909" s="564"/>
    </row>
    <row r="910" spans="1:18" x14ac:dyDescent="0.25">
      <c r="A910" s="753"/>
      <c r="C910" s="452" t="s">
        <v>172</v>
      </c>
      <c r="D910" s="453">
        <f t="shared" ref="D910:D918" si="77">D909</f>
        <v>45959</v>
      </c>
      <c r="E910" s="454" t="s">
        <v>163</v>
      </c>
      <c r="F910" s="569" t="s">
        <v>5</v>
      </c>
      <c r="G910" s="569" t="s">
        <v>638</v>
      </c>
      <c r="H910" s="569"/>
      <c r="I910" s="540"/>
      <c r="J910" s="540"/>
      <c r="K910" s="540"/>
      <c r="L910" s="564"/>
      <c r="M910" s="564"/>
      <c r="N910" s="564"/>
    </row>
    <row r="911" spans="1:18" x14ac:dyDescent="0.25">
      <c r="A911" s="753"/>
      <c r="C911" s="452" t="s">
        <v>172</v>
      </c>
      <c r="D911" s="453">
        <f t="shared" si="77"/>
        <v>45959</v>
      </c>
      <c r="E911" s="454" t="s">
        <v>164</v>
      </c>
      <c r="F911" s="569" t="s">
        <v>5</v>
      </c>
      <c r="G911" s="569" t="s">
        <v>638</v>
      </c>
      <c r="H911" s="569"/>
      <c r="I911" s="540"/>
      <c r="J911" s="540"/>
      <c r="K911" s="540"/>
      <c r="L911" s="564"/>
      <c r="M911" s="564"/>
      <c r="N911" s="564"/>
    </row>
    <row r="912" spans="1:18" x14ac:dyDescent="0.25">
      <c r="A912" s="753"/>
      <c r="C912" s="452" t="s">
        <v>172</v>
      </c>
      <c r="D912" s="453">
        <f t="shared" si="77"/>
        <v>45959</v>
      </c>
      <c r="E912" s="454" t="s">
        <v>165</v>
      </c>
      <c r="F912" s="512" t="s">
        <v>370</v>
      </c>
      <c r="G912" s="512" t="s">
        <v>638</v>
      </c>
      <c r="H912" s="512"/>
      <c r="I912" s="541"/>
      <c r="J912" s="541"/>
      <c r="K912" s="541"/>
      <c r="L912" s="556"/>
      <c r="M912" s="556"/>
      <c r="N912" s="556"/>
    </row>
    <row r="913" spans="1:14" x14ac:dyDescent="0.25">
      <c r="A913" s="753"/>
      <c r="C913" s="452" t="s">
        <v>172</v>
      </c>
      <c r="D913" s="449">
        <f t="shared" si="77"/>
        <v>45959</v>
      </c>
      <c r="E913" s="454" t="s">
        <v>166</v>
      </c>
      <c r="F913" s="569" t="s">
        <v>370</v>
      </c>
      <c r="G913" s="569" t="s">
        <v>638</v>
      </c>
      <c r="H913" s="569"/>
      <c r="I913" s="540"/>
      <c r="J913" s="540"/>
      <c r="K913" s="540"/>
      <c r="L913" s="565"/>
      <c r="M913" s="565"/>
      <c r="N913" s="565"/>
    </row>
    <row r="914" spans="1:14" x14ac:dyDescent="0.25">
      <c r="A914" s="753"/>
      <c r="C914" s="452" t="s">
        <v>172</v>
      </c>
      <c r="D914" s="449">
        <f t="shared" si="77"/>
        <v>45959</v>
      </c>
      <c r="E914" s="454" t="s">
        <v>576</v>
      </c>
      <c r="F914" s="569" t="s">
        <v>145</v>
      </c>
      <c r="G914" s="569" t="s">
        <v>145</v>
      </c>
      <c r="H914" s="569" t="s">
        <v>145</v>
      </c>
      <c r="I914" s="540"/>
      <c r="J914" s="540"/>
      <c r="K914" s="540"/>
      <c r="L914" s="565"/>
      <c r="M914" s="565"/>
      <c r="N914" s="565"/>
    </row>
    <row r="915" spans="1:14" x14ac:dyDescent="0.25">
      <c r="A915" s="753"/>
      <c r="C915" s="452" t="s">
        <v>172</v>
      </c>
      <c r="D915" s="449">
        <f t="shared" si="77"/>
        <v>45959</v>
      </c>
      <c r="E915" s="454" t="s">
        <v>167</v>
      </c>
      <c r="F915" s="569" t="s">
        <v>370</v>
      </c>
      <c r="G915" s="569" t="s">
        <v>638</v>
      </c>
      <c r="H915" s="569"/>
      <c r="I915" s="540"/>
      <c r="J915" s="540"/>
      <c r="K915" s="540"/>
      <c r="L915" s="565"/>
      <c r="M915" s="565"/>
      <c r="N915" s="565"/>
    </row>
    <row r="916" spans="1:14" x14ac:dyDescent="0.25">
      <c r="A916" s="753"/>
      <c r="C916" s="452" t="s">
        <v>172</v>
      </c>
      <c r="D916" s="449">
        <f t="shared" si="77"/>
        <v>45959</v>
      </c>
      <c r="E916" s="454" t="s">
        <v>168</v>
      </c>
      <c r="F916" s="505"/>
      <c r="G916" s="505" t="s">
        <v>638</v>
      </c>
      <c r="H916" s="505"/>
      <c r="I916" s="516"/>
      <c r="J916" s="516"/>
      <c r="K916" s="516"/>
      <c r="L916" s="557"/>
      <c r="M916" s="557"/>
      <c r="N916" s="557"/>
    </row>
    <row r="917" spans="1:14" x14ac:dyDescent="0.25">
      <c r="A917" s="753"/>
      <c r="C917" s="452" t="s">
        <v>172</v>
      </c>
      <c r="D917" s="449">
        <f t="shared" si="77"/>
        <v>45959</v>
      </c>
      <c r="E917" s="454" t="s">
        <v>169</v>
      </c>
      <c r="F917" s="505"/>
      <c r="G917" s="505" t="s">
        <v>638</v>
      </c>
      <c r="H917" s="505"/>
      <c r="I917" s="516"/>
      <c r="J917" s="516"/>
      <c r="K917" s="516"/>
      <c r="L917" s="557"/>
      <c r="M917" s="557"/>
      <c r="N917" s="557"/>
    </row>
    <row r="918" spans="1:14" x14ac:dyDescent="0.25">
      <c r="A918" s="753"/>
      <c r="C918" s="452" t="s">
        <v>172</v>
      </c>
      <c r="D918" s="449">
        <f t="shared" si="77"/>
        <v>45959</v>
      </c>
      <c r="E918" s="455" t="s">
        <v>170</v>
      </c>
      <c r="F918" s="505"/>
      <c r="G918" s="505" t="s">
        <v>638</v>
      </c>
      <c r="H918" s="505"/>
      <c r="I918" s="516"/>
      <c r="J918" s="516"/>
      <c r="K918" s="516"/>
      <c r="L918" s="557"/>
      <c r="M918" s="557"/>
      <c r="N918" s="557"/>
    </row>
    <row r="919" spans="1:14" x14ac:dyDescent="0.25">
      <c r="A919" s="753"/>
      <c r="C919" s="452"/>
      <c r="D919" s="449"/>
      <c r="E919" s="455"/>
      <c r="F919" s="506"/>
      <c r="G919" s="506"/>
      <c r="H919" s="506"/>
      <c r="I919" s="516"/>
      <c r="J919" s="516"/>
      <c r="K919" s="516"/>
      <c r="L919" s="557"/>
      <c r="M919" s="557"/>
      <c r="N919" s="557"/>
    </row>
    <row r="920" spans="1:14" x14ac:dyDescent="0.25">
      <c r="A920" s="753"/>
      <c r="C920" s="452" t="s">
        <v>173</v>
      </c>
      <c r="D920" s="502">
        <f>D918+1</f>
        <v>45960</v>
      </c>
      <c r="E920" s="503" t="s">
        <v>162</v>
      </c>
      <c r="F920" s="506"/>
      <c r="G920" s="506" t="s">
        <v>638</v>
      </c>
      <c r="H920" s="506"/>
      <c r="I920" s="516"/>
      <c r="J920" s="516"/>
      <c r="K920" s="516"/>
      <c r="L920" s="557"/>
      <c r="M920" s="557"/>
      <c r="N920" s="557"/>
    </row>
    <row r="921" spans="1:14" ht="15.75" thickBot="1" x14ac:dyDescent="0.3">
      <c r="A921" s="753"/>
      <c r="C921" s="530" t="s">
        <v>173</v>
      </c>
      <c r="D921" s="451">
        <f t="shared" ref="D921:D929" si="78">D920</f>
        <v>45960</v>
      </c>
      <c r="E921" s="459" t="s">
        <v>163</v>
      </c>
      <c r="F921" s="493"/>
      <c r="G921" s="493" t="s">
        <v>638</v>
      </c>
      <c r="H921" s="493"/>
      <c r="I921" s="513"/>
      <c r="J921" s="513"/>
      <c r="K921" s="513"/>
      <c r="L921" s="558"/>
      <c r="M921" s="558"/>
      <c r="N921" s="558"/>
    </row>
    <row r="922" spans="1:14" x14ac:dyDescent="0.25">
      <c r="C922" t="s">
        <v>173</v>
      </c>
      <c r="D922">
        <f t="shared" si="78"/>
        <v>45960</v>
      </c>
      <c r="E922" t="s">
        <v>164</v>
      </c>
      <c r="G922" t="s">
        <v>638</v>
      </c>
    </row>
    <row r="923" spans="1:14" x14ac:dyDescent="0.25">
      <c r="C923" t="s">
        <v>173</v>
      </c>
      <c r="D923">
        <f t="shared" si="78"/>
        <v>45960</v>
      </c>
      <c r="E923" t="s">
        <v>165</v>
      </c>
      <c r="G923" t="s">
        <v>638</v>
      </c>
    </row>
    <row r="924" spans="1:14" x14ac:dyDescent="0.25">
      <c r="C924" t="s">
        <v>173</v>
      </c>
      <c r="D924">
        <f t="shared" si="78"/>
        <v>45960</v>
      </c>
      <c r="E924" t="s">
        <v>166</v>
      </c>
      <c r="F924" t="s">
        <v>5</v>
      </c>
      <c r="G924" t="s">
        <v>638</v>
      </c>
    </row>
    <row r="925" spans="1:14" x14ac:dyDescent="0.25">
      <c r="C925" t="s">
        <v>173</v>
      </c>
      <c r="D925">
        <f t="shared" si="78"/>
        <v>45960</v>
      </c>
      <c r="E925" t="s">
        <v>576</v>
      </c>
      <c r="F925" t="s">
        <v>145</v>
      </c>
      <c r="G925" t="s">
        <v>145</v>
      </c>
      <c r="H925" t="s">
        <v>145</v>
      </c>
    </row>
    <row r="926" spans="1:14" x14ac:dyDescent="0.25">
      <c r="C926" t="s">
        <v>173</v>
      </c>
      <c r="D926">
        <f t="shared" si="78"/>
        <v>45960</v>
      </c>
      <c r="E926" t="s">
        <v>167</v>
      </c>
      <c r="F926" t="s">
        <v>5</v>
      </c>
      <c r="G926" t="s">
        <v>638</v>
      </c>
      <c r="H926" t="s">
        <v>919</v>
      </c>
    </row>
    <row r="927" spans="1:14" x14ac:dyDescent="0.25">
      <c r="C927" t="s">
        <v>173</v>
      </c>
      <c r="D927">
        <f t="shared" si="78"/>
        <v>45960</v>
      </c>
      <c r="E927" t="s">
        <v>168</v>
      </c>
      <c r="F927" t="s">
        <v>5</v>
      </c>
      <c r="G927" t="s">
        <v>638</v>
      </c>
      <c r="H927" t="s">
        <v>919</v>
      </c>
    </row>
    <row r="928" spans="1:14" x14ac:dyDescent="0.25">
      <c r="C928" t="s">
        <v>173</v>
      </c>
      <c r="D928">
        <f t="shared" si="78"/>
        <v>45960</v>
      </c>
      <c r="E928" t="s">
        <v>169</v>
      </c>
      <c r="F928" t="s">
        <v>5</v>
      </c>
      <c r="G928" t="s">
        <v>638</v>
      </c>
      <c r="H928" t="s">
        <v>919</v>
      </c>
    </row>
    <row r="929" spans="1:18" x14ac:dyDescent="0.25">
      <c r="C929" t="s">
        <v>173</v>
      </c>
      <c r="D929">
        <f t="shared" si="78"/>
        <v>45960</v>
      </c>
      <c r="E929" t="s">
        <v>170</v>
      </c>
      <c r="G929" t="s">
        <v>638</v>
      </c>
      <c r="H929" t="s">
        <v>919</v>
      </c>
    </row>
    <row r="931" spans="1:18" x14ac:dyDescent="0.25">
      <c r="C931" t="s">
        <v>174</v>
      </c>
      <c r="D931">
        <f>D929+1</f>
        <v>45961</v>
      </c>
      <c r="E931" t="s">
        <v>162</v>
      </c>
      <c r="F931" t="s">
        <v>370</v>
      </c>
      <c r="G931" t="s">
        <v>638</v>
      </c>
      <c r="H931" t="s">
        <v>919</v>
      </c>
    </row>
    <row r="932" spans="1:18" x14ac:dyDescent="0.25">
      <c r="C932" t="s">
        <v>174</v>
      </c>
      <c r="D932">
        <f t="shared" ref="D932:D939" si="79">D931</f>
        <v>45961</v>
      </c>
      <c r="E932" t="s">
        <v>163</v>
      </c>
      <c r="F932" t="s">
        <v>370</v>
      </c>
      <c r="G932" t="s">
        <v>638</v>
      </c>
      <c r="H932" t="s">
        <v>919</v>
      </c>
    </row>
    <row r="933" spans="1:18" x14ac:dyDescent="0.25">
      <c r="C933" t="s">
        <v>174</v>
      </c>
      <c r="D933">
        <f t="shared" si="79"/>
        <v>45961</v>
      </c>
      <c r="E933" t="s">
        <v>164</v>
      </c>
      <c r="F933" t="s">
        <v>370</v>
      </c>
      <c r="G933" t="s">
        <v>638</v>
      </c>
      <c r="H933" t="s">
        <v>919</v>
      </c>
    </row>
    <row r="934" spans="1:18" x14ac:dyDescent="0.25">
      <c r="C934" t="s">
        <v>174</v>
      </c>
      <c r="D934">
        <f t="shared" si="79"/>
        <v>45961</v>
      </c>
      <c r="E934" t="s">
        <v>165</v>
      </c>
      <c r="F934" t="s">
        <v>370</v>
      </c>
      <c r="G934" t="s">
        <v>638</v>
      </c>
      <c r="H934" t="s">
        <v>919</v>
      </c>
    </row>
    <row r="935" spans="1:18" x14ac:dyDescent="0.25">
      <c r="C935" t="s">
        <v>174</v>
      </c>
      <c r="D935">
        <f t="shared" si="79"/>
        <v>45961</v>
      </c>
      <c r="E935" t="s">
        <v>166</v>
      </c>
      <c r="F935" t="s">
        <v>370</v>
      </c>
      <c r="G935" t="s">
        <v>638</v>
      </c>
      <c r="H935" t="s">
        <v>919</v>
      </c>
    </row>
    <row r="936" spans="1:18" x14ac:dyDescent="0.25">
      <c r="C936" t="s">
        <v>174</v>
      </c>
      <c r="D936">
        <f t="shared" si="79"/>
        <v>45961</v>
      </c>
      <c r="E936" t="s">
        <v>576</v>
      </c>
      <c r="F936" t="s">
        <v>145</v>
      </c>
      <c r="G936" t="s">
        <v>145</v>
      </c>
      <c r="H936" t="s">
        <v>145</v>
      </c>
    </row>
    <row r="937" spans="1:18" x14ac:dyDescent="0.25">
      <c r="C937" t="s">
        <v>174</v>
      </c>
      <c r="D937">
        <f t="shared" si="79"/>
        <v>45961</v>
      </c>
      <c r="E937" t="s">
        <v>167</v>
      </c>
      <c r="F937" t="s">
        <v>370</v>
      </c>
      <c r="G937" t="s">
        <v>638</v>
      </c>
      <c r="H937" t="s">
        <v>919</v>
      </c>
    </row>
    <row r="938" spans="1:18" x14ac:dyDescent="0.25">
      <c r="C938" t="s">
        <v>174</v>
      </c>
      <c r="D938">
        <f t="shared" si="79"/>
        <v>45961</v>
      </c>
      <c r="E938" t="s">
        <v>168</v>
      </c>
      <c r="F938" t="s">
        <v>370</v>
      </c>
      <c r="G938" t="s">
        <v>638</v>
      </c>
      <c r="H938" t="s">
        <v>919</v>
      </c>
    </row>
    <row r="939" spans="1:18" x14ac:dyDescent="0.25">
      <c r="C939" t="s">
        <v>174</v>
      </c>
      <c r="D939">
        <f t="shared" si="79"/>
        <v>45961</v>
      </c>
      <c r="E939" t="s">
        <v>169</v>
      </c>
      <c r="F939" t="s">
        <v>370</v>
      </c>
      <c r="G939" t="s">
        <v>638</v>
      </c>
      <c r="H939" t="s">
        <v>919</v>
      </c>
    </row>
    <row r="940" spans="1:18" ht="15.75" thickBot="1" x14ac:dyDescent="0.3"/>
    <row r="941" spans="1:18" ht="15" customHeight="1" thickBot="1" x14ac:dyDescent="0.3">
      <c r="A941" s="753" t="s">
        <v>894</v>
      </c>
      <c r="C941" s="538" t="s">
        <v>161</v>
      </c>
      <c r="D941" s="539">
        <v>45964</v>
      </c>
      <c r="E941" s="539" t="s">
        <v>162</v>
      </c>
      <c r="F941" s="539" t="s">
        <v>370</v>
      </c>
      <c r="G941" s="539"/>
      <c r="H941" s="539"/>
      <c r="I941" s="543"/>
      <c r="J941" s="542"/>
      <c r="K941" s="544"/>
      <c r="L941" s="560"/>
      <c r="M941" s="561"/>
      <c r="N941" s="562"/>
      <c r="O941" s="548"/>
      <c r="P941" s="549"/>
      <c r="Q941" s="3"/>
      <c r="R941" s="3"/>
    </row>
    <row r="942" spans="1:18" x14ac:dyDescent="0.25">
      <c r="A942" s="753"/>
      <c r="C942" s="496" t="s">
        <v>161</v>
      </c>
      <c r="D942" s="507">
        <f t="shared" ref="D942:D950" si="80">D941</f>
        <v>45964</v>
      </c>
      <c r="E942" s="498" t="s">
        <v>163</v>
      </c>
      <c r="F942" s="514" t="s">
        <v>370</v>
      </c>
      <c r="G942" s="514"/>
      <c r="H942" s="515"/>
      <c r="I942" s="537"/>
      <c r="J942" s="537"/>
      <c r="K942" s="537"/>
      <c r="L942" s="563"/>
      <c r="M942" s="563"/>
      <c r="N942" s="563"/>
    </row>
    <row r="943" spans="1:18" x14ac:dyDescent="0.25">
      <c r="A943" s="753"/>
      <c r="C943" s="525" t="s">
        <v>161</v>
      </c>
      <c r="D943" s="499">
        <f t="shared" si="80"/>
        <v>45964</v>
      </c>
      <c r="E943" s="500" t="s">
        <v>164</v>
      </c>
      <c r="F943" s="460" t="s">
        <v>370</v>
      </c>
      <c r="G943" s="460"/>
      <c r="H943" s="460"/>
      <c r="I943" s="540"/>
      <c r="J943" s="540"/>
      <c r="K943" s="540"/>
      <c r="L943" s="555"/>
      <c r="M943" s="555"/>
      <c r="N943" s="555"/>
    </row>
    <row r="944" spans="1:18" x14ac:dyDescent="0.25">
      <c r="A944" s="753"/>
      <c r="C944" s="526" t="s">
        <v>161</v>
      </c>
      <c r="D944" s="449">
        <f t="shared" si="80"/>
        <v>45964</v>
      </c>
      <c r="E944" s="454" t="s">
        <v>165</v>
      </c>
      <c r="F944" s="460" t="s">
        <v>370</v>
      </c>
      <c r="G944" s="460"/>
      <c r="H944" s="460"/>
      <c r="I944" s="540"/>
      <c r="J944" s="540"/>
      <c r="K944" s="540"/>
      <c r="L944" s="564"/>
      <c r="M944" s="564"/>
      <c r="N944" s="564"/>
    </row>
    <row r="945" spans="1:18" x14ac:dyDescent="0.25">
      <c r="A945" s="753"/>
      <c r="C945" s="526" t="s">
        <v>161</v>
      </c>
      <c r="D945" s="449">
        <f t="shared" si="80"/>
        <v>45964</v>
      </c>
      <c r="E945" s="454" t="s">
        <v>166</v>
      </c>
      <c r="F945" s="460" t="s">
        <v>370</v>
      </c>
      <c r="G945" s="460"/>
      <c r="H945" s="460"/>
      <c r="I945" s="540"/>
      <c r="J945" s="540"/>
      <c r="K945" s="540"/>
      <c r="L945" s="564"/>
      <c r="M945" s="564"/>
      <c r="N945" s="564"/>
    </row>
    <row r="946" spans="1:18" x14ac:dyDescent="0.25">
      <c r="A946" s="753"/>
      <c r="C946" s="526" t="s">
        <v>161</v>
      </c>
      <c r="D946" s="449">
        <f t="shared" si="80"/>
        <v>45964</v>
      </c>
      <c r="E946" s="454" t="s">
        <v>576</v>
      </c>
      <c r="F946" s="460" t="s">
        <v>145</v>
      </c>
      <c r="G946" s="460" t="s">
        <v>145</v>
      </c>
      <c r="H946" s="460" t="s">
        <v>145</v>
      </c>
      <c r="I946" s="540"/>
      <c r="J946" s="540"/>
      <c r="K946" s="540"/>
      <c r="L946" s="564"/>
      <c r="M946" s="564"/>
      <c r="N946" s="564"/>
    </row>
    <row r="947" spans="1:18" x14ac:dyDescent="0.25">
      <c r="A947" s="753"/>
      <c r="C947" s="526" t="s">
        <v>161</v>
      </c>
      <c r="D947" s="449">
        <f t="shared" si="80"/>
        <v>45964</v>
      </c>
      <c r="E947" s="454" t="s">
        <v>167</v>
      </c>
      <c r="F947" s="460" t="s">
        <v>370</v>
      </c>
      <c r="G947" s="460"/>
      <c r="H947" s="460"/>
      <c r="I947" s="540"/>
      <c r="J947" s="540"/>
      <c r="K947" s="540"/>
      <c r="L947" s="564"/>
      <c r="M947" s="564"/>
      <c r="N947" s="564"/>
    </row>
    <row r="948" spans="1:18" x14ac:dyDescent="0.25">
      <c r="A948" s="753"/>
      <c r="C948" s="526" t="s">
        <v>161</v>
      </c>
      <c r="D948" s="449">
        <f t="shared" si="80"/>
        <v>45964</v>
      </c>
      <c r="E948" s="454" t="s">
        <v>168</v>
      </c>
      <c r="F948" s="512" t="s">
        <v>370</v>
      </c>
      <c r="G948" s="512"/>
      <c r="H948" s="505"/>
      <c r="I948" s="554"/>
      <c r="J948" s="541"/>
      <c r="K948" s="541"/>
      <c r="L948" s="556"/>
      <c r="M948" s="556"/>
      <c r="N948" s="556"/>
    </row>
    <row r="949" spans="1:18" x14ac:dyDescent="0.25">
      <c r="A949" s="753"/>
      <c r="C949" s="527" t="s">
        <v>161</v>
      </c>
      <c r="D949" s="449">
        <f t="shared" si="80"/>
        <v>45964</v>
      </c>
      <c r="E949" s="454" t="s">
        <v>169</v>
      </c>
      <c r="F949" s="460" t="s">
        <v>370</v>
      </c>
      <c r="G949" s="460"/>
      <c r="H949" s="460"/>
      <c r="I949" s="540"/>
      <c r="J949" s="540"/>
      <c r="K949" s="540"/>
      <c r="L949" s="565"/>
      <c r="M949" s="565"/>
      <c r="N949" s="565"/>
    </row>
    <row r="950" spans="1:18" x14ac:dyDescent="0.25">
      <c r="A950" s="753"/>
      <c r="C950" s="527" t="s">
        <v>161</v>
      </c>
      <c r="D950" s="449">
        <f t="shared" si="80"/>
        <v>45964</v>
      </c>
      <c r="E950" s="454" t="s">
        <v>170</v>
      </c>
      <c r="F950" s="460" t="s">
        <v>370</v>
      </c>
      <c r="G950" s="460"/>
      <c r="H950" s="461"/>
      <c r="I950" s="540"/>
      <c r="J950" s="540"/>
      <c r="K950" s="540"/>
      <c r="L950" s="565"/>
      <c r="M950" s="565"/>
      <c r="N950" s="565"/>
    </row>
    <row r="951" spans="1:18" x14ac:dyDescent="0.25">
      <c r="A951" s="753"/>
      <c r="C951" s="527"/>
      <c r="D951" s="449"/>
      <c r="E951" s="454"/>
      <c r="F951" s="460"/>
      <c r="G951" s="460"/>
      <c r="H951" s="461"/>
      <c r="I951" s="540"/>
      <c r="J951" s="540"/>
      <c r="K951" s="540"/>
      <c r="L951" s="565"/>
      <c r="M951" s="565"/>
      <c r="N951" s="565"/>
    </row>
    <row r="952" spans="1:18" x14ac:dyDescent="0.25">
      <c r="A952" s="753"/>
      <c r="C952" s="527" t="s">
        <v>171</v>
      </c>
      <c r="D952" s="449">
        <f>D950+1</f>
        <v>45965</v>
      </c>
      <c r="E952" s="454" t="s">
        <v>162</v>
      </c>
      <c r="F952" s="460" t="s">
        <v>370</v>
      </c>
      <c r="G952" s="460"/>
      <c r="H952" s="504"/>
      <c r="I952" s="540"/>
      <c r="J952" s="540"/>
      <c r="K952" s="540"/>
      <c r="L952" s="566"/>
      <c r="M952" s="566"/>
      <c r="N952" s="566"/>
    </row>
    <row r="953" spans="1:18" x14ac:dyDescent="0.25">
      <c r="A953" s="753"/>
      <c r="C953" s="527" t="s">
        <v>171</v>
      </c>
      <c r="D953" s="449">
        <f t="shared" ref="D953:D961" si="81">D952</f>
        <v>45965</v>
      </c>
      <c r="E953" s="454" t="s">
        <v>163</v>
      </c>
      <c r="F953" s="505" t="s">
        <v>370</v>
      </c>
      <c r="G953" s="516"/>
      <c r="H953" s="516"/>
      <c r="I953" s="516"/>
      <c r="J953" s="516"/>
      <c r="K953" s="516"/>
      <c r="L953" s="557"/>
      <c r="M953" s="557"/>
      <c r="N953" s="557"/>
    </row>
    <row r="954" spans="1:18" x14ac:dyDescent="0.25">
      <c r="A954" s="753"/>
      <c r="C954" s="527" t="s">
        <v>171</v>
      </c>
      <c r="D954" s="449">
        <f t="shared" si="81"/>
        <v>45965</v>
      </c>
      <c r="E954" s="455" t="s">
        <v>164</v>
      </c>
      <c r="F954" s="505" t="s">
        <v>370</v>
      </c>
      <c r="G954" s="516"/>
      <c r="H954" s="516"/>
      <c r="I954" s="516"/>
      <c r="J954" s="516"/>
      <c r="K954" s="516"/>
      <c r="L954" s="557"/>
      <c r="M954" s="557"/>
      <c r="N954" s="557"/>
    </row>
    <row r="955" spans="1:18" x14ac:dyDescent="0.25">
      <c r="A955" s="753"/>
      <c r="C955" s="527" t="s">
        <v>171</v>
      </c>
      <c r="D955" s="449">
        <f t="shared" si="81"/>
        <v>45965</v>
      </c>
      <c r="E955" s="455" t="s">
        <v>165</v>
      </c>
      <c r="F955" s="506" t="s">
        <v>370</v>
      </c>
      <c r="G955" s="506"/>
      <c r="H955" s="516"/>
      <c r="I955" s="516"/>
      <c r="J955" s="516"/>
      <c r="K955" s="516"/>
      <c r="L955" s="557"/>
      <c r="M955" s="557"/>
      <c r="N955" s="557"/>
    </row>
    <row r="956" spans="1:18" x14ac:dyDescent="0.25">
      <c r="A956" s="753"/>
      <c r="C956" s="527" t="s">
        <v>171</v>
      </c>
      <c r="D956" s="449">
        <f t="shared" si="81"/>
        <v>45965</v>
      </c>
      <c r="E956" s="503" t="s">
        <v>166</v>
      </c>
      <c r="F956" s="506" t="s">
        <v>370</v>
      </c>
      <c r="G956" s="506"/>
      <c r="H956" s="516"/>
      <c r="I956" s="516"/>
      <c r="J956" s="516"/>
      <c r="K956" s="516"/>
      <c r="L956" s="557"/>
      <c r="M956" s="557"/>
      <c r="N956" s="557"/>
    </row>
    <row r="957" spans="1:18" ht="15.75" thickBot="1" x14ac:dyDescent="0.3">
      <c r="A957" s="753"/>
      <c r="C957" s="528" t="s">
        <v>171</v>
      </c>
      <c r="D957" s="451">
        <f t="shared" si="81"/>
        <v>45965</v>
      </c>
      <c r="E957" s="459" t="s">
        <v>576</v>
      </c>
      <c r="F957" s="493" t="s">
        <v>145</v>
      </c>
      <c r="G957" s="493" t="s">
        <v>145</v>
      </c>
      <c r="H957" s="513" t="s">
        <v>145</v>
      </c>
      <c r="I957" s="513"/>
      <c r="J957" s="513"/>
      <c r="K957" s="513"/>
      <c r="L957" s="558"/>
      <c r="M957" s="558"/>
      <c r="N957" s="558"/>
    </row>
    <row r="958" spans="1:18" ht="4.5" customHeight="1" thickBot="1" x14ac:dyDescent="0.3">
      <c r="A958" s="753"/>
      <c r="C958" t="s">
        <v>171</v>
      </c>
      <c r="D958">
        <f t="shared" si="81"/>
        <v>45965</v>
      </c>
      <c r="E958" t="s">
        <v>167</v>
      </c>
      <c r="F958" t="s">
        <v>370</v>
      </c>
      <c r="G958" t="s">
        <v>919</v>
      </c>
      <c r="L958" s="559"/>
      <c r="M958" s="559"/>
      <c r="N958" s="559"/>
      <c r="Q958" s="3"/>
      <c r="R958" s="3"/>
    </row>
    <row r="959" spans="1:18" ht="15" customHeight="1" thickBot="1" x14ac:dyDescent="0.3">
      <c r="A959" s="753"/>
      <c r="C959" s="538" t="s">
        <v>171</v>
      </c>
      <c r="D959" s="539">
        <f t="shared" si="81"/>
        <v>45965</v>
      </c>
      <c r="E959" s="539" t="s">
        <v>168</v>
      </c>
      <c r="F959" s="539" t="s">
        <v>370</v>
      </c>
      <c r="G959" s="539" t="s">
        <v>919</v>
      </c>
      <c r="H959" s="539"/>
      <c r="I959" s="543"/>
      <c r="J959" s="542"/>
      <c r="K959" s="544"/>
      <c r="L959" s="560"/>
      <c r="M959" s="561"/>
      <c r="N959" s="562"/>
      <c r="O959" s="548"/>
      <c r="P959" s="549"/>
      <c r="Q959" s="3"/>
      <c r="R959" s="3"/>
    </row>
    <row r="960" spans="1:18" x14ac:dyDescent="0.25">
      <c r="A960" s="753"/>
      <c r="C960" s="446" t="s">
        <v>171</v>
      </c>
      <c r="D960" s="497">
        <f t="shared" si="81"/>
        <v>45965</v>
      </c>
      <c r="E960" s="498" t="s">
        <v>169</v>
      </c>
      <c r="F960" s="514" t="s">
        <v>370</v>
      </c>
      <c r="G960" s="514" t="s">
        <v>919</v>
      </c>
      <c r="H960" s="515"/>
      <c r="I960" s="537"/>
      <c r="J960" s="537"/>
      <c r="K960" s="537"/>
      <c r="L960" s="563"/>
      <c r="M960" s="563"/>
      <c r="N960" s="563"/>
    </row>
    <row r="961" spans="1:18" x14ac:dyDescent="0.25">
      <c r="A961" s="753"/>
      <c r="C961" s="452" t="s">
        <v>171</v>
      </c>
      <c r="D961" s="499">
        <f t="shared" si="81"/>
        <v>45965</v>
      </c>
      <c r="E961" s="500" t="s">
        <v>170</v>
      </c>
      <c r="F961" s="460" t="s">
        <v>370</v>
      </c>
      <c r="G961" s="460" t="s">
        <v>919</v>
      </c>
      <c r="H961" s="501"/>
      <c r="I961" s="540"/>
      <c r="J961" s="540"/>
      <c r="K961" s="540"/>
      <c r="L961" s="555"/>
      <c r="M961" s="555"/>
      <c r="N961" s="555"/>
    </row>
    <row r="962" spans="1:18" x14ac:dyDescent="0.25">
      <c r="A962" s="753"/>
      <c r="C962" s="452"/>
      <c r="D962" s="449"/>
      <c r="E962" s="454"/>
      <c r="F962" s="460"/>
      <c r="G962" s="460"/>
      <c r="H962" s="460"/>
      <c r="I962" s="540"/>
      <c r="J962" s="540"/>
      <c r="K962" s="540"/>
      <c r="L962" s="564"/>
      <c r="M962" s="564"/>
      <c r="N962" s="564"/>
    </row>
    <row r="963" spans="1:18" x14ac:dyDescent="0.25">
      <c r="A963" s="753"/>
      <c r="C963" s="452" t="s">
        <v>172</v>
      </c>
      <c r="D963" s="449">
        <f>D961+1</f>
        <v>45966</v>
      </c>
      <c r="E963" s="454" t="s">
        <v>162</v>
      </c>
      <c r="F963" s="460" t="s">
        <v>370</v>
      </c>
      <c r="G963" s="460" t="s">
        <v>919</v>
      </c>
      <c r="H963" s="460"/>
      <c r="I963" s="540"/>
      <c r="J963" s="540"/>
      <c r="K963" s="540"/>
      <c r="L963" s="564"/>
      <c r="M963" s="564"/>
      <c r="N963" s="564"/>
    </row>
    <row r="964" spans="1:18" x14ac:dyDescent="0.25">
      <c r="A964" s="753"/>
      <c r="C964" s="452" t="s">
        <v>172</v>
      </c>
      <c r="D964" s="449">
        <f t="shared" ref="D964:D972" si="82">D963</f>
        <v>45966</v>
      </c>
      <c r="E964" s="454" t="s">
        <v>163</v>
      </c>
      <c r="F964" s="460" t="s">
        <v>370</v>
      </c>
      <c r="G964" s="460" t="s">
        <v>919</v>
      </c>
      <c r="H964" s="460"/>
      <c r="I964" s="540"/>
      <c r="J964" s="540"/>
      <c r="K964" s="540"/>
      <c r="L964" s="564"/>
      <c r="M964" s="564"/>
      <c r="N964" s="564"/>
    </row>
    <row r="965" spans="1:18" x14ac:dyDescent="0.25">
      <c r="A965" s="753"/>
      <c r="C965" s="452" t="s">
        <v>172</v>
      </c>
      <c r="D965" s="449">
        <f t="shared" si="82"/>
        <v>45966</v>
      </c>
      <c r="E965" s="454" t="s">
        <v>164</v>
      </c>
      <c r="F965" s="460" t="s">
        <v>370</v>
      </c>
      <c r="G965" s="460" t="s">
        <v>919</v>
      </c>
      <c r="H965" s="460"/>
      <c r="I965" s="540"/>
      <c r="J965" s="540"/>
      <c r="K965" s="540"/>
      <c r="L965" s="564"/>
      <c r="M965" s="564"/>
      <c r="N965" s="564"/>
    </row>
    <row r="966" spans="1:18" x14ac:dyDescent="0.25">
      <c r="A966" s="753"/>
      <c r="C966" s="452" t="s">
        <v>172</v>
      </c>
      <c r="D966" s="449">
        <f t="shared" si="82"/>
        <v>45966</v>
      </c>
      <c r="E966" s="454" t="s">
        <v>165</v>
      </c>
      <c r="F966" s="517" t="s">
        <v>370</v>
      </c>
      <c r="G966" s="512" t="s">
        <v>919</v>
      </c>
      <c r="H966" s="505"/>
      <c r="I966" s="554"/>
      <c r="J966" s="541"/>
      <c r="K966" s="541"/>
      <c r="L966" s="556"/>
      <c r="M966" s="556"/>
      <c r="N966" s="556"/>
    </row>
    <row r="967" spans="1:18" x14ac:dyDescent="0.25">
      <c r="A967" s="753"/>
      <c r="C967" s="452" t="s">
        <v>172</v>
      </c>
      <c r="D967" s="449">
        <f t="shared" si="82"/>
        <v>45966</v>
      </c>
      <c r="E967" s="454" t="s">
        <v>166</v>
      </c>
      <c r="F967" s="460" t="s">
        <v>370</v>
      </c>
      <c r="G967" s="460" t="s">
        <v>919</v>
      </c>
      <c r="H967" s="461"/>
      <c r="I967" s="540"/>
      <c r="J967" s="540"/>
      <c r="K967" s="540"/>
      <c r="L967" s="565"/>
      <c r="M967" s="565"/>
      <c r="N967" s="565"/>
    </row>
    <row r="968" spans="1:18" x14ac:dyDescent="0.25">
      <c r="A968" s="753"/>
      <c r="C968" s="452" t="s">
        <v>172</v>
      </c>
      <c r="D968" s="449">
        <f t="shared" si="82"/>
        <v>45966</v>
      </c>
      <c r="E968" s="454" t="s">
        <v>576</v>
      </c>
      <c r="F968" s="460" t="s">
        <v>145</v>
      </c>
      <c r="G968" s="460" t="s">
        <v>145</v>
      </c>
      <c r="H968" s="461" t="s">
        <v>145</v>
      </c>
      <c r="I968" s="540"/>
      <c r="J968" s="540"/>
      <c r="K968" s="540"/>
      <c r="L968" s="565"/>
      <c r="M968" s="565"/>
      <c r="N968" s="565"/>
    </row>
    <row r="969" spans="1:18" x14ac:dyDescent="0.25">
      <c r="A969" s="753"/>
      <c r="C969" s="452" t="s">
        <v>172</v>
      </c>
      <c r="D969" s="449">
        <f t="shared" si="82"/>
        <v>45966</v>
      </c>
      <c r="E969" s="454" t="s">
        <v>167</v>
      </c>
      <c r="F969" s="460" t="s">
        <v>370</v>
      </c>
      <c r="G969" s="460" t="s">
        <v>919</v>
      </c>
      <c r="H969" s="461"/>
      <c r="I969" s="540"/>
      <c r="J969" s="540"/>
      <c r="K969" s="540"/>
      <c r="L969" s="565"/>
      <c r="M969" s="565"/>
      <c r="N969" s="565"/>
    </row>
    <row r="970" spans="1:18" x14ac:dyDescent="0.25">
      <c r="A970" s="753"/>
      <c r="C970" s="452" t="s">
        <v>172</v>
      </c>
      <c r="D970" s="449">
        <f t="shared" si="82"/>
        <v>45966</v>
      </c>
      <c r="E970" s="454" t="s">
        <v>168</v>
      </c>
      <c r="F970" s="460" t="s">
        <v>370</v>
      </c>
      <c r="G970" s="460" t="s">
        <v>919</v>
      </c>
      <c r="H970" s="504"/>
      <c r="I970" s="540"/>
      <c r="J970" s="540"/>
      <c r="K970" s="540"/>
      <c r="L970" s="566"/>
      <c r="M970" s="566"/>
      <c r="N970" s="566"/>
    </row>
    <row r="971" spans="1:18" x14ac:dyDescent="0.25">
      <c r="A971" s="753"/>
      <c r="C971" s="452" t="s">
        <v>172</v>
      </c>
      <c r="D971" s="449">
        <f t="shared" si="82"/>
        <v>45966</v>
      </c>
      <c r="E971" s="454" t="s">
        <v>169</v>
      </c>
      <c r="F971" s="505" t="s">
        <v>370</v>
      </c>
      <c r="G971" s="505" t="s">
        <v>919</v>
      </c>
      <c r="H971" s="516"/>
      <c r="I971" s="516"/>
      <c r="J971" s="516"/>
      <c r="K971" s="516"/>
      <c r="L971" s="557"/>
      <c r="M971" s="557"/>
      <c r="N971" s="557"/>
    </row>
    <row r="972" spans="1:18" x14ac:dyDescent="0.25">
      <c r="A972" s="753"/>
      <c r="C972" s="448" t="s">
        <v>172</v>
      </c>
      <c r="D972" s="449">
        <f t="shared" si="82"/>
        <v>45966</v>
      </c>
      <c r="E972" s="455" t="s">
        <v>170</v>
      </c>
      <c r="F972" s="505" t="s">
        <v>370</v>
      </c>
      <c r="G972" s="505" t="s">
        <v>919</v>
      </c>
      <c r="H972" s="516"/>
      <c r="I972" s="516"/>
      <c r="J972" s="516"/>
      <c r="K972" s="516"/>
      <c r="L972" s="557"/>
      <c r="M972" s="557"/>
      <c r="N972" s="557"/>
    </row>
    <row r="973" spans="1:18" x14ac:dyDescent="0.25">
      <c r="A973" s="753"/>
      <c r="C973" s="448"/>
      <c r="D973" s="449"/>
      <c r="E973" s="455"/>
      <c r="F973" s="506"/>
      <c r="G973" s="506"/>
      <c r="H973" s="516"/>
      <c r="I973" s="516"/>
      <c r="J973" s="516"/>
      <c r="K973" s="516"/>
      <c r="L973" s="557"/>
      <c r="M973" s="557"/>
      <c r="N973" s="557"/>
    </row>
    <row r="974" spans="1:18" x14ac:dyDescent="0.25">
      <c r="A974" s="753"/>
      <c r="C974" s="448" t="s">
        <v>173</v>
      </c>
      <c r="D974" s="449">
        <f>D972+1</f>
        <v>45967</v>
      </c>
      <c r="E974" s="503" t="s">
        <v>162</v>
      </c>
      <c r="F974" s="506" t="s">
        <v>370</v>
      </c>
      <c r="G974" s="506" t="s">
        <v>919</v>
      </c>
      <c r="H974" s="516"/>
      <c r="I974" s="516"/>
      <c r="J974" s="516"/>
      <c r="K974" s="516"/>
      <c r="L974" s="557"/>
      <c r="M974" s="557"/>
      <c r="N974" s="557"/>
    </row>
    <row r="975" spans="1:18" ht="15.75" thickBot="1" x14ac:dyDescent="0.3">
      <c r="A975" s="753"/>
      <c r="C975" s="450" t="s">
        <v>173</v>
      </c>
      <c r="D975" s="451">
        <f t="shared" ref="D975:D983" si="83">D974</f>
        <v>45967</v>
      </c>
      <c r="E975" s="459" t="s">
        <v>163</v>
      </c>
      <c r="F975" s="493" t="s">
        <v>370</v>
      </c>
      <c r="G975" s="493" t="s">
        <v>919</v>
      </c>
      <c r="H975" s="513"/>
      <c r="I975" s="513"/>
      <c r="J975" s="513"/>
      <c r="K975" s="513"/>
      <c r="L975" s="558"/>
      <c r="M975" s="558"/>
      <c r="N975" s="558"/>
    </row>
    <row r="976" spans="1:18" ht="4.5" customHeight="1" thickBot="1" x14ac:dyDescent="0.3">
      <c r="A976" s="753"/>
      <c r="C976" t="s">
        <v>173</v>
      </c>
      <c r="D976">
        <f t="shared" si="83"/>
        <v>45967</v>
      </c>
      <c r="E976" t="s">
        <v>164</v>
      </c>
      <c r="F976" t="s">
        <v>370</v>
      </c>
      <c r="G976" t="s">
        <v>919</v>
      </c>
      <c r="L976" s="559"/>
      <c r="M976" s="559"/>
      <c r="N976" s="559"/>
      <c r="Q976" s="3"/>
      <c r="R976" s="3"/>
    </row>
    <row r="977" spans="1:18" ht="15" customHeight="1" thickBot="1" x14ac:dyDescent="0.3">
      <c r="A977" s="753"/>
      <c r="C977" s="538" t="s">
        <v>173</v>
      </c>
      <c r="D977" s="539">
        <f t="shared" si="83"/>
        <v>45967</v>
      </c>
      <c r="E977" s="539" t="s">
        <v>165</v>
      </c>
      <c r="F977" s="539" t="s">
        <v>370</v>
      </c>
      <c r="G977" s="539" t="s">
        <v>919</v>
      </c>
      <c r="H977" s="539"/>
      <c r="I977" s="543"/>
      <c r="J977" s="542"/>
      <c r="K977" s="544"/>
      <c r="L977" s="560"/>
      <c r="M977" s="561"/>
      <c r="N977" s="562"/>
      <c r="O977" s="548"/>
      <c r="P977" s="549"/>
      <c r="Q977" s="3"/>
      <c r="R977" s="3"/>
    </row>
    <row r="978" spans="1:18" x14ac:dyDescent="0.25">
      <c r="A978" s="753"/>
      <c r="C978" s="446" t="s">
        <v>173</v>
      </c>
      <c r="D978" s="497">
        <f t="shared" si="83"/>
        <v>45967</v>
      </c>
      <c r="E978" s="498" t="s">
        <v>166</v>
      </c>
      <c r="F978" s="514" t="s">
        <v>370</v>
      </c>
      <c r="G978" s="514" t="s">
        <v>919</v>
      </c>
      <c r="H978" s="515"/>
      <c r="I978" s="537"/>
      <c r="J978" s="537"/>
      <c r="K978" s="537"/>
      <c r="L978" s="563"/>
      <c r="M978" s="563"/>
      <c r="N978" s="563"/>
    </row>
    <row r="979" spans="1:18" x14ac:dyDescent="0.25">
      <c r="A979" s="753"/>
      <c r="C979" s="452" t="s">
        <v>173</v>
      </c>
      <c r="D979" s="499">
        <f t="shared" si="83"/>
        <v>45967</v>
      </c>
      <c r="E979" s="500" t="s">
        <v>576</v>
      </c>
      <c r="F979" s="460" t="s">
        <v>145</v>
      </c>
      <c r="G979" s="460" t="s">
        <v>145</v>
      </c>
      <c r="H979" s="501" t="s">
        <v>145</v>
      </c>
      <c r="I979" s="540"/>
      <c r="J979" s="540"/>
      <c r="K979" s="540"/>
      <c r="L979" s="555"/>
      <c r="M979" s="555"/>
      <c r="N979" s="555"/>
    </row>
    <row r="980" spans="1:18" x14ac:dyDescent="0.25">
      <c r="A980" s="753"/>
      <c r="C980" s="452" t="s">
        <v>173</v>
      </c>
      <c r="D980" s="449">
        <f t="shared" si="83"/>
        <v>45967</v>
      </c>
      <c r="E980" s="454" t="s">
        <v>167</v>
      </c>
      <c r="F980" s="460" t="s">
        <v>370</v>
      </c>
      <c r="G980" s="460" t="s">
        <v>919</v>
      </c>
      <c r="H980" s="460"/>
      <c r="I980" s="540"/>
      <c r="J980" s="540"/>
      <c r="K980" s="540"/>
      <c r="L980" s="564"/>
      <c r="M980" s="564"/>
      <c r="N980" s="564"/>
    </row>
    <row r="981" spans="1:18" x14ac:dyDescent="0.25">
      <c r="A981" s="753"/>
      <c r="C981" s="452" t="s">
        <v>173</v>
      </c>
      <c r="D981" s="449">
        <f t="shared" si="83"/>
        <v>45967</v>
      </c>
      <c r="E981" s="454" t="s">
        <v>168</v>
      </c>
      <c r="F981" s="460" t="s">
        <v>370</v>
      </c>
      <c r="G981" s="460" t="s">
        <v>919</v>
      </c>
      <c r="H981" s="460"/>
      <c r="I981" s="540"/>
      <c r="J981" s="540"/>
      <c r="K981" s="540"/>
      <c r="L981" s="564"/>
      <c r="M981" s="564"/>
      <c r="N981" s="564"/>
    </row>
    <row r="982" spans="1:18" x14ac:dyDescent="0.25">
      <c r="A982" s="753"/>
      <c r="C982" s="452" t="s">
        <v>173</v>
      </c>
      <c r="D982" s="449">
        <f t="shared" si="83"/>
        <v>45967</v>
      </c>
      <c r="E982" s="454" t="s">
        <v>169</v>
      </c>
      <c r="F982" s="460" t="s">
        <v>370</v>
      </c>
      <c r="G982" s="460" t="s">
        <v>919</v>
      </c>
      <c r="H982" s="460"/>
      <c r="I982" s="540"/>
      <c r="J982" s="540"/>
      <c r="K982" s="540"/>
      <c r="L982" s="564"/>
      <c r="M982" s="564"/>
      <c r="N982" s="564"/>
    </row>
    <row r="983" spans="1:18" x14ac:dyDescent="0.25">
      <c r="A983" s="753"/>
      <c r="C983" s="452" t="s">
        <v>173</v>
      </c>
      <c r="D983" s="449">
        <f t="shared" si="83"/>
        <v>45967</v>
      </c>
      <c r="E983" s="454" t="s">
        <v>170</v>
      </c>
      <c r="F983" s="460" t="s">
        <v>370</v>
      </c>
      <c r="G983" s="460" t="s">
        <v>919</v>
      </c>
      <c r="H983" s="460"/>
      <c r="I983" s="540"/>
      <c r="J983" s="540"/>
      <c r="K983" s="540"/>
      <c r="L983" s="564"/>
      <c r="M983" s="564"/>
      <c r="N983" s="564"/>
    </row>
    <row r="984" spans="1:18" x14ac:dyDescent="0.25">
      <c r="A984" s="753"/>
      <c r="C984" s="452"/>
      <c r="D984" s="449"/>
      <c r="E984" s="454"/>
      <c r="F984" s="517"/>
      <c r="G984" s="512"/>
      <c r="H984" s="505"/>
      <c r="I984" s="541"/>
      <c r="J984" s="541"/>
      <c r="K984" s="541"/>
      <c r="L984" s="556"/>
      <c r="M984" s="556"/>
      <c r="N984" s="556"/>
    </row>
    <row r="985" spans="1:18" x14ac:dyDescent="0.25">
      <c r="A985" s="753"/>
      <c r="C985" s="452" t="s">
        <v>174</v>
      </c>
      <c r="D985" s="449">
        <f>D983+1</f>
        <v>45968</v>
      </c>
      <c r="E985" s="454" t="s">
        <v>162</v>
      </c>
      <c r="F985" s="460" t="s">
        <v>370</v>
      </c>
      <c r="G985" s="460" t="s">
        <v>919</v>
      </c>
      <c r="H985" s="461" t="s">
        <v>926</v>
      </c>
      <c r="I985" s="540"/>
      <c r="J985" s="540"/>
      <c r="K985" s="540"/>
      <c r="L985" s="565"/>
      <c r="M985" s="565"/>
      <c r="N985" s="565"/>
    </row>
    <row r="986" spans="1:18" x14ac:dyDescent="0.25">
      <c r="A986" s="753"/>
      <c r="C986" s="452" t="s">
        <v>174</v>
      </c>
      <c r="D986" s="449">
        <f t="shared" ref="D986:D993" si="84">D985</f>
        <v>45968</v>
      </c>
      <c r="E986" s="454" t="s">
        <v>163</v>
      </c>
      <c r="F986" s="460" t="s">
        <v>370</v>
      </c>
      <c r="G986" s="460" t="s">
        <v>919</v>
      </c>
      <c r="H986" s="461" t="s">
        <v>926</v>
      </c>
      <c r="I986" s="540"/>
      <c r="J986" s="540"/>
      <c r="K986" s="540"/>
      <c r="L986" s="565"/>
      <c r="M986" s="565"/>
      <c r="N986" s="565"/>
    </row>
    <row r="987" spans="1:18" x14ac:dyDescent="0.25">
      <c r="A987" s="753"/>
      <c r="C987" s="452" t="s">
        <v>174</v>
      </c>
      <c r="D987" s="449">
        <f t="shared" si="84"/>
        <v>45968</v>
      </c>
      <c r="E987" s="454" t="s">
        <v>164</v>
      </c>
      <c r="F987" s="460" t="s">
        <v>370</v>
      </c>
      <c r="G987" s="460" t="s">
        <v>919</v>
      </c>
      <c r="H987" s="461" t="s">
        <v>926</v>
      </c>
      <c r="I987" s="540"/>
      <c r="J987" s="540"/>
      <c r="K987" s="540"/>
      <c r="L987" s="565"/>
      <c r="M987" s="565"/>
      <c r="N987" s="565"/>
    </row>
    <row r="988" spans="1:18" x14ac:dyDescent="0.25">
      <c r="A988" s="753"/>
      <c r="C988" s="452" t="s">
        <v>174</v>
      </c>
      <c r="D988" s="449">
        <f t="shared" si="84"/>
        <v>45968</v>
      </c>
      <c r="E988" s="454" t="s">
        <v>165</v>
      </c>
      <c r="F988" s="460" t="s">
        <v>370</v>
      </c>
      <c r="G988" s="460" t="s">
        <v>919</v>
      </c>
      <c r="H988" s="504" t="s">
        <v>926</v>
      </c>
      <c r="I988" s="540"/>
      <c r="J988" s="540"/>
      <c r="K988" s="540"/>
      <c r="L988" s="565"/>
      <c r="M988" s="566"/>
      <c r="N988" s="566"/>
    </row>
    <row r="989" spans="1:18" x14ac:dyDescent="0.25">
      <c r="A989" s="753"/>
      <c r="C989" s="452" t="s">
        <v>174</v>
      </c>
      <c r="D989" s="449">
        <f t="shared" si="84"/>
        <v>45968</v>
      </c>
      <c r="E989" s="454" t="s">
        <v>166</v>
      </c>
      <c r="F989" s="505" t="s">
        <v>370</v>
      </c>
      <c r="G989" s="505" t="s">
        <v>919</v>
      </c>
      <c r="H989" s="516" t="s">
        <v>926</v>
      </c>
      <c r="I989" s="516"/>
      <c r="J989" s="516"/>
      <c r="K989" s="516"/>
      <c r="L989" s="557"/>
      <c r="M989" s="557"/>
      <c r="N989" s="557"/>
    </row>
    <row r="990" spans="1:18" x14ac:dyDescent="0.25">
      <c r="A990" s="753"/>
      <c r="C990" s="448" t="s">
        <v>174</v>
      </c>
      <c r="D990" s="449">
        <f t="shared" si="84"/>
        <v>45968</v>
      </c>
      <c r="E990" s="455" t="s">
        <v>576</v>
      </c>
      <c r="F990" s="505" t="s">
        <v>145</v>
      </c>
      <c r="G990" s="505" t="s">
        <v>145</v>
      </c>
      <c r="H990" s="516" t="s">
        <v>145</v>
      </c>
      <c r="I990" s="516"/>
      <c r="J990" s="516"/>
      <c r="K990" s="516"/>
      <c r="L990" s="557"/>
      <c r="M990" s="557"/>
      <c r="N990" s="557"/>
    </row>
    <row r="991" spans="1:18" x14ac:dyDescent="0.25">
      <c r="A991" s="753"/>
      <c r="C991" s="448" t="s">
        <v>174</v>
      </c>
      <c r="D991" s="449">
        <f t="shared" si="84"/>
        <v>45968</v>
      </c>
      <c r="E991" s="455" t="s">
        <v>167</v>
      </c>
      <c r="F991" s="506" t="s">
        <v>370</v>
      </c>
      <c r="G991" s="506" t="s">
        <v>919</v>
      </c>
      <c r="H991" s="516" t="s">
        <v>926</v>
      </c>
      <c r="I991" s="516"/>
      <c r="J991" s="516"/>
      <c r="K991" s="516"/>
      <c r="L991" s="557"/>
      <c r="M991" s="557"/>
      <c r="N991" s="557"/>
    </row>
    <row r="992" spans="1:18" x14ac:dyDescent="0.25">
      <c r="A992" s="753"/>
      <c r="C992" s="448" t="s">
        <v>174</v>
      </c>
      <c r="D992" s="449">
        <f t="shared" si="84"/>
        <v>45968</v>
      </c>
      <c r="E992" s="503" t="s">
        <v>168</v>
      </c>
      <c r="F992" s="506" t="s">
        <v>370</v>
      </c>
      <c r="G992" s="506" t="s">
        <v>919</v>
      </c>
      <c r="H992" s="516" t="s">
        <v>926</v>
      </c>
      <c r="I992" s="516"/>
      <c r="J992" s="516"/>
      <c r="K992" s="516"/>
      <c r="L992" s="557"/>
      <c r="M992" s="557"/>
      <c r="N992" s="557"/>
    </row>
    <row r="993" spans="1:18" ht="15.75" thickBot="1" x14ac:dyDescent="0.3">
      <c r="A993" s="753"/>
      <c r="C993" s="450" t="s">
        <v>174</v>
      </c>
      <c r="D993" s="451">
        <f t="shared" si="84"/>
        <v>45968</v>
      </c>
      <c r="E993" s="459" t="s">
        <v>169</v>
      </c>
      <c r="F993" s="493" t="s">
        <v>370</v>
      </c>
      <c r="G993" s="493" t="s">
        <v>919</v>
      </c>
      <c r="H993" s="513" t="s">
        <v>926</v>
      </c>
      <c r="I993" s="513"/>
      <c r="J993" s="513"/>
      <c r="K993" s="513"/>
      <c r="L993" s="558"/>
      <c r="M993" s="558"/>
      <c r="N993" s="558"/>
    </row>
    <row r="994" spans="1:18" ht="4.5" customHeight="1" thickBot="1" x14ac:dyDescent="0.3">
      <c r="A994" s="753"/>
      <c r="L994" s="559"/>
      <c r="M994" s="559"/>
      <c r="N994" s="559"/>
      <c r="Q994" s="3"/>
      <c r="R994" s="3"/>
    </row>
    <row r="995" spans="1:18" ht="15" customHeight="1" thickBot="1" x14ac:dyDescent="0.3">
      <c r="A995" s="753" t="s">
        <v>923</v>
      </c>
      <c r="C995" s="538" t="s">
        <v>161</v>
      </c>
      <c r="D995" s="539">
        <v>45971</v>
      </c>
      <c r="E995" s="539" t="s">
        <v>162</v>
      </c>
      <c r="F995" s="539" t="s">
        <v>370</v>
      </c>
      <c r="G995" s="539" t="s">
        <v>919</v>
      </c>
      <c r="H995" s="539" t="s">
        <v>145</v>
      </c>
      <c r="I995" s="543"/>
      <c r="J995" s="542"/>
      <c r="K995" s="544"/>
      <c r="L995" s="560"/>
      <c r="M995" s="561"/>
      <c r="N995" s="562"/>
      <c r="O995" s="548"/>
      <c r="P995" s="549"/>
      <c r="Q995" s="3"/>
      <c r="R995" s="3"/>
    </row>
    <row r="996" spans="1:18" x14ac:dyDescent="0.25">
      <c r="A996" s="753"/>
      <c r="C996" s="529" t="s">
        <v>161</v>
      </c>
      <c r="D996" s="447">
        <f t="shared" ref="D996:D1004" si="85">D995</f>
        <v>45971</v>
      </c>
      <c r="E996" s="498" t="s">
        <v>163</v>
      </c>
      <c r="F996" s="514" t="s">
        <v>370</v>
      </c>
      <c r="G996" s="514" t="s">
        <v>919</v>
      </c>
      <c r="H996" s="515" t="s">
        <v>145</v>
      </c>
      <c r="I996" s="537"/>
      <c r="J996" s="537"/>
      <c r="K996" s="537"/>
      <c r="L996" s="563"/>
      <c r="M996" s="563"/>
      <c r="N996" s="563"/>
    </row>
    <row r="997" spans="1:18" x14ac:dyDescent="0.25">
      <c r="A997" s="753"/>
      <c r="C997" s="452" t="s">
        <v>161</v>
      </c>
      <c r="D997" s="453">
        <f t="shared" si="85"/>
        <v>45971</v>
      </c>
      <c r="E997" s="500" t="s">
        <v>164</v>
      </c>
      <c r="F997" s="460" t="s">
        <v>370</v>
      </c>
      <c r="G997" s="460" t="s">
        <v>919</v>
      </c>
      <c r="H997" s="501" t="s">
        <v>145</v>
      </c>
      <c r="I997" s="540"/>
      <c r="J997" s="540"/>
      <c r="K997" s="540"/>
      <c r="L997" s="555"/>
      <c r="M997" s="555"/>
      <c r="N997" s="555"/>
    </row>
    <row r="998" spans="1:18" x14ac:dyDescent="0.25">
      <c r="A998" s="753"/>
      <c r="C998" s="452" t="s">
        <v>161</v>
      </c>
      <c r="D998" s="453">
        <f t="shared" si="85"/>
        <v>45971</v>
      </c>
      <c r="E998" s="454" t="s">
        <v>165</v>
      </c>
      <c r="F998" s="460" t="s">
        <v>370</v>
      </c>
      <c r="G998" s="460" t="s">
        <v>919</v>
      </c>
      <c r="H998" s="460" t="s">
        <v>145</v>
      </c>
      <c r="I998" s="540"/>
      <c r="J998" s="540"/>
      <c r="K998" s="540"/>
      <c r="L998" s="564"/>
      <c r="M998" s="564"/>
      <c r="N998" s="564"/>
    </row>
    <row r="999" spans="1:18" x14ac:dyDescent="0.25">
      <c r="A999" s="753"/>
      <c r="C999" s="452" t="s">
        <v>161</v>
      </c>
      <c r="D999" s="453">
        <f t="shared" si="85"/>
        <v>45971</v>
      </c>
      <c r="E999" s="454" t="s">
        <v>166</v>
      </c>
      <c r="F999" s="460" t="s">
        <v>370</v>
      </c>
      <c r="G999" s="460" t="s">
        <v>919</v>
      </c>
      <c r="H999" s="460" t="s">
        <v>145</v>
      </c>
      <c r="I999" s="540"/>
      <c r="J999" s="540"/>
      <c r="K999" s="540"/>
      <c r="L999" s="564"/>
      <c r="M999" s="564"/>
      <c r="N999" s="564"/>
    </row>
    <row r="1000" spans="1:18" x14ac:dyDescent="0.25">
      <c r="A1000" s="753"/>
      <c r="C1000" s="452" t="s">
        <v>161</v>
      </c>
      <c r="D1000" s="453">
        <f t="shared" si="85"/>
        <v>45971</v>
      </c>
      <c r="E1000" s="454" t="s">
        <v>576</v>
      </c>
      <c r="F1000" s="460" t="s">
        <v>145</v>
      </c>
      <c r="G1000" s="460" t="s">
        <v>145</v>
      </c>
      <c r="H1000" s="460" t="s">
        <v>145</v>
      </c>
      <c r="I1000" s="540"/>
      <c r="J1000" s="540"/>
      <c r="K1000" s="540"/>
      <c r="L1000" s="564"/>
      <c r="M1000" s="564"/>
      <c r="N1000" s="564"/>
    </row>
    <row r="1001" spans="1:18" x14ac:dyDescent="0.25">
      <c r="A1001" s="753"/>
      <c r="C1001" s="452" t="s">
        <v>161</v>
      </c>
      <c r="D1001" s="453">
        <f t="shared" si="85"/>
        <v>45971</v>
      </c>
      <c r="E1001" s="454" t="s">
        <v>167</v>
      </c>
      <c r="F1001" s="460" t="s">
        <v>370</v>
      </c>
      <c r="G1001" s="460" t="s">
        <v>919</v>
      </c>
      <c r="H1001" s="460" t="s">
        <v>145</v>
      </c>
      <c r="I1001" s="540"/>
      <c r="J1001" s="540"/>
      <c r="K1001" s="540"/>
      <c r="L1001" s="564"/>
      <c r="M1001" s="564"/>
      <c r="N1001" s="564"/>
    </row>
    <row r="1002" spans="1:18" x14ac:dyDescent="0.25">
      <c r="A1002" s="753"/>
      <c r="C1002" s="452" t="s">
        <v>161</v>
      </c>
      <c r="D1002" s="453">
        <f t="shared" si="85"/>
        <v>45971</v>
      </c>
      <c r="E1002" s="454" t="s">
        <v>168</v>
      </c>
      <c r="F1002" s="517" t="s">
        <v>370</v>
      </c>
      <c r="G1002" s="512" t="s">
        <v>919</v>
      </c>
      <c r="H1002" s="505" t="s">
        <v>145</v>
      </c>
      <c r="I1002" s="541"/>
      <c r="J1002" s="541"/>
      <c r="K1002" s="541"/>
      <c r="L1002" s="556"/>
      <c r="M1002" s="556"/>
      <c r="N1002" s="556"/>
    </row>
    <row r="1003" spans="1:18" x14ac:dyDescent="0.25">
      <c r="A1003" s="753"/>
      <c r="C1003" s="452" t="s">
        <v>161</v>
      </c>
      <c r="D1003" s="449">
        <f t="shared" si="85"/>
        <v>45971</v>
      </c>
      <c r="E1003" s="454" t="s">
        <v>169</v>
      </c>
      <c r="F1003" s="460" t="s">
        <v>370</v>
      </c>
      <c r="G1003" s="460" t="s">
        <v>919</v>
      </c>
      <c r="H1003" s="461" t="s">
        <v>145</v>
      </c>
      <c r="I1003" s="540"/>
      <c r="J1003" s="540"/>
      <c r="K1003" s="540"/>
      <c r="L1003" s="565"/>
      <c r="M1003" s="565"/>
      <c r="N1003" s="565"/>
    </row>
    <row r="1004" spans="1:18" x14ac:dyDescent="0.25">
      <c r="A1004" s="753"/>
      <c r="C1004" s="452" t="s">
        <v>161</v>
      </c>
      <c r="D1004" s="449">
        <f t="shared" si="85"/>
        <v>45971</v>
      </c>
      <c r="E1004" s="454" t="s">
        <v>170</v>
      </c>
      <c r="F1004" s="460" t="s">
        <v>370</v>
      </c>
      <c r="G1004" s="460" t="s">
        <v>919</v>
      </c>
      <c r="H1004" s="461" t="s">
        <v>145</v>
      </c>
      <c r="I1004" s="540"/>
      <c r="J1004" s="540"/>
      <c r="K1004" s="540"/>
      <c r="L1004" s="565"/>
      <c r="M1004" s="565"/>
      <c r="N1004" s="565"/>
    </row>
    <row r="1005" spans="1:18" x14ac:dyDescent="0.25">
      <c r="A1005" s="753"/>
      <c r="C1005" s="452"/>
      <c r="D1005" s="449"/>
      <c r="E1005" s="454"/>
      <c r="F1005" s="460"/>
      <c r="G1005" s="460"/>
      <c r="H1005" s="461"/>
      <c r="I1005" s="540"/>
      <c r="J1005" s="540"/>
      <c r="K1005" s="540"/>
      <c r="L1005" s="565"/>
      <c r="M1005" s="565"/>
      <c r="N1005" s="565"/>
    </row>
    <row r="1006" spans="1:18" x14ac:dyDescent="0.25">
      <c r="A1006" s="753"/>
      <c r="C1006" s="452" t="s">
        <v>171</v>
      </c>
      <c r="D1006" s="449">
        <f>D1004+1</f>
        <v>45972</v>
      </c>
      <c r="E1006" s="454" t="s">
        <v>162</v>
      </c>
      <c r="F1006" s="460" t="s">
        <v>370</v>
      </c>
      <c r="G1006" s="460" t="s">
        <v>919</v>
      </c>
      <c r="H1006" s="504" t="s">
        <v>145</v>
      </c>
      <c r="I1006" s="545"/>
      <c r="J1006" s="540"/>
      <c r="K1006" s="540"/>
      <c r="L1006" s="566"/>
      <c r="M1006" s="566"/>
      <c r="N1006" s="566"/>
    </row>
    <row r="1007" spans="1:18" x14ac:dyDescent="0.25">
      <c r="A1007" s="753"/>
      <c r="C1007" s="452" t="s">
        <v>171</v>
      </c>
      <c r="D1007" s="449">
        <f t="shared" ref="D1007:D1015" si="86">D1006</f>
        <v>45972</v>
      </c>
      <c r="E1007" s="454" t="s">
        <v>163</v>
      </c>
      <c r="F1007" s="505" t="s">
        <v>370</v>
      </c>
      <c r="G1007" s="505" t="s">
        <v>919</v>
      </c>
      <c r="H1007" s="516" t="s">
        <v>145</v>
      </c>
      <c r="I1007" s="516"/>
      <c r="J1007" s="516"/>
      <c r="K1007" s="516"/>
      <c r="L1007" s="557"/>
      <c r="M1007" s="557"/>
      <c r="N1007" s="557"/>
    </row>
    <row r="1008" spans="1:18" x14ac:dyDescent="0.25">
      <c r="A1008" s="753"/>
      <c r="C1008" s="452" t="s">
        <v>171</v>
      </c>
      <c r="D1008" s="449">
        <f t="shared" si="86"/>
        <v>45972</v>
      </c>
      <c r="E1008" s="455" t="s">
        <v>164</v>
      </c>
      <c r="F1008" s="505" t="s">
        <v>370</v>
      </c>
      <c r="G1008" s="505" t="s">
        <v>919</v>
      </c>
      <c r="H1008" s="516" t="s">
        <v>145</v>
      </c>
      <c r="I1008" s="516"/>
      <c r="J1008" s="516"/>
      <c r="K1008" s="516"/>
      <c r="L1008" s="557"/>
      <c r="M1008" s="557"/>
      <c r="N1008" s="557"/>
    </row>
    <row r="1009" spans="1:18" x14ac:dyDescent="0.25">
      <c r="A1009" s="753"/>
      <c r="C1009" s="452" t="s">
        <v>171</v>
      </c>
      <c r="D1009" s="449">
        <f t="shared" si="86"/>
        <v>45972</v>
      </c>
      <c r="E1009" s="455" t="s">
        <v>165</v>
      </c>
      <c r="F1009" s="506" t="s">
        <v>370</v>
      </c>
      <c r="G1009" s="506" t="s">
        <v>919</v>
      </c>
      <c r="H1009" s="516" t="s">
        <v>145</v>
      </c>
      <c r="I1009" s="516"/>
      <c r="J1009" s="516"/>
      <c r="K1009" s="516"/>
      <c r="L1009" s="557"/>
      <c r="M1009" s="557"/>
      <c r="N1009" s="557"/>
    </row>
    <row r="1010" spans="1:18" x14ac:dyDescent="0.25">
      <c r="A1010" s="753"/>
      <c r="C1010" s="452" t="s">
        <v>171</v>
      </c>
      <c r="D1010" s="449">
        <f t="shared" si="86"/>
        <v>45972</v>
      </c>
      <c r="E1010" s="503" t="s">
        <v>166</v>
      </c>
      <c r="F1010" s="506" t="s">
        <v>370</v>
      </c>
      <c r="G1010" s="506" t="s">
        <v>919</v>
      </c>
      <c r="H1010" s="516" t="s">
        <v>145</v>
      </c>
      <c r="I1010" s="516"/>
      <c r="J1010" s="516"/>
      <c r="K1010" s="516"/>
      <c r="L1010" s="557"/>
      <c r="M1010" s="557"/>
      <c r="N1010" s="557"/>
    </row>
    <row r="1011" spans="1:18" ht="15.75" thickBot="1" x14ac:dyDescent="0.3">
      <c r="A1011" s="753"/>
      <c r="C1011" s="530" t="s">
        <v>171</v>
      </c>
      <c r="D1011" s="451">
        <f t="shared" si="86"/>
        <v>45972</v>
      </c>
      <c r="E1011" s="459" t="s">
        <v>576</v>
      </c>
      <c r="F1011" s="493" t="s">
        <v>145</v>
      </c>
      <c r="G1011" s="493" t="s">
        <v>145</v>
      </c>
      <c r="H1011" s="513" t="s">
        <v>145</v>
      </c>
      <c r="I1011" s="513"/>
      <c r="J1011" s="513"/>
      <c r="K1011" s="513"/>
      <c r="L1011" s="558"/>
      <c r="M1011" s="558"/>
      <c r="N1011" s="558"/>
    </row>
    <row r="1012" spans="1:18" ht="4.5" customHeight="1" thickBot="1" x14ac:dyDescent="0.3">
      <c r="A1012" s="753"/>
      <c r="C1012" t="s">
        <v>171</v>
      </c>
      <c r="D1012">
        <f t="shared" si="86"/>
        <v>45972</v>
      </c>
      <c r="E1012" t="s">
        <v>167</v>
      </c>
      <c r="F1012" t="s">
        <v>370</v>
      </c>
      <c r="G1012" t="s">
        <v>919</v>
      </c>
      <c r="H1012" t="s">
        <v>145</v>
      </c>
      <c r="I1012" s="420"/>
      <c r="J1012" s="420"/>
      <c r="K1012" s="420"/>
      <c r="L1012" s="559"/>
      <c r="M1012" s="559"/>
      <c r="N1012" s="559"/>
      <c r="Q1012" s="3"/>
      <c r="R1012" s="3"/>
    </row>
    <row r="1013" spans="1:18" ht="15" customHeight="1" thickBot="1" x14ac:dyDescent="0.3">
      <c r="A1013" s="753"/>
      <c r="C1013" s="546" t="s">
        <v>171</v>
      </c>
      <c r="D1013" s="547">
        <f t="shared" si="86"/>
        <v>45972</v>
      </c>
      <c r="E1013" s="539" t="s">
        <v>168</v>
      </c>
      <c r="F1013" s="539" t="s">
        <v>370</v>
      </c>
      <c r="G1013" s="539" t="s">
        <v>919</v>
      </c>
      <c r="H1013" s="539" t="s">
        <v>145</v>
      </c>
      <c r="I1013" s="543"/>
      <c r="J1013" s="542"/>
      <c r="K1013" s="544"/>
      <c r="L1013" s="560"/>
      <c r="M1013" s="561"/>
      <c r="N1013" s="562"/>
      <c r="O1013" s="548"/>
      <c r="P1013" s="549"/>
      <c r="Q1013" s="3"/>
      <c r="R1013" s="3"/>
    </row>
    <row r="1014" spans="1:18" x14ac:dyDescent="0.25">
      <c r="A1014" s="753"/>
      <c r="C1014" s="529" t="s">
        <v>171</v>
      </c>
      <c r="D1014" s="447">
        <f t="shared" si="86"/>
        <v>45972</v>
      </c>
      <c r="E1014" s="498" t="s">
        <v>169</v>
      </c>
      <c r="F1014" s="514" t="s">
        <v>370</v>
      </c>
      <c r="G1014" s="514" t="s">
        <v>919</v>
      </c>
      <c r="H1014" s="514" t="s">
        <v>145</v>
      </c>
      <c r="I1014" s="537"/>
      <c r="J1014" s="537"/>
      <c r="K1014" s="537"/>
      <c r="L1014" s="563"/>
      <c r="M1014" s="563"/>
      <c r="N1014" s="563"/>
    </row>
    <row r="1015" spans="1:18" x14ac:dyDescent="0.25">
      <c r="A1015" s="753"/>
      <c r="C1015" s="452" t="s">
        <v>171</v>
      </c>
      <c r="D1015" s="453">
        <f t="shared" si="86"/>
        <v>45972</v>
      </c>
      <c r="E1015" s="500" t="s">
        <v>170</v>
      </c>
      <c r="F1015" s="569" t="s">
        <v>370</v>
      </c>
      <c r="G1015" s="569" t="s">
        <v>919</v>
      </c>
      <c r="H1015" s="569" t="s">
        <v>145</v>
      </c>
      <c r="I1015" s="540"/>
      <c r="J1015" s="540"/>
      <c r="K1015" s="540"/>
      <c r="L1015" s="555"/>
      <c r="M1015" s="555"/>
      <c r="N1015" s="555"/>
    </row>
    <row r="1016" spans="1:18" x14ac:dyDescent="0.25">
      <c r="A1016" s="753"/>
      <c r="C1016" s="452"/>
      <c r="D1016" s="453"/>
      <c r="E1016" s="454"/>
      <c r="F1016" s="569"/>
      <c r="G1016" s="569"/>
      <c r="H1016" s="569"/>
      <c r="I1016" s="540"/>
      <c r="J1016" s="540"/>
      <c r="K1016" s="540"/>
      <c r="L1016" s="564"/>
      <c r="M1016" s="564"/>
      <c r="N1016" s="564"/>
    </row>
    <row r="1017" spans="1:18" x14ac:dyDescent="0.25">
      <c r="A1017" s="753"/>
      <c r="C1017" s="452" t="s">
        <v>172</v>
      </c>
      <c r="D1017" s="453">
        <f>D1015+1</f>
        <v>45973</v>
      </c>
      <c r="E1017" s="454" t="s">
        <v>162</v>
      </c>
      <c r="F1017" s="569"/>
      <c r="G1017" s="569"/>
      <c r="H1017" s="569"/>
      <c r="I1017" s="540"/>
      <c r="J1017" s="540"/>
      <c r="K1017" s="540"/>
      <c r="L1017" s="564"/>
      <c r="M1017" s="564"/>
      <c r="N1017" s="564"/>
    </row>
    <row r="1018" spans="1:18" x14ac:dyDescent="0.25">
      <c r="A1018" s="753"/>
      <c r="C1018" s="452" t="s">
        <v>172</v>
      </c>
      <c r="D1018" s="453">
        <f t="shared" ref="D1018:D1026" si="87">D1017</f>
        <v>45973</v>
      </c>
      <c r="E1018" s="454" t="s">
        <v>163</v>
      </c>
      <c r="F1018" s="569"/>
      <c r="G1018" s="569"/>
      <c r="H1018" s="569"/>
      <c r="I1018" s="540"/>
      <c r="J1018" s="540"/>
      <c r="K1018" s="540"/>
      <c r="L1018" s="564"/>
      <c r="M1018" s="564"/>
      <c r="N1018" s="564"/>
    </row>
    <row r="1019" spans="1:18" x14ac:dyDescent="0.25">
      <c r="A1019" s="753"/>
      <c r="C1019" s="452" t="s">
        <v>172</v>
      </c>
      <c r="D1019" s="453">
        <f t="shared" si="87"/>
        <v>45973</v>
      </c>
      <c r="E1019" s="454" t="s">
        <v>164</v>
      </c>
      <c r="F1019" s="569"/>
      <c r="G1019" s="569"/>
      <c r="H1019" s="569"/>
      <c r="I1019" s="540"/>
      <c r="J1019" s="540"/>
      <c r="K1019" s="540"/>
      <c r="L1019" s="564"/>
      <c r="M1019" s="564"/>
      <c r="N1019" s="564"/>
    </row>
    <row r="1020" spans="1:18" x14ac:dyDescent="0.25">
      <c r="A1020" s="753"/>
      <c r="C1020" s="452" t="s">
        <v>172</v>
      </c>
      <c r="D1020" s="453">
        <f t="shared" si="87"/>
        <v>45973</v>
      </c>
      <c r="E1020" s="454" t="s">
        <v>165</v>
      </c>
      <c r="F1020" s="512"/>
      <c r="G1020" s="512"/>
      <c r="H1020" s="512"/>
      <c r="I1020" s="541"/>
      <c r="J1020" s="541"/>
      <c r="K1020" s="541"/>
      <c r="L1020" s="556"/>
      <c r="M1020" s="556"/>
      <c r="N1020" s="556"/>
    </row>
    <row r="1021" spans="1:18" x14ac:dyDescent="0.25">
      <c r="A1021" s="753"/>
      <c r="C1021" s="452" t="s">
        <v>172</v>
      </c>
      <c r="D1021" s="449">
        <f t="shared" si="87"/>
        <v>45973</v>
      </c>
      <c r="E1021" s="454" t="s">
        <v>166</v>
      </c>
      <c r="F1021" s="569"/>
      <c r="G1021" s="569"/>
      <c r="H1021" s="569"/>
      <c r="I1021" s="540"/>
      <c r="J1021" s="540"/>
      <c r="K1021" s="540"/>
      <c r="L1021" s="565"/>
      <c r="M1021" s="565"/>
      <c r="N1021" s="565"/>
    </row>
    <row r="1022" spans="1:18" x14ac:dyDescent="0.25">
      <c r="A1022" s="753"/>
      <c r="C1022" s="452" t="s">
        <v>172</v>
      </c>
      <c r="D1022" s="449">
        <f t="shared" si="87"/>
        <v>45973</v>
      </c>
      <c r="E1022" s="454" t="s">
        <v>576</v>
      </c>
      <c r="F1022" s="569" t="s">
        <v>145</v>
      </c>
      <c r="G1022" s="569" t="s">
        <v>145</v>
      </c>
      <c r="H1022" s="569" t="s">
        <v>145</v>
      </c>
      <c r="I1022" s="540"/>
      <c r="J1022" s="540"/>
      <c r="K1022" s="540"/>
      <c r="L1022" s="565"/>
      <c r="M1022" s="565"/>
      <c r="N1022" s="565"/>
    </row>
    <row r="1023" spans="1:18" x14ac:dyDescent="0.25">
      <c r="A1023" s="753"/>
      <c r="C1023" s="452" t="s">
        <v>172</v>
      </c>
      <c r="D1023" s="449">
        <f t="shared" si="87"/>
        <v>45973</v>
      </c>
      <c r="E1023" s="454" t="s">
        <v>167</v>
      </c>
      <c r="F1023" s="569"/>
      <c r="G1023" s="569" t="s">
        <v>955</v>
      </c>
      <c r="H1023" s="569"/>
      <c r="I1023" s="540"/>
      <c r="J1023" s="540"/>
      <c r="K1023" s="540"/>
      <c r="L1023" s="565"/>
      <c r="M1023" s="565"/>
      <c r="N1023" s="565"/>
    </row>
    <row r="1024" spans="1:18" x14ac:dyDescent="0.25">
      <c r="A1024" s="753"/>
      <c r="C1024" s="452" t="s">
        <v>172</v>
      </c>
      <c r="D1024" s="449">
        <f t="shared" si="87"/>
        <v>45973</v>
      </c>
      <c r="E1024" s="454" t="s">
        <v>168</v>
      </c>
      <c r="F1024" s="505"/>
      <c r="G1024" s="505" t="s">
        <v>955</v>
      </c>
      <c r="H1024" s="505"/>
      <c r="I1024" s="516"/>
      <c r="J1024" s="516"/>
      <c r="K1024" s="516"/>
      <c r="L1024" s="557"/>
      <c r="M1024" s="557"/>
      <c r="N1024" s="557"/>
    </row>
    <row r="1025" spans="1:14" x14ac:dyDescent="0.25">
      <c r="A1025" s="753"/>
      <c r="C1025" s="452" t="s">
        <v>172</v>
      </c>
      <c r="D1025" s="449">
        <f t="shared" si="87"/>
        <v>45973</v>
      </c>
      <c r="E1025" s="454" t="s">
        <v>169</v>
      </c>
      <c r="F1025" s="505"/>
      <c r="G1025" s="505" t="s">
        <v>955</v>
      </c>
      <c r="H1025" s="505"/>
      <c r="I1025" s="516"/>
      <c r="J1025" s="516"/>
      <c r="K1025" s="516"/>
      <c r="L1025" s="557"/>
      <c r="M1025" s="557"/>
      <c r="N1025" s="557"/>
    </row>
    <row r="1026" spans="1:14" x14ac:dyDescent="0.25">
      <c r="A1026" s="753"/>
      <c r="C1026" s="452" t="s">
        <v>172</v>
      </c>
      <c r="D1026" s="449">
        <f t="shared" si="87"/>
        <v>45973</v>
      </c>
      <c r="E1026" s="455" t="s">
        <v>170</v>
      </c>
      <c r="F1026" s="505"/>
      <c r="G1026" s="505" t="s">
        <v>955</v>
      </c>
      <c r="H1026" s="505"/>
      <c r="I1026" s="516"/>
      <c r="J1026" s="516"/>
      <c r="K1026" s="516"/>
      <c r="L1026" s="557"/>
      <c r="M1026" s="557"/>
      <c r="N1026" s="557"/>
    </row>
    <row r="1027" spans="1:14" x14ac:dyDescent="0.25">
      <c r="A1027" s="753"/>
      <c r="C1027" s="452"/>
      <c r="D1027" s="449"/>
      <c r="E1027" s="455"/>
      <c r="F1027" s="506"/>
      <c r="G1027" s="506"/>
      <c r="H1027" s="506"/>
      <c r="I1027" s="516"/>
      <c r="J1027" s="516"/>
      <c r="K1027" s="516"/>
      <c r="L1027" s="557"/>
      <c r="M1027" s="557"/>
      <c r="N1027" s="557"/>
    </row>
    <row r="1028" spans="1:14" x14ac:dyDescent="0.25">
      <c r="A1028" s="753"/>
      <c r="C1028" s="452" t="s">
        <v>173</v>
      </c>
      <c r="D1028" s="502">
        <f>D1026+1</f>
        <v>45974</v>
      </c>
      <c r="E1028" s="503" t="s">
        <v>162</v>
      </c>
      <c r="F1028" s="506"/>
      <c r="G1028" s="506" t="s">
        <v>955</v>
      </c>
      <c r="H1028" s="506"/>
      <c r="I1028" s="516"/>
      <c r="J1028" s="516"/>
      <c r="K1028" s="516"/>
      <c r="L1028" s="557"/>
      <c r="M1028" s="557"/>
      <c r="N1028" s="557"/>
    </row>
    <row r="1029" spans="1:14" ht="15.75" thickBot="1" x14ac:dyDescent="0.3">
      <c r="A1029" s="753"/>
      <c r="C1029" s="530" t="s">
        <v>173</v>
      </c>
      <c r="D1029" s="451">
        <f t="shared" ref="D1029:D1037" si="88">D1028</f>
        <v>45974</v>
      </c>
      <c r="E1029" s="459" t="s">
        <v>163</v>
      </c>
      <c r="F1029" s="493"/>
      <c r="G1029" s="493" t="s">
        <v>955</v>
      </c>
      <c r="H1029" s="493"/>
      <c r="I1029" s="513"/>
      <c r="J1029" s="513"/>
      <c r="K1029" s="513"/>
      <c r="L1029" s="558"/>
      <c r="M1029" s="558"/>
      <c r="N1029" s="558"/>
    </row>
    <row r="1030" spans="1:14" x14ac:dyDescent="0.25">
      <c r="C1030" t="s">
        <v>173</v>
      </c>
      <c r="D1030">
        <f t="shared" si="88"/>
        <v>45974</v>
      </c>
      <c r="E1030" t="s">
        <v>164</v>
      </c>
      <c r="G1030" t="s">
        <v>955</v>
      </c>
    </row>
    <row r="1031" spans="1:14" x14ac:dyDescent="0.25">
      <c r="C1031" t="s">
        <v>173</v>
      </c>
      <c r="D1031">
        <f t="shared" si="88"/>
        <v>45974</v>
      </c>
      <c r="E1031" t="s">
        <v>165</v>
      </c>
      <c r="G1031" t="s">
        <v>955</v>
      </c>
    </row>
    <row r="1032" spans="1:14" x14ac:dyDescent="0.25">
      <c r="C1032" t="s">
        <v>173</v>
      </c>
      <c r="D1032">
        <f t="shared" si="88"/>
        <v>45974</v>
      </c>
      <c r="E1032" t="s">
        <v>166</v>
      </c>
      <c r="G1032" t="s">
        <v>955</v>
      </c>
    </row>
    <row r="1033" spans="1:14" x14ac:dyDescent="0.25">
      <c r="C1033" t="s">
        <v>173</v>
      </c>
      <c r="D1033">
        <f t="shared" si="88"/>
        <v>45974</v>
      </c>
      <c r="E1033" t="s">
        <v>576</v>
      </c>
      <c r="F1033" t="s">
        <v>145</v>
      </c>
      <c r="G1033" t="s">
        <v>145</v>
      </c>
      <c r="H1033" t="s">
        <v>145</v>
      </c>
    </row>
    <row r="1034" spans="1:14" x14ac:dyDescent="0.25">
      <c r="C1034" t="s">
        <v>173</v>
      </c>
      <c r="D1034">
        <f t="shared" si="88"/>
        <v>45974</v>
      </c>
      <c r="E1034" t="s">
        <v>167</v>
      </c>
      <c r="G1034" t="s">
        <v>955</v>
      </c>
    </row>
    <row r="1035" spans="1:14" x14ac:dyDescent="0.25">
      <c r="C1035" t="s">
        <v>173</v>
      </c>
      <c r="D1035">
        <f t="shared" si="88"/>
        <v>45974</v>
      </c>
      <c r="E1035" t="s">
        <v>168</v>
      </c>
      <c r="G1035" t="s">
        <v>955</v>
      </c>
    </row>
    <row r="1036" spans="1:14" x14ac:dyDescent="0.25">
      <c r="C1036" t="s">
        <v>173</v>
      </c>
      <c r="D1036">
        <f t="shared" si="88"/>
        <v>45974</v>
      </c>
      <c r="E1036" t="s">
        <v>169</v>
      </c>
      <c r="G1036" t="s">
        <v>955</v>
      </c>
    </row>
    <row r="1037" spans="1:14" x14ac:dyDescent="0.25">
      <c r="C1037" t="s">
        <v>173</v>
      </c>
      <c r="D1037">
        <f t="shared" si="88"/>
        <v>45974</v>
      </c>
      <c r="E1037" t="s">
        <v>170</v>
      </c>
      <c r="G1037" t="s">
        <v>955</v>
      </c>
    </row>
    <row r="1039" spans="1:14" x14ac:dyDescent="0.25">
      <c r="C1039" t="s">
        <v>174</v>
      </c>
      <c r="D1039">
        <f>D1037+1</f>
        <v>45975</v>
      </c>
      <c r="E1039" t="s">
        <v>162</v>
      </c>
    </row>
    <row r="1040" spans="1:14" x14ac:dyDescent="0.25">
      <c r="C1040" t="s">
        <v>174</v>
      </c>
      <c r="D1040">
        <f t="shared" ref="D1040:D1047" si="89">D1039</f>
        <v>45975</v>
      </c>
      <c r="E1040" t="s">
        <v>163</v>
      </c>
    </row>
    <row r="1041" spans="1:18" x14ac:dyDescent="0.25">
      <c r="C1041" t="s">
        <v>174</v>
      </c>
      <c r="D1041">
        <f t="shared" si="89"/>
        <v>45975</v>
      </c>
      <c r="E1041" t="s">
        <v>164</v>
      </c>
    </row>
    <row r="1042" spans="1:18" x14ac:dyDescent="0.25">
      <c r="C1042" t="s">
        <v>174</v>
      </c>
      <c r="D1042">
        <f t="shared" si="89"/>
        <v>45975</v>
      </c>
      <c r="E1042" t="s">
        <v>165</v>
      </c>
    </row>
    <row r="1043" spans="1:18" x14ac:dyDescent="0.25">
      <c r="C1043" t="s">
        <v>174</v>
      </c>
      <c r="D1043">
        <f t="shared" si="89"/>
        <v>45975</v>
      </c>
      <c r="E1043" t="s">
        <v>166</v>
      </c>
    </row>
    <row r="1044" spans="1:18" x14ac:dyDescent="0.25">
      <c r="C1044" t="s">
        <v>174</v>
      </c>
      <c r="D1044">
        <f t="shared" si="89"/>
        <v>45975</v>
      </c>
      <c r="E1044" t="s">
        <v>576</v>
      </c>
      <c r="F1044" t="s">
        <v>145</v>
      </c>
      <c r="G1044" t="s">
        <v>145</v>
      </c>
      <c r="H1044" t="s">
        <v>145</v>
      </c>
    </row>
    <row r="1045" spans="1:18" x14ac:dyDescent="0.25">
      <c r="C1045" t="s">
        <v>174</v>
      </c>
      <c r="D1045">
        <f t="shared" si="89"/>
        <v>45975</v>
      </c>
      <c r="E1045" t="s">
        <v>167</v>
      </c>
    </row>
    <row r="1046" spans="1:18" x14ac:dyDescent="0.25">
      <c r="C1046" t="s">
        <v>174</v>
      </c>
      <c r="D1046">
        <f t="shared" si="89"/>
        <v>45975</v>
      </c>
      <c r="E1046" t="s">
        <v>168</v>
      </c>
    </row>
    <row r="1047" spans="1:18" x14ac:dyDescent="0.25">
      <c r="C1047" t="s">
        <v>174</v>
      </c>
      <c r="D1047">
        <f t="shared" si="89"/>
        <v>45975</v>
      </c>
      <c r="E1047" t="s">
        <v>169</v>
      </c>
    </row>
    <row r="1048" spans="1:18" ht="15.75" thickBot="1" x14ac:dyDescent="0.3"/>
    <row r="1049" spans="1:18" ht="15" customHeight="1" thickBot="1" x14ac:dyDescent="0.3">
      <c r="A1049" s="753" t="s">
        <v>924</v>
      </c>
      <c r="C1049" s="538" t="s">
        <v>161</v>
      </c>
      <c r="D1049" s="539">
        <v>45978</v>
      </c>
      <c r="E1049" s="539" t="s">
        <v>573</v>
      </c>
      <c r="F1049" s="539" t="s">
        <v>145</v>
      </c>
      <c r="G1049" s="539" t="s">
        <v>145</v>
      </c>
      <c r="H1049" s="539" t="s">
        <v>145</v>
      </c>
      <c r="I1049" s="543"/>
      <c r="J1049" s="542"/>
      <c r="K1049" s="544"/>
      <c r="L1049" s="560"/>
      <c r="M1049" s="561"/>
      <c r="N1049" s="562"/>
      <c r="O1049" s="548"/>
      <c r="P1049" s="549"/>
      <c r="Q1049" s="3"/>
      <c r="R1049" s="3"/>
    </row>
    <row r="1050" spans="1:18" x14ac:dyDescent="0.25">
      <c r="A1050" s="753"/>
      <c r="C1050" s="496" t="s">
        <v>161</v>
      </c>
      <c r="D1050" s="507">
        <f t="shared" ref="D1050:D1064" si="90">D1049</f>
        <v>45978</v>
      </c>
      <c r="E1050" s="498" t="s">
        <v>162</v>
      </c>
      <c r="F1050" s="514"/>
      <c r="G1050" s="514"/>
      <c r="H1050" s="515"/>
      <c r="I1050" s="537"/>
      <c r="J1050" s="537"/>
      <c r="K1050" s="537"/>
      <c r="L1050" s="563"/>
      <c r="M1050" s="563"/>
      <c r="N1050" s="563"/>
    </row>
    <row r="1051" spans="1:18" x14ac:dyDescent="0.25">
      <c r="A1051" s="753"/>
      <c r="C1051" s="525" t="s">
        <v>161</v>
      </c>
      <c r="D1051" s="499">
        <f t="shared" si="90"/>
        <v>45978</v>
      </c>
      <c r="E1051" s="500" t="s">
        <v>163</v>
      </c>
      <c r="F1051" s="460"/>
      <c r="G1051" s="460"/>
      <c r="H1051" s="460"/>
      <c r="I1051" s="540"/>
      <c r="J1051" s="540"/>
      <c r="K1051" s="540"/>
      <c r="L1051" s="555"/>
      <c r="M1051" s="555"/>
      <c r="N1051" s="555"/>
    </row>
    <row r="1052" spans="1:18" x14ac:dyDescent="0.25">
      <c r="A1052" s="753"/>
      <c r="C1052" s="526" t="s">
        <v>161</v>
      </c>
      <c r="D1052" s="449">
        <f t="shared" si="90"/>
        <v>45978</v>
      </c>
      <c r="E1052" s="454" t="s">
        <v>164</v>
      </c>
      <c r="F1052" s="460"/>
      <c r="G1052" s="460"/>
      <c r="H1052" s="460"/>
      <c r="I1052" s="540"/>
      <c r="J1052" s="540"/>
      <c r="K1052" s="540"/>
      <c r="L1052" s="564"/>
      <c r="M1052" s="564"/>
      <c r="N1052" s="564"/>
    </row>
    <row r="1053" spans="1:18" x14ac:dyDescent="0.25">
      <c r="A1053" s="753"/>
      <c r="C1053" s="526" t="s">
        <v>161</v>
      </c>
      <c r="D1053" s="449">
        <f t="shared" si="90"/>
        <v>45978</v>
      </c>
      <c r="E1053" s="454" t="s">
        <v>165</v>
      </c>
      <c r="F1053" s="460"/>
      <c r="G1053" s="460"/>
      <c r="H1053" s="460"/>
      <c r="I1053" s="540"/>
      <c r="J1053" s="540"/>
      <c r="K1053" s="540"/>
      <c r="L1053" s="564"/>
      <c r="M1053" s="564"/>
      <c r="N1053" s="564"/>
    </row>
    <row r="1054" spans="1:18" x14ac:dyDescent="0.25">
      <c r="A1054" s="753"/>
      <c r="C1054" s="526" t="s">
        <v>161</v>
      </c>
      <c r="D1054" s="449">
        <f t="shared" si="90"/>
        <v>45978</v>
      </c>
      <c r="E1054" s="454" t="s">
        <v>166</v>
      </c>
      <c r="F1054" s="460"/>
      <c r="G1054" s="460"/>
      <c r="H1054" s="460"/>
      <c r="I1054" s="540"/>
      <c r="J1054" s="540"/>
      <c r="K1054" s="540"/>
      <c r="L1054" s="564"/>
      <c r="M1054" s="564"/>
      <c r="N1054" s="564"/>
    </row>
    <row r="1055" spans="1:18" x14ac:dyDescent="0.25">
      <c r="A1055" s="753"/>
      <c r="C1055" s="526" t="s">
        <v>161</v>
      </c>
      <c r="D1055" s="449">
        <f t="shared" si="90"/>
        <v>45978</v>
      </c>
      <c r="E1055" s="454" t="s">
        <v>576</v>
      </c>
      <c r="F1055" s="460" t="s">
        <v>145</v>
      </c>
      <c r="G1055" s="460" t="s">
        <v>145</v>
      </c>
      <c r="H1055" s="460" t="s">
        <v>145</v>
      </c>
      <c r="I1055" s="540"/>
      <c r="J1055" s="540"/>
      <c r="K1055" s="540"/>
      <c r="L1055" s="564"/>
      <c r="M1055" s="564"/>
      <c r="N1055" s="564"/>
    </row>
    <row r="1056" spans="1:18" x14ac:dyDescent="0.25">
      <c r="A1056" s="753"/>
      <c r="C1056" s="526" t="s">
        <v>161</v>
      </c>
      <c r="D1056" s="449">
        <f t="shared" si="90"/>
        <v>45978</v>
      </c>
      <c r="E1056" s="454" t="s">
        <v>167</v>
      </c>
      <c r="F1056" s="512"/>
      <c r="G1056" s="512"/>
      <c r="H1056" s="505"/>
      <c r="I1056" s="554"/>
      <c r="J1056" s="541"/>
      <c r="K1056" s="541"/>
      <c r="L1056" s="556"/>
      <c r="M1056" s="556"/>
      <c r="N1056" s="556"/>
    </row>
    <row r="1057" spans="1:18" x14ac:dyDescent="0.25">
      <c r="A1057" s="753"/>
      <c r="C1057" s="527" t="s">
        <v>161</v>
      </c>
      <c r="D1057" s="449">
        <f t="shared" si="90"/>
        <v>45978</v>
      </c>
      <c r="E1057" s="454" t="s">
        <v>168</v>
      </c>
      <c r="F1057" s="460"/>
      <c r="G1057" s="460"/>
      <c r="H1057" s="460"/>
      <c r="I1057" s="540"/>
      <c r="J1057" s="540"/>
      <c r="K1057" s="540"/>
      <c r="L1057" s="565"/>
      <c r="M1057" s="565"/>
      <c r="N1057" s="565"/>
    </row>
    <row r="1058" spans="1:18" x14ac:dyDescent="0.25">
      <c r="A1058" s="753"/>
      <c r="C1058" s="527" t="s">
        <v>161</v>
      </c>
      <c r="D1058" s="449">
        <f t="shared" si="90"/>
        <v>45978</v>
      </c>
      <c r="E1058" s="454" t="s">
        <v>169</v>
      </c>
      <c r="F1058" s="460"/>
      <c r="G1058" s="460"/>
      <c r="H1058" s="461"/>
      <c r="I1058" s="540"/>
      <c r="J1058" s="540"/>
      <c r="K1058" s="540"/>
      <c r="L1058" s="565"/>
      <c r="M1058" s="565"/>
      <c r="N1058" s="565"/>
    </row>
    <row r="1059" spans="1:18" x14ac:dyDescent="0.25">
      <c r="A1059" s="753"/>
      <c r="C1059" s="527" t="s">
        <v>161</v>
      </c>
      <c r="D1059" s="449">
        <f t="shared" si="90"/>
        <v>45978</v>
      </c>
      <c r="E1059" s="454" t="s">
        <v>170</v>
      </c>
      <c r="F1059" s="460"/>
      <c r="G1059" s="460"/>
      <c r="H1059" s="461"/>
      <c r="I1059" s="540"/>
      <c r="J1059" s="540"/>
      <c r="K1059" s="540"/>
      <c r="L1059" s="565"/>
      <c r="M1059" s="565"/>
      <c r="N1059" s="565"/>
    </row>
    <row r="1060" spans="1:18" x14ac:dyDescent="0.25">
      <c r="A1060" s="753"/>
      <c r="C1060" s="527" t="s">
        <v>161</v>
      </c>
      <c r="D1060" s="449">
        <f t="shared" si="90"/>
        <v>45978</v>
      </c>
      <c r="E1060" s="454" t="s">
        <v>585</v>
      </c>
      <c r="F1060" s="460" t="s">
        <v>145</v>
      </c>
      <c r="G1060" s="460" t="s">
        <v>145</v>
      </c>
      <c r="H1060" s="504" t="s">
        <v>145</v>
      </c>
      <c r="I1060" s="540"/>
      <c r="J1060" s="540"/>
      <c r="K1060" s="540"/>
      <c r="L1060" s="566"/>
      <c r="M1060" s="566"/>
      <c r="N1060" s="566"/>
    </row>
    <row r="1061" spans="1:18" x14ac:dyDescent="0.25">
      <c r="A1061" s="753"/>
      <c r="C1061" s="527" t="s">
        <v>161</v>
      </c>
      <c r="D1061" s="449">
        <f t="shared" si="90"/>
        <v>45978</v>
      </c>
      <c r="E1061" s="454" t="s">
        <v>574</v>
      </c>
      <c r="F1061" s="505" t="s">
        <v>145</v>
      </c>
      <c r="G1061" s="516" t="s">
        <v>145</v>
      </c>
      <c r="H1061" s="516" t="s">
        <v>145</v>
      </c>
      <c r="I1061" s="516"/>
      <c r="J1061" s="516"/>
      <c r="K1061" s="516"/>
      <c r="L1061" s="557"/>
      <c r="M1061" s="557"/>
      <c r="N1061" s="557"/>
    </row>
    <row r="1062" spans="1:18" x14ac:dyDescent="0.25">
      <c r="A1062" s="753"/>
      <c r="C1062" s="527" t="s">
        <v>161</v>
      </c>
      <c r="D1062" s="449">
        <f t="shared" si="90"/>
        <v>45978</v>
      </c>
      <c r="E1062" s="455" t="s">
        <v>575</v>
      </c>
      <c r="F1062" s="505" t="s">
        <v>145</v>
      </c>
      <c r="G1062" s="516" t="s">
        <v>145</v>
      </c>
      <c r="H1062" s="516" t="s">
        <v>145</v>
      </c>
      <c r="I1062" s="516"/>
      <c r="J1062" s="516"/>
      <c r="K1062" s="516"/>
      <c r="L1062" s="557"/>
      <c r="M1062" s="557"/>
      <c r="N1062" s="557"/>
    </row>
    <row r="1063" spans="1:18" x14ac:dyDescent="0.25">
      <c r="A1063" s="753"/>
      <c r="C1063" s="527" t="s">
        <v>161</v>
      </c>
      <c r="D1063" s="449">
        <f t="shared" si="90"/>
        <v>45978</v>
      </c>
      <c r="E1063" s="455" t="s">
        <v>583</v>
      </c>
      <c r="F1063" s="506" t="s">
        <v>145</v>
      </c>
      <c r="G1063" s="506" t="s">
        <v>145</v>
      </c>
      <c r="H1063" s="516" t="s">
        <v>145</v>
      </c>
      <c r="I1063" s="516"/>
      <c r="J1063" s="516"/>
      <c r="K1063" s="516"/>
      <c r="L1063" s="557"/>
      <c r="M1063" s="557"/>
      <c r="N1063" s="557"/>
    </row>
    <row r="1064" spans="1:18" x14ac:dyDescent="0.25">
      <c r="A1064" s="753"/>
      <c r="C1064" s="527" t="s">
        <v>161</v>
      </c>
      <c r="D1064" s="449">
        <f t="shared" si="90"/>
        <v>45978</v>
      </c>
      <c r="E1064" s="503" t="s">
        <v>584</v>
      </c>
      <c r="F1064" s="506" t="s">
        <v>145</v>
      </c>
      <c r="G1064" s="506" t="s">
        <v>145</v>
      </c>
      <c r="H1064" s="516" t="s">
        <v>145</v>
      </c>
      <c r="I1064" s="516"/>
      <c r="J1064" s="516"/>
      <c r="K1064" s="516"/>
      <c r="L1064" s="557"/>
      <c r="M1064" s="557"/>
      <c r="N1064" s="557"/>
    </row>
    <row r="1065" spans="1:18" ht="15.75" thickBot="1" x14ac:dyDescent="0.3">
      <c r="A1065" s="753"/>
      <c r="C1065" s="528"/>
      <c r="D1065" s="451"/>
      <c r="E1065" s="459"/>
      <c r="F1065" s="493"/>
      <c r="G1065" s="493"/>
      <c r="H1065" s="513"/>
      <c r="I1065" s="513"/>
      <c r="J1065" s="513"/>
      <c r="K1065" s="513"/>
      <c r="L1065" s="558"/>
      <c r="M1065" s="558"/>
      <c r="N1065" s="558"/>
    </row>
    <row r="1066" spans="1:18" ht="4.5" customHeight="1" thickBot="1" x14ac:dyDescent="0.3">
      <c r="A1066" s="753"/>
      <c r="C1066" t="s">
        <v>171</v>
      </c>
      <c r="D1066">
        <f>D1064+1</f>
        <v>45979</v>
      </c>
      <c r="E1066" t="s">
        <v>573</v>
      </c>
      <c r="F1066" t="s">
        <v>145</v>
      </c>
      <c r="G1066" t="s">
        <v>145</v>
      </c>
      <c r="H1066" t="s">
        <v>145</v>
      </c>
      <c r="L1066" s="559"/>
      <c r="M1066" s="559"/>
      <c r="N1066" s="559"/>
      <c r="Q1066" s="3"/>
      <c r="R1066" s="3"/>
    </row>
    <row r="1067" spans="1:18" ht="15" customHeight="1" thickBot="1" x14ac:dyDescent="0.3">
      <c r="A1067" s="753"/>
      <c r="C1067" s="538" t="s">
        <v>171</v>
      </c>
      <c r="D1067" s="539">
        <f t="shared" ref="D1067:D1081" si="91">D1066</f>
        <v>45979</v>
      </c>
      <c r="E1067" s="539" t="s">
        <v>162</v>
      </c>
      <c r="F1067" s="539"/>
      <c r="G1067" s="539"/>
      <c r="H1067" s="539" t="s">
        <v>980</v>
      </c>
      <c r="I1067" s="543"/>
      <c r="J1067" s="542"/>
      <c r="K1067" s="544"/>
      <c r="L1067" s="560"/>
      <c r="M1067" s="561"/>
      <c r="N1067" s="562"/>
      <c r="O1067" s="548"/>
      <c r="P1067" s="549"/>
      <c r="Q1067" s="3"/>
      <c r="R1067" s="3"/>
    </row>
    <row r="1068" spans="1:18" x14ac:dyDescent="0.25">
      <c r="A1068" s="753"/>
      <c r="C1068" s="446" t="s">
        <v>171</v>
      </c>
      <c r="D1068" s="497">
        <f t="shared" si="91"/>
        <v>45979</v>
      </c>
      <c r="E1068" s="498" t="s">
        <v>163</v>
      </c>
      <c r="F1068" s="514"/>
      <c r="G1068" s="514" t="s">
        <v>979</v>
      </c>
      <c r="H1068" s="515" t="s">
        <v>980</v>
      </c>
      <c r="I1068" s="537"/>
      <c r="J1068" s="537"/>
      <c r="K1068" s="537"/>
      <c r="L1068" s="563"/>
      <c r="M1068" s="563"/>
      <c r="N1068" s="563"/>
    </row>
    <row r="1069" spans="1:18" x14ac:dyDescent="0.25">
      <c r="A1069" s="753"/>
      <c r="C1069" s="452" t="s">
        <v>171</v>
      </c>
      <c r="D1069" s="499">
        <f t="shared" si="91"/>
        <v>45979</v>
      </c>
      <c r="E1069" s="500" t="s">
        <v>164</v>
      </c>
      <c r="F1069" s="460"/>
      <c r="G1069" s="460" t="s">
        <v>979</v>
      </c>
      <c r="H1069" s="501" t="s">
        <v>980</v>
      </c>
      <c r="I1069" s="540"/>
      <c r="J1069" s="540"/>
      <c r="K1069" s="540"/>
      <c r="L1069" s="555"/>
      <c r="M1069" s="555"/>
      <c r="N1069" s="555"/>
    </row>
    <row r="1070" spans="1:18" x14ac:dyDescent="0.25">
      <c r="A1070" s="753"/>
      <c r="C1070" s="452" t="s">
        <v>171</v>
      </c>
      <c r="D1070" s="449">
        <f t="shared" si="91"/>
        <v>45979</v>
      </c>
      <c r="E1070" s="454" t="s">
        <v>165</v>
      </c>
      <c r="F1070" s="460"/>
      <c r="G1070" s="460" t="s">
        <v>979</v>
      </c>
      <c r="H1070" s="460" t="s">
        <v>980</v>
      </c>
      <c r="I1070" s="540"/>
      <c r="J1070" s="540"/>
      <c r="K1070" s="540"/>
      <c r="L1070" s="564"/>
      <c r="M1070" s="564"/>
      <c r="N1070" s="564"/>
    </row>
    <row r="1071" spans="1:18" x14ac:dyDescent="0.25">
      <c r="A1071" s="753"/>
      <c r="C1071" s="452" t="s">
        <v>171</v>
      </c>
      <c r="D1071" s="449">
        <f t="shared" si="91"/>
        <v>45979</v>
      </c>
      <c r="E1071" s="454" t="s">
        <v>166</v>
      </c>
      <c r="F1071" s="460"/>
      <c r="G1071" s="460" t="s">
        <v>979</v>
      </c>
      <c r="H1071" s="460" t="s">
        <v>980</v>
      </c>
      <c r="I1071" s="540"/>
      <c r="J1071" s="540"/>
      <c r="K1071" s="540"/>
      <c r="L1071" s="564"/>
      <c r="M1071" s="564"/>
      <c r="N1071" s="564"/>
    </row>
    <row r="1072" spans="1:18" x14ac:dyDescent="0.25">
      <c r="A1072" s="753"/>
      <c r="C1072" s="452" t="s">
        <v>171</v>
      </c>
      <c r="D1072" s="449">
        <f t="shared" si="91"/>
        <v>45979</v>
      </c>
      <c r="E1072" s="454" t="s">
        <v>576</v>
      </c>
      <c r="F1072" s="460" t="s">
        <v>145</v>
      </c>
      <c r="G1072" s="460" t="s">
        <v>145</v>
      </c>
      <c r="H1072" s="460" t="s">
        <v>145</v>
      </c>
      <c r="I1072" s="540"/>
      <c r="J1072" s="540"/>
      <c r="K1072" s="540"/>
      <c r="L1072" s="564"/>
      <c r="M1072" s="564"/>
      <c r="N1072" s="564"/>
    </row>
    <row r="1073" spans="1:18" x14ac:dyDescent="0.25">
      <c r="A1073" s="753"/>
      <c r="C1073" s="452" t="s">
        <v>171</v>
      </c>
      <c r="D1073" s="449">
        <f t="shared" si="91"/>
        <v>45979</v>
      </c>
      <c r="E1073" s="454" t="s">
        <v>167</v>
      </c>
      <c r="F1073" s="460"/>
      <c r="G1073" s="460"/>
      <c r="H1073" s="460" t="s">
        <v>980</v>
      </c>
      <c r="I1073" s="540"/>
      <c r="J1073" s="540"/>
      <c r="K1073" s="540"/>
      <c r="L1073" s="564"/>
      <c r="M1073" s="564"/>
      <c r="N1073" s="564"/>
    </row>
    <row r="1074" spans="1:18" x14ac:dyDescent="0.25">
      <c r="A1074" s="753"/>
      <c r="C1074" s="452" t="s">
        <v>171</v>
      </c>
      <c r="D1074" s="449">
        <f t="shared" si="91"/>
        <v>45979</v>
      </c>
      <c r="E1074" s="454" t="s">
        <v>168</v>
      </c>
      <c r="F1074" s="517"/>
      <c r="G1074" s="512"/>
      <c r="H1074" s="505" t="s">
        <v>980</v>
      </c>
      <c r="I1074" s="554"/>
      <c r="J1074" s="541"/>
      <c r="K1074" s="541"/>
      <c r="L1074" s="556"/>
      <c r="M1074" s="556"/>
      <c r="N1074" s="556"/>
    </row>
    <row r="1075" spans="1:18" x14ac:dyDescent="0.25">
      <c r="A1075" s="753"/>
      <c r="C1075" s="452" t="s">
        <v>171</v>
      </c>
      <c r="D1075" s="449">
        <f t="shared" si="91"/>
        <v>45979</v>
      </c>
      <c r="E1075" s="454" t="s">
        <v>169</v>
      </c>
      <c r="F1075" s="460"/>
      <c r="G1075" s="460"/>
      <c r="H1075" s="461" t="s">
        <v>980</v>
      </c>
      <c r="I1075" s="540"/>
      <c r="J1075" s="540"/>
      <c r="K1075" s="540"/>
      <c r="L1075" s="565"/>
      <c r="M1075" s="565"/>
      <c r="N1075" s="565"/>
    </row>
    <row r="1076" spans="1:18" x14ac:dyDescent="0.25">
      <c r="A1076" s="753"/>
      <c r="C1076" s="452" t="s">
        <v>171</v>
      </c>
      <c r="D1076" s="449">
        <f t="shared" si="91"/>
        <v>45979</v>
      </c>
      <c r="E1076" s="454" t="s">
        <v>170</v>
      </c>
      <c r="F1076" s="460"/>
      <c r="G1076" s="460"/>
      <c r="H1076" s="461" t="s">
        <v>980</v>
      </c>
      <c r="I1076" s="540"/>
      <c r="J1076" s="540"/>
      <c r="K1076" s="540"/>
      <c r="L1076" s="565"/>
      <c r="M1076" s="565"/>
      <c r="N1076" s="565"/>
    </row>
    <row r="1077" spans="1:18" x14ac:dyDescent="0.25">
      <c r="A1077" s="753"/>
      <c r="C1077" s="452" t="s">
        <v>171</v>
      </c>
      <c r="D1077" s="449">
        <f t="shared" si="91"/>
        <v>45979</v>
      </c>
      <c r="E1077" s="454" t="s">
        <v>585</v>
      </c>
      <c r="F1077" s="460" t="s">
        <v>145</v>
      </c>
      <c r="G1077" s="460" t="s">
        <v>145</v>
      </c>
      <c r="H1077" s="461" t="s">
        <v>145</v>
      </c>
      <c r="I1077" s="540"/>
      <c r="J1077" s="540"/>
      <c r="K1077" s="540"/>
      <c r="L1077" s="565"/>
      <c r="M1077" s="565"/>
      <c r="N1077" s="565"/>
    </row>
    <row r="1078" spans="1:18" x14ac:dyDescent="0.25">
      <c r="A1078" s="753"/>
      <c r="C1078" s="452" t="s">
        <v>171</v>
      </c>
      <c r="D1078" s="449">
        <f t="shared" si="91"/>
        <v>45979</v>
      </c>
      <c r="E1078" s="454" t="s">
        <v>574</v>
      </c>
      <c r="F1078" s="460" t="s">
        <v>145</v>
      </c>
      <c r="G1078" s="460" t="s">
        <v>145</v>
      </c>
      <c r="H1078" s="504" t="s">
        <v>145</v>
      </c>
      <c r="I1078" s="540"/>
      <c r="J1078" s="540"/>
      <c r="K1078" s="540"/>
      <c r="L1078" s="566"/>
      <c r="M1078" s="566"/>
      <c r="N1078" s="566"/>
    </row>
    <row r="1079" spans="1:18" x14ac:dyDescent="0.25">
      <c r="A1079" s="753"/>
      <c r="C1079" s="452" t="s">
        <v>171</v>
      </c>
      <c r="D1079" s="449">
        <f t="shared" si="91"/>
        <v>45979</v>
      </c>
      <c r="E1079" s="454" t="s">
        <v>575</v>
      </c>
      <c r="F1079" s="505" t="s">
        <v>145</v>
      </c>
      <c r="G1079" s="505" t="s">
        <v>145</v>
      </c>
      <c r="H1079" s="516" t="s">
        <v>145</v>
      </c>
      <c r="I1079" s="516"/>
      <c r="J1079" s="516"/>
      <c r="K1079" s="516"/>
      <c r="L1079" s="557"/>
      <c r="M1079" s="557"/>
      <c r="N1079" s="557"/>
    </row>
    <row r="1080" spans="1:18" x14ac:dyDescent="0.25">
      <c r="A1080" s="753"/>
      <c r="C1080" s="448" t="s">
        <v>171</v>
      </c>
      <c r="D1080" s="449">
        <f t="shared" si="91"/>
        <v>45979</v>
      </c>
      <c r="E1080" s="455" t="s">
        <v>583</v>
      </c>
      <c r="F1080" s="505" t="s">
        <v>145</v>
      </c>
      <c r="G1080" s="505" t="s">
        <v>145</v>
      </c>
      <c r="H1080" s="516" t="s">
        <v>145</v>
      </c>
      <c r="I1080" s="516"/>
      <c r="J1080" s="516"/>
      <c r="K1080" s="516"/>
      <c r="L1080" s="557"/>
      <c r="M1080" s="557"/>
      <c r="N1080" s="557"/>
    </row>
    <row r="1081" spans="1:18" x14ac:dyDescent="0.25">
      <c r="A1081" s="753"/>
      <c r="C1081" s="448" t="s">
        <v>171</v>
      </c>
      <c r="D1081" s="449">
        <f t="shared" si="91"/>
        <v>45979</v>
      </c>
      <c r="E1081" s="455" t="s">
        <v>584</v>
      </c>
      <c r="F1081" s="506" t="s">
        <v>145</v>
      </c>
      <c r="G1081" s="506" t="s">
        <v>145</v>
      </c>
      <c r="H1081" s="516" t="s">
        <v>145</v>
      </c>
      <c r="I1081" s="516"/>
      <c r="J1081" s="516"/>
      <c r="K1081" s="516"/>
      <c r="L1081" s="557"/>
      <c r="M1081" s="557"/>
      <c r="N1081" s="557"/>
    </row>
    <row r="1082" spans="1:18" x14ac:dyDescent="0.25">
      <c r="A1082" s="753"/>
      <c r="C1082" s="448"/>
      <c r="D1082" s="449"/>
      <c r="E1082" s="503"/>
      <c r="F1082" s="506"/>
      <c r="G1082" s="506"/>
      <c r="H1082" s="516"/>
      <c r="I1082" s="516"/>
      <c r="J1082" s="516"/>
      <c r="K1082" s="516"/>
      <c r="L1082" s="557"/>
      <c r="M1082" s="557"/>
      <c r="N1082" s="557"/>
    </row>
    <row r="1083" spans="1:18" ht="15.75" thickBot="1" x14ac:dyDescent="0.3">
      <c r="A1083" s="753"/>
      <c r="C1083" s="450" t="s">
        <v>172</v>
      </c>
      <c r="D1083" s="451">
        <f>D1081+1</f>
        <v>45980</v>
      </c>
      <c r="E1083" s="459" t="s">
        <v>573</v>
      </c>
      <c r="F1083" s="493" t="s">
        <v>145</v>
      </c>
      <c r="G1083" s="493" t="s">
        <v>145</v>
      </c>
      <c r="H1083" s="513" t="s">
        <v>145</v>
      </c>
      <c r="I1083" s="513"/>
      <c r="J1083" s="513"/>
      <c r="K1083" s="513"/>
      <c r="L1083" s="558"/>
      <c r="M1083" s="558"/>
      <c r="N1083" s="558"/>
    </row>
    <row r="1084" spans="1:18" ht="4.5" customHeight="1" thickBot="1" x14ac:dyDescent="0.3">
      <c r="A1084" s="753"/>
      <c r="C1084" t="s">
        <v>172</v>
      </c>
      <c r="D1084">
        <f t="shared" ref="D1084:D1098" si="92">D1083</f>
        <v>45980</v>
      </c>
      <c r="E1084" t="s">
        <v>162</v>
      </c>
      <c r="H1084" t="s">
        <v>980</v>
      </c>
      <c r="L1084" s="559"/>
      <c r="M1084" s="559"/>
      <c r="N1084" s="559"/>
      <c r="Q1084" s="3"/>
      <c r="R1084" s="3"/>
    </row>
    <row r="1085" spans="1:18" ht="15" customHeight="1" thickBot="1" x14ac:dyDescent="0.3">
      <c r="A1085" s="753"/>
      <c r="C1085" s="538" t="s">
        <v>172</v>
      </c>
      <c r="D1085" s="539">
        <f t="shared" si="92"/>
        <v>45980</v>
      </c>
      <c r="E1085" s="539" t="s">
        <v>163</v>
      </c>
      <c r="F1085" s="539"/>
      <c r="G1085" s="539"/>
      <c r="H1085" s="539" t="s">
        <v>980</v>
      </c>
      <c r="I1085" s="543"/>
      <c r="J1085" s="542"/>
      <c r="K1085" s="544"/>
      <c r="L1085" s="560"/>
      <c r="M1085" s="561"/>
      <c r="N1085" s="562"/>
      <c r="O1085" s="548"/>
      <c r="P1085" s="549"/>
      <c r="Q1085" s="3"/>
      <c r="R1085" s="3"/>
    </row>
    <row r="1086" spans="1:18" x14ac:dyDescent="0.25">
      <c r="A1086" s="753"/>
      <c r="C1086" s="446" t="s">
        <v>172</v>
      </c>
      <c r="D1086" s="497">
        <f t="shared" si="92"/>
        <v>45980</v>
      </c>
      <c r="E1086" s="498" t="s">
        <v>164</v>
      </c>
      <c r="F1086" s="514"/>
      <c r="G1086" s="514"/>
      <c r="H1086" s="515" t="s">
        <v>980</v>
      </c>
      <c r="I1086" s="537"/>
      <c r="J1086" s="537"/>
      <c r="K1086" s="537"/>
      <c r="L1086" s="563"/>
      <c r="M1086" s="563"/>
      <c r="N1086" s="563"/>
    </row>
    <row r="1087" spans="1:18" x14ac:dyDescent="0.25">
      <c r="A1087" s="753"/>
      <c r="C1087" s="452" t="s">
        <v>172</v>
      </c>
      <c r="D1087" s="499">
        <f t="shared" si="92"/>
        <v>45980</v>
      </c>
      <c r="E1087" s="500" t="s">
        <v>165</v>
      </c>
      <c r="F1087" s="460"/>
      <c r="G1087" s="460"/>
      <c r="H1087" s="501" t="s">
        <v>980</v>
      </c>
      <c r="I1087" s="540"/>
      <c r="J1087" s="540"/>
      <c r="K1087" s="540"/>
      <c r="L1087" s="555"/>
      <c r="M1087" s="555"/>
      <c r="N1087" s="555"/>
    </row>
    <row r="1088" spans="1:18" x14ac:dyDescent="0.25">
      <c r="A1088" s="753"/>
      <c r="C1088" s="452" t="s">
        <v>172</v>
      </c>
      <c r="D1088" s="449">
        <f t="shared" si="92"/>
        <v>45980</v>
      </c>
      <c r="E1088" s="454" t="s">
        <v>166</v>
      </c>
      <c r="F1088" s="460"/>
      <c r="G1088" s="460"/>
      <c r="H1088" s="460" t="s">
        <v>980</v>
      </c>
      <c r="I1088" s="540"/>
      <c r="J1088" s="540"/>
      <c r="K1088" s="540"/>
      <c r="L1088" s="564"/>
      <c r="M1088" s="564"/>
      <c r="N1088" s="564"/>
    </row>
    <row r="1089" spans="1:18" x14ac:dyDescent="0.25">
      <c r="A1089" s="753"/>
      <c r="C1089" s="452" t="s">
        <v>172</v>
      </c>
      <c r="D1089" s="449">
        <f t="shared" si="92"/>
        <v>45980</v>
      </c>
      <c r="E1089" s="454" t="s">
        <v>576</v>
      </c>
      <c r="F1089" s="460" t="s">
        <v>145</v>
      </c>
      <c r="G1089" s="460" t="s">
        <v>145</v>
      </c>
      <c r="H1089" s="460" t="s">
        <v>145</v>
      </c>
      <c r="I1089" s="540"/>
      <c r="J1089" s="540"/>
      <c r="K1089" s="540"/>
      <c r="L1089" s="564"/>
      <c r="M1089" s="564"/>
      <c r="N1089" s="564"/>
    </row>
    <row r="1090" spans="1:18" x14ac:dyDescent="0.25">
      <c r="A1090" s="753"/>
      <c r="C1090" s="452" t="s">
        <v>172</v>
      </c>
      <c r="D1090" s="449">
        <f t="shared" si="92"/>
        <v>45980</v>
      </c>
      <c r="E1090" s="454" t="s">
        <v>167</v>
      </c>
      <c r="F1090" s="460"/>
      <c r="G1090" s="460" t="s">
        <v>979</v>
      </c>
      <c r="H1090" s="460" t="s">
        <v>980</v>
      </c>
      <c r="I1090" s="540"/>
      <c r="J1090" s="540"/>
      <c r="K1090" s="540"/>
      <c r="L1090" s="564"/>
      <c r="M1090" s="564"/>
      <c r="N1090" s="564"/>
    </row>
    <row r="1091" spans="1:18" x14ac:dyDescent="0.25">
      <c r="A1091" s="753"/>
      <c r="C1091" s="452" t="s">
        <v>172</v>
      </c>
      <c r="D1091" s="449">
        <f t="shared" si="92"/>
        <v>45980</v>
      </c>
      <c r="E1091" s="454" t="s">
        <v>168</v>
      </c>
      <c r="F1091" s="460"/>
      <c r="G1091" s="460" t="s">
        <v>979</v>
      </c>
      <c r="H1091" s="460" t="s">
        <v>980</v>
      </c>
      <c r="I1091" s="540"/>
      <c r="J1091" s="540"/>
      <c r="K1091" s="540"/>
      <c r="L1091" s="564"/>
      <c r="M1091" s="564"/>
      <c r="N1091" s="564"/>
    </row>
    <row r="1092" spans="1:18" x14ac:dyDescent="0.25">
      <c r="A1092" s="753"/>
      <c r="C1092" s="452" t="s">
        <v>172</v>
      </c>
      <c r="D1092" s="449">
        <f t="shared" si="92"/>
        <v>45980</v>
      </c>
      <c r="E1092" s="454" t="s">
        <v>169</v>
      </c>
      <c r="F1092" s="517"/>
      <c r="G1092" s="512" t="s">
        <v>979</v>
      </c>
      <c r="H1092" s="505" t="s">
        <v>980</v>
      </c>
      <c r="I1092" s="541"/>
      <c r="J1092" s="541"/>
      <c r="K1092" s="541"/>
      <c r="L1092" s="556"/>
      <c r="M1092" s="556"/>
      <c r="N1092" s="556"/>
    </row>
    <row r="1093" spans="1:18" x14ac:dyDescent="0.25">
      <c r="A1093" s="753"/>
      <c r="C1093" s="452" t="s">
        <v>172</v>
      </c>
      <c r="D1093" s="449">
        <f t="shared" si="92"/>
        <v>45980</v>
      </c>
      <c r="E1093" s="454" t="s">
        <v>170</v>
      </c>
      <c r="F1093" s="460"/>
      <c r="G1093" s="460" t="s">
        <v>979</v>
      </c>
      <c r="H1093" s="461" t="s">
        <v>980</v>
      </c>
      <c r="I1093" s="540"/>
      <c r="J1093" s="540"/>
      <c r="K1093" s="540"/>
      <c r="L1093" s="565"/>
      <c r="M1093" s="565"/>
      <c r="N1093" s="565"/>
    </row>
    <row r="1094" spans="1:18" x14ac:dyDescent="0.25">
      <c r="A1094" s="753"/>
      <c r="C1094" s="452" t="s">
        <v>172</v>
      </c>
      <c r="D1094" s="449">
        <f t="shared" si="92"/>
        <v>45980</v>
      </c>
      <c r="E1094" s="454" t="s">
        <v>585</v>
      </c>
      <c r="F1094" s="460" t="s">
        <v>145</v>
      </c>
      <c r="G1094" s="460" t="s">
        <v>145</v>
      </c>
      <c r="H1094" s="461" t="s">
        <v>145</v>
      </c>
      <c r="I1094" s="540"/>
      <c r="J1094" s="540"/>
      <c r="K1094" s="540"/>
      <c r="L1094" s="565"/>
      <c r="M1094" s="565"/>
      <c r="N1094" s="565"/>
    </row>
    <row r="1095" spans="1:18" x14ac:dyDescent="0.25">
      <c r="A1095" s="753"/>
      <c r="C1095" s="452" t="s">
        <v>172</v>
      </c>
      <c r="D1095" s="449">
        <f t="shared" si="92"/>
        <v>45980</v>
      </c>
      <c r="E1095" s="454" t="s">
        <v>574</v>
      </c>
      <c r="F1095" s="460" t="s">
        <v>145</v>
      </c>
      <c r="G1095" s="460" t="s">
        <v>145</v>
      </c>
      <c r="H1095" s="461" t="s">
        <v>145</v>
      </c>
      <c r="I1095" s="540"/>
      <c r="J1095" s="540"/>
      <c r="K1095" s="540"/>
      <c r="L1095" s="565"/>
      <c r="M1095" s="565"/>
      <c r="N1095" s="565"/>
    </row>
    <row r="1096" spans="1:18" x14ac:dyDescent="0.25">
      <c r="A1096" s="753"/>
      <c r="C1096" s="452" t="s">
        <v>172</v>
      </c>
      <c r="D1096" s="449">
        <f t="shared" si="92"/>
        <v>45980</v>
      </c>
      <c r="E1096" s="454" t="s">
        <v>575</v>
      </c>
      <c r="F1096" s="460" t="s">
        <v>145</v>
      </c>
      <c r="G1096" s="460" t="s">
        <v>145</v>
      </c>
      <c r="H1096" s="504" t="s">
        <v>145</v>
      </c>
      <c r="I1096" s="540"/>
      <c r="J1096" s="540"/>
      <c r="K1096" s="540"/>
      <c r="L1096" s="565"/>
      <c r="M1096" s="566"/>
      <c r="N1096" s="566"/>
    </row>
    <row r="1097" spans="1:18" x14ac:dyDescent="0.25">
      <c r="A1097" s="753"/>
      <c r="C1097" s="452" t="s">
        <v>172</v>
      </c>
      <c r="D1097" s="449">
        <f t="shared" si="92"/>
        <v>45980</v>
      </c>
      <c r="E1097" s="454" t="s">
        <v>583</v>
      </c>
      <c r="F1097" s="505" t="s">
        <v>145</v>
      </c>
      <c r="G1097" s="505" t="s">
        <v>145</v>
      </c>
      <c r="H1097" s="516" t="s">
        <v>145</v>
      </c>
      <c r="I1097" s="516"/>
      <c r="J1097" s="516"/>
      <c r="K1097" s="516"/>
      <c r="L1097" s="557"/>
      <c r="M1097" s="557"/>
      <c r="N1097" s="557"/>
    </row>
    <row r="1098" spans="1:18" x14ac:dyDescent="0.25">
      <c r="A1098" s="753"/>
      <c r="C1098" s="448" t="s">
        <v>172</v>
      </c>
      <c r="D1098" s="449">
        <f t="shared" si="92"/>
        <v>45980</v>
      </c>
      <c r="E1098" s="455" t="s">
        <v>584</v>
      </c>
      <c r="F1098" s="505" t="s">
        <v>145</v>
      </c>
      <c r="G1098" s="505" t="s">
        <v>145</v>
      </c>
      <c r="H1098" s="516" t="s">
        <v>145</v>
      </c>
      <c r="I1098" s="516"/>
      <c r="J1098" s="516"/>
      <c r="K1098" s="516"/>
      <c r="L1098" s="557"/>
      <c r="M1098" s="557"/>
      <c r="N1098" s="557"/>
    </row>
    <row r="1099" spans="1:18" x14ac:dyDescent="0.25">
      <c r="A1099" s="753"/>
      <c r="C1099" s="448"/>
      <c r="D1099" s="449"/>
      <c r="E1099" s="455"/>
      <c r="F1099" s="506"/>
      <c r="G1099" s="506"/>
      <c r="H1099" s="516"/>
      <c r="I1099" s="516"/>
      <c r="J1099" s="516"/>
      <c r="K1099" s="516"/>
      <c r="L1099" s="557"/>
      <c r="M1099" s="557"/>
      <c r="N1099" s="557"/>
    </row>
    <row r="1100" spans="1:18" x14ac:dyDescent="0.25">
      <c r="A1100" s="753"/>
      <c r="C1100" s="448" t="s">
        <v>173</v>
      </c>
      <c r="D1100" s="449">
        <f>D1098+1</f>
        <v>45981</v>
      </c>
      <c r="E1100" s="503" t="s">
        <v>573</v>
      </c>
      <c r="F1100" s="506" t="s">
        <v>145</v>
      </c>
      <c r="G1100" s="506" t="s">
        <v>145</v>
      </c>
      <c r="H1100" s="516" t="s">
        <v>145</v>
      </c>
      <c r="I1100" s="516"/>
      <c r="J1100" s="516"/>
      <c r="K1100" s="516"/>
      <c r="L1100" s="557"/>
      <c r="M1100" s="557"/>
      <c r="N1100" s="557"/>
    </row>
    <row r="1101" spans="1:18" ht="15.75" thickBot="1" x14ac:dyDescent="0.3">
      <c r="A1101" s="753"/>
      <c r="C1101" s="450" t="s">
        <v>173</v>
      </c>
      <c r="D1101" s="451">
        <f t="shared" ref="D1101:D1115" si="93">D1100</f>
        <v>45981</v>
      </c>
      <c r="E1101" s="459" t="s">
        <v>162</v>
      </c>
      <c r="F1101" s="493"/>
      <c r="G1101" s="493"/>
      <c r="H1101" s="513" t="s">
        <v>981</v>
      </c>
      <c r="I1101" s="513"/>
      <c r="J1101" s="513"/>
      <c r="K1101" s="513"/>
      <c r="L1101" s="558"/>
      <c r="M1101" s="558"/>
      <c r="N1101" s="558"/>
    </row>
    <row r="1102" spans="1:18" ht="4.5" customHeight="1" thickBot="1" x14ac:dyDescent="0.3">
      <c r="A1102" s="753"/>
      <c r="C1102" t="s">
        <v>173</v>
      </c>
      <c r="D1102">
        <f t="shared" si="93"/>
        <v>45981</v>
      </c>
      <c r="E1102" t="s">
        <v>163</v>
      </c>
      <c r="H1102" t="s">
        <v>981</v>
      </c>
      <c r="L1102" s="559"/>
      <c r="M1102" s="559"/>
      <c r="N1102" s="559"/>
      <c r="Q1102" s="3"/>
      <c r="R1102" s="3"/>
    </row>
    <row r="1103" spans="1:18" ht="15" customHeight="1" thickBot="1" x14ac:dyDescent="0.3">
      <c r="A1103" s="753"/>
      <c r="C1103" s="538" t="s">
        <v>173</v>
      </c>
      <c r="D1103" s="539">
        <f t="shared" si="93"/>
        <v>45981</v>
      </c>
      <c r="E1103" s="539" t="s">
        <v>164</v>
      </c>
      <c r="F1103" s="539"/>
      <c r="G1103" s="539"/>
      <c r="H1103" s="539" t="s">
        <v>981</v>
      </c>
      <c r="I1103" s="543"/>
      <c r="J1103" s="542"/>
      <c r="K1103" s="544"/>
      <c r="L1103" s="560"/>
      <c r="M1103" s="561"/>
      <c r="N1103" s="562"/>
      <c r="O1103" s="548"/>
      <c r="P1103" s="549"/>
      <c r="Q1103" s="3"/>
      <c r="R1103" s="3"/>
    </row>
    <row r="1104" spans="1:18" x14ac:dyDescent="0.25">
      <c r="A1104" s="753"/>
      <c r="C1104" s="529" t="s">
        <v>173</v>
      </c>
      <c r="D1104" s="447">
        <f t="shared" si="93"/>
        <v>45981</v>
      </c>
      <c r="E1104" s="498" t="s">
        <v>165</v>
      </c>
      <c r="F1104" s="514"/>
      <c r="G1104" s="514"/>
      <c r="H1104" s="515" t="s">
        <v>981</v>
      </c>
      <c r="I1104" s="537"/>
      <c r="J1104" s="537"/>
      <c r="K1104" s="537"/>
      <c r="L1104" s="563"/>
      <c r="M1104" s="563"/>
      <c r="N1104" s="563"/>
    </row>
    <row r="1105" spans="1:18" x14ac:dyDescent="0.25">
      <c r="A1105" s="753"/>
      <c r="C1105" s="452" t="s">
        <v>173</v>
      </c>
      <c r="D1105" s="453">
        <f t="shared" si="93"/>
        <v>45981</v>
      </c>
      <c r="E1105" s="500" t="s">
        <v>166</v>
      </c>
      <c r="F1105" s="460"/>
      <c r="G1105" s="460"/>
      <c r="H1105" s="501" t="s">
        <v>981</v>
      </c>
      <c r="I1105" s="540"/>
      <c r="J1105" s="540"/>
      <c r="K1105" s="540"/>
      <c r="L1105" s="555"/>
      <c r="M1105" s="555"/>
      <c r="N1105" s="555"/>
    </row>
    <row r="1106" spans="1:18" x14ac:dyDescent="0.25">
      <c r="A1106" s="753"/>
      <c r="C1106" s="452" t="s">
        <v>173</v>
      </c>
      <c r="D1106" s="453">
        <f t="shared" si="93"/>
        <v>45981</v>
      </c>
      <c r="E1106" s="454" t="s">
        <v>576</v>
      </c>
      <c r="F1106" s="460" t="s">
        <v>145</v>
      </c>
      <c r="G1106" s="460" t="s">
        <v>145</v>
      </c>
      <c r="H1106" s="460" t="s">
        <v>145</v>
      </c>
      <c r="I1106" s="540"/>
      <c r="J1106" s="540"/>
      <c r="K1106" s="540"/>
      <c r="L1106" s="564"/>
      <c r="M1106" s="564"/>
      <c r="N1106" s="564"/>
    </row>
    <row r="1107" spans="1:18" x14ac:dyDescent="0.25">
      <c r="A1107" s="753"/>
      <c r="C1107" s="452" t="s">
        <v>173</v>
      </c>
      <c r="D1107" s="453">
        <f t="shared" si="93"/>
        <v>45981</v>
      </c>
      <c r="E1107" s="454" t="s">
        <v>167</v>
      </c>
      <c r="F1107" s="460"/>
      <c r="G1107" s="460"/>
      <c r="H1107" s="460" t="s">
        <v>981</v>
      </c>
      <c r="I1107" s="540"/>
      <c r="J1107" s="540"/>
      <c r="K1107" s="540"/>
      <c r="L1107" s="564"/>
      <c r="M1107" s="564"/>
      <c r="N1107" s="564"/>
    </row>
    <row r="1108" spans="1:18" x14ac:dyDescent="0.25">
      <c r="A1108" s="753"/>
      <c r="C1108" s="452" t="s">
        <v>173</v>
      </c>
      <c r="D1108" s="453">
        <f t="shared" si="93"/>
        <v>45981</v>
      </c>
      <c r="E1108" s="454" t="s">
        <v>168</v>
      </c>
      <c r="F1108" s="460"/>
      <c r="G1108" s="460"/>
      <c r="H1108" s="460" t="s">
        <v>981</v>
      </c>
      <c r="I1108" s="540"/>
      <c r="J1108" s="540"/>
      <c r="K1108" s="540"/>
      <c r="L1108" s="564"/>
      <c r="M1108" s="564"/>
      <c r="N1108" s="564"/>
    </row>
    <row r="1109" spans="1:18" x14ac:dyDescent="0.25">
      <c r="A1109" s="753"/>
      <c r="C1109" s="452" t="s">
        <v>173</v>
      </c>
      <c r="D1109" s="453">
        <f t="shared" si="93"/>
        <v>45981</v>
      </c>
      <c r="E1109" s="454" t="s">
        <v>169</v>
      </c>
      <c r="F1109" s="460"/>
      <c r="G1109" s="460"/>
      <c r="H1109" s="460" t="s">
        <v>981</v>
      </c>
      <c r="I1109" s="540"/>
      <c r="J1109" s="540"/>
      <c r="K1109" s="540"/>
      <c r="L1109" s="564"/>
      <c r="M1109" s="564"/>
      <c r="N1109" s="564"/>
    </row>
    <row r="1110" spans="1:18" x14ac:dyDescent="0.25">
      <c r="A1110" s="753"/>
      <c r="C1110" s="452" t="s">
        <v>173</v>
      </c>
      <c r="D1110" s="453">
        <f t="shared" si="93"/>
        <v>45981</v>
      </c>
      <c r="E1110" s="454" t="s">
        <v>170</v>
      </c>
      <c r="F1110" s="517"/>
      <c r="G1110" s="512"/>
      <c r="H1110" s="505" t="s">
        <v>981</v>
      </c>
      <c r="I1110" s="541"/>
      <c r="J1110" s="541"/>
      <c r="K1110" s="541"/>
      <c r="L1110" s="556"/>
      <c r="M1110" s="556"/>
      <c r="N1110" s="556"/>
    </row>
    <row r="1111" spans="1:18" x14ac:dyDescent="0.25">
      <c r="A1111" s="753"/>
      <c r="C1111" s="452" t="s">
        <v>173</v>
      </c>
      <c r="D1111" s="449">
        <f t="shared" si="93"/>
        <v>45981</v>
      </c>
      <c r="E1111" s="454" t="s">
        <v>585</v>
      </c>
      <c r="F1111" s="460" t="s">
        <v>145</v>
      </c>
      <c r="G1111" s="460" t="s">
        <v>145</v>
      </c>
      <c r="H1111" s="461" t="s">
        <v>145</v>
      </c>
      <c r="I1111" s="540"/>
      <c r="J1111" s="540"/>
      <c r="K1111" s="540"/>
      <c r="L1111" s="565"/>
      <c r="M1111" s="565"/>
      <c r="N1111" s="565"/>
    </row>
    <row r="1112" spans="1:18" x14ac:dyDescent="0.25">
      <c r="A1112" s="753"/>
      <c r="C1112" s="452" t="s">
        <v>173</v>
      </c>
      <c r="D1112" s="449">
        <f t="shared" si="93"/>
        <v>45981</v>
      </c>
      <c r="E1112" s="454" t="s">
        <v>574</v>
      </c>
      <c r="F1112" s="460" t="s">
        <v>145</v>
      </c>
      <c r="G1112" s="460" t="s">
        <v>145</v>
      </c>
      <c r="H1112" s="461" t="s">
        <v>145</v>
      </c>
      <c r="I1112" s="540"/>
      <c r="J1112" s="540"/>
      <c r="K1112" s="540"/>
      <c r="L1112" s="565"/>
      <c r="M1112" s="565"/>
      <c r="N1112" s="565"/>
    </row>
    <row r="1113" spans="1:18" x14ac:dyDescent="0.25">
      <c r="A1113" s="753"/>
      <c r="C1113" s="452" t="s">
        <v>173</v>
      </c>
      <c r="D1113" s="449">
        <f t="shared" si="93"/>
        <v>45981</v>
      </c>
      <c r="E1113" s="454" t="s">
        <v>575</v>
      </c>
      <c r="F1113" s="460" t="s">
        <v>145</v>
      </c>
      <c r="G1113" s="460" t="s">
        <v>145</v>
      </c>
      <c r="H1113" s="461" t="s">
        <v>145</v>
      </c>
      <c r="I1113" s="540"/>
      <c r="J1113" s="540"/>
      <c r="K1113" s="540"/>
      <c r="L1113" s="565"/>
      <c r="M1113" s="565"/>
      <c r="N1113" s="565"/>
    </row>
    <row r="1114" spans="1:18" x14ac:dyDescent="0.25">
      <c r="A1114" s="753"/>
      <c r="C1114" s="452" t="s">
        <v>173</v>
      </c>
      <c r="D1114" s="449">
        <f t="shared" si="93"/>
        <v>45981</v>
      </c>
      <c r="E1114" s="454" t="s">
        <v>583</v>
      </c>
      <c r="F1114" s="460" t="s">
        <v>145</v>
      </c>
      <c r="G1114" s="460" t="s">
        <v>145</v>
      </c>
      <c r="H1114" s="504" t="s">
        <v>145</v>
      </c>
      <c r="I1114" s="545"/>
      <c r="J1114" s="540"/>
      <c r="K1114" s="540"/>
      <c r="L1114" s="566"/>
      <c r="M1114" s="566"/>
      <c r="N1114" s="566"/>
    </row>
    <row r="1115" spans="1:18" x14ac:dyDescent="0.25">
      <c r="A1115" s="753"/>
      <c r="C1115" s="452" t="s">
        <v>173</v>
      </c>
      <c r="D1115" s="449">
        <f t="shared" si="93"/>
        <v>45981</v>
      </c>
      <c r="E1115" s="454" t="s">
        <v>584</v>
      </c>
      <c r="F1115" s="505" t="s">
        <v>145</v>
      </c>
      <c r="G1115" s="505" t="s">
        <v>145</v>
      </c>
      <c r="H1115" s="516" t="s">
        <v>145</v>
      </c>
      <c r="I1115" s="516"/>
      <c r="J1115" s="516"/>
      <c r="K1115" s="516"/>
      <c r="L1115" s="557"/>
      <c r="M1115" s="557"/>
      <c r="N1115" s="557"/>
    </row>
    <row r="1116" spans="1:18" x14ac:dyDescent="0.25">
      <c r="A1116" s="753"/>
      <c r="C1116" s="452"/>
      <c r="D1116" s="449"/>
      <c r="E1116" s="455"/>
      <c r="F1116" s="505"/>
      <c r="G1116" s="505"/>
      <c r="H1116" s="516"/>
      <c r="I1116" s="516"/>
      <c r="J1116" s="516"/>
      <c r="K1116" s="516"/>
      <c r="L1116" s="557"/>
      <c r="M1116" s="557"/>
      <c r="N1116" s="557"/>
    </row>
    <row r="1117" spans="1:18" x14ac:dyDescent="0.25">
      <c r="A1117" s="753"/>
      <c r="C1117" s="452" t="s">
        <v>174</v>
      </c>
      <c r="D1117" s="449">
        <f>D1115+1</f>
        <v>45982</v>
      </c>
      <c r="E1117" s="455" t="s">
        <v>573</v>
      </c>
      <c r="F1117" s="506" t="s">
        <v>145</v>
      </c>
      <c r="G1117" s="506" t="s">
        <v>145</v>
      </c>
      <c r="H1117" s="516" t="s">
        <v>145</v>
      </c>
      <c r="I1117" s="516"/>
      <c r="J1117" s="516"/>
      <c r="K1117" s="516"/>
      <c r="L1117" s="557"/>
      <c r="M1117" s="557"/>
      <c r="N1117" s="557"/>
    </row>
    <row r="1118" spans="1:18" x14ac:dyDescent="0.25">
      <c r="A1118" s="753"/>
      <c r="C1118" s="452" t="s">
        <v>174</v>
      </c>
      <c r="D1118" s="449">
        <f t="shared" ref="D1118:D1132" si="94">D1117</f>
        <v>45982</v>
      </c>
      <c r="E1118" s="503" t="s">
        <v>162</v>
      </c>
      <c r="F1118" s="506" t="s">
        <v>145</v>
      </c>
      <c r="G1118" s="506" t="s">
        <v>145</v>
      </c>
      <c r="H1118" s="516" t="s">
        <v>145</v>
      </c>
      <c r="I1118" s="516"/>
      <c r="J1118" s="516"/>
      <c r="K1118" s="516"/>
      <c r="L1118" s="557"/>
      <c r="M1118" s="557"/>
      <c r="N1118" s="557"/>
    </row>
    <row r="1119" spans="1:18" ht="15.75" thickBot="1" x14ac:dyDescent="0.3">
      <c r="A1119" s="753"/>
      <c r="C1119" s="530" t="s">
        <v>174</v>
      </c>
      <c r="D1119" s="451">
        <f t="shared" si="94"/>
        <v>45982</v>
      </c>
      <c r="E1119" s="459" t="s">
        <v>163</v>
      </c>
      <c r="F1119" s="493" t="s">
        <v>145</v>
      </c>
      <c r="G1119" s="493" t="s">
        <v>145</v>
      </c>
      <c r="H1119" s="513" t="s">
        <v>145</v>
      </c>
      <c r="I1119" s="513"/>
      <c r="J1119" s="513"/>
      <c r="K1119" s="513"/>
      <c r="L1119" s="558"/>
      <c r="M1119" s="558"/>
      <c r="N1119" s="558"/>
    </row>
    <row r="1120" spans="1:18" ht="4.5" customHeight="1" thickBot="1" x14ac:dyDescent="0.3">
      <c r="A1120" s="753"/>
      <c r="C1120" t="s">
        <v>174</v>
      </c>
      <c r="D1120">
        <f t="shared" si="94"/>
        <v>45982</v>
      </c>
      <c r="E1120" t="s">
        <v>164</v>
      </c>
      <c r="F1120" t="s">
        <v>145</v>
      </c>
      <c r="G1120" t="s">
        <v>145</v>
      </c>
      <c r="H1120" t="s">
        <v>145</v>
      </c>
      <c r="I1120" s="420"/>
      <c r="J1120" s="420"/>
      <c r="K1120" s="420"/>
      <c r="L1120" s="559"/>
      <c r="M1120" s="559"/>
      <c r="N1120" s="559"/>
      <c r="Q1120" s="3"/>
      <c r="R1120" s="3"/>
    </row>
    <row r="1121" spans="1:18" ht="15" customHeight="1" thickBot="1" x14ac:dyDescent="0.3">
      <c r="A1121" s="753"/>
      <c r="C1121" s="546" t="s">
        <v>174</v>
      </c>
      <c r="D1121" s="547">
        <f t="shared" si="94"/>
        <v>45982</v>
      </c>
      <c r="E1121" s="539" t="s">
        <v>165</v>
      </c>
      <c r="F1121" s="539" t="s">
        <v>145</v>
      </c>
      <c r="G1121" s="539" t="s">
        <v>145</v>
      </c>
      <c r="H1121" s="539" t="s">
        <v>145</v>
      </c>
      <c r="I1121" s="543"/>
      <c r="J1121" s="542"/>
      <c r="K1121" s="544"/>
      <c r="L1121" s="560"/>
      <c r="M1121" s="561"/>
      <c r="N1121" s="562"/>
      <c r="O1121" s="548"/>
      <c r="P1121" s="549"/>
      <c r="Q1121" s="3"/>
      <c r="R1121" s="3"/>
    </row>
    <row r="1122" spans="1:18" x14ac:dyDescent="0.25">
      <c r="A1122" s="753"/>
      <c r="C1122" s="529" t="s">
        <v>174</v>
      </c>
      <c r="D1122" s="447">
        <f t="shared" si="94"/>
        <v>45982</v>
      </c>
      <c r="E1122" s="498" t="s">
        <v>166</v>
      </c>
      <c r="F1122" s="514" t="s">
        <v>145</v>
      </c>
      <c r="G1122" s="514" t="s">
        <v>145</v>
      </c>
      <c r="H1122" s="514" t="s">
        <v>145</v>
      </c>
      <c r="I1122" s="537"/>
      <c r="J1122" s="537"/>
      <c r="K1122" s="537"/>
      <c r="L1122" s="563"/>
      <c r="M1122" s="563"/>
      <c r="N1122" s="563"/>
    </row>
    <row r="1123" spans="1:18" x14ac:dyDescent="0.25">
      <c r="A1123" s="753"/>
      <c r="C1123" s="452" t="s">
        <v>174</v>
      </c>
      <c r="D1123" s="453">
        <f t="shared" si="94"/>
        <v>45982</v>
      </c>
      <c r="E1123" s="500" t="s">
        <v>576</v>
      </c>
      <c r="F1123" s="569" t="s">
        <v>145</v>
      </c>
      <c r="G1123" s="569" t="s">
        <v>145</v>
      </c>
      <c r="H1123" s="569" t="s">
        <v>145</v>
      </c>
      <c r="I1123" s="540"/>
      <c r="J1123" s="540"/>
      <c r="K1123" s="540"/>
      <c r="L1123" s="555"/>
      <c r="M1123" s="555"/>
      <c r="N1123" s="555"/>
    </row>
    <row r="1124" spans="1:18" x14ac:dyDescent="0.25">
      <c r="A1124" s="753"/>
      <c r="C1124" s="452" t="s">
        <v>174</v>
      </c>
      <c r="D1124" s="453">
        <f t="shared" si="94"/>
        <v>45982</v>
      </c>
      <c r="E1124" s="454" t="s">
        <v>167</v>
      </c>
      <c r="F1124" s="569" t="s">
        <v>145</v>
      </c>
      <c r="G1124" s="569" t="s">
        <v>145</v>
      </c>
      <c r="H1124" s="569" t="s">
        <v>145</v>
      </c>
      <c r="I1124" s="540"/>
      <c r="J1124" s="540"/>
      <c r="K1124" s="540"/>
      <c r="L1124" s="564"/>
      <c r="M1124" s="564"/>
      <c r="N1124" s="564"/>
    </row>
    <row r="1125" spans="1:18" x14ac:dyDescent="0.25">
      <c r="A1125" s="753"/>
      <c r="C1125" s="452" t="s">
        <v>174</v>
      </c>
      <c r="D1125" s="453">
        <f t="shared" si="94"/>
        <v>45982</v>
      </c>
      <c r="E1125" s="454" t="s">
        <v>168</v>
      </c>
      <c r="F1125" s="569" t="s">
        <v>145</v>
      </c>
      <c r="G1125" s="569" t="s">
        <v>145</v>
      </c>
      <c r="H1125" s="569" t="s">
        <v>145</v>
      </c>
      <c r="I1125" s="540"/>
      <c r="J1125" s="540"/>
      <c r="K1125" s="540"/>
      <c r="L1125" s="564"/>
      <c r="M1125" s="564"/>
      <c r="N1125" s="564"/>
    </row>
    <row r="1126" spans="1:18" x14ac:dyDescent="0.25">
      <c r="A1126" s="753"/>
      <c r="C1126" s="452" t="s">
        <v>174</v>
      </c>
      <c r="D1126" s="453">
        <f t="shared" si="94"/>
        <v>45982</v>
      </c>
      <c r="E1126" s="454" t="s">
        <v>169</v>
      </c>
      <c r="F1126" s="569" t="s">
        <v>145</v>
      </c>
      <c r="G1126" s="569" t="s">
        <v>145</v>
      </c>
      <c r="H1126" s="569" t="s">
        <v>145</v>
      </c>
      <c r="I1126" s="540"/>
      <c r="J1126" s="540"/>
      <c r="K1126" s="540"/>
      <c r="L1126" s="564"/>
      <c r="M1126" s="564"/>
      <c r="N1126" s="564"/>
    </row>
    <row r="1127" spans="1:18" x14ac:dyDescent="0.25">
      <c r="A1127" s="753"/>
      <c r="C1127" s="452" t="s">
        <v>174</v>
      </c>
      <c r="D1127" s="453">
        <f t="shared" si="94"/>
        <v>45982</v>
      </c>
      <c r="E1127" s="454" t="s">
        <v>170</v>
      </c>
      <c r="F1127" s="569" t="s">
        <v>145</v>
      </c>
      <c r="G1127" s="569" t="s">
        <v>145</v>
      </c>
      <c r="H1127" s="569" t="s">
        <v>145</v>
      </c>
      <c r="I1127" s="540"/>
      <c r="J1127" s="540"/>
      <c r="K1127" s="540"/>
      <c r="L1127" s="564"/>
      <c r="M1127" s="564"/>
      <c r="N1127" s="564"/>
    </row>
    <row r="1128" spans="1:18" x14ac:dyDescent="0.25">
      <c r="A1128" s="753"/>
      <c r="C1128" s="452" t="s">
        <v>174</v>
      </c>
      <c r="D1128" s="453">
        <f t="shared" si="94"/>
        <v>45982</v>
      </c>
      <c r="E1128" s="454" t="s">
        <v>585</v>
      </c>
      <c r="F1128" s="512" t="s">
        <v>145</v>
      </c>
      <c r="G1128" s="512" t="s">
        <v>145</v>
      </c>
      <c r="H1128" s="512" t="s">
        <v>145</v>
      </c>
      <c r="I1128" s="541"/>
      <c r="J1128" s="541"/>
      <c r="K1128" s="541"/>
      <c r="L1128" s="556"/>
      <c r="M1128" s="556"/>
      <c r="N1128" s="556"/>
    </row>
    <row r="1129" spans="1:18" x14ac:dyDescent="0.25">
      <c r="A1129" s="753"/>
      <c r="C1129" s="452" t="s">
        <v>174</v>
      </c>
      <c r="D1129" s="449">
        <f t="shared" si="94"/>
        <v>45982</v>
      </c>
      <c r="E1129" s="454" t="s">
        <v>574</v>
      </c>
      <c r="F1129" s="569" t="s">
        <v>145</v>
      </c>
      <c r="G1129" s="569" t="s">
        <v>145</v>
      </c>
      <c r="H1129" s="569" t="s">
        <v>145</v>
      </c>
      <c r="I1129" s="540"/>
      <c r="J1129" s="540"/>
      <c r="K1129" s="540"/>
      <c r="L1129" s="565"/>
      <c r="M1129" s="565"/>
      <c r="N1129" s="565"/>
    </row>
    <row r="1130" spans="1:18" x14ac:dyDescent="0.25">
      <c r="A1130" s="753"/>
      <c r="C1130" s="452" t="s">
        <v>174</v>
      </c>
      <c r="D1130" s="449">
        <f t="shared" si="94"/>
        <v>45982</v>
      </c>
      <c r="E1130" s="454" t="s">
        <v>575</v>
      </c>
      <c r="F1130" s="569" t="s">
        <v>145</v>
      </c>
      <c r="G1130" s="569" t="s">
        <v>145</v>
      </c>
      <c r="H1130" s="569" t="s">
        <v>145</v>
      </c>
      <c r="I1130" s="540"/>
      <c r="J1130" s="540"/>
      <c r="K1130" s="540"/>
      <c r="L1130" s="565"/>
      <c r="M1130" s="565"/>
      <c r="N1130" s="565"/>
    </row>
    <row r="1131" spans="1:18" x14ac:dyDescent="0.25">
      <c r="A1131" s="753"/>
      <c r="C1131" s="452" t="s">
        <v>174</v>
      </c>
      <c r="D1131" s="449">
        <f t="shared" si="94"/>
        <v>45982</v>
      </c>
      <c r="E1131" s="454" t="s">
        <v>583</v>
      </c>
      <c r="F1131" s="569" t="s">
        <v>145</v>
      </c>
      <c r="G1131" s="569" t="s">
        <v>145</v>
      </c>
      <c r="H1131" s="569" t="s">
        <v>145</v>
      </c>
      <c r="I1131" s="540"/>
      <c r="J1131" s="540"/>
      <c r="K1131" s="540"/>
      <c r="L1131" s="565"/>
      <c r="M1131" s="565"/>
      <c r="N1131" s="565"/>
    </row>
    <row r="1132" spans="1:18" x14ac:dyDescent="0.25">
      <c r="A1132" s="753"/>
      <c r="C1132" s="452" t="s">
        <v>174</v>
      </c>
      <c r="D1132" s="449">
        <f t="shared" si="94"/>
        <v>45982</v>
      </c>
      <c r="E1132" s="454" t="s">
        <v>584</v>
      </c>
      <c r="F1132" s="505" t="s">
        <v>145</v>
      </c>
      <c r="G1132" s="505" t="s">
        <v>145</v>
      </c>
      <c r="H1132" s="505" t="s">
        <v>145</v>
      </c>
      <c r="I1132" s="516"/>
      <c r="J1132" s="516"/>
      <c r="K1132" s="516"/>
      <c r="L1132" s="557"/>
      <c r="M1132" s="557"/>
      <c r="N1132" s="557"/>
    </row>
    <row r="1133" spans="1:18" x14ac:dyDescent="0.25">
      <c r="A1133" s="753"/>
      <c r="C1133" s="452"/>
      <c r="D1133" s="449"/>
      <c r="E1133" s="454"/>
      <c r="F1133" s="505"/>
      <c r="G1133" s="505"/>
      <c r="H1133" s="505"/>
      <c r="I1133" s="516"/>
      <c r="J1133" s="516"/>
      <c r="K1133" s="516"/>
      <c r="L1133" s="557"/>
      <c r="M1133" s="557"/>
      <c r="N1133" s="557"/>
    </row>
    <row r="1134" spans="1:18" x14ac:dyDescent="0.25">
      <c r="A1134" s="753" t="s">
        <v>925</v>
      </c>
      <c r="C1134" s="452" t="s">
        <v>161</v>
      </c>
      <c r="D1134" s="449">
        <f>Passado!D1131+3</f>
        <v>45985</v>
      </c>
      <c r="E1134" s="455" t="s">
        <v>573</v>
      </c>
      <c r="F1134" s="505" t="s">
        <v>145</v>
      </c>
      <c r="G1134" s="505" t="s">
        <v>145</v>
      </c>
      <c r="H1134" s="505" t="s">
        <v>145</v>
      </c>
      <c r="I1134" s="516"/>
      <c r="J1134" s="516"/>
      <c r="K1134" s="516"/>
      <c r="L1134" s="557"/>
      <c r="M1134" s="557"/>
      <c r="N1134" s="557"/>
    </row>
    <row r="1135" spans="1:18" x14ac:dyDescent="0.25">
      <c r="A1135" s="753"/>
      <c r="C1135" s="452" t="s">
        <v>161</v>
      </c>
      <c r="D1135" s="449">
        <f t="shared" ref="D1135:D1149" si="95">D1134</f>
        <v>45985</v>
      </c>
      <c r="E1135" s="455" t="s">
        <v>162</v>
      </c>
      <c r="F1135" s="506"/>
      <c r="G1135" s="506"/>
      <c r="H1135" s="506" t="s">
        <v>982</v>
      </c>
      <c r="I1135" s="516"/>
      <c r="J1135" s="516"/>
      <c r="K1135" s="516"/>
      <c r="L1135" s="557"/>
      <c r="M1135" s="557"/>
      <c r="N1135" s="557"/>
    </row>
    <row r="1136" spans="1:18" x14ac:dyDescent="0.25">
      <c r="A1136" s="753"/>
      <c r="C1136" s="452" t="s">
        <v>161</v>
      </c>
      <c r="D1136" s="502">
        <f t="shared" si="95"/>
        <v>45985</v>
      </c>
      <c r="E1136" s="503" t="s">
        <v>163</v>
      </c>
      <c r="F1136" s="506"/>
      <c r="G1136" s="506"/>
      <c r="H1136" s="506" t="s">
        <v>982</v>
      </c>
      <c r="I1136" s="516"/>
      <c r="J1136" s="516"/>
      <c r="K1136" s="516"/>
      <c r="L1136" s="557"/>
      <c r="M1136" s="557"/>
      <c r="N1136" s="557"/>
    </row>
    <row r="1137" spans="1:14" ht="15.75" thickBot="1" x14ac:dyDescent="0.3">
      <c r="A1137" s="753"/>
      <c r="C1137" s="530" t="s">
        <v>161</v>
      </c>
      <c r="D1137" s="451">
        <f t="shared" si="95"/>
        <v>45985</v>
      </c>
      <c r="E1137" s="459" t="s">
        <v>164</v>
      </c>
      <c r="F1137" s="493"/>
      <c r="G1137" s="493"/>
      <c r="H1137" s="493" t="s">
        <v>982</v>
      </c>
      <c r="I1137" s="513"/>
      <c r="J1137" s="513"/>
      <c r="K1137" s="513"/>
      <c r="L1137" s="558"/>
      <c r="M1137" s="558"/>
      <c r="N1137" s="558"/>
    </row>
    <row r="1138" spans="1:14" x14ac:dyDescent="0.25">
      <c r="C1138" t="s">
        <v>161</v>
      </c>
      <c r="D1138">
        <f t="shared" si="95"/>
        <v>45985</v>
      </c>
      <c r="E1138" t="s">
        <v>165</v>
      </c>
      <c r="H1138" t="s">
        <v>982</v>
      </c>
    </row>
    <row r="1139" spans="1:14" x14ac:dyDescent="0.25">
      <c r="C1139" t="s">
        <v>161</v>
      </c>
      <c r="D1139">
        <f t="shared" si="95"/>
        <v>45985</v>
      </c>
      <c r="E1139" t="s">
        <v>166</v>
      </c>
      <c r="H1139" t="s">
        <v>982</v>
      </c>
    </row>
    <row r="1140" spans="1:14" x14ac:dyDescent="0.25">
      <c r="C1140" t="s">
        <v>161</v>
      </c>
      <c r="D1140">
        <f t="shared" si="95"/>
        <v>45985</v>
      </c>
      <c r="E1140" t="s">
        <v>576</v>
      </c>
      <c r="F1140" t="s">
        <v>145</v>
      </c>
      <c r="G1140" t="s">
        <v>145</v>
      </c>
      <c r="H1140" t="s">
        <v>145</v>
      </c>
    </row>
    <row r="1141" spans="1:14" x14ac:dyDescent="0.25">
      <c r="C1141" t="s">
        <v>161</v>
      </c>
      <c r="D1141">
        <f t="shared" si="95"/>
        <v>45985</v>
      </c>
      <c r="E1141" t="s">
        <v>167</v>
      </c>
      <c r="H1141" t="s">
        <v>982</v>
      </c>
    </row>
    <row r="1142" spans="1:14" x14ac:dyDescent="0.25">
      <c r="C1142" t="s">
        <v>161</v>
      </c>
      <c r="D1142">
        <f t="shared" si="95"/>
        <v>45985</v>
      </c>
      <c r="E1142" t="s">
        <v>168</v>
      </c>
      <c r="H1142" t="s">
        <v>982</v>
      </c>
    </row>
    <row r="1143" spans="1:14" x14ac:dyDescent="0.25">
      <c r="C1143" t="s">
        <v>161</v>
      </c>
      <c r="D1143">
        <f t="shared" si="95"/>
        <v>45985</v>
      </c>
      <c r="E1143" t="s">
        <v>169</v>
      </c>
      <c r="H1143" t="s">
        <v>982</v>
      </c>
    </row>
    <row r="1144" spans="1:14" x14ac:dyDescent="0.25">
      <c r="C1144" t="s">
        <v>161</v>
      </c>
      <c r="D1144">
        <f t="shared" si="95"/>
        <v>45985</v>
      </c>
      <c r="E1144" t="s">
        <v>170</v>
      </c>
      <c r="H1144" t="s">
        <v>982</v>
      </c>
    </row>
    <row r="1145" spans="1:14" x14ac:dyDescent="0.25">
      <c r="C1145" t="s">
        <v>161</v>
      </c>
      <c r="D1145">
        <f t="shared" si="95"/>
        <v>45985</v>
      </c>
      <c r="E1145" t="s">
        <v>585</v>
      </c>
      <c r="F1145" t="s">
        <v>145</v>
      </c>
      <c r="G1145" t="s">
        <v>145</v>
      </c>
      <c r="H1145" t="s">
        <v>145</v>
      </c>
    </row>
    <row r="1146" spans="1:14" x14ac:dyDescent="0.25">
      <c r="C1146" t="s">
        <v>161</v>
      </c>
      <c r="D1146">
        <f t="shared" si="95"/>
        <v>45985</v>
      </c>
      <c r="E1146" t="s">
        <v>574</v>
      </c>
      <c r="F1146" t="s">
        <v>145</v>
      </c>
      <c r="G1146" t="s">
        <v>145</v>
      </c>
      <c r="H1146" t="s">
        <v>145</v>
      </c>
    </row>
    <row r="1147" spans="1:14" x14ac:dyDescent="0.25">
      <c r="C1147" t="s">
        <v>161</v>
      </c>
      <c r="D1147">
        <f t="shared" si="95"/>
        <v>45985</v>
      </c>
      <c r="E1147" t="s">
        <v>575</v>
      </c>
      <c r="F1147" t="s">
        <v>145</v>
      </c>
      <c r="G1147" t="s">
        <v>145</v>
      </c>
      <c r="H1147" t="s">
        <v>145</v>
      </c>
    </row>
    <row r="1148" spans="1:14" x14ac:dyDescent="0.25">
      <c r="C1148" t="s">
        <v>161</v>
      </c>
      <c r="D1148">
        <f t="shared" si="95"/>
        <v>45985</v>
      </c>
      <c r="E1148" t="s">
        <v>583</v>
      </c>
      <c r="F1148" t="s">
        <v>145</v>
      </c>
      <c r="G1148" t="s">
        <v>145</v>
      </c>
      <c r="H1148" t="s">
        <v>145</v>
      </c>
    </row>
    <row r="1149" spans="1:14" x14ac:dyDescent="0.25">
      <c r="C1149" t="s">
        <v>161</v>
      </c>
      <c r="D1149">
        <f t="shared" si="95"/>
        <v>45985</v>
      </c>
      <c r="E1149" t="s">
        <v>584</v>
      </c>
      <c r="F1149" t="s">
        <v>145</v>
      </c>
      <c r="G1149" t="s">
        <v>145</v>
      </c>
      <c r="H1149" t="s">
        <v>145</v>
      </c>
    </row>
    <row r="1151" spans="1:14" x14ac:dyDescent="0.25">
      <c r="C1151" t="s">
        <v>171</v>
      </c>
      <c r="D1151">
        <f>D1149+1</f>
        <v>45986</v>
      </c>
      <c r="E1151" t="s">
        <v>573</v>
      </c>
      <c r="F1151" t="s">
        <v>145</v>
      </c>
      <c r="G1151" t="s">
        <v>145</v>
      </c>
      <c r="H1151" t="s">
        <v>145</v>
      </c>
    </row>
    <row r="1152" spans="1:14" x14ac:dyDescent="0.25">
      <c r="C1152" t="s">
        <v>171</v>
      </c>
      <c r="D1152">
        <f t="shared" ref="D1152:D1166" si="96">D1151</f>
        <v>45986</v>
      </c>
      <c r="E1152" t="s">
        <v>162</v>
      </c>
      <c r="H1152" t="s">
        <v>1002</v>
      </c>
    </row>
    <row r="1153" spans="3:8" x14ac:dyDescent="0.25">
      <c r="C1153" t="s">
        <v>171</v>
      </c>
      <c r="D1153">
        <f t="shared" si="96"/>
        <v>45986</v>
      </c>
      <c r="E1153" t="s">
        <v>163</v>
      </c>
      <c r="H1153" t="s">
        <v>1002</v>
      </c>
    </row>
    <row r="1154" spans="3:8" x14ac:dyDescent="0.25">
      <c r="C1154" t="s">
        <v>171</v>
      </c>
      <c r="D1154">
        <f t="shared" si="96"/>
        <v>45986</v>
      </c>
      <c r="E1154" t="s">
        <v>164</v>
      </c>
      <c r="H1154" t="s">
        <v>1002</v>
      </c>
    </row>
    <row r="1155" spans="3:8" x14ac:dyDescent="0.25">
      <c r="C1155" t="s">
        <v>171</v>
      </c>
      <c r="D1155">
        <f t="shared" si="96"/>
        <v>45986</v>
      </c>
      <c r="E1155" t="s">
        <v>165</v>
      </c>
      <c r="H1155" t="s">
        <v>1002</v>
      </c>
    </row>
    <row r="1156" spans="3:8" x14ac:dyDescent="0.25">
      <c r="C1156" t="s">
        <v>171</v>
      </c>
      <c r="D1156">
        <f t="shared" si="96"/>
        <v>45986</v>
      </c>
      <c r="E1156" t="s">
        <v>166</v>
      </c>
      <c r="H1156" t="s">
        <v>1002</v>
      </c>
    </row>
    <row r="1157" spans="3:8" x14ac:dyDescent="0.25">
      <c r="C1157" t="s">
        <v>171</v>
      </c>
      <c r="D1157">
        <f t="shared" si="96"/>
        <v>45986</v>
      </c>
      <c r="E1157" t="s">
        <v>576</v>
      </c>
      <c r="F1157" t="s">
        <v>145</v>
      </c>
      <c r="G1157" t="s">
        <v>145</v>
      </c>
      <c r="H1157" t="s">
        <v>145</v>
      </c>
    </row>
    <row r="1158" spans="3:8" x14ac:dyDescent="0.25">
      <c r="C1158" t="s">
        <v>171</v>
      </c>
      <c r="D1158">
        <f t="shared" si="96"/>
        <v>45986</v>
      </c>
      <c r="E1158" t="s">
        <v>167</v>
      </c>
    </row>
    <row r="1159" spans="3:8" x14ac:dyDescent="0.25">
      <c r="C1159" t="s">
        <v>171</v>
      </c>
      <c r="D1159">
        <f t="shared" si="96"/>
        <v>45986</v>
      </c>
      <c r="E1159" t="s">
        <v>168</v>
      </c>
    </row>
    <row r="1160" spans="3:8" x14ac:dyDescent="0.25">
      <c r="C1160" t="s">
        <v>171</v>
      </c>
      <c r="D1160">
        <f t="shared" si="96"/>
        <v>45986</v>
      </c>
      <c r="E1160" t="s">
        <v>169</v>
      </c>
    </row>
    <row r="1161" spans="3:8" x14ac:dyDescent="0.25">
      <c r="C1161" t="s">
        <v>171</v>
      </c>
      <c r="D1161">
        <f t="shared" si="96"/>
        <v>45986</v>
      </c>
      <c r="E1161" t="s">
        <v>170</v>
      </c>
    </row>
    <row r="1162" spans="3:8" x14ac:dyDescent="0.25">
      <c r="C1162" t="s">
        <v>171</v>
      </c>
      <c r="D1162">
        <f t="shared" si="96"/>
        <v>45986</v>
      </c>
      <c r="E1162" t="s">
        <v>585</v>
      </c>
      <c r="F1162" t="s">
        <v>145</v>
      </c>
      <c r="G1162" t="s">
        <v>145</v>
      </c>
      <c r="H1162" t="s">
        <v>145</v>
      </c>
    </row>
    <row r="1163" spans="3:8" x14ac:dyDescent="0.25">
      <c r="C1163" t="s">
        <v>171</v>
      </c>
      <c r="D1163">
        <f t="shared" si="96"/>
        <v>45986</v>
      </c>
      <c r="E1163" t="s">
        <v>574</v>
      </c>
      <c r="F1163" t="s">
        <v>145</v>
      </c>
      <c r="G1163" t="s">
        <v>145</v>
      </c>
      <c r="H1163" t="s">
        <v>145</v>
      </c>
    </row>
    <row r="1164" spans="3:8" x14ac:dyDescent="0.25">
      <c r="C1164" t="s">
        <v>171</v>
      </c>
      <c r="D1164">
        <f t="shared" si="96"/>
        <v>45986</v>
      </c>
      <c r="E1164" t="s">
        <v>575</v>
      </c>
      <c r="F1164" t="s">
        <v>145</v>
      </c>
      <c r="G1164" t="s">
        <v>145</v>
      </c>
      <c r="H1164" t="s">
        <v>145</v>
      </c>
    </row>
    <row r="1165" spans="3:8" x14ac:dyDescent="0.25">
      <c r="C1165" t="s">
        <v>171</v>
      </c>
      <c r="D1165">
        <f t="shared" si="96"/>
        <v>45986</v>
      </c>
      <c r="E1165" t="s">
        <v>583</v>
      </c>
      <c r="F1165" t="s">
        <v>145</v>
      </c>
      <c r="G1165" t="s">
        <v>145</v>
      </c>
      <c r="H1165" t="s">
        <v>145</v>
      </c>
    </row>
    <row r="1166" spans="3:8" x14ac:dyDescent="0.25">
      <c r="C1166" t="s">
        <v>171</v>
      </c>
      <c r="D1166">
        <f t="shared" si="96"/>
        <v>45986</v>
      </c>
      <c r="E1166" t="s">
        <v>584</v>
      </c>
      <c r="F1166" t="s">
        <v>145</v>
      </c>
      <c r="G1166" t="s">
        <v>145</v>
      </c>
      <c r="H1166" t="s">
        <v>145</v>
      </c>
    </row>
    <row r="1168" spans="3:8" x14ac:dyDescent="0.25">
      <c r="C1168" t="s">
        <v>172</v>
      </c>
      <c r="D1168">
        <f>D1166+1</f>
        <v>45987</v>
      </c>
      <c r="E1168" t="s">
        <v>573</v>
      </c>
      <c r="F1168" t="s">
        <v>145</v>
      </c>
      <c r="G1168" t="s">
        <v>145</v>
      </c>
      <c r="H1168" t="s">
        <v>145</v>
      </c>
    </row>
    <row r="1169" spans="3:8" x14ac:dyDescent="0.25">
      <c r="C1169" t="s">
        <v>172</v>
      </c>
      <c r="D1169">
        <f t="shared" ref="D1169:D1183" si="97">D1168</f>
        <v>45987</v>
      </c>
      <c r="E1169" t="s">
        <v>162</v>
      </c>
      <c r="F1169" t="s">
        <v>1015</v>
      </c>
    </row>
    <row r="1170" spans="3:8" x14ac:dyDescent="0.25">
      <c r="C1170" t="s">
        <v>172</v>
      </c>
      <c r="D1170">
        <f t="shared" si="97"/>
        <v>45987</v>
      </c>
      <c r="E1170" t="s">
        <v>163</v>
      </c>
      <c r="F1170" t="s">
        <v>1015</v>
      </c>
    </row>
    <row r="1171" spans="3:8" x14ac:dyDescent="0.25">
      <c r="C1171" t="s">
        <v>172</v>
      </c>
      <c r="D1171">
        <f t="shared" si="97"/>
        <v>45987</v>
      </c>
      <c r="E1171" t="s">
        <v>164</v>
      </c>
      <c r="F1171" t="s">
        <v>1015</v>
      </c>
    </row>
    <row r="1172" spans="3:8" x14ac:dyDescent="0.25">
      <c r="C1172" t="s">
        <v>172</v>
      </c>
      <c r="D1172">
        <f t="shared" si="97"/>
        <v>45987</v>
      </c>
      <c r="E1172" t="s">
        <v>165</v>
      </c>
      <c r="F1172" t="s">
        <v>1015</v>
      </c>
    </row>
    <row r="1173" spans="3:8" x14ac:dyDescent="0.25">
      <c r="C1173" t="s">
        <v>172</v>
      </c>
      <c r="D1173">
        <f t="shared" si="97"/>
        <v>45987</v>
      </c>
      <c r="E1173" t="s">
        <v>166</v>
      </c>
      <c r="F1173" t="s">
        <v>1015</v>
      </c>
    </row>
    <row r="1174" spans="3:8" x14ac:dyDescent="0.25">
      <c r="C1174" t="s">
        <v>172</v>
      </c>
      <c r="D1174">
        <f t="shared" si="97"/>
        <v>45987</v>
      </c>
      <c r="E1174" t="s">
        <v>576</v>
      </c>
      <c r="F1174" t="s">
        <v>145</v>
      </c>
      <c r="G1174" t="s">
        <v>145</v>
      </c>
      <c r="H1174" t="s">
        <v>145</v>
      </c>
    </row>
    <row r="1175" spans="3:8" x14ac:dyDescent="0.25">
      <c r="C1175" t="s">
        <v>172</v>
      </c>
      <c r="D1175">
        <f t="shared" si="97"/>
        <v>45987</v>
      </c>
      <c r="E1175" t="s">
        <v>167</v>
      </c>
      <c r="F1175" t="s">
        <v>1015</v>
      </c>
      <c r="G1175" t="s">
        <v>1017</v>
      </c>
    </row>
    <row r="1176" spans="3:8" x14ac:dyDescent="0.25">
      <c r="C1176" t="s">
        <v>172</v>
      </c>
      <c r="D1176">
        <f t="shared" si="97"/>
        <v>45987</v>
      </c>
      <c r="E1176" t="s">
        <v>168</v>
      </c>
      <c r="F1176" t="s">
        <v>1016</v>
      </c>
      <c r="G1176" t="s">
        <v>1017</v>
      </c>
    </row>
    <row r="1177" spans="3:8" x14ac:dyDescent="0.25">
      <c r="C1177" t="s">
        <v>172</v>
      </c>
      <c r="D1177">
        <f t="shared" si="97"/>
        <v>45987</v>
      </c>
      <c r="E1177" t="s">
        <v>169</v>
      </c>
      <c r="F1177" t="s">
        <v>1016</v>
      </c>
      <c r="G1177" t="s">
        <v>1017</v>
      </c>
    </row>
    <row r="1178" spans="3:8" x14ac:dyDescent="0.25">
      <c r="C1178" t="s">
        <v>172</v>
      </c>
      <c r="D1178">
        <f t="shared" si="97"/>
        <v>45987</v>
      </c>
      <c r="E1178" t="s">
        <v>170</v>
      </c>
      <c r="F1178" t="s">
        <v>1016</v>
      </c>
      <c r="G1178" t="s">
        <v>1017</v>
      </c>
    </row>
    <row r="1179" spans="3:8" x14ac:dyDescent="0.25">
      <c r="C1179" t="s">
        <v>172</v>
      </c>
      <c r="D1179">
        <f t="shared" si="97"/>
        <v>45987</v>
      </c>
      <c r="E1179" t="s">
        <v>585</v>
      </c>
      <c r="F1179" t="s">
        <v>145</v>
      </c>
      <c r="G1179" t="s">
        <v>145</v>
      </c>
      <c r="H1179" t="s">
        <v>145</v>
      </c>
    </row>
    <row r="1180" spans="3:8" x14ac:dyDescent="0.25">
      <c r="C1180" t="s">
        <v>172</v>
      </c>
      <c r="D1180">
        <f t="shared" si="97"/>
        <v>45987</v>
      </c>
      <c r="E1180" t="s">
        <v>574</v>
      </c>
      <c r="F1180" t="s">
        <v>145</v>
      </c>
      <c r="G1180" t="s">
        <v>145</v>
      </c>
      <c r="H1180" t="s">
        <v>145</v>
      </c>
    </row>
    <row r="1181" spans="3:8" x14ac:dyDescent="0.25">
      <c r="C1181" t="s">
        <v>172</v>
      </c>
      <c r="D1181">
        <f t="shared" si="97"/>
        <v>45987</v>
      </c>
      <c r="E1181" t="s">
        <v>575</v>
      </c>
      <c r="F1181" t="s">
        <v>145</v>
      </c>
      <c r="G1181" t="s">
        <v>145</v>
      </c>
      <c r="H1181" t="s">
        <v>145</v>
      </c>
    </row>
    <row r="1182" spans="3:8" x14ac:dyDescent="0.25">
      <c r="C1182" t="s">
        <v>172</v>
      </c>
      <c r="D1182">
        <f t="shared" si="97"/>
        <v>45987</v>
      </c>
      <c r="E1182" t="s">
        <v>583</v>
      </c>
      <c r="F1182" t="s">
        <v>145</v>
      </c>
      <c r="G1182" t="s">
        <v>145</v>
      </c>
      <c r="H1182" t="s">
        <v>145</v>
      </c>
    </row>
    <row r="1183" spans="3:8" x14ac:dyDescent="0.25">
      <c r="C1183" t="s">
        <v>172</v>
      </c>
      <c r="D1183">
        <f t="shared" si="97"/>
        <v>45987</v>
      </c>
      <c r="E1183" t="s">
        <v>584</v>
      </c>
      <c r="F1183" t="s">
        <v>145</v>
      </c>
      <c r="G1183" t="s">
        <v>145</v>
      </c>
      <c r="H1183" t="s">
        <v>145</v>
      </c>
    </row>
    <row r="1185" spans="3:8" x14ac:dyDescent="0.25">
      <c r="C1185" t="s">
        <v>173</v>
      </c>
      <c r="D1185">
        <f>D1183+1</f>
        <v>45988</v>
      </c>
      <c r="E1185" t="s">
        <v>573</v>
      </c>
      <c r="F1185" t="s">
        <v>145</v>
      </c>
      <c r="G1185" t="s">
        <v>145</v>
      </c>
      <c r="H1185" t="s">
        <v>145</v>
      </c>
    </row>
    <row r="1186" spans="3:8" x14ac:dyDescent="0.25">
      <c r="C1186" t="s">
        <v>173</v>
      </c>
      <c r="D1186">
        <f t="shared" ref="D1186:D1200" si="98">D1185</f>
        <v>45988</v>
      </c>
      <c r="E1186" t="s">
        <v>162</v>
      </c>
      <c r="F1186" t="s">
        <v>978</v>
      </c>
      <c r="G1186" t="s">
        <v>1017</v>
      </c>
      <c r="H1186" t="s">
        <v>1019</v>
      </c>
    </row>
    <row r="1187" spans="3:8" x14ac:dyDescent="0.25">
      <c r="C1187" t="s">
        <v>173</v>
      </c>
      <c r="D1187">
        <f t="shared" si="98"/>
        <v>45988</v>
      </c>
      <c r="E1187" t="s">
        <v>163</v>
      </c>
      <c r="F1187" t="s">
        <v>978</v>
      </c>
      <c r="G1187" t="s">
        <v>1017</v>
      </c>
      <c r="H1187" t="s">
        <v>1019</v>
      </c>
    </row>
    <row r="1188" spans="3:8" x14ac:dyDescent="0.25">
      <c r="C1188" t="s">
        <v>173</v>
      </c>
      <c r="D1188">
        <f t="shared" si="98"/>
        <v>45988</v>
      </c>
      <c r="E1188" t="s">
        <v>164</v>
      </c>
      <c r="F1188" t="s">
        <v>978</v>
      </c>
      <c r="G1188" t="s">
        <v>1017</v>
      </c>
      <c r="H1188" t="s">
        <v>1019</v>
      </c>
    </row>
    <row r="1189" spans="3:8" x14ac:dyDescent="0.25">
      <c r="C1189" t="s">
        <v>173</v>
      </c>
      <c r="D1189">
        <f t="shared" si="98"/>
        <v>45988</v>
      </c>
      <c r="E1189" t="s">
        <v>165</v>
      </c>
      <c r="F1189" t="s">
        <v>978</v>
      </c>
      <c r="G1189" t="s">
        <v>1017</v>
      </c>
      <c r="H1189" t="s">
        <v>1019</v>
      </c>
    </row>
    <row r="1190" spans="3:8" x14ac:dyDescent="0.25">
      <c r="C1190" t="s">
        <v>173</v>
      </c>
      <c r="D1190">
        <f t="shared" si="98"/>
        <v>45988</v>
      </c>
      <c r="E1190" t="s">
        <v>166</v>
      </c>
      <c r="F1190" t="s">
        <v>1001</v>
      </c>
      <c r="G1190" t="s">
        <v>1017</v>
      </c>
      <c r="H1190" t="s">
        <v>1019</v>
      </c>
    </row>
    <row r="1191" spans="3:8" x14ac:dyDescent="0.25">
      <c r="C1191" t="s">
        <v>173</v>
      </c>
      <c r="D1191">
        <f t="shared" si="98"/>
        <v>45988</v>
      </c>
      <c r="E1191" t="s">
        <v>576</v>
      </c>
      <c r="F1191" t="s">
        <v>145</v>
      </c>
      <c r="G1191" t="s">
        <v>145</v>
      </c>
      <c r="H1191" t="s">
        <v>145</v>
      </c>
    </row>
    <row r="1192" spans="3:8" x14ac:dyDescent="0.25">
      <c r="C1192" t="s">
        <v>173</v>
      </c>
      <c r="D1192">
        <f t="shared" si="98"/>
        <v>45988</v>
      </c>
      <c r="E1192" t="s">
        <v>167</v>
      </c>
      <c r="F1192" t="s">
        <v>1001</v>
      </c>
    </row>
    <row r="1193" spans="3:8" x14ac:dyDescent="0.25">
      <c r="C1193" t="s">
        <v>173</v>
      </c>
      <c r="D1193">
        <f t="shared" si="98"/>
        <v>45988</v>
      </c>
      <c r="E1193" t="s">
        <v>168</v>
      </c>
      <c r="F1193" t="s">
        <v>1001</v>
      </c>
    </row>
    <row r="1194" spans="3:8" x14ac:dyDescent="0.25">
      <c r="C1194" t="s">
        <v>173</v>
      </c>
      <c r="D1194">
        <f t="shared" si="98"/>
        <v>45988</v>
      </c>
      <c r="E1194" t="s">
        <v>169</v>
      </c>
      <c r="F1194" t="s">
        <v>1001</v>
      </c>
    </row>
    <row r="1195" spans="3:8" x14ac:dyDescent="0.25">
      <c r="C1195" t="s">
        <v>173</v>
      </c>
      <c r="D1195">
        <f t="shared" si="98"/>
        <v>45988</v>
      </c>
      <c r="E1195" t="s">
        <v>170</v>
      </c>
      <c r="F1195" t="s">
        <v>1001</v>
      </c>
    </row>
    <row r="1196" spans="3:8" x14ac:dyDescent="0.25">
      <c r="C1196" t="s">
        <v>173</v>
      </c>
      <c r="D1196">
        <f t="shared" si="98"/>
        <v>45988</v>
      </c>
      <c r="E1196" t="s">
        <v>585</v>
      </c>
      <c r="F1196" t="s">
        <v>145</v>
      </c>
      <c r="G1196" t="s">
        <v>145</v>
      </c>
      <c r="H1196" t="s">
        <v>145</v>
      </c>
    </row>
    <row r="1197" spans="3:8" x14ac:dyDescent="0.25">
      <c r="C1197" t="s">
        <v>173</v>
      </c>
      <c r="D1197">
        <f t="shared" si="98"/>
        <v>45988</v>
      </c>
      <c r="E1197" t="s">
        <v>574</v>
      </c>
      <c r="F1197" t="s">
        <v>145</v>
      </c>
      <c r="G1197" t="s">
        <v>145</v>
      </c>
      <c r="H1197" t="s">
        <v>145</v>
      </c>
    </row>
    <row r="1198" spans="3:8" x14ac:dyDescent="0.25">
      <c r="C1198" t="s">
        <v>173</v>
      </c>
      <c r="D1198">
        <f t="shared" si="98"/>
        <v>45988</v>
      </c>
      <c r="E1198" t="s">
        <v>575</v>
      </c>
      <c r="F1198" t="s">
        <v>145</v>
      </c>
      <c r="G1198" t="s">
        <v>145</v>
      </c>
      <c r="H1198" t="s">
        <v>145</v>
      </c>
    </row>
    <row r="1199" spans="3:8" x14ac:dyDescent="0.25">
      <c r="C1199" t="s">
        <v>173</v>
      </c>
      <c r="D1199">
        <f t="shared" si="98"/>
        <v>45988</v>
      </c>
      <c r="E1199" t="s">
        <v>583</v>
      </c>
      <c r="F1199" t="s">
        <v>145</v>
      </c>
      <c r="G1199" t="s">
        <v>145</v>
      </c>
      <c r="H1199" t="s">
        <v>145</v>
      </c>
    </row>
    <row r="1200" spans="3:8" x14ac:dyDescent="0.25">
      <c r="C1200" t="s">
        <v>173</v>
      </c>
      <c r="D1200">
        <f t="shared" si="98"/>
        <v>45988</v>
      </c>
      <c r="E1200" t="s">
        <v>584</v>
      </c>
      <c r="F1200" t="s">
        <v>145</v>
      </c>
      <c r="G1200" t="s">
        <v>145</v>
      </c>
      <c r="H1200" t="s">
        <v>145</v>
      </c>
    </row>
    <row r="1202" spans="3:8" x14ac:dyDescent="0.25">
      <c r="C1202" t="s">
        <v>174</v>
      </c>
      <c r="D1202">
        <f>D1199+1</f>
        <v>45989</v>
      </c>
      <c r="E1202" t="s">
        <v>573</v>
      </c>
      <c r="F1202" t="s">
        <v>145</v>
      </c>
      <c r="G1202" t="s">
        <v>145</v>
      </c>
      <c r="H1202" t="s">
        <v>145</v>
      </c>
    </row>
    <row r="1203" spans="3:8" x14ac:dyDescent="0.25">
      <c r="C1203" t="s">
        <v>174</v>
      </c>
      <c r="D1203">
        <f t="shared" ref="D1203:D1217" si="99">D1202</f>
        <v>45989</v>
      </c>
      <c r="E1203" t="s">
        <v>162</v>
      </c>
      <c r="F1203" t="s">
        <v>1026</v>
      </c>
    </row>
    <row r="1204" spans="3:8" x14ac:dyDescent="0.25">
      <c r="C1204" t="s">
        <v>174</v>
      </c>
      <c r="D1204">
        <f t="shared" si="99"/>
        <v>45989</v>
      </c>
      <c r="E1204" t="s">
        <v>163</v>
      </c>
      <c r="F1204" t="s">
        <v>1026</v>
      </c>
    </row>
    <row r="1205" spans="3:8" x14ac:dyDescent="0.25">
      <c r="C1205" t="s">
        <v>174</v>
      </c>
      <c r="D1205">
        <f t="shared" si="99"/>
        <v>45989</v>
      </c>
      <c r="E1205" t="s">
        <v>164</v>
      </c>
      <c r="F1205" t="s">
        <v>1026</v>
      </c>
      <c r="G1205" t="s">
        <v>1017</v>
      </c>
    </row>
    <row r="1206" spans="3:8" x14ac:dyDescent="0.25">
      <c r="C1206" t="s">
        <v>174</v>
      </c>
      <c r="D1206">
        <f t="shared" si="99"/>
        <v>45989</v>
      </c>
      <c r="E1206" t="s">
        <v>165</v>
      </c>
      <c r="F1206" t="s">
        <v>1026</v>
      </c>
    </row>
    <row r="1207" spans="3:8" x14ac:dyDescent="0.25">
      <c r="C1207" t="s">
        <v>174</v>
      </c>
      <c r="D1207">
        <f t="shared" si="99"/>
        <v>45989</v>
      </c>
      <c r="E1207" t="s">
        <v>166</v>
      </c>
      <c r="G1207" t="s">
        <v>1017</v>
      </c>
    </row>
    <row r="1208" spans="3:8" x14ac:dyDescent="0.25">
      <c r="C1208" t="s">
        <v>174</v>
      </c>
      <c r="D1208">
        <f t="shared" si="99"/>
        <v>45989</v>
      </c>
      <c r="E1208" t="s">
        <v>576</v>
      </c>
      <c r="F1208" t="s">
        <v>145</v>
      </c>
      <c r="G1208" t="s">
        <v>145</v>
      </c>
      <c r="H1208" t="s">
        <v>145</v>
      </c>
    </row>
    <row r="1209" spans="3:8" x14ac:dyDescent="0.25">
      <c r="C1209" t="s">
        <v>174</v>
      </c>
      <c r="D1209">
        <f t="shared" si="99"/>
        <v>45989</v>
      </c>
      <c r="E1209" t="s">
        <v>167</v>
      </c>
    </row>
    <row r="1210" spans="3:8" x14ac:dyDescent="0.25">
      <c r="C1210" t="s">
        <v>174</v>
      </c>
      <c r="D1210">
        <f t="shared" si="99"/>
        <v>45989</v>
      </c>
      <c r="E1210" t="s">
        <v>168</v>
      </c>
      <c r="G1210" t="s">
        <v>1017</v>
      </c>
    </row>
    <row r="1211" spans="3:8" x14ac:dyDescent="0.25">
      <c r="C1211" t="s">
        <v>174</v>
      </c>
      <c r="D1211">
        <f t="shared" si="99"/>
        <v>45989</v>
      </c>
      <c r="E1211" t="s">
        <v>169</v>
      </c>
    </row>
    <row r="1212" spans="3:8" x14ac:dyDescent="0.25">
      <c r="C1212" t="s">
        <v>174</v>
      </c>
      <c r="D1212">
        <f t="shared" si="99"/>
        <v>45989</v>
      </c>
      <c r="E1212" t="s">
        <v>170</v>
      </c>
      <c r="G1212" t="s">
        <v>1017</v>
      </c>
    </row>
    <row r="1213" spans="3:8" x14ac:dyDescent="0.25">
      <c r="C1213" t="s">
        <v>174</v>
      </c>
      <c r="D1213">
        <f t="shared" si="99"/>
        <v>45989</v>
      </c>
      <c r="E1213" t="s">
        <v>585</v>
      </c>
      <c r="F1213" t="s">
        <v>145</v>
      </c>
      <c r="G1213" t="s">
        <v>145</v>
      </c>
      <c r="H1213" t="s">
        <v>145</v>
      </c>
    </row>
    <row r="1214" spans="3:8" x14ac:dyDescent="0.25">
      <c r="C1214" t="s">
        <v>174</v>
      </c>
      <c r="D1214">
        <f t="shared" si="99"/>
        <v>45989</v>
      </c>
      <c r="E1214" t="s">
        <v>574</v>
      </c>
      <c r="F1214" t="s">
        <v>145</v>
      </c>
      <c r="G1214" t="s">
        <v>145</v>
      </c>
      <c r="H1214" t="s">
        <v>145</v>
      </c>
    </row>
    <row r="1215" spans="3:8" x14ac:dyDescent="0.25">
      <c r="C1215" t="s">
        <v>174</v>
      </c>
      <c r="D1215">
        <f t="shared" si="99"/>
        <v>45989</v>
      </c>
      <c r="E1215" t="s">
        <v>575</v>
      </c>
      <c r="F1215" t="s">
        <v>145</v>
      </c>
      <c r="G1215" t="s">
        <v>145</v>
      </c>
      <c r="H1215" t="s">
        <v>145</v>
      </c>
    </row>
    <row r="1216" spans="3:8" x14ac:dyDescent="0.25">
      <c r="C1216" t="s">
        <v>174</v>
      </c>
      <c r="D1216">
        <f t="shared" si="99"/>
        <v>45989</v>
      </c>
      <c r="E1216" t="s">
        <v>583</v>
      </c>
      <c r="F1216" t="s">
        <v>145</v>
      </c>
      <c r="G1216" t="s">
        <v>145</v>
      </c>
      <c r="H1216" t="s">
        <v>145</v>
      </c>
    </row>
    <row r="1217" spans="1:18" x14ac:dyDescent="0.25">
      <c r="C1217" t="s">
        <v>174</v>
      </c>
      <c r="D1217">
        <f t="shared" si="99"/>
        <v>45989</v>
      </c>
      <c r="E1217" t="s">
        <v>584</v>
      </c>
      <c r="F1217" t="s">
        <v>145</v>
      </c>
      <c r="G1217" t="s">
        <v>145</v>
      </c>
      <c r="H1217" t="s">
        <v>145</v>
      </c>
    </row>
    <row r="1218" spans="1:18" ht="15.75" thickBot="1" x14ac:dyDescent="0.3"/>
    <row r="1219" spans="1:18" ht="15" customHeight="1" thickBot="1" x14ac:dyDescent="0.3">
      <c r="A1219" s="753" t="s">
        <v>932</v>
      </c>
      <c r="C1219" s="538" t="s">
        <v>161</v>
      </c>
      <c r="D1219" s="539">
        <v>45992</v>
      </c>
      <c r="E1219" s="539" t="s">
        <v>573</v>
      </c>
      <c r="F1219" s="539" t="s">
        <v>145</v>
      </c>
      <c r="G1219" s="539" t="s">
        <v>145</v>
      </c>
      <c r="H1219" s="539" t="s">
        <v>145</v>
      </c>
      <c r="I1219" s="543"/>
      <c r="J1219" s="542"/>
      <c r="K1219" s="544"/>
      <c r="L1219" s="560"/>
      <c r="M1219" s="561"/>
      <c r="N1219" s="562"/>
      <c r="O1219" s="548"/>
      <c r="P1219" s="549"/>
      <c r="Q1219" s="3"/>
      <c r="R1219" s="3"/>
    </row>
    <row r="1220" spans="1:18" x14ac:dyDescent="0.25">
      <c r="A1220" s="753"/>
      <c r="C1220" s="496" t="s">
        <v>161</v>
      </c>
      <c r="D1220" s="507">
        <f t="shared" ref="D1220:D1234" si="100">D1219</f>
        <v>45992</v>
      </c>
      <c r="E1220" s="498" t="s">
        <v>162</v>
      </c>
      <c r="F1220" s="514" t="s">
        <v>1027</v>
      </c>
      <c r="G1220" s="514" t="s">
        <v>1017</v>
      </c>
      <c r="H1220" s="515"/>
      <c r="I1220" s="537"/>
      <c r="J1220" s="537"/>
      <c r="K1220" s="537"/>
      <c r="L1220" s="563"/>
      <c r="M1220" s="563"/>
      <c r="N1220" s="563"/>
    </row>
    <row r="1221" spans="1:18" x14ac:dyDescent="0.25">
      <c r="A1221" s="753"/>
      <c r="C1221" s="525" t="s">
        <v>161</v>
      </c>
      <c r="D1221" s="499">
        <f t="shared" si="100"/>
        <v>45992</v>
      </c>
      <c r="E1221" s="500" t="s">
        <v>163</v>
      </c>
      <c r="F1221" s="460" t="s">
        <v>1027</v>
      </c>
      <c r="G1221" s="460" t="s">
        <v>1017</v>
      </c>
      <c r="H1221" s="460"/>
      <c r="I1221" s="540"/>
      <c r="J1221" s="540"/>
      <c r="K1221" s="540"/>
      <c r="L1221" s="555"/>
      <c r="M1221" s="555"/>
      <c r="N1221" s="555"/>
    </row>
    <row r="1222" spans="1:18" x14ac:dyDescent="0.25">
      <c r="A1222" s="753"/>
      <c r="C1222" s="526" t="s">
        <v>161</v>
      </c>
      <c r="D1222" s="449">
        <f t="shared" si="100"/>
        <v>45992</v>
      </c>
      <c r="E1222" s="454" t="s">
        <v>164</v>
      </c>
      <c r="F1222" s="460" t="s">
        <v>1027</v>
      </c>
      <c r="G1222" s="460" t="s">
        <v>1017</v>
      </c>
      <c r="H1222" s="460"/>
      <c r="I1222" s="540"/>
      <c r="J1222" s="540"/>
      <c r="K1222" s="540"/>
      <c r="L1222" s="564"/>
      <c r="M1222" s="564"/>
      <c r="N1222" s="564"/>
    </row>
    <row r="1223" spans="1:18" x14ac:dyDescent="0.25">
      <c r="A1223" s="753"/>
      <c r="C1223" s="526" t="s">
        <v>161</v>
      </c>
      <c r="D1223" s="449">
        <f t="shared" si="100"/>
        <v>45992</v>
      </c>
      <c r="E1223" s="454" t="s">
        <v>165</v>
      </c>
      <c r="F1223" s="460" t="s">
        <v>1027</v>
      </c>
      <c r="G1223" s="460" t="s">
        <v>1017</v>
      </c>
      <c r="H1223" s="460"/>
      <c r="I1223" s="540"/>
      <c r="J1223" s="540"/>
      <c r="K1223" s="540"/>
      <c r="L1223" s="564"/>
      <c r="M1223" s="564"/>
      <c r="N1223" s="564"/>
    </row>
    <row r="1224" spans="1:18" x14ac:dyDescent="0.25">
      <c r="A1224" s="753"/>
      <c r="C1224" s="526" t="s">
        <v>161</v>
      </c>
      <c r="D1224" s="449">
        <f t="shared" si="100"/>
        <v>45992</v>
      </c>
      <c r="E1224" s="454" t="s">
        <v>166</v>
      </c>
      <c r="F1224" s="460" t="s">
        <v>1027</v>
      </c>
      <c r="G1224" s="460" t="s">
        <v>1017</v>
      </c>
      <c r="H1224" s="460"/>
      <c r="I1224" s="540"/>
      <c r="J1224" s="540"/>
      <c r="K1224" s="540"/>
      <c r="L1224" s="564"/>
      <c r="M1224" s="564"/>
      <c r="N1224" s="564"/>
    </row>
    <row r="1225" spans="1:18" x14ac:dyDescent="0.25">
      <c r="A1225" s="753"/>
      <c r="C1225" s="526" t="s">
        <v>161</v>
      </c>
      <c r="D1225" s="449">
        <f t="shared" si="100"/>
        <v>45992</v>
      </c>
      <c r="E1225" s="454" t="s">
        <v>576</v>
      </c>
      <c r="F1225" s="460" t="s">
        <v>145</v>
      </c>
      <c r="G1225" s="460" t="s">
        <v>145</v>
      </c>
      <c r="H1225" s="460" t="s">
        <v>145</v>
      </c>
      <c r="I1225" s="540"/>
      <c r="J1225" s="540"/>
      <c r="K1225" s="540"/>
      <c r="L1225" s="564"/>
      <c r="M1225" s="564"/>
      <c r="N1225" s="564"/>
    </row>
    <row r="1226" spans="1:18" x14ac:dyDescent="0.25">
      <c r="A1226" s="753"/>
      <c r="C1226" s="526" t="s">
        <v>161</v>
      </c>
      <c r="D1226" s="449">
        <f t="shared" si="100"/>
        <v>45992</v>
      </c>
      <c r="E1226" s="454" t="s">
        <v>167</v>
      </c>
      <c r="F1226" s="512" t="s">
        <v>1020</v>
      </c>
      <c r="G1226" s="512" t="s">
        <v>1018</v>
      </c>
      <c r="H1226" s="505"/>
      <c r="I1226" s="554"/>
      <c r="J1226" s="541"/>
      <c r="K1226" s="541"/>
      <c r="L1226" s="556"/>
      <c r="M1226" s="556"/>
      <c r="N1226" s="556"/>
    </row>
    <row r="1227" spans="1:18" x14ac:dyDescent="0.25">
      <c r="A1227" s="753"/>
      <c r="C1227" s="527" t="s">
        <v>161</v>
      </c>
      <c r="D1227" s="449">
        <f t="shared" si="100"/>
        <v>45992</v>
      </c>
      <c r="E1227" s="454" t="s">
        <v>168</v>
      </c>
      <c r="F1227" s="460" t="s">
        <v>1020</v>
      </c>
      <c r="G1227" s="460" t="s">
        <v>1018</v>
      </c>
      <c r="H1227" s="460"/>
      <c r="I1227" s="540"/>
      <c r="J1227" s="540"/>
      <c r="K1227" s="540"/>
      <c r="L1227" s="565"/>
      <c r="M1227" s="565"/>
      <c r="N1227" s="565"/>
    </row>
    <row r="1228" spans="1:18" x14ac:dyDescent="0.25">
      <c r="A1228" s="753"/>
      <c r="C1228" s="527" t="s">
        <v>161</v>
      </c>
      <c r="D1228" s="449">
        <f t="shared" si="100"/>
        <v>45992</v>
      </c>
      <c r="E1228" s="454" t="s">
        <v>169</v>
      </c>
      <c r="F1228" s="460" t="s">
        <v>1020</v>
      </c>
      <c r="G1228" s="460" t="s">
        <v>1018</v>
      </c>
      <c r="H1228" s="461"/>
      <c r="I1228" s="540"/>
      <c r="J1228" s="540"/>
      <c r="K1228" s="540"/>
      <c r="L1228" s="565"/>
      <c r="M1228" s="565"/>
      <c r="N1228" s="565"/>
    </row>
    <row r="1229" spans="1:18" x14ac:dyDescent="0.25">
      <c r="A1229" s="753"/>
      <c r="C1229" s="527" t="s">
        <v>161</v>
      </c>
      <c r="D1229" s="449">
        <f t="shared" si="100"/>
        <v>45992</v>
      </c>
      <c r="E1229" s="454" t="s">
        <v>170</v>
      </c>
      <c r="F1229" s="460" t="s">
        <v>1020</v>
      </c>
      <c r="G1229" s="460" t="s">
        <v>1018</v>
      </c>
      <c r="H1229" s="461"/>
      <c r="I1229" s="540"/>
      <c r="J1229" s="540"/>
      <c r="K1229" s="540"/>
      <c r="L1229" s="565"/>
      <c r="M1229" s="565"/>
      <c r="N1229" s="565"/>
    </row>
    <row r="1230" spans="1:18" x14ac:dyDescent="0.25">
      <c r="A1230" s="753"/>
      <c r="C1230" s="527" t="s">
        <v>161</v>
      </c>
      <c r="D1230" s="449">
        <f t="shared" si="100"/>
        <v>45992</v>
      </c>
      <c r="E1230" s="454" t="s">
        <v>585</v>
      </c>
      <c r="F1230" s="460" t="s">
        <v>145</v>
      </c>
      <c r="G1230" s="460" t="s">
        <v>145</v>
      </c>
      <c r="H1230" s="504" t="s">
        <v>145</v>
      </c>
      <c r="I1230" s="540"/>
      <c r="J1230" s="540"/>
      <c r="K1230" s="540"/>
      <c r="L1230" s="566"/>
      <c r="M1230" s="566"/>
      <c r="N1230" s="566"/>
    </row>
    <row r="1231" spans="1:18" x14ac:dyDescent="0.25">
      <c r="A1231" s="753"/>
      <c r="C1231" s="527" t="s">
        <v>161</v>
      </c>
      <c r="D1231" s="449">
        <f t="shared" si="100"/>
        <v>45992</v>
      </c>
      <c r="E1231" s="454" t="s">
        <v>574</v>
      </c>
      <c r="F1231" s="505" t="s">
        <v>145</v>
      </c>
      <c r="G1231" s="516" t="s">
        <v>145</v>
      </c>
      <c r="H1231" s="516" t="s">
        <v>145</v>
      </c>
      <c r="I1231" s="516"/>
      <c r="J1231" s="516"/>
      <c r="K1231" s="516"/>
      <c r="L1231" s="557"/>
      <c r="M1231" s="557"/>
      <c r="N1231" s="557"/>
    </row>
    <row r="1232" spans="1:18" x14ac:dyDescent="0.25">
      <c r="A1232" s="753"/>
      <c r="C1232" s="527" t="s">
        <v>161</v>
      </c>
      <c r="D1232" s="449">
        <f t="shared" si="100"/>
        <v>45992</v>
      </c>
      <c r="E1232" s="455" t="s">
        <v>575</v>
      </c>
      <c r="F1232" s="505" t="s">
        <v>145</v>
      </c>
      <c r="G1232" s="516" t="s">
        <v>145</v>
      </c>
      <c r="H1232" s="516" t="s">
        <v>145</v>
      </c>
      <c r="I1232" s="516"/>
      <c r="J1232" s="516"/>
      <c r="K1232" s="516"/>
      <c r="L1232" s="557"/>
      <c r="M1232" s="557"/>
      <c r="N1232" s="557"/>
    </row>
    <row r="1233" spans="1:18" x14ac:dyDescent="0.25">
      <c r="A1233" s="753"/>
      <c r="C1233" s="527" t="s">
        <v>161</v>
      </c>
      <c r="D1233" s="449">
        <f t="shared" si="100"/>
        <v>45992</v>
      </c>
      <c r="E1233" s="455" t="s">
        <v>583</v>
      </c>
      <c r="F1233" s="506" t="s">
        <v>145</v>
      </c>
      <c r="G1233" s="506" t="s">
        <v>145</v>
      </c>
      <c r="H1233" s="516" t="s">
        <v>145</v>
      </c>
      <c r="I1233" s="516"/>
      <c r="J1233" s="516"/>
      <c r="K1233" s="516"/>
      <c r="L1233" s="557"/>
      <c r="M1233" s="557"/>
      <c r="N1233" s="557"/>
    </row>
    <row r="1234" spans="1:18" x14ac:dyDescent="0.25">
      <c r="A1234" s="753"/>
      <c r="C1234" s="527" t="s">
        <v>161</v>
      </c>
      <c r="D1234" s="449">
        <f t="shared" si="100"/>
        <v>45992</v>
      </c>
      <c r="E1234" s="503" t="s">
        <v>584</v>
      </c>
      <c r="F1234" s="506" t="s">
        <v>145</v>
      </c>
      <c r="G1234" s="506" t="s">
        <v>145</v>
      </c>
      <c r="H1234" s="516" t="s">
        <v>145</v>
      </c>
      <c r="I1234" s="516"/>
      <c r="J1234" s="516"/>
      <c r="K1234" s="516"/>
      <c r="L1234" s="557"/>
      <c r="M1234" s="557"/>
      <c r="N1234" s="557"/>
    </row>
    <row r="1235" spans="1:18" ht="15.75" thickBot="1" x14ac:dyDescent="0.3">
      <c r="A1235" s="753"/>
      <c r="C1235" s="528"/>
      <c r="D1235" s="451"/>
      <c r="E1235" s="459"/>
      <c r="F1235" s="493"/>
      <c r="G1235" s="493"/>
      <c r="H1235" s="513"/>
      <c r="I1235" s="513"/>
      <c r="J1235" s="513"/>
      <c r="K1235" s="513"/>
      <c r="L1235" s="558"/>
      <c r="M1235" s="558"/>
      <c r="N1235" s="558"/>
    </row>
    <row r="1236" spans="1:18" ht="4.5" customHeight="1" thickBot="1" x14ac:dyDescent="0.3">
      <c r="A1236" s="753"/>
      <c r="C1236" t="s">
        <v>171</v>
      </c>
      <c r="D1236">
        <f>D1234+1</f>
        <v>45993</v>
      </c>
      <c r="E1236" t="s">
        <v>573</v>
      </c>
      <c r="F1236" t="s">
        <v>1020</v>
      </c>
      <c r="G1236" t="s">
        <v>1018</v>
      </c>
      <c r="H1236" t="s">
        <v>145</v>
      </c>
      <c r="L1236" s="559"/>
      <c r="M1236" s="559"/>
      <c r="N1236" s="559"/>
      <c r="Q1236" s="3"/>
      <c r="R1236" s="3"/>
    </row>
    <row r="1237" spans="1:18" ht="15" customHeight="1" thickBot="1" x14ac:dyDescent="0.3">
      <c r="A1237" s="753"/>
      <c r="C1237" s="538" t="s">
        <v>171</v>
      </c>
      <c r="D1237" s="539">
        <f t="shared" ref="D1237:D1251" si="101">D1236</f>
        <v>45993</v>
      </c>
      <c r="E1237" s="539" t="s">
        <v>162</v>
      </c>
      <c r="F1237" s="539" t="s">
        <v>1020</v>
      </c>
      <c r="G1237" s="539" t="s">
        <v>1018</v>
      </c>
      <c r="H1237" s="539"/>
      <c r="I1237" s="543"/>
      <c r="J1237" s="542"/>
      <c r="K1237" s="544"/>
      <c r="L1237" s="560"/>
      <c r="M1237" s="561"/>
      <c r="N1237" s="562"/>
      <c r="O1237" s="548"/>
      <c r="P1237" s="549"/>
      <c r="Q1237" s="3"/>
      <c r="R1237" s="3"/>
    </row>
    <row r="1238" spans="1:18" x14ac:dyDescent="0.25">
      <c r="A1238" s="753"/>
      <c r="C1238" s="446" t="s">
        <v>171</v>
      </c>
      <c r="D1238" s="497">
        <f t="shared" si="101"/>
        <v>45993</v>
      </c>
      <c r="E1238" s="498" t="s">
        <v>163</v>
      </c>
      <c r="F1238" s="514" t="s">
        <v>1020</v>
      </c>
      <c r="G1238" s="514" t="s">
        <v>1018</v>
      </c>
      <c r="H1238" s="515"/>
      <c r="I1238" s="537"/>
      <c r="J1238" s="537"/>
      <c r="K1238" s="537"/>
      <c r="L1238" s="563"/>
      <c r="M1238" s="563"/>
      <c r="N1238" s="563"/>
    </row>
    <row r="1239" spans="1:18" x14ac:dyDescent="0.25">
      <c r="A1239" s="753"/>
      <c r="C1239" s="452" t="s">
        <v>171</v>
      </c>
      <c r="D1239" s="499">
        <f t="shared" si="101"/>
        <v>45993</v>
      </c>
      <c r="E1239" s="500" t="s">
        <v>164</v>
      </c>
      <c r="F1239" s="460" t="s">
        <v>1020</v>
      </c>
      <c r="G1239" s="460" t="s">
        <v>1018</v>
      </c>
      <c r="H1239" s="501"/>
      <c r="I1239" s="540"/>
      <c r="J1239" s="540"/>
      <c r="K1239" s="540"/>
      <c r="L1239" s="555"/>
      <c r="M1239" s="555"/>
      <c r="N1239" s="555"/>
    </row>
    <row r="1240" spans="1:18" x14ac:dyDescent="0.25">
      <c r="A1240" s="753"/>
      <c r="C1240" s="452" t="s">
        <v>171</v>
      </c>
      <c r="D1240" s="449">
        <f t="shared" si="101"/>
        <v>45993</v>
      </c>
      <c r="E1240" s="454" t="s">
        <v>165</v>
      </c>
      <c r="F1240" s="460" t="s">
        <v>1020</v>
      </c>
      <c r="G1240" s="460" t="s">
        <v>1018</v>
      </c>
      <c r="H1240" s="460"/>
      <c r="I1240" s="540"/>
      <c r="J1240" s="540"/>
      <c r="K1240" s="540"/>
      <c r="L1240" s="564"/>
      <c r="M1240" s="564"/>
      <c r="N1240" s="564"/>
    </row>
    <row r="1241" spans="1:18" x14ac:dyDescent="0.25">
      <c r="A1241" s="753"/>
      <c r="C1241" s="452" t="s">
        <v>171</v>
      </c>
      <c r="D1241" s="449">
        <f t="shared" si="101"/>
        <v>45993</v>
      </c>
      <c r="E1241" s="454" t="s">
        <v>166</v>
      </c>
      <c r="F1241" s="460" t="s">
        <v>1020</v>
      </c>
      <c r="G1241" s="460"/>
      <c r="H1241" s="460"/>
      <c r="I1241" s="540"/>
      <c r="J1241" s="540"/>
      <c r="K1241" s="540"/>
      <c r="L1241" s="564"/>
      <c r="M1241" s="564"/>
      <c r="N1241" s="564"/>
    </row>
    <row r="1242" spans="1:18" x14ac:dyDescent="0.25">
      <c r="A1242" s="753"/>
      <c r="C1242" s="452" t="s">
        <v>171</v>
      </c>
      <c r="D1242" s="449">
        <f t="shared" si="101"/>
        <v>45993</v>
      </c>
      <c r="E1242" s="454" t="s">
        <v>576</v>
      </c>
      <c r="F1242" s="460" t="s">
        <v>1020</v>
      </c>
      <c r="G1242" s="460"/>
      <c r="H1242" s="460" t="s">
        <v>145</v>
      </c>
      <c r="I1242" s="540"/>
      <c r="J1242" s="540"/>
      <c r="K1242" s="540"/>
      <c r="L1242" s="564"/>
      <c r="M1242" s="564"/>
      <c r="N1242" s="564"/>
    </row>
    <row r="1243" spans="1:18" x14ac:dyDescent="0.25">
      <c r="A1243" s="753"/>
      <c r="C1243" s="452" t="s">
        <v>171</v>
      </c>
      <c r="D1243" s="449">
        <f t="shared" si="101"/>
        <v>45993</v>
      </c>
      <c r="E1243" s="454" t="s">
        <v>167</v>
      </c>
      <c r="F1243" s="460" t="s">
        <v>1020</v>
      </c>
      <c r="G1243" s="460"/>
      <c r="H1243" s="460"/>
      <c r="I1243" s="540"/>
      <c r="J1243" s="540"/>
      <c r="K1243" s="540"/>
      <c r="L1243" s="564"/>
      <c r="M1243" s="564"/>
      <c r="N1243" s="564"/>
    </row>
    <row r="1244" spans="1:18" x14ac:dyDescent="0.25">
      <c r="A1244" s="753"/>
      <c r="C1244" s="452" t="s">
        <v>171</v>
      </c>
      <c r="D1244" s="449">
        <f t="shared" si="101"/>
        <v>45993</v>
      </c>
      <c r="E1244" s="454" t="s">
        <v>168</v>
      </c>
      <c r="F1244" s="517" t="s">
        <v>1020</v>
      </c>
      <c r="G1244" s="512"/>
      <c r="H1244" s="505"/>
      <c r="I1244" s="554"/>
      <c r="J1244" s="541"/>
      <c r="K1244" s="541"/>
      <c r="L1244" s="556"/>
      <c r="M1244" s="556"/>
      <c r="N1244" s="556"/>
    </row>
    <row r="1245" spans="1:18" x14ac:dyDescent="0.25">
      <c r="A1245" s="753"/>
      <c r="C1245" s="452" t="s">
        <v>171</v>
      </c>
      <c r="D1245" s="449">
        <f t="shared" si="101"/>
        <v>45993</v>
      </c>
      <c r="E1245" s="454" t="s">
        <v>169</v>
      </c>
      <c r="F1245" s="460" t="s">
        <v>1020</v>
      </c>
      <c r="G1245" s="460"/>
      <c r="H1245" s="461"/>
      <c r="I1245" s="540"/>
      <c r="J1245" s="540"/>
      <c r="K1245" s="540"/>
      <c r="L1245" s="565"/>
      <c r="M1245" s="565"/>
      <c r="N1245" s="565"/>
    </row>
    <row r="1246" spans="1:18" x14ac:dyDescent="0.25">
      <c r="A1246" s="753"/>
      <c r="C1246" s="452" t="s">
        <v>171</v>
      </c>
      <c r="D1246" s="449">
        <f t="shared" si="101"/>
        <v>45993</v>
      </c>
      <c r="E1246" s="454" t="s">
        <v>170</v>
      </c>
      <c r="F1246" s="460" t="s">
        <v>1020</v>
      </c>
      <c r="G1246" s="460"/>
      <c r="H1246" s="461"/>
      <c r="I1246" s="540"/>
      <c r="J1246" s="540"/>
      <c r="K1246" s="540"/>
      <c r="L1246" s="565"/>
      <c r="M1246" s="565"/>
      <c r="N1246" s="565"/>
    </row>
    <row r="1247" spans="1:18" x14ac:dyDescent="0.25">
      <c r="A1247" s="753"/>
      <c r="C1247" s="452" t="s">
        <v>171</v>
      </c>
      <c r="D1247" s="449">
        <f t="shared" si="101"/>
        <v>45993</v>
      </c>
      <c r="E1247" s="454" t="s">
        <v>585</v>
      </c>
      <c r="F1247" s="460" t="s">
        <v>1020</v>
      </c>
      <c r="G1247" s="460"/>
      <c r="H1247" s="461" t="s">
        <v>145</v>
      </c>
      <c r="I1247" s="540"/>
      <c r="J1247" s="540"/>
      <c r="K1247" s="540"/>
      <c r="L1247" s="565"/>
      <c r="M1247" s="565"/>
      <c r="N1247" s="565"/>
    </row>
    <row r="1248" spans="1:18" x14ac:dyDescent="0.25">
      <c r="A1248" s="753"/>
      <c r="C1248" s="452" t="s">
        <v>171</v>
      </c>
      <c r="D1248" s="449">
        <f t="shared" si="101"/>
        <v>45993</v>
      </c>
      <c r="E1248" s="454" t="s">
        <v>574</v>
      </c>
      <c r="F1248" s="460" t="s">
        <v>145</v>
      </c>
      <c r="G1248" s="460" t="s">
        <v>145</v>
      </c>
      <c r="H1248" s="504" t="s">
        <v>145</v>
      </c>
      <c r="I1248" s="540"/>
      <c r="J1248" s="540"/>
      <c r="K1248" s="540"/>
      <c r="L1248" s="566"/>
      <c r="M1248" s="566"/>
      <c r="N1248" s="566"/>
    </row>
    <row r="1249" spans="1:18" x14ac:dyDescent="0.25">
      <c r="A1249" s="753"/>
      <c r="C1249" s="452" t="s">
        <v>171</v>
      </c>
      <c r="D1249" s="449">
        <f t="shared" si="101"/>
        <v>45993</v>
      </c>
      <c r="E1249" s="454" t="s">
        <v>575</v>
      </c>
      <c r="F1249" s="505" t="s">
        <v>1020</v>
      </c>
      <c r="G1249" s="505"/>
      <c r="H1249" s="516" t="s">
        <v>145</v>
      </c>
      <c r="I1249" s="516"/>
      <c r="J1249" s="516"/>
      <c r="K1249" s="516"/>
      <c r="L1249" s="557"/>
      <c r="M1249" s="557"/>
      <c r="N1249" s="557"/>
    </row>
    <row r="1250" spans="1:18" x14ac:dyDescent="0.25">
      <c r="A1250" s="753"/>
      <c r="C1250" s="448" t="s">
        <v>171</v>
      </c>
      <c r="D1250" s="449">
        <f t="shared" si="101"/>
        <v>45993</v>
      </c>
      <c r="E1250" s="455" t="s">
        <v>583</v>
      </c>
      <c r="F1250" s="505" t="s">
        <v>1020</v>
      </c>
      <c r="G1250" s="505"/>
      <c r="H1250" s="516" t="s">
        <v>145</v>
      </c>
      <c r="I1250" s="516"/>
      <c r="J1250" s="516"/>
      <c r="K1250" s="516"/>
      <c r="L1250" s="557"/>
      <c r="M1250" s="557"/>
      <c r="N1250" s="557"/>
    </row>
    <row r="1251" spans="1:18" x14ac:dyDescent="0.25">
      <c r="A1251" s="753"/>
      <c r="C1251" s="448" t="s">
        <v>171</v>
      </c>
      <c r="D1251" s="449">
        <f t="shared" si="101"/>
        <v>45993</v>
      </c>
      <c r="E1251" s="455" t="s">
        <v>584</v>
      </c>
      <c r="F1251" s="506" t="s">
        <v>1020</v>
      </c>
      <c r="G1251" s="506"/>
      <c r="H1251" s="516" t="s">
        <v>145</v>
      </c>
      <c r="I1251" s="516"/>
      <c r="J1251" s="516"/>
      <c r="K1251" s="516"/>
      <c r="L1251" s="557"/>
      <c r="M1251" s="557"/>
      <c r="N1251" s="557"/>
    </row>
    <row r="1252" spans="1:18" x14ac:dyDescent="0.25">
      <c r="A1252" s="753"/>
      <c r="C1252" s="448"/>
      <c r="D1252" s="449"/>
      <c r="E1252" s="503"/>
      <c r="F1252" s="506"/>
      <c r="G1252" s="506"/>
      <c r="H1252" s="516"/>
      <c r="I1252" s="516"/>
      <c r="J1252" s="516"/>
      <c r="K1252" s="516"/>
      <c r="L1252" s="557"/>
      <c r="M1252" s="557"/>
      <c r="N1252" s="557"/>
    </row>
    <row r="1253" spans="1:18" ht="15.75" thickBot="1" x14ac:dyDescent="0.3">
      <c r="A1253" s="753"/>
      <c r="C1253" s="450" t="s">
        <v>172</v>
      </c>
      <c r="D1253" s="451">
        <f>D1251+1</f>
        <v>45994</v>
      </c>
      <c r="E1253" s="459" t="s">
        <v>573</v>
      </c>
      <c r="F1253" s="493" t="s">
        <v>1020</v>
      </c>
      <c r="G1253" s="493"/>
      <c r="H1253" s="513" t="s">
        <v>145</v>
      </c>
      <c r="I1253" s="513"/>
      <c r="J1253" s="513"/>
      <c r="K1253" s="513"/>
      <c r="L1253" s="558"/>
      <c r="M1253" s="558"/>
      <c r="N1253" s="558"/>
    </row>
    <row r="1254" spans="1:18" ht="4.5" customHeight="1" thickBot="1" x14ac:dyDescent="0.3">
      <c r="A1254" s="753"/>
      <c r="C1254" t="s">
        <v>172</v>
      </c>
      <c r="D1254">
        <f t="shared" ref="D1254:D1268" si="102">D1253</f>
        <v>45994</v>
      </c>
      <c r="E1254" t="s">
        <v>162</v>
      </c>
      <c r="F1254" t="s">
        <v>1020</v>
      </c>
      <c r="L1254" s="559"/>
      <c r="M1254" s="559"/>
      <c r="N1254" s="559"/>
      <c r="Q1254" s="3"/>
      <c r="R1254" s="3"/>
    </row>
    <row r="1255" spans="1:18" ht="15" customHeight="1" thickBot="1" x14ac:dyDescent="0.3">
      <c r="A1255" s="753"/>
      <c r="C1255" s="538" t="s">
        <v>172</v>
      </c>
      <c r="D1255" s="539">
        <f t="shared" si="102"/>
        <v>45994</v>
      </c>
      <c r="E1255" s="539" t="s">
        <v>163</v>
      </c>
      <c r="F1255" s="539" t="s">
        <v>1020</v>
      </c>
      <c r="G1255" s="539"/>
      <c r="H1255" s="539"/>
      <c r="I1255" s="543"/>
      <c r="J1255" s="542"/>
      <c r="K1255" s="544"/>
      <c r="L1255" s="560"/>
      <c r="M1255" s="561"/>
      <c r="N1255" s="562"/>
      <c r="O1255" s="548"/>
      <c r="P1255" s="549"/>
      <c r="Q1255" s="3"/>
      <c r="R1255" s="3"/>
    </row>
    <row r="1256" spans="1:18" x14ac:dyDescent="0.25">
      <c r="A1256" s="753"/>
      <c r="C1256" s="446" t="s">
        <v>172</v>
      </c>
      <c r="D1256" s="497">
        <f t="shared" si="102"/>
        <v>45994</v>
      </c>
      <c r="E1256" s="498" t="s">
        <v>164</v>
      </c>
      <c r="F1256" s="514" t="s">
        <v>1020</v>
      </c>
      <c r="G1256" s="514"/>
      <c r="H1256" s="515"/>
      <c r="I1256" s="537"/>
      <c r="J1256" s="537"/>
      <c r="K1256" s="537"/>
      <c r="L1256" s="563"/>
      <c r="M1256" s="563"/>
      <c r="N1256" s="563"/>
    </row>
    <row r="1257" spans="1:18" x14ac:dyDescent="0.25">
      <c r="A1257" s="753"/>
      <c r="C1257" s="452" t="s">
        <v>172</v>
      </c>
      <c r="D1257" s="499">
        <f t="shared" si="102"/>
        <v>45994</v>
      </c>
      <c r="E1257" s="500" t="s">
        <v>165</v>
      </c>
      <c r="F1257" s="460" t="s">
        <v>1020</v>
      </c>
      <c r="G1257" s="460"/>
      <c r="H1257" s="501"/>
      <c r="I1257" s="540"/>
      <c r="J1257" s="540"/>
      <c r="K1257" s="540"/>
      <c r="L1257" s="555"/>
      <c r="M1257" s="555"/>
      <c r="N1257" s="555"/>
    </row>
    <row r="1258" spans="1:18" x14ac:dyDescent="0.25">
      <c r="A1258" s="753"/>
      <c r="C1258" s="452" t="s">
        <v>172</v>
      </c>
      <c r="D1258" s="449">
        <f t="shared" si="102"/>
        <v>45994</v>
      </c>
      <c r="E1258" s="454" t="s">
        <v>166</v>
      </c>
      <c r="F1258" s="460" t="s">
        <v>1020</v>
      </c>
      <c r="G1258" s="460"/>
      <c r="H1258" s="460"/>
      <c r="I1258" s="540"/>
      <c r="J1258" s="540"/>
      <c r="K1258" s="540"/>
      <c r="L1258" s="564"/>
      <c r="M1258" s="564"/>
      <c r="N1258" s="564"/>
    </row>
    <row r="1259" spans="1:18" x14ac:dyDescent="0.25">
      <c r="A1259" s="753"/>
      <c r="C1259" s="452" t="s">
        <v>172</v>
      </c>
      <c r="D1259" s="449">
        <f t="shared" si="102"/>
        <v>45994</v>
      </c>
      <c r="E1259" s="454" t="s">
        <v>576</v>
      </c>
      <c r="F1259" s="460" t="s">
        <v>1021</v>
      </c>
      <c r="G1259" s="460"/>
      <c r="H1259" s="460" t="s">
        <v>145</v>
      </c>
      <c r="I1259" s="540"/>
      <c r="J1259" s="540"/>
      <c r="K1259" s="540"/>
      <c r="L1259" s="564"/>
      <c r="M1259" s="564"/>
      <c r="N1259" s="564"/>
    </row>
    <row r="1260" spans="1:18" x14ac:dyDescent="0.25">
      <c r="A1260" s="753"/>
      <c r="C1260" s="452" t="s">
        <v>172</v>
      </c>
      <c r="D1260" s="449">
        <f t="shared" si="102"/>
        <v>45994</v>
      </c>
      <c r="E1260" s="454" t="s">
        <v>167</v>
      </c>
      <c r="F1260" s="460" t="s">
        <v>1021</v>
      </c>
      <c r="G1260" s="460"/>
      <c r="H1260" s="460"/>
      <c r="I1260" s="540"/>
      <c r="J1260" s="540"/>
      <c r="K1260" s="540"/>
      <c r="L1260" s="564"/>
      <c r="M1260" s="564"/>
      <c r="N1260" s="564"/>
    </row>
    <row r="1261" spans="1:18" x14ac:dyDescent="0.25">
      <c r="A1261" s="753"/>
      <c r="C1261" s="452" t="s">
        <v>172</v>
      </c>
      <c r="D1261" s="449">
        <f t="shared" si="102"/>
        <v>45994</v>
      </c>
      <c r="E1261" s="454" t="s">
        <v>168</v>
      </c>
      <c r="F1261" s="460" t="s">
        <v>1021</v>
      </c>
      <c r="G1261" s="460"/>
      <c r="H1261" s="460"/>
      <c r="I1261" s="540"/>
      <c r="J1261" s="540"/>
      <c r="K1261" s="540"/>
      <c r="L1261" s="564"/>
      <c r="M1261" s="564"/>
      <c r="N1261" s="564"/>
    </row>
    <row r="1262" spans="1:18" x14ac:dyDescent="0.25">
      <c r="A1262" s="753"/>
      <c r="C1262" s="452" t="s">
        <v>172</v>
      </c>
      <c r="D1262" s="449">
        <f t="shared" si="102"/>
        <v>45994</v>
      </c>
      <c r="E1262" s="454" t="s">
        <v>169</v>
      </c>
      <c r="F1262" s="517" t="s">
        <v>1021</v>
      </c>
      <c r="G1262" s="512"/>
      <c r="H1262" s="505"/>
      <c r="I1262" s="541"/>
      <c r="J1262" s="541"/>
      <c r="K1262" s="541"/>
      <c r="L1262" s="556"/>
      <c r="M1262" s="556"/>
      <c r="N1262" s="556"/>
    </row>
    <row r="1263" spans="1:18" x14ac:dyDescent="0.25">
      <c r="A1263" s="753"/>
      <c r="C1263" s="452" t="s">
        <v>172</v>
      </c>
      <c r="D1263" s="449">
        <f t="shared" si="102"/>
        <v>45994</v>
      </c>
      <c r="E1263" s="454" t="s">
        <v>170</v>
      </c>
      <c r="F1263" s="460" t="s">
        <v>1021</v>
      </c>
      <c r="G1263" s="460"/>
      <c r="H1263" s="461"/>
      <c r="I1263" s="540"/>
      <c r="J1263" s="540"/>
      <c r="K1263" s="540"/>
      <c r="L1263" s="565"/>
      <c r="M1263" s="565"/>
      <c r="N1263" s="565"/>
    </row>
    <row r="1264" spans="1:18" x14ac:dyDescent="0.25">
      <c r="A1264" s="753"/>
      <c r="C1264" s="452" t="s">
        <v>172</v>
      </c>
      <c r="D1264" s="449">
        <f t="shared" si="102"/>
        <v>45994</v>
      </c>
      <c r="E1264" s="454" t="s">
        <v>585</v>
      </c>
      <c r="F1264" s="460" t="s">
        <v>1021</v>
      </c>
      <c r="G1264" s="460"/>
      <c r="H1264" s="461" t="s">
        <v>145</v>
      </c>
      <c r="I1264" s="540"/>
      <c r="J1264" s="540"/>
      <c r="K1264" s="540"/>
      <c r="L1264" s="565"/>
      <c r="M1264" s="565"/>
      <c r="N1264" s="565"/>
    </row>
    <row r="1265" spans="1:18" x14ac:dyDescent="0.25">
      <c r="A1265" s="753"/>
      <c r="C1265" s="452" t="s">
        <v>172</v>
      </c>
      <c r="D1265" s="449">
        <f t="shared" si="102"/>
        <v>45994</v>
      </c>
      <c r="E1265" s="454" t="s">
        <v>574</v>
      </c>
      <c r="F1265" s="460" t="s">
        <v>145</v>
      </c>
      <c r="G1265" s="460"/>
      <c r="H1265" s="461" t="s">
        <v>145</v>
      </c>
      <c r="I1265" s="540"/>
      <c r="J1265" s="540"/>
      <c r="K1265" s="540"/>
      <c r="L1265" s="565"/>
      <c r="M1265" s="565"/>
      <c r="N1265" s="565"/>
    </row>
    <row r="1266" spans="1:18" x14ac:dyDescent="0.25">
      <c r="A1266" s="753"/>
      <c r="C1266" s="452" t="s">
        <v>172</v>
      </c>
      <c r="D1266" s="449">
        <f t="shared" si="102"/>
        <v>45994</v>
      </c>
      <c r="E1266" s="454" t="s">
        <v>575</v>
      </c>
      <c r="F1266" s="460" t="s">
        <v>1021</v>
      </c>
      <c r="G1266" s="460"/>
      <c r="H1266" s="504" t="s">
        <v>145</v>
      </c>
      <c r="I1266" s="540"/>
      <c r="J1266" s="540"/>
      <c r="K1266" s="540"/>
      <c r="L1266" s="565"/>
      <c r="M1266" s="566"/>
      <c r="N1266" s="566"/>
    </row>
    <row r="1267" spans="1:18" x14ac:dyDescent="0.25">
      <c r="A1267" s="753"/>
      <c r="C1267" s="452" t="s">
        <v>172</v>
      </c>
      <c r="D1267" s="449">
        <f t="shared" si="102"/>
        <v>45994</v>
      </c>
      <c r="E1267" s="454" t="s">
        <v>583</v>
      </c>
      <c r="F1267" s="505" t="s">
        <v>1021</v>
      </c>
      <c r="G1267" s="505"/>
      <c r="H1267" s="516" t="s">
        <v>145</v>
      </c>
      <c r="I1267" s="516"/>
      <c r="J1267" s="516"/>
      <c r="K1267" s="516"/>
      <c r="L1267" s="557"/>
      <c r="M1267" s="557"/>
      <c r="N1267" s="557"/>
    </row>
    <row r="1268" spans="1:18" x14ac:dyDescent="0.25">
      <c r="A1268" s="753"/>
      <c r="C1268" s="448" t="s">
        <v>172</v>
      </c>
      <c r="D1268" s="449">
        <f t="shared" si="102"/>
        <v>45994</v>
      </c>
      <c r="E1268" s="455" t="s">
        <v>584</v>
      </c>
      <c r="F1268" s="505" t="s">
        <v>1021</v>
      </c>
      <c r="G1268" s="505"/>
      <c r="H1268" s="516" t="s">
        <v>145</v>
      </c>
      <c r="I1268" s="516"/>
      <c r="J1268" s="516"/>
      <c r="K1268" s="516"/>
      <c r="L1268" s="557"/>
      <c r="M1268" s="557"/>
      <c r="N1268" s="557"/>
    </row>
    <row r="1269" spans="1:18" x14ac:dyDescent="0.25">
      <c r="A1269" s="753"/>
      <c r="C1269" s="448"/>
      <c r="D1269" s="449"/>
      <c r="E1269" s="455"/>
      <c r="F1269" s="506"/>
      <c r="G1269" s="506"/>
      <c r="H1269" s="516"/>
      <c r="I1269" s="516"/>
      <c r="J1269" s="516"/>
      <c r="K1269" s="516"/>
      <c r="L1269" s="557"/>
      <c r="M1269" s="557"/>
      <c r="N1269" s="557"/>
    </row>
    <row r="1270" spans="1:18" x14ac:dyDescent="0.25">
      <c r="A1270" s="753"/>
      <c r="C1270" s="448" t="s">
        <v>173</v>
      </c>
      <c r="D1270" s="449">
        <f>D1268+1</f>
        <v>45995</v>
      </c>
      <c r="E1270" s="503" t="s">
        <v>573</v>
      </c>
      <c r="F1270" s="506" t="s">
        <v>1021</v>
      </c>
      <c r="G1270" s="506" t="s">
        <v>644</v>
      </c>
      <c r="H1270" s="516" t="s">
        <v>145</v>
      </c>
      <c r="I1270" s="516"/>
      <c r="J1270" s="516"/>
      <c r="K1270" s="516"/>
      <c r="L1270" s="557"/>
      <c r="M1270" s="557"/>
      <c r="N1270" s="557"/>
    </row>
    <row r="1271" spans="1:18" ht="15.75" thickBot="1" x14ac:dyDescent="0.3">
      <c r="A1271" s="753"/>
      <c r="C1271" s="450" t="s">
        <v>173</v>
      </c>
      <c r="D1271" s="451">
        <f t="shared" ref="D1271:D1285" si="103">D1270</f>
        <v>45995</v>
      </c>
      <c r="E1271" s="459" t="s">
        <v>162</v>
      </c>
      <c r="F1271" s="493" t="s">
        <v>1021</v>
      </c>
      <c r="G1271" s="493" t="s">
        <v>644</v>
      </c>
      <c r="H1271" s="513"/>
      <c r="I1271" s="513"/>
      <c r="J1271" s="513"/>
      <c r="K1271" s="513"/>
      <c r="L1271" s="558"/>
      <c r="M1271" s="558"/>
      <c r="N1271" s="558"/>
    </row>
    <row r="1272" spans="1:18" ht="4.5" customHeight="1" thickBot="1" x14ac:dyDescent="0.3">
      <c r="A1272" s="753"/>
      <c r="C1272" t="s">
        <v>173</v>
      </c>
      <c r="D1272">
        <f t="shared" si="103"/>
        <v>45995</v>
      </c>
      <c r="E1272" t="s">
        <v>163</v>
      </c>
      <c r="F1272" t="s">
        <v>1021</v>
      </c>
      <c r="G1272" t="s">
        <v>644</v>
      </c>
      <c r="L1272" s="559"/>
      <c r="M1272" s="559"/>
      <c r="N1272" s="559"/>
      <c r="Q1272" s="3"/>
      <c r="R1272" s="3"/>
    </row>
    <row r="1273" spans="1:18" ht="15" customHeight="1" thickBot="1" x14ac:dyDescent="0.3">
      <c r="A1273" s="753"/>
      <c r="C1273" s="538" t="s">
        <v>173</v>
      </c>
      <c r="D1273" s="539">
        <f t="shared" si="103"/>
        <v>45995</v>
      </c>
      <c r="E1273" s="539" t="s">
        <v>164</v>
      </c>
      <c r="F1273" s="539" t="s">
        <v>1021</v>
      </c>
      <c r="G1273" s="539" t="s">
        <v>644</v>
      </c>
      <c r="H1273" s="539"/>
      <c r="I1273" s="543"/>
      <c r="J1273" s="542"/>
      <c r="K1273" s="544"/>
      <c r="L1273" s="560"/>
      <c r="M1273" s="561"/>
      <c r="N1273" s="562"/>
      <c r="O1273" s="548"/>
      <c r="P1273" s="549"/>
      <c r="Q1273" s="3"/>
      <c r="R1273" s="3"/>
    </row>
    <row r="1274" spans="1:18" x14ac:dyDescent="0.25">
      <c r="A1274" s="753"/>
      <c r="C1274" s="529" t="s">
        <v>173</v>
      </c>
      <c r="D1274" s="447">
        <f t="shared" si="103"/>
        <v>45995</v>
      </c>
      <c r="E1274" s="498" t="s">
        <v>165</v>
      </c>
      <c r="F1274" s="514" t="s">
        <v>1021</v>
      </c>
      <c r="G1274" s="514" t="s">
        <v>644</v>
      </c>
      <c r="H1274" s="515"/>
      <c r="I1274" s="537"/>
      <c r="J1274" s="537"/>
      <c r="K1274" s="537"/>
      <c r="L1274" s="563"/>
      <c r="M1274" s="563"/>
      <c r="N1274" s="563"/>
    </row>
    <row r="1275" spans="1:18" x14ac:dyDescent="0.25">
      <c r="A1275" s="753"/>
      <c r="C1275" s="452" t="s">
        <v>173</v>
      </c>
      <c r="D1275" s="453">
        <f t="shared" si="103"/>
        <v>45995</v>
      </c>
      <c r="E1275" s="500" t="s">
        <v>166</v>
      </c>
      <c r="F1275" s="460" t="s">
        <v>1021</v>
      </c>
      <c r="G1275" s="460" t="s">
        <v>644</v>
      </c>
      <c r="H1275" s="501"/>
      <c r="I1275" s="540"/>
      <c r="J1275" s="540"/>
      <c r="K1275" s="540"/>
      <c r="L1275" s="555"/>
      <c r="M1275" s="555"/>
      <c r="N1275" s="555"/>
    </row>
    <row r="1276" spans="1:18" x14ac:dyDescent="0.25">
      <c r="A1276" s="753"/>
      <c r="C1276" s="452" t="s">
        <v>173</v>
      </c>
      <c r="D1276" s="453">
        <f t="shared" si="103"/>
        <v>45995</v>
      </c>
      <c r="E1276" s="454" t="s">
        <v>576</v>
      </c>
      <c r="F1276" s="460" t="s">
        <v>1021</v>
      </c>
      <c r="G1276" s="460" t="s">
        <v>644</v>
      </c>
      <c r="H1276" s="460" t="s">
        <v>145</v>
      </c>
      <c r="I1276" s="540"/>
      <c r="J1276" s="540"/>
      <c r="K1276" s="540"/>
      <c r="L1276" s="564"/>
      <c r="M1276" s="564"/>
      <c r="N1276" s="564"/>
    </row>
    <row r="1277" spans="1:18" x14ac:dyDescent="0.25">
      <c r="A1277" s="753"/>
      <c r="C1277" s="452" t="s">
        <v>173</v>
      </c>
      <c r="D1277" s="453">
        <f t="shared" si="103"/>
        <v>45995</v>
      </c>
      <c r="E1277" s="454" t="s">
        <v>167</v>
      </c>
      <c r="F1277" s="460" t="s">
        <v>1021</v>
      </c>
      <c r="G1277" s="460" t="s">
        <v>644</v>
      </c>
      <c r="H1277" s="460"/>
      <c r="I1277" s="540"/>
      <c r="J1277" s="540"/>
      <c r="K1277" s="540"/>
      <c r="L1277" s="564"/>
      <c r="M1277" s="564"/>
      <c r="N1277" s="564"/>
    </row>
    <row r="1278" spans="1:18" x14ac:dyDescent="0.25">
      <c r="A1278" s="753"/>
      <c r="C1278" s="452" t="s">
        <v>173</v>
      </c>
      <c r="D1278" s="453">
        <f t="shared" si="103"/>
        <v>45995</v>
      </c>
      <c r="E1278" s="454" t="s">
        <v>168</v>
      </c>
      <c r="F1278" s="460" t="s">
        <v>1021</v>
      </c>
      <c r="G1278" s="460" t="s">
        <v>644</v>
      </c>
      <c r="H1278" s="460"/>
      <c r="I1278" s="540"/>
      <c r="J1278" s="540"/>
      <c r="K1278" s="540"/>
      <c r="L1278" s="564"/>
      <c r="M1278" s="564"/>
      <c r="N1278" s="564"/>
    </row>
    <row r="1279" spans="1:18" x14ac:dyDescent="0.25">
      <c r="A1279" s="753"/>
      <c r="C1279" s="452" t="s">
        <v>173</v>
      </c>
      <c r="D1279" s="453">
        <f t="shared" si="103"/>
        <v>45995</v>
      </c>
      <c r="E1279" s="454" t="s">
        <v>169</v>
      </c>
      <c r="F1279" s="460" t="s">
        <v>1021</v>
      </c>
      <c r="G1279" s="460"/>
      <c r="H1279" s="460"/>
      <c r="I1279" s="540"/>
      <c r="J1279" s="540"/>
      <c r="K1279" s="540"/>
      <c r="L1279" s="564"/>
      <c r="M1279" s="564"/>
      <c r="N1279" s="564"/>
    </row>
    <row r="1280" spans="1:18" x14ac:dyDescent="0.25">
      <c r="A1280" s="753"/>
      <c r="C1280" s="452" t="s">
        <v>173</v>
      </c>
      <c r="D1280" s="453">
        <f t="shared" si="103"/>
        <v>45995</v>
      </c>
      <c r="E1280" s="454" t="s">
        <v>170</v>
      </c>
      <c r="F1280" s="517" t="s">
        <v>1021</v>
      </c>
      <c r="G1280" s="512"/>
      <c r="H1280" s="505"/>
      <c r="I1280" s="541"/>
      <c r="J1280" s="541"/>
      <c r="K1280" s="541"/>
      <c r="L1280" s="556"/>
      <c r="M1280" s="556"/>
      <c r="N1280" s="556"/>
    </row>
    <row r="1281" spans="1:18" x14ac:dyDescent="0.25">
      <c r="A1281" s="753"/>
      <c r="C1281" s="452" t="s">
        <v>173</v>
      </c>
      <c r="D1281" s="449">
        <f t="shared" si="103"/>
        <v>45995</v>
      </c>
      <c r="E1281" s="454" t="s">
        <v>585</v>
      </c>
      <c r="F1281" s="460" t="s">
        <v>1021</v>
      </c>
      <c r="G1281" s="460"/>
      <c r="H1281" s="461" t="s">
        <v>145</v>
      </c>
      <c r="I1281" s="540"/>
      <c r="J1281" s="540"/>
      <c r="K1281" s="540"/>
      <c r="L1281" s="565"/>
      <c r="M1281" s="565"/>
      <c r="N1281" s="565"/>
    </row>
    <row r="1282" spans="1:18" x14ac:dyDescent="0.25">
      <c r="A1282" s="753"/>
      <c r="C1282" s="452" t="s">
        <v>173</v>
      </c>
      <c r="D1282" s="449">
        <f t="shared" si="103"/>
        <v>45995</v>
      </c>
      <c r="E1282" s="454" t="s">
        <v>574</v>
      </c>
      <c r="F1282" s="460" t="s">
        <v>145</v>
      </c>
      <c r="G1282" s="460"/>
      <c r="H1282" s="461" t="s">
        <v>145</v>
      </c>
      <c r="I1282" s="540"/>
      <c r="J1282" s="540"/>
      <c r="K1282" s="540"/>
      <c r="L1282" s="565"/>
      <c r="M1282" s="565"/>
      <c r="N1282" s="565"/>
    </row>
    <row r="1283" spans="1:18" x14ac:dyDescent="0.25">
      <c r="A1283" s="753"/>
      <c r="C1283" s="452" t="s">
        <v>173</v>
      </c>
      <c r="D1283" s="449">
        <f t="shared" si="103"/>
        <v>45995</v>
      </c>
      <c r="E1283" s="454" t="s">
        <v>575</v>
      </c>
      <c r="F1283" s="460" t="s">
        <v>1021</v>
      </c>
      <c r="G1283" s="460"/>
      <c r="H1283" s="461" t="s">
        <v>145</v>
      </c>
      <c r="I1283" s="540"/>
      <c r="J1283" s="540"/>
      <c r="K1283" s="540"/>
      <c r="L1283" s="565"/>
      <c r="M1283" s="565"/>
      <c r="N1283" s="565"/>
    </row>
    <row r="1284" spans="1:18" x14ac:dyDescent="0.25">
      <c r="A1284" s="753"/>
      <c r="C1284" s="452" t="s">
        <v>173</v>
      </c>
      <c r="D1284" s="449">
        <f t="shared" si="103"/>
        <v>45995</v>
      </c>
      <c r="E1284" s="454" t="s">
        <v>583</v>
      </c>
      <c r="F1284" s="460" t="s">
        <v>1021</v>
      </c>
      <c r="G1284" s="460"/>
      <c r="H1284" s="504" t="s">
        <v>145</v>
      </c>
      <c r="I1284" s="545"/>
      <c r="J1284" s="540"/>
      <c r="K1284" s="540"/>
      <c r="L1284" s="566"/>
      <c r="M1284" s="566"/>
      <c r="N1284" s="566"/>
    </row>
    <row r="1285" spans="1:18" x14ac:dyDescent="0.25">
      <c r="A1285" s="753"/>
      <c r="C1285" s="452" t="s">
        <v>173</v>
      </c>
      <c r="D1285" s="449">
        <f t="shared" si="103"/>
        <v>45995</v>
      </c>
      <c r="E1285" s="454" t="s">
        <v>584</v>
      </c>
      <c r="F1285" s="505" t="s">
        <v>1022</v>
      </c>
      <c r="G1285" s="505"/>
      <c r="H1285" s="516" t="s">
        <v>145</v>
      </c>
      <c r="I1285" s="516"/>
      <c r="J1285" s="516"/>
      <c r="K1285" s="516"/>
      <c r="L1285" s="557"/>
      <c r="M1285" s="557"/>
      <c r="N1285" s="557"/>
    </row>
    <row r="1286" spans="1:18" x14ac:dyDescent="0.25">
      <c r="A1286" s="753"/>
      <c r="C1286" s="452"/>
      <c r="D1286" s="449"/>
      <c r="E1286" s="455"/>
      <c r="F1286" s="505"/>
      <c r="G1286" s="505"/>
      <c r="H1286" s="516"/>
      <c r="I1286" s="516"/>
      <c r="J1286" s="516"/>
      <c r="K1286" s="516"/>
      <c r="L1286" s="557"/>
      <c r="M1286" s="557"/>
      <c r="N1286" s="557"/>
    </row>
    <row r="1287" spans="1:18" x14ac:dyDescent="0.25">
      <c r="A1287" s="753"/>
      <c r="C1287" s="452" t="s">
        <v>174</v>
      </c>
      <c r="D1287" s="449">
        <f>D1285+1</f>
        <v>45996</v>
      </c>
      <c r="E1287" s="455" t="s">
        <v>573</v>
      </c>
      <c r="F1287" s="506" t="s">
        <v>1022</v>
      </c>
      <c r="G1287" s="506"/>
      <c r="H1287" s="516" t="s">
        <v>145</v>
      </c>
      <c r="I1287" s="516"/>
      <c r="J1287" s="516"/>
      <c r="K1287" s="516"/>
      <c r="L1287" s="557"/>
      <c r="M1287" s="557"/>
      <c r="N1287" s="557"/>
    </row>
    <row r="1288" spans="1:18" x14ac:dyDescent="0.25">
      <c r="A1288" s="753"/>
      <c r="C1288" s="452" t="s">
        <v>174</v>
      </c>
      <c r="D1288" s="449">
        <f t="shared" ref="D1288:D1302" si="104">D1287</f>
        <v>45996</v>
      </c>
      <c r="E1288" s="503" t="s">
        <v>162</v>
      </c>
      <c r="F1288" s="506" t="s">
        <v>1022</v>
      </c>
      <c r="G1288" s="506"/>
      <c r="H1288" s="516"/>
      <c r="I1288" s="516"/>
      <c r="J1288" s="516"/>
      <c r="K1288" s="516"/>
      <c r="L1288" s="557"/>
      <c r="M1288" s="557"/>
      <c r="N1288" s="557"/>
    </row>
    <row r="1289" spans="1:18" ht="15.75" thickBot="1" x14ac:dyDescent="0.3">
      <c r="A1289" s="753"/>
      <c r="C1289" s="530" t="s">
        <v>174</v>
      </c>
      <c r="D1289" s="451">
        <f t="shared" si="104"/>
        <v>45996</v>
      </c>
      <c r="E1289" s="459" t="s">
        <v>163</v>
      </c>
      <c r="F1289" s="493" t="s">
        <v>1022</v>
      </c>
      <c r="G1289" s="493"/>
      <c r="H1289" s="513"/>
      <c r="I1289" s="513"/>
      <c r="J1289" s="513"/>
      <c r="K1289" s="513"/>
      <c r="L1289" s="558"/>
      <c r="M1289" s="558"/>
      <c r="N1289" s="558"/>
    </row>
    <row r="1290" spans="1:18" ht="4.5" customHeight="1" thickBot="1" x14ac:dyDescent="0.3">
      <c r="A1290" s="753"/>
      <c r="C1290" t="s">
        <v>174</v>
      </c>
      <c r="D1290">
        <f t="shared" si="104"/>
        <v>45996</v>
      </c>
      <c r="E1290" t="s">
        <v>164</v>
      </c>
      <c r="F1290" t="s">
        <v>1022</v>
      </c>
      <c r="I1290" s="420"/>
      <c r="J1290" s="420"/>
      <c r="K1290" s="420"/>
      <c r="L1290" s="559"/>
      <c r="M1290" s="559"/>
      <c r="N1290" s="559"/>
      <c r="Q1290" s="3"/>
      <c r="R1290" s="3"/>
    </row>
    <row r="1291" spans="1:18" ht="15" customHeight="1" thickBot="1" x14ac:dyDescent="0.3">
      <c r="A1291" s="753"/>
      <c r="C1291" s="546" t="s">
        <v>174</v>
      </c>
      <c r="D1291" s="547">
        <f t="shared" si="104"/>
        <v>45996</v>
      </c>
      <c r="E1291" s="539" t="s">
        <v>165</v>
      </c>
      <c r="F1291" s="539" t="s">
        <v>1022</v>
      </c>
      <c r="G1291" s="539"/>
      <c r="H1291" s="539"/>
      <c r="I1291" s="543"/>
      <c r="J1291" s="542"/>
      <c r="K1291" s="544"/>
      <c r="L1291" s="560"/>
      <c r="M1291" s="561"/>
      <c r="N1291" s="562"/>
      <c r="O1291" s="548"/>
      <c r="P1291" s="549"/>
      <c r="Q1291" s="3"/>
      <c r="R1291" s="3"/>
    </row>
    <row r="1292" spans="1:18" x14ac:dyDescent="0.25">
      <c r="A1292" s="753"/>
      <c r="C1292" s="529" t="s">
        <v>174</v>
      </c>
      <c r="D1292" s="447">
        <f t="shared" si="104"/>
        <v>45996</v>
      </c>
      <c r="E1292" s="498" t="s">
        <v>166</v>
      </c>
      <c r="F1292" s="514" t="s">
        <v>1022</v>
      </c>
      <c r="G1292" s="514" t="s">
        <v>642</v>
      </c>
      <c r="H1292" s="514"/>
      <c r="I1292" s="537"/>
      <c r="J1292" s="537"/>
      <c r="K1292" s="537"/>
      <c r="L1292" s="563"/>
      <c r="M1292" s="563"/>
      <c r="N1292" s="563"/>
    </row>
    <row r="1293" spans="1:18" x14ac:dyDescent="0.25">
      <c r="A1293" s="753"/>
      <c r="C1293" s="452" t="s">
        <v>174</v>
      </c>
      <c r="D1293" s="453">
        <f t="shared" si="104"/>
        <v>45996</v>
      </c>
      <c r="E1293" s="500" t="s">
        <v>576</v>
      </c>
      <c r="F1293" s="569" t="s">
        <v>1022</v>
      </c>
      <c r="G1293" s="569" t="s">
        <v>642</v>
      </c>
      <c r="H1293" s="569" t="s">
        <v>145</v>
      </c>
      <c r="I1293" s="540"/>
      <c r="J1293" s="540"/>
      <c r="K1293" s="540"/>
      <c r="L1293" s="555"/>
      <c r="M1293" s="555"/>
      <c r="N1293" s="555"/>
    </row>
    <row r="1294" spans="1:18" x14ac:dyDescent="0.25">
      <c r="A1294" s="753"/>
      <c r="C1294" s="452" t="s">
        <v>174</v>
      </c>
      <c r="D1294" s="453">
        <f t="shared" si="104"/>
        <v>45996</v>
      </c>
      <c r="E1294" s="454" t="s">
        <v>167</v>
      </c>
      <c r="F1294" s="569" t="s">
        <v>1022</v>
      </c>
      <c r="G1294" s="569" t="s">
        <v>642</v>
      </c>
      <c r="H1294" s="569"/>
      <c r="I1294" s="540"/>
      <c r="J1294" s="540"/>
      <c r="K1294" s="540"/>
      <c r="L1294" s="564"/>
      <c r="M1294" s="564"/>
      <c r="N1294" s="564"/>
    </row>
    <row r="1295" spans="1:18" x14ac:dyDescent="0.25">
      <c r="A1295" s="753"/>
      <c r="C1295" s="452" t="s">
        <v>174</v>
      </c>
      <c r="D1295" s="453">
        <f t="shared" si="104"/>
        <v>45996</v>
      </c>
      <c r="E1295" s="454" t="s">
        <v>168</v>
      </c>
      <c r="F1295" s="569" t="s">
        <v>1022</v>
      </c>
      <c r="G1295" s="569" t="s">
        <v>642</v>
      </c>
      <c r="H1295" s="569"/>
      <c r="I1295" s="540"/>
      <c r="J1295" s="540"/>
      <c r="K1295" s="540"/>
      <c r="L1295" s="564"/>
      <c r="M1295" s="564"/>
      <c r="N1295" s="564"/>
    </row>
    <row r="1296" spans="1:18" x14ac:dyDescent="0.25">
      <c r="A1296" s="753"/>
      <c r="C1296" s="452" t="s">
        <v>174</v>
      </c>
      <c r="D1296" s="453">
        <f t="shared" si="104"/>
        <v>45996</v>
      </c>
      <c r="E1296" s="454" t="s">
        <v>169</v>
      </c>
      <c r="F1296" s="569" t="s">
        <v>1022</v>
      </c>
      <c r="G1296" s="569" t="s">
        <v>642</v>
      </c>
      <c r="H1296" s="569"/>
      <c r="I1296" s="540"/>
      <c r="J1296" s="540"/>
      <c r="K1296" s="540"/>
      <c r="L1296" s="564"/>
      <c r="M1296" s="564"/>
      <c r="N1296" s="564"/>
    </row>
    <row r="1297" spans="1:14" x14ac:dyDescent="0.25">
      <c r="A1297" s="753"/>
      <c r="C1297" s="452" t="s">
        <v>174</v>
      </c>
      <c r="D1297" s="453">
        <f t="shared" si="104"/>
        <v>45996</v>
      </c>
      <c r="E1297" s="454" t="s">
        <v>170</v>
      </c>
      <c r="F1297" s="569" t="s">
        <v>1022</v>
      </c>
      <c r="G1297" s="569" t="s">
        <v>642</v>
      </c>
      <c r="H1297" s="569"/>
      <c r="I1297" s="540"/>
      <c r="J1297" s="540"/>
      <c r="K1297" s="540"/>
      <c r="L1297" s="564"/>
      <c r="M1297" s="564"/>
      <c r="N1297" s="564"/>
    </row>
    <row r="1298" spans="1:14" x14ac:dyDescent="0.25">
      <c r="A1298" s="753"/>
      <c r="C1298" s="452" t="s">
        <v>174</v>
      </c>
      <c r="D1298" s="453">
        <f t="shared" si="104"/>
        <v>45996</v>
      </c>
      <c r="E1298" s="454" t="s">
        <v>585</v>
      </c>
      <c r="F1298" s="512" t="s">
        <v>1022</v>
      </c>
      <c r="G1298" s="512" t="s">
        <v>642</v>
      </c>
      <c r="H1298" s="512" t="s">
        <v>145</v>
      </c>
      <c r="I1298" s="541"/>
      <c r="J1298" s="541"/>
      <c r="K1298" s="541"/>
      <c r="L1298" s="556"/>
      <c r="M1298" s="556"/>
      <c r="N1298" s="556"/>
    </row>
    <row r="1299" spans="1:14" x14ac:dyDescent="0.25">
      <c r="A1299" s="753"/>
      <c r="C1299" s="452" t="s">
        <v>174</v>
      </c>
      <c r="D1299" s="449">
        <f t="shared" si="104"/>
        <v>45996</v>
      </c>
      <c r="E1299" s="454" t="s">
        <v>574</v>
      </c>
      <c r="F1299" s="569" t="s">
        <v>145</v>
      </c>
      <c r="G1299" s="569" t="s">
        <v>145</v>
      </c>
      <c r="H1299" s="569" t="s">
        <v>145</v>
      </c>
      <c r="I1299" s="540"/>
      <c r="J1299" s="540"/>
      <c r="K1299" s="540"/>
      <c r="L1299" s="565"/>
      <c r="M1299" s="565"/>
      <c r="N1299" s="565"/>
    </row>
    <row r="1300" spans="1:14" x14ac:dyDescent="0.25">
      <c r="A1300" s="753"/>
      <c r="C1300" s="452" t="s">
        <v>174</v>
      </c>
      <c r="D1300" s="449">
        <f t="shared" si="104"/>
        <v>45996</v>
      </c>
      <c r="E1300" s="454" t="s">
        <v>575</v>
      </c>
      <c r="F1300" s="569" t="s">
        <v>1022</v>
      </c>
      <c r="G1300" s="569" t="s">
        <v>642</v>
      </c>
      <c r="H1300" s="569" t="s">
        <v>145</v>
      </c>
      <c r="I1300" s="540"/>
      <c r="J1300" s="540"/>
      <c r="K1300" s="540"/>
      <c r="L1300" s="565"/>
      <c r="M1300" s="565"/>
      <c r="N1300" s="565"/>
    </row>
    <row r="1301" spans="1:14" x14ac:dyDescent="0.25">
      <c r="A1301" s="753"/>
      <c r="C1301" s="452" t="s">
        <v>174</v>
      </c>
      <c r="D1301" s="449">
        <f t="shared" si="104"/>
        <v>45996</v>
      </c>
      <c r="E1301" s="454" t="s">
        <v>583</v>
      </c>
      <c r="F1301" s="569" t="s">
        <v>1022</v>
      </c>
      <c r="G1301" s="569" t="s">
        <v>642</v>
      </c>
      <c r="H1301" s="569" t="s">
        <v>145</v>
      </c>
      <c r="I1301" s="540"/>
      <c r="J1301" s="540"/>
      <c r="K1301" s="540"/>
      <c r="L1301" s="565"/>
      <c r="M1301" s="565"/>
      <c r="N1301" s="565"/>
    </row>
    <row r="1302" spans="1:14" x14ac:dyDescent="0.25">
      <c r="A1302" s="753"/>
      <c r="C1302" s="452" t="s">
        <v>174</v>
      </c>
      <c r="D1302" s="449">
        <f t="shared" si="104"/>
        <v>45996</v>
      </c>
      <c r="E1302" s="454" t="s">
        <v>584</v>
      </c>
      <c r="F1302" s="505" t="s">
        <v>145</v>
      </c>
      <c r="G1302" s="505" t="s">
        <v>145</v>
      </c>
      <c r="H1302" s="505" t="s">
        <v>145</v>
      </c>
      <c r="I1302" s="516"/>
      <c r="J1302" s="516"/>
      <c r="K1302" s="516"/>
      <c r="L1302" s="557"/>
      <c r="M1302" s="557"/>
      <c r="N1302" s="557"/>
    </row>
    <row r="1303" spans="1:14" x14ac:dyDescent="0.25">
      <c r="A1303" s="753"/>
      <c r="C1303" s="452"/>
      <c r="D1303" s="449"/>
      <c r="E1303" s="454"/>
      <c r="F1303" s="505"/>
      <c r="G1303" s="505"/>
      <c r="H1303" s="505"/>
      <c r="I1303" s="516"/>
      <c r="J1303" s="516"/>
      <c r="K1303" s="516"/>
      <c r="L1303" s="557"/>
      <c r="M1303" s="557"/>
      <c r="N1303" s="557"/>
    </row>
    <row r="1304" spans="1:14" x14ac:dyDescent="0.25">
      <c r="A1304" s="753"/>
      <c r="C1304" s="452" t="s">
        <v>1033</v>
      </c>
      <c r="D1304" s="449">
        <f>D1302+1</f>
        <v>45997</v>
      </c>
      <c r="E1304" s="455" t="s">
        <v>573</v>
      </c>
      <c r="F1304" s="505" t="s">
        <v>145</v>
      </c>
      <c r="G1304" s="505" t="s">
        <v>145</v>
      </c>
      <c r="H1304" s="505" t="s">
        <v>145</v>
      </c>
      <c r="I1304" s="516"/>
      <c r="J1304" s="516"/>
      <c r="K1304" s="516"/>
      <c r="L1304" s="557"/>
      <c r="M1304" s="557"/>
      <c r="N1304" s="557"/>
    </row>
    <row r="1305" spans="1:14" x14ac:dyDescent="0.25">
      <c r="A1305" s="753"/>
      <c r="C1305" s="452" t="s">
        <v>1033</v>
      </c>
      <c r="D1305" s="449">
        <f t="shared" ref="D1305:D1319" si="105">D1304</f>
        <v>45997</v>
      </c>
      <c r="E1305" s="455" t="s">
        <v>162</v>
      </c>
      <c r="F1305" s="506"/>
      <c r="G1305" s="506"/>
      <c r="H1305" s="506"/>
      <c r="I1305" s="516"/>
      <c r="J1305" s="516"/>
      <c r="K1305" s="516"/>
      <c r="L1305" s="557"/>
      <c r="M1305" s="557"/>
      <c r="N1305" s="557"/>
    </row>
    <row r="1306" spans="1:14" x14ac:dyDescent="0.25">
      <c r="A1306" s="753"/>
      <c r="C1306" s="452" t="s">
        <v>1033</v>
      </c>
      <c r="D1306" s="502">
        <f t="shared" si="105"/>
        <v>45997</v>
      </c>
      <c r="E1306" s="503" t="s">
        <v>163</v>
      </c>
      <c r="F1306" s="506"/>
      <c r="G1306" s="506"/>
      <c r="H1306" s="506"/>
      <c r="I1306" s="516"/>
      <c r="J1306" s="516"/>
      <c r="K1306" s="516"/>
      <c r="L1306" s="557"/>
      <c r="M1306" s="557"/>
      <c r="N1306" s="557"/>
    </row>
    <row r="1307" spans="1:14" ht="15.75" thickBot="1" x14ac:dyDescent="0.3">
      <c r="A1307" s="753"/>
      <c r="C1307" s="530" t="s">
        <v>1033</v>
      </c>
      <c r="D1307" s="451">
        <f t="shared" si="105"/>
        <v>45997</v>
      </c>
      <c r="E1307" s="459" t="s">
        <v>164</v>
      </c>
      <c r="F1307" s="493"/>
      <c r="G1307" s="493"/>
      <c r="H1307" s="493"/>
      <c r="I1307" s="513"/>
      <c r="J1307" s="513"/>
      <c r="K1307" s="513"/>
      <c r="L1307" s="558"/>
      <c r="M1307" s="558"/>
      <c r="N1307" s="558"/>
    </row>
    <row r="1308" spans="1:14" x14ac:dyDescent="0.25">
      <c r="C1308" t="s">
        <v>1033</v>
      </c>
      <c r="D1308">
        <f t="shared" si="105"/>
        <v>45997</v>
      </c>
      <c r="E1308" t="s">
        <v>165</v>
      </c>
    </row>
    <row r="1309" spans="1:14" x14ac:dyDescent="0.25">
      <c r="C1309" t="s">
        <v>1033</v>
      </c>
      <c r="D1309">
        <f t="shared" si="105"/>
        <v>45997</v>
      </c>
      <c r="E1309" t="s">
        <v>166</v>
      </c>
    </row>
    <row r="1310" spans="1:14" x14ac:dyDescent="0.25">
      <c r="C1310" t="s">
        <v>1033</v>
      </c>
      <c r="D1310">
        <f t="shared" si="105"/>
        <v>45997</v>
      </c>
      <c r="E1310" t="s">
        <v>576</v>
      </c>
      <c r="F1310" t="s">
        <v>145</v>
      </c>
      <c r="G1310" t="s">
        <v>145</v>
      </c>
      <c r="H1310" t="s">
        <v>145</v>
      </c>
    </row>
    <row r="1311" spans="1:14" x14ac:dyDescent="0.25">
      <c r="C1311" t="s">
        <v>1033</v>
      </c>
      <c r="D1311">
        <f t="shared" si="105"/>
        <v>45997</v>
      </c>
      <c r="E1311" t="s">
        <v>167</v>
      </c>
    </row>
    <row r="1312" spans="1:14" x14ac:dyDescent="0.25">
      <c r="C1312" t="s">
        <v>1033</v>
      </c>
      <c r="D1312">
        <f t="shared" si="105"/>
        <v>45997</v>
      </c>
      <c r="E1312" t="s">
        <v>168</v>
      </c>
    </row>
    <row r="1313" spans="3:8" x14ac:dyDescent="0.25">
      <c r="C1313" t="s">
        <v>1033</v>
      </c>
      <c r="D1313">
        <f t="shared" si="105"/>
        <v>45997</v>
      </c>
      <c r="E1313" t="s">
        <v>169</v>
      </c>
    </row>
    <row r="1314" spans="3:8" x14ac:dyDescent="0.25">
      <c r="C1314" t="s">
        <v>1033</v>
      </c>
      <c r="D1314">
        <f t="shared" si="105"/>
        <v>45997</v>
      </c>
      <c r="E1314" t="s">
        <v>170</v>
      </c>
    </row>
    <row r="1315" spans="3:8" x14ac:dyDescent="0.25">
      <c r="C1315" t="s">
        <v>1033</v>
      </c>
      <c r="D1315">
        <f t="shared" si="105"/>
        <v>45997</v>
      </c>
      <c r="E1315" t="s">
        <v>585</v>
      </c>
      <c r="F1315" t="s">
        <v>145</v>
      </c>
      <c r="G1315" t="s">
        <v>145</v>
      </c>
      <c r="H1315" t="s">
        <v>145</v>
      </c>
    </row>
    <row r="1316" spans="3:8" x14ac:dyDescent="0.25">
      <c r="C1316" t="s">
        <v>1033</v>
      </c>
      <c r="D1316">
        <f t="shared" si="105"/>
        <v>45997</v>
      </c>
      <c r="E1316" t="s">
        <v>574</v>
      </c>
      <c r="F1316" t="s">
        <v>145</v>
      </c>
      <c r="G1316" t="s">
        <v>145</v>
      </c>
      <c r="H1316" t="s">
        <v>145</v>
      </c>
    </row>
    <row r="1317" spans="3:8" x14ac:dyDescent="0.25">
      <c r="C1317" t="s">
        <v>1033</v>
      </c>
      <c r="D1317">
        <f t="shared" si="105"/>
        <v>45997</v>
      </c>
      <c r="E1317" t="s">
        <v>575</v>
      </c>
      <c r="F1317" t="s">
        <v>145</v>
      </c>
      <c r="G1317" t="s">
        <v>145</v>
      </c>
      <c r="H1317" t="s">
        <v>145</v>
      </c>
    </row>
    <row r="1318" spans="3:8" x14ac:dyDescent="0.25">
      <c r="C1318" t="s">
        <v>1033</v>
      </c>
      <c r="D1318">
        <f t="shared" si="105"/>
        <v>45997</v>
      </c>
      <c r="E1318" t="s">
        <v>583</v>
      </c>
      <c r="F1318" t="s">
        <v>145</v>
      </c>
      <c r="G1318" t="s">
        <v>145</v>
      </c>
      <c r="H1318" t="s">
        <v>145</v>
      </c>
    </row>
    <row r="1319" spans="3:8" x14ac:dyDescent="0.25">
      <c r="C1319" t="s">
        <v>1033</v>
      </c>
      <c r="D1319">
        <f t="shared" si="105"/>
        <v>45997</v>
      </c>
      <c r="E1319" t="s">
        <v>584</v>
      </c>
      <c r="F1319" t="s">
        <v>145</v>
      </c>
      <c r="G1319" t="s">
        <v>145</v>
      </c>
      <c r="H1319" t="s">
        <v>145</v>
      </c>
    </row>
    <row r="1321" spans="3:8" x14ac:dyDescent="0.25">
      <c r="C1321" t="s">
        <v>1034</v>
      </c>
      <c r="D1321">
        <f>D1319+1</f>
        <v>45998</v>
      </c>
      <c r="E1321" t="s">
        <v>573</v>
      </c>
      <c r="F1321" t="s">
        <v>145</v>
      </c>
      <c r="G1321" t="s">
        <v>145</v>
      </c>
      <c r="H1321" t="s">
        <v>145</v>
      </c>
    </row>
    <row r="1322" spans="3:8" x14ac:dyDescent="0.25">
      <c r="C1322" t="s">
        <v>1034</v>
      </c>
      <c r="D1322">
        <f t="shared" ref="D1322:D1336" si="106">D1321</f>
        <v>45998</v>
      </c>
      <c r="E1322" t="s">
        <v>162</v>
      </c>
    </row>
    <row r="1323" spans="3:8" x14ac:dyDescent="0.25">
      <c r="C1323" t="s">
        <v>1034</v>
      </c>
      <c r="D1323">
        <f t="shared" si="106"/>
        <v>45998</v>
      </c>
      <c r="E1323" t="s">
        <v>163</v>
      </c>
    </row>
    <row r="1324" spans="3:8" x14ac:dyDescent="0.25">
      <c r="C1324" t="s">
        <v>1034</v>
      </c>
      <c r="D1324">
        <f t="shared" si="106"/>
        <v>45998</v>
      </c>
      <c r="E1324" t="s">
        <v>164</v>
      </c>
    </row>
    <row r="1325" spans="3:8" x14ac:dyDescent="0.25">
      <c r="C1325" t="s">
        <v>1034</v>
      </c>
      <c r="D1325">
        <f t="shared" si="106"/>
        <v>45998</v>
      </c>
      <c r="E1325" t="s">
        <v>165</v>
      </c>
    </row>
    <row r="1326" spans="3:8" x14ac:dyDescent="0.25">
      <c r="C1326" t="s">
        <v>1034</v>
      </c>
      <c r="D1326">
        <f t="shared" si="106"/>
        <v>45998</v>
      </c>
      <c r="E1326" t="s">
        <v>166</v>
      </c>
    </row>
    <row r="1327" spans="3:8" x14ac:dyDescent="0.25">
      <c r="C1327" t="s">
        <v>1034</v>
      </c>
      <c r="D1327">
        <f t="shared" si="106"/>
        <v>45998</v>
      </c>
      <c r="E1327" t="s">
        <v>576</v>
      </c>
      <c r="F1327" t="s">
        <v>145</v>
      </c>
      <c r="G1327" t="s">
        <v>145</v>
      </c>
      <c r="H1327" t="s">
        <v>145</v>
      </c>
    </row>
    <row r="1328" spans="3:8" x14ac:dyDescent="0.25">
      <c r="C1328" t="s">
        <v>1034</v>
      </c>
      <c r="D1328">
        <f t="shared" si="106"/>
        <v>45998</v>
      </c>
      <c r="E1328" t="s">
        <v>167</v>
      </c>
    </row>
    <row r="1329" spans="1:18" x14ac:dyDescent="0.25">
      <c r="C1329" t="s">
        <v>1034</v>
      </c>
      <c r="D1329">
        <f t="shared" si="106"/>
        <v>45998</v>
      </c>
      <c r="E1329" t="s">
        <v>168</v>
      </c>
    </row>
    <row r="1330" spans="1:18" x14ac:dyDescent="0.25">
      <c r="C1330" t="s">
        <v>1034</v>
      </c>
      <c r="D1330">
        <f t="shared" si="106"/>
        <v>45998</v>
      </c>
      <c r="E1330" t="s">
        <v>169</v>
      </c>
    </row>
    <row r="1331" spans="1:18" x14ac:dyDescent="0.25">
      <c r="C1331" t="s">
        <v>1034</v>
      </c>
      <c r="D1331">
        <f t="shared" si="106"/>
        <v>45998</v>
      </c>
      <c r="E1331" t="s">
        <v>170</v>
      </c>
    </row>
    <row r="1332" spans="1:18" x14ac:dyDescent="0.25">
      <c r="C1332" t="s">
        <v>1034</v>
      </c>
      <c r="D1332">
        <f t="shared" si="106"/>
        <v>45998</v>
      </c>
      <c r="E1332" t="s">
        <v>585</v>
      </c>
      <c r="F1332" t="s">
        <v>145</v>
      </c>
      <c r="G1332" t="s">
        <v>145</v>
      </c>
      <c r="H1332" t="s">
        <v>145</v>
      </c>
    </row>
    <row r="1333" spans="1:18" x14ac:dyDescent="0.25">
      <c r="C1333" t="s">
        <v>1034</v>
      </c>
      <c r="D1333">
        <f t="shared" si="106"/>
        <v>45998</v>
      </c>
      <c r="E1333" t="s">
        <v>574</v>
      </c>
      <c r="F1333" t="s">
        <v>145</v>
      </c>
      <c r="G1333" t="s">
        <v>145</v>
      </c>
      <c r="H1333" t="s">
        <v>145</v>
      </c>
    </row>
    <row r="1334" spans="1:18" x14ac:dyDescent="0.25">
      <c r="C1334" t="s">
        <v>1034</v>
      </c>
      <c r="D1334">
        <f t="shared" si="106"/>
        <v>45998</v>
      </c>
      <c r="E1334" t="s">
        <v>575</v>
      </c>
      <c r="F1334" t="s">
        <v>145</v>
      </c>
      <c r="G1334" t="s">
        <v>145</v>
      </c>
      <c r="H1334" t="s">
        <v>145</v>
      </c>
    </row>
    <row r="1335" spans="1:18" x14ac:dyDescent="0.25">
      <c r="C1335" t="s">
        <v>1034</v>
      </c>
      <c r="D1335">
        <f t="shared" si="106"/>
        <v>45998</v>
      </c>
      <c r="E1335" t="s">
        <v>583</v>
      </c>
      <c r="F1335" t="s">
        <v>145</v>
      </c>
      <c r="G1335" t="s">
        <v>145</v>
      </c>
      <c r="H1335" t="s">
        <v>145</v>
      </c>
    </row>
    <row r="1336" spans="1:18" x14ac:dyDescent="0.25">
      <c r="C1336" t="s">
        <v>1034</v>
      </c>
      <c r="D1336">
        <f t="shared" si="106"/>
        <v>45998</v>
      </c>
      <c r="E1336" t="s">
        <v>584</v>
      </c>
      <c r="F1336" t="s">
        <v>145</v>
      </c>
      <c r="G1336" t="s">
        <v>145</v>
      </c>
      <c r="H1336" t="s">
        <v>145</v>
      </c>
    </row>
    <row r="1337" spans="1:18" ht="15.75" thickBot="1" x14ac:dyDescent="0.3"/>
    <row r="1338" spans="1:18" ht="15" customHeight="1" thickBot="1" x14ac:dyDescent="0.3">
      <c r="A1338" s="753" t="s">
        <v>933</v>
      </c>
      <c r="C1338" s="538" t="s">
        <v>161</v>
      </c>
      <c r="D1338" s="539">
        <f>Passado!D1301+3</f>
        <v>45999</v>
      </c>
      <c r="E1338" s="539" t="s">
        <v>573</v>
      </c>
      <c r="F1338" s="539" t="s">
        <v>1022</v>
      </c>
      <c r="G1338" s="539" t="s">
        <v>642</v>
      </c>
      <c r="H1338" s="539" t="s">
        <v>145</v>
      </c>
      <c r="I1338" s="543"/>
      <c r="J1338" s="542"/>
      <c r="K1338" s="544"/>
      <c r="L1338" s="560"/>
      <c r="M1338" s="561"/>
      <c r="N1338" s="562"/>
      <c r="O1338" s="548"/>
      <c r="P1338" s="549"/>
      <c r="Q1338" s="3"/>
      <c r="R1338" s="3"/>
    </row>
    <row r="1339" spans="1:18" x14ac:dyDescent="0.25">
      <c r="A1339" s="753"/>
      <c r="C1339" s="496" t="s">
        <v>161</v>
      </c>
      <c r="D1339" s="507">
        <f t="shared" ref="D1339:D1353" si="107">D1338</f>
        <v>45999</v>
      </c>
      <c r="E1339" s="498" t="s">
        <v>162</v>
      </c>
      <c r="F1339" s="514" t="s">
        <v>1022</v>
      </c>
      <c r="G1339" s="514" t="s">
        <v>642</v>
      </c>
      <c r="H1339" s="515"/>
      <c r="I1339" s="537"/>
      <c r="J1339" s="537"/>
      <c r="K1339" s="537"/>
      <c r="L1339" s="563"/>
      <c r="M1339" s="563"/>
      <c r="N1339" s="563"/>
    </row>
    <row r="1340" spans="1:18" x14ac:dyDescent="0.25">
      <c r="A1340" s="753"/>
      <c r="C1340" s="525" t="s">
        <v>161</v>
      </c>
      <c r="D1340" s="499">
        <f t="shared" si="107"/>
        <v>45999</v>
      </c>
      <c r="E1340" s="500" t="s">
        <v>163</v>
      </c>
      <c r="F1340" s="460" t="s">
        <v>1022</v>
      </c>
      <c r="G1340" s="460" t="s">
        <v>1068</v>
      </c>
      <c r="H1340" s="460"/>
      <c r="I1340" s="540"/>
      <c r="J1340" s="540"/>
      <c r="K1340" s="540"/>
      <c r="L1340" s="555"/>
      <c r="M1340" s="555"/>
      <c r="N1340" s="555"/>
    </row>
    <row r="1341" spans="1:18" x14ac:dyDescent="0.25">
      <c r="A1341" s="753"/>
      <c r="C1341" s="526" t="s">
        <v>161</v>
      </c>
      <c r="D1341" s="449">
        <f t="shared" si="107"/>
        <v>45999</v>
      </c>
      <c r="E1341" s="454" t="s">
        <v>164</v>
      </c>
      <c r="F1341" s="460" t="s">
        <v>1022</v>
      </c>
      <c r="G1341" s="460" t="s">
        <v>1068</v>
      </c>
      <c r="H1341" s="460"/>
      <c r="I1341" s="540"/>
      <c r="J1341" s="540"/>
      <c r="K1341" s="540"/>
      <c r="L1341" s="564"/>
      <c r="M1341" s="564"/>
      <c r="N1341" s="564"/>
    </row>
    <row r="1342" spans="1:18" x14ac:dyDescent="0.25">
      <c r="A1342" s="753"/>
      <c r="C1342" s="526" t="s">
        <v>161</v>
      </c>
      <c r="D1342" s="449">
        <f t="shared" si="107"/>
        <v>45999</v>
      </c>
      <c r="E1342" s="454" t="s">
        <v>165</v>
      </c>
      <c r="F1342" s="460" t="s">
        <v>1022</v>
      </c>
      <c r="G1342" s="460" t="s">
        <v>1069</v>
      </c>
      <c r="H1342" s="460"/>
      <c r="I1342" s="540"/>
      <c r="J1342" s="540"/>
      <c r="K1342" s="540"/>
      <c r="L1342" s="564"/>
      <c r="M1342" s="564"/>
      <c r="N1342" s="564"/>
    </row>
    <row r="1343" spans="1:18" x14ac:dyDescent="0.25">
      <c r="A1343" s="753"/>
      <c r="C1343" s="526" t="s">
        <v>161</v>
      </c>
      <c r="D1343" s="449">
        <f t="shared" si="107"/>
        <v>45999</v>
      </c>
      <c r="E1343" s="454" t="s">
        <v>166</v>
      </c>
      <c r="F1343" s="460" t="s">
        <v>1022</v>
      </c>
      <c r="G1343" s="460" t="s">
        <v>1069</v>
      </c>
      <c r="H1343" s="460"/>
      <c r="I1343" s="540"/>
      <c r="J1343" s="540"/>
      <c r="K1343" s="540"/>
      <c r="L1343" s="564"/>
      <c r="M1343" s="564"/>
      <c r="N1343" s="564"/>
    </row>
    <row r="1344" spans="1:18" x14ac:dyDescent="0.25">
      <c r="A1344" s="753"/>
      <c r="C1344" s="526" t="s">
        <v>161</v>
      </c>
      <c r="D1344" s="449">
        <f t="shared" si="107"/>
        <v>45999</v>
      </c>
      <c r="E1344" s="454" t="s">
        <v>576</v>
      </c>
      <c r="F1344" s="460" t="s">
        <v>1022</v>
      </c>
      <c r="G1344" s="460" t="s">
        <v>1070</v>
      </c>
      <c r="H1344" s="460" t="s">
        <v>145</v>
      </c>
      <c r="I1344" s="540"/>
      <c r="J1344" s="540"/>
      <c r="K1344" s="540"/>
      <c r="L1344" s="564"/>
      <c r="M1344" s="564"/>
      <c r="N1344" s="564"/>
    </row>
    <row r="1345" spans="1:18" x14ac:dyDescent="0.25">
      <c r="A1345" s="753"/>
      <c r="C1345" s="526" t="s">
        <v>161</v>
      </c>
      <c r="D1345" s="449">
        <f t="shared" si="107"/>
        <v>45999</v>
      </c>
      <c r="E1345" s="454" t="s">
        <v>167</v>
      </c>
      <c r="F1345" s="512" t="s">
        <v>1022</v>
      </c>
      <c r="G1345" s="512" t="s">
        <v>1070</v>
      </c>
      <c r="H1345" s="505"/>
      <c r="I1345" s="554"/>
      <c r="J1345" s="541"/>
      <c r="K1345" s="541"/>
      <c r="L1345" s="556"/>
      <c r="M1345" s="556"/>
      <c r="N1345" s="556"/>
    </row>
    <row r="1346" spans="1:18" x14ac:dyDescent="0.25">
      <c r="A1346" s="753"/>
      <c r="C1346" s="527" t="s">
        <v>161</v>
      </c>
      <c r="D1346" s="449">
        <f t="shared" si="107"/>
        <v>45999</v>
      </c>
      <c r="E1346" s="454" t="s">
        <v>168</v>
      </c>
      <c r="F1346" s="460" t="s">
        <v>1024</v>
      </c>
      <c r="G1346" s="460" t="s">
        <v>1072</v>
      </c>
      <c r="H1346" s="460"/>
      <c r="I1346" s="540"/>
      <c r="J1346" s="540"/>
      <c r="K1346" s="540"/>
      <c r="L1346" s="565"/>
      <c r="M1346" s="565"/>
      <c r="N1346" s="565"/>
    </row>
    <row r="1347" spans="1:18" x14ac:dyDescent="0.25">
      <c r="A1347" s="753"/>
      <c r="C1347" s="527" t="s">
        <v>161</v>
      </c>
      <c r="D1347" s="449">
        <f t="shared" si="107"/>
        <v>45999</v>
      </c>
      <c r="E1347" s="454" t="s">
        <v>169</v>
      </c>
      <c r="F1347" s="460" t="s">
        <v>1024</v>
      </c>
      <c r="G1347" s="460" t="s">
        <v>1072</v>
      </c>
      <c r="H1347" s="461"/>
      <c r="I1347" s="540"/>
      <c r="J1347" s="540"/>
      <c r="K1347" s="540"/>
      <c r="L1347" s="565"/>
      <c r="M1347" s="565"/>
      <c r="N1347" s="565"/>
    </row>
    <row r="1348" spans="1:18" x14ac:dyDescent="0.25">
      <c r="A1348" s="753"/>
      <c r="C1348" s="527" t="s">
        <v>161</v>
      </c>
      <c r="D1348" s="449">
        <f t="shared" si="107"/>
        <v>45999</v>
      </c>
      <c r="E1348" s="454" t="s">
        <v>170</v>
      </c>
      <c r="F1348" s="460" t="s">
        <v>1024</v>
      </c>
      <c r="G1348" s="460" t="s">
        <v>1071</v>
      </c>
      <c r="H1348" s="461"/>
      <c r="I1348" s="540"/>
      <c r="J1348" s="540"/>
      <c r="K1348" s="540"/>
      <c r="L1348" s="565"/>
      <c r="M1348" s="565"/>
      <c r="N1348" s="565"/>
    </row>
    <row r="1349" spans="1:18" x14ac:dyDescent="0.25">
      <c r="A1349" s="753"/>
      <c r="C1349" s="527" t="s">
        <v>161</v>
      </c>
      <c r="D1349" s="449">
        <f t="shared" si="107"/>
        <v>45999</v>
      </c>
      <c r="E1349" s="454" t="s">
        <v>585</v>
      </c>
      <c r="F1349" s="460" t="s">
        <v>1024</v>
      </c>
      <c r="G1349" s="460" t="s">
        <v>1071</v>
      </c>
      <c r="H1349" s="504" t="s">
        <v>145</v>
      </c>
      <c r="I1349" s="540"/>
      <c r="J1349" s="540"/>
      <c r="K1349" s="540"/>
      <c r="L1349" s="566"/>
      <c r="M1349" s="566"/>
      <c r="N1349" s="566"/>
    </row>
    <row r="1350" spans="1:18" x14ac:dyDescent="0.25">
      <c r="A1350" s="753"/>
      <c r="C1350" s="527" t="s">
        <v>161</v>
      </c>
      <c r="D1350" s="449">
        <f t="shared" si="107"/>
        <v>45999</v>
      </c>
      <c r="E1350" s="454" t="s">
        <v>574</v>
      </c>
      <c r="F1350" s="505" t="s">
        <v>145</v>
      </c>
      <c r="G1350" s="516"/>
      <c r="H1350" s="516" t="s">
        <v>145</v>
      </c>
      <c r="I1350" s="516"/>
      <c r="J1350" s="516"/>
      <c r="K1350" s="516"/>
      <c r="L1350" s="557"/>
      <c r="M1350" s="557"/>
      <c r="N1350" s="557"/>
    </row>
    <row r="1351" spans="1:18" x14ac:dyDescent="0.25">
      <c r="A1351" s="753"/>
      <c r="C1351" s="527" t="s">
        <v>161</v>
      </c>
      <c r="D1351" s="449">
        <f t="shared" si="107"/>
        <v>45999</v>
      </c>
      <c r="E1351" s="455" t="s">
        <v>575</v>
      </c>
      <c r="F1351" s="505" t="s">
        <v>1024</v>
      </c>
      <c r="G1351" s="516" t="s">
        <v>1073</v>
      </c>
      <c r="H1351" s="516" t="s">
        <v>145</v>
      </c>
      <c r="I1351" s="516"/>
      <c r="J1351" s="516"/>
      <c r="K1351" s="516"/>
      <c r="L1351" s="557"/>
      <c r="M1351" s="557"/>
      <c r="N1351" s="557"/>
    </row>
    <row r="1352" spans="1:18" x14ac:dyDescent="0.25">
      <c r="A1352" s="753"/>
      <c r="C1352" s="527" t="s">
        <v>161</v>
      </c>
      <c r="D1352" s="449">
        <f t="shared" si="107"/>
        <v>45999</v>
      </c>
      <c r="E1352" s="455" t="s">
        <v>583</v>
      </c>
      <c r="F1352" s="506" t="s">
        <v>1024</v>
      </c>
      <c r="G1352" s="506" t="s">
        <v>1073</v>
      </c>
      <c r="H1352" s="516" t="s">
        <v>145</v>
      </c>
      <c r="I1352" s="516"/>
      <c r="J1352" s="516"/>
      <c r="K1352" s="516"/>
      <c r="L1352" s="557"/>
      <c r="M1352" s="557"/>
      <c r="N1352" s="557"/>
    </row>
    <row r="1353" spans="1:18" x14ac:dyDescent="0.25">
      <c r="A1353" s="753"/>
      <c r="C1353" s="527" t="s">
        <v>161</v>
      </c>
      <c r="D1353" s="449">
        <f t="shared" si="107"/>
        <v>45999</v>
      </c>
      <c r="E1353" s="503" t="s">
        <v>584</v>
      </c>
      <c r="F1353" s="506" t="s">
        <v>1024</v>
      </c>
      <c r="G1353" s="506" t="s">
        <v>1074</v>
      </c>
      <c r="H1353" s="516" t="s">
        <v>145</v>
      </c>
      <c r="I1353" s="516"/>
      <c r="J1353" s="516"/>
      <c r="K1353" s="516"/>
      <c r="L1353" s="557"/>
      <c r="M1353" s="557"/>
      <c r="N1353" s="557"/>
    </row>
    <row r="1354" spans="1:18" ht="15.75" thickBot="1" x14ac:dyDescent="0.3">
      <c r="A1354" s="753"/>
      <c r="C1354" s="528"/>
      <c r="D1354" s="451"/>
      <c r="E1354" s="459"/>
      <c r="F1354" s="493"/>
      <c r="G1354" s="493"/>
      <c r="H1354" s="513"/>
      <c r="I1354" s="513"/>
      <c r="J1354" s="513"/>
      <c r="K1354" s="513"/>
      <c r="L1354" s="558"/>
      <c r="M1354" s="558"/>
      <c r="N1354" s="558"/>
    </row>
    <row r="1355" spans="1:18" ht="4.5" customHeight="1" thickBot="1" x14ac:dyDescent="0.3">
      <c r="A1355" s="753"/>
      <c r="C1355" t="s">
        <v>171</v>
      </c>
      <c r="D1355">
        <f>D1353+1</f>
        <v>46000</v>
      </c>
      <c r="E1355" t="s">
        <v>573</v>
      </c>
      <c r="F1355" t="s">
        <v>1024</v>
      </c>
      <c r="G1355" t="s">
        <v>1074</v>
      </c>
      <c r="H1355" t="s">
        <v>145</v>
      </c>
      <c r="L1355" s="559"/>
      <c r="M1355" s="559"/>
      <c r="N1355" s="559"/>
      <c r="Q1355" s="3"/>
      <c r="R1355" s="3"/>
    </row>
    <row r="1356" spans="1:18" ht="15" customHeight="1" thickBot="1" x14ac:dyDescent="0.3">
      <c r="A1356" s="753"/>
      <c r="C1356" s="538" t="s">
        <v>171</v>
      </c>
      <c r="D1356" s="539">
        <f t="shared" ref="D1356:D1370" si="108">D1355</f>
        <v>46000</v>
      </c>
      <c r="E1356" s="539" t="s">
        <v>162</v>
      </c>
      <c r="F1356" s="539" t="s">
        <v>1024</v>
      </c>
      <c r="G1356" s="539" t="s">
        <v>1075</v>
      </c>
      <c r="H1356" s="539"/>
      <c r="I1356" s="543"/>
      <c r="J1356" s="542"/>
      <c r="K1356" s="544"/>
      <c r="L1356" s="560"/>
      <c r="M1356" s="561"/>
      <c r="N1356" s="562"/>
      <c r="O1356" s="548"/>
      <c r="P1356" s="549"/>
      <c r="Q1356" s="3"/>
      <c r="R1356" s="3"/>
    </row>
    <row r="1357" spans="1:18" x14ac:dyDescent="0.25">
      <c r="A1357" s="753"/>
      <c r="C1357" s="446" t="s">
        <v>171</v>
      </c>
      <c r="D1357" s="497">
        <f t="shared" si="108"/>
        <v>46000</v>
      </c>
      <c r="E1357" s="498" t="s">
        <v>163</v>
      </c>
      <c r="F1357" s="514" t="s">
        <v>1024</v>
      </c>
      <c r="G1357" s="514" t="s">
        <v>1075</v>
      </c>
      <c r="H1357" s="515"/>
      <c r="I1357" s="537"/>
      <c r="J1357" s="537"/>
      <c r="K1357" s="537"/>
      <c r="L1357" s="563"/>
      <c r="M1357" s="563"/>
      <c r="N1357" s="563"/>
    </row>
    <row r="1358" spans="1:18" x14ac:dyDescent="0.25">
      <c r="A1358" s="753"/>
      <c r="C1358" s="452" t="s">
        <v>171</v>
      </c>
      <c r="D1358" s="499">
        <f t="shared" si="108"/>
        <v>46000</v>
      </c>
      <c r="E1358" s="500" t="s">
        <v>164</v>
      </c>
      <c r="F1358" s="460" t="s">
        <v>1024</v>
      </c>
      <c r="G1358" s="460" t="s">
        <v>1028</v>
      </c>
      <c r="H1358" s="501"/>
      <c r="I1358" s="540"/>
      <c r="J1358" s="540"/>
      <c r="K1358" s="540"/>
      <c r="L1358" s="555"/>
      <c r="M1358" s="555"/>
      <c r="N1358" s="555"/>
    </row>
    <row r="1359" spans="1:18" x14ac:dyDescent="0.25">
      <c r="A1359" s="753"/>
      <c r="C1359" s="452" t="s">
        <v>171</v>
      </c>
      <c r="D1359" s="449">
        <f t="shared" si="108"/>
        <v>46000</v>
      </c>
      <c r="E1359" s="454" t="s">
        <v>165</v>
      </c>
      <c r="F1359" s="460" t="s">
        <v>1024</v>
      </c>
      <c r="G1359" s="460" t="s">
        <v>1028</v>
      </c>
      <c r="H1359" s="460"/>
      <c r="I1359" s="540"/>
      <c r="J1359" s="540"/>
      <c r="K1359" s="540"/>
      <c r="L1359" s="564"/>
      <c r="M1359" s="564"/>
      <c r="N1359" s="564"/>
    </row>
    <row r="1360" spans="1:18" x14ac:dyDescent="0.25">
      <c r="A1360" s="753"/>
      <c r="C1360" s="452" t="s">
        <v>171</v>
      </c>
      <c r="D1360" s="449">
        <f t="shared" si="108"/>
        <v>46000</v>
      </c>
      <c r="E1360" s="454" t="s">
        <v>166</v>
      </c>
      <c r="F1360" s="460" t="s">
        <v>1024</v>
      </c>
      <c r="G1360" s="460" t="s">
        <v>1028</v>
      </c>
      <c r="H1360" s="460"/>
      <c r="I1360" s="540"/>
      <c r="J1360" s="540"/>
      <c r="K1360" s="540"/>
      <c r="L1360" s="564"/>
      <c r="M1360" s="564"/>
      <c r="N1360" s="564"/>
    </row>
    <row r="1361" spans="1:18" x14ac:dyDescent="0.25">
      <c r="A1361" s="753"/>
      <c r="C1361" s="452" t="s">
        <v>171</v>
      </c>
      <c r="D1361" s="449">
        <f t="shared" si="108"/>
        <v>46000</v>
      </c>
      <c r="E1361" s="454" t="s">
        <v>576</v>
      </c>
      <c r="F1361" s="460" t="s">
        <v>1024</v>
      </c>
      <c r="G1361" s="460" t="s">
        <v>1028</v>
      </c>
      <c r="H1361" s="460" t="s">
        <v>145</v>
      </c>
      <c r="I1361" s="540"/>
      <c r="J1361" s="540"/>
      <c r="K1361" s="540"/>
      <c r="L1361" s="564"/>
      <c r="M1361" s="564"/>
      <c r="N1361" s="564"/>
    </row>
    <row r="1362" spans="1:18" x14ac:dyDescent="0.25">
      <c r="A1362" s="753"/>
      <c r="C1362" s="452" t="s">
        <v>171</v>
      </c>
      <c r="D1362" s="449">
        <f t="shared" si="108"/>
        <v>46000</v>
      </c>
      <c r="E1362" s="454" t="s">
        <v>167</v>
      </c>
      <c r="F1362" s="460" t="s">
        <v>1024</v>
      </c>
      <c r="G1362" s="460" t="s">
        <v>1028</v>
      </c>
      <c r="H1362" s="460"/>
      <c r="I1362" s="540"/>
      <c r="J1362" s="540"/>
      <c r="K1362" s="540"/>
      <c r="L1362" s="564"/>
      <c r="M1362" s="564"/>
      <c r="N1362" s="564"/>
    </row>
    <row r="1363" spans="1:18" x14ac:dyDescent="0.25">
      <c r="A1363" s="753"/>
      <c r="C1363" s="452" t="s">
        <v>171</v>
      </c>
      <c r="D1363" s="449">
        <f t="shared" si="108"/>
        <v>46000</v>
      </c>
      <c r="E1363" s="454" t="s">
        <v>168</v>
      </c>
      <c r="F1363" s="517" t="s">
        <v>1024</v>
      </c>
      <c r="G1363" s="512" t="s">
        <v>1028</v>
      </c>
      <c r="H1363" s="505"/>
      <c r="I1363" s="554"/>
      <c r="J1363" s="541"/>
      <c r="K1363" s="541"/>
      <c r="L1363" s="556"/>
      <c r="M1363" s="556"/>
      <c r="N1363" s="556"/>
    </row>
    <row r="1364" spans="1:18" x14ac:dyDescent="0.25">
      <c r="A1364" s="753"/>
      <c r="C1364" s="452" t="s">
        <v>171</v>
      </c>
      <c r="D1364" s="449">
        <f t="shared" si="108"/>
        <v>46000</v>
      </c>
      <c r="E1364" s="454" t="s">
        <v>169</v>
      </c>
      <c r="F1364" s="460" t="s">
        <v>1024</v>
      </c>
      <c r="G1364" s="460" t="s">
        <v>1028</v>
      </c>
      <c r="H1364" s="461"/>
      <c r="I1364" s="540"/>
      <c r="J1364" s="540"/>
      <c r="K1364" s="540"/>
      <c r="L1364" s="565"/>
      <c r="M1364" s="565"/>
      <c r="N1364" s="565"/>
    </row>
    <row r="1365" spans="1:18" x14ac:dyDescent="0.25">
      <c r="A1365" s="753"/>
      <c r="C1365" s="452" t="s">
        <v>171</v>
      </c>
      <c r="D1365" s="449">
        <f t="shared" si="108"/>
        <v>46000</v>
      </c>
      <c r="E1365" s="454" t="s">
        <v>170</v>
      </c>
      <c r="F1365" s="460" t="s">
        <v>1024</v>
      </c>
      <c r="G1365" s="460" t="s">
        <v>1028</v>
      </c>
      <c r="H1365" s="461"/>
      <c r="I1365" s="540"/>
      <c r="J1365" s="540"/>
      <c r="K1365" s="540"/>
      <c r="L1365" s="565"/>
      <c r="M1365" s="565"/>
      <c r="N1365" s="565"/>
    </row>
    <row r="1366" spans="1:18" x14ac:dyDescent="0.25">
      <c r="A1366" s="753"/>
      <c r="C1366" s="452" t="s">
        <v>171</v>
      </c>
      <c r="D1366" s="449">
        <f t="shared" si="108"/>
        <v>46000</v>
      </c>
      <c r="E1366" s="454" t="s">
        <v>585</v>
      </c>
      <c r="F1366" s="460" t="s">
        <v>1024</v>
      </c>
      <c r="G1366" s="460" t="s">
        <v>1028</v>
      </c>
      <c r="H1366" s="461" t="s">
        <v>145</v>
      </c>
      <c r="I1366" s="540"/>
      <c r="J1366" s="540"/>
      <c r="K1366" s="540"/>
      <c r="L1366" s="565"/>
      <c r="M1366" s="565"/>
      <c r="N1366" s="565"/>
    </row>
    <row r="1367" spans="1:18" x14ac:dyDescent="0.25">
      <c r="A1367" s="753"/>
      <c r="C1367" s="452" t="s">
        <v>171</v>
      </c>
      <c r="D1367" s="449">
        <f t="shared" si="108"/>
        <v>46000</v>
      </c>
      <c r="E1367" s="454" t="s">
        <v>574</v>
      </c>
      <c r="F1367" s="460" t="s">
        <v>145</v>
      </c>
      <c r="G1367" s="460"/>
      <c r="H1367" s="504" t="s">
        <v>145</v>
      </c>
      <c r="I1367" s="540"/>
      <c r="J1367" s="540"/>
      <c r="K1367" s="540"/>
      <c r="L1367" s="566"/>
      <c r="M1367" s="566"/>
      <c r="N1367" s="566"/>
    </row>
    <row r="1368" spans="1:18" x14ac:dyDescent="0.25">
      <c r="A1368" s="753"/>
      <c r="C1368" s="452" t="s">
        <v>171</v>
      </c>
      <c r="D1368" s="449">
        <f t="shared" si="108"/>
        <v>46000</v>
      </c>
      <c r="E1368" s="454" t="s">
        <v>575</v>
      </c>
      <c r="F1368" s="505" t="s">
        <v>1024</v>
      </c>
      <c r="G1368" s="505" t="s">
        <v>1028</v>
      </c>
      <c r="H1368" s="516" t="s">
        <v>145</v>
      </c>
      <c r="I1368" s="516"/>
      <c r="J1368" s="516"/>
      <c r="K1368" s="516"/>
      <c r="L1368" s="557"/>
      <c r="M1368" s="557"/>
      <c r="N1368" s="557"/>
    </row>
    <row r="1369" spans="1:18" x14ac:dyDescent="0.25">
      <c r="A1369" s="753"/>
      <c r="C1369" s="448" t="s">
        <v>171</v>
      </c>
      <c r="D1369" s="449">
        <f t="shared" si="108"/>
        <v>46000</v>
      </c>
      <c r="E1369" s="455" t="s">
        <v>583</v>
      </c>
      <c r="F1369" s="505" t="s">
        <v>1024</v>
      </c>
      <c r="G1369" s="505" t="s">
        <v>1028</v>
      </c>
      <c r="H1369" s="516" t="s">
        <v>145</v>
      </c>
      <c r="I1369" s="516"/>
      <c r="J1369" s="516"/>
      <c r="K1369" s="516"/>
      <c r="L1369" s="557"/>
      <c r="M1369" s="557"/>
      <c r="N1369" s="557"/>
    </row>
    <row r="1370" spans="1:18" x14ac:dyDescent="0.25">
      <c r="A1370" s="753"/>
      <c r="C1370" s="448" t="s">
        <v>171</v>
      </c>
      <c r="D1370" s="449">
        <f t="shared" si="108"/>
        <v>46000</v>
      </c>
      <c r="E1370" s="455" t="s">
        <v>584</v>
      </c>
      <c r="F1370" s="506" t="s">
        <v>1024</v>
      </c>
      <c r="G1370" s="506" t="s">
        <v>1064</v>
      </c>
      <c r="H1370" s="516" t="s">
        <v>145</v>
      </c>
      <c r="I1370" s="516"/>
      <c r="J1370" s="516"/>
      <c r="K1370" s="516"/>
      <c r="L1370" s="557"/>
      <c r="M1370" s="557"/>
      <c r="N1370" s="557"/>
    </row>
    <row r="1371" spans="1:18" x14ac:dyDescent="0.25">
      <c r="A1371" s="753"/>
      <c r="C1371" s="448"/>
      <c r="D1371" s="449"/>
      <c r="E1371" s="503"/>
      <c r="F1371" s="506"/>
      <c r="G1371" s="506"/>
      <c r="H1371" s="516"/>
      <c r="I1371" s="516"/>
      <c r="J1371" s="516"/>
      <c r="K1371" s="516"/>
      <c r="L1371" s="557"/>
      <c r="M1371" s="557"/>
      <c r="N1371" s="557"/>
    </row>
    <row r="1372" spans="1:18" ht="15.75" thickBot="1" x14ac:dyDescent="0.3">
      <c r="A1372" s="753"/>
      <c r="C1372" s="450" t="s">
        <v>172</v>
      </c>
      <c r="D1372" s="451">
        <f>D1370+1</f>
        <v>46001</v>
      </c>
      <c r="E1372" s="459" t="s">
        <v>573</v>
      </c>
      <c r="F1372" s="493" t="s">
        <v>1024</v>
      </c>
      <c r="G1372" s="493" t="s">
        <v>1064</v>
      </c>
      <c r="H1372" s="513" t="s">
        <v>145</v>
      </c>
      <c r="I1372" s="513"/>
      <c r="J1372" s="513"/>
      <c r="K1372" s="513"/>
      <c r="L1372" s="558"/>
      <c r="M1372" s="558"/>
      <c r="N1372" s="558"/>
    </row>
    <row r="1373" spans="1:18" ht="4.5" customHeight="1" thickBot="1" x14ac:dyDescent="0.3">
      <c r="A1373" s="753"/>
      <c r="C1373" t="s">
        <v>172</v>
      </c>
      <c r="D1373">
        <f t="shared" ref="D1373:D1387" si="109">D1372</f>
        <v>46001</v>
      </c>
      <c r="E1373" t="s">
        <v>162</v>
      </c>
      <c r="F1373" t="s">
        <v>1024</v>
      </c>
      <c r="G1373" t="s">
        <v>1065</v>
      </c>
      <c r="L1373" s="559"/>
      <c r="M1373" s="559"/>
      <c r="N1373" s="559"/>
      <c r="Q1373" s="3"/>
      <c r="R1373" s="3"/>
    </row>
    <row r="1374" spans="1:18" ht="15" customHeight="1" thickBot="1" x14ac:dyDescent="0.3">
      <c r="A1374" s="753"/>
      <c r="C1374" s="538" t="s">
        <v>172</v>
      </c>
      <c r="D1374" s="539">
        <f t="shared" si="109"/>
        <v>46001</v>
      </c>
      <c r="E1374" s="539" t="s">
        <v>163</v>
      </c>
      <c r="F1374" s="539" t="s">
        <v>1024</v>
      </c>
      <c r="G1374" s="539" t="s">
        <v>1065</v>
      </c>
      <c r="H1374" s="539"/>
      <c r="I1374" s="543"/>
      <c r="J1374" s="542"/>
      <c r="K1374" s="544"/>
      <c r="L1374" s="560"/>
      <c r="M1374" s="561"/>
      <c r="N1374" s="562"/>
      <c r="O1374" s="548"/>
      <c r="P1374" s="549"/>
      <c r="Q1374" s="3"/>
      <c r="R1374" s="3"/>
    </row>
    <row r="1375" spans="1:18" x14ac:dyDescent="0.25">
      <c r="A1375" s="753"/>
      <c r="C1375" s="446" t="s">
        <v>172</v>
      </c>
      <c r="D1375" s="497">
        <f t="shared" si="109"/>
        <v>46001</v>
      </c>
      <c r="E1375" s="498" t="s">
        <v>164</v>
      </c>
      <c r="F1375" s="514" t="s">
        <v>1024</v>
      </c>
      <c r="G1375" s="514" t="s">
        <v>1066</v>
      </c>
      <c r="H1375" s="515"/>
      <c r="I1375" s="537"/>
      <c r="J1375" s="537"/>
      <c r="K1375" s="537"/>
      <c r="L1375" s="563"/>
      <c r="M1375" s="563"/>
      <c r="N1375" s="563"/>
    </row>
    <row r="1376" spans="1:18" x14ac:dyDescent="0.25">
      <c r="A1376" s="753"/>
      <c r="C1376" s="452" t="s">
        <v>172</v>
      </c>
      <c r="D1376" s="499">
        <f t="shared" si="109"/>
        <v>46001</v>
      </c>
      <c r="E1376" s="500" t="s">
        <v>165</v>
      </c>
      <c r="F1376" s="460" t="s">
        <v>1023</v>
      </c>
      <c r="G1376" s="460" t="s">
        <v>1066</v>
      </c>
      <c r="H1376" s="501"/>
      <c r="I1376" s="540"/>
      <c r="J1376" s="540"/>
      <c r="K1376" s="540"/>
      <c r="L1376" s="555"/>
      <c r="M1376" s="555"/>
      <c r="N1376" s="555"/>
    </row>
    <row r="1377" spans="1:18" x14ac:dyDescent="0.25">
      <c r="A1377" s="753"/>
      <c r="C1377" s="452" t="s">
        <v>172</v>
      </c>
      <c r="D1377" s="449">
        <f t="shared" si="109"/>
        <v>46001</v>
      </c>
      <c r="E1377" s="454" t="s">
        <v>166</v>
      </c>
      <c r="F1377" s="460" t="s">
        <v>1023</v>
      </c>
      <c r="G1377" s="460" t="s">
        <v>1067</v>
      </c>
      <c r="H1377" s="460"/>
      <c r="I1377" s="540"/>
      <c r="J1377" s="540"/>
      <c r="K1377" s="540"/>
      <c r="L1377" s="564"/>
      <c r="M1377" s="564"/>
      <c r="N1377" s="564"/>
    </row>
    <row r="1378" spans="1:18" x14ac:dyDescent="0.25">
      <c r="A1378" s="753"/>
      <c r="C1378" s="452" t="s">
        <v>172</v>
      </c>
      <c r="D1378" s="449">
        <f t="shared" si="109"/>
        <v>46001</v>
      </c>
      <c r="E1378" s="454" t="s">
        <v>576</v>
      </c>
      <c r="F1378" s="460" t="s">
        <v>1023</v>
      </c>
      <c r="G1378" s="460" t="s">
        <v>1067</v>
      </c>
      <c r="H1378" s="460" t="s">
        <v>145</v>
      </c>
      <c r="I1378" s="540"/>
      <c r="J1378" s="540"/>
      <c r="K1378" s="540"/>
      <c r="L1378" s="564"/>
      <c r="M1378" s="564"/>
      <c r="N1378" s="564"/>
    </row>
    <row r="1379" spans="1:18" x14ac:dyDescent="0.25">
      <c r="A1379" s="753"/>
      <c r="C1379" s="452" t="s">
        <v>172</v>
      </c>
      <c r="D1379" s="449">
        <f t="shared" si="109"/>
        <v>46001</v>
      </c>
      <c r="E1379" s="454" t="s">
        <v>167</v>
      </c>
      <c r="F1379" s="460" t="s">
        <v>1023</v>
      </c>
      <c r="G1379" s="460" t="s">
        <v>1029</v>
      </c>
      <c r="H1379" s="460"/>
      <c r="I1379" s="540"/>
      <c r="J1379" s="540"/>
      <c r="K1379" s="540"/>
      <c r="L1379" s="564"/>
      <c r="M1379" s="564"/>
      <c r="N1379" s="564"/>
    </row>
    <row r="1380" spans="1:18" x14ac:dyDescent="0.25">
      <c r="A1380" s="753"/>
      <c r="C1380" s="452" t="s">
        <v>172</v>
      </c>
      <c r="D1380" s="449">
        <f t="shared" si="109"/>
        <v>46001</v>
      </c>
      <c r="E1380" s="454" t="s">
        <v>168</v>
      </c>
      <c r="F1380" s="460" t="s">
        <v>1023</v>
      </c>
      <c r="G1380" s="460"/>
      <c r="H1380" s="460"/>
      <c r="I1380" s="540"/>
      <c r="J1380" s="540"/>
      <c r="K1380" s="540"/>
      <c r="L1380" s="564"/>
      <c r="M1380" s="564"/>
      <c r="N1380" s="564"/>
    </row>
    <row r="1381" spans="1:18" x14ac:dyDescent="0.25">
      <c r="A1381" s="753"/>
      <c r="C1381" s="452" t="s">
        <v>172</v>
      </c>
      <c r="D1381" s="449">
        <f t="shared" si="109"/>
        <v>46001</v>
      </c>
      <c r="E1381" s="454" t="s">
        <v>169</v>
      </c>
      <c r="F1381" s="517" t="s">
        <v>1023</v>
      </c>
      <c r="G1381" s="512"/>
      <c r="H1381" s="505"/>
      <c r="I1381" s="541"/>
      <c r="J1381" s="541"/>
      <c r="K1381" s="541"/>
      <c r="L1381" s="556"/>
      <c r="M1381" s="556"/>
      <c r="N1381" s="556"/>
    </row>
    <row r="1382" spans="1:18" x14ac:dyDescent="0.25">
      <c r="A1382" s="753"/>
      <c r="C1382" s="452" t="s">
        <v>172</v>
      </c>
      <c r="D1382" s="449">
        <f t="shared" si="109"/>
        <v>46001</v>
      </c>
      <c r="E1382" s="454" t="s">
        <v>170</v>
      </c>
      <c r="F1382" s="460" t="s">
        <v>1023</v>
      </c>
      <c r="G1382" s="460"/>
      <c r="H1382" s="461"/>
      <c r="I1382" s="540"/>
      <c r="J1382" s="540"/>
      <c r="K1382" s="540"/>
      <c r="L1382" s="565"/>
      <c r="M1382" s="565"/>
      <c r="N1382" s="565"/>
    </row>
    <row r="1383" spans="1:18" x14ac:dyDescent="0.25">
      <c r="A1383" s="753"/>
      <c r="C1383" s="452" t="s">
        <v>172</v>
      </c>
      <c r="D1383" s="449">
        <f t="shared" si="109"/>
        <v>46001</v>
      </c>
      <c r="E1383" s="454" t="s">
        <v>585</v>
      </c>
      <c r="F1383" s="460" t="s">
        <v>1023</v>
      </c>
      <c r="G1383" s="460"/>
      <c r="H1383" s="461" t="s">
        <v>145</v>
      </c>
      <c r="I1383" s="540"/>
      <c r="J1383" s="540"/>
      <c r="K1383" s="540"/>
      <c r="L1383" s="565"/>
      <c r="M1383" s="565"/>
      <c r="N1383" s="565"/>
    </row>
    <row r="1384" spans="1:18" x14ac:dyDescent="0.25">
      <c r="A1384" s="753"/>
      <c r="C1384" s="452" t="s">
        <v>172</v>
      </c>
      <c r="D1384" s="449">
        <f t="shared" si="109"/>
        <v>46001</v>
      </c>
      <c r="E1384" s="454" t="s">
        <v>574</v>
      </c>
      <c r="F1384" s="460" t="s">
        <v>145</v>
      </c>
      <c r="G1384" s="460"/>
      <c r="H1384" s="461" t="s">
        <v>145</v>
      </c>
      <c r="I1384" s="540"/>
      <c r="J1384" s="540"/>
      <c r="K1384" s="540"/>
      <c r="L1384" s="565"/>
      <c r="M1384" s="565"/>
      <c r="N1384" s="565"/>
    </row>
    <row r="1385" spans="1:18" x14ac:dyDescent="0.25">
      <c r="A1385" s="753"/>
      <c r="C1385" s="452" t="s">
        <v>172</v>
      </c>
      <c r="D1385" s="449">
        <f t="shared" si="109"/>
        <v>46001</v>
      </c>
      <c r="E1385" s="454" t="s">
        <v>575</v>
      </c>
      <c r="F1385" s="460" t="s">
        <v>1023</v>
      </c>
      <c r="G1385" s="460"/>
      <c r="H1385" s="504" t="s">
        <v>145</v>
      </c>
      <c r="I1385" s="540"/>
      <c r="J1385" s="540"/>
      <c r="K1385" s="540"/>
      <c r="L1385" s="565"/>
      <c r="M1385" s="566"/>
      <c r="N1385" s="566"/>
    </row>
    <row r="1386" spans="1:18" x14ac:dyDescent="0.25">
      <c r="A1386" s="753"/>
      <c r="C1386" s="452" t="s">
        <v>172</v>
      </c>
      <c r="D1386" s="449">
        <f t="shared" si="109"/>
        <v>46001</v>
      </c>
      <c r="E1386" s="454" t="s">
        <v>583</v>
      </c>
      <c r="F1386" s="505" t="s">
        <v>1023</v>
      </c>
      <c r="G1386" s="505"/>
      <c r="H1386" s="516" t="s">
        <v>145</v>
      </c>
      <c r="I1386" s="516"/>
      <c r="J1386" s="516"/>
      <c r="K1386" s="516"/>
      <c r="L1386" s="557"/>
      <c r="M1386" s="557"/>
      <c r="N1386" s="557"/>
    </row>
    <row r="1387" spans="1:18" x14ac:dyDescent="0.25">
      <c r="A1387" s="753"/>
      <c r="C1387" s="448" t="s">
        <v>172</v>
      </c>
      <c r="D1387" s="449">
        <f t="shared" si="109"/>
        <v>46001</v>
      </c>
      <c r="E1387" s="455" t="s">
        <v>584</v>
      </c>
      <c r="F1387" s="505" t="s">
        <v>1023</v>
      </c>
      <c r="G1387" s="505"/>
      <c r="H1387" s="516" t="s">
        <v>145</v>
      </c>
      <c r="I1387" s="516"/>
      <c r="J1387" s="516"/>
      <c r="K1387" s="516"/>
      <c r="L1387" s="557"/>
      <c r="M1387" s="557"/>
      <c r="N1387" s="557"/>
    </row>
    <row r="1388" spans="1:18" x14ac:dyDescent="0.25">
      <c r="A1388" s="753"/>
      <c r="C1388" s="448"/>
      <c r="D1388" s="449"/>
      <c r="E1388" s="455"/>
      <c r="F1388" s="506"/>
      <c r="G1388" s="506"/>
      <c r="H1388" s="516"/>
      <c r="I1388" s="516"/>
      <c r="J1388" s="516"/>
      <c r="K1388" s="516"/>
      <c r="L1388" s="557"/>
      <c r="M1388" s="557"/>
      <c r="N1388" s="557"/>
    </row>
    <row r="1389" spans="1:18" x14ac:dyDescent="0.25">
      <c r="A1389" s="753"/>
      <c r="C1389" s="448" t="s">
        <v>173</v>
      </c>
      <c r="D1389" s="449">
        <f>D1387+1</f>
        <v>46002</v>
      </c>
      <c r="E1389" s="503" t="s">
        <v>573</v>
      </c>
      <c r="F1389" s="506" t="s">
        <v>1023</v>
      </c>
      <c r="G1389" s="506"/>
      <c r="H1389" s="516" t="s">
        <v>145</v>
      </c>
      <c r="I1389" s="516"/>
      <c r="J1389" s="516"/>
      <c r="K1389" s="516"/>
      <c r="L1389" s="557"/>
      <c r="M1389" s="557"/>
      <c r="N1389" s="557"/>
    </row>
    <row r="1390" spans="1:18" ht="15.75" thickBot="1" x14ac:dyDescent="0.3">
      <c r="A1390" s="753"/>
      <c r="C1390" s="450" t="s">
        <v>173</v>
      </c>
      <c r="D1390" s="451">
        <f t="shared" ref="D1390:D1404" si="110">D1389</f>
        <v>46002</v>
      </c>
      <c r="E1390" s="459" t="s">
        <v>162</v>
      </c>
      <c r="F1390" s="493" t="s">
        <v>1023</v>
      </c>
      <c r="G1390" s="493"/>
      <c r="H1390" s="513"/>
      <c r="I1390" s="513"/>
      <c r="J1390" s="513"/>
      <c r="K1390" s="513"/>
      <c r="L1390" s="558"/>
      <c r="M1390" s="558"/>
      <c r="N1390" s="558"/>
    </row>
    <row r="1391" spans="1:18" ht="4.5" customHeight="1" thickBot="1" x14ac:dyDescent="0.3">
      <c r="A1391" s="753"/>
      <c r="C1391" t="s">
        <v>173</v>
      </c>
      <c r="D1391">
        <f t="shared" si="110"/>
        <v>46002</v>
      </c>
      <c r="E1391" t="s">
        <v>163</v>
      </c>
      <c r="F1391" t="s">
        <v>1023</v>
      </c>
      <c r="L1391" s="559"/>
      <c r="M1391" s="559"/>
      <c r="N1391" s="559"/>
      <c r="Q1391" s="3"/>
      <c r="R1391" s="3"/>
    </row>
    <row r="1392" spans="1:18" ht="15" customHeight="1" thickBot="1" x14ac:dyDescent="0.3">
      <c r="A1392" s="753"/>
      <c r="C1392" s="538" t="s">
        <v>173</v>
      </c>
      <c r="D1392" s="539">
        <f t="shared" si="110"/>
        <v>46002</v>
      </c>
      <c r="E1392" s="539" t="s">
        <v>164</v>
      </c>
      <c r="F1392" s="539" t="s">
        <v>1023</v>
      </c>
      <c r="G1392" s="539"/>
      <c r="H1392" s="539"/>
      <c r="I1392" s="543"/>
      <c r="J1392" s="542"/>
      <c r="K1392" s="544"/>
      <c r="L1392" s="560"/>
      <c r="M1392" s="561"/>
      <c r="N1392" s="562"/>
      <c r="O1392" s="548"/>
      <c r="P1392" s="549"/>
      <c r="Q1392" s="3"/>
      <c r="R1392" s="3"/>
    </row>
    <row r="1393" spans="1:14" x14ac:dyDescent="0.25">
      <c r="A1393" s="753"/>
      <c r="C1393" s="529" t="s">
        <v>173</v>
      </c>
      <c r="D1393" s="447">
        <f t="shared" si="110"/>
        <v>46002</v>
      </c>
      <c r="E1393" s="498" t="s">
        <v>165</v>
      </c>
      <c r="F1393" s="514" t="s">
        <v>1023</v>
      </c>
      <c r="G1393" s="514"/>
      <c r="H1393" s="515"/>
      <c r="I1393" s="537"/>
      <c r="J1393" s="537"/>
      <c r="K1393" s="537"/>
      <c r="L1393" s="563"/>
      <c r="M1393" s="563"/>
      <c r="N1393" s="563"/>
    </row>
    <row r="1394" spans="1:14" x14ac:dyDescent="0.25">
      <c r="A1394" s="753"/>
      <c r="C1394" s="452" t="s">
        <v>173</v>
      </c>
      <c r="D1394" s="453">
        <f t="shared" si="110"/>
        <v>46002</v>
      </c>
      <c r="E1394" s="500" t="s">
        <v>166</v>
      </c>
      <c r="F1394" s="460" t="s">
        <v>1023</v>
      </c>
      <c r="G1394" s="460" t="s">
        <v>1029</v>
      </c>
      <c r="H1394" s="501"/>
      <c r="I1394" s="540"/>
      <c r="J1394" s="540"/>
      <c r="K1394" s="540"/>
      <c r="L1394" s="555"/>
      <c r="M1394" s="555"/>
      <c r="N1394" s="555"/>
    </row>
    <row r="1395" spans="1:14" x14ac:dyDescent="0.25">
      <c r="A1395" s="753"/>
      <c r="C1395" s="452" t="s">
        <v>173</v>
      </c>
      <c r="D1395" s="453">
        <f t="shared" si="110"/>
        <v>46002</v>
      </c>
      <c r="E1395" s="454" t="s">
        <v>576</v>
      </c>
      <c r="F1395" s="460" t="s">
        <v>1023</v>
      </c>
      <c r="G1395" s="460" t="s">
        <v>1029</v>
      </c>
      <c r="H1395" s="460" t="s">
        <v>145</v>
      </c>
      <c r="I1395" s="540"/>
      <c r="J1395" s="540"/>
      <c r="K1395" s="540"/>
      <c r="L1395" s="564"/>
      <c r="M1395" s="564"/>
      <c r="N1395" s="564"/>
    </row>
    <row r="1396" spans="1:14" x14ac:dyDescent="0.25">
      <c r="A1396" s="753"/>
      <c r="C1396" s="452" t="s">
        <v>173</v>
      </c>
      <c r="D1396" s="453">
        <f t="shared" si="110"/>
        <v>46002</v>
      </c>
      <c r="E1396" s="454" t="s">
        <v>167</v>
      </c>
      <c r="F1396" s="460" t="s">
        <v>1023</v>
      </c>
      <c r="G1396" s="460" t="s">
        <v>1029</v>
      </c>
      <c r="H1396" s="460"/>
      <c r="I1396" s="540"/>
      <c r="J1396" s="540"/>
      <c r="K1396" s="540"/>
      <c r="L1396" s="564"/>
      <c r="M1396" s="564"/>
      <c r="N1396" s="564"/>
    </row>
    <row r="1397" spans="1:14" x14ac:dyDescent="0.25">
      <c r="A1397" s="753"/>
      <c r="C1397" s="452" t="s">
        <v>173</v>
      </c>
      <c r="D1397" s="453">
        <f t="shared" si="110"/>
        <v>46002</v>
      </c>
      <c r="E1397" s="454" t="s">
        <v>168</v>
      </c>
      <c r="F1397" s="460" t="s">
        <v>1023</v>
      </c>
      <c r="G1397" s="460" t="s">
        <v>1029</v>
      </c>
      <c r="H1397" s="460"/>
      <c r="I1397" s="540"/>
      <c r="J1397" s="540"/>
      <c r="K1397" s="540"/>
      <c r="L1397" s="564"/>
      <c r="M1397" s="564"/>
      <c r="N1397" s="564"/>
    </row>
    <row r="1398" spans="1:14" x14ac:dyDescent="0.25">
      <c r="A1398" s="753"/>
      <c r="C1398" s="452" t="s">
        <v>173</v>
      </c>
      <c r="D1398" s="453">
        <f t="shared" si="110"/>
        <v>46002</v>
      </c>
      <c r="E1398" s="454" t="s">
        <v>169</v>
      </c>
      <c r="F1398" s="460" t="s">
        <v>1023</v>
      </c>
      <c r="G1398" s="460" t="s">
        <v>1029</v>
      </c>
      <c r="H1398" s="460"/>
      <c r="I1398" s="540"/>
      <c r="J1398" s="540"/>
      <c r="K1398" s="540"/>
      <c r="L1398" s="564"/>
      <c r="M1398" s="564"/>
      <c r="N1398" s="564"/>
    </row>
    <row r="1399" spans="1:14" x14ac:dyDescent="0.25">
      <c r="A1399" s="753"/>
      <c r="C1399" s="452" t="s">
        <v>173</v>
      </c>
      <c r="D1399" s="453">
        <f t="shared" si="110"/>
        <v>46002</v>
      </c>
      <c r="E1399" s="454" t="s">
        <v>170</v>
      </c>
      <c r="F1399" s="517" t="s">
        <v>1023</v>
      </c>
      <c r="G1399" s="512" t="s">
        <v>1029</v>
      </c>
      <c r="H1399" s="505"/>
      <c r="I1399" s="541"/>
      <c r="J1399" s="541"/>
      <c r="K1399" s="541"/>
      <c r="L1399" s="556"/>
      <c r="M1399" s="556"/>
      <c r="N1399" s="556"/>
    </row>
    <row r="1400" spans="1:14" x14ac:dyDescent="0.25">
      <c r="A1400" s="753"/>
      <c r="C1400" s="452" t="s">
        <v>173</v>
      </c>
      <c r="D1400" s="449">
        <f t="shared" si="110"/>
        <v>46002</v>
      </c>
      <c r="E1400" s="454" t="s">
        <v>585</v>
      </c>
      <c r="F1400" s="460" t="s">
        <v>1023</v>
      </c>
      <c r="G1400" s="460" t="s">
        <v>1029</v>
      </c>
      <c r="H1400" s="461" t="s">
        <v>145</v>
      </c>
      <c r="I1400" s="540"/>
      <c r="J1400" s="540"/>
      <c r="K1400" s="540"/>
      <c r="L1400" s="565"/>
      <c r="M1400" s="565"/>
      <c r="N1400" s="565"/>
    </row>
    <row r="1401" spans="1:14" x14ac:dyDescent="0.25">
      <c r="A1401" s="753"/>
      <c r="C1401" s="452" t="s">
        <v>173</v>
      </c>
      <c r="D1401" s="449">
        <f t="shared" si="110"/>
        <v>46002</v>
      </c>
      <c r="E1401" s="454" t="s">
        <v>574</v>
      </c>
      <c r="F1401" s="460" t="s">
        <v>145</v>
      </c>
      <c r="G1401" s="460"/>
      <c r="H1401" s="461" t="s">
        <v>145</v>
      </c>
      <c r="I1401" s="540"/>
      <c r="J1401" s="540"/>
      <c r="K1401" s="540"/>
      <c r="L1401" s="565"/>
      <c r="M1401" s="565"/>
      <c r="N1401" s="565"/>
    </row>
    <row r="1402" spans="1:14" x14ac:dyDescent="0.25">
      <c r="A1402" s="753"/>
      <c r="C1402" s="452" t="s">
        <v>173</v>
      </c>
      <c r="D1402" s="449">
        <f t="shared" si="110"/>
        <v>46002</v>
      </c>
      <c r="E1402" s="454" t="s">
        <v>575</v>
      </c>
      <c r="F1402" s="460" t="s">
        <v>1023</v>
      </c>
      <c r="G1402" s="460" t="s">
        <v>1029</v>
      </c>
      <c r="H1402" s="461" t="s">
        <v>145</v>
      </c>
      <c r="I1402" s="540"/>
      <c r="J1402" s="540"/>
      <c r="K1402" s="540"/>
      <c r="L1402" s="565"/>
      <c r="M1402" s="565"/>
      <c r="N1402" s="565"/>
    </row>
    <row r="1403" spans="1:14" x14ac:dyDescent="0.25">
      <c r="A1403" s="753"/>
      <c r="C1403" s="452" t="s">
        <v>173</v>
      </c>
      <c r="D1403" s="449">
        <f t="shared" si="110"/>
        <v>46002</v>
      </c>
      <c r="E1403" s="454" t="s">
        <v>583</v>
      </c>
      <c r="F1403" s="460" t="s">
        <v>1023</v>
      </c>
      <c r="G1403" s="460" t="s">
        <v>1029</v>
      </c>
      <c r="H1403" s="504" t="s">
        <v>145</v>
      </c>
      <c r="I1403" s="545"/>
      <c r="J1403" s="540"/>
      <c r="K1403" s="540"/>
      <c r="L1403" s="566"/>
      <c r="M1403" s="566"/>
      <c r="N1403" s="566"/>
    </row>
    <row r="1404" spans="1:14" x14ac:dyDescent="0.25">
      <c r="A1404" s="753"/>
      <c r="C1404" s="452" t="s">
        <v>173</v>
      </c>
      <c r="D1404" s="449">
        <f t="shared" si="110"/>
        <v>46002</v>
      </c>
      <c r="E1404" s="454" t="s">
        <v>584</v>
      </c>
      <c r="F1404" s="505" t="s">
        <v>1023</v>
      </c>
      <c r="G1404" s="505" t="s">
        <v>1029</v>
      </c>
      <c r="H1404" s="516" t="s">
        <v>145</v>
      </c>
      <c r="I1404" s="516"/>
      <c r="J1404" s="516"/>
      <c r="K1404" s="516"/>
      <c r="L1404" s="557"/>
      <c r="M1404" s="557"/>
      <c r="N1404" s="557"/>
    </row>
    <row r="1405" spans="1:14" x14ac:dyDescent="0.25">
      <c r="A1405" s="753"/>
      <c r="C1405" s="452"/>
      <c r="D1405" s="449"/>
      <c r="E1405" s="455"/>
      <c r="F1405" s="505"/>
      <c r="G1405" s="505"/>
      <c r="H1405" s="516"/>
      <c r="I1405" s="516"/>
      <c r="J1405" s="516"/>
      <c r="K1405" s="516"/>
      <c r="L1405" s="557"/>
      <c r="M1405" s="557"/>
      <c r="N1405" s="557"/>
    </row>
    <row r="1406" spans="1:14" x14ac:dyDescent="0.25">
      <c r="A1406" s="753"/>
      <c r="C1406" s="452" t="s">
        <v>174</v>
      </c>
      <c r="D1406" s="449">
        <f>D1404+1</f>
        <v>46003</v>
      </c>
      <c r="E1406" s="455" t="s">
        <v>573</v>
      </c>
      <c r="F1406" s="506" t="s">
        <v>1025</v>
      </c>
      <c r="G1406" s="506"/>
      <c r="H1406" s="516" t="s">
        <v>145</v>
      </c>
      <c r="I1406" s="516"/>
      <c r="J1406" s="516"/>
      <c r="K1406" s="516"/>
      <c r="L1406" s="557"/>
      <c r="M1406" s="557"/>
      <c r="N1406" s="557"/>
    </row>
    <row r="1407" spans="1:14" x14ac:dyDescent="0.25">
      <c r="A1407" s="753"/>
      <c r="C1407" s="452" t="s">
        <v>174</v>
      </c>
      <c r="D1407" s="449">
        <f t="shared" ref="D1407:D1421" si="111">D1406</f>
        <v>46003</v>
      </c>
      <c r="E1407" s="503" t="s">
        <v>162</v>
      </c>
      <c r="F1407" s="506" t="s">
        <v>1025</v>
      </c>
      <c r="G1407" s="506"/>
      <c r="H1407" s="516"/>
      <c r="I1407" s="516"/>
      <c r="J1407" s="516"/>
      <c r="K1407" s="516"/>
      <c r="L1407" s="557"/>
      <c r="M1407" s="557"/>
      <c r="N1407" s="557"/>
    </row>
    <row r="1408" spans="1:14" ht="15.75" thickBot="1" x14ac:dyDescent="0.3">
      <c r="A1408" s="753"/>
      <c r="C1408" s="530" t="s">
        <v>174</v>
      </c>
      <c r="D1408" s="451">
        <f t="shared" si="111"/>
        <v>46003</v>
      </c>
      <c r="E1408" s="459" t="s">
        <v>163</v>
      </c>
      <c r="F1408" s="493" t="s">
        <v>1025</v>
      </c>
      <c r="G1408" s="493"/>
      <c r="H1408" s="513"/>
      <c r="I1408" s="513"/>
      <c r="J1408" s="513"/>
      <c r="K1408" s="513"/>
      <c r="L1408" s="558"/>
      <c r="M1408" s="558"/>
      <c r="N1408" s="558"/>
    </row>
    <row r="1409" spans="1:18" ht="4.5" customHeight="1" thickBot="1" x14ac:dyDescent="0.3">
      <c r="A1409" s="753"/>
      <c r="C1409" t="s">
        <v>174</v>
      </c>
      <c r="D1409">
        <f t="shared" si="111"/>
        <v>46003</v>
      </c>
      <c r="E1409" t="s">
        <v>164</v>
      </c>
      <c r="F1409" t="s">
        <v>1025</v>
      </c>
      <c r="I1409" s="420"/>
      <c r="J1409" s="420"/>
      <c r="K1409" s="420"/>
      <c r="L1409" s="559"/>
      <c r="M1409" s="559"/>
      <c r="N1409" s="559"/>
      <c r="Q1409" s="3"/>
      <c r="R1409" s="3"/>
    </row>
    <row r="1410" spans="1:18" ht="15" customHeight="1" thickBot="1" x14ac:dyDescent="0.3">
      <c r="A1410" s="753"/>
      <c r="C1410" s="546" t="s">
        <v>174</v>
      </c>
      <c r="D1410" s="547">
        <f t="shared" si="111"/>
        <v>46003</v>
      </c>
      <c r="E1410" s="539" t="s">
        <v>165</v>
      </c>
      <c r="F1410" s="539" t="s">
        <v>1025</v>
      </c>
      <c r="G1410" s="539"/>
      <c r="H1410" s="539"/>
      <c r="I1410" s="543"/>
      <c r="J1410" s="542"/>
      <c r="K1410" s="544"/>
      <c r="L1410" s="560"/>
      <c r="M1410" s="561"/>
      <c r="N1410" s="562"/>
      <c r="O1410" s="548"/>
      <c r="P1410" s="549"/>
      <c r="Q1410" s="3"/>
      <c r="R1410" s="3"/>
    </row>
    <row r="1411" spans="1:18" x14ac:dyDescent="0.25">
      <c r="A1411" s="753"/>
      <c r="C1411" s="529" t="s">
        <v>174</v>
      </c>
      <c r="D1411" s="447">
        <f t="shared" si="111"/>
        <v>46003</v>
      </c>
      <c r="E1411" s="498" t="s">
        <v>166</v>
      </c>
      <c r="F1411" s="514" t="s">
        <v>1025</v>
      </c>
      <c r="G1411" s="514" t="s">
        <v>1025</v>
      </c>
      <c r="H1411" s="514"/>
      <c r="I1411" s="537"/>
      <c r="J1411" s="537"/>
      <c r="K1411" s="537"/>
      <c r="L1411" s="563"/>
      <c r="M1411" s="563"/>
      <c r="N1411" s="563"/>
    </row>
    <row r="1412" spans="1:18" x14ac:dyDescent="0.25">
      <c r="A1412" s="753"/>
      <c r="C1412" s="452" t="s">
        <v>174</v>
      </c>
      <c r="D1412" s="453">
        <f t="shared" si="111"/>
        <v>46003</v>
      </c>
      <c r="E1412" s="500" t="s">
        <v>576</v>
      </c>
      <c r="F1412" s="569" t="s">
        <v>1025</v>
      </c>
      <c r="G1412" s="569" t="s">
        <v>1025</v>
      </c>
      <c r="H1412" s="569" t="s">
        <v>145</v>
      </c>
      <c r="I1412" s="540"/>
      <c r="J1412" s="540"/>
      <c r="K1412" s="540"/>
      <c r="L1412" s="555"/>
      <c r="M1412" s="555"/>
      <c r="N1412" s="555"/>
    </row>
    <row r="1413" spans="1:18" x14ac:dyDescent="0.25">
      <c r="A1413" s="753"/>
      <c r="C1413" s="452" t="s">
        <v>174</v>
      </c>
      <c r="D1413" s="453">
        <f t="shared" si="111"/>
        <v>46003</v>
      </c>
      <c r="E1413" s="454" t="s">
        <v>167</v>
      </c>
      <c r="F1413" s="569" t="s">
        <v>1025</v>
      </c>
      <c r="G1413" s="569" t="s">
        <v>1025</v>
      </c>
      <c r="H1413" s="569"/>
      <c r="I1413" s="540"/>
      <c r="J1413" s="540"/>
      <c r="K1413" s="540"/>
      <c r="L1413" s="564"/>
      <c r="M1413" s="564"/>
      <c r="N1413" s="564"/>
    </row>
    <row r="1414" spans="1:18" x14ac:dyDescent="0.25">
      <c r="A1414" s="753"/>
      <c r="C1414" s="452" t="s">
        <v>174</v>
      </c>
      <c r="D1414" s="453">
        <f t="shared" si="111"/>
        <v>46003</v>
      </c>
      <c r="E1414" s="454" t="s">
        <v>168</v>
      </c>
      <c r="F1414" s="569" t="s">
        <v>1025</v>
      </c>
      <c r="G1414" s="569" t="s">
        <v>1025</v>
      </c>
      <c r="H1414" s="569"/>
      <c r="I1414" s="540"/>
      <c r="J1414" s="540"/>
      <c r="K1414" s="540"/>
      <c r="L1414" s="564"/>
      <c r="M1414" s="564"/>
      <c r="N1414" s="564"/>
    </row>
    <row r="1415" spans="1:18" x14ac:dyDescent="0.25">
      <c r="A1415" s="753"/>
      <c r="C1415" s="452" t="s">
        <v>174</v>
      </c>
      <c r="D1415" s="453">
        <f t="shared" si="111"/>
        <v>46003</v>
      </c>
      <c r="E1415" s="454" t="s">
        <v>169</v>
      </c>
      <c r="F1415" s="569" t="s">
        <v>1025</v>
      </c>
      <c r="G1415" s="569" t="s">
        <v>1025</v>
      </c>
      <c r="H1415" s="569"/>
      <c r="I1415" s="540"/>
      <c r="J1415" s="540"/>
      <c r="K1415" s="540"/>
      <c r="L1415" s="564"/>
      <c r="M1415" s="564"/>
      <c r="N1415" s="564"/>
    </row>
    <row r="1416" spans="1:18" x14ac:dyDescent="0.25">
      <c r="A1416" s="753"/>
      <c r="C1416" s="452" t="s">
        <v>174</v>
      </c>
      <c r="D1416" s="453">
        <f t="shared" si="111"/>
        <v>46003</v>
      </c>
      <c r="E1416" s="454" t="s">
        <v>170</v>
      </c>
      <c r="F1416" s="569" t="s">
        <v>1025</v>
      </c>
      <c r="G1416" s="569" t="s">
        <v>1025</v>
      </c>
      <c r="H1416" s="569"/>
      <c r="I1416" s="540"/>
      <c r="J1416" s="540"/>
      <c r="K1416" s="540"/>
      <c r="L1416" s="564"/>
      <c r="M1416" s="564"/>
      <c r="N1416" s="564"/>
    </row>
    <row r="1417" spans="1:18" x14ac:dyDescent="0.25">
      <c r="A1417" s="753"/>
      <c r="C1417" s="452" t="s">
        <v>174</v>
      </c>
      <c r="D1417" s="453">
        <f t="shared" si="111"/>
        <v>46003</v>
      </c>
      <c r="E1417" s="454" t="s">
        <v>585</v>
      </c>
      <c r="F1417" s="512" t="s">
        <v>1025</v>
      </c>
      <c r="G1417" s="512" t="s">
        <v>1025</v>
      </c>
      <c r="H1417" s="512" t="s">
        <v>145</v>
      </c>
      <c r="I1417" s="541"/>
      <c r="J1417" s="541"/>
      <c r="K1417" s="541"/>
      <c r="L1417" s="556"/>
      <c r="M1417" s="556"/>
      <c r="N1417" s="556"/>
    </row>
    <row r="1418" spans="1:18" x14ac:dyDescent="0.25">
      <c r="A1418" s="753"/>
      <c r="C1418" s="452" t="s">
        <v>174</v>
      </c>
      <c r="D1418" s="449">
        <f t="shared" si="111"/>
        <v>46003</v>
      </c>
      <c r="E1418" s="454" t="s">
        <v>574</v>
      </c>
      <c r="F1418" s="569" t="s">
        <v>145</v>
      </c>
      <c r="G1418" s="569"/>
      <c r="H1418" s="569" t="s">
        <v>145</v>
      </c>
      <c r="I1418" s="540"/>
      <c r="J1418" s="540"/>
      <c r="K1418" s="540"/>
      <c r="L1418" s="565"/>
      <c r="M1418" s="565"/>
      <c r="N1418" s="565"/>
    </row>
    <row r="1419" spans="1:18" x14ac:dyDescent="0.25">
      <c r="A1419" s="753"/>
      <c r="C1419" s="452" t="s">
        <v>174</v>
      </c>
      <c r="D1419" s="449">
        <f t="shared" si="111"/>
        <v>46003</v>
      </c>
      <c r="E1419" s="454" t="s">
        <v>575</v>
      </c>
      <c r="F1419" s="569" t="s">
        <v>1025</v>
      </c>
      <c r="G1419" s="569" t="s">
        <v>1025</v>
      </c>
      <c r="H1419" s="569" t="s">
        <v>145</v>
      </c>
      <c r="I1419" s="540"/>
      <c r="J1419" s="540"/>
      <c r="K1419" s="540"/>
      <c r="L1419" s="565"/>
      <c r="M1419" s="565"/>
      <c r="N1419" s="565"/>
    </row>
    <row r="1420" spans="1:18" x14ac:dyDescent="0.25">
      <c r="A1420" s="753"/>
      <c r="C1420" s="452" t="s">
        <v>174</v>
      </c>
      <c r="D1420" s="449">
        <f t="shared" si="111"/>
        <v>46003</v>
      </c>
      <c r="E1420" s="454" t="s">
        <v>583</v>
      </c>
      <c r="F1420" s="569" t="s">
        <v>1025</v>
      </c>
      <c r="G1420" s="569" t="s">
        <v>1025</v>
      </c>
      <c r="H1420" s="569" t="s">
        <v>145</v>
      </c>
      <c r="I1420" s="540"/>
      <c r="J1420" s="540"/>
      <c r="K1420" s="540"/>
      <c r="L1420" s="565"/>
      <c r="M1420" s="565"/>
      <c r="N1420" s="565"/>
    </row>
    <row r="1421" spans="1:18" x14ac:dyDescent="0.25">
      <c r="A1421" s="753"/>
      <c r="C1421" s="452" t="s">
        <v>174</v>
      </c>
      <c r="D1421" s="449">
        <f t="shared" si="111"/>
        <v>46003</v>
      </c>
      <c r="E1421" s="454" t="s">
        <v>584</v>
      </c>
      <c r="F1421" s="505" t="s">
        <v>1025</v>
      </c>
      <c r="G1421" s="505" t="s">
        <v>1025</v>
      </c>
      <c r="H1421" s="505" t="s">
        <v>145</v>
      </c>
      <c r="I1421" s="516"/>
      <c r="J1421" s="516"/>
      <c r="K1421" s="516"/>
      <c r="L1421" s="557"/>
      <c r="M1421" s="557"/>
      <c r="N1421" s="557"/>
    </row>
    <row r="1422" spans="1:18" x14ac:dyDescent="0.25">
      <c r="A1422" s="753"/>
      <c r="C1422" s="452"/>
      <c r="D1422" s="449"/>
      <c r="E1422" s="454"/>
      <c r="F1422" s="505"/>
      <c r="G1422" s="505"/>
      <c r="H1422" s="505"/>
      <c r="I1422" s="516"/>
      <c r="J1422" s="516"/>
      <c r="K1422" s="516"/>
      <c r="L1422" s="557"/>
      <c r="M1422" s="557"/>
      <c r="N1422" s="557"/>
    </row>
    <row r="1423" spans="1:18" x14ac:dyDescent="0.25">
      <c r="A1423" s="753"/>
      <c r="C1423" s="452" t="s">
        <v>1033</v>
      </c>
      <c r="D1423" s="449">
        <f>D1421+1</f>
        <v>46004</v>
      </c>
      <c r="E1423" s="455" t="s">
        <v>573</v>
      </c>
      <c r="F1423" s="505" t="s">
        <v>145</v>
      </c>
      <c r="G1423" s="505" t="s">
        <v>145</v>
      </c>
      <c r="H1423" s="505" t="s">
        <v>145</v>
      </c>
      <c r="I1423" s="516"/>
      <c r="J1423" s="516"/>
      <c r="K1423" s="516"/>
      <c r="L1423" s="557"/>
      <c r="M1423" s="557"/>
      <c r="N1423" s="557"/>
    </row>
    <row r="1424" spans="1:18" x14ac:dyDescent="0.25">
      <c r="A1424" s="753"/>
      <c r="C1424" s="452" t="s">
        <v>1033</v>
      </c>
      <c r="D1424" s="449">
        <f t="shared" ref="D1424:D1438" si="112">D1423</f>
        <v>46004</v>
      </c>
      <c r="E1424" s="455" t="s">
        <v>162</v>
      </c>
      <c r="F1424" s="506"/>
      <c r="G1424" s="506"/>
      <c r="H1424" s="506"/>
      <c r="I1424" s="516"/>
      <c r="J1424" s="516"/>
      <c r="K1424" s="516"/>
      <c r="L1424" s="557"/>
      <c r="M1424" s="557"/>
      <c r="N1424" s="557"/>
    </row>
    <row r="1425" spans="1:14" x14ac:dyDescent="0.25">
      <c r="A1425" s="753"/>
      <c r="C1425" s="452" t="s">
        <v>1033</v>
      </c>
      <c r="D1425" s="502">
        <f t="shared" si="112"/>
        <v>46004</v>
      </c>
      <c r="E1425" s="503" t="s">
        <v>163</v>
      </c>
      <c r="F1425" s="506"/>
      <c r="G1425" s="506"/>
      <c r="H1425" s="506"/>
      <c r="I1425" s="516"/>
      <c r="J1425" s="516"/>
      <c r="K1425" s="516"/>
      <c r="L1425" s="557"/>
      <c r="M1425" s="557"/>
      <c r="N1425" s="557"/>
    </row>
    <row r="1426" spans="1:14" ht="15.75" thickBot="1" x14ac:dyDescent="0.3">
      <c r="A1426" s="753"/>
      <c r="C1426" s="530" t="s">
        <v>1033</v>
      </c>
      <c r="D1426" s="451">
        <f t="shared" si="112"/>
        <v>46004</v>
      </c>
      <c r="E1426" s="459" t="s">
        <v>164</v>
      </c>
      <c r="F1426" s="493"/>
      <c r="G1426" s="493"/>
      <c r="H1426" s="493"/>
      <c r="I1426" s="513"/>
      <c r="J1426" s="513"/>
      <c r="K1426" s="513"/>
      <c r="L1426" s="558"/>
      <c r="M1426" s="558"/>
      <c r="N1426" s="558"/>
    </row>
    <row r="1427" spans="1:14" x14ac:dyDescent="0.25">
      <c r="C1427" t="s">
        <v>1033</v>
      </c>
      <c r="D1427">
        <f t="shared" si="112"/>
        <v>46004</v>
      </c>
      <c r="E1427" t="s">
        <v>165</v>
      </c>
    </row>
    <row r="1428" spans="1:14" x14ac:dyDescent="0.25">
      <c r="C1428" t="s">
        <v>1033</v>
      </c>
      <c r="D1428">
        <f t="shared" si="112"/>
        <v>46004</v>
      </c>
      <c r="E1428" t="s">
        <v>166</v>
      </c>
    </row>
    <row r="1429" spans="1:14" x14ac:dyDescent="0.25">
      <c r="C1429" t="s">
        <v>1033</v>
      </c>
      <c r="D1429">
        <f t="shared" si="112"/>
        <v>46004</v>
      </c>
      <c r="E1429" t="s">
        <v>576</v>
      </c>
    </row>
    <row r="1430" spans="1:14" x14ac:dyDescent="0.25">
      <c r="C1430" t="s">
        <v>1033</v>
      </c>
      <c r="D1430">
        <f t="shared" si="112"/>
        <v>46004</v>
      </c>
      <c r="E1430" t="s">
        <v>167</v>
      </c>
    </row>
    <row r="1431" spans="1:14" x14ac:dyDescent="0.25">
      <c r="C1431" t="s">
        <v>1033</v>
      </c>
      <c r="D1431">
        <f t="shared" si="112"/>
        <v>46004</v>
      </c>
      <c r="E1431" t="s">
        <v>168</v>
      </c>
    </row>
    <row r="1432" spans="1:14" x14ac:dyDescent="0.25">
      <c r="C1432" t="s">
        <v>1033</v>
      </c>
      <c r="D1432">
        <f t="shared" si="112"/>
        <v>46004</v>
      </c>
      <c r="E1432" t="s">
        <v>169</v>
      </c>
    </row>
    <row r="1433" spans="1:14" x14ac:dyDescent="0.25">
      <c r="C1433" t="s">
        <v>1033</v>
      </c>
      <c r="D1433">
        <f t="shared" si="112"/>
        <v>46004</v>
      </c>
      <c r="E1433" t="s">
        <v>170</v>
      </c>
    </row>
    <row r="1434" spans="1:14" x14ac:dyDescent="0.25">
      <c r="C1434" t="s">
        <v>1033</v>
      </c>
      <c r="D1434">
        <f t="shared" si="112"/>
        <v>46004</v>
      </c>
      <c r="E1434" t="s">
        <v>585</v>
      </c>
      <c r="F1434" t="s">
        <v>145</v>
      </c>
      <c r="G1434" t="s">
        <v>145</v>
      </c>
      <c r="H1434" t="s">
        <v>145</v>
      </c>
    </row>
    <row r="1435" spans="1:14" x14ac:dyDescent="0.25">
      <c r="C1435" t="s">
        <v>1033</v>
      </c>
      <c r="D1435">
        <f t="shared" si="112"/>
        <v>46004</v>
      </c>
      <c r="E1435" t="s">
        <v>574</v>
      </c>
      <c r="F1435" t="s">
        <v>145</v>
      </c>
      <c r="G1435" t="s">
        <v>145</v>
      </c>
      <c r="H1435" t="s">
        <v>145</v>
      </c>
    </row>
    <row r="1436" spans="1:14" x14ac:dyDescent="0.25">
      <c r="C1436" t="s">
        <v>1033</v>
      </c>
      <c r="D1436">
        <f t="shared" si="112"/>
        <v>46004</v>
      </c>
      <c r="E1436" t="s">
        <v>575</v>
      </c>
      <c r="F1436" t="s">
        <v>145</v>
      </c>
      <c r="G1436" t="s">
        <v>145</v>
      </c>
      <c r="H1436" t="s">
        <v>145</v>
      </c>
    </row>
    <row r="1437" spans="1:14" x14ac:dyDescent="0.25">
      <c r="C1437" t="s">
        <v>1033</v>
      </c>
      <c r="D1437">
        <f t="shared" si="112"/>
        <v>46004</v>
      </c>
      <c r="E1437" t="s">
        <v>583</v>
      </c>
      <c r="F1437" t="s">
        <v>145</v>
      </c>
      <c r="G1437" t="s">
        <v>145</v>
      </c>
      <c r="H1437" t="s">
        <v>145</v>
      </c>
    </row>
    <row r="1438" spans="1:14" x14ac:dyDescent="0.25">
      <c r="C1438" t="s">
        <v>1033</v>
      </c>
      <c r="D1438">
        <f t="shared" si="112"/>
        <v>46004</v>
      </c>
      <c r="E1438" t="s">
        <v>584</v>
      </c>
      <c r="F1438" t="s">
        <v>145</v>
      </c>
      <c r="G1438" t="s">
        <v>145</v>
      </c>
      <c r="H1438" t="s">
        <v>145</v>
      </c>
    </row>
    <row r="1440" spans="1:14" x14ac:dyDescent="0.25">
      <c r="C1440" t="s">
        <v>1034</v>
      </c>
      <c r="D1440">
        <f>D1438+1</f>
        <v>46005</v>
      </c>
      <c r="E1440" t="s">
        <v>573</v>
      </c>
      <c r="F1440" t="s">
        <v>145</v>
      </c>
      <c r="G1440" t="s">
        <v>145</v>
      </c>
      <c r="H1440" t="s">
        <v>145</v>
      </c>
    </row>
    <row r="1441" spans="3:8" x14ac:dyDescent="0.25">
      <c r="C1441" t="s">
        <v>1034</v>
      </c>
      <c r="D1441">
        <f t="shared" ref="D1441:D1455" si="113">D1440</f>
        <v>46005</v>
      </c>
      <c r="E1441" t="s">
        <v>162</v>
      </c>
    </row>
    <row r="1442" spans="3:8" x14ac:dyDescent="0.25">
      <c r="C1442" t="s">
        <v>1034</v>
      </c>
      <c r="D1442">
        <f t="shared" si="113"/>
        <v>46005</v>
      </c>
      <c r="E1442" t="s">
        <v>163</v>
      </c>
    </row>
    <row r="1443" spans="3:8" x14ac:dyDescent="0.25">
      <c r="C1443" t="s">
        <v>1034</v>
      </c>
      <c r="D1443">
        <f t="shared" si="113"/>
        <v>46005</v>
      </c>
      <c r="E1443" t="s">
        <v>164</v>
      </c>
    </row>
    <row r="1444" spans="3:8" x14ac:dyDescent="0.25">
      <c r="C1444" t="s">
        <v>1034</v>
      </c>
      <c r="D1444">
        <f t="shared" si="113"/>
        <v>46005</v>
      </c>
      <c r="E1444" t="s">
        <v>165</v>
      </c>
    </row>
    <row r="1445" spans="3:8" x14ac:dyDescent="0.25">
      <c r="C1445" t="s">
        <v>1034</v>
      </c>
      <c r="D1445">
        <f t="shared" si="113"/>
        <v>46005</v>
      </c>
      <c r="E1445" t="s">
        <v>166</v>
      </c>
    </row>
    <row r="1446" spans="3:8" x14ac:dyDescent="0.25">
      <c r="C1446" t="s">
        <v>1034</v>
      </c>
      <c r="D1446">
        <f t="shared" si="113"/>
        <v>46005</v>
      </c>
      <c r="E1446" t="s">
        <v>576</v>
      </c>
    </row>
    <row r="1447" spans="3:8" x14ac:dyDescent="0.25">
      <c r="C1447" t="s">
        <v>1034</v>
      </c>
      <c r="D1447">
        <f t="shared" si="113"/>
        <v>46005</v>
      </c>
      <c r="E1447" t="s">
        <v>167</v>
      </c>
    </row>
    <row r="1448" spans="3:8" x14ac:dyDescent="0.25">
      <c r="C1448" t="s">
        <v>1034</v>
      </c>
      <c r="D1448">
        <f t="shared" si="113"/>
        <v>46005</v>
      </c>
      <c r="E1448" t="s">
        <v>168</v>
      </c>
    </row>
    <row r="1449" spans="3:8" x14ac:dyDescent="0.25">
      <c r="C1449" t="s">
        <v>1034</v>
      </c>
      <c r="D1449">
        <f t="shared" si="113"/>
        <v>46005</v>
      </c>
      <c r="E1449" t="s">
        <v>169</v>
      </c>
    </row>
    <row r="1450" spans="3:8" x14ac:dyDescent="0.25">
      <c r="C1450" t="s">
        <v>1034</v>
      </c>
      <c r="D1450">
        <f t="shared" si="113"/>
        <v>46005</v>
      </c>
      <c r="E1450" t="s">
        <v>170</v>
      </c>
    </row>
    <row r="1451" spans="3:8" x14ac:dyDescent="0.25">
      <c r="C1451" t="s">
        <v>1034</v>
      </c>
      <c r="D1451">
        <f t="shared" si="113"/>
        <v>46005</v>
      </c>
      <c r="E1451" t="s">
        <v>585</v>
      </c>
      <c r="F1451" t="s">
        <v>145</v>
      </c>
      <c r="G1451" t="s">
        <v>145</v>
      </c>
      <c r="H1451" t="s">
        <v>145</v>
      </c>
    </row>
    <row r="1452" spans="3:8" x14ac:dyDescent="0.25">
      <c r="C1452" t="s">
        <v>1034</v>
      </c>
      <c r="D1452">
        <f t="shared" si="113"/>
        <v>46005</v>
      </c>
      <c r="E1452" t="s">
        <v>574</v>
      </c>
      <c r="F1452" t="s">
        <v>145</v>
      </c>
      <c r="G1452" t="s">
        <v>145</v>
      </c>
      <c r="H1452" t="s">
        <v>145</v>
      </c>
    </row>
    <row r="1453" spans="3:8" x14ac:dyDescent="0.25">
      <c r="C1453" t="s">
        <v>1034</v>
      </c>
      <c r="D1453">
        <f t="shared" si="113"/>
        <v>46005</v>
      </c>
      <c r="E1453" t="s">
        <v>575</v>
      </c>
      <c r="F1453" t="s">
        <v>145</v>
      </c>
      <c r="G1453" t="s">
        <v>145</v>
      </c>
      <c r="H1453" t="s">
        <v>145</v>
      </c>
    </row>
    <row r="1454" spans="3:8" x14ac:dyDescent="0.25">
      <c r="C1454" t="s">
        <v>1034</v>
      </c>
      <c r="D1454">
        <f t="shared" si="113"/>
        <v>46005</v>
      </c>
      <c r="E1454" t="s">
        <v>583</v>
      </c>
      <c r="F1454" t="s">
        <v>145</v>
      </c>
      <c r="G1454" t="s">
        <v>145</v>
      </c>
      <c r="H1454" t="s">
        <v>145</v>
      </c>
    </row>
    <row r="1455" spans="3:8" x14ac:dyDescent="0.25">
      <c r="C1455" t="s">
        <v>1034</v>
      </c>
      <c r="D1455">
        <f t="shared" si="113"/>
        <v>46005</v>
      </c>
      <c r="E1455" t="s">
        <v>584</v>
      </c>
      <c r="F1455" t="s">
        <v>145</v>
      </c>
      <c r="G1455" t="s">
        <v>145</v>
      </c>
      <c r="H1455" t="s">
        <v>145</v>
      </c>
    </row>
    <row r="1456" spans="3:8" ht="15.75" thickBot="1" x14ac:dyDescent="0.3"/>
    <row r="1457" spans="1:18" ht="15" customHeight="1" thickBot="1" x14ac:dyDescent="0.3">
      <c r="A1457" s="753" t="s">
        <v>934</v>
      </c>
      <c r="C1457" s="538" t="s">
        <v>161</v>
      </c>
      <c r="D1457" s="539">
        <v>46006</v>
      </c>
      <c r="E1457" s="539" t="s">
        <v>573</v>
      </c>
      <c r="F1457" s="539" t="s">
        <v>1025</v>
      </c>
      <c r="G1457" s="539" t="s">
        <v>1025</v>
      </c>
      <c r="H1457" s="539" t="s">
        <v>145</v>
      </c>
      <c r="I1457" s="543"/>
      <c r="J1457" s="542"/>
      <c r="K1457" s="544"/>
      <c r="L1457" s="560"/>
      <c r="M1457" s="561"/>
      <c r="N1457" s="562"/>
      <c r="O1457" s="548"/>
      <c r="P1457" s="549"/>
      <c r="Q1457" s="3"/>
      <c r="R1457" s="3"/>
    </row>
    <row r="1458" spans="1:18" x14ac:dyDescent="0.25">
      <c r="A1458" s="753"/>
      <c r="C1458" s="496" t="s">
        <v>161</v>
      </c>
      <c r="D1458" s="507">
        <f t="shared" ref="D1458:D1472" si="114">D1457</f>
        <v>46006</v>
      </c>
      <c r="E1458" s="498" t="s">
        <v>162</v>
      </c>
      <c r="F1458" s="514" t="s">
        <v>1025</v>
      </c>
      <c r="G1458" s="514" t="s">
        <v>1025</v>
      </c>
      <c r="H1458" s="515"/>
      <c r="I1458" s="537"/>
      <c r="J1458" s="537"/>
      <c r="K1458" s="537"/>
      <c r="L1458" s="563"/>
      <c r="M1458" s="563"/>
      <c r="N1458" s="563"/>
    </row>
    <row r="1459" spans="1:18" x14ac:dyDescent="0.25">
      <c r="A1459" s="753"/>
      <c r="C1459" s="525" t="s">
        <v>161</v>
      </c>
      <c r="D1459" s="499">
        <f t="shared" si="114"/>
        <v>46006</v>
      </c>
      <c r="E1459" s="500" t="s">
        <v>163</v>
      </c>
      <c r="F1459" s="460" t="s">
        <v>1025</v>
      </c>
      <c r="G1459" s="460" t="s">
        <v>1025</v>
      </c>
      <c r="H1459" s="460"/>
      <c r="I1459" s="540"/>
      <c r="J1459" s="540"/>
      <c r="K1459" s="540"/>
      <c r="L1459" s="555"/>
      <c r="M1459" s="555"/>
      <c r="N1459" s="555"/>
    </row>
    <row r="1460" spans="1:18" x14ac:dyDescent="0.25">
      <c r="A1460" s="753"/>
      <c r="C1460" s="526" t="s">
        <v>161</v>
      </c>
      <c r="D1460" s="449">
        <f t="shared" si="114"/>
        <v>46006</v>
      </c>
      <c r="E1460" s="454" t="s">
        <v>164</v>
      </c>
      <c r="F1460" s="460" t="s">
        <v>581</v>
      </c>
      <c r="G1460" s="460" t="s">
        <v>1025</v>
      </c>
      <c r="H1460" s="460"/>
      <c r="I1460" s="540"/>
      <c r="J1460" s="540"/>
      <c r="K1460" s="540"/>
      <c r="L1460" s="564"/>
      <c r="M1460" s="564"/>
      <c r="N1460" s="564"/>
    </row>
    <row r="1461" spans="1:18" x14ac:dyDescent="0.25">
      <c r="A1461" s="753"/>
      <c r="C1461" s="526" t="s">
        <v>161</v>
      </c>
      <c r="D1461" s="449">
        <f t="shared" si="114"/>
        <v>46006</v>
      </c>
      <c r="E1461" s="454" t="s">
        <v>165</v>
      </c>
      <c r="F1461" s="460" t="s">
        <v>581</v>
      </c>
      <c r="G1461" s="460" t="s">
        <v>581</v>
      </c>
      <c r="H1461" s="460"/>
      <c r="I1461" s="540"/>
      <c r="J1461" s="540"/>
      <c r="K1461" s="540"/>
      <c r="L1461" s="564"/>
      <c r="M1461" s="564"/>
      <c r="N1461" s="564"/>
    </row>
    <row r="1462" spans="1:18" x14ac:dyDescent="0.25">
      <c r="A1462" s="753"/>
      <c r="C1462" s="526" t="s">
        <v>161</v>
      </c>
      <c r="D1462" s="449">
        <f t="shared" si="114"/>
        <v>46006</v>
      </c>
      <c r="E1462" s="454" t="s">
        <v>166</v>
      </c>
      <c r="F1462" s="460" t="s">
        <v>581</v>
      </c>
      <c r="G1462" s="460" t="s">
        <v>581</v>
      </c>
      <c r="H1462" s="460"/>
      <c r="I1462" s="540"/>
      <c r="J1462" s="540"/>
      <c r="K1462" s="540"/>
      <c r="L1462" s="564"/>
      <c r="M1462" s="564"/>
      <c r="N1462" s="564"/>
    </row>
    <row r="1463" spans="1:18" x14ac:dyDescent="0.25">
      <c r="A1463" s="753"/>
      <c r="C1463" s="526" t="s">
        <v>161</v>
      </c>
      <c r="D1463" s="449">
        <f t="shared" si="114"/>
        <v>46006</v>
      </c>
      <c r="E1463" s="454" t="s">
        <v>576</v>
      </c>
      <c r="F1463" s="460" t="s">
        <v>581</v>
      </c>
      <c r="G1463" s="460" t="s">
        <v>581</v>
      </c>
      <c r="H1463" s="460"/>
      <c r="I1463" s="540"/>
      <c r="J1463" s="540"/>
      <c r="K1463" s="540"/>
      <c r="L1463" s="564"/>
      <c r="M1463" s="564"/>
      <c r="N1463" s="564"/>
    </row>
    <row r="1464" spans="1:18" x14ac:dyDescent="0.25">
      <c r="A1464" s="753"/>
      <c r="C1464" s="526" t="s">
        <v>161</v>
      </c>
      <c r="D1464" s="449">
        <f t="shared" si="114"/>
        <v>46006</v>
      </c>
      <c r="E1464" s="454" t="s">
        <v>167</v>
      </c>
      <c r="F1464" s="512" t="s">
        <v>581</v>
      </c>
      <c r="G1464" s="512" t="s">
        <v>581</v>
      </c>
      <c r="H1464" s="505"/>
      <c r="I1464" s="554"/>
      <c r="J1464" s="541"/>
      <c r="K1464" s="541"/>
      <c r="L1464" s="556"/>
      <c r="M1464" s="556"/>
      <c r="N1464" s="556"/>
    </row>
    <row r="1465" spans="1:18" x14ac:dyDescent="0.25">
      <c r="A1465" s="753"/>
      <c r="C1465" s="527" t="s">
        <v>161</v>
      </c>
      <c r="D1465" s="449">
        <f t="shared" si="114"/>
        <v>46006</v>
      </c>
      <c r="E1465" s="454" t="s">
        <v>168</v>
      </c>
      <c r="F1465" s="460" t="s">
        <v>581</v>
      </c>
      <c r="G1465" s="460" t="s">
        <v>581</v>
      </c>
      <c r="H1465" s="460"/>
      <c r="I1465" s="540"/>
      <c r="J1465" s="540"/>
      <c r="K1465" s="540"/>
      <c r="L1465" s="565"/>
      <c r="M1465" s="565"/>
      <c r="N1465" s="565"/>
    </row>
    <row r="1466" spans="1:18" x14ac:dyDescent="0.25">
      <c r="A1466" s="753"/>
      <c r="C1466" s="527" t="s">
        <v>161</v>
      </c>
      <c r="D1466" s="449">
        <f t="shared" si="114"/>
        <v>46006</v>
      </c>
      <c r="E1466" s="454" t="s">
        <v>169</v>
      </c>
      <c r="F1466" s="460" t="s">
        <v>581</v>
      </c>
      <c r="G1466" s="460" t="s">
        <v>581</v>
      </c>
      <c r="H1466" s="461"/>
      <c r="I1466" s="540"/>
      <c r="J1466" s="540"/>
      <c r="K1466" s="540"/>
      <c r="L1466" s="565"/>
      <c r="M1466" s="565"/>
      <c r="N1466" s="565"/>
    </row>
    <row r="1467" spans="1:18" x14ac:dyDescent="0.25">
      <c r="A1467" s="753"/>
      <c r="C1467" s="527" t="s">
        <v>161</v>
      </c>
      <c r="D1467" s="449">
        <f t="shared" si="114"/>
        <v>46006</v>
      </c>
      <c r="E1467" s="454" t="s">
        <v>170</v>
      </c>
      <c r="F1467" s="460" t="s">
        <v>581</v>
      </c>
      <c r="G1467" s="460" t="s">
        <v>548</v>
      </c>
      <c r="H1467" s="461"/>
      <c r="I1467" s="540"/>
      <c r="J1467" s="540"/>
      <c r="K1467" s="540"/>
      <c r="L1467" s="565"/>
      <c r="M1467" s="565"/>
      <c r="N1467" s="565"/>
    </row>
    <row r="1468" spans="1:18" x14ac:dyDescent="0.25">
      <c r="A1468" s="753"/>
      <c r="C1468" s="527" t="s">
        <v>161</v>
      </c>
      <c r="D1468" s="449">
        <f t="shared" si="114"/>
        <v>46006</v>
      </c>
      <c r="E1468" s="454" t="s">
        <v>585</v>
      </c>
      <c r="F1468" s="460" t="s">
        <v>581</v>
      </c>
      <c r="G1468" s="460" t="s">
        <v>548</v>
      </c>
      <c r="H1468" s="504" t="s">
        <v>145</v>
      </c>
      <c r="I1468" s="540"/>
      <c r="J1468" s="540"/>
      <c r="K1468" s="540"/>
      <c r="L1468" s="566"/>
      <c r="M1468" s="566"/>
      <c r="N1468" s="566"/>
    </row>
    <row r="1469" spans="1:18" x14ac:dyDescent="0.25">
      <c r="A1469" s="753"/>
      <c r="C1469" s="527" t="s">
        <v>161</v>
      </c>
      <c r="D1469" s="449">
        <f t="shared" si="114"/>
        <v>46006</v>
      </c>
      <c r="E1469" s="454" t="s">
        <v>574</v>
      </c>
      <c r="F1469" s="505"/>
      <c r="G1469" s="516"/>
      <c r="H1469" s="516" t="s">
        <v>145</v>
      </c>
      <c r="I1469" s="516"/>
      <c r="J1469" s="516"/>
      <c r="K1469" s="516"/>
      <c r="L1469" s="557"/>
      <c r="M1469" s="557"/>
      <c r="N1469" s="557"/>
    </row>
    <row r="1470" spans="1:18" x14ac:dyDescent="0.25">
      <c r="A1470" s="753"/>
      <c r="C1470" s="527" t="s">
        <v>161</v>
      </c>
      <c r="D1470" s="449">
        <f t="shared" si="114"/>
        <v>46006</v>
      </c>
      <c r="E1470" s="455" t="s">
        <v>575</v>
      </c>
      <c r="F1470" s="505" t="s">
        <v>581</v>
      </c>
      <c r="G1470" s="516" t="s">
        <v>548</v>
      </c>
      <c r="H1470" s="516" t="s">
        <v>145</v>
      </c>
      <c r="I1470" s="516"/>
      <c r="J1470" s="516"/>
      <c r="K1470" s="516"/>
      <c r="L1470" s="557"/>
      <c r="M1470" s="557"/>
      <c r="N1470" s="557"/>
    </row>
    <row r="1471" spans="1:18" x14ac:dyDescent="0.25">
      <c r="A1471" s="753"/>
      <c r="C1471" s="527" t="s">
        <v>161</v>
      </c>
      <c r="D1471" s="449">
        <f t="shared" si="114"/>
        <v>46006</v>
      </c>
      <c r="E1471" s="455" t="s">
        <v>583</v>
      </c>
      <c r="F1471" s="506" t="s">
        <v>581</v>
      </c>
      <c r="G1471" s="506" t="s">
        <v>548</v>
      </c>
      <c r="H1471" s="516" t="s">
        <v>145</v>
      </c>
      <c r="I1471" s="516"/>
      <c r="J1471" s="516"/>
      <c r="K1471" s="516"/>
      <c r="L1471" s="557"/>
      <c r="M1471" s="557"/>
      <c r="N1471" s="557"/>
    </row>
    <row r="1472" spans="1:18" x14ac:dyDescent="0.25">
      <c r="A1472" s="753"/>
      <c r="C1472" s="527" t="s">
        <v>161</v>
      </c>
      <c r="D1472" s="449">
        <f t="shared" si="114"/>
        <v>46006</v>
      </c>
      <c r="E1472" s="503" t="s">
        <v>584</v>
      </c>
      <c r="F1472" s="506" t="s">
        <v>581</v>
      </c>
      <c r="G1472" s="506" t="s">
        <v>548</v>
      </c>
      <c r="H1472" s="516" t="s">
        <v>145</v>
      </c>
      <c r="I1472" s="516"/>
      <c r="J1472" s="516"/>
      <c r="K1472" s="516"/>
      <c r="L1472" s="557"/>
      <c r="M1472" s="557"/>
      <c r="N1472" s="557"/>
    </row>
    <row r="1473" spans="1:18" ht="15.75" thickBot="1" x14ac:dyDescent="0.3">
      <c r="A1473" s="753"/>
      <c r="C1473" s="528"/>
      <c r="D1473" s="451"/>
      <c r="E1473" s="459"/>
      <c r="F1473" s="493"/>
      <c r="G1473" s="493"/>
      <c r="H1473" s="513"/>
      <c r="I1473" s="513"/>
      <c r="J1473" s="513"/>
      <c r="K1473" s="513"/>
      <c r="L1473" s="558"/>
      <c r="M1473" s="558"/>
      <c r="N1473" s="558"/>
    </row>
    <row r="1474" spans="1:18" ht="4.5" customHeight="1" thickBot="1" x14ac:dyDescent="0.3">
      <c r="A1474" s="753"/>
      <c r="C1474" t="s">
        <v>171</v>
      </c>
      <c r="D1474">
        <f>D1472+1</f>
        <v>46007</v>
      </c>
      <c r="E1474" t="s">
        <v>573</v>
      </c>
      <c r="F1474" t="s">
        <v>548</v>
      </c>
      <c r="G1474" t="s">
        <v>548</v>
      </c>
      <c r="H1474" t="s">
        <v>145</v>
      </c>
      <c r="L1474" s="559"/>
      <c r="M1474" s="559"/>
      <c r="N1474" s="559"/>
      <c r="Q1474" s="3"/>
      <c r="R1474" s="3"/>
    </row>
    <row r="1475" spans="1:18" ht="15" customHeight="1" thickBot="1" x14ac:dyDescent="0.3">
      <c r="A1475" s="753"/>
      <c r="C1475" s="538" t="s">
        <v>171</v>
      </c>
      <c r="D1475" s="539">
        <f t="shared" ref="D1475:D1489" si="115">D1474</f>
        <v>46007</v>
      </c>
      <c r="E1475" s="539" t="s">
        <v>162</v>
      </c>
      <c r="F1475" s="539" t="s">
        <v>548</v>
      </c>
      <c r="G1475" s="539" t="s">
        <v>548</v>
      </c>
      <c r="H1475" s="539"/>
      <c r="I1475" s="543"/>
      <c r="J1475" s="542"/>
      <c r="K1475" s="544"/>
      <c r="L1475" s="560"/>
      <c r="M1475" s="561"/>
      <c r="N1475" s="562"/>
      <c r="O1475" s="548"/>
      <c r="P1475" s="549"/>
      <c r="Q1475" s="3"/>
      <c r="R1475" s="3"/>
    </row>
    <row r="1476" spans="1:18" x14ac:dyDescent="0.25">
      <c r="A1476" s="753"/>
      <c r="C1476" s="446" t="s">
        <v>171</v>
      </c>
      <c r="D1476" s="497">
        <f t="shared" si="115"/>
        <v>46007</v>
      </c>
      <c r="E1476" s="498" t="s">
        <v>163</v>
      </c>
      <c r="F1476" s="514" t="s">
        <v>548</v>
      </c>
      <c r="G1476" s="514" t="s">
        <v>548</v>
      </c>
      <c r="H1476" s="515"/>
      <c r="I1476" s="537"/>
      <c r="J1476" s="537"/>
      <c r="K1476" s="537"/>
      <c r="L1476" s="563"/>
      <c r="M1476" s="563"/>
      <c r="N1476" s="563"/>
    </row>
    <row r="1477" spans="1:18" x14ac:dyDescent="0.25">
      <c r="A1477" s="753"/>
      <c r="C1477" s="452" t="s">
        <v>171</v>
      </c>
      <c r="D1477" s="499">
        <f t="shared" si="115"/>
        <v>46007</v>
      </c>
      <c r="E1477" s="500" t="s">
        <v>164</v>
      </c>
      <c r="F1477" s="460" t="s">
        <v>548</v>
      </c>
      <c r="G1477" s="460" t="s">
        <v>548</v>
      </c>
      <c r="H1477" s="501"/>
      <c r="I1477" s="540"/>
      <c r="J1477" s="540"/>
      <c r="K1477" s="540"/>
      <c r="L1477" s="555"/>
      <c r="M1477" s="555"/>
      <c r="N1477" s="555"/>
    </row>
    <row r="1478" spans="1:18" x14ac:dyDescent="0.25">
      <c r="A1478" s="753"/>
      <c r="C1478" s="452" t="s">
        <v>171</v>
      </c>
      <c r="D1478" s="449">
        <f t="shared" si="115"/>
        <v>46007</v>
      </c>
      <c r="E1478" s="454" t="s">
        <v>165</v>
      </c>
      <c r="F1478" s="460" t="s">
        <v>548</v>
      </c>
      <c r="G1478" s="460" t="s">
        <v>548</v>
      </c>
      <c r="H1478" s="460"/>
      <c r="I1478" s="540"/>
      <c r="J1478" s="540"/>
      <c r="K1478" s="540"/>
      <c r="L1478" s="564"/>
      <c r="M1478" s="564"/>
      <c r="N1478" s="564"/>
    </row>
    <row r="1479" spans="1:18" x14ac:dyDescent="0.25">
      <c r="A1479" s="753"/>
      <c r="C1479" s="452" t="s">
        <v>171</v>
      </c>
      <c r="D1479" s="449">
        <f t="shared" si="115"/>
        <v>46007</v>
      </c>
      <c r="E1479" s="454" t="s">
        <v>166</v>
      </c>
      <c r="F1479" s="460" t="s">
        <v>548</v>
      </c>
      <c r="G1479" s="460" t="s">
        <v>548</v>
      </c>
      <c r="H1479" s="460"/>
      <c r="I1479" s="540"/>
      <c r="J1479" s="540"/>
      <c r="K1479" s="540"/>
      <c r="L1479" s="564"/>
      <c r="M1479" s="564"/>
      <c r="N1479" s="564"/>
    </row>
    <row r="1480" spans="1:18" x14ac:dyDescent="0.25">
      <c r="A1480" s="753"/>
      <c r="C1480" s="452" t="s">
        <v>171</v>
      </c>
      <c r="D1480" s="449">
        <f t="shared" si="115"/>
        <v>46007</v>
      </c>
      <c r="E1480" s="454" t="s">
        <v>576</v>
      </c>
      <c r="F1480" s="460" t="s">
        <v>1151</v>
      </c>
      <c r="G1480" s="460"/>
      <c r="H1480" s="460"/>
      <c r="I1480" s="540"/>
      <c r="J1480" s="540"/>
      <c r="K1480" s="540"/>
      <c r="L1480" s="564"/>
      <c r="M1480" s="564"/>
      <c r="N1480" s="564"/>
    </row>
    <row r="1481" spans="1:18" x14ac:dyDescent="0.25">
      <c r="A1481" s="753"/>
      <c r="C1481" s="452" t="s">
        <v>171</v>
      </c>
      <c r="D1481" s="449">
        <f t="shared" si="115"/>
        <v>46007</v>
      </c>
      <c r="E1481" s="454" t="s">
        <v>167</v>
      </c>
      <c r="F1481" s="460" t="s">
        <v>1151</v>
      </c>
      <c r="G1481" s="460" t="s">
        <v>1148</v>
      </c>
      <c r="H1481" s="460"/>
      <c r="I1481" s="540"/>
      <c r="J1481" s="540"/>
      <c r="K1481" s="540"/>
      <c r="L1481" s="564"/>
      <c r="M1481" s="564"/>
      <c r="N1481" s="564"/>
    </row>
    <row r="1482" spans="1:18" x14ac:dyDescent="0.25">
      <c r="A1482" s="753"/>
      <c r="C1482" s="452" t="s">
        <v>171</v>
      </c>
      <c r="D1482" s="449">
        <f t="shared" si="115"/>
        <v>46007</v>
      </c>
      <c r="E1482" s="454" t="s">
        <v>168</v>
      </c>
      <c r="F1482" s="517" t="s">
        <v>1151</v>
      </c>
      <c r="G1482" s="512" t="s">
        <v>1148</v>
      </c>
      <c r="H1482" s="505"/>
      <c r="I1482" s="554"/>
      <c r="J1482" s="541"/>
      <c r="K1482" s="541"/>
      <c r="L1482" s="556"/>
      <c r="M1482" s="556"/>
      <c r="N1482" s="556"/>
    </row>
    <row r="1483" spans="1:18" x14ac:dyDescent="0.25">
      <c r="A1483" s="753"/>
      <c r="C1483" s="452" t="s">
        <v>171</v>
      </c>
      <c r="D1483" s="449">
        <f t="shared" si="115"/>
        <v>46007</v>
      </c>
      <c r="E1483" s="454" t="s">
        <v>169</v>
      </c>
      <c r="F1483" s="460" t="s">
        <v>1151</v>
      </c>
      <c r="G1483" s="460" t="s">
        <v>1148</v>
      </c>
      <c r="H1483" s="461"/>
      <c r="I1483" s="540"/>
      <c r="J1483" s="540"/>
      <c r="K1483" s="540"/>
      <c r="L1483" s="565"/>
      <c r="M1483" s="565"/>
      <c r="N1483" s="565"/>
    </row>
    <row r="1484" spans="1:18" x14ac:dyDescent="0.25">
      <c r="A1484" s="753"/>
      <c r="C1484" s="452" t="s">
        <v>171</v>
      </c>
      <c r="D1484" s="449">
        <f t="shared" si="115"/>
        <v>46007</v>
      </c>
      <c r="E1484" s="454" t="s">
        <v>170</v>
      </c>
      <c r="F1484" s="460" t="s">
        <v>1153</v>
      </c>
      <c r="G1484" s="460" t="s">
        <v>1148</v>
      </c>
      <c r="H1484" s="461"/>
      <c r="I1484" s="540"/>
      <c r="J1484" s="540"/>
      <c r="K1484" s="540"/>
      <c r="L1484" s="565"/>
      <c r="M1484" s="565"/>
      <c r="N1484" s="565"/>
    </row>
    <row r="1485" spans="1:18" x14ac:dyDescent="0.25">
      <c r="A1485" s="753"/>
      <c r="C1485" s="452" t="s">
        <v>171</v>
      </c>
      <c r="D1485" s="449">
        <f t="shared" si="115"/>
        <v>46007</v>
      </c>
      <c r="E1485" s="454" t="s">
        <v>585</v>
      </c>
      <c r="F1485" s="460" t="s">
        <v>1153</v>
      </c>
      <c r="G1485" s="460" t="s">
        <v>1149</v>
      </c>
      <c r="H1485" s="461" t="s">
        <v>145</v>
      </c>
      <c r="I1485" s="540"/>
      <c r="J1485" s="540"/>
      <c r="K1485" s="540"/>
      <c r="L1485" s="565"/>
      <c r="M1485" s="565"/>
      <c r="N1485" s="565"/>
    </row>
    <row r="1486" spans="1:18" x14ac:dyDescent="0.25">
      <c r="A1486" s="753"/>
      <c r="C1486" s="452" t="s">
        <v>171</v>
      </c>
      <c r="D1486" s="449">
        <f t="shared" si="115"/>
        <v>46007</v>
      </c>
      <c r="E1486" s="454" t="s">
        <v>574</v>
      </c>
      <c r="F1486" s="460" t="s">
        <v>1153</v>
      </c>
      <c r="G1486" s="460"/>
      <c r="H1486" s="504" t="s">
        <v>145</v>
      </c>
      <c r="I1486" s="540"/>
      <c r="J1486" s="540"/>
      <c r="K1486" s="540"/>
      <c r="L1486" s="566"/>
      <c r="M1486" s="566"/>
      <c r="N1486" s="566"/>
    </row>
    <row r="1487" spans="1:18" x14ac:dyDescent="0.25">
      <c r="A1487" s="753"/>
      <c r="C1487" s="452" t="s">
        <v>171</v>
      </c>
      <c r="D1487" s="449">
        <f t="shared" si="115"/>
        <v>46007</v>
      </c>
      <c r="E1487" s="454" t="s">
        <v>575</v>
      </c>
      <c r="F1487" s="505" t="s">
        <v>1153</v>
      </c>
      <c r="G1487" s="505" t="s">
        <v>1149</v>
      </c>
      <c r="H1487" s="516" t="s">
        <v>145</v>
      </c>
      <c r="I1487" s="516"/>
      <c r="J1487" s="516"/>
      <c r="K1487" s="516"/>
      <c r="L1487" s="557"/>
      <c r="M1487" s="557"/>
      <c r="N1487" s="557"/>
    </row>
    <row r="1488" spans="1:18" x14ac:dyDescent="0.25">
      <c r="A1488" s="753"/>
      <c r="C1488" s="448" t="s">
        <v>171</v>
      </c>
      <c r="D1488" s="449">
        <f t="shared" si="115"/>
        <v>46007</v>
      </c>
      <c r="E1488" s="455" t="s">
        <v>583</v>
      </c>
      <c r="F1488" s="505" t="s">
        <v>1155</v>
      </c>
      <c r="G1488" s="505" t="s">
        <v>1149</v>
      </c>
      <c r="H1488" s="516" t="s">
        <v>145</v>
      </c>
      <c r="I1488" s="516"/>
      <c r="J1488" s="516"/>
      <c r="K1488" s="516"/>
      <c r="L1488" s="557"/>
      <c r="M1488" s="557"/>
      <c r="N1488" s="557"/>
    </row>
    <row r="1489" spans="1:18" x14ac:dyDescent="0.25">
      <c r="A1489" s="753"/>
      <c r="C1489" s="448" t="s">
        <v>171</v>
      </c>
      <c r="D1489" s="449">
        <f t="shared" si="115"/>
        <v>46007</v>
      </c>
      <c r="E1489" s="455" t="s">
        <v>584</v>
      </c>
      <c r="F1489" s="506" t="s">
        <v>1155</v>
      </c>
      <c r="G1489" s="506" t="s">
        <v>1149</v>
      </c>
      <c r="H1489" s="516" t="s">
        <v>145</v>
      </c>
      <c r="I1489" s="516"/>
      <c r="J1489" s="516"/>
      <c r="K1489" s="516"/>
      <c r="L1489" s="557"/>
      <c r="M1489" s="557"/>
      <c r="N1489" s="557"/>
    </row>
    <row r="1490" spans="1:18" x14ac:dyDescent="0.25">
      <c r="A1490" s="753"/>
      <c r="C1490" s="448"/>
      <c r="D1490" s="449"/>
      <c r="E1490" s="503"/>
      <c r="F1490" s="506"/>
      <c r="G1490" s="506"/>
      <c r="H1490" s="516"/>
      <c r="I1490" s="516"/>
      <c r="J1490" s="516"/>
      <c r="K1490" s="516"/>
      <c r="L1490" s="557"/>
      <c r="M1490" s="557"/>
      <c r="N1490" s="557"/>
    </row>
    <row r="1491" spans="1:18" ht="15.75" thickBot="1" x14ac:dyDescent="0.3">
      <c r="A1491" s="753"/>
      <c r="C1491" s="450" t="s">
        <v>172</v>
      </c>
      <c r="D1491" s="451">
        <f>D1489+1</f>
        <v>46008</v>
      </c>
      <c r="E1491" s="459" t="s">
        <v>573</v>
      </c>
      <c r="F1491" s="493"/>
      <c r="G1491" s="493"/>
      <c r="H1491" s="513" t="s">
        <v>145</v>
      </c>
      <c r="I1491" s="513"/>
      <c r="J1491" s="513"/>
      <c r="K1491" s="513"/>
      <c r="L1491" s="558"/>
      <c r="M1491" s="558"/>
      <c r="N1491" s="558"/>
    </row>
    <row r="1492" spans="1:18" ht="4.5" customHeight="1" thickBot="1" x14ac:dyDescent="0.3">
      <c r="A1492" s="753"/>
      <c r="C1492" t="s">
        <v>172</v>
      </c>
      <c r="D1492">
        <f t="shared" ref="D1492:D1506" si="116">D1491</f>
        <v>46008</v>
      </c>
      <c r="E1492" t="s">
        <v>162</v>
      </c>
      <c r="F1492" t="s">
        <v>1155</v>
      </c>
      <c r="G1492" t="s">
        <v>1150</v>
      </c>
      <c r="L1492" s="559"/>
      <c r="M1492" s="559"/>
      <c r="N1492" s="559"/>
      <c r="Q1492" s="3"/>
      <c r="R1492" s="3"/>
    </row>
    <row r="1493" spans="1:18" ht="15" customHeight="1" thickBot="1" x14ac:dyDescent="0.3">
      <c r="A1493" s="753"/>
      <c r="C1493" s="538" t="s">
        <v>172</v>
      </c>
      <c r="D1493" s="539">
        <f t="shared" si="116"/>
        <v>46008</v>
      </c>
      <c r="E1493" s="539" t="s">
        <v>163</v>
      </c>
      <c r="F1493" s="539" t="s">
        <v>1155</v>
      </c>
      <c r="G1493" s="539" t="s">
        <v>1150</v>
      </c>
      <c r="H1493" s="539"/>
      <c r="I1493" s="543"/>
      <c r="J1493" s="542"/>
      <c r="K1493" s="544"/>
      <c r="L1493" s="560"/>
      <c r="M1493" s="561"/>
      <c r="N1493" s="562"/>
      <c r="O1493" s="548"/>
      <c r="P1493" s="549"/>
      <c r="Q1493" s="3"/>
      <c r="R1493" s="3"/>
    </row>
    <row r="1494" spans="1:18" x14ac:dyDescent="0.25">
      <c r="A1494" s="753"/>
      <c r="C1494" s="446" t="s">
        <v>172</v>
      </c>
      <c r="D1494" s="497">
        <f t="shared" si="116"/>
        <v>46008</v>
      </c>
      <c r="E1494" s="498" t="s">
        <v>164</v>
      </c>
      <c r="F1494" s="514" t="s">
        <v>1155</v>
      </c>
      <c r="G1494" s="514" t="s">
        <v>1150</v>
      </c>
      <c r="H1494" s="515"/>
      <c r="I1494" s="537"/>
      <c r="J1494" s="537"/>
      <c r="K1494" s="537"/>
      <c r="L1494" s="563"/>
      <c r="M1494" s="563"/>
      <c r="N1494" s="563"/>
    </row>
    <row r="1495" spans="1:18" x14ac:dyDescent="0.25">
      <c r="A1495" s="753"/>
      <c r="C1495" s="452" t="s">
        <v>172</v>
      </c>
      <c r="D1495" s="499">
        <f t="shared" si="116"/>
        <v>46008</v>
      </c>
      <c r="E1495" s="500" t="s">
        <v>165</v>
      </c>
      <c r="F1495" s="460" t="s">
        <v>1155</v>
      </c>
      <c r="G1495" s="460" t="s">
        <v>1150</v>
      </c>
      <c r="H1495" s="501"/>
      <c r="I1495" s="540"/>
      <c r="J1495" s="540"/>
      <c r="K1495" s="540"/>
      <c r="L1495" s="555"/>
      <c r="M1495" s="555"/>
      <c r="N1495" s="555"/>
    </row>
    <row r="1496" spans="1:18" x14ac:dyDescent="0.25">
      <c r="A1496" s="753"/>
      <c r="C1496" s="452" t="s">
        <v>172</v>
      </c>
      <c r="D1496" s="449">
        <f t="shared" si="116"/>
        <v>46008</v>
      </c>
      <c r="E1496" s="454" t="s">
        <v>166</v>
      </c>
      <c r="F1496" s="460"/>
      <c r="G1496" s="460"/>
      <c r="H1496" s="460"/>
      <c r="I1496" s="540"/>
      <c r="J1496" s="540"/>
      <c r="K1496" s="540"/>
      <c r="L1496" s="564"/>
      <c r="M1496" s="564"/>
      <c r="N1496" s="564"/>
    </row>
    <row r="1497" spans="1:18" x14ac:dyDescent="0.25">
      <c r="A1497" s="753"/>
      <c r="C1497" s="452" t="s">
        <v>172</v>
      </c>
      <c r="D1497" s="449">
        <f t="shared" si="116"/>
        <v>46008</v>
      </c>
      <c r="E1497" s="454" t="s">
        <v>576</v>
      </c>
      <c r="F1497" s="460" t="s">
        <v>1152</v>
      </c>
      <c r="G1497" s="460" t="s">
        <v>1154</v>
      </c>
      <c r="H1497" s="460"/>
      <c r="I1497" s="540"/>
      <c r="J1497" s="540"/>
      <c r="K1497" s="540"/>
      <c r="L1497" s="564"/>
      <c r="M1497" s="564"/>
      <c r="N1497" s="564"/>
    </row>
    <row r="1498" spans="1:18" x14ac:dyDescent="0.25">
      <c r="A1498" s="753"/>
      <c r="C1498" s="452" t="s">
        <v>172</v>
      </c>
      <c r="D1498" s="449">
        <f t="shared" si="116"/>
        <v>46008</v>
      </c>
      <c r="E1498" s="454" t="s">
        <v>167</v>
      </c>
      <c r="F1498" s="460" t="s">
        <v>1152</v>
      </c>
      <c r="G1498" s="460" t="s">
        <v>1154</v>
      </c>
      <c r="H1498" s="460"/>
      <c r="I1498" s="540"/>
      <c r="J1498" s="540"/>
      <c r="K1498" s="540"/>
      <c r="L1498" s="564"/>
      <c r="M1498" s="564"/>
      <c r="N1498" s="564"/>
    </row>
    <row r="1499" spans="1:18" x14ac:dyDescent="0.25">
      <c r="A1499" s="753"/>
      <c r="C1499" s="452" t="s">
        <v>172</v>
      </c>
      <c r="D1499" s="449">
        <f t="shared" si="116"/>
        <v>46008</v>
      </c>
      <c r="E1499" s="454" t="s">
        <v>168</v>
      </c>
      <c r="F1499" s="460" t="s">
        <v>1152</v>
      </c>
      <c r="G1499" s="460" t="s">
        <v>1154</v>
      </c>
      <c r="H1499" s="460"/>
      <c r="I1499" s="540"/>
      <c r="J1499" s="540"/>
      <c r="K1499" s="540"/>
      <c r="L1499" s="564"/>
      <c r="M1499" s="564"/>
      <c r="N1499" s="564"/>
    </row>
    <row r="1500" spans="1:18" x14ac:dyDescent="0.25">
      <c r="A1500" s="753"/>
      <c r="C1500" s="452" t="s">
        <v>172</v>
      </c>
      <c r="D1500" s="449">
        <f t="shared" si="116"/>
        <v>46008</v>
      </c>
      <c r="E1500" s="454" t="s">
        <v>169</v>
      </c>
      <c r="F1500" s="517" t="s">
        <v>1152</v>
      </c>
      <c r="G1500" s="512" t="s">
        <v>1154</v>
      </c>
      <c r="H1500" s="505"/>
      <c r="I1500" s="541"/>
      <c r="J1500" s="541"/>
      <c r="K1500" s="541"/>
      <c r="L1500" s="556"/>
      <c r="M1500" s="556"/>
      <c r="N1500" s="556"/>
    </row>
    <row r="1501" spans="1:18" x14ac:dyDescent="0.25">
      <c r="A1501" s="753"/>
      <c r="C1501" s="452" t="s">
        <v>172</v>
      </c>
      <c r="D1501" s="449">
        <f t="shared" si="116"/>
        <v>46008</v>
      </c>
      <c r="E1501" s="454" t="s">
        <v>170</v>
      </c>
      <c r="F1501" s="460" t="s">
        <v>1152</v>
      </c>
      <c r="G1501" s="460" t="s">
        <v>1154</v>
      </c>
      <c r="H1501" s="461"/>
      <c r="I1501" s="540"/>
      <c r="J1501" s="540"/>
      <c r="K1501" s="540"/>
      <c r="L1501" s="565"/>
      <c r="M1501" s="565"/>
      <c r="N1501" s="565"/>
    </row>
    <row r="1502" spans="1:18" x14ac:dyDescent="0.25">
      <c r="A1502" s="753"/>
      <c r="C1502" s="452" t="s">
        <v>172</v>
      </c>
      <c r="D1502" s="449">
        <f t="shared" si="116"/>
        <v>46008</v>
      </c>
      <c r="E1502" s="454" t="s">
        <v>585</v>
      </c>
      <c r="F1502" s="460"/>
      <c r="G1502" s="460"/>
      <c r="H1502" s="461" t="s">
        <v>145</v>
      </c>
      <c r="I1502" s="540"/>
      <c r="J1502" s="540"/>
      <c r="K1502" s="540"/>
      <c r="L1502" s="565"/>
      <c r="M1502" s="565"/>
      <c r="N1502" s="565"/>
    </row>
    <row r="1503" spans="1:18" x14ac:dyDescent="0.25">
      <c r="A1503" s="753"/>
      <c r="C1503" s="452" t="s">
        <v>172</v>
      </c>
      <c r="D1503" s="449">
        <f t="shared" si="116"/>
        <v>46008</v>
      </c>
      <c r="E1503" s="454" t="s">
        <v>574</v>
      </c>
      <c r="F1503" s="460"/>
      <c r="G1503" s="460"/>
      <c r="H1503" s="461" t="s">
        <v>145</v>
      </c>
      <c r="I1503" s="540"/>
      <c r="J1503" s="540"/>
      <c r="K1503" s="540"/>
      <c r="L1503" s="565"/>
      <c r="M1503" s="565"/>
      <c r="N1503" s="565"/>
    </row>
    <row r="1504" spans="1:18" x14ac:dyDescent="0.25">
      <c r="A1504" s="753"/>
      <c r="C1504" s="452" t="s">
        <v>172</v>
      </c>
      <c r="D1504" s="449">
        <f t="shared" si="116"/>
        <v>46008</v>
      </c>
      <c r="E1504" s="454" t="s">
        <v>575</v>
      </c>
      <c r="F1504" s="460"/>
      <c r="G1504" s="460"/>
      <c r="H1504" s="504" t="s">
        <v>145</v>
      </c>
      <c r="I1504" s="540"/>
      <c r="J1504" s="540"/>
      <c r="K1504" s="540"/>
      <c r="L1504" s="565"/>
      <c r="M1504" s="566"/>
      <c r="N1504" s="566"/>
    </row>
    <row r="1505" spans="1:18" x14ac:dyDescent="0.25">
      <c r="A1505" s="753"/>
      <c r="C1505" s="452" t="s">
        <v>172</v>
      </c>
      <c r="D1505" s="449">
        <f t="shared" si="116"/>
        <v>46008</v>
      </c>
      <c r="E1505" s="454" t="s">
        <v>583</v>
      </c>
      <c r="F1505" s="505"/>
      <c r="G1505" s="505"/>
      <c r="H1505" s="516" t="s">
        <v>145</v>
      </c>
      <c r="I1505" s="516"/>
      <c r="J1505" s="516"/>
      <c r="K1505" s="516"/>
      <c r="L1505" s="557"/>
      <c r="M1505" s="557"/>
      <c r="N1505" s="557"/>
    </row>
    <row r="1506" spans="1:18" x14ac:dyDescent="0.25">
      <c r="A1506" s="753"/>
      <c r="C1506" s="448" t="s">
        <v>172</v>
      </c>
      <c r="D1506" s="449">
        <f t="shared" si="116"/>
        <v>46008</v>
      </c>
      <c r="E1506" s="455" t="s">
        <v>584</v>
      </c>
      <c r="F1506" s="505"/>
      <c r="G1506" s="505"/>
      <c r="H1506" s="516" t="s">
        <v>145</v>
      </c>
      <c r="I1506" s="516"/>
      <c r="J1506" s="516"/>
      <c r="K1506" s="516"/>
      <c r="L1506" s="557"/>
      <c r="M1506" s="557"/>
      <c r="N1506" s="557"/>
    </row>
    <row r="1507" spans="1:18" x14ac:dyDescent="0.25">
      <c r="A1507" s="753"/>
      <c r="C1507" s="448"/>
      <c r="D1507" s="449"/>
      <c r="E1507" s="455"/>
      <c r="F1507" s="506"/>
      <c r="G1507" s="506"/>
      <c r="H1507" s="516"/>
      <c r="I1507" s="516"/>
      <c r="J1507" s="516"/>
      <c r="K1507" s="516"/>
      <c r="L1507" s="557"/>
      <c r="M1507" s="557"/>
      <c r="N1507" s="557"/>
    </row>
    <row r="1508" spans="1:18" x14ac:dyDescent="0.25">
      <c r="A1508" s="753"/>
      <c r="C1508" s="448" t="s">
        <v>173</v>
      </c>
      <c r="D1508" s="449">
        <f>D1506+1</f>
        <v>46009</v>
      </c>
      <c r="E1508" s="503" t="s">
        <v>573</v>
      </c>
      <c r="F1508" s="506"/>
      <c r="G1508" s="506"/>
      <c r="H1508" s="516"/>
      <c r="I1508" s="516"/>
      <c r="J1508" s="516"/>
      <c r="K1508" s="516"/>
      <c r="L1508" s="557"/>
      <c r="M1508" s="557"/>
      <c r="N1508" s="557"/>
    </row>
    <row r="1509" spans="1:18" ht="15.75" thickBot="1" x14ac:dyDescent="0.3">
      <c r="A1509" s="753"/>
      <c r="C1509" s="450" t="s">
        <v>173</v>
      </c>
      <c r="D1509" s="451">
        <f t="shared" ref="D1509:D1523" si="117">D1508</f>
        <v>46009</v>
      </c>
      <c r="E1509" s="459" t="s">
        <v>162</v>
      </c>
      <c r="F1509" s="493"/>
      <c r="G1509" s="493"/>
      <c r="H1509" s="513"/>
      <c r="I1509" s="513"/>
      <c r="J1509" s="513"/>
      <c r="K1509" s="513"/>
      <c r="L1509" s="558"/>
      <c r="M1509" s="558"/>
      <c r="N1509" s="558"/>
    </row>
    <row r="1510" spans="1:18" ht="4.5" customHeight="1" thickBot="1" x14ac:dyDescent="0.3">
      <c r="A1510" s="753"/>
      <c r="C1510" t="s">
        <v>173</v>
      </c>
      <c r="D1510">
        <f t="shared" si="117"/>
        <v>46009</v>
      </c>
      <c r="E1510" t="s">
        <v>163</v>
      </c>
      <c r="L1510" s="559"/>
      <c r="M1510" s="559"/>
      <c r="N1510" s="559"/>
      <c r="Q1510" s="3"/>
      <c r="R1510" s="3"/>
    </row>
    <row r="1511" spans="1:18" ht="15" customHeight="1" thickBot="1" x14ac:dyDescent="0.3">
      <c r="A1511" s="753"/>
      <c r="C1511" s="538" t="s">
        <v>173</v>
      </c>
      <c r="D1511" s="539">
        <f t="shared" si="117"/>
        <v>46009</v>
      </c>
      <c r="E1511" s="539" t="s">
        <v>164</v>
      </c>
      <c r="F1511" s="539"/>
      <c r="G1511" s="539"/>
      <c r="H1511" s="539"/>
      <c r="I1511" s="543"/>
      <c r="J1511" s="542"/>
      <c r="K1511" s="544"/>
      <c r="L1511" s="560"/>
      <c r="M1511" s="561"/>
      <c r="N1511" s="562"/>
      <c r="O1511" s="548"/>
      <c r="P1511" s="549"/>
      <c r="Q1511" s="3"/>
      <c r="R1511" s="3"/>
    </row>
    <row r="1512" spans="1:18" x14ac:dyDescent="0.25">
      <c r="A1512" s="753"/>
      <c r="C1512" s="529" t="s">
        <v>173</v>
      </c>
      <c r="D1512" s="447">
        <f t="shared" si="117"/>
        <v>46009</v>
      </c>
      <c r="E1512" s="498" t="s">
        <v>165</v>
      </c>
      <c r="F1512" s="514"/>
      <c r="G1512" s="514"/>
      <c r="H1512" s="515"/>
      <c r="I1512" s="537"/>
      <c r="J1512" s="537"/>
      <c r="K1512" s="537"/>
      <c r="L1512" s="563"/>
      <c r="M1512" s="563"/>
      <c r="N1512" s="563"/>
    </row>
    <row r="1513" spans="1:18" x14ac:dyDescent="0.25">
      <c r="A1513" s="753"/>
      <c r="C1513" s="452" t="s">
        <v>173</v>
      </c>
      <c r="D1513" s="453">
        <f t="shared" si="117"/>
        <v>46009</v>
      </c>
      <c r="E1513" s="500" t="s">
        <v>166</v>
      </c>
      <c r="F1513" s="460"/>
      <c r="G1513" s="460"/>
      <c r="H1513" s="501"/>
      <c r="I1513" s="540"/>
      <c r="J1513" s="540"/>
      <c r="K1513" s="540"/>
      <c r="L1513" s="555"/>
      <c r="M1513" s="555"/>
      <c r="N1513" s="555"/>
    </row>
    <row r="1514" spans="1:18" x14ac:dyDescent="0.25">
      <c r="A1514" s="753"/>
      <c r="C1514" s="452" t="s">
        <v>173</v>
      </c>
      <c r="D1514" s="453">
        <f t="shared" si="117"/>
        <v>46009</v>
      </c>
      <c r="E1514" s="454" t="s">
        <v>576</v>
      </c>
      <c r="F1514" s="460"/>
      <c r="G1514" s="460"/>
      <c r="H1514" s="460"/>
      <c r="I1514" s="540"/>
      <c r="J1514" s="540"/>
      <c r="K1514" s="540"/>
      <c r="L1514" s="564"/>
      <c r="M1514" s="564"/>
      <c r="N1514" s="564"/>
    </row>
    <row r="1515" spans="1:18" x14ac:dyDescent="0.25">
      <c r="A1515" s="753"/>
      <c r="C1515" s="452" t="s">
        <v>173</v>
      </c>
      <c r="D1515" s="453">
        <f t="shared" si="117"/>
        <v>46009</v>
      </c>
      <c r="E1515" s="454" t="s">
        <v>167</v>
      </c>
      <c r="F1515" s="460"/>
      <c r="G1515" s="460"/>
      <c r="H1515" s="460"/>
      <c r="I1515" s="540"/>
      <c r="J1515" s="540"/>
      <c r="K1515" s="540"/>
      <c r="L1515" s="564"/>
      <c r="M1515" s="564"/>
      <c r="N1515" s="564"/>
    </row>
    <row r="1516" spans="1:18" x14ac:dyDescent="0.25">
      <c r="A1516" s="753"/>
      <c r="C1516" s="452" t="s">
        <v>173</v>
      </c>
      <c r="D1516" s="453">
        <f t="shared" si="117"/>
        <v>46009</v>
      </c>
      <c r="E1516" s="454" t="s">
        <v>168</v>
      </c>
      <c r="F1516" s="460"/>
      <c r="G1516" s="460"/>
      <c r="H1516" s="460"/>
      <c r="I1516" s="540"/>
      <c r="J1516" s="540"/>
      <c r="K1516" s="540"/>
      <c r="L1516" s="564"/>
      <c r="M1516" s="564"/>
      <c r="N1516" s="564"/>
    </row>
    <row r="1517" spans="1:18" x14ac:dyDescent="0.25">
      <c r="A1517" s="753"/>
      <c r="C1517" s="452" t="s">
        <v>173</v>
      </c>
      <c r="D1517" s="453">
        <f t="shared" si="117"/>
        <v>46009</v>
      </c>
      <c r="E1517" s="454" t="s">
        <v>169</v>
      </c>
      <c r="F1517" s="460"/>
      <c r="G1517" s="460"/>
      <c r="H1517" s="460"/>
      <c r="I1517" s="540"/>
      <c r="J1517" s="540"/>
      <c r="K1517" s="540"/>
      <c r="L1517" s="564"/>
      <c r="M1517" s="564"/>
      <c r="N1517" s="564"/>
    </row>
    <row r="1518" spans="1:18" x14ac:dyDescent="0.25">
      <c r="A1518" s="753"/>
      <c r="C1518" s="452" t="s">
        <v>173</v>
      </c>
      <c r="D1518" s="453">
        <f t="shared" si="117"/>
        <v>46009</v>
      </c>
      <c r="E1518" s="454" t="s">
        <v>170</v>
      </c>
      <c r="F1518" s="517"/>
      <c r="G1518" s="512"/>
      <c r="H1518" s="505"/>
      <c r="I1518" s="541"/>
      <c r="J1518" s="541"/>
      <c r="K1518" s="541"/>
      <c r="L1518" s="556"/>
      <c r="M1518" s="556"/>
      <c r="N1518" s="556"/>
    </row>
    <row r="1519" spans="1:18" x14ac:dyDescent="0.25">
      <c r="A1519" s="753"/>
      <c r="C1519" s="452" t="s">
        <v>173</v>
      </c>
      <c r="D1519" s="449">
        <f t="shared" si="117"/>
        <v>46009</v>
      </c>
      <c r="E1519" s="454" t="s">
        <v>585</v>
      </c>
      <c r="F1519" s="460"/>
      <c r="G1519" s="460"/>
      <c r="H1519" s="461"/>
      <c r="I1519" s="540"/>
      <c r="J1519" s="540"/>
      <c r="K1519" s="540"/>
      <c r="L1519" s="565"/>
      <c r="M1519" s="565"/>
      <c r="N1519" s="565"/>
    </row>
    <row r="1520" spans="1:18" x14ac:dyDescent="0.25">
      <c r="A1520" s="753"/>
      <c r="C1520" s="452" t="s">
        <v>173</v>
      </c>
      <c r="D1520" s="449">
        <f t="shared" si="117"/>
        <v>46009</v>
      </c>
      <c r="E1520" s="454" t="s">
        <v>574</v>
      </c>
      <c r="F1520" s="460"/>
      <c r="G1520" s="460"/>
      <c r="H1520" s="461"/>
      <c r="I1520" s="540"/>
      <c r="J1520" s="540"/>
      <c r="K1520" s="540"/>
      <c r="L1520" s="565"/>
      <c r="M1520" s="565"/>
      <c r="N1520" s="565"/>
    </row>
    <row r="1521" spans="1:18" x14ac:dyDescent="0.25">
      <c r="A1521" s="753"/>
      <c r="C1521" s="452" t="s">
        <v>173</v>
      </c>
      <c r="D1521" s="449">
        <f t="shared" si="117"/>
        <v>46009</v>
      </c>
      <c r="E1521" s="454" t="s">
        <v>575</v>
      </c>
      <c r="F1521" s="460"/>
      <c r="G1521" s="460"/>
      <c r="H1521" s="461"/>
      <c r="I1521" s="540"/>
      <c r="J1521" s="540"/>
      <c r="K1521" s="540"/>
      <c r="L1521" s="565"/>
      <c r="M1521" s="565"/>
      <c r="N1521" s="565"/>
    </row>
    <row r="1522" spans="1:18" x14ac:dyDescent="0.25">
      <c r="A1522" s="753"/>
      <c r="C1522" s="452" t="s">
        <v>173</v>
      </c>
      <c r="D1522" s="449">
        <f t="shared" si="117"/>
        <v>46009</v>
      </c>
      <c r="E1522" s="454" t="s">
        <v>583</v>
      </c>
      <c r="F1522" s="460"/>
      <c r="G1522" s="460"/>
      <c r="H1522" s="504"/>
      <c r="I1522" s="545"/>
      <c r="J1522" s="540"/>
      <c r="K1522" s="540"/>
      <c r="L1522" s="566"/>
      <c r="M1522" s="566"/>
      <c r="N1522" s="566"/>
    </row>
    <row r="1523" spans="1:18" x14ac:dyDescent="0.25">
      <c r="A1523" s="753"/>
      <c r="C1523" s="452" t="s">
        <v>173</v>
      </c>
      <c r="D1523" s="449">
        <f t="shared" si="117"/>
        <v>46009</v>
      </c>
      <c r="E1523" s="454" t="s">
        <v>584</v>
      </c>
      <c r="F1523" s="505"/>
      <c r="G1523" s="505"/>
      <c r="H1523" s="516"/>
      <c r="I1523" s="516"/>
      <c r="J1523" s="516"/>
      <c r="K1523" s="516"/>
      <c r="L1523" s="557"/>
      <c r="M1523" s="557"/>
      <c r="N1523" s="557"/>
    </row>
    <row r="1524" spans="1:18" x14ac:dyDescent="0.25">
      <c r="A1524" s="753"/>
      <c r="C1524" s="452"/>
      <c r="D1524" s="449"/>
      <c r="E1524" s="455"/>
      <c r="F1524" s="505"/>
      <c r="G1524" s="505"/>
      <c r="H1524" s="516"/>
      <c r="I1524" s="516"/>
      <c r="J1524" s="516"/>
      <c r="K1524" s="516"/>
      <c r="L1524" s="557"/>
      <c r="M1524" s="557"/>
      <c r="N1524" s="557"/>
    </row>
    <row r="1525" spans="1:18" x14ac:dyDescent="0.25">
      <c r="A1525" s="753"/>
      <c r="C1525" s="452" t="s">
        <v>174</v>
      </c>
      <c r="D1525" s="449">
        <f>D1523+1</f>
        <v>46010</v>
      </c>
      <c r="E1525" s="455" t="s">
        <v>573</v>
      </c>
      <c r="F1525" s="506" t="s">
        <v>145</v>
      </c>
      <c r="G1525" s="506" t="s">
        <v>145</v>
      </c>
      <c r="H1525" s="516" t="s">
        <v>145</v>
      </c>
      <c r="I1525" s="516"/>
      <c r="J1525" s="516"/>
      <c r="K1525" s="516"/>
      <c r="L1525" s="557"/>
      <c r="M1525" s="557"/>
      <c r="N1525" s="557"/>
    </row>
    <row r="1526" spans="1:18" x14ac:dyDescent="0.25">
      <c r="A1526" s="753"/>
      <c r="C1526" s="452" t="s">
        <v>174</v>
      </c>
      <c r="D1526" s="449">
        <f t="shared" ref="D1526:D1540" si="118">D1525</f>
        <v>46010</v>
      </c>
      <c r="E1526" s="503" t="s">
        <v>162</v>
      </c>
      <c r="F1526" s="506" t="s">
        <v>145</v>
      </c>
      <c r="G1526" s="506" t="s">
        <v>145</v>
      </c>
      <c r="H1526" s="516" t="s">
        <v>145</v>
      </c>
      <c r="I1526" s="516"/>
      <c r="J1526" s="516"/>
      <c r="K1526" s="516"/>
      <c r="L1526" s="557"/>
      <c r="M1526" s="557"/>
      <c r="N1526" s="557"/>
    </row>
    <row r="1527" spans="1:18" ht="15.75" thickBot="1" x14ac:dyDescent="0.3">
      <c r="A1527" s="753"/>
      <c r="C1527" s="530" t="s">
        <v>174</v>
      </c>
      <c r="D1527" s="451">
        <f t="shared" si="118"/>
        <v>46010</v>
      </c>
      <c r="E1527" s="459" t="s">
        <v>163</v>
      </c>
      <c r="F1527" s="493" t="s">
        <v>145</v>
      </c>
      <c r="G1527" s="493" t="s">
        <v>145</v>
      </c>
      <c r="H1527" s="513" t="s">
        <v>145</v>
      </c>
      <c r="I1527" s="513"/>
      <c r="J1527" s="513"/>
      <c r="K1527" s="513"/>
      <c r="L1527" s="558"/>
      <c r="M1527" s="558"/>
      <c r="N1527" s="558"/>
    </row>
    <row r="1528" spans="1:18" ht="4.5" customHeight="1" thickBot="1" x14ac:dyDescent="0.3">
      <c r="A1528" s="753"/>
      <c r="C1528" t="s">
        <v>174</v>
      </c>
      <c r="D1528">
        <f t="shared" si="118"/>
        <v>46010</v>
      </c>
      <c r="E1528" t="s">
        <v>164</v>
      </c>
      <c r="F1528" t="s">
        <v>145</v>
      </c>
      <c r="G1528" t="s">
        <v>145</v>
      </c>
      <c r="H1528" t="s">
        <v>145</v>
      </c>
      <c r="I1528" s="420"/>
      <c r="J1528" s="420"/>
      <c r="K1528" s="420"/>
      <c r="L1528" s="559"/>
      <c r="M1528" s="559"/>
      <c r="N1528" s="559"/>
      <c r="Q1528" s="3"/>
      <c r="R1528" s="3"/>
    </row>
    <row r="1529" spans="1:18" ht="15" customHeight="1" thickBot="1" x14ac:dyDescent="0.3">
      <c r="A1529" s="753"/>
      <c r="C1529" s="546" t="s">
        <v>174</v>
      </c>
      <c r="D1529" s="547">
        <f t="shared" si="118"/>
        <v>46010</v>
      </c>
      <c r="E1529" s="539" t="s">
        <v>165</v>
      </c>
      <c r="F1529" s="539" t="s">
        <v>145</v>
      </c>
      <c r="G1529" s="539" t="s">
        <v>145</v>
      </c>
      <c r="H1529" s="539" t="s">
        <v>145</v>
      </c>
      <c r="I1529" s="543"/>
      <c r="J1529" s="542"/>
      <c r="K1529" s="544"/>
      <c r="L1529" s="560"/>
      <c r="M1529" s="561"/>
      <c r="N1529" s="562"/>
      <c r="O1529" s="548"/>
      <c r="P1529" s="549"/>
      <c r="Q1529" s="3"/>
      <c r="R1529" s="3"/>
    </row>
    <row r="1530" spans="1:18" x14ac:dyDescent="0.25">
      <c r="A1530" s="753"/>
      <c r="C1530" s="529" t="s">
        <v>174</v>
      </c>
      <c r="D1530" s="447">
        <f t="shared" si="118"/>
        <v>46010</v>
      </c>
      <c r="E1530" s="498" t="s">
        <v>166</v>
      </c>
      <c r="F1530" s="514" t="s">
        <v>145</v>
      </c>
      <c r="G1530" s="514" t="s">
        <v>145</v>
      </c>
      <c r="H1530" s="514" t="s">
        <v>145</v>
      </c>
      <c r="I1530" s="537"/>
      <c r="J1530" s="537"/>
      <c r="K1530" s="537"/>
      <c r="L1530" s="563"/>
      <c r="M1530" s="563"/>
      <c r="N1530" s="563"/>
    </row>
    <row r="1531" spans="1:18" x14ac:dyDescent="0.25">
      <c r="A1531" s="753"/>
      <c r="C1531" s="452" t="s">
        <v>174</v>
      </c>
      <c r="D1531" s="453">
        <f t="shared" si="118"/>
        <v>46010</v>
      </c>
      <c r="E1531" s="500" t="s">
        <v>576</v>
      </c>
      <c r="F1531" s="569" t="s">
        <v>145</v>
      </c>
      <c r="G1531" s="569" t="s">
        <v>145</v>
      </c>
      <c r="H1531" s="569" t="s">
        <v>145</v>
      </c>
      <c r="I1531" s="540"/>
      <c r="J1531" s="540"/>
      <c r="K1531" s="540"/>
      <c r="L1531" s="555"/>
      <c r="M1531" s="555"/>
      <c r="N1531" s="555"/>
    </row>
    <row r="1532" spans="1:18" x14ac:dyDescent="0.25">
      <c r="A1532" s="753"/>
      <c r="C1532" s="452" t="s">
        <v>174</v>
      </c>
      <c r="D1532" s="453">
        <f t="shared" si="118"/>
        <v>46010</v>
      </c>
      <c r="E1532" s="454" t="s">
        <v>167</v>
      </c>
      <c r="F1532" s="569" t="s">
        <v>145</v>
      </c>
      <c r="G1532" s="569" t="s">
        <v>145</v>
      </c>
      <c r="H1532" s="569" t="s">
        <v>145</v>
      </c>
      <c r="I1532" s="540"/>
      <c r="J1532" s="540"/>
      <c r="K1532" s="540"/>
      <c r="L1532" s="564"/>
      <c r="M1532" s="564"/>
      <c r="N1532" s="564"/>
    </row>
    <row r="1533" spans="1:18" x14ac:dyDescent="0.25">
      <c r="A1533" s="753"/>
      <c r="C1533" s="452" t="s">
        <v>174</v>
      </c>
      <c r="D1533" s="453">
        <f t="shared" si="118"/>
        <v>46010</v>
      </c>
      <c r="E1533" s="454" t="s">
        <v>168</v>
      </c>
      <c r="F1533" s="569" t="s">
        <v>145</v>
      </c>
      <c r="G1533" s="569" t="s">
        <v>145</v>
      </c>
      <c r="H1533" s="569" t="s">
        <v>145</v>
      </c>
      <c r="I1533" s="540"/>
      <c r="J1533" s="540"/>
      <c r="K1533" s="540"/>
      <c r="L1533" s="564"/>
      <c r="M1533" s="564"/>
      <c r="N1533" s="564"/>
    </row>
    <row r="1534" spans="1:18" x14ac:dyDescent="0.25">
      <c r="A1534" s="753"/>
      <c r="C1534" s="452" t="s">
        <v>174</v>
      </c>
      <c r="D1534" s="453">
        <f t="shared" si="118"/>
        <v>46010</v>
      </c>
      <c r="E1534" s="454" t="s">
        <v>169</v>
      </c>
      <c r="F1534" s="569" t="s">
        <v>145</v>
      </c>
      <c r="G1534" s="569" t="s">
        <v>145</v>
      </c>
      <c r="H1534" s="569" t="s">
        <v>145</v>
      </c>
      <c r="I1534" s="540"/>
      <c r="J1534" s="540"/>
      <c r="K1534" s="540"/>
      <c r="L1534" s="564"/>
      <c r="M1534" s="564"/>
      <c r="N1534" s="564"/>
    </row>
    <row r="1535" spans="1:18" x14ac:dyDescent="0.25">
      <c r="A1535" s="753"/>
      <c r="C1535" s="452" t="s">
        <v>174</v>
      </c>
      <c r="D1535" s="453">
        <f t="shared" si="118"/>
        <v>46010</v>
      </c>
      <c r="E1535" s="454" t="s">
        <v>170</v>
      </c>
      <c r="F1535" s="569" t="s">
        <v>145</v>
      </c>
      <c r="G1535" s="569" t="s">
        <v>145</v>
      </c>
      <c r="H1535" s="569" t="s">
        <v>145</v>
      </c>
      <c r="I1535" s="540"/>
      <c r="J1535" s="540"/>
      <c r="K1535" s="540"/>
      <c r="L1535" s="564"/>
      <c r="M1535" s="564"/>
      <c r="N1535" s="564"/>
    </row>
    <row r="1536" spans="1:18" x14ac:dyDescent="0.25">
      <c r="A1536" s="753"/>
      <c r="C1536" s="452" t="s">
        <v>174</v>
      </c>
      <c r="D1536" s="453">
        <f t="shared" si="118"/>
        <v>46010</v>
      </c>
      <c r="E1536" s="454" t="s">
        <v>585</v>
      </c>
      <c r="F1536" s="512" t="s">
        <v>145</v>
      </c>
      <c r="G1536" s="512" t="s">
        <v>145</v>
      </c>
      <c r="H1536" s="512" t="s">
        <v>145</v>
      </c>
      <c r="I1536" s="541"/>
      <c r="J1536" s="541"/>
      <c r="K1536" s="541"/>
      <c r="L1536" s="556"/>
      <c r="M1536" s="556"/>
      <c r="N1536" s="556"/>
    </row>
    <row r="1537" spans="1:14" x14ac:dyDescent="0.25">
      <c r="A1537" s="753"/>
      <c r="C1537" s="452" t="s">
        <v>174</v>
      </c>
      <c r="D1537" s="449">
        <f t="shared" si="118"/>
        <v>46010</v>
      </c>
      <c r="E1537" s="454" t="s">
        <v>574</v>
      </c>
      <c r="F1537" s="569" t="s">
        <v>145</v>
      </c>
      <c r="G1537" s="569" t="s">
        <v>145</v>
      </c>
      <c r="H1537" s="569" t="s">
        <v>145</v>
      </c>
      <c r="I1537" s="540"/>
      <c r="J1537" s="540"/>
      <c r="K1537" s="540"/>
      <c r="L1537" s="565"/>
      <c r="M1537" s="565"/>
      <c r="N1537" s="565"/>
    </row>
    <row r="1538" spans="1:14" x14ac:dyDescent="0.25">
      <c r="A1538" s="753"/>
      <c r="C1538" s="452" t="s">
        <v>174</v>
      </c>
      <c r="D1538" s="449">
        <f t="shared" si="118"/>
        <v>46010</v>
      </c>
      <c r="E1538" s="454" t="s">
        <v>575</v>
      </c>
      <c r="F1538" s="569" t="s">
        <v>145</v>
      </c>
      <c r="G1538" s="569" t="s">
        <v>145</v>
      </c>
      <c r="H1538" s="569" t="s">
        <v>145</v>
      </c>
      <c r="I1538" s="540"/>
      <c r="J1538" s="540"/>
      <c r="K1538" s="540"/>
      <c r="L1538" s="565"/>
      <c r="M1538" s="565"/>
      <c r="N1538" s="565"/>
    </row>
    <row r="1539" spans="1:14" x14ac:dyDescent="0.25">
      <c r="A1539" s="753"/>
      <c r="C1539" s="452" t="s">
        <v>174</v>
      </c>
      <c r="D1539" s="449">
        <f t="shared" si="118"/>
        <v>46010</v>
      </c>
      <c r="E1539" s="454" t="s">
        <v>583</v>
      </c>
      <c r="F1539" s="569" t="s">
        <v>145</v>
      </c>
      <c r="G1539" s="569" t="s">
        <v>145</v>
      </c>
      <c r="H1539" s="569" t="s">
        <v>145</v>
      </c>
      <c r="I1539" s="540"/>
      <c r="J1539" s="540"/>
      <c r="K1539" s="540"/>
      <c r="L1539" s="565"/>
      <c r="M1539" s="565"/>
      <c r="N1539" s="565"/>
    </row>
    <row r="1540" spans="1:14" x14ac:dyDescent="0.25">
      <c r="A1540" s="753"/>
      <c r="C1540" s="452" t="s">
        <v>174</v>
      </c>
      <c r="D1540" s="449">
        <f t="shared" si="118"/>
        <v>46010</v>
      </c>
      <c r="E1540" s="454" t="s">
        <v>584</v>
      </c>
      <c r="F1540" s="505" t="s">
        <v>145</v>
      </c>
      <c r="G1540" s="505" t="s">
        <v>145</v>
      </c>
      <c r="H1540" s="505" t="s">
        <v>145</v>
      </c>
      <c r="I1540" s="516"/>
      <c r="J1540" s="516"/>
      <c r="K1540" s="516"/>
      <c r="L1540" s="557"/>
      <c r="M1540" s="557"/>
      <c r="N1540" s="557"/>
    </row>
    <row r="1541" spans="1:14" x14ac:dyDescent="0.25">
      <c r="A1541" s="753"/>
      <c r="C1541" s="452"/>
      <c r="D1541" s="449"/>
      <c r="E1541" s="454"/>
      <c r="F1541" s="505"/>
      <c r="G1541" s="505"/>
      <c r="H1541" s="505"/>
      <c r="I1541" s="516"/>
      <c r="J1541" s="516"/>
      <c r="K1541" s="516"/>
      <c r="L1541" s="557"/>
      <c r="M1541" s="557"/>
      <c r="N1541" s="557"/>
    </row>
    <row r="1542" spans="1:14" x14ac:dyDescent="0.25">
      <c r="A1542" s="753" t="s">
        <v>1199</v>
      </c>
      <c r="C1542" s="452" t="s">
        <v>161</v>
      </c>
      <c r="D1542" s="449">
        <v>46027</v>
      </c>
      <c r="E1542" s="455" t="s">
        <v>573</v>
      </c>
      <c r="F1542" s="505"/>
      <c r="G1542" s="505"/>
      <c r="H1542" s="505"/>
      <c r="I1542" s="516"/>
      <c r="J1542" s="516"/>
      <c r="K1542" s="516"/>
      <c r="L1542" s="557"/>
      <c r="M1542" s="557"/>
      <c r="N1542" s="557"/>
    </row>
    <row r="1543" spans="1:14" x14ac:dyDescent="0.25">
      <c r="A1543" s="753"/>
      <c r="C1543" s="452" t="s">
        <v>161</v>
      </c>
      <c r="D1543" s="449">
        <f t="shared" ref="D1543:D1557" si="119">D1542</f>
        <v>46027</v>
      </c>
      <c r="E1543" s="455" t="s">
        <v>162</v>
      </c>
      <c r="F1543" s="506" t="s">
        <v>145</v>
      </c>
      <c r="G1543" s="506" t="s">
        <v>145</v>
      </c>
      <c r="H1543" s="506" t="s">
        <v>145</v>
      </c>
      <c r="I1543" s="516"/>
      <c r="J1543" s="516"/>
      <c r="K1543" s="516"/>
      <c r="L1543" s="557"/>
      <c r="M1543" s="557"/>
      <c r="N1543" s="557"/>
    </row>
    <row r="1544" spans="1:14" x14ac:dyDescent="0.25">
      <c r="A1544" s="753"/>
      <c r="C1544" s="452" t="s">
        <v>161</v>
      </c>
      <c r="D1544" s="502">
        <f t="shared" si="119"/>
        <v>46027</v>
      </c>
      <c r="E1544" s="503" t="s">
        <v>163</v>
      </c>
      <c r="F1544" s="506" t="s">
        <v>145</v>
      </c>
      <c r="G1544" s="506" t="s">
        <v>145</v>
      </c>
      <c r="H1544" s="506" t="s">
        <v>145</v>
      </c>
      <c r="I1544" s="516"/>
      <c r="J1544" s="516"/>
      <c r="K1544" s="516"/>
      <c r="L1544" s="557"/>
      <c r="M1544" s="557"/>
      <c r="N1544" s="557"/>
    </row>
    <row r="1545" spans="1:14" ht="15.75" thickBot="1" x14ac:dyDescent="0.3">
      <c r="A1545" s="753"/>
      <c r="C1545" s="530" t="s">
        <v>161</v>
      </c>
      <c r="D1545" s="451">
        <f t="shared" si="119"/>
        <v>46027</v>
      </c>
      <c r="E1545" s="459" t="s">
        <v>164</v>
      </c>
      <c r="F1545" s="493" t="s">
        <v>145</v>
      </c>
      <c r="G1545" s="493" t="s">
        <v>145</v>
      </c>
      <c r="H1545" s="493" t="s">
        <v>145</v>
      </c>
      <c r="I1545" s="513"/>
      <c r="J1545" s="513"/>
      <c r="K1545" s="513"/>
      <c r="L1545" s="558"/>
      <c r="M1545" s="558"/>
      <c r="N1545" s="558"/>
    </row>
    <row r="1546" spans="1:14" x14ac:dyDescent="0.25">
      <c r="C1546" t="s">
        <v>161</v>
      </c>
      <c r="D1546">
        <f t="shared" si="119"/>
        <v>46027</v>
      </c>
      <c r="E1546" t="s">
        <v>165</v>
      </c>
      <c r="F1546" t="s">
        <v>145</v>
      </c>
      <c r="G1546" t="s">
        <v>145</v>
      </c>
      <c r="H1546" t="s">
        <v>145</v>
      </c>
    </row>
    <row r="1547" spans="1:14" x14ac:dyDescent="0.25">
      <c r="C1547" t="s">
        <v>161</v>
      </c>
      <c r="D1547">
        <f t="shared" si="119"/>
        <v>46027</v>
      </c>
      <c r="E1547" t="s">
        <v>166</v>
      </c>
      <c r="F1547" t="s">
        <v>145</v>
      </c>
      <c r="G1547" t="s">
        <v>145</v>
      </c>
      <c r="H1547" t="s">
        <v>145</v>
      </c>
    </row>
    <row r="1548" spans="1:14" x14ac:dyDescent="0.25">
      <c r="C1548" t="s">
        <v>161</v>
      </c>
      <c r="D1548">
        <f t="shared" si="119"/>
        <v>46027</v>
      </c>
      <c r="E1548" t="s">
        <v>576</v>
      </c>
    </row>
    <row r="1549" spans="1:14" x14ac:dyDescent="0.25">
      <c r="C1549" t="s">
        <v>161</v>
      </c>
      <c r="D1549">
        <f t="shared" si="119"/>
        <v>46027</v>
      </c>
      <c r="E1549" t="s">
        <v>167</v>
      </c>
      <c r="F1549" t="s">
        <v>145</v>
      </c>
      <c r="G1549" t="s">
        <v>145</v>
      </c>
      <c r="H1549" t="s">
        <v>145</v>
      </c>
    </row>
    <row r="1550" spans="1:14" x14ac:dyDescent="0.25">
      <c r="C1550" t="s">
        <v>161</v>
      </c>
      <c r="D1550">
        <f t="shared" si="119"/>
        <v>46027</v>
      </c>
      <c r="E1550" t="s">
        <v>168</v>
      </c>
      <c r="F1550" t="s">
        <v>145</v>
      </c>
      <c r="G1550" t="s">
        <v>145</v>
      </c>
      <c r="H1550" t="s">
        <v>145</v>
      </c>
    </row>
    <row r="1551" spans="1:14" x14ac:dyDescent="0.25">
      <c r="C1551" t="s">
        <v>161</v>
      </c>
      <c r="D1551">
        <f t="shared" si="119"/>
        <v>46027</v>
      </c>
      <c r="E1551" t="s">
        <v>169</v>
      </c>
      <c r="F1551" t="s">
        <v>145</v>
      </c>
      <c r="G1551" t="s">
        <v>145</v>
      </c>
      <c r="H1551" t="s">
        <v>145</v>
      </c>
    </row>
    <row r="1552" spans="1:14" x14ac:dyDescent="0.25">
      <c r="C1552" t="s">
        <v>161</v>
      </c>
      <c r="D1552">
        <f t="shared" si="119"/>
        <v>46027</v>
      </c>
      <c r="E1552" t="s">
        <v>170</v>
      </c>
      <c r="F1552" t="s">
        <v>145</v>
      </c>
      <c r="G1552" t="s">
        <v>145</v>
      </c>
      <c r="H1552" t="s">
        <v>145</v>
      </c>
    </row>
    <row r="1553" spans="3:8" x14ac:dyDescent="0.25">
      <c r="C1553" t="s">
        <v>161</v>
      </c>
      <c r="D1553">
        <f t="shared" si="119"/>
        <v>46027</v>
      </c>
      <c r="E1553" t="s">
        <v>585</v>
      </c>
    </row>
    <row r="1554" spans="3:8" x14ac:dyDescent="0.25">
      <c r="C1554" t="s">
        <v>161</v>
      </c>
      <c r="D1554">
        <f t="shared" si="119"/>
        <v>46027</v>
      </c>
      <c r="E1554" t="s">
        <v>574</v>
      </c>
    </row>
    <row r="1555" spans="3:8" x14ac:dyDescent="0.25">
      <c r="C1555" t="s">
        <v>161</v>
      </c>
      <c r="D1555">
        <f t="shared" si="119"/>
        <v>46027</v>
      </c>
      <c r="E1555" t="s">
        <v>575</v>
      </c>
    </row>
    <row r="1556" spans="3:8" x14ac:dyDescent="0.25">
      <c r="C1556" t="s">
        <v>161</v>
      </c>
      <c r="D1556">
        <f t="shared" si="119"/>
        <v>46027</v>
      </c>
      <c r="E1556" t="s">
        <v>583</v>
      </c>
    </row>
    <row r="1557" spans="3:8" x14ac:dyDescent="0.25">
      <c r="C1557" t="s">
        <v>161</v>
      </c>
      <c r="D1557">
        <f t="shared" si="119"/>
        <v>46027</v>
      </c>
      <c r="E1557" t="s">
        <v>584</v>
      </c>
    </row>
    <row r="1559" spans="3:8" x14ac:dyDescent="0.25">
      <c r="C1559" t="s">
        <v>171</v>
      </c>
      <c r="D1559">
        <f>D1557+1</f>
        <v>46028</v>
      </c>
      <c r="E1559" t="s">
        <v>573</v>
      </c>
    </row>
    <row r="1560" spans="3:8" x14ac:dyDescent="0.25">
      <c r="C1560" t="s">
        <v>171</v>
      </c>
      <c r="D1560">
        <f t="shared" ref="D1560:D1574" si="120">D1559</f>
        <v>46028</v>
      </c>
      <c r="E1560" t="s">
        <v>162</v>
      </c>
      <c r="F1560" t="s">
        <v>145</v>
      </c>
      <c r="G1560" t="s">
        <v>145</v>
      </c>
      <c r="H1560" t="s">
        <v>145</v>
      </c>
    </row>
    <row r="1561" spans="3:8" x14ac:dyDescent="0.25">
      <c r="C1561" t="s">
        <v>171</v>
      </c>
      <c r="D1561">
        <f t="shared" si="120"/>
        <v>46028</v>
      </c>
      <c r="E1561" t="s">
        <v>163</v>
      </c>
      <c r="F1561" t="s">
        <v>145</v>
      </c>
      <c r="G1561" t="s">
        <v>145</v>
      </c>
      <c r="H1561" t="s">
        <v>145</v>
      </c>
    </row>
    <row r="1562" spans="3:8" x14ac:dyDescent="0.25">
      <c r="C1562" t="s">
        <v>171</v>
      </c>
      <c r="D1562">
        <f t="shared" si="120"/>
        <v>46028</v>
      </c>
      <c r="E1562" t="s">
        <v>164</v>
      </c>
      <c r="F1562" t="s">
        <v>145</v>
      </c>
      <c r="G1562" t="s">
        <v>145</v>
      </c>
      <c r="H1562" t="s">
        <v>145</v>
      </c>
    </row>
    <row r="1563" spans="3:8" x14ac:dyDescent="0.25">
      <c r="C1563" t="s">
        <v>171</v>
      </c>
      <c r="D1563">
        <f t="shared" si="120"/>
        <v>46028</v>
      </c>
      <c r="E1563" t="s">
        <v>165</v>
      </c>
      <c r="F1563" t="s">
        <v>145</v>
      </c>
      <c r="G1563" t="s">
        <v>145</v>
      </c>
      <c r="H1563" t="s">
        <v>145</v>
      </c>
    </row>
    <row r="1564" spans="3:8" x14ac:dyDescent="0.25">
      <c r="C1564" t="s">
        <v>171</v>
      </c>
      <c r="D1564">
        <f t="shared" si="120"/>
        <v>46028</v>
      </c>
      <c r="E1564" t="s">
        <v>166</v>
      </c>
      <c r="F1564" t="s">
        <v>145</v>
      </c>
      <c r="G1564" t="s">
        <v>145</v>
      </c>
      <c r="H1564" t="s">
        <v>145</v>
      </c>
    </row>
    <row r="1565" spans="3:8" x14ac:dyDescent="0.25">
      <c r="C1565" t="s">
        <v>171</v>
      </c>
      <c r="D1565">
        <f t="shared" si="120"/>
        <v>46028</v>
      </c>
      <c r="E1565" t="s">
        <v>576</v>
      </c>
    </row>
    <row r="1566" spans="3:8" x14ac:dyDescent="0.25">
      <c r="C1566" t="s">
        <v>171</v>
      </c>
      <c r="D1566">
        <f t="shared" si="120"/>
        <v>46028</v>
      </c>
      <c r="E1566" t="s">
        <v>167</v>
      </c>
      <c r="F1566" t="s">
        <v>145</v>
      </c>
      <c r="G1566" t="s">
        <v>145</v>
      </c>
      <c r="H1566" t="s">
        <v>145</v>
      </c>
    </row>
    <row r="1567" spans="3:8" x14ac:dyDescent="0.25">
      <c r="C1567" t="s">
        <v>171</v>
      </c>
      <c r="D1567">
        <f t="shared" si="120"/>
        <v>46028</v>
      </c>
      <c r="E1567" t="s">
        <v>168</v>
      </c>
      <c r="F1567" t="s">
        <v>145</v>
      </c>
      <c r="G1567" t="s">
        <v>145</v>
      </c>
      <c r="H1567" t="s">
        <v>145</v>
      </c>
    </row>
    <row r="1568" spans="3:8" x14ac:dyDescent="0.25">
      <c r="C1568" t="s">
        <v>171</v>
      </c>
      <c r="D1568">
        <f t="shared" si="120"/>
        <v>46028</v>
      </c>
      <c r="E1568" t="s">
        <v>169</v>
      </c>
      <c r="F1568" t="s">
        <v>145</v>
      </c>
      <c r="G1568" t="s">
        <v>145</v>
      </c>
      <c r="H1568" t="s">
        <v>145</v>
      </c>
    </row>
    <row r="1569" spans="3:8" x14ac:dyDescent="0.25">
      <c r="C1569" t="s">
        <v>171</v>
      </c>
      <c r="D1569">
        <f t="shared" si="120"/>
        <v>46028</v>
      </c>
      <c r="E1569" t="s">
        <v>170</v>
      </c>
      <c r="F1569" t="s">
        <v>145</v>
      </c>
      <c r="G1569" t="s">
        <v>145</v>
      </c>
      <c r="H1569" t="s">
        <v>145</v>
      </c>
    </row>
    <row r="1570" spans="3:8" x14ac:dyDescent="0.25">
      <c r="C1570" t="s">
        <v>171</v>
      </c>
      <c r="D1570">
        <f t="shared" si="120"/>
        <v>46028</v>
      </c>
      <c r="E1570" t="s">
        <v>585</v>
      </c>
    </row>
    <row r="1571" spans="3:8" x14ac:dyDescent="0.25">
      <c r="C1571" t="s">
        <v>171</v>
      </c>
      <c r="D1571">
        <f t="shared" si="120"/>
        <v>46028</v>
      </c>
      <c r="E1571" t="s">
        <v>574</v>
      </c>
    </row>
    <row r="1572" spans="3:8" x14ac:dyDescent="0.25">
      <c r="C1572" t="s">
        <v>171</v>
      </c>
      <c r="D1572">
        <f t="shared" si="120"/>
        <v>46028</v>
      </c>
      <c r="E1572" t="s">
        <v>575</v>
      </c>
    </row>
    <row r="1573" spans="3:8" x14ac:dyDescent="0.25">
      <c r="C1573" t="s">
        <v>171</v>
      </c>
      <c r="D1573">
        <f t="shared" si="120"/>
        <v>46028</v>
      </c>
      <c r="E1573" t="s">
        <v>583</v>
      </c>
    </row>
    <row r="1574" spans="3:8" x14ac:dyDescent="0.25">
      <c r="C1574" t="s">
        <v>171</v>
      </c>
      <c r="D1574">
        <f t="shared" si="120"/>
        <v>46028</v>
      </c>
      <c r="E1574" t="s">
        <v>584</v>
      </c>
    </row>
    <row r="1576" spans="3:8" x14ac:dyDescent="0.25">
      <c r="C1576" t="s">
        <v>172</v>
      </c>
      <c r="D1576">
        <f>D1574+1</f>
        <v>46029</v>
      </c>
      <c r="E1576" t="s">
        <v>573</v>
      </c>
    </row>
    <row r="1577" spans="3:8" x14ac:dyDescent="0.25">
      <c r="C1577" t="s">
        <v>172</v>
      </c>
      <c r="D1577">
        <f t="shared" ref="D1577:D1591" si="121">D1576</f>
        <v>46029</v>
      </c>
      <c r="E1577" t="s">
        <v>162</v>
      </c>
      <c r="F1577" t="s">
        <v>145</v>
      </c>
      <c r="G1577" t="s">
        <v>145</v>
      </c>
      <c r="H1577" t="s">
        <v>145</v>
      </c>
    </row>
    <row r="1578" spans="3:8" x14ac:dyDescent="0.25">
      <c r="C1578" t="s">
        <v>172</v>
      </c>
      <c r="D1578">
        <f t="shared" si="121"/>
        <v>46029</v>
      </c>
      <c r="E1578" t="s">
        <v>163</v>
      </c>
      <c r="F1578" t="s">
        <v>145</v>
      </c>
      <c r="G1578" t="s">
        <v>145</v>
      </c>
      <c r="H1578" t="s">
        <v>145</v>
      </c>
    </row>
    <row r="1579" spans="3:8" x14ac:dyDescent="0.25">
      <c r="C1579" t="s">
        <v>172</v>
      </c>
      <c r="D1579">
        <f t="shared" si="121"/>
        <v>46029</v>
      </c>
      <c r="E1579" t="s">
        <v>164</v>
      </c>
      <c r="F1579" t="s">
        <v>145</v>
      </c>
      <c r="G1579" t="s">
        <v>145</v>
      </c>
      <c r="H1579" t="s">
        <v>145</v>
      </c>
    </row>
    <row r="1580" spans="3:8" x14ac:dyDescent="0.25">
      <c r="C1580" t="s">
        <v>172</v>
      </c>
      <c r="D1580">
        <f t="shared" si="121"/>
        <v>46029</v>
      </c>
      <c r="E1580" t="s">
        <v>165</v>
      </c>
      <c r="F1580" t="s">
        <v>145</v>
      </c>
      <c r="G1580" t="s">
        <v>145</v>
      </c>
      <c r="H1580" t="s">
        <v>145</v>
      </c>
    </row>
    <row r="1581" spans="3:8" x14ac:dyDescent="0.25">
      <c r="C1581" t="s">
        <v>172</v>
      </c>
      <c r="D1581">
        <f t="shared" si="121"/>
        <v>46029</v>
      </c>
      <c r="E1581" t="s">
        <v>166</v>
      </c>
      <c r="F1581" t="s">
        <v>145</v>
      </c>
      <c r="G1581" t="s">
        <v>145</v>
      </c>
      <c r="H1581" t="s">
        <v>145</v>
      </c>
    </row>
    <row r="1582" spans="3:8" x14ac:dyDescent="0.25">
      <c r="C1582" t="s">
        <v>172</v>
      </c>
      <c r="D1582">
        <f t="shared" si="121"/>
        <v>46029</v>
      </c>
      <c r="E1582" t="s">
        <v>576</v>
      </c>
    </row>
    <row r="1583" spans="3:8" x14ac:dyDescent="0.25">
      <c r="C1583" t="s">
        <v>172</v>
      </c>
      <c r="D1583">
        <f t="shared" si="121"/>
        <v>46029</v>
      </c>
      <c r="E1583" t="s">
        <v>167</v>
      </c>
      <c r="F1583" t="s">
        <v>145</v>
      </c>
      <c r="G1583" t="s">
        <v>145</v>
      </c>
      <c r="H1583" t="s">
        <v>145</v>
      </c>
    </row>
    <row r="1584" spans="3:8" x14ac:dyDescent="0.25">
      <c r="C1584" t="s">
        <v>172</v>
      </c>
      <c r="D1584">
        <f t="shared" si="121"/>
        <v>46029</v>
      </c>
      <c r="E1584" t="s">
        <v>168</v>
      </c>
      <c r="F1584" t="s">
        <v>145</v>
      </c>
      <c r="G1584" t="s">
        <v>145</v>
      </c>
      <c r="H1584" t="s">
        <v>145</v>
      </c>
    </row>
    <row r="1585" spans="3:8" x14ac:dyDescent="0.25">
      <c r="C1585" t="s">
        <v>172</v>
      </c>
      <c r="D1585">
        <f t="shared" si="121"/>
        <v>46029</v>
      </c>
      <c r="E1585" t="s">
        <v>169</v>
      </c>
      <c r="F1585" t="s">
        <v>145</v>
      </c>
      <c r="G1585" t="s">
        <v>145</v>
      </c>
      <c r="H1585" t="s">
        <v>145</v>
      </c>
    </row>
    <row r="1586" spans="3:8" x14ac:dyDescent="0.25">
      <c r="C1586" t="s">
        <v>172</v>
      </c>
      <c r="D1586">
        <f t="shared" si="121"/>
        <v>46029</v>
      </c>
      <c r="E1586" t="s">
        <v>170</v>
      </c>
      <c r="F1586" t="s">
        <v>145</v>
      </c>
      <c r="G1586" t="s">
        <v>145</v>
      </c>
      <c r="H1586" t="s">
        <v>145</v>
      </c>
    </row>
    <row r="1587" spans="3:8" x14ac:dyDescent="0.25">
      <c r="C1587" t="s">
        <v>172</v>
      </c>
      <c r="D1587">
        <f t="shared" si="121"/>
        <v>46029</v>
      </c>
      <c r="E1587" t="s">
        <v>585</v>
      </c>
    </row>
    <row r="1588" spans="3:8" x14ac:dyDescent="0.25">
      <c r="C1588" t="s">
        <v>172</v>
      </c>
      <c r="D1588">
        <f t="shared" si="121"/>
        <v>46029</v>
      </c>
      <c r="E1588" t="s">
        <v>574</v>
      </c>
    </row>
    <row r="1589" spans="3:8" x14ac:dyDescent="0.25">
      <c r="C1589" t="s">
        <v>172</v>
      </c>
      <c r="D1589">
        <f t="shared" si="121"/>
        <v>46029</v>
      </c>
      <c r="E1589" t="s">
        <v>575</v>
      </c>
    </row>
    <row r="1590" spans="3:8" x14ac:dyDescent="0.25">
      <c r="C1590" t="s">
        <v>172</v>
      </c>
      <c r="D1590">
        <f t="shared" si="121"/>
        <v>46029</v>
      </c>
      <c r="E1590" t="s">
        <v>583</v>
      </c>
    </row>
    <row r="1591" spans="3:8" x14ac:dyDescent="0.25">
      <c r="C1591" t="s">
        <v>172</v>
      </c>
      <c r="D1591">
        <f t="shared" si="121"/>
        <v>46029</v>
      </c>
      <c r="E1591" t="s">
        <v>584</v>
      </c>
    </row>
    <row r="1593" spans="3:8" x14ac:dyDescent="0.25">
      <c r="C1593" t="s">
        <v>173</v>
      </c>
      <c r="D1593">
        <f>D1591+1</f>
        <v>46030</v>
      </c>
      <c r="E1593" t="s">
        <v>573</v>
      </c>
    </row>
    <row r="1594" spans="3:8" x14ac:dyDescent="0.25">
      <c r="C1594" t="s">
        <v>173</v>
      </c>
      <c r="D1594">
        <f t="shared" ref="D1594:D1608" si="122">D1593</f>
        <v>46030</v>
      </c>
      <c r="E1594" t="s">
        <v>162</v>
      </c>
      <c r="F1594" t="s">
        <v>145</v>
      </c>
      <c r="G1594" t="s">
        <v>145</v>
      </c>
      <c r="H1594" t="s">
        <v>145</v>
      </c>
    </row>
    <row r="1595" spans="3:8" x14ac:dyDescent="0.25">
      <c r="C1595" t="s">
        <v>173</v>
      </c>
      <c r="D1595">
        <f t="shared" si="122"/>
        <v>46030</v>
      </c>
      <c r="E1595" t="s">
        <v>163</v>
      </c>
      <c r="F1595" t="s">
        <v>145</v>
      </c>
      <c r="G1595" t="s">
        <v>145</v>
      </c>
      <c r="H1595" t="s">
        <v>145</v>
      </c>
    </row>
    <row r="1596" spans="3:8" x14ac:dyDescent="0.25">
      <c r="C1596" t="s">
        <v>173</v>
      </c>
      <c r="D1596">
        <f t="shared" si="122"/>
        <v>46030</v>
      </c>
      <c r="E1596" t="s">
        <v>164</v>
      </c>
      <c r="F1596" t="s">
        <v>145</v>
      </c>
      <c r="G1596" t="s">
        <v>145</v>
      </c>
      <c r="H1596" t="s">
        <v>145</v>
      </c>
    </row>
    <row r="1597" spans="3:8" x14ac:dyDescent="0.25">
      <c r="C1597" t="s">
        <v>173</v>
      </c>
      <c r="D1597">
        <f t="shared" si="122"/>
        <v>46030</v>
      </c>
      <c r="E1597" t="s">
        <v>165</v>
      </c>
      <c r="F1597" t="s">
        <v>145</v>
      </c>
      <c r="G1597" t="s">
        <v>145</v>
      </c>
      <c r="H1597" t="s">
        <v>145</v>
      </c>
    </row>
    <row r="1598" spans="3:8" x14ac:dyDescent="0.25">
      <c r="C1598" t="s">
        <v>173</v>
      </c>
      <c r="D1598">
        <f t="shared" si="122"/>
        <v>46030</v>
      </c>
      <c r="E1598" t="s">
        <v>166</v>
      </c>
      <c r="F1598" t="s">
        <v>145</v>
      </c>
      <c r="G1598" t="s">
        <v>145</v>
      </c>
      <c r="H1598" t="s">
        <v>145</v>
      </c>
    </row>
    <row r="1599" spans="3:8" x14ac:dyDescent="0.25">
      <c r="C1599" t="s">
        <v>173</v>
      </c>
      <c r="D1599">
        <f t="shared" si="122"/>
        <v>46030</v>
      </c>
      <c r="E1599" t="s">
        <v>576</v>
      </c>
    </row>
    <row r="1600" spans="3:8" x14ac:dyDescent="0.25">
      <c r="C1600" t="s">
        <v>173</v>
      </c>
      <c r="D1600">
        <f t="shared" si="122"/>
        <v>46030</v>
      </c>
      <c r="E1600" t="s">
        <v>167</v>
      </c>
      <c r="F1600" t="s">
        <v>145</v>
      </c>
      <c r="G1600" t="s">
        <v>145</v>
      </c>
      <c r="H1600" t="s">
        <v>145</v>
      </c>
    </row>
    <row r="1601" spans="3:8" x14ac:dyDescent="0.25">
      <c r="C1601" t="s">
        <v>173</v>
      </c>
      <c r="D1601">
        <f t="shared" si="122"/>
        <v>46030</v>
      </c>
      <c r="E1601" t="s">
        <v>168</v>
      </c>
      <c r="F1601" t="s">
        <v>145</v>
      </c>
      <c r="G1601" t="s">
        <v>145</v>
      </c>
      <c r="H1601" t="s">
        <v>145</v>
      </c>
    </row>
    <row r="1602" spans="3:8" x14ac:dyDescent="0.25">
      <c r="C1602" t="s">
        <v>173</v>
      </c>
      <c r="D1602">
        <f t="shared" si="122"/>
        <v>46030</v>
      </c>
      <c r="E1602" t="s">
        <v>169</v>
      </c>
      <c r="F1602" t="s">
        <v>145</v>
      </c>
      <c r="G1602" t="s">
        <v>145</v>
      </c>
      <c r="H1602" t="s">
        <v>145</v>
      </c>
    </row>
    <row r="1603" spans="3:8" x14ac:dyDescent="0.25">
      <c r="C1603" t="s">
        <v>173</v>
      </c>
      <c r="D1603">
        <f t="shared" si="122"/>
        <v>46030</v>
      </c>
      <c r="E1603" t="s">
        <v>170</v>
      </c>
      <c r="F1603" t="s">
        <v>145</v>
      </c>
      <c r="G1603" t="s">
        <v>145</v>
      </c>
      <c r="H1603" t="s">
        <v>145</v>
      </c>
    </row>
    <row r="1604" spans="3:8" x14ac:dyDescent="0.25">
      <c r="C1604" t="s">
        <v>173</v>
      </c>
      <c r="D1604">
        <f t="shared" si="122"/>
        <v>46030</v>
      </c>
      <c r="E1604" t="s">
        <v>585</v>
      </c>
    </row>
    <row r="1605" spans="3:8" x14ac:dyDescent="0.25">
      <c r="C1605" t="s">
        <v>173</v>
      </c>
      <c r="D1605">
        <f t="shared" si="122"/>
        <v>46030</v>
      </c>
      <c r="E1605" t="s">
        <v>574</v>
      </c>
    </row>
    <row r="1606" spans="3:8" x14ac:dyDescent="0.25">
      <c r="C1606" t="s">
        <v>173</v>
      </c>
      <c r="D1606">
        <f t="shared" si="122"/>
        <v>46030</v>
      </c>
      <c r="E1606" t="s">
        <v>575</v>
      </c>
    </row>
    <row r="1607" spans="3:8" x14ac:dyDescent="0.25">
      <c r="C1607" t="s">
        <v>173</v>
      </c>
      <c r="D1607">
        <f t="shared" si="122"/>
        <v>46030</v>
      </c>
      <c r="E1607" t="s">
        <v>583</v>
      </c>
    </row>
    <row r="1608" spans="3:8" x14ac:dyDescent="0.25">
      <c r="C1608" t="s">
        <v>173</v>
      </c>
      <c r="D1608">
        <f t="shared" si="122"/>
        <v>46030</v>
      </c>
      <c r="E1608" t="s">
        <v>584</v>
      </c>
    </row>
    <row r="1610" spans="3:8" x14ac:dyDescent="0.25">
      <c r="C1610" t="s">
        <v>174</v>
      </c>
      <c r="D1610">
        <f>D1608+1</f>
        <v>46031</v>
      </c>
      <c r="E1610" t="s">
        <v>573</v>
      </c>
    </row>
    <row r="1611" spans="3:8" x14ac:dyDescent="0.25">
      <c r="C1611" t="s">
        <v>174</v>
      </c>
      <c r="D1611">
        <f t="shared" ref="D1611:D1625" si="123">D1610</f>
        <v>46031</v>
      </c>
      <c r="E1611" t="s">
        <v>162</v>
      </c>
    </row>
    <row r="1612" spans="3:8" x14ac:dyDescent="0.25">
      <c r="C1612" t="s">
        <v>174</v>
      </c>
      <c r="D1612">
        <f t="shared" si="123"/>
        <v>46031</v>
      </c>
      <c r="E1612" t="s">
        <v>163</v>
      </c>
    </row>
    <row r="1613" spans="3:8" x14ac:dyDescent="0.25">
      <c r="C1613" t="s">
        <v>174</v>
      </c>
      <c r="D1613">
        <f t="shared" si="123"/>
        <v>46031</v>
      </c>
      <c r="E1613" t="s">
        <v>164</v>
      </c>
    </row>
    <row r="1614" spans="3:8" x14ac:dyDescent="0.25">
      <c r="C1614" t="s">
        <v>174</v>
      </c>
      <c r="D1614">
        <f t="shared" si="123"/>
        <v>46031</v>
      </c>
      <c r="E1614" t="s">
        <v>165</v>
      </c>
    </row>
    <row r="1615" spans="3:8" x14ac:dyDescent="0.25">
      <c r="C1615" t="s">
        <v>174</v>
      </c>
      <c r="D1615">
        <f t="shared" si="123"/>
        <v>46031</v>
      </c>
      <c r="E1615" t="s">
        <v>166</v>
      </c>
    </row>
    <row r="1616" spans="3:8" x14ac:dyDescent="0.25">
      <c r="C1616" t="s">
        <v>174</v>
      </c>
      <c r="D1616">
        <f t="shared" si="123"/>
        <v>46031</v>
      </c>
      <c r="E1616" t="s">
        <v>576</v>
      </c>
    </row>
    <row r="1617" spans="1:18" x14ac:dyDescent="0.25">
      <c r="C1617" t="s">
        <v>174</v>
      </c>
      <c r="D1617">
        <f t="shared" si="123"/>
        <v>46031</v>
      </c>
      <c r="E1617" t="s">
        <v>167</v>
      </c>
    </row>
    <row r="1618" spans="1:18" x14ac:dyDescent="0.25">
      <c r="C1618" t="s">
        <v>174</v>
      </c>
      <c r="D1618">
        <f t="shared" si="123"/>
        <v>46031</v>
      </c>
      <c r="E1618" t="s">
        <v>168</v>
      </c>
    </row>
    <row r="1619" spans="1:18" x14ac:dyDescent="0.25">
      <c r="C1619" t="s">
        <v>174</v>
      </c>
      <c r="D1619">
        <f t="shared" si="123"/>
        <v>46031</v>
      </c>
      <c r="E1619" t="s">
        <v>169</v>
      </c>
    </row>
    <row r="1620" spans="1:18" x14ac:dyDescent="0.25">
      <c r="C1620" t="s">
        <v>174</v>
      </c>
      <c r="D1620">
        <f t="shared" si="123"/>
        <v>46031</v>
      </c>
      <c r="E1620" t="s">
        <v>170</v>
      </c>
    </row>
    <row r="1621" spans="1:18" x14ac:dyDescent="0.25">
      <c r="C1621" t="s">
        <v>174</v>
      </c>
      <c r="D1621">
        <f t="shared" si="123"/>
        <v>46031</v>
      </c>
      <c r="E1621" t="s">
        <v>585</v>
      </c>
    </row>
    <row r="1622" spans="1:18" x14ac:dyDescent="0.25">
      <c r="C1622" t="s">
        <v>174</v>
      </c>
      <c r="D1622">
        <f t="shared" si="123"/>
        <v>46031</v>
      </c>
      <c r="E1622" t="s">
        <v>574</v>
      </c>
    </row>
    <row r="1623" spans="1:18" x14ac:dyDescent="0.25">
      <c r="C1623" t="s">
        <v>174</v>
      </c>
      <c r="D1623">
        <f t="shared" si="123"/>
        <v>46031</v>
      </c>
      <c r="E1623" t="s">
        <v>575</v>
      </c>
    </row>
    <row r="1624" spans="1:18" x14ac:dyDescent="0.25">
      <c r="C1624" t="s">
        <v>174</v>
      </c>
      <c r="D1624">
        <f t="shared" si="123"/>
        <v>46031</v>
      </c>
      <c r="E1624" t="s">
        <v>583</v>
      </c>
    </row>
    <row r="1625" spans="1:18" x14ac:dyDescent="0.25">
      <c r="C1625" t="s">
        <v>174</v>
      </c>
      <c r="D1625">
        <f t="shared" si="123"/>
        <v>46031</v>
      </c>
      <c r="E1625" t="s">
        <v>584</v>
      </c>
    </row>
    <row r="1626" spans="1:18" ht="15.75" thickBot="1" x14ac:dyDescent="0.3"/>
    <row r="1627" spans="1:18" ht="15" customHeight="1" thickBot="1" x14ac:dyDescent="0.3">
      <c r="A1627" s="753" t="s">
        <v>1200</v>
      </c>
      <c r="C1627" s="538" t="s">
        <v>161</v>
      </c>
      <c r="D1627" s="539">
        <v>46034</v>
      </c>
      <c r="E1627" s="539" t="s">
        <v>573</v>
      </c>
      <c r="F1627" s="539"/>
      <c r="G1627" s="539"/>
      <c r="H1627" s="539"/>
      <c r="I1627" s="543"/>
      <c r="J1627" s="542"/>
      <c r="K1627" s="544"/>
      <c r="L1627" s="560"/>
      <c r="M1627" s="561"/>
      <c r="N1627" s="562"/>
      <c r="O1627" s="548"/>
      <c r="P1627" s="549"/>
      <c r="Q1627" s="3"/>
      <c r="R1627" s="3"/>
    </row>
    <row r="1628" spans="1:18" x14ac:dyDescent="0.25">
      <c r="A1628" s="753"/>
      <c r="C1628" s="496" t="s">
        <v>161</v>
      </c>
      <c r="D1628" s="507">
        <f t="shared" ref="D1628:D1642" si="124">D1627</f>
        <v>46034</v>
      </c>
      <c r="E1628" s="498" t="s">
        <v>162</v>
      </c>
      <c r="F1628" s="514" t="s">
        <v>1238</v>
      </c>
      <c r="G1628" s="514" t="s">
        <v>1238</v>
      </c>
      <c r="H1628" s="515"/>
      <c r="I1628" s="537"/>
      <c r="J1628" s="537"/>
      <c r="K1628" s="537"/>
      <c r="L1628" s="563"/>
      <c r="M1628" s="563"/>
      <c r="N1628" s="563"/>
    </row>
    <row r="1629" spans="1:18" x14ac:dyDescent="0.25">
      <c r="A1629" s="753"/>
      <c r="C1629" s="525" t="s">
        <v>161</v>
      </c>
      <c r="D1629" s="499">
        <f t="shared" si="124"/>
        <v>46034</v>
      </c>
      <c r="E1629" s="500" t="s">
        <v>163</v>
      </c>
      <c r="F1629" s="460" t="s">
        <v>1238</v>
      </c>
      <c r="G1629" s="460" t="s">
        <v>1238</v>
      </c>
      <c r="H1629" s="460"/>
      <c r="I1629" s="540"/>
      <c r="J1629" s="540"/>
      <c r="K1629" s="540"/>
      <c r="L1629" s="555"/>
      <c r="M1629" s="555"/>
      <c r="N1629" s="555"/>
    </row>
    <row r="1630" spans="1:18" x14ac:dyDescent="0.25">
      <c r="A1630" s="753"/>
      <c r="C1630" s="526" t="s">
        <v>161</v>
      </c>
      <c r="D1630" s="449">
        <f t="shared" si="124"/>
        <v>46034</v>
      </c>
      <c r="E1630" s="454" t="s">
        <v>164</v>
      </c>
      <c r="F1630" s="460" t="s">
        <v>1238</v>
      </c>
      <c r="G1630" s="460" t="s">
        <v>1238</v>
      </c>
      <c r="H1630" s="460"/>
      <c r="I1630" s="540"/>
      <c r="J1630" s="540"/>
      <c r="K1630" s="540"/>
      <c r="L1630" s="564"/>
      <c r="M1630" s="564"/>
      <c r="N1630" s="564"/>
    </row>
    <row r="1631" spans="1:18" x14ac:dyDescent="0.25">
      <c r="A1631" s="753"/>
      <c r="C1631" s="526" t="s">
        <v>161</v>
      </c>
      <c r="D1631" s="449">
        <f t="shared" si="124"/>
        <v>46034</v>
      </c>
      <c r="E1631" s="454" t="s">
        <v>165</v>
      </c>
      <c r="F1631" s="460" t="s">
        <v>1238</v>
      </c>
      <c r="G1631" s="460" t="s">
        <v>1238</v>
      </c>
      <c r="H1631" s="460"/>
      <c r="I1631" s="540"/>
      <c r="J1631" s="540"/>
      <c r="K1631" s="540"/>
      <c r="L1631" s="564"/>
      <c r="M1631" s="564"/>
      <c r="N1631" s="564"/>
    </row>
    <row r="1632" spans="1:18" x14ac:dyDescent="0.25">
      <c r="A1632" s="753"/>
      <c r="C1632" s="526" t="s">
        <v>161</v>
      </c>
      <c r="D1632" s="449">
        <f t="shared" si="124"/>
        <v>46034</v>
      </c>
      <c r="E1632" s="454" t="s">
        <v>166</v>
      </c>
      <c r="F1632" s="460" t="s">
        <v>1238</v>
      </c>
      <c r="G1632" s="460" t="s">
        <v>1238</v>
      </c>
      <c r="H1632" s="460"/>
      <c r="I1632" s="540"/>
      <c r="J1632" s="540"/>
      <c r="K1632" s="540"/>
      <c r="L1632" s="564"/>
      <c r="M1632" s="564"/>
      <c r="N1632" s="564"/>
    </row>
    <row r="1633" spans="1:18" x14ac:dyDescent="0.25">
      <c r="A1633" s="753"/>
      <c r="C1633" s="526" t="s">
        <v>161</v>
      </c>
      <c r="D1633" s="449">
        <f t="shared" si="124"/>
        <v>46034</v>
      </c>
      <c r="E1633" s="454" t="s">
        <v>576</v>
      </c>
      <c r="F1633" s="460"/>
      <c r="G1633" s="460"/>
      <c r="H1633" s="460"/>
      <c r="I1633" s="540"/>
      <c r="J1633" s="540"/>
      <c r="K1633" s="540"/>
      <c r="L1633" s="564"/>
      <c r="M1633" s="564"/>
      <c r="N1633" s="564"/>
    </row>
    <row r="1634" spans="1:18" x14ac:dyDescent="0.25">
      <c r="A1634" s="753"/>
      <c r="C1634" s="526" t="s">
        <v>161</v>
      </c>
      <c r="D1634" s="449">
        <f t="shared" si="124"/>
        <v>46034</v>
      </c>
      <c r="E1634" s="454" t="s">
        <v>167</v>
      </c>
      <c r="F1634" s="512" t="s">
        <v>1238</v>
      </c>
      <c r="G1634" s="512" t="s">
        <v>1238</v>
      </c>
      <c r="H1634" s="505"/>
      <c r="I1634" s="554"/>
      <c r="J1634" s="541"/>
      <c r="K1634" s="541"/>
      <c r="L1634" s="556"/>
      <c r="M1634" s="556"/>
      <c r="N1634" s="556"/>
    </row>
    <row r="1635" spans="1:18" x14ac:dyDescent="0.25">
      <c r="A1635" s="753"/>
      <c r="C1635" s="527" t="s">
        <v>161</v>
      </c>
      <c r="D1635" s="449">
        <f t="shared" si="124"/>
        <v>46034</v>
      </c>
      <c r="E1635" s="454" t="s">
        <v>168</v>
      </c>
      <c r="F1635" s="460" t="s">
        <v>1238</v>
      </c>
      <c r="G1635" s="460" t="s">
        <v>1238</v>
      </c>
      <c r="H1635" s="460"/>
      <c r="I1635" s="540"/>
      <c r="J1635" s="540"/>
      <c r="K1635" s="540"/>
      <c r="L1635" s="565"/>
      <c r="M1635" s="565"/>
      <c r="N1635" s="565"/>
    </row>
    <row r="1636" spans="1:18" x14ac:dyDescent="0.25">
      <c r="A1636" s="753"/>
      <c r="C1636" s="527" t="s">
        <v>161</v>
      </c>
      <c r="D1636" s="449">
        <f t="shared" si="124"/>
        <v>46034</v>
      </c>
      <c r="E1636" s="454" t="s">
        <v>169</v>
      </c>
      <c r="F1636" s="460" t="s">
        <v>1238</v>
      </c>
      <c r="G1636" s="460" t="s">
        <v>1238</v>
      </c>
      <c r="H1636" s="461"/>
      <c r="I1636" s="540"/>
      <c r="J1636" s="540"/>
      <c r="K1636" s="540"/>
      <c r="L1636" s="565"/>
      <c r="M1636" s="565"/>
      <c r="N1636" s="565"/>
    </row>
    <row r="1637" spans="1:18" x14ac:dyDescent="0.25">
      <c r="A1637" s="753"/>
      <c r="C1637" s="527" t="s">
        <v>161</v>
      </c>
      <c r="D1637" s="449">
        <f t="shared" si="124"/>
        <v>46034</v>
      </c>
      <c r="E1637" s="454" t="s">
        <v>170</v>
      </c>
      <c r="F1637" s="460" t="s">
        <v>1238</v>
      </c>
      <c r="G1637" s="460" t="s">
        <v>1238</v>
      </c>
      <c r="H1637" s="461"/>
      <c r="I1637" s="540"/>
      <c r="J1637" s="540"/>
      <c r="K1637" s="540"/>
      <c r="L1637" s="565"/>
      <c r="M1637" s="565"/>
      <c r="N1637" s="565"/>
    </row>
    <row r="1638" spans="1:18" x14ac:dyDescent="0.25">
      <c r="A1638" s="753"/>
      <c r="C1638" s="527" t="s">
        <v>161</v>
      </c>
      <c r="D1638" s="449">
        <f t="shared" si="124"/>
        <v>46034</v>
      </c>
      <c r="E1638" s="454" t="s">
        <v>585</v>
      </c>
      <c r="F1638" s="460"/>
      <c r="G1638" s="460"/>
      <c r="H1638" s="504"/>
      <c r="I1638" s="540"/>
      <c r="J1638" s="540"/>
      <c r="K1638" s="540"/>
      <c r="L1638" s="566"/>
      <c r="M1638" s="566"/>
      <c r="N1638" s="566"/>
    </row>
    <row r="1639" spans="1:18" x14ac:dyDescent="0.25">
      <c r="A1639" s="753"/>
      <c r="C1639" s="527" t="s">
        <v>161</v>
      </c>
      <c r="D1639" s="449">
        <f t="shared" si="124"/>
        <v>46034</v>
      </c>
      <c r="E1639" s="454" t="s">
        <v>574</v>
      </c>
      <c r="F1639" s="505"/>
      <c r="G1639" s="516"/>
      <c r="H1639" s="516"/>
      <c r="I1639" s="516"/>
      <c r="J1639" s="516"/>
      <c r="K1639" s="516"/>
      <c r="L1639" s="557"/>
      <c r="M1639" s="557"/>
      <c r="N1639" s="557"/>
    </row>
    <row r="1640" spans="1:18" x14ac:dyDescent="0.25">
      <c r="A1640" s="753"/>
      <c r="C1640" s="527" t="s">
        <v>161</v>
      </c>
      <c r="D1640" s="449">
        <f t="shared" si="124"/>
        <v>46034</v>
      </c>
      <c r="E1640" s="455" t="s">
        <v>575</v>
      </c>
      <c r="F1640" s="505"/>
      <c r="G1640" s="516"/>
      <c r="H1640" s="516"/>
      <c r="I1640" s="516"/>
      <c r="J1640" s="516"/>
      <c r="K1640" s="516"/>
      <c r="L1640" s="557"/>
      <c r="M1640" s="557"/>
      <c r="N1640" s="557"/>
    </row>
    <row r="1641" spans="1:18" x14ac:dyDescent="0.25">
      <c r="A1641" s="753"/>
      <c r="C1641" s="527" t="s">
        <v>161</v>
      </c>
      <c r="D1641" s="449">
        <f t="shared" si="124"/>
        <v>46034</v>
      </c>
      <c r="E1641" s="455" t="s">
        <v>583</v>
      </c>
      <c r="F1641" s="506"/>
      <c r="G1641" s="506"/>
      <c r="H1641" s="516"/>
      <c r="I1641" s="516"/>
      <c r="J1641" s="516"/>
      <c r="K1641" s="516"/>
      <c r="L1641" s="557"/>
      <c r="M1641" s="557"/>
      <c r="N1641" s="557"/>
    </row>
    <row r="1642" spans="1:18" x14ac:dyDescent="0.25">
      <c r="A1642" s="753"/>
      <c r="C1642" s="527" t="s">
        <v>161</v>
      </c>
      <c r="D1642" s="449">
        <f t="shared" si="124"/>
        <v>46034</v>
      </c>
      <c r="E1642" s="503" t="s">
        <v>584</v>
      </c>
      <c r="F1642" s="506"/>
      <c r="G1642" s="506"/>
      <c r="H1642" s="516"/>
      <c r="I1642" s="516"/>
      <c r="J1642" s="516"/>
      <c r="K1642" s="516"/>
      <c r="L1642" s="557"/>
      <c r="M1642" s="557"/>
      <c r="N1642" s="557"/>
    </row>
    <row r="1643" spans="1:18" ht="15.75" thickBot="1" x14ac:dyDescent="0.3">
      <c r="A1643" s="753"/>
      <c r="C1643" s="528"/>
      <c r="D1643" s="451"/>
      <c r="E1643" s="459"/>
      <c r="F1643" s="493"/>
      <c r="G1643" s="493"/>
      <c r="H1643" s="513"/>
      <c r="I1643" s="513"/>
      <c r="J1643" s="513"/>
      <c r="K1643" s="513"/>
      <c r="L1643" s="558"/>
      <c r="M1643" s="558"/>
      <c r="N1643" s="558"/>
    </row>
    <row r="1644" spans="1:18" ht="4.5" customHeight="1" thickBot="1" x14ac:dyDescent="0.3">
      <c r="A1644" s="753"/>
      <c r="C1644" t="s">
        <v>171</v>
      </c>
      <c r="D1644">
        <f>D1642+1</f>
        <v>46035</v>
      </c>
      <c r="E1644" t="s">
        <v>573</v>
      </c>
      <c r="L1644" s="559"/>
      <c r="M1644" s="559"/>
      <c r="N1644" s="559"/>
      <c r="Q1644" s="3"/>
      <c r="R1644" s="3"/>
    </row>
    <row r="1645" spans="1:18" ht="15" customHeight="1" thickBot="1" x14ac:dyDescent="0.3">
      <c r="A1645" s="753"/>
      <c r="C1645" s="538" t="s">
        <v>171</v>
      </c>
      <c r="D1645" s="539">
        <f t="shared" ref="D1645:D1659" si="125">D1644</f>
        <v>46035</v>
      </c>
      <c r="E1645" s="539" t="s">
        <v>162</v>
      </c>
      <c r="F1645" s="539" t="s">
        <v>1241</v>
      </c>
      <c r="G1645" s="539" t="s">
        <v>1240</v>
      </c>
      <c r="H1645" s="539"/>
      <c r="I1645" s="543"/>
      <c r="J1645" s="542"/>
      <c r="K1645" s="544"/>
      <c r="L1645" s="560"/>
      <c r="M1645" s="561"/>
      <c r="N1645" s="562"/>
      <c r="O1645" s="548"/>
      <c r="P1645" s="549"/>
      <c r="Q1645" s="3"/>
      <c r="R1645" s="3"/>
    </row>
    <row r="1646" spans="1:18" x14ac:dyDescent="0.25">
      <c r="A1646" s="753"/>
      <c r="C1646" s="446" t="s">
        <v>171</v>
      </c>
      <c r="D1646" s="497">
        <f t="shared" si="125"/>
        <v>46035</v>
      </c>
      <c r="E1646" s="498" t="s">
        <v>163</v>
      </c>
      <c r="F1646" s="514" t="s">
        <v>1241</v>
      </c>
      <c r="G1646" s="514" t="s">
        <v>1240</v>
      </c>
      <c r="H1646" s="515"/>
      <c r="I1646" s="537"/>
      <c r="J1646" s="537"/>
      <c r="K1646" s="537"/>
      <c r="L1646" s="563"/>
      <c r="M1646" s="563"/>
      <c r="N1646" s="563"/>
    </row>
    <row r="1647" spans="1:18" x14ac:dyDescent="0.25">
      <c r="A1647" s="753"/>
      <c r="C1647" s="452" t="s">
        <v>171</v>
      </c>
      <c r="D1647" s="499">
        <f t="shared" si="125"/>
        <v>46035</v>
      </c>
      <c r="E1647" s="500" t="s">
        <v>164</v>
      </c>
      <c r="F1647" s="460" t="s">
        <v>1241</v>
      </c>
      <c r="G1647" s="460" t="s">
        <v>1240</v>
      </c>
      <c r="H1647" s="501"/>
      <c r="I1647" s="540"/>
      <c r="J1647" s="540"/>
      <c r="K1647" s="540"/>
      <c r="L1647" s="555"/>
      <c r="M1647" s="555"/>
      <c r="N1647" s="555"/>
    </row>
    <row r="1648" spans="1:18" x14ac:dyDescent="0.25">
      <c r="A1648" s="753"/>
      <c r="C1648" s="452" t="s">
        <v>171</v>
      </c>
      <c r="D1648" s="449">
        <f t="shared" si="125"/>
        <v>46035</v>
      </c>
      <c r="E1648" s="454" t="s">
        <v>165</v>
      </c>
      <c r="F1648" s="460" t="s">
        <v>1241</v>
      </c>
      <c r="G1648" s="460" t="s">
        <v>1240</v>
      </c>
      <c r="H1648" s="460"/>
      <c r="I1648" s="540"/>
      <c r="J1648" s="540"/>
      <c r="K1648" s="540"/>
      <c r="L1648" s="564"/>
      <c r="M1648" s="564"/>
      <c r="N1648" s="564"/>
    </row>
    <row r="1649" spans="1:18" x14ac:dyDescent="0.25">
      <c r="A1649" s="753"/>
      <c r="C1649" s="452" t="s">
        <v>171</v>
      </c>
      <c r="D1649" s="449">
        <f t="shared" si="125"/>
        <v>46035</v>
      </c>
      <c r="E1649" s="454" t="s">
        <v>166</v>
      </c>
      <c r="F1649" s="460" t="s">
        <v>1241</v>
      </c>
      <c r="G1649" s="460" t="s">
        <v>1240</v>
      </c>
      <c r="H1649" s="460"/>
      <c r="I1649" s="540"/>
      <c r="J1649" s="540"/>
      <c r="K1649" s="540"/>
      <c r="L1649" s="564"/>
      <c r="M1649" s="564"/>
      <c r="N1649" s="564"/>
    </row>
    <row r="1650" spans="1:18" x14ac:dyDescent="0.25">
      <c r="A1650" s="753"/>
      <c r="C1650" s="452" t="s">
        <v>171</v>
      </c>
      <c r="D1650" s="449">
        <f t="shared" si="125"/>
        <v>46035</v>
      </c>
      <c r="E1650" s="454" t="s">
        <v>576</v>
      </c>
      <c r="F1650" s="460"/>
      <c r="G1650" s="460"/>
      <c r="H1650" s="460"/>
      <c r="I1650" s="540"/>
      <c r="J1650" s="540"/>
      <c r="K1650" s="540"/>
      <c r="L1650" s="564"/>
      <c r="M1650" s="564"/>
      <c r="N1650" s="564"/>
    </row>
    <row r="1651" spans="1:18" x14ac:dyDescent="0.25">
      <c r="A1651" s="753"/>
      <c r="C1651" s="452" t="s">
        <v>171</v>
      </c>
      <c r="D1651" s="449">
        <f t="shared" si="125"/>
        <v>46035</v>
      </c>
      <c r="E1651" s="454" t="s">
        <v>167</v>
      </c>
      <c r="F1651" s="460" t="s">
        <v>1241</v>
      </c>
      <c r="G1651" s="460" t="s">
        <v>1240</v>
      </c>
      <c r="H1651" s="460"/>
      <c r="I1651" s="540"/>
      <c r="J1651" s="540"/>
      <c r="K1651" s="540"/>
      <c r="L1651" s="564"/>
      <c r="M1651" s="564"/>
      <c r="N1651" s="564"/>
    </row>
    <row r="1652" spans="1:18" x14ac:dyDescent="0.25">
      <c r="A1652" s="753"/>
      <c r="C1652" s="452" t="s">
        <v>171</v>
      </c>
      <c r="D1652" s="449">
        <f t="shared" si="125"/>
        <v>46035</v>
      </c>
      <c r="E1652" s="454" t="s">
        <v>168</v>
      </c>
      <c r="F1652" s="517" t="s">
        <v>1241</v>
      </c>
      <c r="G1652" s="512" t="s">
        <v>1240</v>
      </c>
      <c r="H1652" s="505"/>
      <c r="I1652" s="554"/>
      <c r="J1652" s="541"/>
      <c r="K1652" s="541"/>
      <c r="L1652" s="556"/>
      <c r="M1652" s="556"/>
      <c r="N1652" s="556"/>
    </row>
    <row r="1653" spans="1:18" x14ac:dyDescent="0.25">
      <c r="A1653" s="753"/>
      <c r="C1653" s="452" t="s">
        <v>171</v>
      </c>
      <c r="D1653" s="449">
        <f t="shared" si="125"/>
        <v>46035</v>
      </c>
      <c r="E1653" s="454" t="s">
        <v>169</v>
      </c>
      <c r="F1653" s="460" t="s">
        <v>1241</v>
      </c>
      <c r="G1653" s="460" t="s">
        <v>1240</v>
      </c>
      <c r="H1653" s="461"/>
      <c r="I1653" s="540"/>
      <c r="J1653" s="540"/>
      <c r="K1653" s="540"/>
      <c r="L1653" s="565"/>
      <c r="M1653" s="565"/>
      <c r="N1653" s="565"/>
    </row>
    <row r="1654" spans="1:18" x14ac:dyDescent="0.25">
      <c r="A1654" s="753"/>
      <c r="C1654" s="452" t="s">
        <v>171</v>
      </c>
      <c r="D1654" s="449">
        <f t="shared" si="125"/>
        <v>46035</v>
      </c>
      <c r="E1654" s="454" t="s">
        <v>170</v>
      </c>
      <c r="F1654" s="460" t="s">
        <v>1241</v>
      </c>
      <c r="G1654" s="460" t="s">
        <v>1240</v>
      </c>
      <c r="H1654" s="461"/>
      <c r="I1654" s="540"/>
      <c r="J1654" s="540"/>
      <c r="K1654" s="540"/>
      <c r="L1654" s="565"/>
      <c r="M1654" s="565"/>
      <c r="N1654" s="565"/>
    </row>
    <row r="1655" spans="1:18" x14ac:dyDescent="0.25">
      <c r="A1655" s="753"/>
      <c r="C1655" s="452" t="s">
        <v>171</v>
      </c>
      <c r="D1655" s="449">
        <f t="shared" si="125"/>
        <v>46035</v>
      </c>
      <c r="E1655" s="454" t="s">
        <v>585</v>
      </c>
      <c r="F1655" s="460"/>
      <c r="G1655" s="460"/>
      <c r="H1655" s="461"/>
      <c r="I1655" s="540"/>
      <c r="J1655" s="540"/>
      <c r="K1655" s="540"/>
      <c r="L1655" s="565"/>
      <c r="M1655" s="565"/>
      <c r="N1655" s="565"/>
    </row>
    <row r="1656" spans="1:18" x14ac:dyDescent="0.25">
      <c r="A1656" s="753"/>
      <c r="C1656" s="452" t="s">
        <v>171</v>
      </c>
      <c r="D1656" s="449">
        <f t="shared" si="125"/>
        <v>46035</v>
      </c>
      <c r="E1656" s="454" t="s">
        <v>574</v>
      </c>
      <c r="F1656" s="460"/>
      <c r="G1656" s="460"/>
      <c r="H1656" s="504"/>
      <c r="I1656" s="540"/>
      <c r="J1656" s="540"/>
      <c r="K1656" s="540"/>
      <c r="L1656" s="566"/>
      <c r="M1656" s="566"/>
      <c r="N1656" s="566"/>
    </row>
    <row r="1657" spans="1:18" x14ac:dyDescent="0.25">
      <c r="A1657" s="753"/>
      <c r="C1657" s="452" t="s">
        <v>171</v>
      </c>
      <c r="D1657" s="449">
        <f t="shared" si="125"/>
        <v>46035</v>
      </c>
      <c r="E1657" s="454" t="s">
        <v>575</v>
      </c>
      <c r="F1657" s="505"/>
      <c r="G1657" s="505"/>
      <c r="H1657" s="516"/>
      <c r="I1657" s="516"/>
      <c r="J1657" s="516"/>
      <c r="K1657" s="516"/>
      <c r="L1657" s="557"/>
      <c r="M1657" s="557"/>
      <c r="N1657" s="557"/>
    </row>
    <row r="1658" spans="1:18" x14ac:dyDescent="0.25">
      <c r="A1658" s="753"/>
      <c r="C1658" s="448" t="s">
        <v>171</v>
      </c>
      <c r="D1658" s="449">
        <f t="shared" si="125"/>
        <v>46035</v>
      </c>
      <c r="E1658" s="455" t="s">
        <v>583</v>
      </c>
      <c r="F1658" s="505"/>
      <c r="G1658" s="505"/>
      <c r="H1658" s="516"/>
      <c r="I1658" s="516"/>
      <c r="J1658" s="516"/>
      <c r="K1658" s="516"/>
      <c r="L1658" s="557"/>
      <c r="M1658" s="557"/>
      <c r="N1658" s="557"/>
    </row>
    <row r="1659" spans="1:18" x14ac:dyDescent="0.25">
      <c r="A1659" s="753"/>
      <c r="C1659" s="448" t="s">
        <v>171</v>
      </c>
      <c r="D1659" s="449">
        <f t="shared" si="125"/>
        <v>46035</v>
      </c>
      <c r="E1659" s="455" t="s">
        <v>584</v>
      </c>
      <c r="F1659" s="506"/>
      <c r="G1659" s="506"/>
      <c r="H1659" s="516"/>
      <c r="I1659" s="516"/>
      <c r="J1659" s="516"/>
      <c r="K1659" s="516"/>
      <c r="L1659" s="557"/>
      <c r="M1659" s="557"/>
      <c r="N1659" s="557"/>
    </row>
    <row r="1660" spans="1:18" x14ac:dyDescent="0.25">
      <c r="A1660" s="753"/>
      <c r="C1660" s="448"/>
      <c r="D1660" s="449"/>
      <c r="E1660" s="503"/>
      <c r="F1660" s="506"/>
      <c r="G1660" s="506"/>
      <c r="H1660" s="516"/>
      <c r="I1660" s="516"/>
      <c r="J1660" s="516"/>
      <c r="K1660" s="516"/>
      <c r="L1660" s="557"/>
      <c r="M1660" s="557"/>
      <c r="N1660" s="557"/>
    </row>
    <row r="1661" spans="1:18" ht="15.75" thickBot="1" x14ac:dyDescent="0.3">
      <c r="A1661" s="753"/>
      <c r="C1661" s="450" t="s">
        <v>172</v>
      </c>
      <c r="D1661" s="451">
        <f>D1659+1</f>
        <v>46036</v>
      </c>
      <c r="E1661" s="459" t="s">
        <v>573</v>
      </c>
      <c r="F1661" s="493"/>
      <c r="G1661" s="493"/>
      <c r="H1661" s="513"/>
      <c r="I1661" s="513"/>
      <c r="J1661" s="513"/>
      <c r="K1661" s="513"/>
      <c r="L1661" s="558"/>
      <c r="M1661" s="558"/>
      <c r="N1661" s="558"/>
    </row>
    <row r="1662" spans="1:18" ht="4.5" customHeight="1" thickBot="1" x14ac:dyDescent="0.3">
      <c r="A1662" s="753"/>
      <c r="C1662" t="s">
        <v>172</v>
      </c>
      <c r="D1662">
        <f t="shared" ref="D1662:D1676" si="126">D1661</f>
        <v>46036</v>
      </c>
      <c r="E1662" t="s">
        <v>162</v>
      </c>
      <c r="F1662" t="s">
        <v>1241</v>
      </c>
      <c r="G1662" t="s">
        <v>1240</v>
      </c>
      <c r="L1662" s="559"/>
      <c r="M1662" s="559"/>
      <c r="N1662" s="559"/>
      <c r="Q1662" s="3"/>
      <c r="R1662" s="3"/>
    </row>
    <row r="1663" spans="1:18" ht="15" customHeight="1" thickBot="1" x14ac:dyDescent="0.3">
      <c r="A1663" s="753"/>
      <c r="C1663" s="538" t="s">
        <v>172</v>
      </c>
      <c r="D1663" s="539">
        <f t="shared" si="126"/>
        <v>46036</v>
      </c>
      <c r="E1663" s="539" t="s">
        <v>163</v>
      </c>
      <c r="F1663" s="539" t="s">
        <v>1241</v>
      </c>
      <c r="G1663" s="539" t="s">
        <v>1240</v>
      </c>
      <c r="H1663" s="539"/>
      <c r="I1663" s="543"/>
      <c r="J1663" s="542"/>
      <c r="K1663" s="544"/>
      <c r="L1663" s="560"/>
      <c r="M1663" s="561"/>
      <c r="N1663" s="562"/>
      <c r="O1663" s="548"/>
      <c r="P1663" s="549"/>
      <c r="Q1663" s="3"/>
      <c r="R1663" s="3"/>
    </row>
    <row r="1664" spans="1:18" x14ac:dyDescent="0.25">
      <c r="A1664" s="753"/>
      <c r="C1664" s="446" t="s">
        <v>172</v>
      </c>
      <c r="D1664" s="497">
        <f t="shared" si="126"/>
        <v>46036</v>
      </c>
      <c r="E1664" s="498" t="s">
        <v>164</v>
      </c>
      <c r="F1664" s="514" t="s">
        <v>1241</v>
      </c>
      <c r="G1664" s="514" t="s">
        <v>1240</v>
      </c>
      <c r="H1664" s="515"/>
      <c r="I1664" s="537"/>
      <c r="J1664" s="537"/>
      <c r="K1664" s="537"/>
      <c r="L1664" s="563"/>
      <c r="M1664" s="563"/>
      <c r="N1664" s="563"/>
    </row>
    <row r="1665" spans="1:18" x14ac:dyDescent="0.25">
      <c r="A1665" s="753"/>
      <c r="C1665" s="452" t="s">
        <v>172</v>
      </c>
      <c r="D1665" s="499">
        <f t="shared" si="126"/>
        <v>46036</v>
      </c>
      <c r="E1665" s="500" t="s">
        <v>165</v>
      </c>
      <c r="F1665" s="460" t="s">
        <v>1241</v>
      </c>
      <c r="G1665" s="460" t="s">
        <v>1240</v>
      </c>
      <c r="H1665" s="501"/>
      <c r="I1665" s="540"/>
      <c r="J1665" s="540"/>
      <c r="K1665" s="540"/>
      <c r="L1665" s="555"/>
      <c r="M1665" s="555"/>
      <c r="N1665" s="555"/>
    </row>
    <row r="1666" spans="1:18" x14ac:dyDescent="0.25">
      <c r="A1666" s="753"/>
      <c r="C1666" s="452" t="s">
        <v>172</v>
      </c>
      <c r="D1666" s="449">
        <f t="shared" si="126"/>
        <v>46036</v>
      </c>
      <c r="E1666" s="454" t="s">
        <v>166</v>
      </c>
      <c r="F1666" s="460" t="s">
        <v>1241</v>
      </c>
      <c r="G1666" s="460" t="s">
        <v>1240</v>
      </c>
      <c r="H1666" s="460"/>
      <c r="I1666" s="540"/>
      <c r="J1666" s="540"/>
      <c r="K1666" s="540"/>
      <c r="L1666" s="564"/>
      <c r="M1666" s="564"/>
      <c r="N1666" s="564"/>
    </row>
    <row r="1667" spans="1:18" x14ac:dyDescent="0.25">
      <c r="A1667" s="753"/>
      <c r="C1667" s="452" t="s">
        <v>172</v>
      </c>
      <c r="D1667" s="449">
        <f t="shared" si="126"/>
        <v>46036</v>
      </c>
      <c r="E1667" s="454" t="s">
        <v>576</v>
      </c>
      <c r="F1667" s="460"/>
      <c r="G1667" s="460"/>
      <c r="H1667" s="460"/>
      <c r="I1667" s="540"/>
      <c r="J1667" s="540"/>
      <c r="K1667" s="540"/>
      <c r="L1667" s="564"/>
      <c r="M1667" s="564"/>
      <c r="N1667" s="564"/>
    </row>
    <row r="1668" spans="1:18" x14ac:dyDescent="0.25">
      <c r="A1668" s="753"/>
      <c r="C1668" s="452" t="s">
        <v>172</v>
      </c>
      <c r="D1668" s="449">
        <f t="shared" si="126"/>
        <v>46036</v>
      </c>
      <c r="E1668" s="454" t="s">
        <v>167</v>
      </c>
      <c r="F1668" s="460" t="s">
        <v>1239</v>
      </c>
      <c r="G1668" s="460" t="s">
        <v>1240</v>
      </c>
      <c r="H1668" s="460"/>
      <c r="I1668" s="540"/>
      <c r="J1668" s="540"/>
      <c r="K1668" s="540"/>
      <c r="L1668" s="564"/>
      <c r="M1668" s="564"/>
      <c r="N1668" s="564"/>
    </row>
    <row r="1669" spans="1:18" x14ac:dyDescent="0.25">
      <c r="A1669" s="753"/>
      <c r="C1669" s="452" t="s">
        <v>172</v>
      </c>
      <c r="D1669" s="449">
        <f t="shared" si="126"/>
        <v>46036</v>
      </c>
      <c r="E1669" s="454" t="s">
        <v>168</v>
      </c>
      <c r="F1669" s="460" t="s">
        <v>1239</v>
      </c>
      <c r="G1669" s="460" t="s">
        <v>1240</v>
      </c>
      <c r="H1669" s="460"/>
      <c r="I1669" s="540"/>
      <c r="J1669" s="540"/>
      <c r="K1669" s="540"/>
      <c r="L1669" s="564"/>
      <c r="M1669" s="564"/>
      <c r="N1669" s="564"/>
    </row>
    <row r="1670" spans="1:18" x14ac:dyDescent="0.25">
      <c r="A1670" s="753"/>
      <c r="C1670" s="452" t="s">
        <v>172</v>
      </c>
      <c r="D1670" s="449">
        <f t="shared" si="126"/>
        <v>46036</v>
      </c>
      <c r="E1670" s="454" t="s">
        <v>169</v>
      </c>
      <c r="F1670" s="517" t="s">
        <v>1239</v>
      </c>
      <c r="G1670" s="512" t="s">
        <v>1240</v>
      </c>
      <c r="H1670" s="505"/>
      <c r="I1670" s="541"/>
      <c r="J1670" s="541"/>
      <c r="K1670" s="541"/>
      <c r="L1670" s="556"/>
      <c r="M1670" s="556"/>
      <c r="N1670" s="556"/>
    </row>
    <row r="1671" spans="1:18" x14ac:dyDescent="0.25">
      <c r="A1671" s="753"/>
      <c r="C1671" s="452" t="s">
        <v>172</v>
      </c>
      <c r="D1671" s="449">
        <f t="shared" si="126"/>
        <v>46036</v>
      </c>
      <c r="E1671" s="454" t="s">
        <v>170</v>
      </c>
      <c r="F1671" s="460" t="s">
        <v>1239</v>
      </c>
      <c r="G1671" s="460" t="s">
        <v>1240</v>
      </c>
      <c r="H1671" s="461"/>
      <c r="I1671" s="540"/>
      <c r="J1671" s="540"/>
      <c r="K1671" s="540"/>
      <c r="L1671" s="565"/>
      <c r="M1671" s="565"/>
      <c r="N1671" s="565"/>
    </row>
    <row r="1672" spans="1:18" x14ac:dyDescent="0.25">
      <c r="A1672" s="753"/>
      <c r="C1672" s="452" t="s">
        <v>172</v>
      </c>
      <c r="D1672" s="449">
        <f t="shared" si="126"/>
        <v>46036</v>
      </c>
      <c r="E1672" s="454" t="s">
        <v>585</v>
      </c>
      <c r="F1672" s="460"/>
      <c r="G1672" s="460"/>
      <c r="H1672" s="461"/>
      <c r="I1672" s="540"/>
      <c r="J1672" s="540"/>
      <c r="K1672" s="540"/>
      <c r="L1672" s="565"/>
      <c r="M1672" s="565"/>
      <c r="N1672" s="565"/>
    </row>
    <row r="1673" spans="1:18" x14ac:dyDescent="0.25">
      <c r="A1673" s="753"/>
      <c r="C1673" s="452" t="s">
        <v>172</v>
      </c>
      <c r="D1673" s="449">
        <f t="shared" si="126"/>
        <v>46036</v>
      </c>
      <c r="E1673" s="454" t="s">
        <v>574</v>
      </c>
      <c r="F1673" s="460"/>
      <c r="G1673" s="460"/>
      <c r="H1673" s="461"/>
      <c r="I1673" s="540"/>
      <c r="J1673" s="540"/>
      <c r="K1673" s="540"/>
      <c r="L1673" s="565"/>
      <c r="M1673" s="565"/>
      <c r="N1673" s="565"/>
    </row>
    <row r="1674" spans="1:18" x14ac:dyDescent="0.25">
      <c r="A1674" s="753"/>
      <c r="C1674" s="452" t="s">
        <v>172</v>
      </c>
      <c r="D1674" s="449">
        <f t="shared" si="126"/>
        <v>46036</v>
      </c>
      <c r="E1674" s="454" t="s">
        <v>575</v>
      </c>
      <c r="F1674" s="460"/>
      <c r="G1674" s="460"/>
      <c r="H1674" s="504"/>
      <c r="I1674" s="540"/>
      <c r="J1674" s="540"/>
      <c r="K1674" s="540"/>
      <c r="L1674" s="565"/>
      <c r="M1674" s="566"/>
      <c r="N1674" s="566"/>
    </row>
    <row r="1675" spans="1:18" x14ac:dyDescent="0.25">
      <c r="A1675" s="753"/>
      <c r="C1675" s="452" t="s">
        <v>172</v>
      </c>
      <c r="D1675" s="449">
        <f t="shared" si="126"/>
        <v>46036</v>
      </c>
      <c r="E1675" s="454" t="s">
        <v>583</v>
      </c>
      <c r="F1675" s="505"/>
      <c r="G1675" s="505"/>
      <c r="H1675" s="516"/>
      <c r="I1675" s="516"/>
      <c r="J1675" s="516"/>
      <c r="K1675" s="516"/>
      <c r="L1675" s="557"/>
      <c r="M1675" s="557"/>
      <c r="N1675" s="557"/>
    </row>
    <row r="1676" spans="1:18" x14ac:dyDescent="0.25">
      <c r="A1676" s="753"/>
      <c r="C1676" s="448" t="s">
        <v>172</v>
      </c>
      <c r="D1676" s="449">
        <f t="shared" si="126"/>
        <v>46036</v>
      </c>
      <c r="E1676" s="455" t="s">
        <v>584</v>
      </c>
      <c r="F1676" s="505"/>
      <c r="G1676" s="505"/>
      <c r="H1676" s="516"/>
      <c r="I1676" s="516"/>
      <c r="J1676" s="516"/>
      <c r="K1676" s="516"/>
      <c r="L1676" s="557"/>
      <c r="M1676" s="557"/>
      <c r="N1676" s="557"/>
    </row>
    <row r="1677" spans="1:18" x14ac:dyDescent="0.25">
      <c r="A1677" s="753"/>
      <c r="C1677" s="448"/>
      <c r="D1677" s="449"/>
      <c r="E1677" s="455"/>
      <c r="F1677" s="506"/>
      <c r="G1677" s="506"/>
      <c r="H1677" s="516"/>
      <c r="I1677" s="516"/>
      <c r="J1677" s="516"/>
      <c r="K1677" s="516"/>
      <c r="L1677" s="557"/>
      <c r="M1677" s="557"/>
      <c r="N1677" s="557"/>
    </row>
    <row r="1678" spans="1:18" x14ac:dyDescent="0.25">
      <c r="A1678" s="753"/>
      <c r="C1678" s="448" t="s">
        <v>173</v>
      </c>
      <c r="D1678" s="449">
        <f>D1676+1</f>
        <v>46037</v>
      </c>
      <c r="E1678" s="503" t="s">
        <v>573</v>
      </c>
      <c r="F1678" s="506"/>
      <c r="G1678" s="506"/>
      <c r="H1678" s="516"/>
      <c r="I1678" s="516"/>
      <c r="J1678" s="516"/>
      <c r="K1678" s="516"/>
      <c r="L1678" s="557"/>
      <c r="M1678" s="557"/>
      <c r="N1678" s="557"/>
    </row>
    <row r="1679" spans="1:18" ht="15.75" thickBot="1" x14ac:dyDescent="0.3">
      <c r="A1679" s="753"/>
      <c r="C1679" s="450" t="s">
        <v>173</v>
      </c>
      <c r="D1679" s="451">
        <f t="shared" ref="D1679:D1693" si="127">D1678</f>
        <v>46037</v>
      </c>
      <c r="E1679" s="459" t="s">
        <v>162</v>
      </c>
      <c r="F1679" s="493" t="s">
        <v>1244</v>
      </c>
      <c r="G1679" s="493" t="s">
        <v>1244</v>
      </c>
      <c r="H1679" s="513"/>
      <c r="I1679" s="513"/>
      <c r="J1679" s="513"/>
      <c r="K1679" s="513"/>
      <c r="L1679" s="558"/>
      <c r="M1679" s="558"/>
      <c r="N1679" s="558"/>
    </row>
    <row r="1680" spans="1:18" ht="4.5" customHeight="1" thickBot="1" x14ac:dyDescent="0.3">
      <c r="A1680" s="753"/>
      <c r="C1680" t="s">
        <v>173</v>
      </c>
      <c r="D1680">
        <f t="shared" si="127"/>
        <v>46037</v>
      </c>
      <c r="E1680" t="s">
        <v>163</v>
      </c>
      <c r="F1680" t="s">
        <v>1244</v>
      </c>
      <c r="G1680" t="s">
        <v>1244</v>
      </c>
      <c r="L1680" s="559"/>
      <c r="M1680" s="559"/>
      <c r="N1680" s="559"/>
      <c r="Q1680" s="3"/>
      <c r="R1680" s="3"/>
    </row>
    <row r="1681" spans="1:18" ht="15" customHeight="1" thickBot="1" x14ac:dyDescent="0.3">
      <c r="A1681" s="753"/>
      <c r="C1681" s="538" t="s">
        <v>173</v>
      </c>
      <c r="D1681" s="539">
        <f t="shared" si="127"/>
        <v>46037</v>
      </c>
      <c r="E1681" s="539" t="s">
        <v>164</v>
      </c>
      <c r="F1681" s="539" t="s">
        <v>1244</v>
      </c>
      <c r="G1681" s="539" t="s">
        <v>1244</v>
      </c>
      <c r="H1681" s="539"/>
      <c r="I1681" s="543"/>
      <c r="J1681" s="542"/>
      <c r="K1681" s="544"/>
      <c r="L1681" s="560"/>
      <c r="M1681" s="561"/>
      <c r="N1681" s="562"/>
      <c r="O1681" s="548"/>
      <c r="P1681" s="549"/>
      <c r="Q1681" s="3"/>
      <c r="R1681" s="3"/>
    </row>
    <row r="1682" spans="1:18" x14ac:dyDescent="0.25">
      <c r="A1682" s="753"/>
      <c r="C1682" s="529" t="s">
        <v>173</v>
      </c>
      <c r="D1682" s="447">
        <f t="shared" si="127"/>
        <v>46037</v>
      </c>
      <c r="E1682" s="498" t="s">
        <v>165</v>
      </c>
      <c r="F1682" s="514" t="s">
        <v>1244</v>
      </c>
      <c r="G1682" s="514" t="s">
        <v>1244</v>
      </c>
      <c r="H1682" s="515"/>
      <c r="I1682" s="537"/>
      <c r="J1682" s="537"/>
      <c r="K1682" s="537"/>
      <c r="L1682" s="563"/>
      <c r="M1682" s="563"/>
      <c r="N1682" s="563"/>
    </row>
    <row r="1683" spans="1:18" x14ac:dyDescent="0.25">
      <c r="A1683" s="753"/>
      <c r="C1683" s="452" t="s">
        <v>173</v>
      </c>
      <c r="D1683" s="453">
        <f t="shared" si="127"/>
        <v>46037</v>
      </c>
      <c r="E1683" s="500" t="s">
        <v>166</v>
      </c>
      <c r="F1683" s="460" t="s">
        <v>1244</v>
      </c>
      <c r="G1683" s="460" t="s">
        <v>1244</v>
      </c>
      <c r="H1683" s="501"/>
      <c r="I1683" s="540"/>
      <c r="J1683" s="540"/>
      <c r="K1683" s="540"/>
      <c r="L1683" s="555"/>
      <c r="M1683" s="555"/>
      <c r="N1683" s="555"/>
    </row>
    <row r="1684" spans="1:18" x14ac:dyDescent="0.25">
      <c r="A1684" s="753"/>
      <c r="C1684" s="452" t="s">
        <v>173</v>
      </c>
      <c r="D1684" s="453">
        <f t="shared" si="127"/>
        <v>46037</v>
      </c>
      <c r="E1684" s="454" t="s">
        <v>576</v>
      </c>
      <c r="F1684" s="460"/>
      <c r="G1684" s="460"/>
      <c r="H1684" s="460"/>
      <c r="I1684" s="540"/>
      <c r="J1684" s="540"/>
      <c r="K1684" s="540"/>
      <c r="L1684" s="564"/>
      <c r="M1684" s="564"/>
      <c r="N1684" s="564"/>
    </row>
    <row r="1685" spans="1:18" x14ac:dyDescent="0.25">
      <c r="A1685" s="753"/>
      <c r="C1685" s="452" t="s">
        <v>173</v>
      </c>
      <c r="D1685" s="453">
        <f t="shared" si="127"/>
        <v>46037</v>
      </c>
      <c r="E1685" s="454" t="s">
        <v>167</v>
      </c>
      <c r="F1685" s="460" t="s">
        <v>1241</v>
      </c>
      <c r="G1685" s="460"/>
      <c r="H1685" s="460"/>
      <c r="I1685" s="540"/>
      <c r="J1685" s="540"/>
      <c r="K1685" s="540"/>
      <c r="L1685" s="564"/>
      <c r="M1685" s="564"/>
      <c r="N1685" s="564"/>
    </row>
    <row r="1686" spans="1:18" x14ac:dyDescent="0.25">
      <c r="A1686" s="753"/>
      <c r="C1686" s="452" t="s">
        <v>173</v>
      </c>
      <c r="D1686" s="453">
        <f t="shared" si="127"/>
        <v>46037</v>
      </c>
      <c r="E1686" s="454" t="s">
        <v>168</v>
      </c>
      <c r="F1686" s="460" t="s">
        <v>1241</v>
      </c>
      <c r="G1686" s="460"/>
      <c r="H1686" s="460"/>
      <c r="I1686" s="540"/>
      <c r="J1686" s="540"/>
      <c r="K1686" s="540"/>
      <c r="L1686" s="564"/>
      <c r="M1686" s="564"/>
      <c r="N1686" s="564"/>
    </row>
    <row r="1687" spans="1:18" x14ac:dyDescent="0.25">
      <c r="A1687" s="753"/>
      <c r="C1687" s="452" t="s">
        <v>173</v>
      </c>
      <c r="D1687" s="453">
        <f t="shared" si="127"/>
        <v>46037</v>
      </c>
      <c r="E1687" s="454" t="s">
        <v>169</v>
      </c>
      <c r="F1687" s="460" t="s">
        <v>1241</v>
      </c>
      <c r="G1687" s="460"/>
      <c r="H1687" s="460"/>
      <c r="I1687" s="540"/>
      <c r="J1687" s="540"/>
      <c r="K1687" s="540"/>
      <c r="L1687" s="564"/>
      <c r="M1687" s="564"/>
      <c r="N1687" s="564"/>
    </row>
    <row r="1688" spans="1:18" x14ac:dyDescent="0.25">
      <c r="A1688" s="753"/>
      <c r="C1688" s="452" t="s">
        <v>173</v>
      </c>
      <c r="D1688" s="453">
        <f t="shared" si="127"/>
        <v>46037</v>
      </c>
      <c r="E1688" s="454" t="s">
        <v>170</v>
      </c>
      <c r="F1688" s="517" t="s">
        <v>1241</v>
      </c>
      <c r="G1688" s="512"/>
      <c r="H1688" s="505"/>
      <c r="I1688" s="541"/>
      <c r="J1688" s="541"/>
      <c r="K1688" s="541"/>
      <c r="L1688" s="556"/>
      <c r="M1688" s="556"/>
      <c r="N1688" s="556"/>
    </row>
    <row r="1689" spans="1:18" x14ac:dyDescent="0.25">
      <c r="A1689" s="753"/>
      <c r="C1689" s="452" t="s">
        <v>173</v>
      </c>
      <c r="D1689" s="449">
        <f t="shared" si="127"/>
        <v>46037</v>
      </c>
      <c r="E1689" s="454" t="s">
        <v>585</v>
      </c>
      <c r="F1689" s="460"/>
      <c r="G1689" s="460"/>
      <c r="H1689" s="461"/>
      <c r="I1689" s="540"/>
      <c r="J1689" s="540"/>
      <c r="K1689" s="540"/>
      <c r="L1689" s="565"/>
      <c r="M1689" s="565"/>
      <c r="N1689" s="565"/>
    </row>
    <row r="1690" spans="1:18" x14ac:dyDescent="0.25">
      <c r="A1690" s="753"/>
      <c r="C1690" s="452" t="s">
        <v>173</v>
      </c>
      <c r="D1690" s="449">
        <f t="shared" si="127"/>
        <v>46037</v>
      </c>
      <c r="E1690" s="454" t="s">
        <v>574</v>
      </c>
      <c r="F1690" s="460"/>
      <c r="G1690" s="460"/>
      <c r="H1690" s="461"/>
      <c r="I1690" s="540"/>
      <c r="J1690" s="540"/>
      <c r="K1690" s="540"/>
      <c r="L1690" s="565"/>
      <c r="M1690" s="565"/>
      <c r="N1690" s="565"/>
    </row>
    <row r="1691" spans="1:18" x14ac:dyDescent="0.25">
      <c r="A1691" s="753"/>
      <c r="C1691" s="452" t="s">
        <v>173</v>
      </c>
      <c r="D1691" s="449">
        <f t="shared" si="127"/>
        <v>46037</v>
      </c>
      <c r="E1691" s="454" t="s">
        <v>575</v>
      </c>
      <c r="F1691" s="460"/>
      <c r="G1691" s="460"/>
      <c r="H1691" s="461"/>
      <c r="I1691" s="540"/>
      <c r="J1691" s="540"/>
      <c r="K1691" s="540"/>
      <c r="L1691" s="565"/>
      <c r="M1691" s="565"/>
      <c r="N1691" s="565"/>
    </row>
    <row r="1692" spans="1:18" x14ac:dyDescent="0.25">
      <c r="A1692" s="753"/>
      <c r="C1692" s="452" t="s">
        <v>173</v>
      </c>
      <c r="D1692" s="449">
        <f t="shared" si="127"/>
        <v>46037</v>
      </c>
      <c r="E1692" s="454" t="s">
        <v>583</v>
      </c>
      <c r="F1692" s="460"/>
      <c r="G1692" s="460"/>
      <c r="H1692" s="504"/>
      <c r="I1692" s="545"/>
      <c r="J1692" s="540"/>
      <c r="K1692" s="540"/>
      <c r="L1692" s="566"/>
      <c r="M1692" s="566"/>
      <c r="N1692" s="566"/>
    </row>
    <row r="1693" spans="1:18" x14ac:dyDescent="0.25">
      <c r="A1693" s="753"/>
      <c r="C1693" s="452" t="s">
        <v>173</v>
      </c>
      <c r="D1693" s="449">
        <f t="shared" si="127"/>
        <v>46037</v>
      </c>
      <c r="E1693" s="454" t="s">
        <v>584</v>
      </c>
      <c r="F1693" s="505"/>
      <c r="G1693" s="505"/>
      <c r="H1693" s="516"/>
      <c r="I1693" s="516"/>
      <c r="J1693" s="516"/>
      <c r="K1693" s="516"/>
      <c r="L1693" s="557"/>
      <c r="M1693" s="557"/>
      <c r="N1693" s="557"/>
    </row>
    <row r="1694" spans="1:18" x14ac:dyDescent="0.25">
      <c r="A1694" s="753"/>
      <c r="C1694" s="452"/>
      <c r="D1694" s="449"/>
      <c r="E1694" s="455"/>
      <c r="F1694" s="505"/>
      <c r="G1694" s="505"/>
      <c r="H1694" s="516"/>
      <c r="I1694" s="516"/>
      <c r="J1694" s="516"/>
      <c r="K1694" s="516"/>
      <c r="L1694" s="557"/>
      <c r="M1694" s="557"/>
      <c r="N1694" s="557"/>
    </row>
    <row r="1695" spans="1:18" x14ac:dyDescent="0.25">
      <c r="A1695" s="753"/>
      <c r="C1695" s="452" t="s">
        <v>174</v>
      </c>
      <c r="D1695" s="449">
        <f>D1693+1</f>
        <v>46038</v>
      </c>
      <c r="E1695" s="455" t="s">
        <v>573</v>
      </c>
      <c r="F1695" s="506"/>
      <c r="G1695" s="506"/>
      <c r="H1695" s="516"/>
      <c r="I1695" s="516"/>
      <c r="J1695" s="516"/>
      <c r="K1695" s="516"/>
      <c r="L1695" s="557"/>
      <c r="M1695" s="557"/>
      <c r="N1695" s="557"/>
    </row>
    <row r="1696" spans="1:18" x14ac:dyDescent="0.25">
      <c r="A1696" s="753"/>
      <c r="C1696" s="452" t="s">
        <v>174</v>
      </c>
      <c r="D1696" s="449">
        <f t="shared" ref="D1696:D1710" si="128">D1695</f>
        <v>46038</v>
      </c>
      <c r="E1696" s="503" t="s">
        <v>162</v>
      </c>
      <c r="F1696" s="506" t="s">
        <v>1242</v>
      </c>
      <c r="G1696" s="506" t="s">
        <v>1257</v>
      </c>
      <c r="H1696" s="516"/>
      <c r="I1696" s="516"/>
      <c r="J1696" s="516"/>
      <c r="K1696" s="516"/>
      <c r="L1696" s="557"/>
      <c r="M1696" s="557"/>
      <c r="N1696" s="557"/>
    </row>
    <row r="1697" spans="1:18" ht="15.75" thickBot="1" x14ac:dyDescent="0.3">
      <c r="A1697" s="753"/>
      <c r="C1697" s="530" t="s">
        <v>174</v>
      </c>
      <c r="D1697" s="451">
        <f t="shared" si="128"/>
        <v>46038</v>
      </c>
      <c r="E1697" s="459" t="s">
        <v>163</v>
      </c>
      <c r="F1697" s="493" t="s">
        <v>1242</v>
      </c>
      <c r="G1697" s="493" t="s">
        <v>1257</v>
      </c>
      <c r="H1697" s="513"/>
      <c r="I1697" s="513"/>
      <c r="J1697" s="513"/>
      <c r="K1697" s="513"/>
      <c r="L1697" s="558"/>
      <c r="M1697" s="558"/>
      <c r="N1697" s="558"/>
    </row>
    <row r="1698" spans="1:18" ht="4.5" customHeight="1" thickBot="1" x14ac:dyDescent="0.3">
      <c r="A1698" s="753"/>
      <c r="C1698" t="s">
        <v>174</v>
      </c>
      <c r="D1698">
        <f t="shared" si="128"/>
        <v>46038</v>
      </c>
      <c r="E1698" t="s">
        <v>164</v>
      </c>
      <c r="F1698" t="s">
        <v>1242</v>
      </c>
      <c r="G1698" t="s">
        <v>1257</v>
      </c>
      <c r="I1698" s="420"/>
      <c r="J1698" s="420"/>
      <c r="K1698" s="420"/>
      <c r="L1698" s="559"/>
      <c r="M1698" s="559"/>
      <c r="N1698" s="559"/>
      <c r="Q1698" s="3"/>
      <c r="R1698" s="3"/>
    </row>
    <row r="1699" spans="1:18" ht="15" customHeight="1" thickBot="1" x14ac:dyDescent="0.3">
      <c r="A1699" s="753"/>
      <c r="C1699" s="546" t="s">
        <v>174</v>
      </c>
      <c r="D1699" s="547">
        <f t="shared" si="128"/>
        <v>46038</v>
      </c>
      <c r="E1699" s="539" t="s">
        <v>165</v>
      </c>
      <c r="F1699" s="539" t="s">
        <v>1242</v>
      </c>
      <c r="G1699" s="539" t="s">
        <v>1257</v>
      </c>
      <c r="H1699" s="539"/>
      <c r="I1699" s="543"/>
      <c r="J1699" s="542"/>
      <c r="K1699" s="544"/>
      <c r="L1699" s="560"/>
      <c r="M1699" s="561"/>
      <c r="N1699" s="562"/>
      <c r="O1699" s="548"/>
      <c r="P1699" s="549"/>
      <c r="Q1699" s="3"/>
      <c r="R1699" s="3"/>
    </row>
    <row r="1700" spans="1:18" x14ac:dyDescent="0.25">
      <c r="A1700" s="753"/>
      <c r="C1700" s="529" t="s">
        <v>174</v>
      </c>
      <c r="D1700" s="447">
        <f t="shared" si="128"/>
        <v>46038</v>
      </c>
      <c r="E1700" s="498" t="s">
        <v>166</v>
      </c>
      <c r="F1700" s="514" t="s">
        <v>1242</v>
      </c>
      <c r="G1700" s="514" t="s">
        <v>1257</v>
      </c>
      <c r="H1700" s="514"/>
      <c r="I1700" s="537"/>
      <c r="J1700" s="537"/>
      <c r="K1700" s="537"/>
      <c r="L1700" s="563"/>
      <c r="M1700" s="563"/>
      <c r="N1700" s="563"/>
    </row>
    <row r="1701" spans="1:18" x14ac:dyDescent="0.25">
      <c r="A1701" s="753"/>
      <c r="C1701" s="452" t="s">
        <v>174</v>
      </c>
      <c r="D1701" s="453">
        <f t="shared" si="128"/>
        <v>46038</v>
      </c>
      <c r="E1701" s="500" t="s">
        <v>576</v>
      </c>
      <c r="F1701" s="569"/>
      <c r="G1701" s="569"/>
      <c r="H1701" s="569"/>
      <c r="I1701" s="540"/>
      <c r="J1701" s="540"/>
      <c r="K1701" s="540"/>
      <c r="L1701" s="555"/>
      <c r="M1701" s="555"/>
      <c r="N1701" s="555"/>
    </row>
    <row r="1702" spans="1:18" x14ac:dyDescent="0.25">
      <c r="A1702" s="753"/>
      <c r="C1702" s="452" t="s">
        <v>174</v>
      </c>
      <c r="D1702" s="453">
        <f t="shared" si="128"/>
        <v>46038</v>
      </c>
      <c r="E1702" s="454" t="s">
        <v>167</v>
      </c>
      <c r="F1702" s="569" t="s">
        <v>1242</v>
      </c>
      <c r="G1702" s="569" t="s">
        <v>1257</v>
      </c>
      <c r="H1702" s="569"/>
      <c r="I1702" s="540"/>
      <c r="J1702" s="540"/>
      <c r="K1702" s="540"/>
      <c r="L1702" s="564"/>
      <c r="M1702" s="564"/>
      <c r="N1702" s="564"/>
    </row>
    <row r="1703" spans="1:18" x14ac:dyDescent="0.25">
      <c r="A1703" s="753"/>
      <c r="C1703" s="452" t="s">
        <v>174</v>
      </c>
      <c r="D1703" s="453">
        <f t="shared" si="128"/>
        <v>46038</v>
      </c>
      <c r="E1703" s="454" t="s">
        <v>168</v>
      </c>
      <c r="F1703" s="569" t="s">
        <v>1242</v>
      </c>
      <c r="G1703" s="569" t="s">
        <v>1257</v>
      </c>
      <c r="H1703" s="569"/>
      <c r="I1703" s="540"/>
      <c r="J1703" s="540"/>
      <c r="K1703" s="540"/>
      <c r="L1703" s="564"/>
      <c r="M1703" s="564"/>
      <c r="N1703" s="564"/>
    </row>
    <row r="1704" spans="1:18" x14ac:dyDescent="0.25">
      <c r="A1704" s="753"/>
      <c r="C1704" s="452" t="s">
        <v>174</v>
      </c>
      <c r="D1704" s="453">
        <f t="shared" si="128"/>
        <v>46038</v>
      </c>
      <c r="E1704" s="454" t="s">
        <v>169</v>
      </c>
      <c r="F1704" s="569" t="s">
        <v>1242</v>
      </c>
      <c r="G1704" s="569" t="s">
        <v>1257</v>
      </c>
      <c r="H1704" s="569"/>
      <c r="I1704" s="540"/>
      <c r="J1704" s="540"/>
      <c r="K1704" s="540"/>
      <c r="L1704" s="564"/>
      <c r="M1704" s="564"/>
      <c r="N1704" s="564"/>
    </row>
    <row r="1705" spans="1:18" x14ac:dyDescent="0.25">
      <c r="A1705" s="753"/>
      <c r="C1705" s="452" t="s">
        <v>174</v>
      </c>
      <c r="D1705" s="453">
        <f t="shared" si="128"/>
        <v>46038</v>
      </c>
      <c r="E1705" s="454" t="s">
        <v>170</v>
      </c>
      <c r="F1705" s="569" t="s">
        <v>1242</v>
      </c>
      <c r="G1705" s="569" t="s">
        <v>1257</v>
      </c>
      <c r="H1705" s="569"/>
      <c r="I1705" s="540"/>
      <c r="J1705" s="540"/>
      <c r="K1705" s="540"/>
      <c r="L1705" s="564"/>
      <c r="M1705" s="564"/>
      <c r="N1705" s="564"/>
    </row>
    <row r="1706" spans="1:18" x14ac:dyDescent="0.25">
      <c r="A1706" s="753"/>
      <c r="C1706" s="452" t="s">
        <v>174</v>
      </c>
      <c r="D1706" s="453">
        <f t="shared" si="128"/>
        <v>46038</v>
      </c>
      <c r="E1706" s="454" t="s">
        <v>585</v>
      </c>
      <c r="F1706" s="512"/>
      <c r="G1706" s="512"/>
      <c r="H1706" s="512"/>
      <c r="I1706" s="541"/>
      <c r="J1706" s="541"/>
      <c r="K1706" s="541"/>
      <c r="L1706" s="556"/>
      <c r="M1706" s="556"/>
      <c r="N1706" s="556"/>
    </row>
    <row r="1707" spans="1:18" x14ac:dyDescent="0.25">
      <c r="A1707" s="753"/>
      <c r="C1707" s="452" t="s">
        <v>174</v>
      </c>
      <c r="D1707" s="449">
        <f t="shared" si="128"/>
        <v>46038</v>
      </c>
      <c r="E1707" s="454" t="s">
        <v>574</v>
      </c>
      <c r="F1707" s="569"/>
      <c r="G1707" s="569"/>
      <c r="H1707" s="569"/>
      <c r="I1707" s="540"/>
      <c r="J1707" s="540"/>
      <c r="K1707" s="540"/>
      <c r="L1707" s="565"/>
      <c r="M1707" s="565"/>
      <c r="N1707" s="565"/>
    </row>
    <row r="1708" spans="1:18" x14ac:dyDescent="0.25">
      <c r="A1708" s="753"/>
      <c r="C1708" s="452" t="s">
        <v>174</v>
      </c>
      <c r="D1708" s="449">
        <f t="shared" si="128"/>
        <v>46038</v>
      </c>
      <c r="E1708" s="454" t="s">
        <v>575</v>
      </c>
      <c r="F1708" s="569"/>
      <c r="G1708" s="569"/>
      <c r="H1708" s="569"/>
      <c r="I1708" s="540"/>
      <c r="J1708" s="540"/>
      <c r="K1708" s="540"/>
      <c r="L1708" s="565"/>
      <c r="M1708" s="565"/>
      <c r="N1708" s="565"/>
    </row>
    <row r="1709" spans="1:18" x14ac:dyDescent="0.25">
      <c r="A1709" s="753"/>
      <c r="C1709" s="452" t="s">
        <v>174</v>
      </c>
      <c r="D1709" s="449">
        <f t="shared" si="128"/>
        <v>46038</v>
      </c>
      <c r="E1709" s="454" t="s">
        <v>583</v>
      </c>
      <c r="F1709" s="569"/>
      <c r="G1709" s="569"/>
      <c r="H1709" s="569"/>
      <c r="I1709" s="540"/>
      <c r="J1709" s="540"/>
      <c r="K1709" s="540"/>
      <c r="L1709" s="565"/>
      <c r="M1709" s="565"/>
      <c r="N1709" s="565"/>
    </row>
    <row r="1710" spans="1:18" x14ac:dyDescent="0.25">
      <c r="A1710" s="753"/>
      <c r="C1710" s="452" t="s">
        <v>174</v>
      </c>
      <c r="D1710" s="449">
        <f t="shared" si="128"/>
        <v>46038</v>
      </c>
      <c r="E1710" s="454" t="s">
        <v>584</v>
      </c>
      <c r="F1710" s="505"/>
      <c r="G1710" s="505"/>
      <c r="H1710" s="505"/>
      <c r="I1710" s="516"/>
      <c r="J1710" s="516"/>
      <c r="K1710" s="516"/>
      <c r="L1710" s="557"/>
      <c r="M1710" s="557"/>
      <c r="N1710" s="557"/>
    </row>
    <row r="1711" spans="1:18" x14ac:dyDescent="0.25">
      <c r="A1711" s="753"/>
      <c r="C1711" s="452"/>
      <c r="D1711" s="449"/>
      <c r="E1711" s="454"/>
      <c r="F1711" s="505"/>
      <c r="G1711" s="505"/>
      <c r="H1711" s="505"/>
      <c r="I1711" s="516"/>
      <c r="J1711" s="516"/>
      <c r="K1711" s="516"/>
      <c r="L1711" s="557"/>
      <c r="M1711" s="557"/>
      <c r="N1711" s="557"/>
    </row>
    <row r="1712" spans="1:18" x14ac:dyDescent="0.25">
      <c r="A1712" s="753"/>
      <c r="C1712" s="452" t="s">
        <v>174</v>
      </c>
      <c r="D1712" s="449">
        <v>46045</v>
      </c>
      <c r="E1712" s="455" t="s">
        <v>573</v>
      </c>
      <c r="F1712" s="505"/>
      <c r="G1712" s="505"/>
      <c r="H1712" s="505"/>
      <c r="I1712" s="516"/>
      <c r="J1712" s="516"/>
      <c r="K1712" s="516"/>
      <c r="L1712" s="557"/>
      <c r="M1712" s="557"/>
      <c r="N1712" s="557"/>
    </row>
    <row r="1713" spans="1:14" x14ac:dyDescent="0.25">
      <c r="A1713" s="753"/>
      <c r="C1713" s="452" t="s">
        <v>174</v>
      </c>
      <c r="D1713" s="449">
        <f t="shared" ref="D1713:D1727" si="129">D1712</f>
        <v>46045</v>
      </c>
      <c r="E1713" s="455" t="s">
        <v>162</v>
      </c>
      <c r="F1713" s="506" t="s">
        <v>1286</v>
      </c>
      <c r="G1713" s="506" t="s">
        <v>1286</v>
      </c>
      <c r="H1713" s="506"/>
      <c r="I1713" s="516"/>
      <c r="J1713" s="516"/>
      <c r="K1713" s="516"/>
      <c r="L1713" s="557"/>
      <c r="M1713" s="557"/>
      <c r="N1713" s="557"/>
    </row>
    <row r="1714" spans="1:14" x14ac:dyDescent="0.25">
      <c r="A1714" s="753"/>
      <c r="C1714" s="452" t="s">
        <v>174</v>
      </c>
      <c r="D1714" s="502">
        <f t="shared" si="129"/>
        <v>46045</v>
      </c>
      <c r="E1714" s="503" t="s">
        <v>163</v>
      </c>
      <c r="F1714" s="506" t="s">
        <v>1286</v>
      </c>
      <c r="G1714" s="506" t="s">
        <v>1286</v>
      </c>
      <c r="H1714" s="506"/>
      <c r="I1714" s="516"/>
      <c r="J1714" s="516"/>
      <c r="K1714" s="516"/>
      <c r="L1714" s="557"/>
      <c r="M1714" s="557"/>
      <c r="N1714" s="557"/>
    </row>
    <row r="1715" spans="1:14" ht="15.75" thickBot="1" x14ac:dyDescent="0.3">
      <c r="A1715" s="753"/>
      <c r="C1715" s="530" t="s">
        <v>174</v>
      </c>
      <c r="D1715" s="451">
        <f t="shared" si="129"/>
        <v>46045</v>
      </c>
      <c r="E1715" s="459" t="s">
        <v>164</v>
      </c>
      <c r="F1715" s="493" t="s">
        <v>1286</v>
      </c>
      <c r="G1715" s="493" t="s">
        <v>1286</v>
      </c>
      <c r="H1715" s="493"/>
      <c r="I1715" s="513"/>
      <c r="J1715" s="513"/>
      <c r="K1715" s="513"/>
      <c r="L1715" s="558"/>
      <c r="M1715" s="558"/>
      <c r="N1715" s="558"/>
    </row>
    <row r="1716" spans="1:14" x14ac:dyDescent="0.25">
      <c r="C1716" t="s">
        <v>174</v>
      </c>
      <c r="D1716">
        <f t="shared" si="129"/>
        <v>46045</v>
      </c>
      <c r="E1716" t="s">
        <v>165</v>
      </c>
      <c r="F1716" t="s">
        <v>1286</v>
      </c>
      <c r="G1716" t="s">
        <v>1286</v>
      </c>
    </row>
    <row r="1717" spans="1:14" x14ac:dyDescent="0.25">
      <c r="C1717" t="s">
        <v>174</v>
      </c>
      <c r="D1717">
        <f t="shared" si="129"/>
        <v>46045</v>
      </c>
      <c r="E1717" t="s">
        <v>166</v>
      </c>
      <c r="F1717" t="s">
        <v>1286</v>
      </c>
      <c r="G1717" t="s">
        <v>1286</v>
      </c>
    </row>
    <row r="1718" spans="1:14" x14ac:dyDescent="0.25">
      <c r="C1718" t="s">
        <v>174</v>
      </c>
      <c r="D1718">
        <f t="shared" si="129"/>
        <v>46045</v>
      </c>
      <c r="E1718" t="s">
        <v>576</v>
      </c>
    </row>
    <row r="1719" spans="1:14" x14ac:dyDescent="0.25">
      <c r="C1719" t="s">
        <v>174</v>
      </c>
      <c r="D1719">
        <f t="shared" si="129"/>
        <v>46045</v>
      </c>
      <c r="E1719" t="s">
        <v>167</v>
      </c>
      <c r="F1719" t="s">
        <v>1277</v>
      </c>
      <c r="G1719" t="s">
        <v>1277</v>
      </c>
    </row>
    <row r="1720" spans="1:14" x14ac:dyDescent="0.25">
      <c r="C1720" t="s">
        <v>174</v>
      </c>
      <c r="D1720">
        <f t="shared" si="129"/>
        <v>46045</v>
      </c>
      <c r="E1720" t="s">
        <v>168</v>
      </c>
      <c r="F1720" t="s">
        <v>1277</v>
      </c>
      <c r="G1720" t="s">
        <v>1277</v>
      </c>
    </row>
    <row r="1721" spans="1:14" x14ac:dyDescent="0.25">
      <c r="C1721" t="s">
        <v>174</v>
      </c>
      <c r="D1721">
        <f t="shared" si="129"/>
        <v>46045</v>
      </c>
      <c r="E1721" t="s">
        <v>169</v>
      </c>
      <c r="F1721" t="s">
        <v>1277</v>
      </c>
      <c r="G1721" t="s">
        <v>1277</v>
      </c>
    </row>
    <row r="1722" spans="1:14" x14ac:dyDescent="0.25">
      <c r="C1722" t="s">
        <v>174</v>
      </c>
      <c r="D1722">
        <f t="shared" si="129"/>
        <v>46045</v>
      </c>
      <c r="E1722" t="s">
        <v>170</v>
      </c>
      <c r="F1722" t="s">
        <v>1277</v>
      </c>
      <c r="G1722" t="s">
        <v>1277</v>
      </c>
    </row>
    <row r="1723" spans="1:14" x14ac:dyDescent="0.25">
      <c r="C1723" t="s">
        <v>174</v>
      </c>
      <c r="D1723">
        <f t="shared" si="129"/>
        <v>46045</v>
      </c>
      <c r="E1723" t="s">
        <v>585</v>
      </c>
    </row>
    <row r="1724" spans="1:14" x14ac:dyDescent="0.25">
      <c r="C1724" t="s">
        <v>174</v>
      </c>
      <c r="D1724">
        <f t="shared" si="129"/>
        <v>46045</v>
      </c>
      <c r="E1724" t="s">
        <v>574</v>
      </c>
    </row>
    <row r="1725" spans="1:14" x14ac:dyDescent="0.25">
      <c r="C1725" t="s">
        <v>174</v>
      </c>
      <c r="D1725">
        <f t="shared" si="129"/>
        <v>46045</v>
      </c>
      <c r="E1725" t="s">
        <v>575</v>
      </c>
    </row>
    <row r="1726" spans="1:14" x14ac:dyDescent="0.25">
      <c r="C1726" t="s">
        <v>174</v>
      </c>
      <c r="D1726">
        <f t="shared" si="129"/>
        <v>46045</v>
      </c>
      <c r="E1726" t="s">
        <v>583</v>
      </c>
    </row>
    <row r="1727" spans="1:14" x14ac:dyDescent="0.25">
      <c r="C1727" t="s">
        <v>174</v>
      </c>
      <c r="D1727">
        <f t="shared" si="129"/>
        <v>46045</v>
      </c>
      <c r="E1727" t="s">
        <v>584</v>
      </c>
    </row>
    <row r="1728" spans="1:14" ht="15.75" thickBot="1" x14ac:dyDescent="0.3"/>
    <row r="1729" spans="1:18" ht="15" customHeight="1" thickBot="1" x14ac:dyDescent="0.3">
      <c r="A1729" s="753" t="s">
        <v>1243</v>
      </c>
      <c r="C1729" s="538" t="s">
        <v>161</v>
      </c>
      <c r="D1729" s="539">
        <v>46048</v>
      </c>
      <c r="E1729" s="539" t="s">
        <v>573</v>
      </c>
      <c r="F1729" s="539"/>
      <c r="G1729" s="539"/>
      <c r="H1729" s="539"/>
      <c r="I1729" s="543"/>
      <c r="J1729" s="542"/>
      <c r="K1729" s="544"/>
      <c r="L1729" s="560"/>
      <c r="M1729" s="561"/>
      <c r="N1729" s="562"/>
      <c r="O1729" s="548"/>
      <c r="P1729" s="549"/>
      <c r="Q1729" s="3"/>
      <c r="R1729" s="3"/>
    </row>
    <row r="1730" spans="1:18" x14ac:dyDescent="0.25">
      <c r="A1730" s="753"/>
      <c r="C1730" s="496" t="s">
        <v>161</v>
      </c>
      <c r="D1730" s="507">
        <f t="shared" ref="D1730:D1744" si="130">D1729</f>
        <v>46048</v>
      </c>
      <c r="E1730" s="498" t="s">
        <v>162</v>
      </c>
      <c r="F1730" s="514"/>
      <c r="G1730" s="514" t="s">
        <v>1277</v>
      </c>
      <c r="H1730" s="515" t="s">
        <v>1293</v>
      </c>
      <c r="I1730" s="537"/>
      <c r="J1730" s="537"/>
      <c r="K1730" s="537"/>
      <c r="L1730" s="563"/>
      <c r="M1730" s="563"/>
      <c r="N1730" s="563"/>
    </row>
    <row r="1731" spans="1:18" x14ac:dyDescent="0.25">
      <c r="A1731" s="753"/>
      <c r="C1731" s="525" t="s">
        <v>161</v>
      </c>
      <c r="D1731" s="499">
        <f t="shared" si="130"/>
        <v>46048</v>
      </c>
      <c r="E1731" s="500" t="s">
        <v>163</v>
      </c>
      <c r="F1731" s="460" t="s">
        <v>1298</v>
      </c>
      <c r="G1731" s="460" t="s">
        <v>1277</v>
      </c>
      <c r="H1731" s="460" t="s">
        <v>1293</v>
      </c>
      <c r="I1731" s="540"/>
      <c r="J1731" s="540"/>
      <c r="K1731" s="540"/>
      <c r="L1731" s="555"/>
      <c r="M1731" s="555"/>
      <c r="N1731" s="555"/>
    </row>
    <row r="1732" spans="1:18" x14ac:dyDescent="0.25">
      <c r="A1732" s="753"/>
      <c r="C1732" s="526" t="s">
        <v>161</v>
      </c>
      <c r="D1732" s="449">
        <f t="shared" si="130"/>
        <v>46048</v>
      </c>
      <c r="E1732" s="454" t="s">
        <v>164</v>
      </c>
      <c r="F1732" s="460"/>
      <c r="G1732" s="460" t="s">
        <v>1277</v>
      </c>
      <c r="H1732" s="460" t="s">
        <v>1293</v>
      </c>
      <c r="I1732" s="540"/>
      <c r="J1732" s="540"/>
      <c r="K1732" s="540"/>
      <c r="L1732" s="564"/>
      <c r="M1732" s="564"/>
      <c r="N1732" s="564"/>
    </row>
    <row r="1733" spans="1:18" x14ac:dyDescent="0.25">
      <c r="A1733" s="753"/>
      <c r="C1733" s="526" t="s">
        <v>161</v>
      </c>
      <c r="D1733" s="449">
        <f t="shared" si="130"/>
        <v>46048</v>
      </c>
      <c r="E1733" s="454" t="s">
        <v>165</v>
      </c>
      <c r="F1733" s="460"/>
      <c r="G1733" s="460" t="s">
        <v>1277</v>
      </c>
      <c r="H1733" s="460" t="s">
        <v>1293</v>
      </c>
      <c r="I1733" s="540"/>
      <c r="J1733" s="540"/>
      <c r="K1733" s="540"/>
      <c r="L1733" s="564"/>
      <c r="M1733" s="564"/>
      <c r="N1733" s="564"/>
    </row>
    <row r="1734" spans="1:18" x14ac:dyDescent="0.25">
      <c r="A1734" s="753"/>
      <c r="C1734" s="526" t="s">
        <v>161</v>
      </c>
      <c r="D1734" s="449">
        <f t="shared" si="130"/>
        <v>46048</v>
      </c>
      <c r="E1734" s="454" t="s">
        <v>166</v>
      </c>
      <c r="F1734" s="460" t="s">
        <v>1277</v>
      </c>
      <c r="G1734" s="460" t="s">
        <v>1277</v>
      </c>
      <c r="H1734" s="460" t="s">
        <v>1293</v>
      </c>
      <c r="I1734" s="540"/>
      <c r="J1734" s="540"/>
      <c r="K1734" s="540"/>
      <c r="L1734" s="564"/>
      <c r="M1734" s="564"/>
      <c r="N1734" s="564"/>
    </row>
    <row r="1735" spans="1:18" x14ac:dyDescent="0.25">
      <c r="A1735" s="753"/>
      <c r="C1735" s="526" t="s">
        <v>161</v>
      </c>
      <c r="D1735" s="449">
        <f t="shared" si="130"/>
        <v>46048</v>
      </c>
      <c r="E1735" s="454" t="s">
        <v>576</v>
      </c>
      <c r="F1735" s="460"/>
      <c r="G1735" s="460"/>
      <c r="H1735" s="460"/>
      <c r="I1735" s="540"/>
      <c r="J1735" s="540"/>
      <c r="K1735" s="540"/>
      <c r="L1735" s="564"/>
      <c r="M1735" s="564"/>
      <c r="N1735" s="564"/>
    </row>
    <row r="1736" spans="1:18" x14ac:dyDescent="0.25">
      <c r="A1736" s="753"/>
      <c r="C1736" s="526" t="s">
        <v>161</v>
      </c>
      <c r="D1736" s="449">
        <f t="shared" si="130"/>
        <v>46048</v>
      </c>
      <c r="E1736" s="454" t="s">
        <v>167</v>
      </c>
      <c r="F1736" s="512" t="s">
        <v>1277</v>
      </c>
      <c r="G1736" s="512" t="s">
        <v>1277</v>
      </c>
      <c r="H1736" s="505" t="s">
        <v>1293</v>
      </c>
      <c r="I1736" s="554"/>
      <c r="J1736" s="541"/>
      <c r="K1736" s="541"/>
      <c r="L1736" s="556"/>
      <c r="M1736" s="556"/>
      <c r="N1736" s="556"/>
    </row>
    <row r="1737" spans="1:18" x14ac:dyDescent="0.25">
      <c r="A1737" s="753"/>
      <c r="C1737" s="527" t="s">
        <v>161</v>
      </c>
      <c r="D1737" s="449">
        <f t="shared" si="130"/>
        <v>46048</v>
      </c>
      <c r="E1737" s="454" t="s">
        <v>168</v>
      </c>
      <c r="F1737" s="460" t="s">
        <v>1277</v>
      </c>
      <c r="G1737" s="460" t="s">
        <v>1277</v>
      </c>
      <c r="H1737" s="460" t="s">
        <v>1293</v>
      </c>
      <c r="I1737" s="540"/>
      <c r="J1737" s="540"/>
      <c r="K1737" s="540"/>
      <c r="L1737" s="565"/>
      <c r="M1737" s="565"/>
      <c r="N1737" s="565"/>
    </row>
    <row r="1738" spans="1:18" x14ac:dyDescent="0.25">
      <c r="A1738" s="753"/>
      <c r="C1738" s="527" t="s">
        <v>161</v>
      </c>
      <c r="D1738" s="449">
        <f t="shared" si="130"/>
        <v>46048</v>
      </c>
      <c r="E1738" s="454" t="s">
        <v>169</v>
      </c>
      <c r="F1738" s="460" t="s">
        <v>1277</v>
      </c>
      <c r="G1738" s="460" t="s">
        <v>1277</v>
      </c>
      <c r="H1738" s="461" t="s">
        <v>1293</v>
      </c>
      <c r="I1738" s="540"/>
      <c r="J1738" s="540"/>
      <c r="K1738" s="540"/>
      <c r="L1738" s="565"/>
      <c r="M1738" s="565"/>
      <c r="N1738" s="565"/>
    </row>
    <row r="1739" spans="1:18" x14ac:dyDescent="0.25">
      <c r="A1739" s="753"/>
      <c r="C1739" s="527" t="s">
        <v>161</v>
      </c>
      <c r="D1739" s="449">
        <f t="shared" si="130"/>
        <v>46048</v>
      </c>
      <c r="E1739" s="454" t="s">
        <v>170</v>
      </c>
      <c r="F1739" s="460" t="s">
        <v>1277</v>
      </c>
      <c r="G1739" s="460" t="s">
        <v>1269</v>
      </c>
      <c r="H1739" s="461" t="s">
        <v>1293</v>
      </c>
      <c r="I1739" s="540"/>
      <c r="J1739" s="540"/>
      <c r="K1739" s="540"/>
      <c r="L1739" s="565"/>
      <c r="M1739" s="565"/>
      <c r="N1739" s="565"/>
    </row>
    <row r="1740" spans="1:18" x14ac:dyDescent="0.25">
      <c r="A1740" s="753"/>
      <c r="C1740" s="527" t="s">
        <v>161</v>
      </c>
      <c r="D1740" s="449">
        <f t="shared" si="130"/>
        <v>46048</v>
      </c>
      <c r="E1740" s="454" t="s">
        <v>585</v>
      </c>
      <c r="F1740" s="460"/>
      <c r="G1740" s="460"/>
      <c r="H1740" s="504"/>
      <c r="I1740" s="540"/>
      <c r="J1740" s="540"/>
      <c r="K1740" s="540"/>
      <c r="L1740" s="566"/>
      <c r="M1740" s="566"/>
      <c r="N1740" s="566"/>
    </row>
    <row r="1741" spans="1:18" x14ac:dyDescent="0.25">
      <c r="A1741" s="753"/>
      <c r="C1741" s="527" t="s">
        <v>161</v>
      </c>
      <c r="D1741" s="449">
        <f t="shared" si="130"/>
        <v>46048</v>
      </c>
      <c r="E1741" s="454" t="s">
        <v>574</v>
      </c>
      <c r="F1741" s="505"/>
      <c r="G1741" s="516"/>
      <c r="H1741" s="516"/>
      <c r="I1741" s="516"/>
      <c r="J1741" s="516"/>
      <c r="K1741" s="516"/>
      <c r="L1741" s="557"/>
      <c r="M1741" s="557"/>
      <c r="N1741" s="557"/>
    </row>
    <row r="1742" spans="1:18" x14ac:dyDescent="0.25">
      <c r="A1742" s="753"/>
      <c r="C1742" s="527" t="s">
        <v>161</v>
      </c>
      <c r="D1742" s="449">
        <f t="shared" si="130"/>
        <v>46048</v>
      </c>
      <c r="E1742" s="455" t="s">
        <v>575</v>
      </c>
      <c r="F1742" s="505"/>
      <c r="G1742" s="516"/>
      <c r="H1742" s="516"/>
      <c r="I1742" s="516"/>
      <c r="J1742" s="516"/>
      <c r="K1742" s="516"/>
      <c r="L1742" s="557"/>
      <c r="M1742" s="557"/>
      <c r="N1742" s="557"/>
    </row>
    <row r="1743" spans="1:18" x14ac:dyDescent="0.25">
      <c r="A1743" s="753"/>
      <c r="C1743" s="527" t="s">
        <v>161</v>
      </c>
      <c r="D1743" s="449">
        <f t="shared" si="130"/>
        <v>46048</v>
      </c>
      <c r="E1743" s="455" t="s">
        <v>583</v>
      </c>
      <c r="F1743" s="506"/>
      <c r="G1743" s="506"/>
      <c r="H1743" s="516"/>
      <c r="I1743" s="516"/>
      <c r="J1743" s="516"/>
      <c r="K1743" s="516"/>
      <c r="L1743" s="557"/>
      <c r="M1743" s="557"/>
      <c r="N1743" s="557"/>
    </row>
    <row r="1744" spans="1:18" x14ac:dyDescent="0.25">
      <c r="A1744" s="753"/>
      <c r="C1744" s="527" t="s">
        <v>161</v>
      </c>
      <c r="D1744" s="449">
        <f t="shared" si="130"/>
        <v>46048</v>
      </c>
      <c r="E1744" s="503" t="s">
        <v>584</v>
      </c>
      <c r="F1744" s="506"/>
      <c r="G1744" s="506"/>
      <c r="H1744" s="516"/>
      <c r="I1744" s="516"/>
      <c r="J1744" s="516"/>
      <c r="K1744" s="516"/>
      <c r="L1744" s="557"/>
      <c r="M1744" s="557"/>
      <c r="N1744" s="557"/>
    </row>
    <row r="1745" spans="1:18" ht="15.75" thickBot="1" x14ac:dyDescent="0.3">
      <c r="A1745" s="753"/>
      <c r="C1745" s="528"/>
      <c r="D1745" s="451"/>
      <c r="E1745" s="459"/>
      <c r="F1745" s="493"/>
      <c r="G1745" s="493"/>
      <c r="H1745" s="513"/>
      <c r="I1745" s="513"/>
      <c r="J1745" s="513"/>
      <c r="K1745" s="513"/>
      <c r="L1745" s="558"/>
      <c r="M1745" s="558"/>
      <c r="N1745" s="558"/>
    </row>
    <row r="1746" spans="1:18" ht="4.5" customHeight="1" thickBot="1" x14ac:dyDescent="0.3">
      <c r="A1746" s="753"/>
      <c r="C1746" t="s">
        <v>171</v>
      </c>
      <c r="D1746">
        <f>D1744+1</f>
        <v>46049</v>
      </c>
      <c r="E1746" t="s">
        <v>573</v>
      </c>
      <c r="L1746" s="559"/>
      <c r="M1746" s="559"/>
      <c r="N1746" s="559"/>
      <c r="Q1746" s="3"/>
      <c r="R1746" s="3"/>
    </row>
    <row r="1747" spans="1:18" ht="15" customHeight="1" thickBot="1" x14ac:dyDescent="0.3">
      <c r="A1747" s="753"/>
      <c r="C1747" s="538" t="s">
        <v>171</v>
      </c>
      <c r="D1747" s="539">
        <f t="shared" ref="D1747:D1761" si="131">D1746</f>
        <v>46049</v>
      </c>
      <c r="E1747" s="539" t="s">
        <v>162</v>
      </c>
      <c r="F1747" s="539"/>
      <c r="G1747" s="539" t="s">
        <v>1269</v>
      </c>
      <c r="H1747" s="539" t="s">
        <v>1293</v>
      </c>
      <c r="I1747" s="543"/>
      <c r="J1747" s="542"/>
      <c r="K1747" s="544"/>
      <c r="L1747" s="560"/>
      <c r="M1747" s="561"/>
      <c r="N1747" s="562"/>
      <c r="O1747" s="548"/>
      <c r="P1747" s="549"/>
      <c r="Q1747" s="3"/>
      <c r="R1747" s="3"/>
    </row>
    <row r="1748" spans="1:18" x14ac:dyDescent="0.25">
      <c r="A1748" s="753"/>
      <c r="C1748" s="446" t="s">
        <v>171</v>
      </c>
      <c r="D1748" s="497">
        <f t="shared" si="131"/>
        <v>46049</v>
      </c>
      <c r="E1748" s="498" t="s">
        <v>163</v>
      </c>
      <c r="F1748" s="514"/>
      <c r="G1748" s="514" t="s">
        <v>1269</v>
      </c>
      <c r="H1748" s="515" t="s">
        <v>1293</v>
      </c>
      <c r="I1748" s="537"/>
      <c r="J1748" s="537"/>
      <c r="K1748" s="537"/>
      <c r="L1748" s="563"/>
      <c r="M1748" s="563"/>
      <c r="N1748" s="563"/>
    </row>
    <row r="1749" spans="1:18" x14ac:dyDescent="0.25">
      <c r="A1749" s="753"/>
      <c r="C1749" s="452" t="s">
        <v>171</v>
      </c>
      <c r="D1749" s="499">
        <f t="shared" si="131"/>
        <v>46049</v>
      </c>
      <c r="E1749" s="500" t="s">
        <v>164</v>
      </c>
      <c r="F1749" s="460" t="s">
        <v>1300</v>
      </c>
      <c r="G1749" s="460" t="s">
        <v>1269</v>
      </c>
      <c r="H1749" s="501" t="s">
        <v>1293</v>
      </c>
      <c r="I1749" s="540"/>
      <c r="J1749" s="540"/>
      <c r="K1749" s="540"/>
      <c r="L1749" s="555"/>
      <c r="M1749" s="555"/>
      <c r="N1749" s="555"/>
    </row>
    <row r="1750" spans="1:18" x14ac:dyDescent="0.25">
      <c r="A1750" s="753"/>
      <c r="C1750" s="452" t="s">
        <v>171</v>
      </c>
      <c r="D1750" s="449">
        <f t="shared" si="131"/>
        <v>46049</v>
      </c>
      <c r="E1750" s="454" t="s">
        <v>165</v>
      </c>
      <c r="F1750" s="460"/>
      <c r="G1750" s="460" t="s">
        <v>1269</v>
      </c>
      <c r="H1750" s="460" t="s">
        <v>1293</v>
      </c>
      <c r="I1750" s="540"/>
      <c r="J1750" s="540"/>
      <c r="K1750" s="540"/>
      <c r="L1750" s="564"/>
      <c r="M1750" s="564"/>
      <c r="N1750" s="564"/>
    </row>
    <row r="1751" spans="1:18" x14ac:dyDescent="0.25">
      <c r="A1751" s="753"/>
      <c r="C1751" s="452" t="s">
        <v>171</v>
      </c>
      <c r="D1751" s="449">
        <f t="shared" si="131"/>
        <v>46049</v>
      </c>
      <c r="E1751" s="454" t="s">
        <v>166</v>
      </c>
      <c r="F1751" s="460"/>
      <c r="G1751" s="460" t="s">
        <v>1269</v>
      </c>
      <c r="H1751" s="460" t="s">
        <v>1293</v>
      </c>
      <c r="I1751" s="540"/>
      <c r="J1751" s="540"/>
      <c r="K1751" s="540"/>
      <c r="L1751" s="564"/>
      <c r="M1751" s="564"/>
      <c r="N1751" s="564"/>
    </row>
    <row r="1752" spans="1:18" x14ac:dyDescent="0.25">
      <c r="A1752" s="753"/>
      <c r="C1752" s="452" t="s">
        <v>171</v>
      </c>
      <c r="D1752" s="449">
        <f t="shared" si="131"/>
        <v>46049</v>
      </c>
      <c r="E1752" s="454" t="s">
        <v>576</v>
      </c>
      <c r="F1752" s="460"/>
      <c r="G1752" s="460"/>
      <c r="H1752" s="460"/>
      <c r="I1752" s="540"/>
      <c r="J1752" s="540"/>
      <c r="K1752" s="540"/>
      <c r="L1752" s="564"/>
      <c r="M1752" s="564"/>
      <c r="N1752" s="564"/>
    </row>
    <row r="1753" spans="1:18" x14ac:dyDescent="0.25">
      <c r="A1753" s="753"/>
      <c r="C1753" s="452" t="s">
        <v>171</v>
      </c>
      <c r="D1753" s="449">
        <f t="shared" si="131"/>
        <v>46049</v>
      </c>
      <c r="E1753" s="454" t="s">
        <v>167</v>
      </c>
      <c r="F1753" s="460" t="s">
        <v>1269</v>
      </c>
      <c r="G1753" s="460"/>
      <c r="H1753" s="460" t="s">
        <v>1293</v>
      </c>
      <c r="I1753" s="540"/>
      <c r="J1753" s="540"/>
      <c r="K1753" s="540"/>
      <c r="L1753" s="564"/>
      <c r="M1753" s="564"/>
      <c r="N1753" s="564"/>
    </row>
    <row r="1754" spans="1:18" x14ac:dyDescent="0.25">
      <c r="A1754" s="753"/>
      <c r="C1754" s="452" t="s">
        <v>171</v>
      </c>
      <c r="D1754" s="449">
        <f t="shared" si="131"/>
        <v>46049</v>
      </c>
      <c r="E1754" s="454" t="s">
        <v>168</v>
      </c>
      <c r="F1754" s="517" t="s">
        <v>1269</v>
      </c>
      <c r="G1754" s="512" t="s">
        <v>1300</v>
      </c>
      <c r="H1754" s="505" t="s">
        <v>1293</v>
      </c>
      <c r="I1754" s="554"/>
      <c r="J1754" s="541"/>
      <c r="K1754" s="541"/>
      <c r="L1754" s="556"/>
      <c r="M1754" s="556"/>
      <c r="N1754" s="556"/>
    </row>
    <row r="1755" spans="1:18" x14ac:dyDescent="0.25">
      <c r="A1755" s="753"/>
      <c r="C1755" s="452" t="s">
        <v>171</v>
      </c>
      <c r="D1755" s="449">
        <f t="shared" si="131"/>
        <v>46049</v>
      </c>
      <c r="E1755" s="454" t="s">
        <v>169</v>
      </c>
      <c r="F1755" s="460" t="s">
        <v>1269</v>
      </c>
      <c r="G1755" s="460"/>
      <c r="H1755" s="461" t="s">
        <v>1293</v>
      </c>
      <c r="I1755" s="540"/>
      <c r="J1755" s="540"/>
      <c r="K1755" s="540"/>
      <c r="L1755" s="565"/>
      <c r="M1755" s="565"/>
      <c r="N1755" s="565"/>
    </row>
    <row r="1756" spans="1:18" x14ac:dyDescent="0.25">
      <c r="A1756" s="753"/>
      <c r="C1756" s="452" t="s">
        <v>171</v>
      </c>
      <c r="D1756" s="449">
        <f t="shared" si="131"/>
        <v>46049</v>
      </c>
      <c r="E1756" s="454" t="s">
        <v>170</v>
      </c>
      <c r="F1756" s="460" t="s">
        <v>1269</v>
      </c>
      <c r="G1756" s="460"/>
      <c r="H1756" s="461" t="s">
        <v>1293</v>
      </c>
      <c r="I1756" s="540"/>
      <c r="J1756" s="540"/>
      <c r="K1756" s="540"/>
      <c r="L1756" s="565"/>
      <c r="M1756" s="565"/>
      <c r="N1756" s="565"/>
    </row>
    <row r="1757" spans="1:18" x14ac:dyDescent="0.25">
      <c r="A1757" s="753"/>
      <c r="C1757" s="452" t="s">
        <v>171</v>
      </c>
      <c r="D1757" s="449">
        <f t="shared" si="131"/>
        <v>46049</v>
      </c>
      <c r="E1757" s="454" t="s">
        <v>585</v>
      </c>
      <c r="F1757" s="460"/>
      <c r="G1757" s="460"/>
      <c r="H1757" s="461"/>
      <c r="I1757" s="540"/>
      <c r="J1757" s="540"/>
      <c r="K1757" s="540"/>
      <c r="L1757" s="565"/>
      <c r="M1757" s="565"/>
      <c r="N1757" s="565"/>
    </row>
    <row r="1758" spans="1:18" x14ac:dyDescent="0.25">
      <c r="A1758" s="753"/>
      <c r="C1758" s="452" t="s">
        <v>171</v>
      </c>
      <c r="D1758" s="449">
        <f t="shared" si="131"/>
        <v>46049</v>
      </c>
      <c r="E1758" s="454" t="s">
        <v>574</v>
      </c>
      <c r="F1758" s="460"/>
      <c r="G1758" s="460"/>
      <c r="H1758" s="504"/>
      <c r="I1758" s="540"/>
      <c r="J1758" s="540"/>
      <c r="K1758" s="540"/>
      <c r="L1758" s="566"/>
      <c r="M1758" s="566"/>
      <c r="N1758" s="566"/>
    </row>
    <row r="1759" spans="1:18" x14ac:dyDescent="0.25">
      <c r="A1759" s="753"/>
      <c r="C1759" s="452" t="s">
        <v>171</v>
      </c>
      <c r="D1759" s="449">
        <f t="shared" si="131"/>
        <v>46049</v>
      </c>
      <c r="E1759" s="454" t="s">
        <v>575</v>
      </c>
      <c r="F1759" s="505"/>
      <c r="G1759" s="505"/>
      <c r="H1759" s="516"/>
      <c r="I1759" s="516"/>
      <c r="J1759" s="516"/>
      <c r="K1759" s="516"/>
      <c r="L1759" s="557"/>
      <c r="M1759" s="557"/>
      <c r="N1759" s="557"/>
    </row>
    <row r="1760" spans="1:18" x14ac:dyDescent="0.25">
      <c r="A1760" s="753"/>
      <c r="C1760" s="448" t="s">
        <v>171</v>
      </c>
      <c r="D1760" s="449">
        <f t="shared" si="131"/>
        <v>46049</v>
      </c>
      <c r="E1760" s="455" t="s">
        <v>583</v>
      </c>
      <c r="F1760" s="505"/>
      <c r="G1760" s="505"/>
      <c r="H1760" s="516"/>
      <c r="I1760" s="516"/>
      <c r="J1760" s="516"/>
      <c r="K1760" s="516"/>
      <c r="L1760" s="557"/>
      <c r="M1760" s="557"/>
      <c r="N1760" s="557"/>
    </row>
    <row r="1761" spans="1:18" x14ac:dyDescent="0.25">
      <c r="A1761" s="753"/>
      <c r="C1761" s="448" t="s">
        <v>171</v>
      </c>
      <c r="D1761" s="449">
        <f t="shared" si="131"/>
        <v>46049</v>
      </c>
      <c r="E1761" s="455" t="s">
        <v>584</v>
      </c>
      <c r="F1761" s="506"/>
      <c r="G1761" s="506"/>
      <c r="H1761" s="516"/>
      <c r="I1761" s="516"/>
      <c r="J1761" s="516"/>
      <c r="K1761" s="516"/>
      <c r="L1761" s="557"/>
      <c r="M1761" s="557"/>
      <c r="N1761" s="557"/>
    </row>
    <row r="1762" spans="1:18" x14ac:dyDescent="0.25">
      <c r="A1762" s="753"/>
      <c r="C1762" s="448"/>
      <c r="D1762" s="449"/>
      <c r="E1762" s="503"/>
      <c r="F1762" s="506"/>
      <c r="G1762" s="506"/>
      <c r="H1762" s="516"/>
      <c r="I1762" s="516"/>
      <c r="J1762" s="516"/>
      <c r="K1762" s="516"/>
      <c r="L1762" s="557"/>
      <c r="M1762" s="557"/>
      <c r="N1762" s="557"/>
    </row>
    <row r="1763" spans="1:18" ht="15.75" thickBot="1" x14ac:dyDescent="0.3">
      <c r="A1763" s="753"/>
      <c r="C1763" s="450" t="s">
        <v>172</v>
      </c>
      <c r="D1763" s="451">
        <f>D1761+1</f>
        <v>46050</v>
      </c>
      <c r="E1763" s="459" t="s">
        <v>573</v>
      </c>
      <c r="F1763" s="493"/>
      <c r="G1763" s="493"/>
      <c r="H1763" s="513"/>
      <c r="I1763" s="513"/>
      <c r="J1763" s="513"/>
      <c r="K1763" s="513"/>
      <c r="L1763" s="558"/>
      <c r="M1763" s="558"/>
      <c r="N1763" s="558"/>
    </row>
    <row r="1764" spans="1:18" ht="4.5" customHeight="1" thickBot="1" x14ac:dyDescent="0.3">
      <c r="A1764" s="753"/>
      <c r="C1764" t="s">
        <v>172</v>
      </c>
      <c r="D1764">
        <f t="shared" ref="D1764:D1778" si="132">D1763</f>
        <v>46050</v>
      </c>
      <c r="E1764" t="s">
        <v>162</v>
      </c>
      <c r="F1764" t="s">
        <v>1269</v>
      </c>
      <c r="G1764" t="s">
        <v>1268</v>
      </c>
      <c r="H1764" t="s">
        <v>1293</v>
      </c>
      <c r="L1764" s="559"/>
      <c r="M1764" s="559"/>
      <c r="N1764" s="559"/>
      <c r="Q1764" s="3"/>
      <c r="R1764" s="3"/>
    </row>
    <row r="1765" spans="1:18" ht="15" customHeight="1" thickBot="1" x14ac:dyDescent="0.3">
      <c r="A1765" s="753"/>
      <c r="C1765" s="538" t="s">
        <v>172</v>
      </c>
      <c r="D1765" s="539">
        <f t="shared" si="132"/>
        <v>46050</v>
      </c>
      <c r="E1765" s="539" t="s">
        <v>163</v>
      </c>
      <c r="F1765" s="539" t="s">
        <v>1268</v>
      </c>
      <c r="G1765" s="539" t="s">
        <v>1268</v>
      </c>
      <c r="H1765" s="539" t="s">
        <v>1293</v>
      </c>
      <c r="I1765" s="543"/>
      <c r="J1765" s="542"/>
      <c r="K1765" s="544"/>
      <c r="L1765" s="560"/>
      <c r="M1765" s="561"/>
      <c r="N1765" s="562"/>
      <c r="O1765" s="548"/>
      <c r="P1765" s="549"/>
      <c r="Q1765" s="3"/>
      <c r="R1765" s="3"/>
    </row>
    <row r="1766" spans="1:18" x14ac:dyDescent="0.25">
      <c r="A1766" s="753"/>
      <c r="C1766" s="446" t="s">
        <v>172</v>
      </c>
      <c r="D1766" s="497">
        <f t="shared" si="132"/>
        <v>46050</v>
      </c>
      <c r="E1766" s="498" t="s">
        <v>164</v>
      </c>
      <c r="F1766" s="514" t="s">
        <v>1268</v>
      </c>
      <c r="G1766" s="514" t="s">
        <v>1268</v>
      </c>
      <c r="H1766" s="515" t="s">
        <v>1293</v>
      </c>
      <c r="I1766" s="537"/>
      <c r="J1766" s="537"/>
      <c r="K1766" s="537"/>
      <c r="L1766" s="563"/>
      <c r="M1766" s="563"/>
      <c r="N1766" s="563"/>
    </row>
    <row r="1767" spans="1:18" x14ac:dyDescent="0.25">
      <c r="A1767" s="753"/>
      <c r="C1767" s="452" t="s">
        <v>172</v>
      </c>
      <c r="D1767" s="499">
        <f t="shared" si="132"/>
        <v>46050</v>
      </c>
      <c r="E1767" s="500" t="s">
        <v>165</v>
      </c>
      <c r="F1767" s="460" t="s">
        <v>1268</v>
      </c>
      <c r="G1767" s="460" t="s">
        <v>1268</v>
      </c>
      <c r="H1767" s="501" t="s">
        <v>1293</v>
      </c>
      <c r="I1767" s="540"/>
      <c r="J1767" s="540"/>
      <c r="K1767" s="540"/>
      <c r="L1767" s="555"/>
      <c r="M1767" s="555"/>
      <c r="N1767" s="555"/>
    </row>
    <row r="1768" spans="1:18" x14ac:dyDescent="0.25">
      <c r="A1768" s="753"/>
      <c r="C1768" s="452" t="s">
        <v>172</v>
      </c>
      <c r="D1768" s="449">
        <f t="shared" si="132"/>
        <v>46050</v>
      </c>
      <c r="E1768" s="454" t="s">
        <v>166</v>
      </c>
      <c r="F1768" s="460" t="s">
        <v>1268</v>
      </c>
      <c r="G1768" s="460" t="s">
        <v>1268</v>
      </c>
      <c r="H1768" s="460" t="s">
        <v>1293</v>
      </c>
      <c r="I1768" s="540"/>
      <c r="J1768" s="540"/>
      <c r="K1768" s="540"/>
      <c r="L1768" s="564"/>
      <c r="M1768" s="564"/>
      <c r="N1768" s="564"/>
    </row>
    <row r="1769" spans="1:18" x14ac:dyDescent="0.25">
      <c r="A1769" s="753"/>
      <c r="C1769" s="452" t="s">
        <v>172</v>
      </c>
      <c r="D1769" s="449">
        <f t="shared" si="132"/>
        <v>46050</v>
      </c>
      <c r="E1769" s="454" t="s">
        <v>576</v>
      </c>
      <c r="F1769" s="460"/>
      <c r="G1769" s="460"/>
      <c r="H1769" s="460"/>
      <c r="I1769" s="540"/>
      <c r="J1769" s="540"/>
      <c r="K1769" s="540"/>
      <c r="L1769" s="564"/>
      <c r="M1769" s="564"/>
      <c r="N1769" s="564"/>
    </row>
    <row r="1770" spans="1:18" x14ac:dyDescent="0.25">
      <c r="A1770" s="753"/>
      <c r="C1770" s="452" t="s">
        <v>172</v>
      </c>
      <c r="D1770" s="449">
        <f t="shared" si="132"/>
        <v>46050</v>
      </c>
      <c r="E1770" s="454" t="s">
        <v>167</v>
      </c>
      <c r="F1770" s="460" t="s">
        <v>1259</v>
      </c>
      <c r="G1770" s="460" t="s">
        <v>1259</v>
      </c>
      <c r="H1770" s="460" t="s">
        <v>1293</v>
      </c>
      <c r="I1770" s="540"/>
      <c r="J1770" s="540"/>
      <c r="K1770" s="540"/>
      <c r="L1770" s="564"/>
      <c r="M1770" s="564"/>
      <c r="N1770" s="564"/>
    </row>
    <row r="1771" spans="1:18" x14ac:dyDescent="0.25">
      <c r="A1771" s="753"/>
      <c r="C1771" s="452" t="s">
        <v>172</v>
      </c>
      <c r="D1771" s="449">
        <f t="shared" si="132"/>
        <v>46050</v>
      </c>
      <c r="E1771" s="454" t="s">
        <v>168</v>
      </c>
      <c r="F1771" s="460" t="s">
        <v>1259</v>
      </c>
      <c r="G1771" s="460" t="s">
        <v>1259</v>
      </c>
      <c r="H1771" s="460" t="s">
        <v>1293</v>
      </c>
      <c r="I1771" s="540"/>
      <c r="J1771" s="540"/>
      <c r="K1771" s="540"/>
      <c r="L1771" s="564"/>
      <c r="M1771" s="564"/>
      <c r="N1771" s="564"/>
    </row>
    <row r="1772" spans="1:18" x14ac:dyDescent="0.25">
      <c r="A1772" s="753"/>
      <c r="C1772" s="452" t="s">
        <v>172</v>
      </c>
      <c r="D1772" s="449">
        <f t="shared" si="132"/>
        <v>46050</v>
      </c>
      <c r="E1772" s="454" t="s">
        <v>169</v>
      </c>
      <c r="F1772" s="517" t="s">
        <v>1259</v>
      </c>
      <c r="G1772" s="512" t="s">
        <v>1259</v>
      </c>
      <c r="H1772" s="505" t="s">
        <v>1293</v>
      </c>
      <c r="I1772" s="541"/>
      <c r="J1772" s="541"/>
      <c r="K1772" s="541"/>
      <c r="L1772" s="556"/>
      <c r="M1772" s="556"/>
      <c r="N1772" s="556"/>
    </row>
    <row r="1773" spans="1:18" x14ac:dyDescent="0.25">
      <c r="A1773" s="753"/>
      <c r="C1773" s="452" t="s">
        <v>172</v>
      </c>
      <c r="D1773" s="449">
        <f t="shared" si="132"/>
        <v>46050</v>
      </c>
      <c r="E1773" s="454" t="s">
        <v>170</v>
      </c>
      <c r="F1773" s="460" t="s">
        <v>1259</v>
      </c>
      <c r="G1773" s="460" t="s">
        <v>1259</v>
      </c>
      <c r="H1773" s="461" t="s">
        <v>1293</v>
      </c>
      <c r="I1773" s="540"/>
      <c r="J1773" s="540"/>
      <c r="K1773" s="540"/>
      <c r="L1773" s="565"/>
      <c r="M1773" s="565"/>
      <c r="N1773" s="565"/>
    </row>
    <row r="1774" spans="1:18" x14ac:dyDescent="0.25">
      <c r="A1774" s="753"/>
      <c r="C1774" s="452" t="s">
        <v>172</v>
      </c>
      <c r="D1774" s="449">
        <f t="shared" si="132"/>
        <v>46050</v>
      </c>
      <c r="E1774" s="454" t="s">
        <v>585</v>
      </c>
      <c r="F1774" s="460"/>
      <c r="G1774" s="460"/>
      <c r="H1774" s="461"/>
      <c r="I1774" s="540"/>
      <c r="J1774" s="540"/>
      <c r="K1774" s="540"/>
      <c r="L1774" s="565"/>
      <c r="M1774" s="565"/>
      <c r="N1774" s="565"/>
    </row>
    <row r="1775" spans="1:18" x14ac:dyDescent="0.25">
      <c r="A1775" s="753"/>
      <c r="C1775" s="452" t="s">
        <v>172</v>
      </c>
      <c r="D1775" s="449">
        <f t="shared" si="132"/>
        <v>46050</v>
      </c>
      <c r="E1775" s="454" t="s">
        <v>574</v>
      </c>
      <c r="F1775" s="460"/>
      <c r="G1775" s="460"/>
      <c r="H1775" s="461"/>
      <c r="I1775" s="540"/>
      <c r="J1775" s="540"/>
      <c r="K1775" s="540"/>
      <c r="L1775" s="565"/>
      <c r="M1775" s="565"/>
      <c r="N1775" s="565"/>
    </row>
    <row r="1776" spans="1:18" x14ac:dyDescent="0.25">
      <c r="A1776" s="753"/>
      <c r="C1776" s="452" t="s">
        <v>172</v>
      </c>
      <c r="D1776" s="449">
        <f t="shared" si="132"/>
        <v>46050</v>
      </c>
      <c r="E1776" s="454" t="s">
        <v>575</v>
      </c>
      <c r="F1776" s="460"/>
      <c r="G1776" s="460"/>
      <c r="H1776" s="504"/>
      <c r="I1776" s="540"/>
      <c r="J1776" s="540"/>
      <c r="K1776" s="540"/>
      <c r="L1776" s="565"/>
      <c r="M1776" s="566"/>
      <c r="N1776" s="566"/>
    </row>
    <row r="1777" spans="1:18" x14ac:dyDescent="0.25">
      <c r="A1777" s="753"/>
      <c r="C1777" s="452" t="s">
        <v>172</v>
      </c>
      <c r="D1777" s="449">
        <f t="shared" si="132"/>
        <v>46050</v>
      </c>
      <c r="E1777" s="454" t="s">
        <v>583</v>
      </c>
      <c r="F1777" s="505"/>
      <c r="G1777" s="505"/>
      <c r="H1777" s="516"/>
      <c r="I1777" s="516"/>
      <c r="J1777" s="516"/>
      <c r="K1777" s="516"/>
      <c r="L1777" s="557"/>
      <c r="M1777" s="557"/>
      <c r="N1777" s="557"/>
    </row>
    <row r="1778" spans="1:18" x14ac:dyDescent="0.25">
      <c r="A1778" s="753"/>
      <c r="C1778" s="448" t="s">
        <v>172</v>
      </c>
      <c r="D1778" s="449">
        <f t="shared" si="132"/>
        <v>46050</v>
      </c>
      <c r="E1778" s="455" t="s">
        <v>584</v>
      </c>
      <c r="F1778" s="505"/>
      <c r="G1778" s="505"/>
      <c r="H1778" s="516"/>
      <c r="I1778" s="516"/>
      <c r="J1778" s="516"/>
      <c r="K1778" s="516"/>
      <c r="L1778" s="557"/>
      <c r="M1778" s="557"/>
      <c r="N1778" s="557"/>
    </row>
    <row r="1779" spans="1:18" x14ac:dyDescent="0.25">
      <c r="A1779" s="753"/>
      <c r="C1779" s="448"/>
      <c r="D1779" s="449"/>
      <c r="E1779" s="455"/>
      <c r="F1779" s="506"/>
      <c r="G1779" s="506"/>
      <c r="H1779" s="516"/>
      <c r="I1779" s="516"/>
      <c r="J1779" s="516"/>
      <c r="K1779" s="516"/>
      <c r="L1779" s="557"/>
      <c r="M1779" s="557"/>
      <c r="N1779" s="557"/>
    </row>
    <row r="1780" spans="1:18" x14ac:dyDescent="0.25">
      <c r="A1780" s="753"/>
      <c r="C1780" s="448" t="s">
        <v>173</v>
      </c>
      <c r="D1780" s="449">
        <f>D1778+1</f>
        <v>46051</v>
      </c>
      <c r="E1780" s="503" t="s">
        <v>573</v>
      </c>
      <c r="F1780" s="506"/>
      <c r="G1780" s="506"/>
      <c r="H1780" s="516"/>
      <c r="I1780" s="516"/>
      <c r="J1780" s="516"/>
      <c r="K1780" s="516"/>
      <c r="L1780" s="557"/>
      <c r="M1780" s="557"/>
      <c r="N1780" s="557"/>
    </row>
    <row r="1781" spans="1:18" ht="15.75" thickBot="1" x14ac:dyDescent="0.3">
      <c r="A1781" s="753"/>
      <c r="C1781" s="450" t="s">
        <v>173</v>
      </c>
      <c r="D1781" s="451">
        <f t="shared" ref="D1781:D1795" si="133">D1780</f>
        <v>46051</v>
      </c>
      <c r="E1781" s="459" t="s">
        <v>162</v>
      </c>
      <c r="F1781" s="493" t="s">
        <v>1259</v>
      </c>
      <c r="G1781" s="493" t="s">
        <v>1259</v>
      </c>
      <c r="H1781" s="513" t="s">
        <v>1293</v>
      </c>
      <c r="I1781" s="513"/>
      <c r="J1781" s="513"/>
      <c r="K1781" s="513"/>
      <c r="L1781" s="558"/>
      <c r="M1781" s="558"/>
      <c r="N1781" s="558"/>
    </row>
    <row r="1782" spans="1:18" ht="4.5" customHeight="1" thickBot="1" x14ac:dyDescent="0.3">
      <c r="A1782" s="753"/>
      <c r="C1782" t="s">
        <v>173</v>
      </c>
      <c r="D1782">
        <f t="shared" si="133"/>
        <v>46051</v>
      </c>
      <c r="E1782" t="s">
        <v>163</v>
      </c>
      <c r="F1782" t="s">
        <v>1259</v>
      </c>
      <c r="G1782" t="s">
        <v>1259</v>
      </c>
      <c r="H1782" t="s">
        <v>1293</v>
      </c>
      <c r="L1782" s="559"/>
      <c r="M1782" s="559"/>
      <c r="N1782" s="559"/>
      <c r="Q1782" s="3"/>
      <c r="R1782" s="3"/>
    </row>
    <row r="1783" spans="1:18" ht="15" customHeight="1" thickBot="1" x14ac:dyDescent="0.3">
      <c r="A1783" s="753"/>
      <c r="C1783" s="538" t="s">
        <v>173</v>
      </c>
      <c r="D1783" s="539">
        <f t="shared" si="133"/>
        <v>46051</v>
      </c>
      <c r="E1783" s="539" t="s">
        <v>164</v>
      </c>
      <c r="F1783" s="539" t="s">
        <v>1259</v>
      </c>
      <c r="G1783" s="539" t="s">
        <v>1259</v>
      </c>
      <c r="H1783" s="539" t="s">
        <v>1293</v>
      </c>
      <c r="I1783" s="543"/>
      <c r="J1783" s="542"/>
      <c r="K1783" s="544"/>
      <c r="L1783" s="560"/>
      <c r="M1783" s="561"/>
      <c r="N1783" s="562"/>
      <c r="O1783" s="548"/>
      <c r="P1783" s="549"/>
      <c r="Q1783" s="3"/>
      <c r="R1783" s="3"/>
    </row>
    <row r="1784" spans="1:18" x14ac:dyDescent="0.25">
      <c r="A1784" s="753"/>
      <c r="C1784" s="529" t="s">
        <v>173</v>
      </c>
      <c r="D1784" s="447">
        <f t="shared" si="133"/>
        <v>46051</v>
      </c>
      <c r="E1784" s="498" t="s">
        <v>165</v>
      </c>
      <c r="F1784" s="514" t="s">
        <v>1259</v>
      </c>
      <c r="G1784" s="514" t="s">
        <v>1259</v>
      </c>
      <c r="H1784" s="515" t="s">
        <v>1293</v>
      </c>
      <c r="I1784" s="537"/>
      <c r="J1784" s="537"/>
      <c r="K1784" s="537"/>
      <c r="L1784" s="563"/>
      <c r="M1784" s="563"/>
      <c r="N1784" s="563"/>
    </row>
    <row r="1785" spans="1:18" x14ac:dyDescent="0.25">
      <c r="A1785" s="753"/>
      <c r="C1785" s="452" t="s">
        <v>173</v>
      </c>
      <c r="D1785" s="453">
        <f t="shared" si="133"/>
        <v>46051</v>
      </c>
      <c r="E1785" s="500" t="s">
        <v>166</v>
      </c>
      <c r="F1785" s="460" t="s">
        <v>1310</v>
      </c>
      <c r="G1785" s="460" t="s">
        <v>1259</v>
      </c>
      <c r="H1785" s="501" t="s">
        <v>1293</v>
      </c>
      <c r="I1785" s="540"/>
      <c r="J1785" s="540"/>
      <c r="K1785" s="540"/>
      <c r="L1785" s="555"/>
      <c r="M1785" s="555"/>
      <c r="N1785" s="555"/>
    </row>
    <row r="1786" spans="1:18" x14ac:dyDescent="0.25">
      <c r="A1786" s="753"/>
      <c r="C1786" s="452" t="s">
        <v>173</v>
      </c>
      <c r="D1786" s="453">
        <f t="shared" si="133"/>
        <v>46051</v>
      </c>
      <c r="E1786" s="454" t="s">
        <v>576</v>
      </c>
      <c r="F1786" s="460"/>
      <c r="G1786" s="460"/>
      <c r="H1786" s="460"/>
      <c r="I1786" s="540"/>
      <c r="J1786" s="540"/>
      <c r="K1786" s="540"/>
      <c r="L1786" s="564"/>
      <c r="M1786" s="564"/>
      <c r="N1786" s="564"/>
    </row>
    <row r="1787" spans="1:18" x14ac:dyDescent="0.25">
      <c r="A1787" s="753"/>
      <c r="C1787" s="452" t="s">
        <v>173</v>
      </c>
      <c r="D1787" s="453">
        <f t="shared" si="133"/>
        <v>46051</v>
      </c>
      <c r="E1787" s="454" t="s">
        <v>167</v>
      </c>
      <c r="F1787" s="460" t="s">
        <v>1312</v>
      </c>
      <c r="G1787" s="460" t="s">
        <v>5</v>
      </c>
      <c r="H1787" s="460" t="s">
        <v>1293</v>
      </c>
      <c r="I1787" s="540"/>
      <c r="J1787" s="540"/>
      <c r="K1787" s="540"/>
      <c r="L1787" s="564"/>
      <c r="M1787" s="564"/>
      <c r="N1787" s="564"/>
    </row>
    <row r="1788" spans="1:18" x14ac:dyDescent="0.25">
      <c r="A1788" s="753"/>
      <c r="C1788" s="452" t="s">
        <v>173</v>
      </c>
      <c r="D1788" s="453">
        <f t="shared" si="133"/>
        <v>46051</v>
      </c>
      <c r="E1788" s="454" t="s">
        <v>168</v>
      </c>
      <c r="F1788" s="460" t="s">
        <v>1312</v>
      </c>
      <c r="G1788" s="460" t="s">
        <v>5</v>
      </c>
      <c r="H1788" s="460" t="s">
        <v>1293</v>
      </c>
      <c r="I1788" s="540"/>
      <c r="J1788" s="540"/>
      <c r="K1788" s="540"/>
      <c r="L1788" s="564"/>
      <c r="M1788" s="564"/>
      <c r="N1788" s="564"/>
    </row>
    <row r="1789" spans="1:18" x14ac:dyDescent="0.25">
      <c r="A1789" s="753"/>
      <c r="C1789" s="452" t="s">
        <v>173</v>
      </c>
      <c r="D1789" s="453">
        <f t="shared" si="133"/>
        <v>46051</v>
      </c>
      <c r="E1789" s="454" t="s">
        <v>169</v>
      </c>
      <c r="F1789" s="460" t="s">
        <v>1312</v>
      </c>
      <c r="G1789" s="460" t="s">
        <v>1316</v>
      </c>
      <c r="H1789" s="460" t="s">
        <v>1293</v>
      </c>
      <c r="I1789" s="540"/>
      <c r="J1789" s="540"/>
      <c r="K1789" s="540"/>
      <c r="L1789" s="564"/>
      <c r="M1789" s="564"/>
      <c r="N1789" s="564"/>
    </row>
    <row r="1790" spans="1:18" x14ac:dyDescent="0.25">
      <c r="A1790" s="753"/>
      <c r="C1790" s="452" t="s">
        <v>173</v>
      </c>
      <c r="D1790" s="453">
        <f t="shared" si="133"/>
        <v>46051</v>
      </c>
      <c r="E1790" s="454" t="s">
        <v>170</v>
      </c>
      <c r="F1790" s="517" t="s">
        <v>5</v>
      </c>
      <c r="G1790" s="512" t="s">
        <v>1316</v>
      </c>
      <c r="H1790" s="505"/>
      <c r="I1790" s="541"/>
      <c r="J1790" s="541"/>
      <c r="K1790" s="541"/>
      <c r="L1790" s="556"/>
      <c r="M1790" s="556"/>
      <c r="N1790" s="556"/>
    </row>
    <row r="1791" spans="1:18" x14ac:dyDescent="0.25">
      <c r="A1791" s="753"/>
      <c r="C1791" s="452" t="s">
        <v>173</v>
      </c>
      <c r="D1791" s="449">
        <f t="shared" si="133"/>
        <v>46051</v>
      </c>
      <c r="E1791" s="454" t="s">
        <v>585</v>
      </c>
      <c r="F1791" s="460"/>
      <c r="G1791" s="460"/>
      <c r="H1791" s="461"/>
      <c r="I1791" s="540"/>
      <c r="J1791" s="540"/>
      <c r="K1791" s="540"/>
      <c r="L1791" s="565"/>
      <c r="M1791" s="565"/>
      <c r="N1791" s="565"/>
    </row>
    <row r="1792" spans="1:18" x14ac:dyDescent="0.25">
      <c r="A1792" s="753"/>
      <c r="C1792" s="452" t="s">
        <v>173</v>
      </c>
      <c r="D1792" s="449">
        <f t="shared" si="133"/>
        <v>46051</v>
      </c>
      <c r="E1792" s="454" t="s">
        <v>574</v>
      </c>
      <c r="F1792" s="460"/>
      <c r="G1792" s="460"/>
      <c r="H1792" s="461"/>
      <c r="I1792" s="540"/>
      <c r="J1792" s="540"/>
      <c r="K1792" s="540"/>
      <c r="L1792" s="565"/>
      <c r="M1792" s="565"/>
      <c r="N1792" s="565"/>
    </row>
    <row r="1793" spans="1:18" x14ac:dyDescent="0.25">
      <c r="A1793" s="753"/>
      <c r="C1793" s="452" t="s">
        <v>173</v>
      </c>
      <c r="D1793" s="449">
        <f t="shared" si="133"/>
        <v>46051</v>
      </c>
      <c r="E1793" s="454" t="s">
        <v>575</v>
      </c>
      <c r="F1793" s="460"/>
      <c r="G1793" s="460"/>
      <c r="H1793" s="461"/>
      <c r="I1793" s="540"/>
      <c r="J1793" s="540"/>
      <c r="K1793" s="540"/>
      <c r="L1793" s="565"/>
      <c r="M1793" s="565"/>
      <c r="N1793" s="565"/>
    </row>
    <row r="1794" spans="1:18" x14ac:dyDescent="0.25">
      <c r="A1794" s="753"/>
      <c r="C1794" s="452" t="s">
        <v>173</v>
      </c>
      <c r="D1794" s="449">
        <f t="shared" si="133"/>
        <v>46051</v>
      </c>
      <c r="E1794" s="454" t="s">
        <v>583</v>
      </c>
      <c r="F1794" s="460"/>
      <c r="G1794" s="460"/>
      <c r="H1794" s="504"/>
      <c r="I1794" s="545"/>
      <c r="J1794" s="540"/>
      <c r="K1794" s="540"/>
      <c r="L1794" s="566"/>
      <c r="M1794" s="566"/>
      <c r="N1794" s="566"/>
    </row>
    <row r="1795" spans="1:18" x14ac:dyDescent="0.25">
      <c r="A1795" s="753"/>
      <c r="C1795" s="452" t="s">
        <v>173</v>
      </c>
      <c r="D1795" s="449">
        <f t="shared" si="133"/>
        <v>46051</v>
      </c>
      <c r="E1795" s="454" t="s">
        <v>584</v>
      </c>
      <c r="F1795" s="505"/>
      <c r="G1795" s="505"/>
      <c r="H1795" s="516"/>
      <c r="I1795" s="516"/>
      <c r="J1795" s="516"/>
      <c r="K1795" s="516"/>
      <c r="L1795" s="557"/>
      <c r="M1795" s="557"/>
      <c r="N1795" s="557"/>
    </row>
    <row r="1796" spans="1:18" x14ac:dyDescent="0.25">
      <c r="A1796" s="753"/>
      <c r="C1796" s="452"/>
      <c r="D1796" s="449"/>
      <c r="E1796" s="455"/>
      <c r="F1796" s="505"/>
      <c r="G1796" s="505"/>
      <c r="H1796" s="516"/>
      <c r="I1796" s="516"/>
      <c r="J1796" s="516"/>
      <c r="K1796" s="516"/>
      <c r="L1796" s="557"/>
      <c r="M1796" s="557"/>
      <c r="N1796" s="557"/>
    </row>
    <row r="1797" spans="1:18" x14ac:dyDescent="0.25">
      <c r="A1797" s="753"/>
      <c r="C1797" s="452" t="s">
        <v>174</v>
      </c>
      <c r="D1797" s="449">
        <f>D1795+1</f>
        <v>46052</v>
      </c>
      <c r="E1797" s="455" t="s">
        <v>573</v>
      </c>
      <c r="F1797" s="506"/>
      <c r="G1797" s="506"/>
      <c r="H1797" s="516"/>
      <c r="I1797" s="516"/>
      <c r="J1797" s="516"/>
      <c r="K1797" s="516"/>
      <c r="L1797" s="557"/>
      <c r="M1797" s="557"/>
      <c r="N1797" s="557"/>
    </row>
    <row r="1798" spans="1:18" x14ac:dyDescent="0.25">
      <c r="A1798" s="753"/>
      <c r="C1798" s="452" t="s">
        <v>174</v>
      </c>
      <c r="D1798" s="449">
        <f t="shared" ref="D1798:D1812" si="134">D1797</f>
        <v>46052</v>
      </c>
      <c r="E1798" s="503" t="s">
        <v>162</v>
      </c>
      <c r="F1798" s="506" t="s">
        <v>1319</v>
      </c>
      <c r="G1798" s="506" t="s">
        <v>1316</v>
      </c>
      <c r="H1798" s="516"/>
      <c r="I1798" s="516"/>
      <c r="J1798" s="516"/>
      <c r="K1798" s="516"/>
      <c r="L1798" s="557"/>
      <c r="M1798" s="557"/>
      <c r="N1798" s="557"/>
    </row>
    <row r="1799" spans="1:18" ht="15.75" thickBot="1" x14ac:dyDescent="0.3">
      <c r="A1799" s="753"/>
      <c r="C1799" s="530" t="s">
        <v>174</v>
      </c>
      <c r="D1799" s="451">
        <f t="shared" si="134"/>
        <v>46052</v>
      </c>
      <c r="E1799" s="459" t="s">
        <v>163</v>
      </c>
      <c r="F1799" s="493" t="s">
        <v>5</v>
      </c>
      <c r="G1799" s="493" t="s">
        <v>1316</v>
      </c>
      <c r="H1799" s="513"/>
      <c r="I1799" s="513"/>
      <c r="J1799" s="513"/>
      <c r="K1799" s="513"/>
      <c r="L1799" s="558"/>
      <c r="M1799" s="558"/>
      <c r="N1799" s="558"/>
    </row>
    <row r="1800" spans="1:18" ht="4.5" customHeight="1" thickBot="1" x14ac:dyDescent="0.3">
      <c r="A1800" s="753"/>
      <c r="C1800" t="s">
        <v>174</v>
      </c>
      <c r="D1800">
        <f t="shared" si="134"/>
        <v>46052</v>
      </c>
      <c r="E1800" t="s">
        <v>164</v>
      </c>
      <c r="F1800" t="s">
        <v>5</v>
      </c>
      <c r="G1800" t="s">
        <v>1316</v>
      </c>
      <c r="I1800" s="420"/>
      <c r="J1800" s="420"/>
      <c r="K1800" s="420"/>
      <c r="L1800" s="559"/>
      <c r="M1800" s="559"/>
      <c r="N1800" s="559"/>
      <c r="Q1800" s="3"/>
      <c r="R1800" s="3"/>
    </row>
    <row r="1801" spans="1:18" ht="15" customHeight="1" thickBot="1" x14ac:dyDescent="0.3">
      <c r="A1801" s="753"/>
      <c r="C1801" s="546" t="s">
        <v>174</v>
      </c>
      <c r="D1801" s="547">
        <f t="shared" si="134"/>
        <v>46052</v>
      </c>
      <c r="E1801" s="539" t="s">
        <v>165</v>
      </c>
      <c r="F1801" s="539" t="s">
        <v>5</v>
      </c>
      <c r="G1801" s="539" t="s">
        <v>1316</v>
      </c>
      <c r="H1801" s="539"/>
      <c r="I1801" s="543"/>
      <c r="J1801" s="542"/>
      <c r="K1801" s="544"/>
      <c r="L1801" s="560"/>
      <c r="M1801" s="561"/>
      <c r="N1801" s="562"/>
      <c r="O1801" s="548"/>
      <c r="P1801" s="549"/>
      <c r="Q1801" s="3"/>
      <c r="R1801" s="3"/>
    </row>
    <row r="1802" spans="1:18" x14ac:dyDescent="0.25">
      <c r="A1802" s="753"/>
      <c r="C1802" s="529" t="s">
        <v>174</v>
      </c>
      <c r="D1802" s="447">
        <f t="shared" si="134"/>
        <v>46052</v>
      </c>
      <c r="E1802" s="498" t="s">
        <v>166</v>
      </c>
      <c r="F1802" s="514" t="s">
        <v>5</v>
      </c>
      <c r="G1802" s="514" t="s">
        <v>1316</v>
      </c>
      <c r="H1802" s="514"/>
      <c r="I1802" s="537"/>
      <c r="J1802" s="537"/>
      <c r="K1802" s="537"/>
      <c r="L1802" s="563"/>
      <c r="M1802" s="563"/>
      <c r="N1802" s="563"/>
    </row>
    <row r="1803" spans="1:18" x14ac:dyDescent="0.25">
      <c r="A1803" s="753"/>
      <c r="C1803" s="452" t="s">
        <v>174</v>
      </c>
      <c r="D1803" s="453">
        <f t="shared" si="134"/>
        <v>46052</v>
      </c>
      <c r="E1803" s="500" t="s">
        <v>576</v>
      </c>
      <c r="F1803" s="569"/>
      <c r="G1803" s="569"/>
      <c r="H1803" s="569"/>
      <c r="I1803" s="540"/>
      <c r="J1803" s="540"/>
      <c r="K1803" s="540"/>
      <c r="L1803" s="555"/>
      <c r="M1803" s="555"/>
      <c r="N1803" s="555"/>
    </row>
    <row r="1804" spans="1:18" x14ac:dyDescent="0.25">
      <c r="A1804" s="753"/>
      <c r="C1804" s="452" t="s">
        <v>174</v>
      </c>
      <c r="D1804" s="453">
        <f t="shared" si="134"/>
        <v>46052</v>
      </c>
      <c r="E1804" s="454" t="s">
        <v>167</v>
      </c>
      <c r="F1804" s="569" t="s">
        <v>5</v>
      </c>
      <c r="G1804" s="569" t="s">
        <v>1316</v>
      </c>
      <c r="H1804" s="569"/>
      <c r="I1804" s="540"/>
      <c r="J1804" s="540"/>
      <c r="K1804" s="540"/>
      <c r="L1804" s="564"/>
      <c r="M1804" s="564"/>
      <c r="N1804" s="564"/>
    </row>
    <row r="1805" spans="1:18" x14ac:dyDescent="0.25">
      <c r="A1805" s="753"/>
      <c r="C1805" s="452" t="s">
        <v>174</v>
      </c>
      <c r="D1805" s="453">
        <f t="shared" si="134"/>
        <v>46052</v>
      </c>
      <c r="E1805" s="454" t="s">
        <v>168</v>
      </c>
      <c r="F1805" s="569" t="s">
        <v>5</v>
      </c>
      <c r="G1805" s="569" t="s">
        <v>1316</v>
      </c>
      <c r="H1805" s="569"/>
      <c r="I1805" s="540"/>
      <c r="J1805" s="540"/>
      <c r="K1805" s="540"/>
      <c r="L1805" s="564"/>
      <c r="M1805" s="564"/>
      <c r="N1805" s="564"/>
    </row>
    <row r="1806" spans="1:18" x14ac:dyDescent="0.25">
      <c r="A1806" s="753"/>
      <c r="C1806" s="452" t="s">
        <v>174</v>
      </c>
      <c r="D1806" s="453">
        <f t="shared" si="134"/>
        <v>46052</v>
      </c>
      <c r="E1806" s="454" t="s">
        <v>169</v>
      </c>
      <c r="F1806" s="569" t="s">
        <v>5</v>
      </c>
      <c r="G1806" s="569" t="s">
        <v>1316</v>
      </c>
      <c r="H1806" s="569"/>
      <c r="I1806" s="540"/>
      <c r="J1806" s="540"/>
      <c r="K1806" s="540"/>
      <c r="L1806" s="564"/>
      <c r="M1806" s="564"/>
      <c r="N1806" s="564"/>
    </row>
    <row r="1807" spans="1:18" x14ac:dyDescent="0.25">
      <c r="A1807" s="753"/>
      <c r="C1807" s="452" t="s">
        <v>174</v>
      </c>
      <c r="D1807" s="453">
        <f t="shared" si="134"/>
        <v>46052</v>
      </c>
      <c r="E1807" s="454" t="s">
        <v>170</v>
      </c>
      <c r="F1807" s="569" t="s">
        <v>5</v>
      </c>
      <c r="G1807" s="569" t="s">
        <v>1316</v>
      </c>
      <c r="H1807" s="569"/>
      <c r="I1807" s="540"/>
      <c r="J1807" s="540"/>
      <c r="K1807" s="540"/>
      <c r="L1807" s="564"/>
      <c r="M1807" s="564"/>
      <c r="N1807" s="564"/>
    </row>
    <row r="1808" spans="1:18" x14ac:dyDescent="0.25">
      <c r="A1808" s="753"/>
      <c r="C1808" s="452" t="s">
        <v>174</v>
      </c>
      <c r="D1808" s="453">
        <f t="shared" si="134"/>
        <v>46052</v>
      </c>
      <c r="E1808" s="454" t="s">
        <v>585</v>
      </c>
      <c r="F1808" s="512"/>
      <c r="G1808" s="512"/>
      <c r="H1808" s="512"/>
      <c r="I1808" s="541"/>
      <c r="J1808" s="541"/>
      <c r="K1808" s="541"/>
      <c r="L1808" s="556"/>
      <c r="M1808" s="556"/>
      <c r="N1808" s="556"/>
    </row>
    <row r="1809" spans="1:14" x14ac:dyDescent="0.25">
      <c r="A1809" s="753"/>
      <c r="C1809" s="452" t="s">
        <v>174</v>
      </c>
      <c r="D1809" s="449">
        <f t="shared" si="134"/>
        <v>46052</v>
      </c>
      <c r="E1809" s="454" t="s">
        <v>574</v>
      </c>
      <c r="F1809" s="569"/>
      <c r="G1809" s="569"/>
      <c r="H1809" s="569"/>
      <c r="I1809" s="540"/>
      <c r="J1809" s="540"/>
      <c r="K1809" s="540"/>
      <c r="L1809" s="565"/>
      <c r="M1809" s="565"/>
      <c r="N1809" s="565"/>
    </row>
    <row r="1810" spans="1:14" x14ac:dyDescent="0.25">
      <c r="A1810" s="753"/>
      <c r="C1810" s="452" t="s">
        <v>174</v>
      </c>
      <c r="D1810" s="449">
        <f t="shared" si="134"/>
        <v>46052</v>
      </c>
      <c r="E1810" s="454" t="s">
        <v>575</v>
      </c>
      <c r="F1810" s="569"/>
      <c r="G1810" s="569"/>
      <c r="H1810" s="569"/>
      <c r="I1810" s="540"/>
      <c r="J1810" s="540"/>
      <c r="K1810" s="540"/>
      <c r="L1810" s="565"/>
      <c r="M1810" s="565"/>
      <c r="N1810" s="565"/>
    </row>
    <row r="1811" spans="1:14" x14ac:dyDescent="0.25">
      <c r="A1811" s="753"/>
      <c r="C1811" s="452" t="s">
        <v>174</v>
      </c>
      <c r="D1811" s="449">
        <f t="shared" si="134"/>
        <v>46052</v>
      </c>
      <c r="E1811" s="454" t="s">
        <v>583</v>
      </c>
      <c r="F1811" s="569"/>
      <c r="G1811" s="569"/>
      <c r="H1811" s="569"/>
      <c r="I1811" s="540"/>
      <c r="J1811" s="540"/>
      <c r="K1811" s="540"/>
      <c r="L1811" s="565"/>
      <c r="M1811" s="565"/>
      <c r="N1811" s="565"/>
    </row>
    <row r="1812" spans="1:14" x14ac:dyDescent="0.25">
      <c r="A1812" s="753"/>
      <c r="C1812" s="452" t="s">
        <v>174</v>
      </c>
      <c r="D1812" s="449">
        <f t="shared" si="134"/>
        <v>46052</v>
      </c>
      <c r="E1812" s="454" t="s">
        <v>584</v>
      </c>
      <c r="F1812" s="505"/>
      <c r="G1812" s="505"/>
      <c r="H1812" s="505"/>
      <c r="I1812" s="516"/>
      <c r="J1812" s="516"/>
      <c r="K1812" s="516"/>
      <c r="L1812" s="557"/>
      <c r="M1812" s="557"/>
      <c r="N1812" s="557"/>
    </row>
    <row r="1813" spans="1:14" x14ac:dyDescent="0.25">
      <c r="A1813" s="753"/>
      <c r="C1813" s="452"/>
      <c r="D1813" s="449"/>
      <c r="E1813" s="454"/>
      <c r="F1813" s="505"/>
      <c r="G1813" s="505"/>
      <c r="H1813" s="505"/>
      <c r="I1813" s="516"/>
      <c r="J1813" s="516"/>
      <c r="K1813" s="516"/>
      <c r="L1813" s="557"/>
      <c r="M1813" s="557"/>
      <c r="N1813" s="557"/>
    </row>
    <row r="1814" spans="1:14" x14ac:dyDescent="0.25">
      <c r="A1814" s="753" t="s">
        <v>1306</v>
      </c>
      <c r="C1814" s="452" t="s">
        <v>161</v>
      </c>
      <c r="D1814" s="449">
        <v>46055</v>
      </c>
      <c r="E1814" s="455" t="s">
        <v>573</v>
      </c>
      <c r="F1814" s="505"/>
      <c r="G1814" s="505"/>
      <c r="H1814" s="505"/>
      <c r="I1814" s="516"/>
      <c r="J1814" s="516"/>
      <c r="K1814" s="516"/>
      <c r="L1814" s="557"/>
      <c r="M1814" s="557"/>
      <c r="N1814" s="557"/>
    </row>
    <row r="1815" spans="1:14" x14ac:dyDescent="0.25">
      <c r="A1815" s="753"/>
      <c r="C1815" s="452" t="s">
        <v>161</v>
      </c>
      <c r="D1815" s="449">
        <f t="shared" ref="D1815:D1829" si="135">D1814</f>
        <v>46055</v>
      </c>
      <c r="E1815" s="455" t="s">
        <v>162</v>
      </c>
      <c r="F1815" s="506" t="s">
        <v>5</v>
      </c>
      <c r="G1815" s="506"/>
      <c r="H1815" s="506"/>
      <c r="I1815" s="516"/>
      <c r="J1815" s="516"/>
      <c r="K1815" s="516"/>
      <c r="L1815" s="557"/>
      <c r="M1815" s="557"/>
      <c r="N1815" s="557"/>
    </row>
    <row r="1816" spans="1:14" x14ac:dyDescent="0.25">
      <c r="A1816" s="753"/>
      <c r="C1816" s="452" t="s">
        <v>161</v>
      </c>
      <c r="D1816" s="502">
        <f t="shared" si="135"/>
        <v>46055</v>
      </c>
      <c r="E1816" s="503" t="s">
        <v>163</v>
      </c>
      <c r="F1816" s="506" t="s">
        <v>5</v>
      </c>
      <c r="G1816" s="506"/>
      <c r="H1816" s="506"/>
      <c r="I1816" s="516"/>
      <c r="J1816" s="516"/>
      <c r="K1816" s="516"/>
      <c r="L1816" s="557"/>
      <c r="M1816" s="557"/>
      <c r="N1816" s="557"/>
    </row>
    <row r="1817" spans="1:14" ht="15.75" thickBot="1" x14ac:dyDescent="0.3">
      <c r="A1817" s="753"/>
      <c r="C1817" s="530" t="s">
        <v>161</v>
      </c>
      <c r="D1817" s="451">
        <f t="shared" si="135"/>
        <v>46055</v>
      </c>
      <c r="E1817" s="459" t="s">
        <v>164</v>
      </c>
      <c r="F1817" s="493" t="s">
        <v>1278</v>
      </c>
      <c r="G1817" s="493" t="s">
        <v>1320</v>
      </c>
      <c r="H1817" s="493"/>
      <c r="I1817" s="513"/>
      <c r="J1817" s="513"/>
      <c r="K1817" s="513"/>
      <c r="L1817" s="558"/>
      <c r="M1817" s="558"/>
      <c r="N1817" s="558"/>
    </row>
    <row r="1818" spans="1:14" x14ac:dyDescent="0.25">
      <c r="C1818" t="s">
        <v>161</v>
      </c>
      <c r="D1818">
        <f t="shared" si="135"/>
        <v>46055</v>
      </c>
      <c r="E1818" t="s">
        <v>165</v>
      </c>
      <c r="F1818" t="s">
        <v>1278</v>
      </c>
    </row>
    <row r="1819" spans="1:14" x14ac:dyDescent="0.25">
      <c r="C1819" t="s">
        <v>161</v>
      </c>
      <c r="D1819">
        <f t="shared" si="135"/>
        <v>46055</v>
      </c>
      <c r="E1819" t="s">
        <v>166</v>
      </c>
      <c r="F1819" t="s">
        <v>1278</v>
      </c>
    </row>
    <row r="1820" spans="1:14" x14ac:dyDescent="0.25">
      <c r="C1820" t="s">
        <v>161</v>
      </c>
      <c r="D1820">
        <f t="shared" si="135"/>
        <v>46055</v>
      </c>
      <c r="E1820" t="s">
        <v>576</v>
      </c>
    </row>
    <row r="1821" spans="1:14" x14ac:dyDescent="0.25">
      <c r="C1821" t="s">
        <v>161</v>
      </c>
      <c r="D1821">
        <f t="shared" si="135"/>
        <v>46055</v>
      </c>
      <c r="E1821" t="s">
        <v>167</v>
      </c>
    </row>
    <row r="1822" spans="1:14" x14ac:dyDescent="0.25">
      <c r="C1822" t="s">
        <v>161</v>
      </c>
      <c r="D1822">
        <f t="shared" si="135"/>
        <v>46055</v>
      </c>
      <c r="E1822" t="s">
        <v>168</v>
      </c>
      <c r="F1822" t="s">
        <v>1336</v>
      </c>
      <c r="G1822" t="s">
        <v>1320</v>
      </c>
    </row>
    <row r="1823" spans="1:14" x14ac:dyDescent="0.25">
      <c r="C1823" t="s">
        <v>161</v>
      </c>
      <c r="D1823">
        <f t="shared" si="135"/>
        <v>46055</v>
      </c>
      <c r="E1823" t="s">
        <v>169</v>
      </c>
    </row>
    <row r="1824" spans="1:14" x14ac:dyDescent="0.25">
      <c r="C1824" t="s">
        <v>161</v>
      </c>
      <c r="D1824">
        <f t="shared" si="135"/>
        <v>46055</v>
      </c>
      <c r="E1824" t="s">
        <v>170</v>
      </c>
      <c r="G1824" t="s">
        <v>1278</v>
      </c>
    </row>
    <row r="1825" spans="3:7" x14ac:dyDescent="0.25">
      <c r="C1825" t="s">
        <v>161</v>
      </c>
      <c r="D1825">
        <f t="shared" si="135"/>
        <v>46055</v>
      </c>
      <c r="E1825" t="s">
        <v>585</v>
      </c>
    </row>
    <row r="1826" spans="3:7" x14ac:dyDescent="0.25">
      <c r="C1826" t="s">
        <v>161</v>
      </c>
      <c r="D1826">
        <f t="shared" si="135"/>
        <v>46055</v>
      </c>
      <c r="E1826" t="s">
        <v>574</v>
      </c>
    </row>
    <row r="1827" spans="3:7" x14ac:dyDescent="0.25">
      <c r="C1827" t="s">
        <v>161</v>
      </c>
      <c r="D1827">
        <f t="shared" si="135"/>
        <v>46055</v>
      </c>
      <c r="E1827" t="s">
        <v>575</v>
      </c>
    </row>
    <row r="1828" spans="3:7" x14ac:dyDescent="0.25">
      <c r="C1828" t="s">
        <v>161</v>
      </c>
      <c r="D1828">
        <f t="shared" si="135"/>
        <v>46055</v>
      </c>
      <c r="E1828" t="s">
        <v>583</v>
      </c>
    </row>
    <row r="1829" spans="3:7" x14ac:dyDescent="0.25">
      <c r="C1829" t="s">
        <v>161</v>
      </c>
      <c r="D1829">
        <f t="shared" si="135"/>
        <v>46055</v>
      </c>
      <c r="E1829" t="s">
        <v>584</v>
      </c>
    </row>
    <row r="1831" spans="3:7" x14ac:dyDescent="0.25">
      <c r="C1831" t="s">
        <v>171</v>
      </c>
      <c r="D1831">
        <f>D1829+1</f>
        <v>46056</v>
      </c>
      <c r="E1831" t="s">
        <v>573</v>
      </c>
    </row>
    <row r="1832" spans="3:7" x14ac:dyDescent="0.25">
      <c r="C1832" t="s">
        <v>171</v>
      </c>
      <c r="D1832">
        <f t="shared" ref="D1832:D1846" si="136">D1831</f>
        <v>46056</v>
      </c>
      <c r="E1832" t="s">
        <v>162</v>
      </c>
      <c r="G1832" t="s">
        <v>1278</v>
      </c>
    </row>
    <row r="1833" spans="3:7" x14ac:dyDescent="0.25">
      <c r="C1833" t="s">
        <v>171</v>
      </c>
      <c r="D1833">
        <f t="shared" si="136"/>
        <v>46056</v>
      </c>
      <c r="E1833" t="s">
        <v>163</v>
      </c>
      <c r="F1833" t="s">
        <v>1336</v>
      </c>
      <c r="G1833" t="s">
        <v>1301</v>
      </c>
    </row>
    <row r="1834" spans="3:7" x14ac:dyDescent="0.25">
      <c r="C1834" t="s">
        <v>171</v>
      </c>
      <c r="D1834">
        <f t="shared" si="136"/>
        <v>46056</v>
      </c>
      <c r="E1834" t="s">
        <v>164</v>
      </c>
      <c r="G1834" t="s">
        <v>1301</v>
      </c>
    </row>
    <row r="1835" spans="3:7" x14ac:dyDescent="0.25">
      <c r="C1835" t="s">
        <v>171</v>
      </c>
      <c r="D1835">
        <f t="shared" si="136"/>
        <v>46056</v>
      </c>
      <c r="E1835" t="s">
        <v>165</v>
      </c>
      <c r="G1835" t="s">
        <v>1301</v>
      </c>
    </row>
    <row r="1836" spans="3:7" x14ac:dyDescent="0.25">
      <c r="C1836" t="s">
        <v>171</v>
      </c>
      <c r="D1836">
        <f t="shared" si="136"/>
        <v>46056</v>
      </c>
      <c r="E1836" t="s">
        <v>166</v>
      </c>
      <c r="G1836" t="s">
        <v>1301</v>
      </c>
    </row>
    <row r="1837" spans="3:7" x14ac:dyDescent="0.25">
      <c r="C1837" t="s">
        <v>171</v>
      </c>
      <c r="D1837">
        <f t="shared" si="136"/>
        <v>46056</v>
      </c>
      <c r="E1837" t="s">
        <v>576</v>
      </c>
    </row>
    <row r="1838" spans="3:7" x14ac:dyDescent="0.25">
      <c r="C1838" t="s">
        <v>171</v>
      </c>
      <c r="D1838">
        <f t="shared" si="136"/>
        <v>46056</v>
      </c>
      <c r="E1838" t="s">
        <v>167</v>
      </c>
      <c r="F1838" t="s">
        <v>1278</v>
      </c>
      <c r="G1838" t="s">
        <v>1301</v>
      </c>
    </row>
    <row r="1839" spans="3:7" x14ac:dyDescent="0.25">
      <c r="C1839" t="s">
        <v>171</v>
      </c>
      <c r="D1839">
        <f t="shared" si="136"/>
        <v>46056</v>
      </c>
      <c r="E1839" t="s">
        <v>168</v>
      </c>
      <c r="F1839" t="s">
        <v>1278</v>
      </c>
      <c r="G1839" t="s">
        <v>1301</v>
      </c>
    </row>
    <row r="1840" spans="3:7" x14ac:dyDescent="0.25">
      <c r="C1840" t="s">
        <v>171</v>
      </c>
      <c r="D1840">
        <f t="shared" si="136"/>
        <v>46056</v>
      </c>
      <c r="E1840" t="s">
        <v>169</v>
      </c>
      <c r="F1840" t="s">
        <v>1278</v>
      </c>
      <c r="G1840" t="s">
        <v>1301</v>
      </c>
    </row>
    <row r="1841" spans="3:7" x14ac:dyDescent="0.25">
      <c r="C1841" t="s">
        <v>171</v>
      </c>
      <c r="D1841">
        <f t="shared" si="136"/>
        <v>46056</v>
      </c>
      <c r="E1841" t="s">
        <v>170</v>
      </c>
      <c r="F1841" t="s">
        <v>1278</v>
      </c>
      <c r="G1841" t="s">
        <v>1301</v>
      </c>
    </row>
    <row r="1842" spans="3:7" x14ac:dyDescent="0.25">
      <c r="C1842" t="s">
        <v>171</v>
      </c>
      <c r="D1842">
        <f t="shared" si="136"/>
        <v>46056</v>
      </c>
      <c r="E1842" t="s">
        <v>585</v>
      </c>
    </row>
    <row r="1843" spans="3:7" x14ac:dyDescent="0.25">
      <c r="C1843" t="s">
        <v>171</v>
      </c>
      <c r="D1843">
        <f t="shared" si="136"/>
        <v>46056</v>
      </c>
      <c r="E1843" t="s">
        <v>574</v>
      </c>
    </row>
    <row r="1844" spans="3:7" x14ac:dyDescent="0.25">
      <c r="C1844" t="s">
        <v>171</v>
      </c>
      <c r="D1844">
        <f t="shared" si="136"/>
        <v>46056</v>
      </c>
      <c r="E1844" t="s">
        <v>575</v>
      </c>
    </row>
    <row r="1845" spans="3:7" x14ac:dyDescent="0.25">
      <c r="C1845" t="s">
        <v>171</v>
      </c>
      <c r="D1845">
        <f t="shared" si="136"/>
        <v>46056</v>
      </c>
      <c r="E1845" t="s">
        <v>583</v>
      </c>
    </row>
    <row r="1846" spans="3:7" x14ac:dyDescent="0.25">
      <c r="C1846" t="s">
        <v>171</v>
      </c>
      <c r="D1846">
        <f t="shared" si="136"/>
        <v>46056</v>
      </c>
      <c r="E1846" t="s">
        <v>584</v>
      </c>
    </row>
    <row r="1848" spans="3:7" x14ac:dyDescent="0.25">
      <c r="C1848" t="s">
        <v>172</v>
      </c>
      <c r="D1848">
        <f>D1846+1</f>
        <v>46057</v>
      </c>
      <c r="E1848" t="s">
        <v>573</v>
      </c>
    </row>
    <row r="1849" spans="3:7" x14ac:dyDescent="0.25">
      <c r="C1849" t="s">
        <v>172</v>
      </c>
      <c r="D1849">
        <f t="shared" ref="D1849:D1863" si="137">D1848</f>
        <v>46057</v>
      </c>
      <c r="E1849" t="s">
        <v>162</v>
      </c>
      <c r="F1849" t="s">
        <v>1278</v>
      </c>
      <c r="G1849" t="s">
        <v>1301</v>
      </c>
    </row>
    <row r="1850" spans="3:7" x14ac:dyDescent="0.25">
      <c r="C1850" t="s">
        <v>172</v>
      </c>
      <c r="D1850">
        <f t="shared" si="137"/>
        <v>46057</v>
      </c>
      <c r="E1850" t="s">
        <v>163</v>
      </c>
      <c r="F1850" t="s">
        <v>1278</v>
      </c>
      <c r="G1850" t="s">
        <v>1301</v>
      </c>
    </row>
    <row r="1851" spans="3:7" x14ac:dyDescent="0.25">
      <c r="C1851" t="s">
        <v>172</v>
      </c>
      <c r="D1851">
        <f t="shared" si="137"/>
        <v>46057</v>
      </c>
      <c r="E1851" t="s">
        <v>164</v>
      </c>
      <c r="F1851" t="s">
        <v>1278</v>
      </c>
      <c r="G1851" t="s">
        <v>1301</v>
      </c>
    </row>
    <row r="1852" spans="3:7" x14ac:dyDescent="0.25">
      <c r="C1852" t="s">
        <v>172</v>
      </c>
      <c r="D1852">
        <f t="shared" si="137"/>
        <v>46057</v>
      </c>
      <c r="E1852" t="s">
        <v>165</v>
      </c>
      <c r="F1852" t="s">
        <v>1278</v>
      </c>
      <c r="G1852" t="s">
        <v>1301</v>
      </c>
    </row>
    <row r="1853" spans="3:7" x14ac:dyDescent="0.25">
      <c r="C1853" t="s">
        <v>172</v>
      </c>
      <c r="D1853">
        <f t="shared" si="137"/>
        <v>46057</v>
      </c>
      <c r="E1853" t="s">
        <v>166</v>
      </c>
      <c r="F1853" t="s">
        <v>1302</v>
      </c>
      <c r="G1853" t="s">
        <v>1301</v>
      </c>
    </row>
    <row r="1854" spans="3:7" x14ac:dyDescent="0.25">
      <c r="C1854" t="s">
        <v>172</v>
      </c>
      <c r="D1854">
        <f t="shared" si="137"/>
        <v>46057</v>
      </c>
      <c r="E1854" t="s">
        <v>576</v>
      </c>
    </row>
    <row r="1855" spans="3:7" x14ac:dyDescent="0.25">
      <c r="C1855" t="s">
        <v>172</v>
      </c>
      <c r="D1855">
        <f t="shared" si="137"/>
        <v>46057</v>
      </c>
      <c r="E1855" t="s">
        <v>167</v>
      </c>
      <c r="F1855" t="s">
        <v>1302</v>
      </c>
    </row>
    <row r="1856" spans="3:7" x14ac:dyDescent="0.25">
      <c r="C1856" t="s">
        <v>172</v>
      </c>
      <c r="D1856">
        <f t="shared" si="137"/>
        <v>46057</v>
      </c>
      <c r="E1856" t="s">
        <v>168</v>
      </c>
      <c r="F1856" t="s">
        <v>1302</v>
      </c>
      <c r="G1856" t="s">
        <v>1337</v>
      </c>
    </row>
    <row r="1857" spans="3:7" x14ac:dyDescent="0.25">
      <c r="C1857" t="s">
        <v>172</v>
      </c>
      <c r="D1857">
        <f t="shared" si="137"/>
        <v>46057</v>
      </c>
      <c r="E1857" t="s">
        <v>169</v>
      </c>
      <c r="F1857" t="s">
        <v>1302</v>
      </c>
    </row>
    <row r="1858" spans="3:7" x14ac:dyDescent="0.25">
      <c r="C1858" t="s">
        <v>172</v>
      </c>
      <c r="D1858">
        <f t="shared" si="137"/>
        <v>46057</v>
      </c>
      <c r="E1858" t="s">
        <v>170</v>
      </c>
      <c r="F1858" t="s">
        <v>1302</v>
      </c>
    </row>
    <row r="1859" spans="3:7" x14ac:dyDescent="0.25">
      <c r="C1859" t="s">
        <v>172</v>
      </c>
      <c r="D1859">
        <f t="shared" si="137"/>
        <v>46057</v>
      </c>
      <c r="E1859" t="s">
        <v>585</v>
      </c>
    </row>
    <row r="1860" spans="3:7" x14ac:dyDescent="0.25">
      <c r="C1860" t="s">
        <v>172</v>
      </c>
      <c r="D1860">
        <f t="shared" si="137"/>
        <v>46057</v>
      </c>
      <c r="E1860" t="s">
        <v>574</v>
      </c>
    </row>
    <row r="1861" spans="3:7" x14ac:dyDescent="0.25">
      <c r="C1861" t="s">
        <v>172</v>
      </c>
      <c r="D1861">
        <f t="shared" si="137"/>
        <v>46057</v>
      </c>
      <c r="E1861" t="s">
        <v>575</v>
      </c>
    </row>
    <row r="1862" spans="3:7" x14ac:dyDescent="0.25">
      <c r="C1862" t="s">
        <v>172</v>
      </c>
      <c r="D1862">
        <f t="shared" si="137"/>
        <v>46057</v>
      </c>
      <c r="E1862" t="s">
        <v>583</v>
      </c>
    </row>
    <row r="1863" spans="3:7" x14ac:dyDescent="0.25">
      <c r="C1863" t="s">
        <v>172</v>
      </c>
      <c r="D1863">
        <f t="shared" si="137"/>
        <v>46057</v>
      </c>
      <c r="E1863" t="s">
        <v>584</v>
      </c>
    </row>
    <row r="1865" spans="3:7" x14ac:dyDescent="0.25">
      <c r="C1865" t="s">
        <v>173</v>
      </c>
      <c r="D1865">
        <f>D1863+1</f>
        <v>46058</v>
      </c>
      <c r="E1865" t="s">
        <v>573</v>
      </c>
    </row>
    <row r="1866" spans="3:7" x14ac:dyDescent="0.25">
      <c r="C1866" t="s">
        <v>173</v>
      </c>
      <c r="D1866">
        <f t="shared" ref="D1866:D1880" si="138">D1865</f>
        <v>46058</v>
      </c>
      <c r="E1866" t="s">
        <v>162</v>
      </c>
      <c r="F1866" t="s">
        <v>1302</v>
      </c>
      <c r="G1866" t="s">
        <v>1338</v>
      </c>
    </row>
    <row r="1867" spans="3:7" x14ac:dyDescent="0.25">
      <c r="C1867" t="s">
        <v>173</v>
      </c>
      <c r="D1867">
        <f t="shared" si="138"/>
        <v>46058</v>
      </c>
      <c r="E1867" t="s">
        <v>163</v>
      </c>
      <c r="F1867" t="s">
        <v>1302</v>
      </c>
      <c r="G1867" t="s">
        <v>1338</v>
      </c>
    </row>
    <row r="1868" spans="3:7" x14ac:dyDescent="0.25">
      <c r="C1868" t="s">
        <v>173</v>
      </c>
      <c r="D1868">
        <f t="shared" si="138"/>
        <v>46058</v>
      </c>
      <c r="E1868" t="s">
        <v>164</v>
      </c>
      <c r="F1868" t="s">
        <v>1302</v>
      </c>
      <c r="G1868" t="s">
        <v>1301</v>
      </c>
    </row>
    <row r="1869" spans="3:7" x14ac:dyDescent="0.25">
      <c r="C1869" t="s">
        <v>173</v>
      </c>
      <c r="D1869">
        <f t="shared" si="138"/>
        <v>46058</v>
      </c>
      <c r="E1869" t="s">
        <v>165</v>
      </c>
      <c r="F1869" t="s">
        <v>1302</v>
      </c>
      <c r="G1869" t="s">
        <v>1303</v>
      </c>
    </row>
    <row r="1870" spans="3:7" x14ac:dyDescent="0.25">
      <c r="C1870" t="s">
        <v>173</v>
      </c>
      <c r="D1870">
        <f t="shared" si="138"/>
        <v>46058</v>
      </c>
      <c r="E1870" t="s">
        <v>166</v>
      </c>
      <c r="F1870" t="s">
        <v>1302</v>
      </c>
      <c r="G1870" t="s">
        <v>1303</v>
      </c>
    </row>
    <row r="1871" spans="3:7" x14ac:dyDescent="0.25">
      <c r="C1871" t="s">
        <v>173</v>
      </c>
      <c r="D1871">
        <f t="shared" si="138"/>
        <v>46058</v>
      </c>
      <c r="E1871" t="s">
        <v>576</v>
      </c>
    </row>
    <row r="1872" spans="3:7" x14ac:dyDescent="0.25">
      <c r="C1872" t="s">
        <v>173</v>
      </c>
      <c r="D1872">
        <f t="shared" si="138"/>
        <v>46058</v>
      </c>
      <c r="E1872" t="s">
        <v>167</v>
      </c>
      <c r="F1872" t="s">
        <v>1302</v>
      </c>
      <c r="G1872" t="s">
        <v>1303</v>
      </c>
    </row>
    <row r="1873" spans="3:7" x14ac:dyDescent="0.25">
      <c r="C1873" t="s">
        <v>173</v>
      </c>
      <c r="D1873">
        <f t="shared" si="138"/>
        <v>46058</v>
      </c>
      <c r="E1873" t="s">
        <v>168</v>
      </c>
      <c r="F1873" t="s">
        <v>1302</v>
      </c>
      <c r="G1873" t="s">
        <v>1303</v>
      </c>
    </row>
    <row r="1874" spans="3:7" x14ac:dyDescent="0.25">
      <c r="C1874" t="s">
        <v>173</v>
      </c>
      <c r="D1874">
        <f t="shared" si="138"/>
        <v>46058</v>
      </c>
      <c r="E1874" t="s">
        <v>169</v>
      </c>
      <c r="F1874" t="s">
        <v>1302</v>
      </c>
      <c r="G1874" t="s">
        <v>1303</v>
      </c>
    </row>
    <row r="1875" spans="3:7" x14ac:dyDescent="0.25">
      <c r="C1875" t="s">
        <v>173</v>
      </c>
      <c r="D1875">
        <f t="shared" si="138"/>
        <v>46058</v>
      </c>
      <c r="E1875" t="s">
        <v>170</v>
      </c>
      <c r="F1875" t="s">
        <v>1302</v>
      </c>
      <c r="G1875" t="s">
        <v>1303</v>
      </c>
    </row>
    <row r="1876" spans="3:7" x14ac:dyDescent="0.25">
      <c r="C1876" t="s">
        <v>173</v>
      </c>
      <c r="D1876">
        <f t="shared" si="138"/>
        <v>46058</v>
      </c>
      <c r="E1876" t="s">
        <v>585</v>
      </c>
    </row>
    <row r="1877" spans="3:7" x14ac:dyDescent="0.25">
      <c r="C1877" t="s">
        <v>173</v>
      </c>
      <c r="D1877">
        <f t="shared" si="138"/>
        <v>46058</v>
      </c>
      <c r="E1877" t="s">
        <v>574</v>
      </c>
    </row>
    <row r="1878" spans="3:7" x14ac:dyDescent="0.25">
      <c r="C1878" t="s">
        <v>173</v>
      </c>
      <c r="D1878">
        <f t="shared" si="138"/>
        <v>46058</v>
      </c>
      <c r="E1878" t="s">
        <v>575</v>
      </c>
    </row>
    <row r="1879" spans="3:7" x14ac:dyDescent="0.25">
      <c r="C1879" t="s">
        <v>173</v>
      </c>
      <c r="D1879">
        <f t="shared" si="138"/>
        <v>46058</v>
      </c>
      <c r="E1879" t="s">
        <v>583</v>
      </c>
    </row>
    <row r="1880" spans="3:7" x14ac:dyDescent="0.25">
      <c r="C1880" t="s">
        <v>173</v>
      </c>
      <c r="D1880">
        <f t="shared" si="138"/>
        <v>46058</v>
      </c>
      <c r="E1880" t="s">
        <v>584</v>
      </c>
    </row>
    <row r="1882" spans="3:7" x14ac:dyDescent="0.25">
      <c r="C1882" t="s">
        <v>174</v>
      </c>
      <c r="D1882">
        <f>D1880+1</f>
        <v>46059</v>
      </c>
      <c r="E1882" t="s">
        <v>573</v>
      </c>
    </row>
    <row r="1883" spans="3:7" x14ac:dyDescent="0.25">
      <c r="C1883" t="s">
        <v>174</v>
      </c>
      <c r="D1883">
        <f t="shared" ref="D1883:D1897" si="139">D1882</f>
        <v>46059</v>
      </c>
      <c r="E1883" t="s">
        <v>162</v>
      </c>
      <c r="F1883" t="s">
        <v>582</v>
      </c>
      <c r="G1883" t="s">
        <v>1303</v>
      </c>
    </row>
    <row r="1884" spans="3:7" x14ac:dyDescent="0.25">
      <c r="C1884" t="s">
        <v>174</v>
      </c>
      <c r="D1884">
        <f t="shared" si="139"/>
        <v>46059</v>
      </c>
      <c r="E1884" t="s">
        <v>163</v>
      </c>
      <c r="F1884" t="s">
        <v>582</v>
      </c>
      <c r="G1884" t="s">
        <v>1303</v>
      </c>
    </row>
    <row r="1885" spans="3:7" x14ac:dyDescent="0.25">
      <c r="C1885" t="s">
        <v>174</v>
      </c>
      <c r="D1885">
        <f t="shared" si="139"/>
        <v>46059</v>
      </c>
      <c r="E1885" t="s">
        <v>164</v>
      </c>
      <c r="F1885" t="s">
        <v>582</v>
      </c>
      <c r="G1885" t="s">
        <v>1303</v>
      </c>
    </row>
    <row r="1886" spans="3:7" x14ac:dyDescent="0.25">
      <c r="C1886" t="s">
        <v>174</v>
      </c>
      <c r="D1886">
        <f t="shared" si="139"/>
        <v>46059</v>
      </c>
      <c r="E1886" t="s">
        <v>165</v>
      </c>
      <c r="F1886" t="s">
        <v>582</v>
      </c>
      <c r="G1886" t="s">
        <v>1303</v>
      </c>
    </row>
    <row r="1887" spans="3:7" x14ac:dyDescent="0.25">
      <c r="C1887" t="s">
        <v>174</v>
      </c>
      <c r="D1887">
        <f t="shared" si="139"/>
        <v>46059</v>
      </c>
      <c r="E1887" t="s">
        <v>166</v>
      </c>
      <c r="F1887" t="s">
        <v>582</v>
      </c>
      <c r="G1887" t="s">
        <v>1303</v>
      </c>
    </row>
    <row r="1888" spans="3:7" x14ac:dyDescent="0.25">
      <c r="C1888" t="s">
        <v>174</v>
      </c>
      <c r="D1888">
        <f t="shared" si="139"/>
        <v>46059</v>
      </c>
      <c r="E1888" t="s">
        <v>576</v>
      </c>
    </row>
    <row r="1889" spans="1:18" x14ac:dyDescent="0.25">
      <c r="C1889" t="s">
        <v>174</v>
      </c>
      <c r="D1889">
        <f t="shared" si="139"/>
        <v>46059</v>
      </c>
      <c r="E1889" t="s">
        <v>167</v>
      </c>
      <c r="F1889" t="s">
        <v>582</v>
      </c>
      <c r="G1889" t="s">
        <v>1303</v>
      </c>
    </row>
    <row r="1890" spans="1:18" x14ac:dyDescent="0.25">
      <c r="C1890" t="s">
        <v>174</v>
      </c>
      <c r="D1890">
        <f t="shared" si="139"/>
        <v>46059</v>
      </c>
      <c r="E1890" t="s">
        <v>168</v>
      </c>
      <c r="F1890" t="s">
        <v>582</v>
      </c>
      <c r="G1890" t="s">
        <v>1303</v>
      </c>
    </row>
    <row r="1891" spans="1:18" x14ac:dyDescent="0.25">
      <c r="C1891" t="s">
        <v>174</v>
      </c>
      <c r="D1891">
        <f t="shared" si="139"/>
        <v>46059</v>
      </c>
      <c r="E1891" t="s">
        <v>169</v>
      </c>
      <c r="F1891" t="s">
        <v>582</v>
      </c>
      <c r="G1891" t="s">
        <v>1303</v>
      </c>
    </row>
    <row r="1892" spans="1:18" x14ac:dyDescent="0.25">
      <c r="C1892" t="s">
        <v>174</v>
      </c>
      <c r="D1892">
        <f t="shared" si="139"/>
        <v>46059</v>
      </c>
      <c r="E1892" t="s">
        <v>170</v>
      </c>
      <c r="F1892" t="s">
        <v>582</v>
      </c>
      <c r="G1892" t="s">
        <v>1019</v>
      </c>
    </row>
    <row r="1893" spans="1:18" x14ac:dyDescent="0.25">
      <c r="C1893" t="s">
        <v>174</v>
      </c>
      <c r="D1893">
        <f t="shared" si="139"/>
        <v>46059</v>
      </c>
      <c r="E1893" t="s">
        <v>585</v>
      </c>
    </row>
    <row r="1894" spans="1:18" x14ac:dyDescent="0.25">
      <c r="C1894" t="s">
        <v>174</v>
      </c>
      <c r="D1894">
        <f t="shared" si="139"/>
        <v>46059</v>
      </c>
      <c r="E1894" t="s">
        <v>574</v>
      </c>
    </row>
    <row r="1895" spans="1:18" x14ac:dyDescent="0.25">
      <c r="C1895" t="s">
        <v>174</v>
      </c>
      <c r="D1895">
        <f t="shared" si="139"/>
        <v>46059</v>
      </c>
      <c r="E1895" t="s">
        <v>575</v>
      </c>
    </row>
    <row r="1896" spans="1:18" x14ac:dyDescent="0.25">
      <c r="C1896" t="s">
        <v>174</v>
      </c>
      <c r="D1896">
        <f t="shared" si="139"/>
        <v>46059</v>
      </c>
      <c r="E1896" t="s">
        <v>583</v>
      </c>
    </row>
    <row r="1897" spans="1:18" x14ac:dyDescent="0.25">
      <c r="C1897" t="s">
        <v>174</v>
      </c>
      <c r="D1897">
        <f t="shared" si="139"/>
        <v>46059</v>
      </c>
      <c r="E1897" t="s">
        <v>584</v>
      </c>
    </row>
    <row r="1898" spans="1:18" ht="15.75" thickBot="1" x14ac:dyDescent="0.3"/>
    <row r="1899" spans="1:18" ht="15" customHeight="1" thickBot="1" x14ac:dyDescent="0.3">
      <c r="A1899" s="753" t="s">
        <v>1307</v>
      </c>
      <c r="C1899" s="538" t="s">
        <v>161</v>
      </c>
      <c r="D1899" s="539">
        <v>46062</v>
      </c>
      <c r="E1899" s="539" t="s">
        <v>573</v>
      </c>
      <c r="F1899" s="539"/>
      <c r="G1899" s="539"/>
      <c r="H1899" s="539"/>
      <c r="I1899" s="543"/>
      <c r="J1899" s="542"/>
      <c r="K1899" s="544"/>
      <c r="L1899" s="560"/>
      <c r="M1899" s="561"/>
      <c r="N1899" s="562"/>
      <c r="O1899" s="548"/>
      <c r="P1899" s="549"/>
      <c r="Q1899" s="3"/>
      <c r="R1899" s="3"/>
    </row>
    <row r="1900" spans="1:18" x14ac:dyDescent="0.25">
      <c r="A1900" s="753"/>
      <c r="C1900" s="496" t="s">
        <v>161</v>
      </c>
      <c r="D1900" s="507">
        <f t="shared" ref="D1900:D1914" si="140">D1899</f>
        <v>46062</v>
      </c>
      <c r="E1900" s="498" t="s">
        <v>162</v>
      </c>
      <c r="F1900" s="514" t="s">
        <v>582</v>
      </c>
      <c r="G1900" s="514" t="s">
        <v>1351</v>
      </c>
      <c r="H1900" s="515"/>
      <c r="I1900" s="537"/>
      <c r="J1900" s="537"/>
      <c r="K1900" s="537"/>
      <c r="L1900" s="563"/>
      <c r="M1900" s="563"/>
      <c r="N1900" s="563"/>
    </row>
    <row r="1901" spans="1:18" x14ac:dyDescent="0.25">
      <c r="A1901" s="753"/>
      <c r="C1901" s="525" t="s">
        <v>161</v>
      </c>
      <c r="D1901" s="499">
        <f t="shared" si="140"/>
        <v>46062</v>
      </c>
      <c r="E1901" s="500" t="s">
        <v>163</v>
      </c>
      <c r="F1901" s="460" t="s">
        <v>582</v>
      </c>
      <c r="G1901" s="460" t="s">
        <v>1351</v>
      </c>
      <c r="H1901" s="460"/>
      <c r="I1901" s="540"/>
      <c r="J1901" s="540"/>
      <c r="K1901" s="540"/>
      <c r="L1901" s="555"/>
      <c r="M1901" s="555"/>
      <c r="N1901" s="555"/>
    </row>
    <row r="1902" spans="1:18" x14ac:dyDescent="0.25">
      <c r="A1902" s="753"/>
      <c r="C1902" s="526" t="s">
        <v>161</v>
      </c>
      <c r="D1902" s="449">
        <f t="shared" si="140"/>
        <v>46062</v>
      </c>
      <c r="E1902" s="454" t="s">
        <v>164</v>
      </c>
      <c r="F1902" s="460" t="s">
        <v>582</v>
      </c>
      <c r="G1902" s="460" t="s">
        <v>1351</v>
      </c>
      <c r="H1902" s="460"/>
      <c r="I1902" s="540"/>
      <c r="J1902" s="540"/>
      <c r="K1902" s="540"/>
      <c r="L1902" s="564"/>
      <c r="M1902" s="564"/>
      <c r="N1902" s="564"/>
    </row>
    <row r="1903" spans="1:18" x14ac:dyDescent="0.25">
      <c r="A1903" s="753"/>
      <c r="C1903" s="526" t="s">
        <v>161</v>
      </c>
      <c r="D1903" s="449">
        <f t="shared" si="140"/>
        <v>46062</v>
      </c>
      <c r="E1903" s="454" t="s">
        <v>165</v>
      </c>
      <c r="F1903" s="460" t="s">
        <v>582</v>
      </c>
      <c r="G1903" s="460" t="s">
        <v>1351</v>
      </c>
      <c r="H1903" s="460"/>
      <c r="I1903" s="540"/>
      <c r="J1903" s="540"/>
      <c r="K1903" s="540"/>
      <c r="L1903" s="564"/>
      <c r="M1903" s="564"/>
      <c r="N1903" s="564"/>
    </row>
    <row r="1904" spans="1:18" x14ac:dyDescent="0.25">
      <c r="A1904" s="753"/>
      <c r="C1904" s="526" t="s">
        <v>161</v>
      </c>
      <c r="D1904" s="449">
        <f t="shared" si="140"/>
        <v>46062</v>
      </c>
      <c r="E1904" s="454" t="s">
        <v>166</v>
      </c>
      <c r="F1904" s="460" t="s">
        <v>582</v>
      </c>
      <c r="G1904" s="460" t="s">
        <v>1322</v>
      </c>
      <c r="H1904" s="460"/>
      <c r="I1904" s="540"/>
      <c r="J1904" s="540"/>
      <c r="K1904" s="540"/>
      <c r="L1904" s="564"/>
      <c r="M1904" s="564"/>
      <c r="N1904" s="564"/>
    </row>
    <row r="1905" spans="1:18" x14ac:dyDescent="0.25">
      <c r="A1905" s="753"/>
      <c r="C1905" s="526" t="s">
        <v>161</v>
      </c>
      <c r="D1905" s="449">
        <f t="shared" si="140"/>
        <v>46062</v>
      </c>
      <c r="E1905" s="454" t="s">
        <v>576</v>
      </c>
      <c r="F1905" s="460"/>
      <c r="G1905" s="460"/>
      <c r="H1905" s="460"/>
      <c r="I1905" s="540"/>
      <c r="J1905" s="540"/>
      <c r="K1905" s="540"/>
      <c r="L1905" s="564"/>
      <c r="M1905" s="564"/>
      <c r="N1905" s="564"/>
    </row>
    <row r="1906" spans="1:18" x14ac:dyDescent="0.25">
      <c r="A1906" s="753"/>
      <c r="C1906" s="526" t="s">
        <v>161</v>
      </c>
      <c r="D1906" s="449">
        <f t="shared" si="140"/>
        <v>46062</v>
      </c>
      <c r="E1906" s="454" t="s">
        <v>167</v>
      </c>
      <c r="F1906" s="512" t="s">
        <v>1323</v>
      </c>
      <c r="G1906" s="512" t="s">
        <v>1322</v>
      </c>
      <c r="H1906" s="505"/>
      <c r="I1906" s="554"/>
      <c r="J1906" s="541"/>
      <c r="K1906" s="541"/>
      <c r="L1906" s="556"/>
      <c r="M1906" s="556"/>
      <c r="N1906" s="556"/>
    </row>
    <row r="1907" spans="1:18" x14ac:dyDescent="0.25">
      <c r="A1907" s="753"/>
      <c r="C1907" s="527" t="s">
        <v>161</v>
      </c>
      <c r="D1907" s="449">
        <f t="shared" si="140"/>
        <v>46062</v>
      </c>
      <c r="E1907" s="454" t="s">
        <v>168</v>
      </c>
      <c r="F1907" s="460" t="s">
        <v>1323</v>
      </c>
      <c r="G1907" s="460" t="s">
        <v>1322</v>
      </c>
      <c r="H1907" s="460"/>
      <c r="I1907" s="540"/>
      <c r="J1907" s="540"/>
      <c r="K1907" s="540"/>
      <c r="L1907" s="565"/>
      <c r="M1907" s="565"/>
      <c r="N1907" s="565"/>
    </row>
    <row r="1908" spans="1:18" x14ac:dyDescent="0.25">
      <c r="A1908" s="753"/>
      <c r="C1908" s="527" t="s">
        <v>161</v>
      </c>
      <c r="D1908" s="449">
        <f t="shared" si="140"/>
        <v>46062</v>
      </c>
      <c r="E1908" s="454" t="s">
        <v>169</v>
      </c>
      <c r="F1908" s="460" t="s">
        <v>1323</v>
      </c>
      <c r="G1908" s="460" t="s">
        <v>1322</v>
      </c>
      <c r="H1908" s="461"/>
      <c r="I1908" s="540"/>
      <c r="J1908" s="540"/>
      <c r="K1908" s="540"/>
      <c r="L1908" s="565"/>
      <c r="M1908" s="565"/>
      <c r="N1908" s="565"/>
    </row>
    <row r="1909" spans="1:18" x14ac:dyDescent="0.25">
      <c r="A1909" s="753"/>
      <c r="C1909" s="527" t="s">
        <v>161</v>
      </c>
      <c r="D1909" s="449">
        <f t="shared" si="140"/>
        <v>46062</v>
      </c>
      <c r="E1909" s="454" t="s">
        <v>170</v>
      </c>
      <c r="F1909" s="460" t="s">
        <v>1323</v>
      </c>
      <c r="G1909" s="460" t="s">
        <v>1322</v>
      </c>
      <c r="H1909" s="461"/>
      <c r="I1909" s="540"/>
      <c r="J1909" s="540"/>
      <c r="K1909" s="540"/>
      <c r="L1909" s="565"/>
      <c r="M1909" s="565"/>
      <c r="N1909" s="565"/>
    </row>
    <row r="1910" spans="1:18" x14ac:dyDescent="0.25">
      <c r="A1910" s="753"/>
      <c r="C1910" s="527" t="s">
        <v>161</v>
      </c>
      <c r="D1910" s="449">
        <f t="shared" si="140"/>
        <v>46062</v>
      </c>
      <c r="E1910" s="454" t="s">
        <v>585</v>
      </c>
      <c r="F1910" s="460"/>
      <c r="G1910" s="460"/>
      <c r="H1910" s="504"/>
      <c r="I1910" s="540"/>
      <c r="J1910" s="540"/>
      <c r="K1910" s="540"/>
      <c r="L1910" s="566"/>
      <c r="M1910" s="566"/>
      <c r="N1910" s="566"/>
    </row>
    <row r="1911" spans="1:18" x14ac:dyDescent="0.25">
      <c r="A1911" s="753"/>
      <c r="C1911" s="527" t="s">
        <v>161</v>
      </c>
      <c r="D1911" s="449">
        <f t="shared" si="140"/>
        <v>46062</v>
      </c>
      <c r="E1911" s="454" t="s">
        <v>574</v>
      </c>
      <c r="F1911" s="505"/>
      <c r="G1911" s="516"/>
      <c r="H1911" s="516"/>
      <c r="I1911" s="516"/>
      <c r="J1911" s="516"/>
      <c r="K1911" s="516"/>
      <c r="L1911" s="557"/>
      <c r="M1911" s="557"/>
      <c r="N1911" s="557"/>
    </row>
    <row r="1912" spans="1:18" x14ac:dyDescent="0.25">
      <c r="A1912" s="753"/>
      <c r="C1912" s="527" t="s">
        <v>161</v>
      </c>
      <c r="D1912" s="449">
        <f t="shared" si="140"/>
        <v>46062</v>
      </c>
      <c r="E1912" s="455" t="s">
        <v>575</v>
      </c>
      <c r="F1912" s="505"/>
      <c r="G1912" s="516"/>
      <c r="H1912" s="516"/>
      <c r="I1912" s="516"/>
      <c r="J1912" s="516"/>
      <c r="K1912" s="516"/>
      <c r="L1912" s="557"/>
      <c r="M1912" s="557"/>
      <c r="N1912" s="557"/>
    </row>
    <row r="1913" spans="1:18" x14ac:dyDescent="0.25">
      <c r="A1913" s="753"/>
      <c r="C1913" s="527" t="s">
        <v>161</v>
      </c>
      <c r="D1913" s="449">
        <f t="shared" si="140"/>
        <v>46062</v>
      </c>
      <c r="E1913" s="455" t="s">
        <v>583</v>
      </c>
      <c r="F1913" s="506"/>
      <c r="G1913" s="506"/>
      <c r="H1913" s="516"/>
      <c r="I1913" s="516"/>
      <c r="J1913" s="516"/>
      <c r="K1913" s="516"/>
      <c r="L1913" s="557"/>
      <c r="M1913" s="557"/>
      <c r="N1913" s="557"/>
    </row>
    <row r="1914" spans="1:18" x14ac:dyDescent="0.25">
      <c r="A1914" s="753"/>
      <c r="C1914" s="527" t="s">
        <v>161</v>
      </c>
      <c r="D1914" s="449">
        <f t="shared" si="140"/>
        <v>46062</v>
      </c>
      <c r="E1914" s="503" t="s">
        <v>584</v>
      </c>
      <c r="F1914" s="506"/>
      <c r="G1914" s="506"/>
      <c r="H1914" s="516"/>
      <c r="I1914" s="516"/>
      <c r="J1914" s="516"/>
      <c r="K1914" s="516"/>
      <c r="L1914" s="557"/>
      <c r="M1914" s="557"/>
      <c r="N1914" s="557"/>
    </row>
    <row r="1915" spans="1:18" ht="15.75" thickBot="1" x14ac:dyDescent="0.3">
      <c r="A1915" s="753"/>
      <c r="C1915" s="528"/>
      <c r="D1915" s="451"/>
      <c r="E1915" s="459"/>
      <c r="F1915" s="493"/>
      <c r="G1915" s="493"/>
      <c r="H1915" s="513"/>
      <c r="I1915" s="513"/>
      <c r="J1915" s="513"/>
      <c r="K1915" s="513"/>
      <c r="L1915" s="558"/>
      <c r="M1915" s="558"/>
      <c r="N1915" s="558"/>
    </row>
    <row r="1916" spans="1:18" ht="4.5" customHeight="1" thickBot="1" x14ac:dyDescent="0.3">
      <c r="A1916" s="753"/>
      <c r="C1916" t="s">
        <v>171</v>
      </c>
      <c r="D1916">
        <f>D1914+1</f>
        <v>46063</v>
      </c>
      <c r="E1916" t="s">
        <v>573</v>
      </c>
      <c r="L1916" s="559"/>
      <c r="M1916" s="559"/>
      <c r="N1916" s="559"/>
      <c r="Q1916" s="3"/>
      <c r="R1916" s="3"/>
    </row>
    <row r="1917" spans="1:18" ht="15" customHeight="1" thickBot="1" x14ac:dyDescent="0.3">
      <c r="A1917" s="753"/>
      <c r="C1917" s="538" t="s">
        <v>171</v>
      </c>
      <c r="D1917" s="539">
        <f t="shared" ref="D1917:D1931" si="141">D1916</f>
        <v>46063</v>
      </c>
      <c r="E1917" s="539" t="s">
        <v>162</v>
      </c>
      <c r="F1917" s="539" t="s">
        <v>1323</v>
      </c>
      <c r="G1917" s="539" t="s">
        <v>1019</v>
      </c>
      <c r="H1917" s="539"/>
      <c r="I1917" s="543"/>
      <c r="J1917" s="542"/>
      <c r="K1917" s="544"/>
      <c r="L1917" s="560"/>
      <c r="M1917" s="561"/>
      <c r="N1917" s="562"/>
      <c r="O1917" s="548"/>
      <c r="P1917" s="549"/>
      <c r="Q1917" s="3"/>
      <c r="R1917" s="3"/>
    </row>
    <row r="1918" spans="1:18" x14ac:dyDescent="0.25">
      <c r="A1918" s="753"/>
      <c r="C1918" s="446" t="s">
        <v>171</v>
      </c>
      <c r="D1918" s="497">
        <f t="shared" si="141"/>
        <v>46063</v>
      </c>
      <c r="E1918" s="498" t="s">
        <v>163</v>
      </c>
      <c r="F1918" s="514" t="s">
        <v>1323</v>
      </c>
      <c r="G1918" s="514" t="s">
        <v>1019</v>
      </c>
      <c r="H1918" s="515" t="s">
        <v>1353</v>
      </c>
      <c r="I1918" s="537"/>
      <c r="J1918" s="537"/>
      <c r="K1918" s="537"/>
      <c r="L1918" s="563"/>
      <c r="M1918" s="563"/>
      <c r="N1918" s="563"/>
    </row>
    <row r="1919" spans="1:18" x14ac:dyDescent="0.25">
      <c r="A1919" s="753"/>
      <c r="C1919" s="452" t="s">
        <v>171</v>
      </c>
      <c r="D1919" s="499">
        <f t="shared" si="141"/>
        <v>46063</v>
      </c>
      <c r="E1919" s="500" t="s">
        <v>164</v>
      </c>
      <c r="F1919" s="460" t="s">
        <v>1323</v>
      </c>
      <c r="G1919" s="460" t="s">
        <v>1019</v>
      </c>
      <c r="H1919" s="501"/>
      <c r="I1919" s="540"/>
      <c r="J1919" s="540"/>
      <c r="K1919" s="540"/>
      <c r="L1919" s="555"/>
      <c r="M1919" s="555"/>
      <c r="N1919" s="555"/>
    </row>
    <row r="1920" spans="1:18" x14ac:dyDescent="0.25">
      <c r="A1920" s="753"/>
      <c r="C1920" s="452" t="s">
        <v>171</v>
      </c>
      <c r="D1920" s="449">
        <f t="shared" si="141"/>
        <v>46063</v>
      </c>
      <c r="E1920" s="454" t="s">
        <v>165</v>
      </c>
      <c r="F1920" s="460" t="s">
        <v>1323</v>
      </c>
      <c r="G1920" s="460" t="s">
        <v>1019</v>
      </c>
      <c r="H1920" s="460"/>
      <c r="I1920" s="540"/>
      <c r="J1920" s="540"/>
      <c r="K1920" s="540"/>
      <c r="L1920" s="564"/>
      <c r="M1920" s="564"/>
      <c r="N1920" s="564"/>
    </row>
    <row r="1921" spans="1:18" x14ac:dyDescent="0.25">
      <c r="A1921" s="753"/>
      <c r="C1921" s="452" t="s">
        <v>171</v>
      </c>
      <c r="D1921" s="449">
        <f t="shared" si="141"/>
        <v>46063</v>
      </c>
      <c r="E1921" s="454" t="s">
        <v>166</v>
      </c>
      <c r="F1921" s="460" t="s">
        <v>1323</v>
      </c>
      <c r="G1921" s="460" t="s">
        <v>1019</v>
      </c>
      <c r="H1921" s="460"/>
      <c r="I1921" s="540"/>
      <c r="J1921" s="540"/>
      <c r="K1921" s="540"/>
      <c r="L1921" s="564"/>
      <c r="M1921" s="564"/>
      <c r="N1921" s="564"/>
    </row>
    <row r="1922" spans="1:18" x14ac:dyDescent="0.25">
      <c r="A1922" s="753"/>
      <c r="C1922" s="452" t="s">
        <v>171</v>
      </c>
      <c r="D1922" s="449">
        <f t="shared" si="141"/>
        <v>46063</v>
      </c>
      <c r="E1922" s="454" t="s">
        <v>576</v>
      </c>
      <c r="F1922" s="460"/>
      <c r="G1922" s="460"/>
      <c r="H1922" s="460"/>
      <c r="I1922" s="540"/>
      <c r="J1922" s="540"/>
      <c r="K1922" s="540"/>
      <c r="L1922" s="564"/>
      <c r="M1922" s="564"/>
      <c r="N1922" s="564"/>
    </row>
    <row r="1923" spans="1:18" x14ac:dyDescent="0.25">
      <c r="A1923" s="753"/>
      <c r="C1923" s="452" t="s">
        <v>171</v>
      </c>
      <c r="D1923" s="449">
        <f t="shared" si="141"/>
        <v>46063</v>
      </c>
      <c r="E1923" s="454" t="s">
        <v>167</v>
      </c>
      <c r="F1923" s="460" t="s">
        <v>1323</v>
      </c>
      <c r="G1923" s="460" t="s">
        <v>1344</v>
      </c>
      <c r="H1923" s="460"/>
      <c r="I1923" s="540"/>
      <c r="J1923" s="540"/>
      <c r="K1923" s="540"/>
      <c r="L1923" s="564"/>
      <c r="M1923" s="564"/>
      <c r="N1923" s="564"/>
    </row>
    <row r="1924" spans="1:18" x14ac:dyDescent="0.25">
      <c r="A1924" s="753"/>
      <c r="C1924" s="452" t="s">
        <v>171</v>
      </c>
      <c r="D1924" s="449">
        <f t="shared" si="141"/>
        <v>46063</v>
      </c>
      <c r="E1924" s="454" t="s">
        <v>168</v>
      </c>
      <c r="F1924" s="517" t="s">
        <v>1323</v>
      </c>
      <c r="G1924" s="512" t="s">
        <v>1344</v>
      </c>
      <c r="H1924" s="505"/>
      <c r="I1924" s="554"/>
      <c r="J1924" s="541"/>
      <c r="K1924" s="541"/>
      <c r="L1924" s="556"/>
      <c r="M1924" s="556"/>
      <c r="N1924" s="556"/>
    </row>
    <row r="1925" spans="1:18" x14ac:dyDescent="0.25">
      <c r="A1925" s="753"/>
      <c r="C1925" s="452" t="s">
        <v>171</v>
      </c>
      <c r="D1925" s="449">
        <f t="shared" si="141"/>
        <v>46063</v>
      </c>
      <c r="E1925" s="454" t="s">
        <v>169</v>
      </c>
      <c r="F1925" s="460" t="s">
        <v>1323</v>
      </c>
      <c r="G1925" s="460" t="s">
        <v>1344</v>
      </c>
      <c r="H1925" s="461"/>
      <c r="I1925" s="540"/>
      <c r="J1925" s="540"/>
      <c r="K1925" s="540"/>
      <c r="L1925" s="565"/>
      <c r="M1925" s="565"/>
      <c r="N1925" s="565"/>
    </row>
    <row r="1926" spans="1:18" x14ac:dyDescent="0.25">
      <c r="A1926" s="753"/>
      <c r="C1926" s="452" t="s">
        <v>171</v>
      </c>
      <c r="D1926" s="449">
        <f t="shared" si="141"/>
        <v>46063</v>
      </c>
      <c r="E1926" s="454" t="s">
        <v>170</v>
      </c>
      <c r="F1926" s="460" t="s">
        <v>1323</v>
      </c>
      <c r="G1926" s="460" t="s">
        <v>1344</v>
      </c>
      <c r="H1926" s="461"/>
      <c r="I1926" s="540"/>
      <c r="J1926" s="540"/>
      <c r="K1926" s="540"/>
      <c r="L1926" s="565"/>
      <c r="M1926" s="565"/>
      <c r="N1926" s="565"/>
    </row>
    <row r="1927" spans="1:18" x14ac:dyDescent="0.25">
      <c r="A1927" s="753"/>
      <c r="C1927" s="452" t="s">
        <v>171</v>
      </c>
      <c r="D1927" s="449">
        <f t="shared" si="141"/>
        <v>46063</v>
      </c>
      <c r="E1927" s="454" t="s">
        <v>585</v>
      </c>
      <c r="F1927" s="460"/>
      <c r="G1927" s="460"/>
      <c r="H1927" s="461"/>
      <c r="I1927" s="540"/>
      <c r="J1927" s="540"/>
      <c r="K1927" s="540"/>
      <c r="L1927" s="565"/>
      <c r="M1927" s="565"/>
      <c r="N1927" s="565"/>
    </row>
    <row r="1928" spans="1:18" x14ac:dyDescent="0.25">
      <c r="A1928" s="753"/>
      <c r="C1928" s="452" t="s">
        <v>171</v>
      </c>
      <c r="D1928" s="449">
        <f t="shared" si="141"/>
        <v>46063</v>
      </c>
      <c r="E1928" s="454" t="s">
        <v>574</v>
      </c>
      <c r="F1928" s="460"/>
      <c r="G1928" s="460"/>
      <c r="H1928" s="504"/>
      <c r="I1928" s="540"/>
      <c r="J1928" s="540"/>
      <c r="K1928" s="540"/>
      <c r="L1928" s="566"/>
      <c r="M1928" s="566"/>
      <c r="N1928" s="566"/>
    </row>
    <row r="1929" spans="1:18" x14ac:dyDescent="0.25">
      <c r="A1929" s="753"/>
      <c r="C1929" s="452" t="s">
        <v>171</v>
      </c>
      <c r="D1929" s="449">
        <f t="shared" si="141"/>
        <v>46063</v>
      </c>
      <c r="E1929" s="454" t="s">
        <v>575</v>
      </c>
      <c r="F1929" s="505"/>
      <c r="G1929" s="505"/>
      <c r="H1929" s="516"/>
      <c r="I1929" s="516"/>
      <c r="J1929" s="516"/>
      <c r="K1929" s="516"/>
      <c r="L1929" s="557"/>
      <c r="M1929" s="557"/>
      <c r="N1929" s="557"/>
    </row>
    <row r="1930" spans="1:18" x14ac:dyDescent="0.25">
      <c r="A1930" s="753"/>
      <c r="C1930" s="448" t="s">
        <v>171</v>
      </c>
      <c r="D1930" s="449">
        <f t="shared" si="141"/>
        <v>46063</v>
      </c>
      <c r="E1930" s="455" t="s">
        <v>583</v>
      </c>
      <c r="F1930" s="505"/>
      <c r="G1930" s="505"/>
      <c r="H1930" s="516"/>
      <c r="I1930" s="516"/>
      <c r="J1930" s="516"/>
      <c r="K1930" s="516"/>
      <c r="L1930" s="557"/>
      <c r="M1930" s="557"/>
      <c r="N1930" s="557"/>
    </row>
    <row r="1931" spans="1:18" x14ac:dyDescent="0.25">
      <c r="A1931" s="753"/>
      <c r="C1931" s="448" t="s">
        <v>171</v>
      </c>
      <c r="D1931" s="449">
        <f t="shared" si="141"/>
        <v>46063</v>
      </c>
      <c r="E1931" s="455" t="s">
        <v>584</v>
      </c>
      <c r="F1931" s="506"/>
      <c r="G1931" s="506"/>
      <c r="H1931" s="516"/>
      <c r="I1931" s="516"/>
      <c r="J1931" s="516"/>
      <c r="K1931" s="516"/>
      <c r="L1931" s="557"/>
      <c r="M1931" s="557"/>
      <c r="N1931" s="557"/>
    </row>
    <row r="1932" spans="1:18" x14ac:dyDescent="0.25">
      <c r="A1932" s="753"/>
      <c r="C1932" s="448"/>
      <c r="D1932" s="449"/>
      <c r="E1932" s="503"/>
      <c r="F1932" s="506"/>
      <c r="G1932" s="506"/>
      <c r="H1932" s="516"/>
      <c r="I1932" s="516"/>
      <c r="J1932" s="516"/>
      <c r="K1932" s="516"/>
      <c r="L1932" s="557"/>
      <c r="M1932" s="557"/>
      <c r="N1932" s="557"/>
    </row>
    <row r="1933" spans="1:18" ht="15.75" thickBot="1" x14ac:dyDescent="0.3">
      <c r="A1933" s="753"/>
      <c r="C1933" s="450" t="s">
        <v>172</v>
      </c>
      <c r="D1933" s="451">
        <f>D1931+1</f>
        <v>46064</v>
      </c>
      <c r="E1933" s="459" t="s">
        <v>573</v>
      </c>
      <c r="F1933" s="493"/>
      <c r="G1933" s="493"/>
      <c r="H1933" s="513"/>
      <c r="I1933" s="513"/>
      <c r="J1933" s="513"/>
      <c r="K1933" s="513"/>
      <c r="L1933" s="558"/>
      <c r="M1933" s="558"/>
      <c r="N1933" s="558"/>
    </row>
    <row r="1934" spans="1:18" ht="4.5" customHeight="1" thickBot="1" x14ac:dyDescent="0.3">
      <c r="A1934" s="753"/>
      <c r="C1934" t="s">
        <v>172</v>
      </c>
      <c r="D1934">
        <f t="shared" ref="D1934:D1948" si="142">D1933</f>
        <v>46064</v>
      </c>
      <c r="E1934" t="s">
        <v>162</v>
      </c>
      <c r="F1934" t="s">
        <v>1323</v>
      </c>
      <c r="G1934" t="s">
        <v>1344</v>
      </c>
      <c r="L1934" s="559"/>
      <c r="M1934" s="559"/>
      <c r="N1934" s="559"/>
      <c r="Q1934" s="3"/>
      <c r="R1934" s="3"/>
    </row>
    <row r="1935" spans="1:18" ht="15" customHeight="1" thickBot="1" x14ac:dyDescent="0.3">
      <c r="A1935" s="753"/>
      <c r="C1935" s="538" t="s">
        <v>172</v>
      </c>
      <c r="D1935" s="539">
        <f t="shared" si="142"/>
        <v>46064</v>
      </c>
      <c r="E1935" s="539" t="s">
        <v>163</v>
      </c>
      <c r="F1935" s="539" t="s">
        <v>1323</v>
      </c>
      <c r="G1935" s="539" t="s">
        <v>1344</v>
      </c>
      <c r="H1935" s="539"/>
      <c r="I1935" s="543"/>
      <c r="J1935" s="542"/>
      <c r="K1935" s="544"/>
      <c r="L1935" s="560"/>
      <c r="M1935" s="561"/>
      <c r="N1935" s="562"/>
      <c r="O1935" s="548"/>
      <c r="P1935" s="549"/>
      <c r="Q1935" s="3"/>
      <c r="R1935" s="3"/>
    </row>
    <row r="1936" spans="1:18" x14ac:dyDescent="0.25">
      <c r="A1936" s="753"/>
      <c r="C1936" s="446" t="s">
        <v>172</v>
      </c>
      <c r="D1936" s="497">
        <f t="shared" si="142"/>
        <v>46064</v>
      </c>
      <c r="E1936" s="498" t="s">
        <v>164</v>
      </c>
      <c r="F1936" s="514" t="s">
        <v>1344</v>
      </c>
      <c r="G1936" s="514" t="s">
        <v>1344</v>
      </c>
      <c r="H1936" s="515"/>
      <c r="I1936" s="537"/>
      <c r="J1936" s="537"/>
      <c r="K1936" s="537"/>
      <c r="L1936" s="563"/>
      <c r="M1936" s="563"/>
      <c r="N1936" s="563"/>
    </row>
    <row r="1937" spans="1:18" x14ac:dyDescent="0.25">
      <c r="A1937" s="753"/>
      <c r="C1937" s="452" t="s">
        <v>172</v>
      </c>
      <c r="D1937" s="499">
        <f t="shared" si="142"/>
        <v>46064</v>
      </c>
      <c r="E1937" s="500" t="s">
        <v>165</v>
      </c>
      <c r="F1937" s="460" t="s">
        <v>1344</v>
      </c>
      <c r="G1937" s="460" t="s">
        <v>1344</v>
      </c>
      <c r="H1937" s="501"/>
      <c r="I1937" s="540"/>
      <c r="J1937" s="540"/>
      <c r="K1937" s="540"/>
      <c r="L1937" s="555"/>
      <c r="M1937" s="555"/>
      <c r="N1937" s="555"/>
    </row>
    <row r="1938" spans="1:18" x14ac:dyDescent="0.25">
      <c r="A1938" s="753"/>
      <c r="C1938" s="452" t="s">
        <v>172</v>
      </c>
      <c r="D1938" s="449">
        <f t="shared" si="142"/>
        <v>46064</v>
      </c>
      <c r="E1938" s="454" t="s">
        <v>166</v>
      </c>
      <c r="F1938" s="460" t="s">
        <v>1344</v>
      </c>
      <c r="G1938" s="460" t="s">
        <v>1344</v>
      </c>
      <c r="H1938" s="460"/>
      <c r="I1938" s="540"/>
      <c r="J1938" s="540"/>
      <c r="K1938" s="540"/>
      <c r="L1938" s="564"/>
      <c r="M1938" s="564"/>
      <c r="N1938" s="564"/>
    </row>
    <row r="1939" spans="1:18" x14ac:dyDescent="0.25">
      <c r="A1939" s="753"/>
      <c r="C1939" s="452" t="s">
        <v>172</v>
      </c>
      <c r="D1939" s="449">
        <f t="shared" si="142"/>
        <v>46064</v>
      </c>
      <c r="E1939" s="454" t="s">
        <v>576</v>
      </c>
      <c r="F1939" s="460"/>
      <c r="G1939" s="460"/>
      <c r="H1939" s="460"/>
      <c r="I1939" s="540"/>
      <c r="J1939" s="540"/>
      <c r="K1939" s="540"/>
      <c r="L1939" s="564"/>
      <c r="M1939" s="564"/>
      <c r="N1939" s="564"/>
    </row>
    <row r="1940" spans="1:18" x14ac:dyDescent="0.25">
      <c r="A1940" s="753"/>
      <c r="C1940" s="452" t="s">
        <v>172</v>
      </c>
      <c r="D1940" s="449">
        <f t="shared" si="142"/>
        <v>46064</v>
      </c>
      <c r="E1940" s="454" t="s">
        <v>167</v>
      </c>
      <c r="F1940" s="460" t="s">
        <v>1344</v>
      </c>
      <c r="G1940" s="460" t="s">
        <v>1326</v>
      </c>
      <c r="H1940" s="460"/>
      <c r="I1940" s="540"/>
      <c r="J1940" s="540"/>
      <c r="K1940" s="540"/>
      <c r="L1940" s="564"/>
      <c r="M1940" s="564"/>
      <c r="N1940" s="564"/>
    </row>
    <row r="1941" spans="1:18" x14ac:dyDescent="0.25">
      <c r="A1941" s="753"/>
      <c r="C1941" s="452" t="s">
        <v>172</v>
      </c>
      <c r="D1941" s="449">
        <f t="shared" si="142"/>
        <v>46064</v>
      </c>
      <c r="E1941" s="454" t="s">
        <v>168</v>
      </c>
      <c r="F1941" s="460" t="s">
        <v>1344</v>
      </c>
      <c r="G1941" s="460" t="s">
        <v>1326</v>
      </c>
      <c r="H1941" s="460"/>
      <c r="I1941" s="540"/>
      <c r="J1941" s="540"/>
      <c r="K1941" s="540"/>
      <c r="L1941" s="564"/>
      <c r="M1941" s="564"/>
      <c r="N1941" s="564"/>
    </row>
    <row r="1942" spans="1:18" x14ac:dyDescent="0.25">
      <c r="A1942" s="753"/>
      <c r="C1942" s="452" t="s">
        <v>172</v>
      </c>
      <c r="D1942" s="449">
        <f t="shared" si="142"/>
        <v>46064</v>
      </c>
      <c r="E1942" s="454" t="s">
        <v>169</v>
      </c>
      <c r="F1942" s="517" t="s">
        <v>1344</v>
      </c>
      <c r="G1942" s="512" t="s">
        <v>1326</v>
      </c>
      <c r="H1942" s="505"/>
      <c r="I1942" s="541"/>
      <c r="J1942" s="541"/>
      <c r="K1942" s="541"/>
      <c r="L1942" s="556"/>
      <c r="M1942" s="556"/>
      <c r="N1942" s="556"/>
    </row>
    <row r="1943" spans="1:18" x14ac:dyDescent="0.25">
      <c r="A1943" s="753"/>
      <c r="C1943" s="452" t="s">
        <v>172</v>
      </c>
      <c r="D1943" s="449">
        <f t="shared" si="142"/>
        <v>46064</v>
      </c>
      <c r="E1943" s="454" t="s">
        <v>170</v>
      </c>
      <c r="F1943" s="460" t="s">
        <v>1344</v>
      </c>
      <c r="G1943" s="460" t="s">
        <v>1326</v>
      </c>
      <c r="H1943" s="461"/>
      <c r="I1943" s="540"/>
      <c r="J1943" s="540"/>
      <c r="K1943" s="540"/>
      <c r="L1943" s="565"/>
      <c r="M1943" s="565"/>
      <c r="N1943" s="565"/>
    </row>
    <row r="1944" spans="1:18" x14ac:dyDescent="0.25">
      <c r="A1944" s="753"/>
      <c r="C1944" s="452" t="s">
        <v>172</v>
      </c>
      <c r="D1944" s="449">
        <f t="shared" si="142"/>
        <v>46064</v>
      </c>
      <c r="E1944" s="454" t="s">
        <v>585</v>
      </c>
      <c r="F1944" s="460"/>
      <c r="G1944" s="460"/>
      <c r="H1944" s="461"/>
      <c r="I1944" s="540"/>
      <c r="J1944" s="540"/>
      <c r="K1944" s="540"/>
      <c r="L1944" s="565"/>
      <c r="M1944" s="565"/>
      <c r="N1944" s="565"/>
    </row>
    <row r="1945" spans="1:18" x14ac:dyDescent="0.25">
      <c r="A1945" s="753"/>
      <c r="C1945" s="452" t="s">
        <v>172</v>
      </c>
      <c r="D1945" s="449">
        <f t="shared" si="142"/>
        <v>46064</v>
      </c>
      <c r="E1945" s="454" t="s">
        <v>574</v>
      </c>
      <c r="F1945" s="460"/>
      <c r="G1945" s="460"/>
      <c r="H1945" s="461"/>
      <c r="I1945" s="540"/>
      <c r="J1945" s="540"/>
      <c r="K1945" s="540"/>
      <c r="L1945" s="565"/>
      <c r="M1945" s="565"/>
      <c r="N1945" s="565"/>
    </row>
    <row r="1946" spans="1:18" x14ac:dyDescent="0.25">
      <c r="A1946" s="753"/>
      <c r="C1946" s="452" t="s">
        <v>172</v>
      </c>
      <c r="D1946" s="449">
        <f t="shared" si="142"/>
        <v>46064</v>
      </c>
      <c r="E1946" s="454" t="s">
        <v>575</v>
      </c>
      <c r="F1946" s="460"/>
      <c r="G1946" s="460"/>
      <c r="H1946" s="504"/>
      <c r="I1946" s="540"/>
      <c r="J1946" s="540"/>
      <c r="K1946" s="540"/>
      <c r="L1946" s="565"/>
      <c r="M1946" s="566"/>
      <c r="N1946" s="566"/>
    </row>
    <row r="1947" spans="1:18" x14ac:dyDescent="0.25">
      <c r="A1947" s="753"/>
      <c r="C1947" s="452" t="s">
        <v>172</v>
      </c>
      <c r="D1947" s="449">
        <f t="shared" si="142"/>
        <v>46064</v>
      </c>
      <c r="E1947" s="454" t="s">
        <v>583</v>
      </c>
      <c r="F1947" s="505"/>
      <c r="G1947" s="505"/>
      <c r="H1947" s="516"/>
      <c r="I1947" s="516"/>
      <c r="J1947" s="516"/>
      <c r="K1947" s="516"/>
      <c r="L1947" s="557"/>
      <c r="M1947" s="557"/>
      <c r="N1947" s="557"/>
    </row>
    <row r="1948" spans="1:18" x14ac:dyDescent="0.25">
      <c r="A1948" s="753"/>
      <c r="C1948" s="448" t="s">
        <v>172</v>
      </c>
      <c r="D1948" s="449">
        <f t="shared" si="142"/>
        <v>46064</v>
      </c>
      <c r="E1948" s="455" t="s">
        <v>584</v>
      </c>
      <c r="F1948" s="505"/>
      <c r="G1948" s="505"/>
      <c r="H1948" s="516"/>
      <c r="I1948" s="516"/>
      <c r="J1948" s="516"/>
      <c r="K1948" s="516"/>
      <c r="L1948" s="557"/>
      <c r="M1948" s="557"/>
      <c r="N1948" s="557"/>
    </row>
    <row r="1949" spans="1:18" x14ac:dyDescent="0.25">
      <c r="A1949" s="753"/>
      <c r="C1949" s="448"/>
      <c r="D1949" s="449"/>
      <c r="E1949" s="455"/>
      <c r="F1949" s="506"/>
      <c r="G1949" s="506"/>
      <c r="H1949" s="516"/>
      <c r="I1949" s="516"/>
      <c r="J1949" s="516"/>
      <c r="K1949" s="516"/>
      <c r="L1949" s="557"/>
      <c r="M1949" s="557"/>
      <c r="N1949" s="557"/>
    </row>
    <row r="1950" spans="1:18" x14ac:dyDescent="0.25">
      <c r="A1950" s="753"/>
      <c r="C1950" s="448" t="s">
        <v>173</v>
      </c>
      <c r="D1950" s="449">
        <f>D1948+1</f>
        <v>46065</v>
      </c>
      <c r="E1950" s="503" t="s">
        <v>573</v>
      </c>
      <c r="F1950" s="506"/>
      <c r="G1950" s="506"/>
      <c r="H1950" s="516"/>
      <c r="I1950" s="516"/>
      <c r="J1950" s="516"/>
      <c r="K1950" s="516"/>
      <c r="L1950" s="557"/>
      <c r="M1950" s="557"/>
      <c r="N1950" s="557"/>
    </row>
    <row r="1951" spans="1:18" ht="15.75" thickBot="1" x14ac:dyDescent="0.3">
      <c r="A1951" s="753"/>
      <c r="C1951" s="450" t="s">
        <v>173</v>
      </c>
      <c r="D1951" s="451">
        <f t="shared" ref="D1951:D1965" si="143">D1950</f>
        <v>46065</v>
      </c>
      <c r="E1951" s="459" t="s">
        <v>162</v>
      </c>
      <c r="F1951" s="493" t="s">
        <v>375</v>
      </c>
      <c r="G1951" s="493" t="s">
        <v>1326</v>
      </c>
      <c r="H1951" s="513"/>
      <c r="I1951" s="513"/>
      <c r="J1951" s="513"/>
      <c r="K1951" s="513"/>
      <c r="L1951" s="558"/>
      <c r="M1951" s="558"/>
      <c r="N1951" s="558"/>
    </row>
    <row r="1952" spans="1:18" ht="4.5" customHeight="1" thickBot="1" x14ac:dyDescent="0.3">
      <c r="A1952" s="753"/>
      <c r="C1952" t="s">
        <v>173</v>
      </c>
      <c r="D1952">
        <f t="shared" si="143"/>
        <v>46065</v>
      </c>
      <c r="E1952" t="s">
        <v>163</v>
      </c>
      <c r="F1952" t="s">
        <v>375</v>
      </c>
      <c r="G1952" t="s">
        <v>1326</v>
      </c>
      <c r="L1952" s="559"/>
      <c r="M1952" s="559"/>
      <c r="N1952" s="559"/>
      <c r="Q1952" s="3"/>
      <c r="R1952" s="3"/>
    </row>
    <row r="1953" spans="1:18" ht="15" customHeight="1" thickBot="1" x14ac:dyDescent="0.3">
      <c r="A1953" s="753"/>
      <c r="C1953" s="538" t="s">
        <v>173</v>
      </c>
      <c r="D1953" s="539">
        <f t="shared" si="143"/>
        <v>46065</v>
      </c>
      <c r="E1953" s="539" t="s">
        <v>164</v>
      </c>
      <c r="F1953" s="539" t="s">
        <v>375</v>
      </c>
      <c r="G1953" s="539" t="s">
        <v>1326</v>
      </c>
      <c r="H1953" s="539"/>
      <c r="I1953" s="543"/>
      <c r="J1953" s="542"/>
      <c r="K1953" s="544"/>
      <c r="L1953" s="560"/>
      <c r="M1953" s="561"/>
      <c r="N1953" s="562"/>
      <c r="O1953" s="548"/>
      <c r="P1953" s="549"/>
      <c r="Q1953" s="3"/>
      <c r="R1953" s="3"/>
    </row>
    <row r="1954" spans="1:18" x14ac:dyDescent="0.25">
      <c r="A1954" s="753"/>
      <c r="C1954" s="529" t="s">
        <v>173</v>
      </c>
      <c r="D1954" s="447">
        <f t="shared" si="143"/>
        <v>46065</v>
      </c>
      <c r="E1954" s="498" t="s">
        <v>165</v>
      </c>
      <c r="F1954" s="514" t="s">
        <v>375</v>
      </c>
      <c r="G1954" s="514" t="s">
        <v>1326</v>
      </c>
      <c r="H1954" s="515"/>
      <c r="I1954" s="537"/>
      <c r="J1954" s="537"/>
      <c r="K1954" s="537"/>
      <c r="L1954" s="563"/>
      <c r="M1954" s="563"/>
      <c r="N1954" s="563"/>
    </row>
    <row r="1955" spans="1:18" x14ac:dyDescent="0.25">
      <c r="A1955" s="753"/>
      <c r="C1955" s="452" t="s">
        <v>173</v>
      </c>
      <c r="D1955" s="453">
        <f t="shared" si="143"/>
        <v>46065</v>
      </c>
      <c r="E1955" s="500" t="s">
        <v>166</v>
      </c>
      <c r="F1955" s="460" t="s">
        <v>375</v>
      </c>
      <c r="G1955" s="460" t="s">
        <v>1326</v>
      </c>
      <c r="H1955" s="501"/>
      <c r="I1955" s="540"/>
      <c r="J1955" s="540"/>
      <c r="K1955" s="540"/>
      <c r="L1955" s="555"/>
      <c r="M1955" s="555"/>
      <c r="N1955" s="555"/>
    </row>
    <row r="1956" spans="1:18" x14ac:dyDescent="0.25">
      <c r="A1956" s="753"/>
      <c r="C1956" s="452" t="s">
        <v>173</v>
      </c>
      <c r="D1956" s="453">
        <f t="shared" si="143"/>
        <v>46065</v>
      </c>
      <c r="E1956" s="454" t="s">
        <v>576</v>
      </c>
      <c r="F1956" s="460"/>
      <c r="G1956" s="460"/>
      <c r="H1956" s="460"/>
      <c r="I1956" s="540"/>
      <c r="J1956" s="540"/>
      <c r="K1956" s="540"/>
      <c r="L1956" s="564"/>
      <c r="M1956" s="564"/>
      <c r="N1956" s="564"/>
    </row>
    <row r="1957" spans="1:18" x14ac:dyDescent="0.25">
      <c r="A1957" s="753"/>
      <c r="C1957" s="452" t="s">
        <v>173</v>
      </c>
      <c r="D1957" s="453">
        <f t="shared" si="143"/>
        <v>46065</v>
      </c>
      <c r="E1957" s="454" t="s">
        <v>167</v>
      </c>
      <c r="F1957" s="460" t="s">
        <v>375</v>
      </c>
      <c r="G1957" s="460" t="s">
        <v>1372</v>
      </c>
      <c r="H1957" s="460"/>
      <c r="I1957" s="540"/>
      <c r="J1957" s="540"/>
      <c r="K1957" s="540"/>
      <c r="L1957" s="564"/>
      <c r="M1957" s="564"/>
      <c r="N1957" s="564"/>
    </row>
    <row r="1958" spans="1:18" x14ac:dyDescent="0.25">
      <c r="A1958" s="753"/>
      <c r="C1958" s="452" t="s">
        <v>173</v>
      </c>
      <c r="D1958" s="453">
        <f t="shared" si="143"/>
        <v>46065</v>
      </c>
      <c r="E1958" s="454" t="s">
        <v>168</v>
      </c>
      <c r="F1958" s="460" t="s">
        <v>375</v>
      </c>
      <c r="G1958" s="460" t="s">
        <v>1372</v>
      </c>
      <c r="H1958" s="460"/>
      <c r="I1958" s="540"/>
      <c r="J1958" s="540"/>
      <c r="K1958" s="540"/>
      <c r="L1958" s="564"/>
      <c r="M1958" s="564"/>
      <c r="N1958" s="564"/>
    </row>
    <row r="1959" spans="1:18" x14ac:dyDescent="0.25">
      <c r="A1959" s="753"/>
      <c r="C1959" s="452" t="s">
        <v>173</v>
      </c>
      <c r="D1959" s="453">
        <f t="shared" si="143"/>
        <v>46065</v>
      </c>
      <c r="E1959" s="454" t="s">
        <v>169</v>
      </c>
      <c r="F1959" s="460" t="s">
        <v>375</v>
      </c>
      <c r="G1959" s="460" t="s">
        <v>1372</v>
      </c>
      <c r="H1959" s="460"/>
      <c r="I1959" s="540"/>
      <c r="J1959" s="540"/>
      <c r="K1959" s="540"/>
      <c r="L1959" s="564"/>
      <c r="M1959" s="564"/>
      <c r="N1959" s="564"/>
    </row>
    <row r="1960" spans="1:18" x14ac:dyDescent="0.25">
      <c r="A1960" s="753"/>
      <c r="C1960" s="452" t="s">
        <v>173</v>
      </c>
      <c r="D1960" s="453">
        <f t="shared" si="143"/>
        <v>46065</v>
      </c>
      <c r="E1960" s="454" t="s">
        <v>170</v>
      </c>
      <c r="F1960" s="517" t="s">
        <v>375</v>
      </c>
      <c r="G1960" s="512" t="s">
        <v>1372</v>
      </c>
      <c r="H1960" s="505"/>
      <c r="I1960" s="541"/>
      <c r="J1960" s="541"/>
      <c r="K1960" s="541"/>
      <c r="L1960" s="556"/>
      <c r="M1960" s="556"/>
      <c r="N1960" s="556"/>
    </row>
    <row r="1961" spans="1:18" x14ac:dyDescent="0.25">
      <c r="A1961" s="753"/>
      <c r="C1961" s="452" t="s">
        <v>173</v>
      </c>
      <c r="D1961" s="449">
        <f t="shared" si="143"/>
        <v>46065</v>
      </c>
      <c r="E1961" s="454" t="s">
        <v>585</v>
      </c>
      <c r="F1961" s="460"/>
      <c r="G1961" s="460"/>
      <c r="H1961" s="461"/>
      <c r="I1961" s="540"/>
      <c r="J1961" s="540"/>
      <c r="K1961" s="540"/>
      <c r="L1961" s="565"/>
      <c r="M1961" s="565"/>
      <c r="N1961" s="565"/>
    </row>
    <row r="1962" spans="1:18" x14ac:dyDescent="0.25">
      <c r="A1962" s="753"/>
      <c r="C1962" s="452" t="s">
        <v>173</v>
      </c>
      <c r="D1962" s="449">
        <f t="shared" si="143"/>
        <v>46065</v>
      </c>
      <c r="E1962" s="454" t="s">
        <v>574</v>
      </c>
      <c r="F1962" s="460"/>
      <c r="G1962" s="460"/>
      <c r="H1962" s="461"/>
      <c r="I1962" s="540"/>
      <c r="J1962" s="540"/>
      <c r="K1962" s="540"/>
      <c r="L1962" s="565"/>
      <c r="M1962" s="565"/>
      <c r="N1962" s="565"/>
    </row>
    <row r="1963" spans="1:18" x14ac:dyDescent="0.25">
      <c r="A1963" s="753"/>
      <c r="C1963" s="452" t="s">
        <v>173</v>
      </c>
      <c r="D1963" s="449">
        <f t="shared" si="143"/>
        <v>46065</v>
      </c>
      <c r="E1963" s="454" t="s">
        <v>575</v>
      </c>
      <c r="F1963" s="460"/>
      <c r="G1963" s="460"/>
      <c r="H1963" s="461"/>
      <c r="I1963" s="540"/>
      <c r="J1963" s="540"/>
      <c r="K1963" s="540"/>
      <c r="L1963" s="565"/>
      <c r="M1963" s="565"/>
      <c r="N1963" s="565"/>
    </row>
    <row r="1964" spans="1:18" x14ac:dyDescent="0.25">
      <c r="A1964" s="753"/>
      <c r="C1964" s="452" t="s">
        <v>173</v>
      </c>
      <c r="D1964" s="449">
        <f t="shared" si="143"/>
        <v>46065</v>
      </c>
      <c r="E1964" s="454" t="s">
        <v>583</v>
      </c>
      <c r="F1964" s="460"/>
      <c r="G1964" s="460"/>
      <c r="H1964" s="504"/>
      <c r="I1964" s="545"/>
      <c r="J1964" s="540"/>
      <c r="K1964" s="540"/>
      <c r="L1964" s="566"/>
      <c r="M1964" s="566"/>
      <c r="N1964" s="566"/>
    </row>
    <row r="1965" spans="1:18" x14ac:dyDescent="0.25">
      <c r="A1965" s="753"/>
      <c r="C1965" s="452" t="s">
        <v>173</v>
      </c>
      <c r="D1965" s="449">
        <f t="shared" si="143"/>
        <v>46065</v>
      </c>
      <c r="E1965" s="454" t="s">
        <v>584</v>
      </c>
      <c r="F1965" s="505"/>
      <c r="G1965" s="505"/>
      <c r="H1965" s="516"/>
      <c r="I1965" s="516"/>
      <c r="J1965" s="516"/>
      <c r="K1965" s="516"/>
      <c r="L1965" s="557"/>
      <c r="M1965" s="557"/>
      <c r="N1965" s="557"/>
    </row>
    <row r="1966" spans="1:18" x14ac:dyDescent="0.25">
      <c r="A1966" s="753"/>
      <c r="C1966" s="452"/>
      <c r="D1966" s="449"/>
      <c r="E1966" s="455"/>
      <c r="F1966" s="505"/>
      <c r="G1966" s="505"/>
      <c r="H1966" s="516"/>
      <c r="I1966" s="516"/>
      <c r="J1966" s="516"/>
      <c r="K1966" s="516"/>
      <c r="L1966" s="557"/>
      <c r="M1966" s="557"/>
      <c r="N1966" s="557"/>
    </row>
    <row r="1967" spans="1:18" x14ac:dyDescent="0.25">
      <c r="A1967" s="753"/>
      <c r="C1967" s="452" t="s">
        <v>174</v>
      </c>
      <c r="D1967" s="449">
        <f>D1965+1</f>
        <v>46066</v>
      </c>
      <c r="E1967" s="455" t="s">
        <v>573</v>
      </c>
      <c r="F1967" s="506"/>
      <c r="G1967" s="506"/>
      <c r="H1967" s="516"/>
      <c r="I1967" s="516"/>
      <c r="J1967" s="516"/>
      <c r="K1967" s="516"/>
      <c r="L1967" s="557"/>
      <c r="M1967" s="557"/>
      <c r="N1967" s="557"/>
    </row>
    <row r="1968" spans="1:18" x14ac:dyDescent="0.25">
      <c r="A1968" s="753"/>
      <c r="C1968" s="452" t="s">
        <v>174</v>
      </c>
      <c r="D1968" s="449">
        <f t="shared" ref="D1968:D1982" si="144">D1967</f>
        <v>46066</v>
      </c>
      <c r="E1968" s="503" t="s">
        <v>162</v>
      </c>
      <c r="F1968" s="506" t="s">
        <v>375</v>
      </c>
      <c r="G1968" s="506" t="s">
        <v>1372</v>
      </c>
      <c r="H1968" s="516"/>
      <c r="I1968" s="516"/>
      <c r="J1968" s="516"/>
      <c r="K1968" s="516"/>
      <c r="L1968" s="557"/>
      <c r="M1968" s="557"/>
      <c r="N1968" s="557"/>
    </row>
    <row r="1969" spans="1:18" ht="15.75" thickBot="1" x14ac:dyDescent="0.3">
      <c r="A1969" s="753"/>
      <c r="C1969" s="530" t="s">
        <v>174</v>
      </c>
      <c r="D1969" s="451">
        <f t="shared" si="144"/>
        <v>46066</v>
      </c>
      <c r="E1969" s="459" t="s">
        <v>163</v>
      </c>
      <c r="F1969" s="493" t="s">
        <v>375</v>
      </c>
      <c r="G1969" s="493" t="s">
        <v>1372</v>
      </c>
      <c r="H1969" s="513"/>
      <c r="I1969" s="513"/>
      <c r="J1969" s="513"/>
      <c r="K1969" s="513"/>
      <c r="L1969" s="558"/>
      <c r="M1969" s="558"/>
      <c r="N1969" s="558"/>
    </row>
    <row r="1970" spans="1:18" ht="4.5" customHeight="1" thickBot="1" x14ac:dyDescent="0.3">
      <c r="A1970" s="753"/>
      <c r="C1970" t="s">
        <v>174</v>
      </c>
      <c r="D1970">
        <f t="shared" si="144"/>
        <v>46066</v>
      </c>
      <c r="E1970" t="s">
        <v>164</v>
      </c>
      <c r="F1970" t="s">
        <v>375</v>
      </c>
      <c r="G1970" t="s">
        <v>375</v>
      </c>
      <c r="I1970" s="420"/>
      <c r="J1970" s="420"/>
      <c r="K1970" s="420"/>
      <c r="L1970" s="559"/>
      <c r="M1970" s="559"/>
      <c r="N1970" s="559"/>
      <c r="Q1970" s="3"/>
      <c r="R1970" s="3"/>
    </row>
    <row r="1971" spans="1:18" ht="15" customHeight="1" thickBot="1" x14ac:dyDescent="0.3">
      <c r="A1971" s="753"/>
      <c r="C1971" s="546" t="s">
        <v>174</v>
      </c>
      <c r="D1971" s="547">
        <f t="shared" si="144"/>
        <v>46066</v>
      </c>
      <c r="E1971" s="539" t="s">
        <v>165</v>
      </c>
      <c r="F1971" s="539" t="s">
        <v>375</v>
      </c>
      <c r="G1971" s="539" t="s">
        <v>375</v>
      </c>
      <c r="H1971" s="539"/>
      <c r="I1971" s="543"/>
      <c r="J1971" s="542"/>
      <c r="K1971" s="544"/>
      <c r="L1971" s="560"/>
      <c r="M1971" s="561"/>
      <c r="N1971" s="562"/>
      <c r="O1971" s="548"/>
      <c r="P1971" s="549"/>
      <c r="Q1971" s="3"/>
      <c r="R1971" s="3"/>
    </row>
    <row r="1972" spans="1:18" x14ac:dyDescent="0.25">
      <c r="A1972" s="753"/>
      <c r="C1972" s="529" t="s">
        <v>174</v>
      </c>
      <c r="D1972" s="447">
        <f t="shared" si="144"/>
        <v>46066</v>
      </c>
      <c r="E1972" s="498" t="s">
        <v>166</v>
      </c>
      <c r="F1972" s="514" t="s">
        <v>375</v>
      </c>
      <c r="G1972" s="514" t="s">
        <v>375</v>
      </c>
      <c r="H1972" s="514"/>
      <c r="I1972" s="537"/>
      <c r="J1972" s="537"/>
      <c r="K1972" s="537"/>
      <c r="L1972" s="563"/>
      <c r="M1972" s="563"/>
      <c r="N1972" s="563"/>
    </row>
    <row r="1973" spans="1:18" x14ac:dyDescent="0.25">
      <c r="A1973" s="753"/>
      <c r="C1973" s="452" t="s">
        <v>174</v>
      </c>
      <c r="D1973" s="453">
        <f t="shared" si="144"/>
        <v>46066</v>
      </c>
      <c r="E1973" s="500" t="s">
        <v>576</v>
      </c>
      <c r="F1973" s="569"/>
      <c r="G1973" s="569"/>
      <c r="H1973" s="569"/>
      <c r="I1973" s="540"/>
      <c r="J1973" s="540"/>
      <c r="K1973" s="540"/>
      <c r="L1973" s="555"/>
      <c r="M1973" s="555"/>
      <c r="N1973" s="555"/>
    </row>
    <row r="1974" spans="1:18" x14ac:dyDescent="0.25">
      <c r="A1974" s="753"/>
      <c r="C1974" s="452" t="s">
        <v>174</v>
      </c>
      <c r="D1974" s="453">
        <f t="shared" si="144"/>
        <v>46066</v>
      </c>
      <c r="E1974" s="454" t="s">
        <v>167</v>
      </c>
      <c r="F1974" s="569" t="s">
        <v>375</v>
      </c>
      <c r="G1974" s="569" t="s">
        <v>375</v>
      </c>
      <c r="H1974" s="569"/>
      <c r="I1974" s="540"/>
      <c r="J1974" s="540"/>
      <c r="K1974" s="540"/>
      <c r="L1974" s="564"/>
      <c r="M1974" s="564"/>
      <c r="N1974" s="564"/>
    </row>
    <row r="1975" spans="1:18" x14ac:dyDescent="0.25">
      <c r="A1975" s="753"/>
      <c r="C1975" s="452" t="s">
        <v>174</v>
      </c>
      <c r="D1975" s="453">
        <f t="shared" si="144"/>
        <v>46066</v>
      </c>
      <c r="E1975" s="454" t="s">
        <v>168</v>
      </c>
      <c r="F1975" s="569" t="s">
        <v>375</v>
      </c>
      <c r="G1975" s="569" t="s">
        <v>375</v>
      </c>
      <c r="H1975" s="569"/>
      <c r="I1975" s="540"/>
      <c r="J1975" s="540"/>
      <c r="K1975" s="540"/>
      <c r="L1975" s="564"/>
      <c r="M1975" s="564"/>
      <c r="N1975" s="564"/>
    </row>
    <row r="1976" spans="1:18" x14ac:dyDescent="0.25">
      <c r="A1976" s="753"/>
      <c r="C1976" s="452" t="s">
        <v>174</v>
      </c>
      <c r="D1976" s="453">
        <f t="shared" si="144"/>
        <v>46066</v>
      </c>
      <c r="E1976" s="454" t="s">
        <v>169</v>
      </c>
      <c r="F1976" s="569" t="s">
        <v>375</v>
      </c>
      <c r="G1976" s="569" t="s">
        <v>375</v>
      </c>
      <c r="H1976" s="569"/>
      <c r="I1976" s="540"/>
      <c r="J1976" s="540"/>
      <c r="K1976" s="540"/>
      <c r="L1976" s="564"/>
      <c r="M1976" s="564"/>
      <c r="N1976" s="564"/>
    </row>
    <row r="1977" spans="1:18" x14ac:dyDescent="0.25">
      <c r="A1977" s="753"/>
      <c r="C1977" s="452" t="s">
        <v>174</v>
      </c>
      <c r="D1977" s="453">
        <f t="shared" si="144"/>
        <v>46066</v>
      </c>
      <c r="E1977" s="454" t="s">
        <v>170</v>
      </c>
      <c r="F1977" s="569" t="s">
        <v>375</v>
      </c>
      <c r="G1977" s="569" t="s">
        <v>375</v>
      </c>
      <c r="H1977" s="569"/>
      <c r="I1977" s="540"/>
      <c r="J1977" s="540"/>
      <c r="K1977" s="540"/>
      <c r="L1977" s="564"/>
      <c r="M1977" s="564"/>
      <c r="N1977" s="564"/>
    </row>
    <row r="1978" spans="1:18" x14ac:dyDescent="0.25">
      <c r="A1978" s="753"/>
      <c r="C1978" s="452" t="s">
        <v>174</v>
      </c>
      <c r="D1978" s="453">
        <f t="shared" si="144"/>
        <v>46066</v>
      </c>
      <c r="E1978" s="454" t="s">
        <v>585</v>
      </c>
      <c r="F1978" s="512"/>
      <c r="G1978" s="512"/>
      <c r="H1978" s="512"/>
      <c r="I1978" s="541"/>
      <c r="J1978" s="541"/>
      <c r="K1978" s="541"/>
      <c r="L1978" s="556"/>
      <c r="M1978" s="556"/>
      <c r="N1978" s="556"/>
    </row>
    <row r="1979" spans="1:18" x14ac:dyDescent="0.25">
      <c r="A1979" s="753"/>
      <c r="C1979" s="452" t="s">
        <v>174</v>
      </c>
      <c r="D1979" s="449">
        <f t="shared" si="144"/>
        <v>46066</v>
      </c>
      <c r="E1979" s="454" t="s">
        <v>574</v>
      </c>
      <c r="F1979" s="569"/>
      <c r="G1979" s="569"/>
      <c r="H1979" s="569"/>
      <c r="I1979" s="540"/>
      <c r="J1979" s="540"/>
      <c r="K1979" s="540"/>
      <c r="L1979" s="565"/>
      <c r="M1979" s="565"/>
      <c r="N1979" s="565"/>
    </row>
    <row r="1980" spans="1:18" x14ac:dyDescent="0.25">
      <c r="A1980" s="753"/>
      <c r="C1980" s="452" t="s">
        <v>174</v>
      </c>
      <c r="D1980" s="449">
        <f t="shared" si="144"/>
        <v>46066</v>
      </c>
      <c r="E1980" s="454" t="s">
        <v>575</v>
      </c>
      <c r="F1980" s="569"/>
      <c r="G1980" s="569"/>
      <c r="H1980" s="569"/>
      <c r="I1980" s="540"/>
      <c r="J1980" s="540"/>
      <c r="K1980" s="540"/>
      <c r="L1980" s="565"/>
      <c r="M1980" s="565"/>
      <c r="N1980" s="565"/>
    </row>
    <row r="1981" spans="1:18" x14ac:dyDescent="0.25">
      <c r="A1981" s="753"/>
      <c r="C1981" s="452" t="s">
        <v>174</v>
      </c>
      <c r="D1981" s="449">
        <f t="shared" si="144"/>
        <v>46066</v>
      </c>
      <c r="E1981" s="454" t="s">
        <v>583</v>
      </c>
      <c r="F1981" s="569"/>
      <c r="G1981" s="569"/>
      <c r="H1981" s="569"/>
      <c r="I1981" s="540"/>
      <c r="J1981" s="540"/>
      <c r="K1981" s="540"/>
      <c r="L1981" s="565"/>
      <c r="M1981" s="565"/>
      <c r="N1981" s="565"/>
    </row>
    <row r="1982" spans="1:18" x14ac:dyDescent="0.25">
      <c r="A1982" s="753"/>
      <c r="C1982" s="452" t="s">
        <v>174</v>
      </c>
      <c r="D1982" s="449">
        <f t="shared" si="144"/>
        <v>46066</v>
      </c>
      <c r="E1982" s="454" t="s">
        <v>584</v>
      </c>
      <c r="F1982" s="505"/>
      <c r="G1982" s="505"/>
      <c r="H1982" s="505"/>
      <c r="I1982" s="516"/>
      <c r="J1982" s="516"/>
      <c r="K1982" s="516"/>
      <c r="L1982" s="557"/>
      <c r="M1982" s="557"/>
      <c r="N1982" s="557"/>
    </row>
    <row r="1983" spans="1:18" x14ac:dyDescent="0.25">
      <c r="A1983" s="753"/>
      <c r="C1983" s="452"/>
      <c r="D1983" s="449"/>
      <c r="E1983" s="454"/>
      <c r="F1983" s="505"/>
      <c r="G1983" s="505"/>
      <c r="H1983" s="505"/>
      <c r="I1983" s="516"/>
      <c r="J1983" s="516"/>
      <c r="K1983" s="516"/>
      <c r="L1983" s="557"/>
      <c r="M1983" s="557"/>
      <c r="N1983" s="557"/>
    </row>
    <row r="1984" spans="1:18" x14ac:dyDescent="0.25">
      <c r="A1984" s="753"/>
      <c r="C1984" s="452"/>
      <c r="D1984" s="449"/>
      <c r="E1984" s="455"/>
      <c r="F1984" s="505"/>
      <c r="G1984" s="505"/>
      <c r="H1984" s="505"/>
      <c r="I1984" s="516"/>
      <c r="J1984" s="516"/>
      <c r="K1984" s="516"/>
      <c r="L1984" s="557"/>
      <c r="M1984" s="557"/>
      <c r="N1984" s="557"/>
    </row>
    <row r="1985" spans="1:14" x14ac:dyDescent="0.25">
      <c r="A1985" s="753" t="s">
        <v>1311</v>
      </c>
      <c r="C1985" s="452" t="s">
        <v>161</v>
      </c>
      <c r="D1985" s="449">
        <v>46069</v>
      </c>
      <c r="E1985" s="455" t="s">
        <v>573</v>
      </c>
      <c r="F1985" s="506"/>
      <c r="G1985" s="506"/>
      <c r="H1985" s="506"/>
      <c r="I1985" s="516"/>
      <c r="J1985" s="516"/>
      <c r="K1985" s="516"/>
      <c r="L1985" s="557"/>
      <c r="M1985" s="557"/>
      <c r="N1985" s="557"/>
    </row>
    <row r="1986" spans="1:14" x14ac:dyDescent="0.25">
      <c r="A1986" s="753"/>
      <c r="C1986" s="452" t="s">
        <v>161</v>
      </c>
      <c r="D1986" s="502">
        <f t="shared" ref="D1986:D2000" si="145">D1985</f>
        <v>46069</v>
      </c>
      <c r="E1986" s="503" t="s">
        <v>162</v>
      </c>
      <c r="F1986" s="506"/>
      <c r="G1986" s="506"/>
      <c r="H1986" s="506"/>
      <c r="I1986" s="516"/>
      <c r="J1986" s="516"/>
      <c r="K1986" s="516"/>
      <c r="L1986" s="557"/>
      <c r="M1986" s="557"/>
      <c r="N1986" s="557"/>
    </row>
    <row r="1987" spans="1:14" ht="15.75" thickBot="1" x14ac:dyDescent="0.3">
      <c r="A1987" s="753"/>
      <c r="C1987" s="530" t="s">
        <v>161</v>
      </c>
      <c r="D1987" s="451">
        <f t="shared" si="145"/>
        <v>46069</v>
      </c>
      <c r="E1987" s="459" t="s">
        <v>163</v>
      </c>
      <c r="F1987" s="493"/>
      <c r="G1987" s="493"/>
      <c r="H1987" s="493"/>
      <c r="I1987" s="513"/>
      <c r="J1987" s="513"/>
      <c r="K1987" s="513"/>
      <c r="L1987" s="558"/>
      <c r="M1987" s="558"/>
      <c r="N1987" s="558"/>
    </row>
    <row r="1988" spans="1:14" x14ac:dyDescent="0.25">
      <c r="C1988" t="s">
        <v>161</v>
      </c>
      <c r="D1988">
        <f t="shared" si="145"/>
        <v>46069</v>
      </c>
      <c r="E1988" t="s">
        <v>164</v>
      </c>
    </row>
    <row r="1989" spans="1:14" x14ac:dyDescent="0.25">
      <c r="C1989" t="s">
        <v>161</v>
      </c>
      <c r="D1989">
        <f t="shared" si="145"/>
        <v>46069</v>
      </c>
      <c r="E1989" t="s">
        <v>165</v>
      </c>
    </row>
    <row r="1990" spans="1:14" x14ac:dyDescent="0.25">
      <c r="C1990" t="s">
        <v>161</v>
      </c>
      <c r="D1990">
        <f t="shared" si="145"/>
        <v>46069</v>
      </c>
      <c r="E1990" t="s">
        <v>166</v>
      </c>
    </row>
    <row r="1991" spans="1:14" x14ac:dyDescent="0.25">
      <c r="C1991" t="s">
        <v>161</v>
      </c>
      <c r="D1991">
        <f t="shared" si="145"/>
        <v>46069</v>
      </c>
      <c r="E1991" t="s">
        <v>576</v>
      </c>
    </row>
    <row r="1992" spans="1:14" x14ac:dyDescent="0.25">
      <c r="C1992" t="s">
        <v>161</v>
      </c>
      <c r="D1992">
        <f t="shared" si="145"/>
        <v>46069</v>
      </c>
      <c r="E1992" t="s">
        <v>167</v>
      </c>
    </row>
    <row r="1993" spans="1:14" x14ac:dyDescent="0.25">
      <c r="C1993" t="s">
        <v>161</v>
      </c>
      <c r="D1993">
        <f t="shared" si="145"/>
        <v>46069</v>
      </c>
      <c r="E1993" t="s">
        <v>168</v>
      </c>
    </row>
    <row r="1994" spans="1:14" x14ac:dyDescent="0.25">
      <c r="C1994" t="s">
        <v>161</v>
      </c>
      <c r="D1994">
        <f t="shared" si="145"/>
        <v>46069</v>
      </c>
      <c r="E1994" t="s">
        <v>169</v>
      </c>
    </row>
    <row r="1995" spans="1:14" x14ac:dyDescent="0.25">
      <c r="C1995" t="s">
        <v>161</v>
      </c>
      <c r="D1995">
        <f t="shared" si="145"/>
        <v>46069</v>
      </c>
      <c r="E1995" t="s">
        <v>170</v>
      </c>
    </row>
    <row r="1996" spans="1:14" x14ac:dyDescent="0.25">
      <c r="C1996" t="s">
        <v>161</v>
      </c>
      <c r="D1996">
        <f t="shared" si="145"/>
        <v>46069</v>
      </c>
      <c r="E1996" t="s">
        <v>585</v>
      </c>
    </row>
    <row r="1997" spans="1:14" x14ac:dyDescent="0.25">
      <c r="C1997" t="s">
        <v>161</v>
      </c>
      <c r="D1997">
        <f t="shared" si="145"/>
        <v>46069</v>
      </c>
      <c r="E1997" t="s">
        <v>574</v>
      </c>
    </row>
    <row r="1998" spans="1:14" x14ac:dyDescent="0.25">
      <c r="C1998" t="s">
        <v>161</v>
      </c>
      <c r="D1998">
        <f t="shared" si="145"/>
        <v>46069</v>
      </c>
      <c r="E1998" t="s">
        <v>575</v>
      </c>
    </row>
    <row r="1999" spans="1:14" x14ac:dyDescent="0.25">
      <c r="C1999" t="s">
        <v>161</v>
      </c>
      <c r="D1999">
        <f t="shared" si="145"/>
        <v>46069</v>
      </c>
      <c r="E1999" t="s">
        <v>583</v>
      </c>
    </row>
    <row r="2000" spans="1:14" x14ac:dyDescent="0.25">
      <c r="C2000" t="s">
        <v>161</v>
      </c>
      <c r="D2000">
        <f t="shared" si="145"/>
        <v>46069</v>
      </c>
      <c r="E2000" t="s">
        <v>584</v>
      </c>
    </row>
    <row r="2002" spans="3:5" x14ac:dyDescent="0.25">
      <c r="C2002" t="s">
        <v>171</v>
      </c>
      <c r="D2002">
        <f>D2000+1</f>
        <v>46070</v>
      </c>
      <c r="E2002" t="s">
        <v>573</v>
      </c>
    </row>
    <row r="2003" spans="3:5" x14ac:dyDescent="0.25">
      <c r="C2003" t="s">
        <v>171</v>
      </c>
      <c r="D2003">
        <f t="shared" ref="D2003:D2017" si="146">D2002</f>
        <v>46070</v>
      </c>
      <c r="E2003" t="s">
        <v>162</v>
      </c>
    </row>
    <row r="2004" spans="3:5" x14ac:dyDescent="0.25">
      <c r="C2004" t="s">
        <v>171</v>
      </c>
      <c r="D2004">
        <f t="shared" si="146"/>
        <v>46070</v>
      </c>
      <c r="E2004" t="s">
        <v>163</v>
      </c>
    </row>
    <row r="2005" spans="3:5" x14ac:dyDescent="0.25">
      <c r="C2005" t="s">
        <v>171</v>
      </c>
      <c r="D2005">
        <f t="shared" si="146"/>
        <v>46070</v>
      </c>
      <c r="E2005" t="s">
        <v>164</v>
      </c>
    </row>
    <row r="2006" spans="3:5" x14ac:dyDescent="0.25">
      <c r="C2006" t="s">
        <v>171</v>
      </c>
      <c r="D2006">
        <f t="shared" si="146"/>
        <v>46070</v>
      </c>
      <c r="E2006" t="s">
        <v>165</v>
      </c>
    </row>
    <row r="2007" spans="3:5" x14ac:dyDescent="0.25">
      <c r="C2007" t="s">
        <v>171</v>
      </c>
      <c r="D2007">
        <f t="shared" si="146"/>
        <v>46070</v>
      </c>
      <c r="E2007" t="s">
        <v>166</v>
      </c>
    </row>
    <row r="2008" spans="3:5" x14ac:dyDescent="0.25">
      <c r="C2008" t="s">
        <v>171</v>
      </c>
      <c r="D2008">
        <f t="shared" si="146"/>
        <v>46070</v>
      </c>
      <c r="E2008" t="s">
        <v>576</v>
      </c>
    </row>
    <row r="2009" spans="3:5" x14ac:dyDescent="0.25">
      <c r="C2009" t="s">
        <v>171</v>
      </c>
      <c r="D2009">
        <f t="shared" si="146"/>
        <v>46070</v>
      </c>
      <c r="E2009" t="s">
        <v>167</v>
      </c>
    </row>
    <row r="2010" spans="3:5" x14ac:dyDescent="0.25">
      <c r="C2010" t="s">
        <v>171</v>
      </c>
      <c r="D2010">
        <f t="shared" si="146"/>
        <v>46070</v>
      </c>
      <c r="E2010" t="s">
        <v>168</v>
      </c>
    </row>
    <row r="2011" spans="3:5" x14ac:dyDescent="0.25">
      <c r="C2011" t="s">
        <v>171</v>
      </c>
      <c r="D2011">
        <f t="shared" si="146"/>
        <v>46070</v>
      </c>
      <c r="E2011" t="s">
        <v>169</v>
      </c>
    </row>
    <row r="2012" spans="3:5" x14ac:dyDescent="0.25">
      <c r="C2012" t="s">
        <v>171</v>
      </c>
      <c r="D2012">
        <f t="shared" si="146"/>
        <v>46070</v>
      </c>
      <c r="E2012" t="s">
        <v>170</v>
      </c>
    </row>
    <row r="2013" spans="3:5" x14ac:dyDescent="0.25">
      <c r="C2013" t="s">
        <v>171</v>
      </c>
      <c r="D2013">
        <f t="shared" si="146"/>
        <v>46070</v>
      </c>
      <c r="E2013" t="s">
        <v>585</v>
      </c>
    </row>
    <row r="2014" spans="3:5" x14ac:dyDescent="0.25">
      <c r="C2014" t="s">
        <v>171</v>
      </c>
      <c r="D2014">
        <f t="shared" si="146"/>
        <v>46070</v>
      </c>
      <c r="E2014" t="s">
        <v>574</v>
      </c>
    </row>
    <row r="2015" spans="3:5" x14ac:dyDescent="0.25">
      <c r="C2015" t="s">
        <v>171</v>
      </c>
      <c r="D2015">
        <f t="shared" si="146"/>
        <v>46070</v>
      </c>
      <c r="E2015" t="s">
        <v>575</v>
      </c>
    </row>
    <row r="2016" spans="3:5" x14ac:dyDescent="0.25">
      <c r="C2016" t="s">
        <v>171</v>
      </c>
      <c r="D2016">
        <f t="shared" si="146"/>
        <v>46070</v>
      </c>
      <c r="E2016" t="s">
        <v>583</v>
      </c>
    </row>
    <row r="2017" spans="3:7" x14ac:dyDescent="0.25">
      <c r="C2017" t="s">
        <v>171</v>
      </c>
      <c r="D2017">
        <f t="shared" si="146"/>
        <v>46070</v>
      </c>
      <c r="E2017" t="s">
        <v>584</v>
      </c>
    </row>
    <row r="2019" spans="3:7" x14ac:dyDescent="0.25">
      <c r="C2019" t="s">
        <v>172</v>
      </c>
      <c r="D2019">
        <f>D2017+1</f>
        <v>46071</v>
      </c>
      <c r="E2019" t="s">
        <v>573</v>
      </c>
    </row>
    <row r="2020" spans="3:7" x14ac:dyDescent="0.25">
      <c r="C2020" t="s">
        <v>172</v>
      </c>
      <c r="D2020">
        <f t="shared" ref="D2020:D2034" si="147">D2019</f>
        <v>46071</v>
      </c>
      <c r="E2020" t="s">
        <v>162</v>
      </c>
      <c r="F2020" t="s">
        <v>1379</v>
      </c>
      <c r="G2020" t="s">
        <v>375</v>
      </c>
    </row>
    <row r="2021" spans="3:7" x14ac:dyDescent="0.25">
      <c r="C2021" t="s">
        <v>172</v>
      </c>
      <c r="D2021">
        <f t="shared" si="147"/>
        <v>46071</v>
      </c>
      <c r="E2021" t="s">
        <v>163</v>
      </c>
      <c r="F2021" t="s">
        <v>1379</v>
      </c>
      <c r="G2021" t="s">
        <v>375</v>
      </c>
    </row>
    <row r="2022" spans="3:7" x14ac:dyDescent="0.25">
      <c r="C2022" t="s">
        <v>172</v>
      </c>
      <c r="D2022">
        <f t="shared" si="147"/>
        <v>46071</v>
      </c>
      <c r="E2022" t="s">
        <v>164</v>
      </c>
      <c r="F2022" t="s">
        <v>382</v>
      </c>
      <c r="G2022" t="s">
        <v>376</v>
      </c>
    </row>
    <row r="2023" spans="3:7" x14ac:dyDescent="0.25">
      <c r="C2023" t="s">
        <v>172</v>
      </c>
      <c r="D2023">
        <f t="shared" si="147"/>
        <v>46071</v>
      </c>
      <c r="E2023" t="s">
        <v>165</v>
      </c>
      <c r="F2023" t="s">
        <v>382</v>
      </c>
      <c r="G2023" t="s">
        <v>376</v>
      </c>
    </row>
    <row r="2024" spans="3:7" x14ac:dyDescent="0.25">
      <c r="C2024" t="s">
        <v>172</v>
      </c>
      <c r="D2024">
        <f t="shared" si="147"/>
        <v>46071</v>
      </c>
      <c r="E2024" t="s">
        <v>166</v>
      </c>
      <c r="F2024" t="s">
        <v>382</v>
      </c>
      <c r="G2024" t="s">
        <v>376</v>
      </c>
    </row>
    <row r="2025" spans="3:7" x14ac:dyDescent="0.25">
      <c r="C2025" t="s">
        <v>172</v>
      </c>
      <c r="D2025">
        <f t="shared" si="147"/>
        <v>46071</v>
      </c>
      <c r="E2025" t="s">
        <v>576</v>
      </c>
    </row>
    <row r="2026" spans="3:7" x14ac:dyDescent="0.25">
      <c r="C2026" t="s">
        <v>172</v>
      </c>
      <c r="D2026">
        <f t="shared" si="147"/>
        <v>46071</v>
      </c>
      <c r="E2026" t="s">
        <v>167</v>
      </c>
      <c r="F2026" t="s">
        <v>382</v>
      </c>
      <c r="G2026" t="s">
        <v>382</v>
      </c>
    </row>
    <row r="2027" spans="3:7" x14ac:dyDescent="0.25">
      <c r="C2027" t="s">
        <v>172</v>
      </c>
      <c r="D2027">
        <f t="shared" si="147"/>
        <v>46071</v>
      </c>
      <c r="E2027" t="s">
        <v>168</v>
      </c>
      <c r="F2027" t="s">
        <v>382</v>
      </c>
      <c r="G2027" t="s">
        <v>382</v>
      </c>
    </row>
    <row r="2028" spans="3:7" x14ac:dyDescent="0.25">
      <c r="C2028" t="s">
        <v>172</v>
      </c>
      <c r="D2028">
        <f t="shared" si="147"/>
        <v>46071</v>
      </c>
      <c r="E2028" t="s">
        <v>169</v>
      </c>
      <c r="F2028" t="s">
        <v>382</v>
      </c>
      <c r="G2028" t="s">
        <v>382</v>
      </c>
    </row>
    <row r="2029" spans="3:7" x14ac:dyDescent="0.25">
      <c r="C2029" t="s">
        <v>172</v>
      </c>
      <c r="D2029">
        <f t="shared" si="147"/>
        <v>46071</v>
      </c>
      <c r="E2029" t="s">
        <v>170</v>
      </c>
      <c r="F2029" t="s">
        <v>382</v>
      </c>
      <c r="G2029" t="s">
        <v>382</v>
      </c>
    </row>
    <row r="2030" spans="3:7" x14ac:dyDescent="0.25">
      <c r="C2030" t="s">
        <v>172</v>
      </c>
      <c r="D2030">
        <f t="shared" si="147"/>
        <v>46071</v>
      </c>
      <c r="E2030" t="s">
        <v>585</v>
      </c>
    </row>
    <row r="2031" spans="3:7" x14ac:dyDescent="0.25">
      <c r="C2031" t="s">
        <v>172</v>
      </c>
      <c r="D2031">
        <f t="shared" si="147"/>
        <v>46071</v>
      </c>
      <c r="E2031" t="s">
        <v>574</v>
      </c>
    </row>
    <row r="2032" spans="3:7" x14ac:dyDescent="0.25">
      <c r="C2032" t="s">
        <v>172</v>
      </c>
      <c r="D2032">
        <f t="shared" si="147"/>
        <v>46071</v>
      </c>
      <c r="E2032" t="s">
        <v>575</v>
      </c>
    </row>
    <row r="2033" spans="3:7" x14ac:dyDescent="0.25">
      <c r="C2033" t="s">
        <v>172</v>
      </c>
      <c r="D2033">
        <f t="shared" si="147"/>
        <v>46071</v>
      </c>
      <c r="E2033" t="s">
        <v>583</v>
      </c>
    </row>
    <row r="2034" spans="3:7" x14ac:dyDescent="0.25">
      <c r="C2034" t="s">
        <v>172</v>
      </c>
      <c r="D2034">
        <f t="shared" si="147"/>
        <v>46071</v>
      </c>
      <c r="E2034" t="s">
        <v>584</v>
      </c>
    </row>
    <row r="2036" spans="3:7" x14ac:dyDescent="0.25">
      <c r="C2036" t="s">
        <v>173</v>
      </c>
      <c r="D2036">
        <f>D2034+1</f>
        <v>46072</v>
      </c>
      <c r="E2036" t="s">
        <v>573</v>
      </c>
    </row>
    <row r="2037" spans="3:7" x14ac:dyDescent="0.25">
      <c r="C2037" t="s">
        <v>173</v>
      </c>
      <c r="D2037">
        <f t="shared" ref="D2037:D2051" si="148">D2036</f>
        <v>46072</v>
      </c>
      <c r="E2037" t="s">
        <v>162</v>
      </c>
      <c r="F2037" t="s">
        <v>382</v>
      </c>
      <c r="G2037" t="s">
        <v>382</v>
      </c>
    </row>
    <row r="2038" spans="3:7" x14ac:dyDescent="0.25">
      <c r="C2038" t="s">
        <v>173</v>
      </c>
      <c r="D2038">
        <f t="shared" si="148"/>
        <v>46072</v>
      </c>
      <c r="E2038" t="s">
        <v>163</v>
      </c>
      <c r="F2038" t="s">
        <v>382</v>
      </c>
      <c r="G2038" t="s">
        <v>382</v>
      </c>
    </row>
    <row r="2039" spans="3:7" x14ac:dyDescent="0.25">
      <c r="C2039" t="s">
        <v>173</v>
      </c>
      <c r="D2039">
        <f t="shared" si="148"/>
        <v>46072</v>
      </c>
      <c r="E2039" t="s">
        <v>164</v>
      </c>
      <c r="F2039" t="s">
        <v>382</v>
      </c>
      <c r="G2039" t="s">
        <v>382</v>
      </c>
    </row>
    <row r="2040" spans="3:7" x14ac:dyDescent="0.25">
      <c r="C2040" t="s">
        <v>173</v>
      </c>
      <c r="D2040">
        <f t="shared" si="148"/>
        <v>46072</v>
      </c>
      <c r="E2040" t="s">
        <v>165</v>
      </c>
      <c r="F2040" t="s">
        <v>382</v>
      </c>
      <c r="G2040" t="s">
        <v>382</v>
      </c>
    </row>
    <row r="2041" spans="3:7" x14ac:dyDescent="0.25">
      <c r="C2041" t="s">
        <v>173</v>
      </c>
      <c r="D2041">
        <f t="shared" si="148"/>
        <v>46072</v>
      </c>
      <c r="E2041" t="s">
        <v>166</v>
      </c>
      <c r="F2041" t="s">
        <v>382</v>
      </c>
      <c r="G2041" t="s">
        <v>382</v>
      </c>
    </row>
    <row r="2042" spans="3:7" x14ac:dyDescent="0.25">
      <c r="C2042" t="s">
        <v>173</v>
      </c>
      <c r="D2042">
        <f t="shared" si="148"/>
        <v>46072</v>
      </c>
      <c r="E2042" t="s">
        <v>576</v>
      </c>
    </row>
    <row r="2043" spans="3:7" x14ac:dyDescent="0.25">
      <c r="C2043" t="s">
        <v>173</v>
      </c>
      <c r="D2043">
        <f t="shared" si="148"/>
        <v>46072</v>
      </c>
      <c r="E2043" t="s">
        <v>167</v>
      </c>
      <c r="F2043" t="s">
        <v>382</v>
      </c>
      <c r="G2043" t="s">
        <v>1344</v>
      </c>
    </row>
    <row r="2044" spans="3:7" x14ac:dyDescent="0.25">
      <c r="C2044" t="s">
        <v>173</v>
      </c>
      <c r="D2044">
        <f t="shared" si="148"/>
        <v>46072</v>
      </c>
      <c r="E2044" t="s">
        <v>168</v>
      </c>
      <c r="F2044" t="s">
        <v>382</v>
      </c>
      <c r="G2044" t="s">
        <v>1344</v>
      </c>
    </row>
    <row r="2045" spans="3:7" x14ac:dyDescent="0.25">
      <c r="C2045" t="s">
        <v>173</v>
      </c>
      <c r="D2045">
        <f t="shared" si="148"/>
        <v>46072</v>
      </c>
      <c r="E2045" t="s">
        <v>169</v>
      </c>
      <c r="F2045" t="s">
        <v>382</v>
      </c>
      <c r="G2045" t="s">
        <v>1344</v>
      </c>
    </row>
    <row r="2046" spans="3:7" x14ac:dyDescent="0.25">
      <c r="C2046" t="s">
        <v>173</v>
      </c>
      <c r="D2046">
        <f t="shared" si="148"/>
        <v>46072</v>
      </c>
      <c r="E2046" t="s">
        <v>170</v>
      </c>
      <c r="F2046" t="s">
        <v>382</v>
      </c>
      <c r="G2046" t="s">
        <v>1344</v>
      </c>
    </row>
    <row r="2047" spans="3:7" x14ac:dyDescent="0.25">
      <c r="C2047" t="s">
        <v>173</v>
      </c>
      <c r="D2047">
        <f t="shared" si="148"/>
        <v>46072</v>
      </c>
      <c r="E2047" t="s">
        <v>585</v>
      </c>
    </row>
    <row r="2048" spans="3:7" x14ac:dyDescent="0.25">
      <c r="C2048" t="s">
        <v>173</v>
      </c>
      <c r="D2048">
        <f t="shared" si="148"/>
        <v>46072</v>
      </c>
      <c r="E2048" t="s">
        <v>574</v>
      </c>
    </row>
    <row r="2049" spans="3:8" x14ac:dyDescent="0.25">
      <c r="C2049" t="s">
        <v>173</v>
      </c>
      <c r="D2049">
        <f t="shared" si="148"/>
        <v>46072</v>
      </c>
      <c r="E2049" t="s">
        <v>575</v>
      </c>
    </row>
    <row r="2050" spans="3:8" x14ac:dyDescent="0.25">
      <c r="C2050" t="s">
        <v>173</v>
      </c>
      <c r="D2050">
        <f t="shared" si="148"/>
        <v>46072</v>
      </c>
      <c r="E2050" t="s">
        <v>583</v>
      </c>
    </row>
    <row r="2051" spans="3:8" x14ac:dyDescent="0.25">
      <c r="C2051" t="s">
        <v>173</v>
      </c>
      <c r="D2051">
        <f t="shared" si="148"/>
        <v>46072</v>
      </c>
      <c r="E2051" t="s">
        <v>584</v>
      </c>
    </row>
    <row r="2053" spans="3:8" x14ac:dyDescent="0.25">
      <c r="C2053" t="s">
        <v>174</v>
      </c>
      <c r="D2053">
        <f>D2051+1</f>
        <v>46073</v>
      </c>
      <c r="E2053" t="s">
        <v>573</v>
      </c>
    </row>
    <row r="2054" spans="3:8" x14ac:dyDescent="0.25">
      <c r="C2054" t="s">
        <v>174</v>
      </c>
      <c r="D2054">
        <f t="shared" ref="D2054:D2068" si="149">D2053</f>
        <v>46073</v>
      </c>
      <c r="E2054" t="s">
        <v>162</v>
      </c>
      <c r="F2054" t="s">
        <v>382</v>
      </c>
      <c r="G2054" t="s">
        <v>1344</v>
      </c>
    </row>
    <row r="2055" spans="3:8" x14ac:dyDescent="0.25">
      <c r="C2055" t="s">
        <v>174</v>
      </c>
      <c r="D2055">
        <f t="shared" si="149"/>
        <v>46073</v>
      </c>
      <c r="E2055" t="s">
        <v>163</v>
      </c>
      <c r="F2055" t="s">
        <v>382</v>
      </c>
      <c r="G2055" t="s">
        <v>1344</v>
      </c>
    </row>
    <row r="2056" spans="3:8" x14ac:dyDescent="0.25">
      <c r="C2056" t="s">
        <v>174</v>
      </c>
      <c r="D2056">
        <f t="shared" si="149"/>
        <v>46073</v>
      </c>
      <c r="E2056" t="s">
        <v>164</v>
      </c>
      <c r="F2056" t="s">
        <v>382</v>
      </c>
      <c r="G2056" t="s">
        <v>1344</v>
      </c>
    </row>
    <row r="2057" spans="3:8" x14ac:dyDescent="0.25">
      <c r="C2057" t="s">
        <v>174</v>
      </c>
      <c r="D2057">
        <f t="shared" si="149"/>
        <v>46073</v>
      </c>
      <c r="E2057" t="s">
        <v>165</v>
      </c>
      <c r="F2057" t="s">
        <v>1326</v>
      </c>
      <c r="G2057" t="s">
        <v>1344</v>
      </c>
    </row>
    <row r="2058" spans="3:8" x14ac:dyDescent="0.25">
      <c r="C2058" t="s">
        <v>174</v>
      </c>
      <c r="D2058">
        <f t="shared" si="149"/>
        <v>46073</v>
      </c>
      <c r="E2058" t="s">
        <v>166</v>
      </c>
      <c r="F2058" t="s">
        <v>1326</v>
      </c>
      <c r="G2058" t="s">
        <v>1344</v>
      </c>
    </row>
    <row r="2059" spans="3:8" x14ac:dyDescent="0.25">
      <c r="C2059" t="s">
        <v>174</v>
      </c>
      <c r="D2059">
        <f t="shared" si="149"/>
        <v>46073</v>
      </c>
      <c r="E2059" t="s">
        <v>576</v>
      </c>
    </row>
    <row r="2060" spans="3:8" x14ac:dyDescent="0.25">
      <c r="C2060" t="s">
        <v>174</v>
      </c>
      <c r="D2060">
        <f t="shared" si="149"/>
        <v>46073</v>
      </c>
      <c r="E2060" t="s">
        <v>167</v>
      </c>
      <c r="F2060" t="s">
        <v>1326</v>
      </c>
      <c r="G2060" t="s">
        <v>1344</v>
      </c>
      <c r="H2060" t="s">
        <v>1391</v>
      </c>
    </row>
    <row r="2061" spans="3:8" x14ac:dyDescent="0.25">
      <c r="C2061" t="s">
        <v>174</v>
      </c>
      <c r="D2061">
        <f t="shared" si="149"/>
        <v>46073</v>
      </c>
      <c r="E2061" t="s">
        <v>168</v>
      </c>
      <c r="F2061" t="s">
        <v>1326</v>
      </c>
      <c r="G2061" t="s">
        <v>1344</v>
      </c>
    </row>
    <row r="2062" spans="3:8" x14ac:dyDescent="0.25">
      <c r="C2062" t="s">
        <v>174</v>
      </c>
      <c r="D2062">
        <f t="shared" si="149"/>
        <v>46073</v>
      </c>
      <c r="E2062" t="s">
        <v>169</v>
      </c>
      <c r="F2062" t="s">
        <v>1326</v>
      </c>
      <c r="G2062" t="s">
        <v>1344</v>
      </c>
    </row>
    <row r="2063" spans="3:8" x14ac:dyDescent="0.25">
      <c r="C2063" t="s">
        <v>174</v>
      </c>
      <c r="D2063">
        <f t="shared" si="149"/>
        <v>46073</v>
      </c>
      <c r="E2063" t="s">
        <v>170</v>
      </c>
      <c r="F2063" t="s">
        <v>376</v>
      </c>
      <c r="G2063" t="s">
        <v>1344</v>
      </c>
    </row>
    <row r="2064" spans="3:8" x14ac:dyDescent="0.25">
      <c r="C2064" t="s">
        <v>174</v>
      </c>
      <c r="D2064">
        <f t="shared" si="149"/>
        <v>46073</v>
      </c>
      <c r="E2064" t="s">
        <v>585</v>
      </c>
    </row>
    <row r="2065" spans="1:18" x14ac:dyDescent="0.25">
      <c r="C2065" t="s">
        <v>174</v>
      </c>
      <c r="D2065">
        <f t="shared" si="149"/>
        <v>46073</v>
      </c>
      <c r="E2065" t="s">
        <v>574</v>
      </c>
    </row>
    <row r="2066" spans="1:18" x14ac:dyDescent="0.25">
      <c r="C2066" t="s">
        <v>174</v>
      </c>
      <c r="D2066">
        <f t="shared" si="149"/>
        <v>46073</v>
      </c>
      <c r="E2066" t="s">
        <v>575</v>
      </c>
    </row>
    <row r="2067" spans="1:18" x14ac:dyDescent="0.25">
      <c r="C2067" t="s">
        <v>174</v>
      </c>
      <c r="D2067">
        <f t="shared" si="149"/>
        <v>46073</v>
      </c>
      <c r="E2067" t="s">
        <v>583</v>
      </c>
    </row>
    <row r="2068" spans="1:18" x14ac:dyDescent="0.25">
      <c r="C2068" t="s">
        <v>174</v>
      </c>
      <c r="D2068">
        <f t="shared" si="149"/>
        <v>46073</v>
      </c>
      <c r="E2068" t="s">
        <v>584</v>
      </c>
    </row>
    <row r="2069" spans="1:18" ht="15.75" thickBot="1" x14ac:dyDescent="0.3"/>
    <row r="2070" spans="1:18" ht="15" customHeight="1" thickBot="1" x14ac:dyDescent="0.3">
      <c r="A2070" s="753" t="s">
        <v>1362</v>
      </c>
      <c r="C2070" s="538" t="s">
        <v>161</v>
      </c>
      <c r="D2070" s="539">
        <v>46076</v>
      </c>
      <c r="E2070" s="539" t="s">
        <v>573</v>
      </c>
      <c r="F2070" s="539"/>
      <c r="G2070" s="539"/>
      <c r="H2070" s="539"/>
      <c r="I2070" s="543"/>
      <c r="J2070" s="542"/>
      <c r="K2070" s="544"/>
      <c r="L2070" s="560"/>
      <c r="M2070" s="561"/>
      <c r="N2070" s="562"/>
      <c r="O2070" s="548"/>
      <c r="P2070" s="549"/>
      <c r="Q2070" s="3"/>
      <c r="R2070" s="3"/>
    </row>
    <row r="2071" spans="1:18" x14ac:dyDescent="0.25">
      <c r="A2071" s="753"/>
      <c r="C2071" s="496" t="s">
        <v>161</v>
      </c>
      <c r="D2071" s="507">
        <f t="shared" ref="D2071:D2085" si="150">D2070</f>
        <v>46076</v>
      </c>
      <c r="E2071" s="498" t="s">
        <v>162</v>
      </c>
      <c r="F2071" s="514" t="s">
        <v>376</v>
      </c>
      <c r="G2071" s="514" t="s">
        <v>1344</v>
      </c>
      <c r="H2071" s="515"/>
      <c r="I2071" s="537"/>
      <c r="J2071" s="537"/>
      <c r="K2071" s="537"/>
      <c r="L2071" s="563"/>
      <c r="M2071" s="563"/>
      <c r="N2071" s="563"/>
    </row>
    <row r="2072" spans="1:18" x14ac:dyDescent="0.25">
      <c r="A2072" s="753"/>
      <c r="C2072" s="525" t="s">
        <v>161</v>
      </c>
      <c r="D2072" s="499">
        <f t="shared" si="150"/>
        <v>46076</v>
      </c>
      <c r="E2072" s="500" t="s">
        <v>163</v>
      </c>
      <c r="F2072" s="460" t="s">
        <v>376</v>
      </c>
      <c r="G2072" s="460" t="s">
        <v>1344</v>
      </c>
      <c r="H2072" s="460"/>
      <c r="I2072" s="540"/>
      <c r="J2072" s="540"/>
      <c r="K2072" s="540"/>
      <c r="L2072" s="555"/>
      <c r="M2072" s="555"/>
      <c r="N2072" s="555"/>
    </row>
    <row r="2073" spans="1:18" x14ac:dyDescent="0.25">
      <c r="A2073" s="753"/>
      <c r="C2073" s="526" t="s">
        <v>161</v>
      </c>
      <c r="D2073" s="449">
        <f t="shared" si="150"/>
        <v>46076</v>
      </c>
      <c r="E2073" s="454" t="s">
        <v>164</v>
      </c>
      <c r="F2073" s="460" t="s">
        <v>376</v>
      </c>
      <c r="G2073" s="460" t="s">
        <v>376</v>
      </c>
      <c r="H2073" s="460"/>
      <c r="I2073" s="540"/>
      <c r="J2073" s="540"/>
      <c r="K2073" s="540"/>
      <c r="L2073" s="564"/>
      <c r="M2073" s="564"/>
      <c r="N2073" s="564"/>
    </row>
    <row r="2074" spans="1:18" x14ac:dyDescent="0.25">
      <c r="A2074" s="753"/>
      <c r="C2074" s="526" t="s">
        <v>161</v>
      </c>
      <c r="D2074" s="449">
        <f t="shared" si="150"/>
        <v>46076</v>
      </c>
      <c r="E2074" s="454" t="s">
        <v>165</v>
      </c>
      <c r="F2074" s="460" t="s">
        <v>376</v>
      </c>
      <c r="G2074" s="460" t="s">
        <v>376</v>
      </c>
      <c r="H2074" s="460"/>
      <c r="I2074" s="540"/>
      <c r="J2074" s="540"/>
      <c r="K2074" s="540"/>
      <c r="L2074" s="564"/>
      <c r="M2074" s="564"/>
      <c r="N2074" s="564"/>
    </row>
    <row r="2075" spans="1:18" x14ac:dyDescent="0.25">
      <c r="A2075" s="753"/>
      <c r="C2075" s="526" t="s">
        <v>161</v>
      </c>
      <c r="D2075" s="449">
        <f t="shared" si="150"/>
        <v>46076</v>
      </c>
      <c r="E2075" s="454" t="s">
        <v>166</v>
      </c>
      <c r="F2075" s="460" t="s">
        <v>376</v>
      </c>
      <c r="G2075" s="460" t="s">
        <v>376</v>
      </c>
      <c r="H2075" s="460"/>
      <c r="I2075" s="540"/>
      <c r="J2075" s="540"/>
      <c r="K2075" s="540"/>
      <c r="L2075" s="564"/>
      <c r="M2075" s="564"/>
      <c r="N2075" s="564"/>
    </row>
    <row r="2076" spans="1:18" x14ac:dyDescent="0.25">
      <c r="A2076" s="753"/>
      <c r="C2076" s="526" t="s">
        <v>161</v>
      </c>
      <c r="D2076" s="449">
        <f t="shared" si="150"/>
        <v>46076</v>
      </c>
      <c r="E2076" s="454" t="s">
        <v>576</v>
      </c>
      <c r="F2076" s="460"/>
      <c r="G2076" s="460"/>
      <c r="H2076" s="460"/>
      <c r="I2076" s="540"/>
      <c r="J2076" s="540"/>
      <c r="K2076" s="540"/>
      <c r="L2076" s="564"/>
      <c r="M2076" s="564"/>
      <c r="N2076" s="564"/>
    </row>
    <row r="2077" spans="1:18" x14ac:dyDescent="0.25">
      <c r="A2077" s="753"/>
      <c r="C2077" s="526" t="s">
        <v>161</v>
      </c>
      <c r="D2077" s="449">
        <f t="shared" si="150"/>
        <v>46076</v>
      </c>
      <c r="E2077" s="454" t="s">
        <v>167</v>
      </c>
      <c r="F2077" s="512" t="s">
        <v>376</v>
      </c>
      <c r="G2077" s="512" t="s">
        <v>376</v>
      </c>
      <c r="H2077" s="505"/>
      <c r="I2077" s="554"/>
      <c r="J2077" s="541"/>
      <c r="K2077" s="541"/>
      <c r="L2077" s="556"/>
      <c r="M2077" s="556"/>
      <c r="N2077" s="556"/>
    </row>
    <row r="2078" spans="1:18" x14ac:dyDescent="0.25">
      <c r="A2078" s="753"/>
      <c r="C2078" s="527" t="s">
        <v>161</v>
      </c>
      <c r="D2078" s="449">
        <f t="shared" si="150"/>
        <v>46076</v>
      </c>
      <c r="E2078" s="454" t="s">
        <v>168</v>
      </c>
      <c r="F2078" s="460" t="s">
        <v>376</v>
      </c>
      <c r="G2078" s="460" t="s">
        <v>376</v>
      </c>
      <c r="H2078" s="460"/>
      <c r="I2078" s="540"/>
      <c r="J2078" s="540"/>
      <c r="K2078" s="540"/>
      <c r="L2078" s="565"/>
      <c r="M2078" s="565"/>
      <c r="N2078" s="565"/>
    </row>
    <row r="2079" spans="1:18" x14ac:dyDescent="0.25">
      <c r="A2079" s="753"/>
      <c r="C2079" s="527" t="s">
        <v>161</v>
      </c>
      <c r="D2079" s="449">
        <f t="shared" si="150"/>
        <v>46076</v>
      </c>
      <c r="E2079" s="454" t="s">
        <v>169</v>
      </c>
      <c r="F2079" s="460" t="s">
        <v>376</v>
      </c>
      <c r="G2079" s="460" t="s">
        <v>376</v>
      </c>
      <c r="H2079" s="461"/>
      <c r="I2079" s="540"/>
      <c r="J2079" s="540"/>
      <c r="K2079" s="540"/>
      <c r="L2079" s="565"/>
      <c r="M2079" s="565"/>
      <c r="N2079" s="565"/>
    </row>
    <row r="2080" spans="1:18" x14ac:dyDescent="0.25">
      <c r="A2080" s="753"/>
      <c r="C2080" s="527" t="s">
        <v>161</v>
      </c>
      <c r="D2080" s="449">
        <f t="shared" si="150"/>
        <v>46076</v>
      </c>
      <c r="E2080" s="454" t="s">
        <v>170</v>
      </c>
      <c r="F2080" s="460" t="s">
        <v>376</v>
      </c>
      <c r="G2080" s="460" t="s">
        <v>376</v>
      </c>
      <c r="H2080" s="461"/>
      <c r="I2080" s="540"/>
      <c r="J2080" s="540"/>
      <c r="K2080" s="540"/>
      <c r="L2080" s="565"/>
      <c r="M2080" s="565"/>
      <c r="N2080" s="565"/>
    </row>
    <row r="2081" spans="1:18" x14ac:dyDescent="0.25">
      <c r="A2081" s="753"/>
      <c r="C2081" s="527" t="s">
        <v>161</v>
      </c>
      <c r="D2081" s="449">
        <f t="shared" si="150"/>
        <v>46076</v>
      </c>
      <c r="E2081" s="454" t="s">
        <v>585</v>
      </c>
      <c r="F2081" s="460"/>
      <c r="G2081" s="460"/>
      <c r="H2081" s="504"/>
      <c r="I2081" s="540"/>
      <c r="J2081" s="540"/>
      <c r="K2081" s="540"/>
      <c r="L2081" s="566"/>
      <c r="M2081" s="566"/>
      <c r="N2081" s="566"/>
    </row>
    <row r="2082" spans="1:18" x14ac:dyDescent="0.25">
      <c r="A2082" s="753"/>
      <c r="C2082" s="527" t="s">
        <v>161</v>
      </c>
      <c r="D2082" s="449">
        <f t="shared" si="150"/>
        <v>46076</v>
      </c>
      <c r="E2082" s="454" t="s">
        <v>574</v>
      </c>
      <c r="F2082" s="505"/>
      <c r="G2082" s="516"/>
      <c r="H2082" s="516"/>
      <c r="I2082" s="516"/>
      <c r="J2082" s="516"/>
      <c r="K2082" s="516"/>
      <c r="L2082" s="557"/>
      <c r="M2082" s="557"/>
      <c r="N2082" s="557"/>
    </row>
    <row r="2083" spans="1:18" x14ac:dyDescent="0.25">
      <c r="A2083" s="753"/>
      <c r="C2083" s="527" t="s">
        <v>161</v>
      </c>
      <c r="D2083" s="449">
        <f t="shared" si="150"/>
        <v>46076</v>
      </c>
      <c r="E2083" s="455" t="s">
        <v>575</v>
      </c>
      <c r="F2083" s="505"/>
      <c r="G2083" s="516"/>
      <c r="H2083" s="516"/>
      <c r="I2083" s="516"/>
      <c r="J2083" s="516"/>
      <c r="K2083" s="516"/>
      <c r="L2083" s="557"/>
      <c r="M2083" s="557"/>
      <c r="N2083" s="557"/>
    </row>
    <row r="2084" spans="1:18" x14ac:dyDescent="0.25">
      <c r="A2084" s="753"/>
      <c r="C2084" s="527" t="s">
        <v>161</v>
      </c>
      <c r="D2084" s="449">
        <f t="shared" si="150"/>
        <v>46076</v>
      </c>
      <c r="E2084" s="455" t="s">
        <v>583</v>
      </c>
      <c r="F2084" s="506"/>
      <c r="G2084" s="506"/>
      <c r="H2084" s="516"/>
      <c r="I2084" s="516"/>
      <c r="J2084" s="516"/>
      <c r="K2084" s="516"/>
      <c r="L2084" s="557"/>
      <c r="M2084" s="557"/>
      <c r="N2084" s="557"/>
    </row>
    <row r="2085" spans="1:18" x14ac:dyDescent="0.25">
      <c r="A2085" s="753"/>
      <c r="C2085" s="527" t="s">
        <v>161</v>
      </c>
      <c r="D2085" s="449">
        <f t="shared" si="150"/>
        <v>46076</v>
      </c>
      <c r="E2085" s="503" t="s">
        <v>584</v>
      </c>
      <c r="F2085" s="506"/>
      <c r="G2085" s="506"/>
      <c r="H2085" s="516"/>
      <c r="I2085" s="516"/>
      <c r="J2085" s="516"/>
      <c r="K2085" s="516"/>
      <c r="L2085" s="557"/>
      <c r="M2085" s="557"/>
      <c r="N2085" s="557"/>
    </row>
    <row r="2086" spans="1:18" ht="15.75" thickBot="1" x14ac:dyDescent="0.3">
      <c r="A2086" s="753"/>
      <c r="C2086" s="528"/>
      <c r="D2086" s="451"/>
      <c r="E2086" s="459"/>
      <c r="F2086" s="493"/>
      <c r="G2086" s="493"/>
      <c r="H2086" s="513"/>
      <c r="I2086" s="513"/>
      <c r="J2086" s="513"/>
      <c r="K2086" s="513"/>
      <c r="L2086" s="558"/>
      <c r="M2086" s="558"/>
      <c r="N2086" s="558"/>
    </row>
    <row r="2087" spans="1:18" ht="4.5" customHeight="1" thickBot="1" x14ac:dyDescent="0.3">
      <c r="A2087" s="753"/>
      <c r="C2087" t="s">
        <v>171</v>
      </c>
      <c r="D2087">
        <f>D2085+1</f>
        <v>46077</v>
      </c>
      <c r="E2087" t="s">
        <v>573</v>
      </c>
      <c r="L2087" s="559"/>
      <c r="M2087" s="559"/>
      <c r="N2087" s="559"/>
      <c r="Q2087" s="3"/>
      <c r="R2087" s="3"/>
    </row>
    <row r="2088" spans="1:18" ht="15" customHeight="1" thickBot="1" x14ac:dyDescent="0.3">
      <c r="A2088" s="753"/>
      <c r="C2088" s="538" t="s">
        <v>171</v>
      </c>
      <c r="D2088" s="539">
        <f t="shared" ref="D2088:D2102" si="151">D2087</f>
        <v>46077</v>
      </c>
      <c r="E2088" s="539" t="s">
        <v>162</v>
      </c>
      <c r="F2088" s="539"/>
      <c r="G2088" s="539"/>
      <c r="H2088" s="539"/>
      <c r="I2088" s="543"/>
      <c r="J2088" s="542"/>
      <c r="K2088" s="544"/>
      <c r="L2088" s="560"/>
      <c r="M2088" s="561"/>
      <c r="N2088" s="562"/>
      <c r="O2088" s="548"/>
      <c r="P2088" s="549"/>
      <c r="Q2088" s="3"/>
      <c r="R2088" s="3"/>
    </row>
    <row r="2089" spans="1:18" x14ac:dyDescent="0.25">
      <c r="A2089" s="753"/>
      <c r="C2089" s="446" t="s">
        <v>171</v>
      </c>
      <c r="D2089" s="497">
        <f t="shared" si="151"/>
        <v>46077</v>
      </c>
      <c r="E2089" s="498" t="s">
        <v>163</v>
      </c>
      <c r="F2089" s="514" t="s">
        <v>1326</v>
      </c>
      <c r="G2089" s="514" t="s">
        <v>1344</v>
      </c>
      <c r="H2089" s="515"/>
      <c r="I2089" s="537"/>
      <c r="J2089" s="537"/>
      <c r="K2089" s="537"/>
      <c r="L2089" s="563"/>
      <c r="M2089" s="563"/>
      <c r="N2089" s="563"/>
    </row>
    <row r="2090" spans="1:18" x14ac:dyDescent="0.25">
      <c r="A2090" s="753"/>
      <c r="C2090" s="452" t="s">
        <v>171</v>
      </c>
      <c r="D2090" s="499">
        <f t="shared" si="151"/>
        <v>46077</v>
      </c>
      <c r="E2090" s="500" t="s">
        <v>164</v>
      </c>
      <c r="F2090" s="460"/>
      <c r="G2090" s="460"/>
      <c r="H2090" s="501"/>
      <c r="I2090" s="540"/>
      <c r="J2090" s="540"/>
      <c r="K2090" s="540"/>
      <c r="L2090" s="555"/>
      <c r="M2090" s="555"/>
      <c r="N2090" s="555"/>
    </row>
    <row r="2091" spans="1:18" x14ac:dyDescent="0.25">
      <c r="A2091" s="753"/>
      <c r="C2091" s="452" t="s">
        <v>171</v>
      </c>
      <c r="D2091" s="449">
        <f t="shared" si="151"/>
        <v>46077</v>
      </c>
      <c r="E2091" s="454" t="s">
        <v>165</v>
      </c>
      <c r="F2091" s="460"/>
      <c r="G2091" s="460"/>
      <c r="H2091" s="460"/>
      <c r="I2091" s="540"/>
      <c r="J2091" s="540"/>
      <c r="K2091" s="540"/>
      <c r="L2091" s="564"/>
      <c r="M2091" s="564"/>
      <c r="N2091" s="564"/>
    </row>
    <row r="2092" spans="1:18" x14ac:dyDescent="0.25">
      <c r="A2092" s="753"/>
      <c r="C2092" s="452" t="s">
        <v>171</v>
      </c>
      <c r="D2092" s="449">
        <f t="shared" si="151"/>
        <v>46077</v>
      </c>
      <c r="E2092" s="454" t="s">
        <v>166</v>
      </c>
      <c r="F2092" s="460"/>
      <c r="G2092" s="460"/>
      <c r="H2092" s="460"/>
      <c r="I2092" s="540"/>
      <c r="J2092" s="540"/>
      <c r="K2092" s="540"/>
      <c r="L2092" s="564"/>
      <c r="M2092" s="564"/>
      <c r="N2092" s="564"/>
    </row>
    <row r="2093" spans="1:18" x14ac:dyDescent="0.25">
      <c r="A2093" s="753"/>
      <c r="C2093" s="452" t="s">
        <v>171</v>
      </c>
      <c r="D2093" s="449">
        <f t="shared" si="151"/>
        <v>46077</v>
      </c>
      <c r="E2093" s="454" t="s">
        <v>576</v>
      </c>
      <c r="F2093" s="460"/>
      <c r="G2093" s="460"/>
      <c r="H2093" s="460"/>
      <c r="I2093" s="540"/>
      <c r="J2093" s="540"/>
      <c r="K2093" s="540"/>
      <c r="L2093" s="564"/>
      <c r="M2093" s="564"/>
      <c r="N2093" s="564"/>
    </row>
    <row r="2094" spans="1:18" x14ac:dyDescent="0.25">
      <c r="A2094" s="753"/>
      <c r="C2094" s="452" t="s">
        <v>171</v>
      </c>
      <c r="D2094" s="449">
        <f t="shared" si="151"/>
        <v>46077</v>
      </c>
      <c r="E2094" s="454" t="s">
        <v>167</v>
      </c>
      <c r="F2094" s="460"/>
      <c r="G2094" s="460"/>
      <c r="H2094" s="460"/>
      <c r="I2094" s="540"/>
      <c r="J2094" s="540"/>
      <c r="K2094" s="540"/>
      <c r="L2094" s="564"/>
      <c r="M2094" s="564"/>
      <c r="N2094" s="564"/>
    </row>
    <row r="2095" spans="1:18" x14ac:dyDescent="0.25">
      <c r="A2095" s="753"/>
      <c r="C2095" s="452" t="s">
        <v>171</v>
      </c>
      <c r="D2095" s="449">
        <f t="shared" si="151"/>
        <v>46077</v>
      </c>
      <c r="E2095" s="454" t="s">
        <v>168</v>
      </c>
      <c r="F2095" s="517" t="s">
        <v>1427</v>
      </c>
      <c r="G2095" s="512" t="s">
        <v>1428</v>
      </c>
      <c r="H2095" s="505"/>
      <c r="I2095" s="554"/>
      <c r="J2095" s="541"/>
      <c r="K2095" s="541"/>
      <c r="L2095" s="556"/>
      <c r="M2095" s="556"/>
      <c r="N2095" s="556"/>
    </row>
    <row r="2096" spans="1:18" x14ac:dyDescent="0.25">
      <c r="A2096" s="753"/>
      <c r="C2096" s="452" t="s">
        <v>171</v>
      </c>
      <c r="D2096" s="449">
        <f t="shared" si="151"/>
        <v>46077</v>
      </c>
      <c r="E2096" s="454" t="s">
        <v>169</v>
      </c>
      <c r="F2096" s="460"/>
      <c r="G2096" s="460"/>
      <c r="H2096" s="461"/>
      <c r="I2096" s="540"/>
      <c r="J2096" s="540"/>
      <c r="K2096" s="540"/>
      <c r="L2096" s="565"/>
      <c r="M2096" s="565"/>
      <c r="N2096" s="565"/>
    </row>
    <row r="2097" spans="1:18" x14ac:dyDescent="0.25">
      <c r="A2097" s="753"/>
      <c r="C2097" s="452" t="s">
        <v>171</v>
      </c>
      <c r="D2097" s="449">
        <f t="shared" si="151"/>
        <v>46077</v>
      </c>
      <c r="E2097" s="454" t="s">
        <v>170</v>
      </c>
      <c r="F2097" s="460"/>
      <c r="G2097" s="460"/>
      <c r="H2097" s="461"/>
      <c r="I2097" s="540"/>
      <c r="J2097" s="540"/>
      <c r="K2097" s="540"/>
      <c r="L2097" s="565"/>
      <c r="M2097" s="565"/>
      <c r="N2097" s="565"/>
    </row>
    <row r="2098" spans="1:18" x14ac:dyDescent="0.25">
      <c r="A2098" s="753"/>
      <c r="C2098" s="452" t="s">
        <v>171</v>
      </c>
      <c r="D2098" s="449">
        <f t="shared" si="151"/>
        <v>46077</v>
      </c>
      <c r="E2098" s="454" t="s">
        <v>585</v>
      </c>
      <c r="F2098" s="460"/>
      <c r="G2098" s="460"/>
      <c r="H2098" s="461"/>
      <c r="I2098" s="540"/>
      <c r="J2098" s="540"/>
      <c r="K2098" s="540"/>
      <c r="L2098" s="565"/>
      <c r="M2098" s="565"/>
      <c r="N2098" s="565"/>
    </row>
    <row r="2099" spans="1:18" x14ac:dyDescent="0.25">
      <c r="A2099" s="753"/>
      <c r="C2099" s="452" t="s">
        <v>171</v>
      </c>
      <c r="D2099" s="449">
        <f t="shared" si="151"/>
        <v>46077</v>
      </c>
      <c r="E2099" s="454" t="s">
        <v>574</v>
      </c>
      <c r="F2099" s="460"/>
      <c r="G2099" s="460"/>
      <c r="H2099" s="504"/>
      <c r="I2099" s="540"/>
      <c r="J2099" s="540"/>
      <c r="K2099" s="540"/>
      <c r="L2099" s="566"/>
      <c r="M2099" s="566"/>
      <c r="N2099" s="566"/>
    </row>
    <row r="2100" spans="1:18" x14ac:dyDescent="0.25">
      <c r="A2100" s="753"/>
      <c r="C2100" s="452" t="s">
        <v>171</v>
      </c>
      <c r="D2100" s="449">
        <f t="shared" si="151"/>
        <v>46077</v>
      </c>
      <c r="E2100" s="454" t="s">
        <v>575</v>
      </c>
      <c r="F2100" s="505"/>
      <c r="G2100" s="505"/>
      <c r="H2100" s="516"/>
      <c r="I2100" s="516"/>
      <c r="J2100" s="516"/>
      <c r="K2100" s="516"/>
      <c r="L2100" s="557"/>
      <c r="M2100" s="557"/>
      <c r="N2100" s="557"/>
    </row>
    <row r="2101" spans="1:18" x14ac:dyDescent="0.25">
      <c r="A2101" s="753"/>
      <c r="C2101" s="448" t="s">
        <v>171</v>
      </c>
      <c r="D2101" s="449">
        <f t="shared" si="151"/>
        <v>46077</v>
      </c>
      <c r="E2101" s="455" t="s">
        <v>583</v>
      </c>
      <c r="F2101" s="505"/>
      <c r="G2101" s="505"/>
      <c r="H2101" s="516"/>
      <c r="I2101" s="516"/>
      <c r="J2101" s="516"/>
      <c r="K2101" s="516"/>
      <c r="L2101" s="557"/>
      <c r="M2101" s="557"/>
      <c r="N2101" s="557"/>
    </row>
    <row r="2102" spans="1:18" x14ac:dyDescent="0.25">
      <c r="A2102" s="753"/>
      <c r="C2102" s="448" t="s">
        <v>171</v>
      </c>
      <c r="D2102" s="449">
        <f t="shared" si="151"/>
        <v>46077</v>
      </c>
      <c r="E2102" s="455" t="s">
        <v>584</v>
      </c>
      <c r="F2102" s="506"/>
      <c r="G2102" s="506"/>
      <c r="H2102" s="516"/>
      <c r="I2102" s="516"/>
      <c r="J2102" s="516"/>
      <c r="K2102" s="516"/>
      <c r="L2102" s="557"/>
      <c r="M2102" s="557"/>
      <c r="N2102" s="557"/>
    </row>
    <row r="2103" spans="1:18" x14ac:dyDescent="0.25">
      <c r="A2103" s="753"/>
      <c r="C2103" s="448"/>
      <c r="D2103" s="449"/>
      <c r="E2103" s="503"/>
      <c r="F2103" s="506"/>
      <c r="G2103" s="506"/>
      <c r="H2103" s="516"/>
      <c r="I2103" s="516"/>
      <c r="J2103" s="516"/>
      <c r="K2103" s="516"/>
      <c r="L2103" s="557"/>
      <c r="M2103" s="557"/>
      <c r="N2103" s="557"/>
    </row>
    <row r="2104" spans="1:18" ht="15.75" thickBot="1" x14ac:dyDescent="0.3">
      <c r="A2104" s="753"/>
      <c r="C2104" s="450" t="s">
        <v>172</v>
      </c>
      <c r="D2104" s="451">
        <f>D2102+1</f>
        <v>46078</v>
      </c>
      <c r="E2104" s="459" t="s">
        <v>573</v>
      </c>
      <c r="F2104" s="493"/>
      <c r="G2104" s="493"/>
      <c r="H2104" s="513"/>
      <c r="I2104" s="513"/>
      <c r="J2104" s="513"/>
      <c r="K2104" s="513"/>
      <c r="L2104" s="558"/>
      <c r="M2104" s="558"/>
      <c r="N2104" s="558"/>
    </row>
    <row r="2105" spans="1:18" ht="4.5" customHeight="1" thickBot="1" x14ac:dyDescent="0.3">
      <c r="A2105" s="753"/>
      <c r="C2105" t="s">
        <v>172</v>
      </c>
      <c r="D2105">
        <f t="shared" ref="D2105:D2119" si="152">D2104</f>
        <v>46078</v>
      </c>
      <c r="E2105" t="s">
        <v>162</v>
      </c>
      <c r="L2105" s="559"/>
      <c r="M2105" s="559"/>
      <c r="N2105" s="559"/>
      <c r="Q2105" s="3"/>
      <c r="R2105" s="3"/>
    </row>
    <row r="2106" spans="1:18" ht="15" customHeight="1" thickBot="1" x14ac:dyDescent="0.3">
      <c r="A2106" s="753"/>
      <c r="C2106" s="538" t="s">
        <v>172</v>
      </c>
      <c r="D2106" s="539">
        <f t="shared" si="152"/>
        <v>46078</v>
      </c>
      <c r="E2106" s="539" t="s">
        <v>163</v>
      </c>
      <c r="F2106" s="539" t="s">
        <v>1422</v>
      </c>
      <c r="G2106" s="539" t="s">
        <v>1424</v>
      </c>
      <c r="H2106" s="539"/>
      <c r="I2106" s="543"/>
      <c r="J2106" s="542"/>
      <c r="K2106" s="544"/>
      <c r="L2106" s="560"/>
      <c r="M2106" s="561"/>
      <c r="N2106" s="562"/>
      <c r="O2106" s="548"/>
      <c r="P2106" s="549"/>
      <c r="Q2106" s="3"/>
      <c r="R2106" s="3"/>
    </row>
    <row r="2107" spans="1:18" x14ac:dyDescent="0.25">
      <c r="A2107" s="753"/>
      <c r="C2107" s="446" t="s">
        <v>172</v>
      </c>
      <c r="D2107" s="497">
        <f t="shared" si="152"/>
        <v>46078</v>
      </c>
      <c r="E2107" s="498" t="s">
        <v>164</v>
      </c>
      <c r="F2107" s="514"/>
      <c r="G2107" s="514"/>
      <c r="H2107" s="515"/>
      <c r="I2107" s="537"/>
      <c r="J2107" s="537"/>
      <c r="K2107" s="537"/>
      <c r="L2107" s="563"/>
      <c r="M2107" s="563"/>
      <c r="N2107" s="563"/>
    </row>
    <row r="2108" spans="1:18" x14ac:dyDescent="0.25">
      <c r="A2108" s="753"/>
      <c r="C2108" s="452" t="s">
        <v>172</v>
      </c>
      <c r="D2108" s="499">
        <f t="shared" si="152"/>
        <v>46078</v>
      </c>
      <c r="E2108" s="500" t="s">
        <v>165</v>
      </c>
      <c r="F2108" s="460"/>
      <c r="G2108" s="460"/>
      <c r="H2108" s="501"/>
      <c r="I2108" s="540"/>
      <c r="J2108" s="540"/>
      <c r="K2108" s="540"/>
      <c r="L2108" s="555"/>
      <c r="M2108" s="555"/>
      <c r="N2108" s="555"/>
    </row>
    <row r="2109" spans="1:18" x14ac:dyDescent="0.25">
      <c r="A2109" s="753"/>
      <c r="C2109" s="452" t="s">
        <v>172</v>
      </c>
      <c r="D2109" s="449">
        <f t="shared" si="152"/>
        <v>46078</v>
      </c>
      <c r="E2109" s="454" t="s">
        <v>166</v>
      </c>
      <c r="F2109" s="460"/>
      <c r="G2109" s="460"/>
      <c r="H2109" s="460"/>
      <c r="I2109" s="540"/>
      <c r="J2109" s="540"/>
      <c r="K2109" s="540"/>
      <c r="L2109" s="564"/>
      <c r="M2109" s="564"/>
      <c r="N2109" s="564"/>
    </row>
    <row r="2110" spans="1:18" x14ac:dyDescent="0.25">
      <c r="A2110" s="753"/>
      <c r="C2110" s="452" t="s">
        <v>172</v>
      </c>
      <c r="D2110" s="449">
        <f t="shared" si="152"/>
        <v>46078</v>
      </c>
      <c r="E2110" s="454" t="s">
        <v>576</v>
      </c>
      <c r="F2110" s="460"/>
      <c r="G2110" s="460"/>
      <c r="H2110" s="460"/>
      <c r="I2110" s="540"/>
      <c r="J2110" s="540"/>
      <c r="K2110" s="540"/>
      <c r="L2110" s="564"/>
      <c r="M2110" s="564"/>
      <c r="N2110" s="564"/>
    </row>
    <row r="2111" spans="1:18" x14ac:dyDescent="0.25">
      <c r="A2111" s="753"/>
      <c r="C2111" s="452" t="s">
        <v>172</v>
      </c>
      <c r="D2111" s="449">
        <f t="shared" si="152"/>
        <v>46078</v>
      </c>
      <c r="E2111" s="454" t="s">
        <v>167</v>
      </c>
      <c r="F2111" s="460"/>
      <c r="G2111" s="460"/>
      <c r="H2111" s="460"/>
      <c r="I2111" s="540"/>
      <c r="J2111" s="540"/>
      <c r="K2111" s="540"/>
      <c r="L2111" s="564"/>
      <c r="M2111" s="564"/>
      <c r="N2111" s="564"/>
    </row>
    <row r="2112" spans="1:18" x14ac:dyDescent="0.25">
      <c r="A2112" s="753"/>
      <c r="C2112" s="452" t="s">
        <v>172</v>
      </c>
      <c r="D2112" s="449">
        <f t="shared" si="152"/>
        <v>46078</v>
      </c>
      <c r="E2112" s="454" t="s">
        <v>168</v>
      </c>
      <c r="F2112" s="460"/>
      <c r="G2112" s="460" t="s">
        <v>1425</v>
      </c>
      <c r="H2112" s="460"/>
      <c r="I2112" s="540"/>
      <c r="J2112" s="540"/>
      <c r="K2112" s="540"/>
      <c r="L2112" s="564"/>
      <c r="M2112" s="564"/>
      <c r="N2112" s="564"/>
    </row>
    <row r="2113" spans="1:18" x14ac:dyDescent="0.25">
      <c r="A2113" s="753"/>
      <c r="C2113" s="452" t="s">
        <v>172</v>
      </c>
      <c r="D2113" s="449">
        <f t="shared" si="152"/>
        <v>46078</v>
      </c>
      <c r="E2113" s="454" t="s">
        <v>169</v>
      </c>
      <c r="F2113" s="517"/>
      <c r="G2113" s="512"/>
      <c r="H2113" s="505"/>
      <c r="I2113" s="541"/>
      <c r="J2113" s="541"/>
      <c r="K2113" s="541"/>
      <c r="L2113" s="556"/>
      <c r="M2113" s="556"/>
      <c r="N2113" s="556"/>
    </row>
    <row r="2114" spans="1:18" x14ac:dyDescent="0.25">
      <c r="A2114" s="753"/>
      <c r="C2114" s="452" t="s">
        <v>172</v>
      </c>
      <c r="D2114" s="449">
        <f t="shared" si="152"/>
        <v>46078</v>
      </c>
      <c r="E2114" s="454" t="s">
        <v>170</v>
      </c>
      <c r="F2114" s="460"/>
      <c r="G2114" s="460"/>
      <c r="H2114" s="461"/>
      <c r="I2114" s="540"/>
      <c r="J2114" s="540"/>
      <c r="K2114" s="540"/>
      <c r="L2114" s="565"/>
      <c r="M2114" s="565"/>
      <c r="N2114" s="565"/>
    </row>
    <row r="2115" spans="1:18" x14ac:dyDescent="0.25">
      <c r="A2115" s="753"/>
      <c r="C2115" s="452" t="s">
        <v>172</v>
      </c>
      <c r="D2115" s="449">
        <f t="shared" si="152"/>
        <v>46078</v>
      </c>
      <c r="E2115" s="454" t="s">
        <v>585</v>
      </c>
      <c r="F2115" s="460"/>
      <c r="G2115" s="460"/>
      <c r="H2115" s="461"/>
      <c r="I2115" s="540"/>
      <c r="J2115" s="540"/>
      <c r="K2115" s="540"/>
      <c r="L2115" s="565"/>
      <c r="M2115" s="565"/>
      <c r="N2115" s="565"/>
    </row>
    <row r="2116" spans="1:18" x14ac:dyDescent="0.25">
      <c r="A2116" s="753"/>
      <c r="C2116" s="452" t="s">
        <v>172</v>
      </c>
      <c r="D2116" s="449">
        <f t="shared" si="152"/>
        <v>46078</v>
      </c>
      <c r="E2116" s="454" t="s">
        <v>574</v>
      </c>
      <c r="F2116" s="460"/>
      <c r="G2116" s="460"/>
      <c r="H2116" s="461"/>
      <c r="I2116" s="540"/>
      <c r="J2116" s="540"/>
      <c r="K2116" s="540"/>
      <c r="L2116" s="565"/>
      <c r="M2116" s="565"/>
      <c r="N2116" s="565"/>
    </row>
    <row r="2117" spans="1:18" x14ac:dyDescent="0.25">
      <c r="A2117" s="753"/>
      <c r="C2117" s="452" t="s">
        <v>172</v>
      </c>
      <c r="D2117" s="449">
        <f t="shared" si="152"/>
        <v>46078</v>
      </c>
      <c r="E2117" s="454" t="s">
        <v>575</v>
      </c>
      <c r="F2117" s="460"/>
      <c r="G2117" s="460"/>
      <c r="H2117" s="504"/>
      <c r="I2117" s="540"/>
      <c r="J2117" s="540"/>
      <c r="K2117" s="540"/>
      <c r="L2117" s="565"/>
      <c r="M2117" s="566"/>
      <c r="N2117" s="566"/>
    </row>
    <row r="2118" spans="1:18" x14ac:dyDescent="0.25">
      <c r="A2118" s="753"/>
      <c r="C2118" s="452" t="s">
        <v>172</v>
      </c>
      <c r="D2118" s="449">
        <f t="shared" si="152"/>
        <v>46078</v>
      </c>
      <c r="E2118" s="454" t="s">
        <v>583</v>
      </c>
      <c r="F2118" s="505"/>
      <c r="G2118" s="505"/>
      <c r="H2118" s="516"/>
      <c r="I2118" s="516"/>
      <c r="J2118" s="516"/>
      <c r="K2118" s="516"/>
      <c r="L2118" s="557"/>
      <c r="M2118" s="557"/>
      <c r="N2118" s="557"/>
    </row>
    <row r="2119" spans="1:18" x14ac:dyDescent="0.25">
      <c r="A2119" s="753"/>
      <c r="C2119" s="448" t="s">
        <v>172</v>
      </c>
      <c r="D2119" s="449">
        <f t="shared" si="152"/>
        <v>46078</v>
      </c>
      <c r="E2119" s="455" t="s">
        <v>584</v>
      </c>
      <c r="F2119" s="505"/>
      <c r="G2119" s="505"/>
      <c r="H2119" s="516"/>
      <c r="I2119" s="516"/>
      <c r="J2119" s="516"/>
      <c r="K2119" s="516"/>
      <c r="L2119" s="557"/>
      <c r="M2119" s="557"/>
      <c r="N2119" s="557"/>
    </row>
    <row r="2120" spans="1:18" x14ac:dyDescent="0.25">
      <c r="A2120" s="753"/>
      <c r="C2120" s="448"/>
      <c r="D2120" s="449"/>
      <c r="E2120" s="455"/>
      <c r="F2120" s="506"/>
      <c r="G2120" s="506"/>
      <c r="H2120" s="516"/>
      <c r="I2120" s="516"/>
      <c r="J2120" s="516"/>
      <c r="K2120" s="516"/>
      <c r="L2120" s="557"/>
      <c r="M2120" s="557"/>
      <c r="N2120" s="557"/>
    </row>
    <row r="2121" spans="1:18" x14ac:dyDescent="0.25">
      <c r="A2121" s="753"/>
      <c r="C2121" s="448" t="s">
        <v>173</v>
      </c>
      <c r="D2121" s="449">
        <f>D2119+1</f>
        <v>46079</v>
      </c>
      <c r="E2121" s="503" t="s">
        <v>573</v>
      </c>
      <c r="F2121" s="506"/>
      <c r="G2121" s="506"/>
      <c r="H2121" s="516"/>
      <c r="I2121" s="516"/>
      <c r="J2121" s="516"/>
      <c r="K2121" s="516"/>
      <c r="L2121" s="557"/>
      <c r="M2121" s="557"/>
      <c r="N2121" s="557"/>
    </row>
    <row r="2122" spans="1:18" ht="15.75" thickBot="1" x14ac:dyDescent="0.3">
      <c r="A2122" s="753"/>
      <c r="C2122" s="450" t="s">
        <v>173</v>
      </c>
      <c r="D2122" s="451">
        <f t="shared" ref="D2122:D2136" si="153">D2121</f>
        <v>46079</v>
      </c>
      <c r="E2122" s="459" t="s">
        <v>162</v>
      </c>
      <c r="F2122" s="493"/>
      <c r="G2122" s="493"/>
      <c r="H2122" s="513"/>
      <c r="I2122" s="513"/>
      <c r="J2122" s="513"/>
      <c r="K2122" s="513"/>
      <c r="L2122" s="558"/>
      <c r="M2122" s="558"/>
      <c r="N2122" s="558"/>
    </row>
    <row r="2123" spans="1:18" ht="4.5" customHeight="1" thickBot="1" x14ac:dyDescent="0.3">
      <c r="A2123" s="753"/>
      <c r="C2123" t="s">
        <v>173</v>
      </c>
      <c r="D2123">
        <f t="shared" si="153"/>
        <v>46079</v>
      </c>
      <c r="E2123" t="s">
        <v>163</v>
      </c>
      <c r="F2123" t="s">
        <v>1423</v>
      </c>
      <c r="G2123" t="s">
        <v>1425</v>
      </c>
      <c r="L2123" s="559"/>
      <c r="M2123" s="559"/>
      <c r="N2123" s="559"/>
      <c r="Q2123" s="3"/>
      <c r="R2123" s="3"/>
    </row>
    <row r="2124" spans="1:18" ht="15" customHeight="1" thickBot="1" x14ac:dyDescent="0.3">
      <c r="A2124" s="753"/>
      <c r="C2124" s="538" t="s">
        <v>173</v>
      </c>
      <c r="D2124" s="539">
        <f t="shared" si="153"/>
        <v>46079</v>
      </c>
      <c r="E2124" s="539" t="s">
        <v>164</v>
      </c>
      <c r="F2124" s="539"/>
      <c r="G2124" s="539"/>
      <c r="H2124" s="539"/>
      <c r="I2124" s="543"/>
      <c r="J2124" s="542"/>
      <c r="K2124" s="544"/>
      <c r="L2124" s="560"/>
      <c r="M2124" s="561"/>
      <c r="N2124" s="562"/>
      <c r="O2124" s="548"/>
      <c r="P2124" s="549"/>
      <c r="Q2124" s="3"/>
      <c r="R2124" s="3"/>
    </row>
    <row r="2125" spans="1:18" x14ac:dyDescent="0.25">
      <c r="A2125" s="753"/>
      <c r="C2125" s="529" t="s">
        <v>173</v>
      </c>
      <c r="D2125" s="447">
        <f t="shared" si="153"/>
        <v>46079</v>
      </c>
      <c r="E2125" s="498" t="s">
        <v>165</v>
      </c>
      <c r="F2125" s="514"/>
      <c r="G2125" s="514"/>
      <c r="H2125" s="515"/>
      <c r="I2125" s="537"/>
      <c r="J2125" s="537"/>
      <c r="K2125" s="537"/>
      <c r="L2125" s="563"/>
      <c r="M2125" s="563"/>
      <c r="N2125" s="563"/>
    </row>
    <row r="2126" spans="1:18" x14ac:dyDescent="0.25">
      <c r="A2126" s="753"/>
      <c r="C2126" s="452" t="s">
        <v>173</v>
      </c>
      <c r="D2126" s="453">
        <f t="shared" si="153"/>
        <v>46079</v>
      </c>
      <c r="E2126" s="500" t="s">
        <v>166</v>
      </c>
      <c r="F2126" s="460"/>
      <c r="G2126" s="460"/>
      <c r="H2126" s="501"/>
      <c r="I2126" s="540"/>
      <c r="J2126" s="540"/>
      <c r="K2126" s="540"/>
      <c r="L2126" s="555"/>
      <c r="M2126" s="555"/>
      <c r="N2126" s="555"/>
    </row>
    <row r="2127" spans="1:18" x14ac:dyDescent="0.25">
      <c r="A2127" s="753"/>
      <c r="C2127" s="452" t="s">
        <v>173</v>
      </c>
      <c r="D2127" s="453">
        <f t="shared" si="153"/>
        <v>46079</v>
      </c>
      <c r="E2127" s="454" t="s">
        <v>576</v>
      </c>
      <c r="F2127" s="460"/>
      <c r="G2127" s="460"/>
      <c r="H2127" s="460"/>
      <c r="I2127" s="540"/>
      <c r="J2127" s="540"/>
      <c r="K2127" s="540"/>
      <c r="L2127" s="564"/>
      <c r="M2127" s="564"/>
      <c r="N2127" s="564"/>
    </row>
    <row r="2128" spans="1:18" x14ac:dyDescent="0.25">
      <c r="A2128" s="753"/>
      <c r="C2128" s="452" t="s">
        <v>173</v>
      </c>
      <c r="D2128" s="453">
        <f t="shared" si="153"/>
        <v>46079</v>
      </c>
      <c r="E2128" s="454" t="s">
        <v>167</v>
      </c>
      <c r="F2128" s="460"/>
      <c r="G2128" s="460"/>
      <c r="H2128" s="460"/>
      <c r="I2128" s="540"/>
      <c r="J2128" s="540"/>
      <c r="K2128" s="540"/>
      <c r="L2128" s="564"/>
      <c r="M2128" s="564"/>
      <c r="N2128" s="564"/>
    </row>
    <row r="2129" spans="1:18" x14ac:dyDescent="0.25">
      <c r="A2129" s="753"/>
      <c r="C2129" s="452" t="s">
        <v>173</v>
      </c>
      <c r="D2129" s="453">
        <f t="shared" si="153"/>
        <v>46079</v>
      </c>
      <c r="E2129" s="454" t="s">
        <v>168</v>
      </c>
      <c r="F2129" s="460"/>
      <c r="G2129" s="460" t="s">
        <v>1425</v>
      </c>
      <c r="H2129" s="460"/>
      <c r="I2129" s="540"/>
      <c r="J2129" s="540"/>
      <c r="K2129" s="540"/>
      <c r="L2129" s="564"/>
      <c r="M2129" s="564"/>
      <c r="N2129" s="564"/>
    </row>
    <row r="2130" spans="1:18" x14ac:dyDescent="0.25">
      <c r="A2130" s="753"/>
      <c r="C2130" s="452" t="s">
        <v>173</v>
      </c>
      <c r="D2130" s="453">
        <f t="shared" si="153"/>
        <v>46079</v>
      </c>
      <c r="E2130" s="454" t="s">
        <v>169</v>
      </c>
      <c r="F2130" s="460"/>
      <c r="G2130" s="460"/>
      <c r="H2130" s="460"/>
      <c r="I2130" s="540"/>
      <c r="J2130" s="540"/>
      <c r="K2130" s="540"/>
      <c r="L2130" s="564"/>
      <c r="M2130" s="564"/>
      <c r="N2130" s="564"/>
    </row>
    <row r="2131" spans="1:18" x14ac:dyDescent="0.25">
      <c r="A2131" s="753"/>
      <c r="C2131" s="452" t="s">
        <v>173</v>
      </c>
      <c r="D2131" s="453">
        <f t="shared" si="153"/>
        <v>46079</v>
      </c>
      <c r="E2131" s="454" t="s">
        <v>170</v>
      </c>
      <c r="F2131" s="517"/>
      <c r="G2131" s="512"/>
      <c r="H2131" s="505"/>
      <c r="I2131" s="541"/>
      <c r="J2131" s="541"/>
      <c r="K2131" s="541"/>
      <c r="L2131" s="556"/>
      <c r="M2131" s="556"/>
      <c r="N2131" s="556"/>
    </row>
    <row r="2132" spans="1:18" x14ac:dyDescent="0.25">
      <c r="A2132" s="753"/>
      <c r="C2132" s="452" t="s">
        <v>173</v>
      </c>
      <c r="D2132" s="449">
        <f t="shared" si="153"/>
        <v>46079</v>
      </c>
      <c r="E2132" s="454" t="s">
        <v>585</v>
      </c>
      <c r="F2132" s="460"/>
      <c r="G2132" s="460"/>
      <c r="H2132" s="461"/>
      <c r="I2132" s="540"/>
      <c r="J2132" s="540"/>
      <c r="K2132" s="540"/>
      <c r="L2132" s="565"/>
      <c r="M2132" s="565"/>
      <c r="N2132" s="565"/>
    </row>
    <row r="2133" spans="1:18" x14ac:dyDescent="0.25">
      <c r="A2133" s="753"/>
      <c r="C2133" s="452" t="s">
        <v>173</v>
      </c>
      <c r="D2133" s="449">
        <f t="shared" si="153"/>
        <v>46079</v>
      </c>
      <c r="E2133" s="454" t="s">
        <v>574</v>
      </c>
      <c r="F2133" s="460"/>
      <c r="G2133" s="460"/>
      <c r="H2133" s="461"/>
      <c r="I2133" s="540"/>
      <c r="J2133" s="540"/>
      <c r="K2133" s="540"/>
      <c r="L2133" s="565"/>
      <c r="M2133" s="565"/>
      <c r="N2133" s="565"/>
    </row>
    <row r="2134" spans="1:18" x14ac:dyDescent="0.25">
      <c r="A2134" s="753"/>
      <c r="C2134" s="452" t="s">
        <v>173</v>
      </c>
      <c r="D2134" s="449">
        <f t="shared" si="153"/>
        <v>46079</v>
      </c>
      <c r="E2134" s="454" t="s">
        <v>575</v>
      </c>
      <c r="F2134" s="460"/>
      <c r="G2134" s="460"/>
      <c r="H2134" s="461"/>
      <c r="I2134" s="540"/>
      <c r="J2134" s="540"/>
      <c r="K2134" s="540"/>
      <c r="L2134" s="565"/>
      <c r="M2134" s="565"/>
      <c r="N2134" s="565"/>
    </row>
    <row r="2135" spans="1:18" x14ac:dyDescent="0.25">
      <c r="A2135" s="753"/>
      <c r="C2135" s="452" t="s">
        <v>173</v>
      </c>
      <c r="D2135" s="449">
        <f t="shared" si="153"/>
        <v>46079</v>
      </c>
      <c r="E2135" s="454" t="s">
        <v>583</v>
      </c>
      <c r="F2135" s="460"/>
      <c r="G2135" s="460"/>
      <c r="H2135" s="504"/>
      <c r="I2135" s="545"/>
      <c r="J2135" s="540"/>
      <c r="K2135" s="540"/>
      <c r="L2135" s="566"/>
      <c r="M2135" s="566"/>
      <c r="N2135" s="566"/>
    </row>
    <row r="2136" spans="1:18" x14ac:dyDescent="0.25">
      <c r="A2136" s="753"/>
      <c r="C2136" s="452" t="s">
        <v>173</v>
      </c>
      <c r="D2136" s="449">
        <f t="shared" si="153"/>
        <v>46079</v>
      </c>
      <c r="E2136" s="454" t="s">
        <v>584</v>
      </c>
      <c r="F2136" s="505"/>
      <c r="G2136" s="505"/>
      <c r="H2136" s="516"/>
      <c r="I2136" s="516"/>
      <c r="J2136" s="516"/>
      <c r="K2136" s="516"/>
      <c r="L2136" s="557"/>
      <c r="M2136" s="557"/>
      <c r="N2136" s="557"/>
    </row>
    <row r="2137" spans="1:18" x14ac:dyDescent="0.25">
      <c r="A2137" s="753"/>
      <c r="C2137" s="452"/>
      <c r="D2137" s="449"/>
      <c r="E2137" s="455"/>
      <c r="F2137" s="505"/>
      <c r="G2137" s="505"/>
      <c r="H2137" s="516"/>
      <c r="I2137" s="516"/>
      <c r="J2137" s="516"/>
      <c r="K2137" s="516"/>
      <c r="L2137" s="557"/>
      <c r="M2137" s="557"/>
      <c r="N2137" s="557"/>
    </row>
    <row r="2138" spans="1:18" x14ac:dyDescent="0.25">
      <c r="A2138" s="753"/>
      <c r="C2138" s="452" t="s">
        <v>174</v>
      </c>
      <c r="D2138" s="449">
        <f>D2136+1</f>
        <v>46080</v>
      </c>
      <c r="E2138" s="455" t="s">
        <v>573</v>
      </c>
      <c r="F2138" s="506"/>
      <c r="G2138" s="506"/>
      <c r="H2138" s="516"/>
      <c r="I2138" s="516"/>
      <c r="J2138" s="516"/>
      <c r="K2138" s="516"/>
      <c r="L2138" s="557"/>
      <c r="M2138" s="557"/>
      <c r="N2138" s="557"/>
    </row>
    <row r="2139" spans="1:18" x14ac:dyDescent="0.25">
      <c r="A2139" s="753"/>
      <c r="C2139" s="452" t="s">
        <v>174</v>
      </c>
      <c r="D2139" s="449">
        <f t="shared" ref="D2139:D2153" si="154">D2138</f>
        <v>46080</v>
      </c>
      <c r="E2139" s="503" t="s">
        <v>162</v>
      </c>
      <c r="F2139" s="506"/>
      <c r="G2139" s="506"/>
      <c r="H2139" s="516"/>
      <c r="I2139" s="516"/>
      <c r="J2139" s="516"/>
      <c r="K2139" s="516"/>
      <c r="L2139" s="557"/>
      <c r="M2139" s="557"/>
      <c r="N2139" s="557"/>
    </row>
    <row r="2140" spans="1:18" ht="15.75" thickBot="1" x14ac:dyDescent="0.3">
      <c r="A2140" s="753"/>
      <c r="C2140" s="530" t="s">
        <v>174</v>
      </c>
      <c r="D2140" s="451">
        <f t="shared" si="154"/>
        <v>46080</v>
      </c>
      <c r="E2140" s="459" t="s">
        <v>163</v>
      </c>
      <c r="F2140" s="493"/>
      <c r="G2140" s="493" t="s">
        <v>1426</v>
      </c>
      <c r="H2140" s="513"/>
      <c r="I2140" s="513"/>
      <c r="J2140" s="513"/>
      <c r="K2140" s="513"/>
      <c r="L2140" s="558"/>
      <c r="M2140" s="558"/>
      <c r="N2140" s="558"/>
    </row>
    <row r="2141" spans="1:18" ht="4.5" customHeight="1" thickBot="1" x14ac:dyDescent="0.3">
      <c r="A2141" s="753"/>
      <c r="C2141" t="s">
        <v>174</v>
      </c>
      <c r="D2141">
        <f t="shared" si="154"/>
        <v>46080</v>
      </c>
      <c r="E2141" t="s">
        <v>164</v>
      </c>
      <c r="I2141" s="420"/>
      <c r="J2141" s="420"/>
      <c r="K2141" s="420"/>
      <c r="L2141" s="559"/>
      <c r="M2141" s="559"/>
      <c r="N2141" s="559"/>
      <c r="Q2141" s="3"/>
      <c r="R2141" s="3"/>
    </row>
    <row r="2142" spans="1:18" ht="15" customHeight="1" thickBot="1" x14ac:dyDescent="0.3">
      <c r="A2142" s="753"/>
      <c r="C2142" s="546" t="s">
        <v>174</v>
      </c>
      <c r="D2142" s="547">
        <f t="shared" si="154"/>
        <v>46080</v>
      </c>
      <c r="E2142" s="539" t="s">
        <v>165</v>
      </c>
      <c r="F2142" s="539"/>
      <c r="G2142" s="539"/>
      <c r="H2142" s="539"/>
      <c r="I2142" s="543"/>
      <c r="J2142" s="542"/>
      <c r="K2142" s="544"/>
      <c r="L2142" s="560"/>
      <c r="M2142" s="561"/>
      <c r="N2142" s="562"/>
      <c r="O2142" s="548"/>
      <c r="P2142" s="549"/>
      <c r="Q2142" s="3"/>
      <c r="R2142" s="3"/>
    </row>
    <row r="2143" spans="1:18" x14ac:dyDescent="0.25">
      <c r="A2143" s="753"/>
      <c r="C2143" s="529" t="s">
        <v>174</v>
      </c>
      <c r="D2143" s="447">
        <f t="shared" si="154"/>
        <v>46080</v>
      </c>
      <c r="E2143" s="498" t="s">
        <v>166</v>
      </c>
      <c r="F2143" s="514"/>
      <c r="G2143" s="514"/>
      <c r="H2143" s="514"/>
      <c r="I2143" s="537"/>
      <c r="J2143" s="537"/>
      <c r="K2143" s="537"/>
      <c r="L2143" s="563"/>
      <c r="M2143" s="563"/>
      <c r="N2143" s="563"/>
    </row>
    <row r="2144" spans="1:18" x14ac:dyDescent="0.25">
      <c r="A2144" s="753"/>
      <c r="C2144" s="452" t="s">
        <v>174</v>
      </c>
      <c r="D2144" s="453">
        <f t="shared" si="154"/>
        <v>46080</v>
      </c>
      <c r="E2144" s="500" t="s">
        <v>576</v>
      </c>
      <c r="F2144" s="569"/>
      <c r="G2144" s="569"/>
      <c r="H2144" s="569"/>
      <c r="I2144" s="540"/>
      <c r="J2144" s="540"/>
      <c r="K2144" s="540"/>
      <c r="L2144" s="555"/>
      <c r="M2144" s="555"/>
      <c r="N2144" s="555"/>
    </row>
    <row r="2145" spans="1:16" x14ac:dyDescent="0.25">
      <c r="A2145" s="753"/>
      <c r="C2145" s="452" t="s">
        <v>174</v>
      </c>
      <c r="D2145" s="453">
        <f t="shared" si="154"/>
        <v>46080</v>
      </c>
      <c r="E2145" s="454" t="s">
        <v>167</v>
      </c>
      <c r="F2145" s="569"/>
      <c r="G2145" s="569"/>
      <c r="H2145" s="569"/>
      <c r="I2145" s="540"/>
      <c r="J2145" s="540"/>
      <c r="K2145" s="540"/>
      <c r="L2145" s="564"/>
      <c r="M2145" s="564"/>
      <c r="N2145" s="564"/>
    </row>
    <row r="2146" spans="1:16" x14ac:dyDescent="0.25">
      <c r="A2146" s="753"/>
      <c r="C2146" s="452" t="s">
        <v>174</v>
      </c>
      <c r="D2146" s="453">
        <f t="shared" si="154"/>
        <v>46080</v>
      </c>
      <c r="E2146" s="454" t="s">
        <v>168</v>
      </c>
      <c r="F2146" s="569" t="s">
        <v>1426</v>
      </c>
      <c r="G2146" s="569" t="s">
        <v>1426</v>
      </c>
      <c r="H2146" s="569"/>
      <c r="I2146" s="540"/>
      <c r="J2146" s="540"/>
      <c r="K2146" s="540"/>
      <c r="L2146" s="564"/>
      <c r="M2146" s="564"/>
      <c r="N2146" s="564"/>
    </row>
    <row r="2147" spans="1:16" x14ac:dyDescent="0.25">
      <c r="A2147" s="753"/>
      <c r="C2147" s="452" t="s">
        <v>174</v>
      </c>
      <c r="D2147" s="453">
        <f t="shared" si="154"/>
        <v>46080</v>
      </c>
      <c r="E2147" s="454" t="s">
        <v>169</v>
      </c>
      <c r="F2147" s="569"/>
      <c r="G2147" s="569"/>
      <c r="H2147" s="569"/>
      <c r="I2147" s="540"/>
      <c r="J2147" s="540"/>
      <c r="K2147" s="540"/>
      <c r="L2147" s="564"/>
      <c r="M2147" s="564"/>
      <c r="N2147" s="564"/>
    </row>
    <row r="2148" spans="1:16" x14ac:dyDescent="0.25">
      <c r="A2148" s="753"/>
      <c r="C2148" s="452" t="s">
        <v>174</v>
      </c>
      <c r="D2148" s="453">
        <f t="shared" si="154"/>
        <v>46080</v>
      </c>
      <c r="E2148" s="454" t="s">
        <v>170</v>
      </c>
      <c r="F2148" s="569"/>
      <c r="G2148" s="569"/>
      <c r="H2148" s="569"/>
      <c r="I2148" s="540"/>
      <c r="J2148" s="540"/>
      <c r="K2148" s="540"/>
      <c r="L2148" s="564"/>
      <c r="M2148" s="564"/>
      <c r="N2148" s="564"/>
    </row>
    <row r="2149" spans="1:16" x14ac:dyDescent="0.25">
      <c r="A2149" s="753"/>
      <c r="C2149" s="452" t="s">
        <v>174</v>
      </c>
      <c r="D2149" s="453">
        <f t="shared" si="154"/>
        <v>46080</v>
      </c>
      <c r="E2149" s="454" t="s">
        <v>585</v>
      </c>
      <c r="F2149" s="512"/>
      <c r="G2149" s="512"/>
      <c r="H2149" s="512"/>
      <c r="I2149" s="541"/>
      <c r="J2149" s="541"/>
      <c r="K2149" s="541"/>
      <c r="L2149" s="556"/>
      <c r="M2149" s="556"/>
      <c r="N2149" s="556"/>
    </row>
    <row r="2150" spans="1:16" x14ac:dyDescent="0.25">
      <c r="A2150" s="753"/>
      <c r="C2150" s="452" t="s">
        <v>174</v>
      </c>
      <c r="D2150" s="449">
        <f t="shared" si="154"/>
        <v>46080</v>
      </c>
      <c r="E2150" s="454" t="s">
        <v>574</v>
      </c>
      <c r="F2150" s="569"/>
      <c r="G2150" s="569"/>
      <c r="H2150" s="569"/>
      <c r="I2150" s="540"/>
      <c r="J2150" s="540"/>
      <c r="K2150" s="540"/>
      <c r="L2150" s="565"/>
      <c r="M2150" s="565"/>
      <c r="N2150" s="565"/>
    </row>
    <row r="2151" spans="1:16" x14ac:dyDescent="0.25">
      <c r="A2151" s="753"/>
      <c r="C2151" s="452" t="s">
        <v>174</v>
      </c>
      <c r="D2151" s="449">
        <f t="shared" si="154"/>
        <v>46080</v>
      </c>
      <c r="E2151" s="454" t="s">
        <v>575</v>
      </c>
      <c r="F2151" s="569"/>
      <c r="G2151" s="569"/>
      <c r="H2151" s="569"/>
      <c r="I2151" s="540"/>
      <c r="J2151" s="540"/>
      <c r="K2151" s="540"/>
      <c r="L2151" s="565"/>
      <c r="M2151" s="565"/>
      <c r="N2151" s="565"/>
    </row>
    <row r="2152" spans="1:16" x14ac:dyDescent="0.25">
      <c r="A2152" s="753"/>
      <c r="C2152" s="452" t="s">
        <v>174</v>
      </c>
      <c r="D2152" s="449">
        <f t="shared" si="154"/>
        <v>46080</v>
      </c>
      <c r="E2152" s="454" t="s">
        <v>583</v>
      </c>
      <c r="F2152" s="569"/>
      <c r="G2152" s="569"/>
      <c r="H2152" s="569"/>
      <c r="I2152" s="540"/>
      <c r="J2152" s="540"/>
      <c r="K2152" s="540"/>
      <c r="L2152" s="565"/>
      <c r="M2152" s="565"/>
      <c r="N2152" s="565"/>
    </row>
    <row r="2153" spans="1:16" x14ac:dyDescent="0.25">
      <c r="A2153" s="753"/>
      <c r="C2153" s="452" t="s">
        <v>174</v>
      </c>
      <c r="D2153" s="449">
        <f t="shared" si="154"/>
        <v>46080</v>
      </c>
      <c r="E2153" s="454" t="s">
        <v>584</v>
      </c>
      <c r="F2153" s="505"/>
      <c r="G2153" s="505"/>
      <c r="H2153" s="505"/>
      <c r="I2153" s="516"/>
      <c r="J2153" s="516"/>
      <c r="K2153" s="516"/>
      <c r="L2153" s="557"/>
      <c r="M2153" s="557"/>
      <c r="N2153" s="557"/>
    </row>
    <row r="2154" spans="1:16" x14ac:dyDescent="0.25">
      <c r="A2154" s="753" t="s">
        <v>1363</v>
      </c>
      <c r="C2154" s="452"/>
      <c r="D2154" s="449"/>
      <c r="E2154" s="454"/>
      <c r="F2154" s="505"/>
      <c r="G2154" s="505"/>
      <c r="H2154" s="505"/>
      <c r="I2154" s="516">
        <f t="shared" ref="I2154:N2154" si="155">IFERROR(SUM(I2155:I2170),0)</f>
        <v>7069.6498915671636</v>
      </c>
      <c r="J2154" s="516">
        <f t="shared" si="155"/>
        <v>0</v>
      </c>
      <c r="K2154" s="516">
        <f t="shared" si="155"/>
        <v>0</v>
      </c>
      <c r="L2154" s="557">
        <f t="shared" si="155"/>
        <v>0</v>
      </c>
      <c r="M2154" s="557">
        <f t="shared" si="155"/>
        <v>0</v>
      </c>
      <c r="N2154" s="557">
        <f t="shared" si="155"/>
        <v>0</v>
      </c>
      <c r="O2154">
        <f>SUM(I2154:K2154)</f>
        <v>7069.6498915671636</v>
      </c>
      <c r="P2154">
        <f>SUM(L2154:N2154)</f>
        <v>0</v>
      </c>
    </row>
    <row r="2155" spans="1:16" x14ac:dyDescent="0.25">
      <c r="A2155" s="753"/>
      <c r="C2155" s="452" t="s">
        <v>161</v>
      </c>
      <c r="D2155" s="449">
        <v>46083</v>
      </c>
      <c r="E2155" s="455" t="s">
        <v>573</v>
      </c>
      <c r="F2155" s="505"/>
      <c r="G2155" s="505"/>
      <c r="H2155" s="505"/>
      <c r="I2155" s="516"/>
      <c r="J2155" s="516"/>
      <c r="K2155" s="516"/>
      <c r="L2155" s="557"/>
      <c r="M2155" s="557"/>
      <c r="N2155" s="557"/>
    </row>
    <row r="2156" spans="1:16" x14ac:dyDescent="0.25">
      <c r="A2156" s="753"/>
      <c r="C2156" s="452" t="s">
        <v>161</v>
      </c>
      <c r="D2156" s="449">
        <f t="shared" ref="D2156:D2170" si="156">D2155</f>
        <v>46083</v>
      </c>
      <c r="E2156" s="455" t="s">
        <v>162</v>
      </c>
      <c r="F2156" s="506" t="s">
        <v>1378</v>
      </c>
      <c r="G2156" s="506"/>
      <c r="H2156" s="506"/>
      <c r="I2156" s="516">
        <f>INDEX([1]Produtos!$L:$L,MATCH(IF(ISNUMBER(FIND(" - ",F2156)),LEFT(F2156,FIND(" - ",F2156)-1),F2156),[1]Produtos!$C:$C,0))</f>
        <v>785.51665461857374</v>
      </c>
      <c r="J2156" s="516" t="e">
        <f>INDEX([1]Produtos!$L:$L,MATCH(IF(ISNUMBER(FIND(" - ",G2156)),LEFT(G2156,FIND(" - ",G2156)-1),G2156),[1]Produtos!$C:$C,0))</f>
        <v>#N/A</v>
      </c>
      <c r="K2156" s="516" t="e">
        <f>INDEX([1]Produtos!$L:$L,MATCH(IF(ISNUMBER(FIND(" - ",H2156)),LEFT(H2156,FIND(" - ",H2156)-1),H2156),[1]Produtos!$C:$C,0))</f>
        <v>#N/A</v>
      </c>
      <c r="L2156" s="557" t="e">
        <f>INDEX([1]Produtos!$L:$L,MATCH(F2156,[1]Produtos!$C:$C,0))*INDEX([2]Pedidos!$Q:$Q,MATCH(F2156,[2]Pedidos!$E:$E,0))</f>
        <v>#N/A</v>
      </c>
      <c r="M2156" s="557" t="e">
        <f>INDEX([1]Produtos!$L:$L,MATCH(G2156,[1]Produtos!$C:$C,0))*INDEX([2]Pedidos!$Q:$Q,MATCH(G2156,[2]Pedidos!$E:$E,0))</f>
        <v>#N/A</v>
      </c>
      <c r="N2156" s="557" t="e">
        <f>INDEX([1]Produtos!$L:$L,MATCH(H2156,[1]Produtos!$C:$C,0))*INDEX([2]Pedidos!$Q:$Q,MATCH(H2156,[2]Pedidos!$E:$E,0))</f>
        <v>#N/A</v>
      </c>
    </row>
    <row r="2157" spans="1:16" x14ac:dyDescent="0.25">
      <c r="A2157" s="753"/>
      <c r="C2157" s="452" t="s">
        <v>161</v>
      </c>
      <c r="D2157" s="502">
        <f t="shared" si="156"/>
        <v>46083</v>
      </c>
      <c r="E2157" s="503" t="s">
        <v>163</v>
      </c>
      <c r="F2157" s="506" t="s">
        <v>1378</v>
      </c>
      <c r="G2157" s="506"/>
      <c r="H2157" s="506"/>
      <c r="I2157" s="516">
        <f>INDEX([1]Produtos!$L:$L,MATCH(IF(ISNUMBER(FIND(" - ",F2157)),LEFT(F2157,FIND(" - ",F2157)-1),F2157),[1]Produtos!$C:$C,0))</f>
        <v>785.51665461857374</v>
      </c>
      <c r="J2157" s="516" t="e">
        <f>INDEX([1]Produtos!$L:$L,MATCH(IF(ISNUMBER(FIND(" - ",G2157)),LEFT(G2157,FIND(" - ",G2157)-1),G2157),[1]Produtos!$C:$C,0))</f>
        <v>#N/A</v>
      </c>
      <c r="K2157" s="516" t="e">
        <f>INDEX([1]Produtos!$L:$L,MATCH(IF(ISNUMBER(FIND(" - ",H2157)),LEFT(H2157,FIND(" - ",H2157)-1),H2157),[1]Produtos!$C:$C,0))</f>
        <v>#N/A</v>
      </c>
      <c r="L2157" s="557" t="e">
        <f>INDEX([1]Produtos!$L:$L,MATCH(F2157,[1]Produtos!$C:$C,0))*INDEX([2]Pedidos!$Q:$Q,MATCH(F2157,[2]Pedidos!$E:$E,0))</f>
        <v>#N/A</v>
      </c>
      <c r="M2157" s="557" t="e">
        <f>INDEX([1]Produtos!$L:$L,MATCH(G2157,[1]Produtos!$C:$C,0))*INDEX([2]Pedidos!$Q:$Q,MATCH(G2157,[2]Pedidos!$E:$E,0))</f>
        <v>#N/A</v>
      </c>
      <c r="N2157" s="557" t="e">
        <f>INDEX([1]Produtos!$L:$L,MATCH(H2157,[1]Produtos!$C:$C,0))*INDEX([2]Pedidos!$Q:$Q,MATCH(H2157,[2]Pedidos!$E:$E,0))</f>
        <v>#N/A</v>
      </c>
    </row>
    <row r="2158" spans="1:16" ht="15.75" thickBot="1" x14ac:dyDescent="0.3">
      <c r="A2158" s="753"/>
      <c r="C2158" s="530" t="s">
        <v>161</v>
      </c>
      <c r="D2158" s="451">
        <f t="shared" si="156"/>
        <v>46083</v>
      </c>
      <c r="E2158" s="459" t="s">
        <v>164</v>
      </c>
      <c r="F2158" s="493" t="s">
        <v>1378</v>
      </c>
      <c r="G2158" s="493"/>
      <c r="H2158" s="493"/>
      <c r="I2158" s="513">
        <f>INDEX([1]Produtos!$L:$L,MATCH(IF(ISNUMBER(FIND(" - ",F2158)),LEFT(F2158,FIND(" - ",F2158)-1),F2158),[1]Produtos!$C:$C,0))</f>
        <v>785.51665461857374</v>
      </c>
      <c r="J2158" s="513" t="e">
        <f>INDEX([1]Produtos!$L:$L,MATCH(IF(ISNUMBER(FIND(" - ",G2158)),LEFT(G2158,FIND(" - ",G2158)-1),G2158),[1]Produtos!$C:$C,0))</f>
        <v>#N/A</v>
      </c>
      <c r="K2158" s="513" t="e">
        <f>INDEX([1]Produtos!$L:$L,MATCH(IF(ISNUMBER(FIND(" - ",H2158)),LEFT(H2158,FIND(" - ",H2158)-1),H2158),[1]Produtos!$C:$C,0))</f>
        <v>#N/A</v>
      </c>
      <c r="L2158" s="558" t="e">
        <f>INDEX([1]Produtos!$L:$L,MATCH(F2158,[1]Produtos!$C:$C,0))*INDEX([2]Pedidos!$Q:$Q,MATCH(F2158,[2]Pedidos!$E:$E,0))</f>
        <v>#N/A</v>
      </c>
      <c r="M2158" s="558" t="e">
        <f>INDEX([1]Produtos!$L:$L,MATCH(G2158,[1]Produtos!$C:$C,0))*INDEX([2]Pedidos!$Q:$Q,MATCH(G2158,[2]Pedidos!$E:$E,0))</f>
        <v>#N/A</v>
      </c>
      <c r="N2158" s="558" t="e">
        <f>INDEX([1]Produtos!$L:$L,MATCH(H2158,[1]Produtos!$C:$C,0))*INDEX([2]Pedidos!$Q:$Q,MATCH(H2158,[2]Pedidos!$E:$E,0))</f>
        <v>#N/A</v>
      </c>
    </row>
    <row r="2159" spans="1:16" x14ac:dyDescent="0.25">
      <c r="C2159" t="s">
        <v>161</v>
      </c>
      <c r="D2159">
        <f t="shared" si="156"/>
        <v>46083</v>
      </c>
      <c r="E2159" t="s">
        <v>165</v>
      </c>
      <c r="F2159" t="s">
        <v>1378</v>
      </c>
      <c r="I2159">
        <f>INDEX([1]Produtos!$L:$L,MATCH(IF(ISNUMBER(FIND(" - ",F2159)),LEFT(F2159,FIND(" - ",F2159)-1),F2159),[1]Produtos!$C:$C,0))</f>
        <v>785.51665461857374</v>
      </c>
      <c r="J2159" t="e">
        <f>INDEX([1]Produtos!$L:$L,MATCH(IF(ISNUMBER(FIND(" - ",G2159)),LEFT(G2159,FIND(" - ",G2159)-1),G2159),[1]Produtos!$C:$C,0))</f>
        <v>#N/A</v>
      </c>
      <c r="K2159" t="e">
        <f>INDEX([1]Produtos!$L:$L,MATCH(IF(ISNUMBER(FIND(" - ",H2159)),LEFT(H2159,FIND(" - ",H2159)-1),H2159),[1]Produtos!$C:$C,0))</f>
        <v>#N/A</v>
      </c>
      <c r="L2159" t="e">
        <f>INDEX([1]Produtos!$L:$L,MATCH(F2159,[1]Produtos!$C:$C,0))*INDEX([2]Pedidos!$Q:$Q,MATCH(F2159,[2]Pedidos!$E:$E,0))</f>
        <v>#N/A</v>
      </c>
      <c r="M2159" t="e">
        <f>INDEX([1]Produtos!$L:$L,MATCH(G2159,[1]Produtos!$C:$C,0))*INDEX([2]Pedidos!$Q:$Q,MATCH(G2159,[2]Pedidos!$E:$E,0))</f>
        <v>#N/A</v>
      </c>
      <c r="N2159" t="e">
        <f>INDEX([1]Produtos!$L:$L,MATCH(H2159,[1]Produtos!$C:$C,0))*INDEX([2]Pedidos!$Q:$Q,MATCH(H2159,[2]Pedidos!$E:$E,0))</f>
        <v>#N/A</v>
      </c>
    </row>
    <row r="2160" spans="1:16" x14ac:dyDescent="0.25">
      <c r="C2160" t="s">
        <v>161</v>
      </c>
      <c r="D2160">
        <f t="shared" si="156"/>
        <v>46083</v>
      </c>
      <c r="E2160" t="s">
        <v>166</v>
      </c>
      <c r="F2160" t="s">
        <v>1378</v>
      </c>
      <c r="I2160">
        <f>INDEX([1]Produtos!$L:$L,MATCH(IF(ISNUMBER(FIND(" - ",F2160)),LEFT(F2160,FIND(" - ",F2160)-1),F2160),[1]Produtos!$C:$C,0))</f>
        <v>785.51665461857374</v>
      </c>
      <c r="J2160" t="e">
        <f>INDEX([1]Produtos!$L:$L,MATCH(IF(ISNUMBER(FIND(" - ",G2160)),LEFT(G2160,FIND(" - ",G2160)-1),G2160),[1]Produtos!$C:$C,0))</f>
        <v>#N/A</v>
      </c>
      <c r="K2160" t="e">
        <f>INDEX([1]Produtos!$L:$L,MATCH(IF(ISNUMBER(FIND(" - ",H2160)),LEFT(H2160,FIND(" - ",H2160)-1),H2160),[1]Produtos!$C:$C,0))</f>
        <v>#N/A</v>
      </c>
      <c r="L2160" t="e">
        <f>INDEX([1]Produtos!$L:$L,MATCH(F2160,[1]Produtos!$C:$C,0))*INDEX([2]Pedidos!$Q:$Q,MATCH(F2160,[2]Pedidos!$E:$E,0))</f>
        <v>#N/A</v>
      </c>
      <c r="M2160" t="e">
        <f>INDEX([1]Produtos!$L:$L,MATCH(G2160,[1]Produtos!$C:$C,0))*INDEX([2]Pedidos!$Q:$Q,MATCH(G2160,[2]Pedidos!$E:$E,0))</f>
        <v>#N/A</v>
      </c>
      <c r="N2160" t="e">
        <f>INDEX([1]Produtos!$L:$L,MATCH(H2160,[1]Produtos!$C:$C,0))*INDEX([2]Pedidos!$Q:$Q,MATCH(H2160,[2]Pedidos!$E:$E,0))</f>
        <v>#N/A</v>
      </c>
    </row>
    <row r="2161" spans="3:16" x14ac:dyDescent="0.25">
      <c r="C2161" t="s">
        <v>161</v>
      </c>
      <c r="D2161">
        <f t="shared" si="156"/>
        <v>46083</v>
      </c>
      <c r="E2161" t="s">
        <v>576</v>
      </c>
      <c r="H2161" t="s">
        <v>1449</v>
      </c>
    </row>
    <row r="2162" spans="3:16" x14ac:dyDescent="0.25">
      <c r="C2162" t="s">
        <v>161</v>
      </c>
      <c r="D2162">
        <f t="shared" si="156"/>
        <v>46083</v>
      </c>
      <c r="E2162" t="s">
        <v>167</v>
      </c>
      <c r="F2162" t="s">
        <v>1378</v>
      </c>
      <c r="I2162">
        <f>INDEX([1]Produtos!$L:$L,MATCH(IF(ISNUMBER(FIND(" - ",F2162)),LEFT(F2162,FIND(" - ",F2162)-1),F2162),[1]Produtos!$C:$C,0))</f>
        <v>785.51665461857374</v>
      </c>
      <c r="J2162" t="e">
        <f>INDEX([1]Produtos!$L:$L,MATCH(IF(ISNUMBER(FIND(" - ",G2162)),LEFT(G2162,FIND(" - ",G2162)-1),G2162),[1]Produtos!$C:$C,0))</f>
        <v>#N/A</v>
      </c>
      <c r="K2162" t="e">
        <f>INDEX([1]Produtos!$L:$L,MATCH(IF(ISNUMBER(FIND(" - ",H2162)),LEFT(H2162,FIND(" - ",H2162)-1),H2162),[1]Produtos!$C:$C,0))</f>
        <v>#N/A</v>
      </c>
      <c r="L2162" t="e">
        <f>INDEX([1]Produtos!$L:$L,MATCH(F2162,[1]Produtos!$C:$C,0))*INDEX([2]Pedidos!$Q:$Q,MATCH(F2162,[2]Pedidos!$E:$E,0))</f>
        <v>#N/A</v>
      </c>
      <c r="M2162" t="e">
        <f>INDEX([1]Produtos!$L:$L,MATCH(G2162,[1]Produtos!$C:$C,0))*INDEX([2]Pedidos!$Q:$Q,MATCH(G2162,[2]Pedidos!$E:$E,0))</f>
        <v>#N/A</v>
      </c>
      <c r="N2162" t="e">
        <f>INDEX([1]Produtos!$L:$L,MATCH(H2162,[1]Produtos!$C:$C,0))*INDEX([2]Pedidos!$Q:$Q,MATCH(H2162,[2]Pedidos!$E:$E,0))</f>
        <v>#N/A</v>
      </c>
    </row>
    <row r="2163" spans="3:16" x14ac:dyDescent="0.25">
      <c r="C2163" t="s">
        <v>161</v>
      </c>
      <c r="D2163">
        <f t="shared" si="156"/>
        <v>46083</v>
      </c>
      <c r="E2163" t="s">
        <v>168</v>
      </c>
      <c r="F2163" t="s">
        <v>1378</v>
      </c>
      <c r="I2163">
        <f>INDEX([1]Produtos!$L:$L,MATCH(IF(ISNUMBER(FIND(" - ",F2163)),LEFT(F2163,FIND(" - ",F2163)-1),F2163),[1]Produtos!$C:$C,0))</f>
        <v>785.51665461857374</v>
      </c>
      <c r="J2163" t="e">
        <f>INDEX([1]Produtos!$L:$L,MATCH(IF(ISNUMBER(FIND(" - ",G2163)),LEFT(G2163,FIND(" - ",G2163)-1),G2163),[1]Produtos!$C:$C,0))</f>
        <v>#N/A</v>
      </c>
      <c r="K2163" t="e">
        <f>INDEX([1]Produtos!$L:$L,MATCH(IF(ISNUMBER(FIND(" - ",H2163)),LEFT(H2163,FIND(" - ",H2163)-1),H2163),[1]Produtos!$C:$C,0))</f>
        <v>#N/A</v>
      </c>
      <c r="L2163" t="e">
        <f>INDEX([1]Produtos!$L:$L,MATCH(F2163,[1]Produtos!$C:$C,0))*INDEX([2]Pedidos!$Q:$Q,MATCH(F2163,[2]Pedidos!$E:$E,0))</f>
        <v>#N/A</v>
      </c>
      <c r="M2163" t="e">
        <f>INDEX([1]Produtos!$L:$L,MATCH(G2163,[1]Produtos!$C:$C,0))*INDEX([2]Pedidos!$Q:$Q,MATCH(G2163,[2]Pedidos!$E:$E,0))</f>
        <v>#N/A</v>
      </c>
      <c r="N2163" t="e">
        <f>INDEX([1]Produtos!$L:$L,MATCH(H2163,[1]Produtos!$C:$C,0))*INDEX([2]Pedidos!$Q:$Q,MATCH(H2163,[2]Pedidos!$E:$E,0))</f>
        <v>#N/A</v>
      </c>
    </row>
    <row r="2164" spans="3:16" x14ac:dyDescent="0.25">
      <c r="C2164" t="s">
        <v>161</v>
      </c>
      <c r="D2164">
        <f t="shared" si="156"/>
        <v>46083</v>
      </c>
      <c r="E2164" t="s">
        <v>169</v>
      </c>
      <c r="F2164" t="s">
        <v>1378</v>
      </c>
      <c r="I2164">
        <f>INDEX([1]Produtos!$L:$L,MATCH(IF(ISNUMBER(FIND(" - ",F2164)),LEFT(F2164,FIND(" - ",F2164)-1),F2164),[1]Produtos!$C:$C,0))</f>
        <v>785.51665461857374</v>
      </c>
      <c r="J2164" t="e">
        <f>INDEX([1]Produtos!$L:$L,MATCH(IF(ISNUMBER(FIND(" - ",G2164)),LEFT(G2164,FIND(" - ",G2164)-1),G2164),[1]Produtos!$C:$C,0))</f>
        <v>#N/A</v>
      </c>
      <c r="K2164" t="e">
        <f>INDEX([1]Produtos!$L:$L,MATCH(IF(ISNUMBER(FIND(" - ",H2164)),LEFT(H2164,FIND(" - ",H2164)-1),H2164),[1]Produtos!$C:$C,0))</f>
        <v>#N/A</v>
      </c>
      <c r="L2164" t="e">
        <f>INDEX([1]Produtos!$L:$L,MATCH(F2164,[1]Produtos!$C:$C,0))*INDEX([2]Pedidos!$Q:$Q,MATCH(F2164,[2]Pedidos!$E:$E,0))</f>
        <v>#N/A</v>
      </c>
      <c r="M2164" t="e">
        <f>INDEX([1]Produtos!$L:$L,MATCH(G2164,[1]Produtos!$C:$C,0))*INDEX([2]Pedidos!$Q:$Q,MATCH(G2164,[2]Pedidos!$E:$E,0))</f>
        <v>#N/A</v>
      </c>
      <c r="N2164" t="e">
        <f>INDEX([1]Produtos!$L:$L,MATCH(H2164,[1]Produtos!$C:$C,0))*INDEX([2]Pedidos!$Q:$Q,MATCH(H2164,[2]Pedidos!$E:$E,0))</f>
        <v>#N/A</v>
      </c>
    </row>
    <row r="2165" spans="3:16" x14ac:dyDescent="0.25">
      <c r="C2165" t="s">
        <v>161</v>
      </c>
      <c r="D2165">
        <f t="shared" si="156"/>
        <v>46083</v>
      </c>
      <c r="E2165" t="s">
        <v>170</v>
      </c>
      <c r="F2165" t="s">
        <v>1378</v>
      </c>
      <c r="I2165">
        <f>INDEX([1]Produtos!$L:$L,MATCH(IF(ISNUMBER(FIND(" - ",F2165)),LEFT(F2165,FIND(" - ",F2165)-1),F2165),[1]Produtos!$C:$C,0))</f>
        <v>785.51665461857374</v>
      </c>
      <c r="J2165" t="e">
        <f>INDEX([1]Produtos!$L:$L,MATCH(IF(ISNUMBER(FIND(" - ",G2165)),LEFT(G2165,FIND(" - ",G2165)-1),G2165),[1]Produtos!$C:$C,0))</f>
        <v>#N/A</v>
      </c>
      <c r="K2165" t="e">
        <f>INDEX([1]Produtos!$L:$L,MATCH(IF(ISNUMBER(FIND(" - ",H2165)),LEFT(H2165,FIND(" - ",H2165)-1),H2165),[1]Produtos!$C:$C,0))</f>
        <v>#N/A</v>
      </c>
      <c r="L2165" t="e">
        <f>INDEX([1]Produtos!$L:$L,MATCH(F2165,[1]Produtos!$C:$C,0))*INDEX([2]Pedidos!$Q:$Q,MATCH(F2165,[2]Pedidos!$E:$E,0))</f>
        <v>#N/A</v>
      </c>
      <c r="M2165" t="e">
        <f>INDEX([1]Produtos!$L:$L,MATCH(G2165,[1]Produtos!$C:$C,0))*INDEX([2]Pedidos!$Q:$Q,MATCH(G2165,[2]Pedidos!$E:$E,0))</f>
        <v>#N/A</v>
      </c>
      <c r="N2165" t="e">
        <f>INDEX([1]Produtos!$L:$L,MATCH(H2165,[1]Produtos!$C:$C,0))*INDEX([2]Pedidos!$Q:$Q,MATCH(H2165,[2]Pedidos!$E:$E,0))</f>
        <v>#N/A</v>
      </c>
    </row>
    <row r="2166" spans="3:16" x14ac:dyDescent="0.25">
      <c r="C2166" t="s">
        <v>161</v>
      </c>
      <c r="D2166">
        <f t="shared" si="156"/>
        <v>46083</v>
      </c>
      <c r="E2166" t="s">
        <v>585</v>
      </c>
    </row>
    <row r="2167" spans="3:16" x14ac:dyDescent="0.25">
      <c r="C2167" t="s">
        <v>161</v>
      </c>
      <c r="D2167">
        <f t="shared" si="156"/>
        <v>46083</v>
      </c>
      <c r="E2167" t="s">
        <v>574</v>
      </c>
    </row>
    <row r="2168" spans="3:16" x14ac:dyDescent="0.25">
      <c r="C2168" t="s">
        <v>161</v>
      </c>
      <c r="D2168">
        <f t="shared" si="156"/>
        <v>46083</v>
      </c>
      <c r="E2168" t="s">
        <v>575</v>
      </c>
    </row>
    <row r="2169" spans="3:16" x14ac:dyDescent="0.25">
      <c r="C2169" t="s">
        <v>161</v>
      </c>
      <c r="D2169">
        <f t="shared" si="156"/>
        <v>46083</v>
      </c>
      <c r="E2169" t="s">
        <v>583</v>
      </c>
    </row>
    <row r="2170" spans="3:16" x14ac:dyDescent="0.25">
      <c r="C2170" t="s">
        <v>161</v>
      </c>
      <c r="D2170">
        <f t="shared" si="156"/>
        <v>46083</v>
      </c>
      <c r="E2170" t="s">
        <v>584</v>
      </c>
    </row>
    <row r="2172" spans="3:16" x14ac:dyDescent="0.25">
      <c r="I2172">
        <f t="shared" ref="I2172:N2172" si="157">IFERROR(SUM(I2173:I2188),0)</f>
        <v>7069.6498915671636</v>
      </c>
      <c r="J2172">
        <f t="shared" si="157"/>
        <v>0</v>
      </c>
      <c r="K2172">
        <f t="shared" si="157"/>
        <v>0</v>
      </c>
      <c r="L2172">
        <f t="shared" si="157"/>
        <v>0</v>
      </c>
      <c r="M2172">
        <f t="shared" si="157"/>
        <v>0</v>
      </c>
      <c r="N2172">
        <f t="shared" si="157"/>
        <v>0</v>
      </c>
      <c r="O2172">
        <f>SUM(I2172:K2172)</f>
        <v>7069.6498915671636</v>
      </c>
      <c r="P2172">
        <f>SUM(L2172:N2172)</f>
        <v>0</v>
      </c>
    </row>
    <row r="2173" spans="3:16" x14ac:dyDescent="0.25">
      <c r="C2173" t="s">
        <v>171</v>
      </c>
      <c r="D2173">
        <f>D2170+1</f>
        <v>46084</v>
      </c>
      <c r="E2173" t="s">
        <v>573</v>
      </c>
    </row>
    <row r="2174" spans="3:16" x14ac:dyDescent="0.25">
      <c r="C2174" t="s">
        <v>171</v>
      </c>
      <c r="D2174">
        <f t="shared" ref="D2174:D2188" si="158">D2173</f>
        <v>46084</v>
      </c>
      <c r="E2174" t="s">
        <v>162</v>
      </c>
      <c r="F2174" t="s">
        <v>1378</v>
      </c>
      <c r="I2174">
        <f>INDEX([1]Produtos!$L:$L,MATCH(IF(ISNUMBER(FIND(" - ",F2174)),LEFT(F2174,FIND(" - ",F2174)-1),F2174),[1]Produtos!$C:$C,0))</f>
        <v>785.51665461857374</v>
      </c>
      <c r="J2174" t="e">
        <f>INDEX([1]Produtos!$L:$L,MATCH(IF(ISNUMBER(FIND(" - ",G2174)),LEFT(G2174,FIND(" - ",G2174)-1),G2174),[1]Produtos!$C:$C,0))</f>
        <v>#N/A</v>
      </c>
      <c r="K2174" t="e">
        <f>INDEX([1]Produtos!$L:$L,MATCH(IF(ISNUMBER(FIND(" - ",H2174)),LEFT(H2174,FIND(" - ",H2174)-1),H2174),[1]Produtos!$C:$C,0))</f>
        <v>#N/A</v>
      </c>
      <c r="L2174" t="e">
        <f>INDEX([1]Produtos!$L:$L,MATCH(F2174,[1]Produtos!$C:$C,0))*INDEX([2]Pedidos!$Q:$Q,MATCH(F2174,[2]Pedidos!$E:$E,0))</f>
        <v>#N/A</v>
      </c>
      <c r="M2174" t="e">
        <f>INDEX([1]Produtos!$L:$L,MATCH(G2174,[1]Produtos!$C:$C,0))*INDEX([2]Pedidos!$Q:$Q,MATCH(G2174,[2]Pedidos!$E:$E,0))</f>
        <v>#N/A</v>
      </c>
      <c r="N2174" t="e">
        <f>INDEX([1]Produtos!$L:$L,MATCH(H2174,[1]Produtos!$C:$C,0))*INDEX([2]Pedidos!$Q:$Q,MATCH(H2174,[2]Pedidos!$E:$E,0))</f>
        <v>#N/A</v>
      </c>
    </row>
    <row r="2175" spans="3:16" x14ac:dyDescent="0.25">
      <c r="C2175" t="s">
        <v>171</v>
      </c>
      <c r="D2175">
        <f t="shared" si="158"/>
        <v>46084</v>
      </c>
      <c r="E2175" t="s">
        <v>163</v>
      </c>
      <c r="F2175" t="s">
        <v>1378</v>
      </c>
      <c r="I2175">
        <f>INDEX([1]Produtos!$L:$L,MATCH(IF(ISNUMBER(FIND(" - ",F2175)),LEFT(F2175,FIND(" - ",F2175)-1),F2175),[1]Produtos!$C:$C,0))</f>
        <v>785.51665461857374</v>
      </c>
      <c r="J2175" t="e">
        <f>INDEX([1]Produtos!$L:$L,MATCH(IF(ISNUMBER(FIND(" - ",G2175)),LEFT(G2175,FIND(" - ",G2175)-1),G2175),[1]Produtos!$C:$C,0))</f>
        <v>#N/A</v>
      </c>
      <c r="K2175" t="e">
        <f>INDEX([1]Produtos!$L:$L,MATCH(IF(ISNUMBER(FIND(" - ",H2175)),LEFT(H2175,FIND(" - ",H2175)-1),H2175),[1]Produtos!$C:$C,0))</f>
        <v>#N/A</v>
      </c>
      <c r="L2175" t="e">
        <f>INDEX([1]Produtos!$L:$L,MATCH(F2175,[1]Produtos!$C:$C,0))*INDEX([2]Pedidos!$Q:$Q,MATCH(F2175,[2]Pedidos!$E:$E,0))</f>
        <v>#N/A</v>
      </c>
      <c r="M2175" t="e">
        <f>INDEX([1]Produtos!$L:$L,MATCH(G2175,[1]Produtos!$C:$C,0))*INDEX([2]Pedidos!$Q:$Q,MATCH(G2175,[2]Pedidos!$E:$E,0))</f>
        <v>#N/A</v>
      </c>
      <c r="N2175" t="e">
        <f>INDEX([1]Produtos!$L:$L,MATCH(H2175,[1]Produtos!$C:$C,0))*INDEX([2]Pedidos!$Q:$Q,MATCH(H2175,[2]Pedidos!$E:$E,0))</f>
        <v>#N/A</v>
      </c>
    </row>
    <row r="2176" spans="3:16" x14ac:dyDescent="0.25">
      <c r="C2176" t="s">
        <v>171</v>
      </c>
      <c r="D2176">
        <f t="shared" si="158"/>
        <v>46084</v>
      </c>
      <c r="E2176" t="s">
        <v>164</v>
      </c>
      <c r="F2176" t="s">
        <v>1378</v>
      </c>
      <c r="I2176">
        <f>INDEX([1]Produtos!$L:$L,MATCH(IF(ISNUMBER(FIND(" - ",F2176)),LEFT(F2176,FIND(" - ",F2176)-1),F2176),[1]Produtos!$C:$C,0))</f>
        <v>785.51665461857374</v>
      </c>
      <c r="J2176" t="e">
        <f>INDEX([1]Produtos!$L:$L,MATCH(IF(ISNUMBER(FIND(" - ",G2176)),LEFT(G2176,FIND(" - ",G2176)-1),G2176),[1]Produtos!$C:$C,0))</f>
        <v>#N/A</v>
      </c>
      <c r="K2176" t="e">
        <f>INDEX([1]Produtos!$L:$L,MATCH(IF(ISNUMBER(FIND(" - ",H2176)),LEFT(H2176,FIND(" - ",H2176)-1),H2176),[1]Produtos!$C:$C,0))</f>
        <v>#N/A</v>
      </c>
      <c r="L2176" t="e">
        <f>INDEX([1]Produtos!$L:$L,MATCH(F2176,[1]Produtos!$C:$C,0))*INDEX([2]Pedidos!$Q:$Q,MATCH(F2176,[2]Pedidos!$E:$E,0))</f>
        <v>#N/A</v>
      </c>
      <c r="M2176" t="e">
        <f>INDEX([1]Produtos!$L:$L,MATCH(G2176,[1]Produtos!$C:$C,0))*INDEX([2]Pedidos!$Q:$Q,MATCH(G2176,[2]Pedidos!$E:$E,0))</f>
        <v>#N/A</v>
      </c>
      <c r="N2176" t="e">
        <f>INDEX([1]Produtos!$L:$L,MATCH(H2176,[1]Produtos!$C:$C,0))*INDEX([2]Pedidos!$Q:$Q,MATCH(H2176,[2]Pedidos!$E:$E,0))</f>
        <v>#N/A</v>
      </c>
    </row>
    <row r="2177" spans="3:16" x14ac:dyDescent="0.25">
      <c r="C2177" t="s">
        <v>171</v>
      </c>
      <c r="D2177">
        <f t="shared" si="158"/>
        <v>46084</v>
      </c>
      <c r="E2177" t="s">
        <v>165</v>
      </c>
      <c r="F2177" t="s">
        <v>1378</v>
      </c>
      <c r="I2177">
        <f>INDEX([1]Produtos!$L:$L,MATCH(IF(ISNUMBER(FIND(" - ",F2177)),LEFT(F2177,FIND(" - ",F2177)-1),F2177),[1]Produtos!$C:$C,0))</f>
        <v>785.51665461857374</v>
      </c>
      <c r="J2177" t="e">
        <f>INDEX([1]Produtos!$L:$L,MATCH(IF(ISNUMBER(FIND(" - ",G2177)),LEFT(G2177,FIND(" - ",G2177)-1),G2177),[1]Produtos!$C:$C,0))</f>
        <v>#N/A</v>
      </c>
      <c r="K2177" t="e">
        <f>INDEX([1]Produtos!$L:$L,MATCH(IF(ISNUMBER(FIND(" - ",H2177)),LEFT(H2177,FIND(" - ",H2177)-1),H2177),[1]Produtos!$C:$C,0))</f>
        <v>#N/A</v>
      </c>
      <c r="L2177" t="e">
        <f>INDEX([1]Produtos!$L:$L,MATCH(F2177,[1]Produtos!$C:$C,0))*INDEX([2]Pedidos!$Q:$Q,MATCH(F2177,[2]Pedidos!$E:$E,0))</f>
        <v>#N/A</v>
      </c>
      <c r="M2177" t="e">
        <f>INDEX([1]Produtos!$L:$L,MATCH(G2177,[1]Produtos!$C:$C,0))*INDEX([2]Pedidos!$Q:$Q,MATCH(G2177,[2]Pedidos!$E:$E,0))</f>
        <v>#N/A</v>
      </c>
      <c r="N2177" t="e">
        <f>INDEX([1]Produtos!$L:$L,MATCH(H2177,[1]Produtos!$C:$C,0))*INDEX([2]Pedidos!$Q:$Q,MATCH(H2177,[2]Pedidos!$E:$E,0))</f>
        <v>#N/A</v>
      </c>
    </row>
    <row r="2178" spans="3:16" x14ac:dyDescent="0.25">
      <c r="C2178" t="s">
        <v>171</v>
      </c>
      <c r="D2178">
        <f t="shared" si="158"/>
        <v>46084</v>
      </c>
      <c r="E2178" t="s">
        <v>166</v>
      </c>
      <c r="F2178" t="s">
        <v>1378</v>
      </c>
      <c r="I2178">
        <f>INDEX([1]Produtos!$L:$L,MATCH(IF(ISNUMBER(FIND(" - ",F2178)),LEFT(F2178,FIND(" - ",F2178)-1),F2178),[1]Produtos!$C:$C,0))</f>
        <v>785.51665461857374</v>
      </c>
      <c r="J2178" t="e">
        <f>INDEX([1]Produtos!$L:$L,MATCH(IF(ISNUMBER(FIND(" - ",G2178)),LEFT(G2178,FIND(" - ",G2178)-1),G2178),[1]Produtos!$C:$C,0))</f>
        <v>#N/A</v>
      </c>
      <c r="K2178" t="e">
        <f>INDEX([1]Produtos!$L:$L,MATCH(IF(ISNUMBER(FIND(" - ",H2178)),LEFT(H2178,FIND(" - ",H2178)-1),H2178),[1]Produtos!$C:$C,0))</f>
        <v>#N/A</v>
      </c>
      <c r="L2178" t="e">
        <f>INDEX([1]Produtos!$L:$L,MATCH(F2178,[1]Produtos!$C:$C,0))*INDEX([2]Pedidos!$Q:$Q,MATCH(F2178,[2]Pedidos!$E:$E,0))</f>
        <v>#N/A</v>
      </c>
      <c r="M2178" t="e">
        <f>INDEX([1]Produtos!$L:$L,MATCH(G2178,[1]Produtos!$C:$C,0))*INDEX([2]Pedidos!$Q:$Q,MATCH(G2178,[2]Pedidos!$E:$E,0))</f>
        <v>#N/A</v>
      </c>
      <c r="N2178" t="e">
        <f>INDEX([1]Produtos!$L:$L,MATCH(H2178,[1]Produtos!$C:$C,0))*INDEX([2]Pedidos!$Q:$Q,MATCH(H2178,[2]Pedidos!$E:$E,0))</f>
        <v>#N/A</v>
      </c>
    </row>
    <row r="2179" spans="3:16" x14ac:dyDescent="0.25">
      <c r="C2179" t="s">
        <v>171</v>
      </c>
      <c r="D2179">
        <f t="shared" si="158"/>
        <v>46084</v>
      </c>
      <c r="E2179" t="s">
        <v>576</v>
      </c>
    </row>
    <row r="2180" spans="3:16" x14ac:dyDescent="0.25">
      <c r="C2180" t="s">
        <v>171</v>
      </c>
      <c r="D2180">
        <f t="shared" si="158"/>
        <v>46084</v>
      </c>
      <c r="E2180" t="s">
        <v>167</v>
      </c>
      <c r="F2180" t="s">
        <v>1378</v>
      </c>
      <c r="I2180">
        <f>INDEX([1]Produtos!$L:$L,MATCH(IF(ISNUMBER(FIND(" - ",F2180)),LEFT(F2180,FIND(" - ",F2180)-1),F2180),[1]Produtos!$C:$C,0))</f>
        <v>785.51665461857374</v>
      </c>
      <c r="J2180" t="e">
        <f>INDEX([1]Produtos!$L:$L,MATCH(IF(ISNUMBER(FIND(" - ",G2180)),LEFT(G2180,FIND(" - ",G2180)-1),G2180),[1]Produtos!$C:$C,0))</f>
        <v>#N/A</v>
      </c>
      <c r="K2180" t="e">
        <f>INDEX([1]Produtos!$L:$L,MATCH(IF(ISNUMBER(FIND(" - ",H2180)),LEFT(H2180,FIND(" - ",H2180)-1),H2180),[1]Produtos!$C:$C,0))</f>
        <v>#N/A</v>
      </c>
      <c r="L2180" t="e">
        <f>INDEX([1]Produtos!$L:$L,MATCH(F2180,[1]Produtos!$C:$C,0))*INDEX([2]Pedidos!$Q:$Q,MATCH(F2180,[2]Pedidos!$E:$E,0))</f>
        <v>#N/A</v>
      </c>
      <c r="M2180" t="e">
        <f>INDEX([1]Produtos!$L:$L,MATCH(G2180,[1]Produtos!$C:$C,0))*INDEX([2]Pedidos!$Q:$Q,MATCH(G2180,[2]Pedidos!$E:$E,0))</f>
        <v>#N/A</v>
      </c>
      <c r="N2180" t="e">
        <f>INDEX([1]Produtos!$L:$L,MATCH(H2180,[1]Produtos!$C:$C,0))*INDEX([2]Pedidos!$Q:$Q,MATCH(H2180,[2]Pedidos!$E:$E,0))</f>
        <v>#N/A</v>
      </c>
    </row>
    <row r="2181" spans="3:16" x14ac:dyDescent="0.25">
      <c r="C2181" t="s">
        <v>171</v>
      </c>
      <c r="D2181">
        <f t="shared" si="158"/>
        <v>46084</v>
      </c>
      <c r="E2181" t="s">
        <v>168</v>
      </c>
      <c r="F2181" t="s">
        <v>1378</v>
      </c>
      <c r="I2181">
        <f>INDEX([1]Produtos!$L:$L,MATCH(IF(ISNUMBER(FIND(" - ",F2181)),LEFT(F2181,FIND(" - ",F2181)-1),F2181),[1]Produtos!$C:$C,0))</f>
        <v>785.51665461857374</v>
      </c>
      <c r="J2181" t="e">
        <f>INDEX([1]Produtos!$L:$L,MATCH(IF(ISNUMBER(FIND(" - ",G2181)),LEFT(G2181,FIND(" - ",G2181)-1),G2181),[1]Produtos!$C:$C,0))</f>
        <v>#N/A</v>
      </c>
      <c r="K2181" t="e">
        <f>INDEX([1]Produtos!$L:$L,MATCH(IF(ISNUMBER(FIND(" - ",H2181)),LEFT(H2181,FIND(" - ",H2181)-1),H2181),[1]Produtos!$C:$C,0))</f>
        <v>#N/A</v>
      </c>
      <c r="L2181" t="e">
        <f>INDEX([1]Produtos!$L:$L,MATCH(F2181,[1]Produtos!$C:$C,0))*INDEX([2]Pedidos!$Q:$Q,MATCH(F2181,[2]Pedidos!$E:$E,0))</f>
        <v>#N/A</v>
      </c>
      <c r="M2181" t="e">
        <f>INDEX([1]Produtos!$L:$L,MATCH(G2181,[1]Produtos!$C:$C,0))*INDEX([2]Pedidos!$Q:$Q,MATCH(G2181,[2]Pedidos!$E:$E,0))</f>
        <v>#N/A</v>
      </c>
      <c r="N2181" t="e">
        <f>INDEX([1]Produtos!$L:$L,MATCH(H2181,[1]Produtos!$C:$C,0))*INDEX([2]Pedidos!$Q:$Q,MATCH(H2181,[2]Pedidos!$E:$E,0))</f>
        <v>#N/A</v>
      </c>
    </row>
    <row r="2182" spans="3:16" x14ac:dyDescent="0.25">
      <c r="C2182" t="s">
        <v>171</v>
      </c>
      <c r="D2182">
        <f t="shared" si="158"/>
        <v>46084</v>
      </c>
      <c r="E2182" t="s">
        <v>169</v>
      </c>
      <c r="F2182" t="s">
        <v>1378</v>
      </c>
      <c r="I2182">
        <f>INDEX([1]Produtos!$L:$L,MATCH(IF(ISNUMBER(FIND(" - ",F2182)),LEFT(F2182,FIND(" - ",F2182)-1),F2182),[1]Produtos!$C:$C,0))</f>
        <v>785.51665461857374</v>
      </c>
      <c r="J2182" t="e">
        <f>INDEX([1]Produtos!$L:$L,MATCH(IF(ISNUMBER(FIND(" - ",G2182)),LEFT(G2182,FIND(" - ",G2182)-1),G2182),[1]Produtos!$C:$C,0))</f>
        <v>#N/A</v>
      </c>
      <c r="K2182" t="e">
        <f>INDEX([1]Produtos!$L:$L,MATCH(IF(ISNUMBER(FIND(" - ",H2182)),LEFT(H2182,FIND(" - ",H2182)-1),H2182),[1]Produtos!$C:$C,0))</f>
        <v>#N/A</v>
      </c>
      <c r="L2182" t="e">
        <f>INDEX([1]Produtos!$L:$L,MATCH(F2182,[1]Produtos!$C:$C,0))*INDEX([2]Pedidos!$Q:$Q,MATCH(F2182,[2]Pedidos!$E:$E,0))</f>
        <v>#N/A</v>
      </c>
      <c r="M2182" t="e">
        <f>INDEX([1]Produtos!$L:$L,MATCH(G2182,[1]Produtos!$C:$C,0))*INDEX([2]Pedidos!$Q:$Q,MATCH(G2182,[2]Pedidos!$E:$E,0))</f>
        <v>#N/A</v>
      </c>
      <c r="N2182" t="e">
        <f>INDEX([1]Produtos!$L:$L,MATCH(H2182,[1]Produtos!$C:$C,0))*INDEX([2]Pedidos!$Q:$Q,MATCH(H2182,[2]Pedidos!$E:$E,0))</f>
        <v>#N/A</v>
      </c>
    </row>
    <row r="2183" spans="3:16" x14ac:dyDescent="0.25">
      <c r="C2183" t="s">
        <v>171</v>
      </c>
      <c r="D2183">
        <f t="shared" si="158"/>
        <v>46084</v>
      </c>
      <c r="E2183" t="s">
        <v>170</v>
      </c>
      <c r="F2183" t="s">
        <v>1378</v>
      </c>
      <c r="I2183">
        <f>INDEX([1]Produtos!$L:$L,MATCH(IF(ISNUMBER(FIND(" - ",F2183)),LEFT(F2183,FIND(" - ",F2183)-1),F2183),[1]Produtos!$C:$C,0))</f>
        <v>785.51665461857374</v>
      </c>
      <c r="J2183" t="e">
        <f>INDEX([1]Produtos!$L:$L,MATCH(IF(ISNUMBER(FIND(" - ",G2183)),LEFT(G2183,FIND(" - ",G2183)-1),G2183),[1]Produtos!$C:$C,0))</f>
        <v>#N/A</v>
      </c>
      <c r="K2183" t="e">
        <f>INDEX([1]Produtos!$L:$L,MATCH(IF(ISNUMBER(FIND(" - ",H2183)),LEFT(H2183,FIND(" - ",H2183)-1),H2183),[1]Produtos!$C:$C,0))</f>
        <v>#N/A</v>
      </c>
      <c r="L2183" t="e">
        <f>INDEX([1]Produtos!$L:$L,MATCH(F2183,[1]Produtos!$C:$C,0))*INDEX([2]Pedidos!$Q:$Q,MATCH(F2183,[2]Pedidos!$E:$E,0))</f>
        <v>#N/A</v>
      </c>
      <c r="M2183" t="e">
        <f>INDEX([1]Produtos!$L:$L,MATCH(G2183,[1]Produtos!$C:$C,0))*INDEX([2]Pedidos!$Q:$Q,MATCH(G2183,[2]Pedidos!$E:$E,0))</f>
        <v>#N/A</v>
      </c>
      <c r="N2183" t="e">
        <f>INDEX([1]Produtos!$L:$L,MATCH(H2183,[1]Produtos!$C:$C,0))*INDEX([2]Pedidos!$Q:$Q,MATCH(H2183,[2]Pedidos!$E:$E,0))</f>
        <v>#N/A</v>
      </c>
    </row>
    <row r="2184" spans="3:16" x14ac:dyDescent="0.25">
      <c r="C2184" t="s">
        <v>171</v>
      </c>
      <c r="D2184">
        <f t="shared" si="158"/>
        <v>46084</v>
      </c>
      <c r="E2184" t="s">
        <v>585</v>
      </c>
    </row>
    <row r="2185" spans="3:16" x14ac:dyDescent="0.25">
      <c r="C2185" t="s">
        <v>171</v>
      </c>
      <c r="D2185">
        <f t="shared" si="158"/>
        <v>46084</v>
      </c>
      <c r="E2185" t="s">
        <v>574</v>
      </c>
    </row>
    <row r="2186" spans="3:16" x14ac:dyDescent="0.25">
      <c r="C2186" t="s">
        <v>171</v>
      </c>
      <c r="D2186">
        <f t="shared" si="158"/>
        <v>46084</v>
      </c>
      <c r="E2186" t="s">
        <v>575</v>
      </c>
    </row>
    <row r="2187" spans="3:16" x14ac:dyDescent="0.25">
      <c r="C2187" t="s">
        <v>171</v>
      </c>
      <c r="D2187">
        <f t="shared" si="158"/>
        <v>46084</v>
      </c>
      <c r="E2187" t="s">
        <v>583</v>
      </c>
    </row>
    <row r="2188" spans="3:16" x14ac:dyDescent="0.25">
      <c r="C2188" t="s">
        <v>171</v>
      </c>
      <c r="D2188">
        <f t="shared" si="158"/>
        <v>46084</v>
      </c>
      <c r="E2188" t="s">
        <v>584</v>
      </c>
    </row>
    <row r="2190" spans="3:16" x14ac:dyDescent="0.25">
      <c r="I2190">
        <f t="shared" ref="I2190:N2190" si="159">IFERROR(SUM(I2191:I2206),0)</f>
        <v>7069.6498915671636</v>
      </c>
      <c r="J2190">
        <f t="shared" si="159"/>
        <v>0</v>
      </c>
      <c r="K2190">
        <f t="shared" si="159"/>
        <v>0</v>
      </c>
      <c r="L2190">
        <f t="shared" si="159"/>
        <v>0</v>
      </c>
      <c r="M2190">
        <f t="shared" si="159"/>
        <v>0</v>
      </c>
      <c r="N2190">
        <f t="shared" si="159"/>
        <v>0</v>
      </c>
      <c r="O2190">
        <f>SUM(I2190:K2190)</f>
        <v>7069.6498915671636</v>
      </c>
      <c r="P2190">
        <f>SUM(L2190:N2190)</f>
        <v>0</v>
      </c>
    </row>
    <row r="2191" spans="3:16" x14ac:dyDescent="0.25">
      <c r="C2191" t="s">
        <v>172</v>
      </c>
      <c r="D2191">
        <f>D2188+1</f>
        <v>46085</v>
      </c>
      <c r="E2191" t="s">
        <v>573</v>
      </c>
    </row>
    <row r="2192" spans="3:16" x14ac:dyDescent="0.25">
      <c r="C2192" t="s">
        <v>172</v>
      </c>
      <c r="D2192">
        <f t="shared" ref="D2192:D2206" si="160">D2191</f>
        <v>46085</v>
      </c>
      <c r="E2192" t="s">
        <v>162</v>
      </c>
      <c r="F2192" t="s">
        <v>1378</v>
      </c>
      <c r="I2192">
        <f>INDEX([1]Produtos!$L:$L,MATCH(IF(ISNUMBER(FIND(" - ",F2192)),LEFT(F2192,FIND(" - ",F2192)-1),F2192),[1]Produtos!$C:$C,0))</f>
        <v>785.51665461857374</v>
      </c>
      <c r="J2192" t="e">
        <f>INDEX([1]Produtos!$L:$L,MATCH(IF(ISNUMBER(FIND(" - ",G2192)),LEFT(G2192,FIND(" - ",G2192)-1),G2192),[1]Produtos!$C:$C,0))</f>
        <v>#N/A</v>
      </c>
      <c r="K2192" t="e">
        <f>INDEX([1]Produtos!$L:$L,MATCH(IF(ISNUMBER(FIND(" - ",H2192)),LEFT(H2192,FIND(" - ",H2192)-1),H2192),[1]Produtos!$C:$C,0))</f>
        <v>#N/A</v>
      </c>
      <c r="L2192" t="e">
        <f>INDEX([1]Produtos!$L:$L,MATCH(F2192,[1]Produtos!$C:$C,0))*INDEX([2]Pedidos!$Q:$Q,MATCH(F2192,[2]Pedidos!$E:$E,0))</f>
        <v>#N/A</v>
      </c>
      <c r="M2192" t="e">
        <f>INDEX([1]Produtos!$L:$L,MATCH(G2192,[1]Produtos!$C:$C,0))*INDEX([2]Pedidos!$Q:$Q,MATCH(G2192,[2]Pedidos!$E:$E,0))</f>
        <v>#N/A</v>
      </c>
      <c r="N2192" t="e">
        <f>INDEX([1]Produtos!$L:$L,MATCH(H2192,[1]Produtos!$C:$C,0))*INDEX([2]Pedidos!$Q:$Q,MATCH(H2192,[2]Pedidos!$E:$E,0))</f>
        <v>#N/A</v>
      </c>
    </row>
    <row r="2193" spans="3:16" x14ac:dyDescent="0.25">
      <c r="C2193" t="s">
        <v>172</v>
      </c>
      <c r="D2193">
        <f t="shared" si="160"/>
        <v>46085</v>
      </c>
      <c r="E2193" t="s">
        <v>163</v>
      </c>
      <c r="F2193" t="s">
        <v>1378</v>
      </c>
      <c r="I2193">
        <f>INDEX([1]Produtos!$L:$L,MATCH(IF(ISNUMBER(FIND(" - ",F2193)),LEFT(F2193,FIND(" - ",F2193)-1),F2193),[1]Produtos!$C:$C,0))</f>
        <v>785.51665461857374</v>
      </c>
      <c r="J2193" t="e">
        <f>INDEX([1]Produtos!$L:$L,MATCH(IF(ISNUMBER(FIND(" - ",G2193)),LEFT(G2193,FIND(" - ",G2193)-1),G2193),[1]Produtos!$C:$C,0))</f>
        <v>#N/A</v>
      </c>
      <c r="K2193" t="e">
        <f>INDEX([1]Produtos!$L:$L,MATCH(IF(ISNUMBER(FIND(" - ",H2193)),LEFT(H2193,FIND(" - ",H2193)-1),H2193),[1]Produtos!$C:$C,0))</f>
        <v>#N/A</v>
      </c>
      <c r="L2193" t="e">
        <f>INDEX([1]Produtos!$L:$L,MATCH(F2193,[1]Produtos!$C:$C,0))*INDEX([2]Pedidos!$Q:$Q,MATCH(F2193,[2]Pedidos!$E:$E,0))</f>
        <v>#N/A</v>
      </c>
      <c r="M2193" t="e">
        <f>INDEX([1]Produtos!$L:$L,MATCH(G2193,[1]Produtos!$C:$C,0))*INDEX([2]Pedidos!$Q:$Q,MATCH(G2193,[2]Pedidos!$E:$E,0))</f>
        <v>#N/A</v>
      </c>
      <c r="N2193" t="e">
        <f>INDEX([1]Produtos!$L:$L,MATCH(H2193,[1]Produtos!$C:$C,0))*INDEX([2]Pedidos!$Q:$Q,MATCH(H2193,[2]Pedidos!$E:$E,0))</f>
        <v>#N/A</v>
      </c>
    </row>
    <row r="2194" spans="3:16" x14ac:dyDescent="0.25">
      <c r="C2194" t="s">
        <v>172</v>
      </c>
      <c r="D2194">
        <f t="shared" si="160"/>
        <v>46085</v>
      </c>
      <c r="E2194" t="s">
        <v>164</v>
      </c>
      <c r="F2194" t="s">
        <v>1378</v>
      </c>
      <c r="I2194">
        <f>INDEX([1]Produtos!$L:$L,MATCH(IF(ISNUMBER(FIND(" - ",F2194)),LEFT(F2194,FIND(" - ",F2194)-1),F2194),[1]Produtos!$C:$C,0))</f>
        <v>785.51665461857374</v>
      </c>
      <c r="J2194" t="e">
        <f>INDEX([1]Produtos!$L:$L,MATCH(IF(ISNUMBER(FIND(" - ",G2194)),LEFT(G2194,FIND(" - ",G2194)-1),G2194),[1]Produtos!$C:$C,0))</f>
        <v>#N/A</v>
      </c>
      <c r="K2194" t="e">
        <f>INDEX([1]Produtos!$L:$L,MATCH(IF(ISNUMBER(FIND(" - ",H2194)),LEFT(H2194,FIND(" - ",H2194)-1),H2194),[1]Produtos!$C:$C,0))</f>
        <v>#N/A</v>
      </c>
      <c r="L2194" t="e">
        <f>INDEX([1]Produtos!$L:$L,MATCH(F2194,[1]Produtos!$C:$C,0))*INDEX([2]Pedidos!$Q:$Q,MATCH(F2194,[2]Pedidos!$E:$E,0))</f>
        <v>#N/A</v>
      </c>
      <c r="M2194" t="e">
        <f>INDEX([1]Produtos!$L:$L,MATCH(G2194,[1]Produtos!$C:$C,0))*INDEX([2]Pedidos!$Q:$Q,MATCH(G2194,[2]Pedidos!$E:$E,0))</f>
        <v>#N/A</v>
      </c>
      <c r="N2194" t="e">
        <f>INDEX([1]Produtos!$L:$L,MATCH(H2194,[1]Produtos!$C:$C,0))*INDEX([2]Pedidos!$Q:$Q,MATCH(H2194,[2]Pedidos!$E:$E,0))</f>
        <v>#N/A</v>
      </c>
    </row>
    <row r="2195" spans="3:16" x14ac:dyDescent="0.25">
      <c r="C2195" t="s">
        <v>172</v>
      </c>
      <c r="D2195">
        <f t="shared" si="160"/>
        <v>46085</v>
      </c>
      <c r="E2195" t="s">
        <v>165</v>
      </c>
      <c r="F2195" t="s">
        <v>1378</v>
      </c>
      <c r="I2195">
        <f>INDEX([1]Produtos!$L:$L,MATCH(IF(ISNUMBER(FIND(" - ",F2195)),LEFT(F2195,FIND(" - ",F2195)-1),F2195),[1]Produtos!$C:$C,0))</f>
        <v>785.51665461857374</v>
      </c>
      <c r="J2195" t="e">
        <f>INDEX([1]Produtos!$L:$L,MATCH(IF(ISNUMBER(FIND(" - ",G2195)),LEFT(G2195,FIND(" - ",G2195)-1),G2195),[1]Produtos!$C:$C,0))</f>
        <v>#N/A</v>
      </c>
      <c r="K2195" t="e">
        <f>INDEX([1]Produtos!$L:$L,MATCH(IF(ISNUMBER(FIND(" - ",H2195)),LEFT(H2195,FIND(" - ",H2195)-1),H2195),[1]Produtos!$C:$C,0))</f>
        <v>#N/A</v>
      </c>
      <c r="L2195" t="e">
        <f>INDEX([1]Produtos!$L:$L,MATCH(F2195,[1]Produtos!$C:$C,0))*INDEX([2]Pedidos!$Q:$Q,MATCH(F2195,[2]Pedidos!$E:$E,0))</f>
        <v>#N/A</v>
      </c>
      <c r="M2195" t="e">
        <f>INDEX([1]Produtos!$L:$L,MATCH(G2195,[1]Produtos!$C:$C,0))*INDEX([2]Pedidos!$Q:$Q,MATCH(G2195,[2]Pedidos!$E:$E,0))</f>
        <v>#N/A</v>
      </c>
      <c r="N2195" t="e">
        <f>INDEX([1]Produtos!$L:$L,MATCH(H2195,[1]Produtos!$C:$C,0))*INDEX([2]Pedidos!$Q:$Q,MATCH(H2195,[2]Pedidos!$E:$E,0))</f>
        <v>#N/A</v>
      </c>
    </row>
    <row r="2196" spans="3:16" x14ac:dyDescent="0.25">
      <c r="C2196" t="s">
        <v>172</v>
      </c>
      <c r="D2196">
        <f t="shared" si="160"/>
        <v>46085</v>
      </c>
      <c r="E2196" t="s">
        <v>166</v>
      </c>
      <c r="F2196" t="s">
        <v>1378</v>
      </c>
      <c r="I2196">
        <f>INDEX([1]Produtos!$L:$L,MATCH(IF(ISNUMBER(FIND(" - ",F2196)),LEFT(F2196,FIND(" - ",F2196)-1),F2196),[1]Produtos!$C:$C,0))</f>
        <v>785.51665461857374</v>
      </c>
      <c r="J2196" t="e">
        <f>INDEX([1]Produtos!$L:$L,MATCH(IF(ISNUMBER(FIND(" - ",G2196)),LEFT(G2196,FIND(" - ",G2196)-1),G2196),[1]Produtos!$C:$C,0))</f>
        <v>#N/A</v>
      </c>
      <c r="K2196" t="e">
        <f>INDEX([1]Produtos!$L:$L,MATCH(IF(ISNUMBER(FIND(" - ",H2196)),LEFT(H2196,FIND(" - ",H2196)-1),H2196),[1]Produtos!$C:$C,0))</f>
        <v>#N/A</v>
      </c>
      <c r="L2196" t="e">
        <f>INDEX([1]Produtos!$L:$L,MATCH(F2196,[1]Produtos!$C:$C,0))*INDEX([2]Pedidos!$Q:$Q,MATCH(F2196,[2]Pedidos!$E:$E,0))</f>
        <v>#N/A</v>
      </c>
      <c r="M2196" t="e">
        <f>INDEX([1]Produtos!$L:$L,MATCH(G2196,[1]Produtos!$C:$C,0))*INDEX([2]Pedidos!$Q:$Q,MATCH(G2196,[2]Pedidos!$E:$E,0))</f>
        <v>#N/A</v>
      </c>
      <c r="N2196" t="e">
        <f>INDEX([1]Produtos!$L:$L,MATCH(H2196,[1]Produtos!$C:$C,0))*INDEX([2]Pedidos!$Q:$Q,MATCH(H2196,[2]Pedidos!$E:$E,0))</f>
        <v>#N/A</v>
      </c>
    </row>
    <row r="2197" spans="3:16" x14ac:dyDescent="0.25">
      <c r="C2197" t="s">
        <v>172</v>
      </c>
      <c r="D2197">
        <f t="shared" si="160"/>
        <v>46085</v>
      </c>
      <c r="E2197" t="s">
        <v>576</v>
      </c>
    </row>
    <row r="2198" spans="3:16" x14ac:dyDescent="0.25">
      <c r="C2198" t="s">
        <v>172</v>
      </c>
      <c r="D2198">
        <f t="shared" si="160"/>
        <v>46085</v>
      </c>
      <c r="E2198" t="s">
        <v>167</v>
      </c>
      <c r="F2198" t="s">
        <v>1378</v>
      </c>
      <c r="I2198">
        <f>INDEX([1]Produtos!$L:$L,MATCH(IF(ISNUMBER(FIND(" - ",F2198)),LEFT(F2198,FIND(" - ",F2198)-1),F2198),[1]Produtos!$C:$C,0))</f>
        <v>785.51665461857374</v>
      </c>
      <c r="J2198" t="e">
        <f>INDEX([1]Produtos!$L:$L,MATCH(IF(ISNUMBER(FIND(" - ",G2198)),LEFT(G2198,FIND(" - ",G2198)-1),G2198),[1]Produtos!$C:$C,0))</f>
        <v>#N/A</v>
      </c>
      <c r="K2198" t="e">
        <f>INDEX([1]Produtos!$L:$L,MATCH(IF(ISNUMBER(FIND(" - ",H2198)),LEFT(H2198,FIND(" - ",H2198)-1),H2198),[1]Produtos!$C:$C,0))</f>
        <v>#N/A</v>
      </c>
      <c r="L2198" t="e">
        <f>INDEX([1]Produtos!$L:$L,MATCH(F2198,[1]Produtos!$C:$C,0))*INDEX([2]Pedidos!$Q:$Q,MATCH(F2198,[2]Pedidos!$E:$E,0))</f>
        <v>#N/A</v>
      </c>
      <c r="M2198" t="e">
        <f>INDEX([1]Produtos!$L:$L,MATCH(G2198,[1]Produtos!$C:$C,0))*INDEX([2]Pedidos!$Q:$Q,MATCH(G2198,[2]Pedidos!$E:$E,0))</f>
        <v>#N/A</v>
      </c>
      <c r="N2198" t="e">
        <f>INDEX([1]Produtos!$L:$L,MATCH(H2198,[1]Produtos!$C:$C,0))*INDEX([2]Pedidos!$Q:$Q,MATCH(H2198,[2]Pedidos!$E:$E,0))</f>
        <v>#N/A</v>
      </c>
    </row>
    <row r="2199" spans="3:16" x14ac:dyDescent="0.25">
      <c r="C2199" t="s">
        <v>172</v>
      </c>
      <c r="D2199">
        <f t="shared" si="160"/>
        <v>46085</v>
      </c>
      <c r="E2199" t="s">
        <v>168</v>
      </c>
      <c r="F2199" t="s">
        <v>1378</v>
      </c>
      <c r="I2199">
        <f>INDEX([1]Produtos!$L:$L,MATCH(IF(ISNUMBER(FIND(" - ",F2199)),LEFT(F2199,FIND(" - ",F2199)-1),F2199),[1]Produtos!$C:$C,0))</f>
        <v>785.51665461857374</v>
      </c>
      <c r="J2199" t="e">
        <f>INDEX([1]Produtos!$L:$L,MATCH(IF(ISNUMBER(FIND(" - ",G2199)),LEFT(G2199,FIND(" - ",G2199)-1),G2199),[1]Produtos!$C:$C,0))</f>
        <v>#N/A</v>
      </c>
      <c r="K2199" t="e">
        <f>INDEX([1]Produtos!$L:$L,MATCH(IF(ISNUMBER(FIND(" - ",H2199)),LEFT(H2199,FIND(" - ",H2199)-1),H2199),[1]Produtos!$C:$C,0))</f>
        <v>#N/A</v>
      </c>
      <c r="L2199" t="e">
        <f>INDEX([1]Produtos!$L:$L,MATCH(F2199,[1]Produtos!$C:$C,0))*INDEX([2]Pedidos!$Q:$Q,MATCH(F2199,[2]Pedidos!$E:$E,0))</f>
        <v>#N/A</v>
      </c>
      <c r="M2199" t="e">
        <f>INDEX([1]Produtos!$L:$L,MATCH(G2199,[1]Produtos!$C:$C,0))*INDEX([2]Pedidos!$Q:$Q,MATCH(G2199,[2]Pedidos!$E:$E,0))</f>
        <v>#N/A</v>
      </c>
      <c r="N2199" t="e">
        <f>INDEX([1]Produtos!$L:$L,MATCH(H2199,[1]Produtos!$C:$C,0))*INDEX([2]Pedidos!$Q:$Q,MATCH(H2199,[2]Pedidos!$E:$E,0))</f>
        <v>#N/A</v>
      </c>
    </row>
    <row r="2200" spans="3:16" x14ac:dyDescent="0.25">
      <c r="C2200" t="s">
        <v>172</v>
      </c>
      <c r="D2200">
        <f t="shared" si="160"/>
        <v>46085</v>
      </c>
      <c r="E2200" t="s">
        <v>169</v>
      </c>
      <c r="F2200" t="s">
        <v>1378</v>
      </c>
      <c r="I2200">
        <f>INDEX([1]Produtos!$L:$L,MATCH(IF(ISNUMBER(FIND(" - ",F2200)),LEFT(F2200,FIND(" - ",F2200)-1),F2200),[1]Produtos!$C:$C,0))</f>
        <v>785.51665461857374</v>
      </c>
      <c r="J2200" t="e">
        <f>INDEX([1]Produtos!$L:$L,MATCH(IF(ISNUMBER(FIND(" - ",G2200)),LEFT(G2200,FIND(" - ",G2200)-1),G2200),[1]Produtos!$C:$C,0))</f>
        <v>#N/A</v>
      </c>
      <c r="K2200" t="e">
        <f>INDEX([1]Produtos!$L:$L,MATCH(IF(ISNUMBER(FIND(" - ",H2200)),LEFT(H2200,FIND(" - ",H2200)-1),H2200),[1]Produtos!$C:$C,0))</f>
        <v>#N/A</v>
      </c>
      <c r="L2200" t="e">
        <f>INDEX([1]Produtos!$L:$L,MATCH(F2200,[1]Produtos!$C:$C,0))*INDEX([2]Pedidos!$Q:$Q,MATCH(F2200,[2]Pedidos!$E:$E,0))</f>
        <v>#N/A</v>
      </c>
      <c r="M2200" t="e">
        <f>INDEX([1]Produtos!$L:$L,MATCH(G2200,[1]Produtos!$C:$C,0))*INDEX([2]Pedidos!$Q:$Q,MATCH(G2200,[2]Pedidos!$E:$E,0))</f>
        <v>#N/A</v>
      </c>
      <c r="N2200" t="e">
        <f>INDEX([1]Produtos!$L:$L,MATCH(H2200,[1]Produtos!$C:$C,0))*INDEX([2]Pedidos!$Q:$Q,MATCH(H2200,[2]Pedidos!$E:$E,0))</f>
        <v>#N/A</v>
      </c>
    </row>
    <row r="2201" spans="3:16" x14ac:dyDescent="0.25">
      <c r="C2201" t="s">
        <v>172</v>
      </c>
      <c r="D2201">
        <f t="shared" si="160"/>
        <v>46085</v>
      </c>
      <c r="E2201" t="s">
        <v>170</v>
      </c>
      <c r="F2201" t="s">
        <v>1378</v>
      </c>
      <c r="I2201">
        <f>INDEX([1]Produtos!$L:$L,MATCH(IF(ISNUMBER(FIND(" - ",F2201)),LEFT(F2201,FIND(" - ",F2201)-1),F2201),[1]Produtos!$C:$C,0))</f>
        <v>785.51665461857374</v>
      </c>
      <c r="J2201" t="e">
        <f>INDEX([1]Produtos!$L:$L,MATCH(IF(ISNUMBER(FIND(" - ",G2201)),LEFT(G2201,FIND(" - ",G2201)-1),G2201),[1]Produtos!$C:$C,0))</f>
        <v>#N/A</v>
      </c>
      <c r="K2201" t="e">
        <f>INDEX([1]Produtos!$L:$L,MATCH(IF(ISNUMBER(FIND(" - ",H2201)),LEFT(H2201,FIND(" - ",H2201)-1),H2201),[1]Produtos!$C:$C,0))</f>
        <v>#N/A</v>
      </c>
      <c r="L2201" t="e">
        <f>INDEX([1]Produtos!$L:$L,MATCH(F2201,[1]Produtos!$C:$C,0))*INDEX([2]Pedidos!$Q:$Q,MATCH(F2201,[2]Pedidos!$E:$E,0))</f>
        <v>#N/A</v>
      </c>
      <c r="M2201" t="e">
        <f>INDEX([1]Produtos!$L:$L,MATCH(G2201,[1]Produtos!$C:$C,0))*INDEX([2]Pedidos!$Q:$Q,MATCH(G2201,[2]Pedidos!$E:$E,0))</f>
        <v>#N/A</v>
      </c>
      <c r="N2201" t="e">
        <f>INDEX([1]Produtos!$L:$L,MATCH(H2201,[1]Produtos!$C:$C,0))*INDEX([2]Pedidos!$Q:$Q,MATCH(H2201,[2]Pedidos!$E:$E,0))</f>
        <v>#N/A</v>
      </c>
    </row>
    <row r="2202" spans="3:16" x14ac:dyDescent="0.25">
      <c r="C2202" t="s">
        <v>172</v>
      </c>
      <c r="D2202">
        <f t="shared" si="160"/>
        <v>46085</v>
      </c>
      <c r="E2202" t="s">
        <v>585</v>
      </c>
    </row>
    <row r="2203" spans="3:16" x14ac:dyDescent="0.25">
      <c r="C2203" t="s">
        <v>172</v>
      </c>
      <c r="D2203">
        <f t="shared" si="160"/>
        <v>46085</v>
      </c>
      <c r="E2203" t="s">
        <v>574</v>
      </c>
    </row>
    <row r="2204" spans="3:16" x14ac:dyDescent="0.25">
      <c r="C2204" t="s">
        <v>172</v>
      </c>
      <c r="D2204">
        <f t="shared" si="160"/>
        <v>46085</v>
      </c>
      <c r="E2204" t="s">
        <v>575</v>
      </c>
    </row>
    <row r="2205" spans="3:16" x14ac:dyDescent="0.25">
      <c r="C2205" t="s">
        <v>172</v>
      </c>
      <c r="D2205">
        <f t="shared" si="160"/>
        <v>46085</v>
      </c>
      <c r="E2205" t="s">
        <v>583</v>
      </c>
    </row>
    <row r="2206" spans="3:16" x14ac:dyDescent="0.25">
      <c r="C2206" t="s">
        <v>172</v>
      </c>
      <c r="D2206">
        <f t="shared" si="160"/>
        <v>46085</v>
      </c>
      <c r="E2206" t="s">
        <v>584</v>
      </c>
    </row>
    <row r="2208" spans="3:16" x14ac:dyDescent="0.25">
      <c r="I2208">
        <f t="shared" ref="I2208:N2208" si="161">IFERROR(SUM(I2209:I2224),0)</f>
        <v>7069.6498915671636</v>
      </c>
      <c r="J2208">
        <f t="shared" si="161"/>
        <v>0</v>
      </c>
      <c r="K2208">
        <f t="shared" si="161"/>
        <v>0</v>
      </c>
      <c r="L2208">
        <f t="shared" si="161"/>
        <v>0</v>
      </c>
      <c r="M2208">
        <f t="shared" si="161"/>
        <v>0</v>
      </c>
      <c r="N2208">
        <f t="shared" si="161"/>
        <v>0</v>
      </c>
      <c r="O2208">
        <f>SUM(I2208:K2208)</f>
        <v>7069.6498915671636</v>
      </c>
      <c r="P2208">
        <f>SUM(L2208:N2208)</f>
        <v>0</v>
      </c>
    </row>
    <row r="2209" spans="3:14" x14ac:dyDescent="0.25">
      <c r="C2209" t="s">
        <v>173</v>
      </c>
      <c r="D2209">
        <f>D2206+1</f>
        <v>46086</v>
      </c>
      <c r="E2209" t="s">
        <v>573</v>
      </c>
    </row>
    <row r="2210" spans="3:14" x14ac:dyDescent="0.25">
      <c r="C2210" t="s">
        <v>173</v>
      </c>
      <c r="D2210">
        <f t="shared" ref="D2210:D2224" si="162">D2209</f>
        <v>46086</v>
      </c>
      <c r="E2210" t="s">
        <v>162</v>
      </c>
      <c r="F2210" t="s">
        <v>1378</v>
      </c>
      <c r="I2210">
        <f>INDEX([1]Produtos!$L:$L,MATCH(IF(ISNUMBER(FIND(" - ",F2210)),LEFT(F2210,FIND(" - ",F2210)-1),F2210),[1]Produtos!$C:$C,0))</f>
        <v>785.51665461857374</v>
      </c>
      <c r="J2210" t="e">
        <f>INDEX([1]Produtos!$L:$L,MATCH(IF(ISNUMBER(FIND(" - ",G2210)),LEFT(G2210,FIND(" - ",G2210)-1),G2210),[1]Produtos!$C:$C,0))</f>
        <v>#N/A</v>
      </c>
      <c r="K2210" t="e">
        <f>INDEX([1]Produtos!$L:$L,MATCH(IF(ISNUMBER(FIND(" - ",H2210)),LEFT(H2210,FIND(" - ",H2210)-1),H2210),[1]Produtos!$C:$C,0))</f>
        <v>#N/A</v>
      </c>
      <c r="L2210" t="e">
        <f>INDEX([1]Produtos!$L:$L,MATCH(F2210,[1]Produtos!$C:$C,0))*INDEX([2]Pedidos!$Q:$Q,MATCH(F2210,[2]Pedidos!$E:$E,0))</f>
        <v>#N/A</v>
      </c>
      <c r="M2210" t="e">
        <f>INDEX([1]Produtos!$L:$L,MATCH(G2210,[1]Produtos!$C:$C,0))*INDEX([2]Pedidos!$Q:$Q,MATCH(G2210,[2]Pedidos!$E:$E,0))</f>
        <v>#N/A</v>
      </c>
      <c r="N2210" t="e">
        <f>INDEX([1]Produtos!$L:$L,MATCH(H2210,[1]Produtos!$C:$C,0))*INDEX([2]Pedidos!$Q:$Q,MATCH(H2210,[2]Pedidos!$E:$E,0))</f>
        <v>#N/A</v>
      </c>
    </row>
    <row r="2211" spans="3:14" x14ac:dyDescent="0.25">
      <c r="C2211" t="s">
        <v>173</v>
      </c>
      <c r="D2211">
        <f t="shared" si="162"/>
        <v>46086</v>
      </c>
      <c r="E2211" t="s">
        <v>163</v>
      </c>
      <c r="F2211" t="s">
        <v>1378</v>
      </c>
      <c r="I2211">
        <f>INDEX([1]Produtos!$L:$L,MATCH(IF(ISNUMBER(FIND(" - ",F2211)),LEFT(F2211,FIND(" - ",F2211)-1),F2211),[1]Produtos!$C:$C,0))</f>
        <v>785.51665461857374</v>
      </c>
      <c r="J2211" t="e">
        <f>INDEX([1]Produtos!$L:$L,MATCH(IF(ISNUMBER(FIND(" - ",G2211)),LEFT(G2211,FIND(" - ",G2211)-1),G2211),[1]Produtos!$C:$C,0))</f>
        <v>#N/A</v>
      </c>
      <c r="K2211" t="e">
        <f>INDEX([1]Produtos!$L:$L,MATCH(IF(ISNUMBER(FIND(" - ",H2211)),LEFT(H2211,FIND(" - ",H2211)-1),H2211),[1]Produtos!$C:$C,0))</f>
        <v>#N/A</v>
      </c>
      <c r="L2211" t="e">
        <f>INDEX([1]Produtos!$L:$L,MATCH(F2211,[1]Produtos!$C:$C,0))*INDEX([2]Pedidos!$Q:$Q,MATCH(F2211,[2]Pedidos!$E:$E,0))</f>
        <v>#N/A</v>
      </c>
      <c r="M2211" t="e">
        <f>INDEX([1]Produtos!$L:$L,MATCH(G2211,[1]Produtos!$C:$C,0))*INDEX([2]Pedidos!$Q:$Q,MATCH(G2211,[2]Pedidos!$E:$E,0))</f>
        <v>#N/A</v>
      </c>
      <c r="N2211" t="e">
        <f>INDEX([1]Produtos!$L:$L,MATCH(H2211,[1]Produtos!$C:$C,0))*INDEX([2]Pedidos!$Q:$Q,MATCH(H2211,[2]Pedidos!$E:$E,0))</f>
        <v>#N/A</v>
      </c>
    </row>
    <row r="2212" spans="3:14" x14ac:dyDescent="0.25">
      <c r="C2212" t="s">
        <v>173</v>
      </c>
      <c r="D2212">
        <f t="shared" si="162"/>
        <v>46086</v>
      </c>
      <c r="E2212" t="s">
        <v>164</v>
      </c>
      <c r="F2212" t="s">
        <v>1378</v>
      </c>
      <c r="I2212">
        <f>INDEX([1]Produtos!$L:$L,MATCH(IF(ISNUMBER(FIND(" - ",F2212)),LEFT(F2212,FIND(" - ",F2212)-1),F2212),[1]Produtos!$C:$C,0))</f>
        <v>785.51665461857374</v>
      </c>
      <c r="J2212" t="e">
        <f>INDEX([1]Produtos!$L:$L,MATCH(IF(ISNUMBER(FIND(" - ",G2212)),LEFT(G2212,FIND(" - ",G2212)-1),G2212),[1]Produtos!$C:$C,0))</f>
        <v>#N/A</v>
      </c>
      <c r="K2212" t="e">
        <f>INDEX([1]Produtos!$L:$L,MATCH(IF(ISNUMBER(FIND(" - ",H2212)),LEFT(H2212,FIND(" - ",H2212)-1),H2212),[1]Produtos!$C:$C,0))</f>
        <v>#N/A</v>
      </c>
      <c r="L2212" t="e">
        <f>INDEX([1]Produtos!$L:$L,MATCH(F2212,[1]Produtos!$C:$C,0))*INDEX([2]Pedidos!$Q:$Q,MATCH(F2212,[2]Pedidos!$E:$E,0))</f>
        <v>#N/A</v>
      </c>
      <c r="M2212" t="e">
        <f>INDEX([1]Produtos!$L:$L,MATCH(G2212,[1]Produtos!$C:$C,0))*INDEX([2]Pedidos!$Q:$Q,MATCH(G2212,[2]Pedidos!$E:$E,0))</f>
        <v>#N/A</v>
      </c>
      <c r="N2212" t="e">
        <f>INDEX([1]Produtos!$L:$L,MATCH(H2212,[1]Produtos!$C:$C,0))*INDEX([2]Pedidos!$Q:$Q,MATCH(H2212,[2]Pedidos!$E:$E,0))</f>
        <v>#N/A</v>
      </c>
    </row>
    <row r="2213" spans="3:14" x14ac:dyDescent="0.25">
      <c r="C2213" t="s">
        <v>173</v>
      </c>
      <c r="D2213">
        <f t="shared" si="162"/>
        <v>46086</v>
      </c>
      <c r="E2213" t="s">
        <v>165</v>
      </c>
      <c r="F2213" t="s">
        <v>1378</v>
      </c>
      <c r="I2213">
        <f>INDEX([1]Produtos!$L:$L,MATCH(IF(ISNUMBER(FIND(" - ",F2213)),LEFT(F2213,FIND(" - ",F2213)-1),F2213),[1]Produtos!$C:$C,0))</f>
        <v>785.51665461857374</v>
      </c>
      <c r="J2213" t="e">
        <f>INDEX([1]Produtos!$L:$L,MATCH(IF(ISNUMBER(FIND(" - ",G2213)),LEFT(G2213,FIND(" - ",G2213)-1),G2213),[1]Produtos!$C:$C,0))</f>
        <v>#N/A</v>
      </c>
      <c r="K2213" t="e">
        <f>INDEX([1]Produtos!$L:$L,MATCH(IF(ISNUMBER(FIND(" - ",H2213)),LEFT(H2213,FIND(" - ",H2213)-1),H2213),[1]Produtos!$C:$C,0))</f>
        <v>#N/A</v>
      </c>
      <c r="L2213" t="e">
        <f>INDEX([1]Produtos!$L:$L,MATCH(F2213,[1]Produtos!$C:$C,0))*INDEX([2]Pedidos!$Q:$Q,MATCH(F2213,[2]Pedidos!$E:$E,0))</f>
        <v>#N/A</v>
      </c>
      <c r="M2213" t="e">
        <f>INDEX([1]Produtos!$L:$L,MATCH(G2213,[1]Produtos!$C:$C,0))*INDEX([2]Pedidos!$Q:$Q,MATCH(G2213,[2]Pedidos!$E:$E,0))</f>
        <v>#N/A</v>
      </c>
      <c r="N2213" t="e">
        <f>INDEX([1]Produtos!$L:$L,MATCH(H2213,[1]Produtos!$C:$C,0))*INDEX([2]Pedidos!$Q:$Q,MATCH(H2213,[2]Pedidos!$E:$E,0))</f>
        <v>#N/A</v>
      </c>
    </row>
    <row r="2214" spans="3:14" x14ac:dyDescent="0.25">
      <c r="C2214" t="s">
        <v>173</v>
      </c>
      <c r="D2214">
        <f t="shared" si="162"/>
        <v>46086</v>
      </c>
      <c r="E2214" t="s">
        <v>166</v>
      </c>
      <c r="F2214" t="s">
        <v>1378</v>
      </c>
      <c r="I2214">
        <f>INDEX([1]Produtos!$L:$L,MATCH(IF(ISNUMBER(FIND(" - ",F2214)),LEFT(F2214,FIND(" - ",F2214)-1),F2214),[1]Produtos!$C:$C,0))</f>
        <v>785.51665461857374</v>
      </c>
      <c r="J2214" t="e">
        <f>INDEX([1]Produtos!$L:$L,MATCH(IF(ISNUMBER(FIND(" - ",G2214)),LEFT(G2214,FIND(" - ",G2214)-1),G2214),[1]Produtos!$C:$C,0))</f>
        <v>#N/A</v>
      </c>
      <c r="K2214" t="e">
        <f>INDEX([1]Produtos!$L:$L,MATCH(IF(ISNUMBER(FIND(" - ",H2214)),LEFT(H2214,FIND(" - ",H2214)-1),H2214),[1]Produtos!$C:$C,0))</f>
        <v>#N/A</v>
      </c>
      <c r="L2214" t="e">
        <f>INDEX([1]Produtos!$L:$L,MATCH(F2214,[1]Produtos!$C:$C,0))*INDEX([2]Pedidos!$Q:$Q,MATCH(F2214,[2]Pedidos!$E:$E,0))</f>
        <v>#N/A</v>
      </c>
      <c r="M2214" t="e">
        <f>INDEX([1]Produtos!$L:$L,MATCH(G2214,[1]Produtos!$C:$C,0))*INDEX([2]Pedidos!$Q:$Q,MATCH(G2214,[2]Pedidos!$E:$E,0))</f>
        <v>#N/A</v>
      </c>
      <c r="N2214" t="e">
        <f>INDEX([1]Produtos!$L:$L,MATCH(H2214,[1]Produtos!$C:$C,0))*INDEX([2]Pedidos!$Q:$Q,MATCH(H2214,[2]Pedidos!$E:$E,0))</f>
        <v>#N/A</v>
      </c>
    </row>
    <row r="2215" spans="3:14" x14ac:dyDescent="0.25">
      <c r="C2215" t="s">
        <v>173</v>
      </c>
      <c r="D2215">
        <f t="shared" si="162"/>
        <v>46086</v>
      </c>
      <c r="E2215" t="s">
        <v>576</v>
      </c>
    </row>
    <row r="2216" spans="3:14" x14ac:dyDescent="0.25">
      <c r="C2216" t="s">
        <v>173</v>
      </c>
      <c r="D2216">
        <f t="shared" si="162"/>
        <v>46086</v>
      </c>
      <c r="E2216" t="s">
        <v>167</v>
      </c>
      <c r="F2216" t="s">
        <v>1378</v>
      </c>
      <c r="I2216">
        <f>INDEX([1]Produtos!$L:$L,MATCH(IF(ISNUMBER(FIND(" - ",F2216)),LEFT(F2216,FIND(" - ",F2216)-1),F2216),[1]Produtos!$C:$C,0))</f>
        <v>785.51665461857374</v>
      </c>
      <c r="J2216" t="e">
        <f>INDEX([1]Produtos!$L:$L,MATCH(IF(ISNUMBER(FIND(" - ",G2216)),LEFT(G2216,FIND(" - ",G2216)-1),G2216),[1]Produtos!$C:$C,0))</f>
        <v>#N/A</v>
      </c>
      <c r="K2216" t="e">
        <f>INDEX([1]Produtos!$L:$L,MATCH(IF(ISNUMBER(FIND(" - ",H2216)),LEFT(H2216,FIND(" - ",H2216)-1),H2216),[1]Produtos!$C:$C,0))</f>
        <v>#N/A</v>
      </c>
      <c r="L2216" t="e">
        <f>INDEX([1]Produtos!$L:$L,MATCH(F2216,[1]Produtos!$C:$C,0))*INDEX([2]Pedidos!$Q:$Q,MATCH(F2216,[2]Pedidos!$E:$E,0))</f>
        <v>#N/A</v>
      </c>
      <c r="M2216" t="e">
        <f>INDEX([1]Produtos!$L:$L,MATCH(G2216,[1]Produtos!$C:$C,0))*INDEX([2]Pedidos!$Q:$Q,MATCH(G2216,[2]Pedidos!$E:$E,0))</f>
        <v>#N/A</v>
      </c>
      <c r="N2216" t="e">
        <f>INDEX([1]Produtos!$L:$L,MATCH(H2216,[1]Produtos!$C:$C,0))*INDEX([2]Pedidos!$Q:$Q,MATCH(H2216,[2]Pedidos!$E:$E,0))</f>
        <v>#N/A</v>
      </c>
    </row>
    <row r="2217" spans="3:14" x14ac:dyDescent="0.25">
      <c r="C2217" t="s">
        <v>173</v>
      </c>
      <c r="D2217">
        <f t="shared" si="162"/>
        <v>46086</v>
      </c>
      <c r="E2217" t="s">
        <v>168</v>
      </c>
      <c r="F2217" t="s">
        <v>1378</v>
      </c>
      <c r="I2217">
        <f>INDEX([1]Produtos!$L:$L,MATCH(IF(ISNUMBER(FIND(" - ",F2217)),LEFT(F2217,FIND(" - ",F2217)-1),F2217),[1]Produtos!$C:$C,0))</f>
        <v>785.51665461857374</v>
      </c>
      <c r="J2217" t="e">
        <f>INDEX([1]Produtos!$L:$L,MATCH(IF(ISNUMBER(FIND(" - ",G2217)),LEFT(G2217,FIND(" - ",G2217)-1),G2217),[1]Produtos!$C:$C,0))</f>
        <v>#N/A</v>
      </c>
      <c r="K2217" t="e">
        <f>INDEX([1]Produtos!$L:$L,MATCH(IF(ISNUMBER(FIND(" - ",H2217)),LEFT(H2217,FIND(" - ",H2217)-1),H2217),[1]Produtos!$C:$C,0))</f>
        <v>#N/A</v>
      </c>
      <c r="L2217" t="e">
        <f>INDEX([1]Produtos!$L:$L,MATCH(F2217,[1]Produtos!$C:$C,0))*INDEX([2]Pedidos!$Q:$Q,MATCH(F2217,[2]Pedidos!$E:$E,0))</f>
        <v>#N/A</v>
      </c>
      <c r="M2217" t="e">
        <f>INDEX([1]Produtos!$L:$L,MATCH(G2217,[1]Produtos!$C:$C,0))*INDEX([2]Pedidos!$Q:$Q,MATCH(G2217,[2]Pedidos!$E:$E,0))</f>
        <v>#N/A</v>
      </c>
      <c r="N2217" t="e">
        <f>INDEX([1]Produtos!$L:$L,MATCH(H2217,[1]Produtos!$C:$C,0))*INDEX([2]Pedidos!$Q:$Q,MATCH(H2217,[2]Pedidos!$E:$E,0))</f>
        <v>#N/A</v>
      </c>
    </row>
    <row r="2218" spans="3:14" x14ac:dyDescent="0.25">
      <c r="C2218" t="s">
        <v>173</v>
      </c>
      <c r="D2218">
        <f t="shared" si="162"/>
        <v>46086</v>
      </c>
      <c r="E2218" t="s">
        <v>169</v>
      </c>
      <c r="F2218" t="s">
        <v>1378</v>
      </c>
      <c r="I2218">
        <f>INDEX([1]Produtos!$L:$L,MATCH(IF(ISNUMBER(FIND(" - ",F2218)),LEFT(F2218,FIND(" - ",F2218)-1),F2218),[1]Produtos!$C:$C,0))</f>
        <v>785.51665461857374</v>
      </c>
      <c r="J2218" t="e">
        <f>INDEX([1]Produtos!$L:$L,MATCH(IF(ISNUMBER(FIND(" - ",G2218)),LEFT(G2218,FIND(" - ",G2218)-1),G2218),[1]Produtos!$C:$C,0))</f>
        <v>#N/A</v>
      </c>
      <c r="K2218" t="e">
        <f>INDEX([1]Produtos!$L:$L,MATCH(IF(ISNUMBER(FIND(" - ",H2218)),LEFT(H2218,FIND(" - ",H2218)-1),H2218),[1]Produtos!$C:$C,0))</f>
        <v>#N/A</v>
      </c>
      <c r="L2218" t="e">
        <f>INDEX([1]Produtos!$L:$L,MATCH(F2218,[1]Produtos!$C:$C,0))*INDEX([2]Pedidos!$Q:$Q,MATCH(F2218,[2]Pedidos!$E:$E,0))</f>
        <v>#N/A</v>
      </c>
      <c r="M2218" t="e">
        <f>INDEX([1]Produtos!$L:$L,MATCH(G2218,[1]Produtos!$C:$C,0))*INDEX([2]Pedidos!$Q:$Q,MATCH(G2218,[2]Pedidos!$E:$E,0))</f>
        <v>#N/A</v>
      </c>
      <c r="N2218" t="e">
        <f>INDEX([1]Produtos!$L:$L,MATCH(H2218,[1]Produtos!$C:$C,0))*INDEX([2]Pedidos!$Q:$Q,MATCH(H2218,[2]Pedidos!$E:$E,0))</f>
        <v>#N/A</v>
      </c>
    </row>
    <row r="2219" spans="3:14" x14ac:dyDescent="0.25">
      <c r="C2219" t="s">
        <v>173</v>
      </c>
      <c r="D2219">
        <f t="shared" si="162"/>
        <v>46086</v>
      </c>
      <c r="E2219" t="s">
        <v>170</v>
      </c>
      <c r="F2219" t="s">
        <v>1378</v>
      </c>
      <c r="I2219">
        <f>INDEX([1]Produtos!$L:$L,MATCH(IF(ISNUMBER(FIND(" - ",F2219)),LEFT(F2219,FIND(" - ",F2219)-1),F2219),[1]Produtos!$C:$C,0))</f>
        <v>785.51665461857374</v>
      </c>
      <c r="J2219" t="e">
        <f>INDEX([1]Produtos!$L:$L,MATCH(IF(ISNUMBER(FIND(" - ",G2219)),LEFT(G2219,FIND(" - ",G2219)-1),G2219),[1]Produtos!$C:$C,0))</f>
        <v>#N/A</v>
      </c>
      <c r="K2219" t="e">
        <f>INDEX([1]Produtos!$L:$L,MATCH(IF(ISNUMBER(FIND(" - ",H2219)),LEFT(H2219,FIND(" - ",H2219)-1),H2219),[1]Produtos!$C:$C,0))</f>
        <v>#N/A</v>
      </c>
      <c r="L2219" t="e">
        <f>INDEX([1]Produtos!$L:$L,MATCH(F2219,[1]Produtos!$C:$C,0))*INDEX([2]Pedidos!$Q:$Q,MATCH(F2219,[2]Pedidos!$E:$E,0))</f>
        <v>#N/A</v>
      </c>
      <c r="M2219" t="e">
        <f>INDEX([1]Produtos!$L:$L,MATCH(G2219,[1]Produtos!$C:$C,0))*INDEX([2]Pedidos!$Q:$Q,MATCH(G2219,[2]Pedidos!$E:$E,0))</f>
        <v>#N/A</v>
      </c>
      <c r="N2219" t="e">
        <f>INDEX([1]Produtos!$L:$L,MATCH(H2219,[1]Produtos!$C:$C,0))*INDEX([2]Pedidos!$Q:$Q,MATCH(H2219,[2]Pedidos!$E:$E,0))</f>
        <v>#N/A</v>
      </c>
    </row>
    <row r="2220" spans="3:14" x14ac:dyDescent="0.25">
      <c r="C2220" t="s">
        <v>173</v>
      </c>
      <c r="D2220">
        <f t="shared" si="162"/>
        <v>46086</v>
      </c>
      <c r="E2220" t="s">
        <v>585</v>
      </c>
    </row>
    <row r="2221" spans="3:14" x14ac:dyDescent="0.25">
      <c r="C2221" t="s">
        <v>173</v>
      </c>
      <c r="D2221">
        <f t="shared" si="162"/>
        <v>46086</v>
      </c>
      <c r="E2221" t="s">
        <v>574</v>
      </c>
    </row>
    <row r="2222" spans="3:14" x14ac:dyDescent="0.25">
      <c r="C2222" t="s">
        <v>173</v>
      </c>
      <c r="D2222">
        <f t="shared" si="162"/>
        <v>46086</v>
      </c>
      <c r="E2222" t="s">
        <v>575</v>
      </c>
    </row>
    <row r="2223" spans="3:14" x14ac:dyDescent="0.25">
      <c r="C2223" t="s">
        <v>173</v>
      </c>
      <c r="D2223">
        <f t="shared" si="162"/>
        <v>46086</v>
      </c>
      <c r="E2223" t="s">
        <v>583</v>
      </c>
    </row>
    <row r="2224" spans="3:14" x14ac:dyDescent="0.25">
      <c r="C2224" t="s">
        <v>173</v>
      </c>
      <c r="D2224">
        <f t="shared" si="162"/>
        <v>46086</v>
      </c>
      <c r="E2224" t="s">
        <v>584</v>
      </c>
    </row>
    <row r="2226" spans="3:16" x14ac:dyDescent="0.25">
      <c r="C2226">
        <f>SUM(I2154:K2154,I2172:K2172,I2190:K2190,I2208:K2208,I2226:K2226)</f>
        <v>35348.249457835816</v>
      </c>
      <c r="D2226">
        <f>SUM(P2226,P2208,P2190,P2172,P2154)</f>
        <v>0</v>
      </c>
      <c r="I2226">
        <f t="shared" ref="I2226:N2226" si="163">IFERROR(SUM(I2227:I2242),0)</f>
        <v>7069.6498915671636</v>
      </c>
      <c r="J2226">
        <f t="shared" si="163"/>
        <v>0</v>
      </c>
      <c r="K2226">
        <f t="shared" si="163"/>
        <v>0</v>
      </c>
      <c r="L2226">
        <f t="shared" si="163"/>
        <v>0</v>
      </c>
      <c r="M2226">
        <f t="shared" si="163"/>
        <v>0</v>
      </c>
      <c r="N2226">
        <f t="shared" si="163"/>
        <v>0</v>
      </c>
      <c r="O2226">
        <f>SUM(I2226:K2226)</f>
        <v>7069.6498915671636</v>
      </c>
      <c r="P2226">
        <f>SUM(L2226:N2226)</f>
        <v>0</v>
      </c>
    </row>
    <row r="2227" spans="3:16" x14ac:dyDescent="0.25">
      <c r="C2227" t="s">
        <v>174</v>
      </c>
      <c r="D2227">
        <f>D2224+1</f>
        <v>46087</v>
      </c>
      <c r="E2227" t="s">
        <v>573</v>
      </c>
    </row>
    <row r="2228" spans="3:16" x14ac:dyDescent="0.25">
      <c r="C2228" t="s">
        <v>174</v>
      </c>
      <c r="D2228">
        <f t="shared" ref="D2228:D2242" si="164">D2227</f>
        <v>46087</v>
      </c>
      <c r="E2228" t="s">
        <v>162</v>
      </c>
      <c r="F2228" t="s">
        <v>1378</v>
      </c>
      <c r="I2228">
        <f>INDEX([1]Produtos!$L:$L,MATCH(IF(ISNUMBER(FIND(" - ",F2228)),LEFT(F2228,FIND(" - ",F2228)-1),F2228),[1]Produtos!$C:$C,0))</f>
        <v>785.51665461857374</v>
      </c>
      <c r="J2228" t="e">
        <f>INDEX([1]Produtos!$L:$L,MATCH(IF(ISNUMBER(FIND(" - ",G2228)),LEFT(G2228,FIND(" - ",G2228)-1),G2228),[1]Produtos!$C:$C,0))</f>
        <v>#N/A</v>
      </c>
      <c r="K2228" t="e">
        <f>INDEX([1]Produtos!$L:$L,MATCH(IF(ISNUMBER(FIND(" - ",H2228)),LEFT(H2228,FIND(" - ",H2228)-1),H2228),[1]Produtos!$C:$C,0))</f>
        <v>#N/A</v>
      </c>
      <c r="L2228" t="e">
        <f>INDEX([1]Produtos!$L:$L,MATCH(F2228,[1]Produtos!$C:$C,0))*INDEX([2]Pedidos!$Q:$Q,MATCH(F2228,[2]Pedidos!$E:$E,0))</f>
        <v>#N/A</v>
      </c>
      <c r="M2228" t="e">
        <f>INDEX([1]Produtos!$L:$L,MATCH(G2228,[1]Produtos!$C:$C,0))*INDEX([2]Pedidos!$Q:$Q,MATCH(G2228,[2]Pedidos!$E:$E,0))</f>
        <v>#N/A</v>
      </c>
      <c r="N2228" t="e">
        <f>INDEX([1]Produtos!$L:$L,MATCH(H2228,[1]Produtos!$C:$C,0))*INDEX([2]Pedidos!$Q:$Q,MATCH(H2228,[2]Pedidos!$E:$E,0))</f>
        <v>#N/A</v>
      </c>
    </row>
    <row r="2229" spans="3:16" x14ac:dyDescent="0.25">
      <c r="C2229" t="s">
        <v>174</v>
      </c>
      <c r="D2229">
        <f t="shared" si="164"/>
        <v>46087</v>
      </c>
      <c r="E2229" t="s">
        <v>163</v>
      </c>
      <c r="F2229" t="s">
        <v>1378</v>
      </c>
      <c r="I2229">
        <f>INDEX([1]Produtos!$L:$L,MATCH(IF(ISNUMBER(FIND(" - ",F2229)),LEFT(F2229,FIND(" - ",F2229)-1),F2229),[1]Produtos!$C:$C,0))</f>
        <v>785.51665461857374</v>
      </c>
      <c r="J2229" t="e">
        <f>INDEX([1]Produtos!$L:$L,MATCH(IF(ISNUMBER(FIND(" - ",G2229)),LEFT(G2229,FIND(" - ",G2229)-1),G2229),[1]Produtos!$C:$C,0))</f>
        <v>#N/A</v>
      </c>
      <c r="K2229" t="e">
        <f>INDEX([1]Produtos!$L:$L,MATCH(IF(ISNUMBER(FIND(" - ",H2229)),LEFT(H2229,FIND(" - ",H2229)-1),H2229),[1]Produtos!$C:$C,0))</f>
        <v>#N/A</v>
      </c>
      <c r="L2229" t="e">
        <f>INDEX([1]Produtos!$L:$L,MATCH(F2229,[1]Produtos!$C:$C,0))*INDEX([2]Pedidos!$Q:$Q,MATCH(F2229,[2]Pedidos!$E:$E,0))</f>
        <v>#N/A</v>
      </c>
      <c r="M2229" t="e">
        <f>INDEX([1]Produtos!$L:$L,MATCH(G2229,[1]Produtos!$C:$C,0))*INDEX([2]Pedidos!$Q:$Q,MATCH(G2229,[2]Pedidos!$E:$E,0))</f>
        <v>#N/A</v>
      </c>
      <c r="N2229" t="e">
        <f>INDEX([1]Produtos!$L:$L,MATCH(H2229,[1]Produtos!$C:$C,0))*INDEX([2]Pedidos!$Q:$Q,MATCH(H2229,[2]Pedidos!$E:$E,0))</f>
        <v>#N/A</v>
      </c>
    </row>
    <row r="2230" spans="3:16" x14ac:dyDescent="0.25">
      <c r="C2230" t="s">
        <v>174</v>
      </c>
      <c r="D2230">
        <f t="shared" si="164"/>
        <v>46087</v>
      </c>
      <c r="E2230" t="s">
        <v>164</v>
      </c>
      <c r="F2230" t="s">
        <v>1378</v>
      </c>
      <c r="I2230">
        <f>INDEX([1]Produtos!$L:$L,MATCH(IF(ISNUMBER(FIND(" - ",F2230)),LEFT(F2230,FIND(" - ",F2230)-1),F2230),[1]Produtos!$C:$C,0))</f>
        <v>785.51665461857374</v>
      </c>
      <c r="J2230" t="e">
        <f>INDEX([1]Produtos!$L:$L,MATCH(IF(ISNUMBER(FIND(" - ",G2230)),LEFT(G2230,FIND(" - ",G2230)-1),G2230),[1]Produtos!$C:$C,0))</f>
        <v>#N/A</v>
      </c>
      <c r="K2230" t="e">
        <f>INDEX([1]Produtos!$L:$L,MATCH(IF(ISNUMBER(FIND(" - ",H2230)),LEFT(H2230,FIND(" - ",H2230)-1),H2230),[1]Produtos!$C:$C,0))</f>
        <v>#N/A</v>
      </c>
      <c r="L2230" t="e">
        <f>INDEX([1]Produtos!$L:$L,MATCH(F2230,[1]Produtos!$C:$C,0))*INDEX([2]Pedidos!$Q:$Q,MATCH(F2230,[2]Pedidos!$E:$E,0))</f>
        <v>#N/A</v>
      </c>
      <c r="M2230" t="e">
        <f>INDEX([1]Produtos!$L:$L,MATCH(G2230,[1]Produtos!$C:$C,0))*INDEX([2]Pedidos!$Q:$Q,MATCH(G2230,[2]Pedidos!$E:$E,0))</f>
        <v>#N/A</v>
      </c>
      <c r="N2230" t="e">
        <f>INDEX([1]Produtos!$L:$L,MATCH(H2230,[1]Produtos!$C:$C,0))*INDEX([2]Pedidos!$Q:$Q,MATCH(H2230,[2]Pedidos!$E:$E,0))</f>
        <v>#N/A</v>
      </c>
    </row>
    <row r="2231" spans="3:16" x14ac:dyDescent="0.25">
      <c r="C2231" t="s">
        <v>174</v>
      </c>
      <c r="D2231">
        <f t="shared" si="164"/>
        <v>46087</v>
      </c>
      <c r="E2231" t="s">
        <v>165</v>
      </c>
      <c r="F2231" t="s">
        <v>1378</v>
      </c>
      <c r="I2231">
        <f>INDEX([1]Produtos!$L:$L,MATCH(IF(ISNUMBER(FIND(" - ",F2231)),LEFT(F2231,FIND(" - ",F2231)-1),F2231),[1]Produtos!$C:$C,0))</f>
        <v>785.51665461857374</v>
      </c>
      <c r="J2231" t="e">
        <f>INDEX([1]Produtos!$L:$L,MATCH(IF(ISNUMBER(FIND(" - ",G2231)),LEFT(G2231,FIND(" - ",G2231)-1),G2231),[1]Produtos!$C:$C,0))</f>
        <v>#N/A</v>
      </c>
      <c r="K2231" t="e">
        <f>INDEX([1]Produtos!$L:$L,MATCH(IF(ISNUMBER(FIND(" - ",H2231)),LEFT(H2231,FIND(" - ",H2231)-1),H2231),[1]Produtos!$C:$C,0))</f>
        <v>#N/A</v>
      </c>
      <c r="L2231" t="e">
        <f>INDEX([1]Produtos!$L:$L,MATCH(F2231,[1]Produtos!$C:$C,0))*INDEX([2]Pedidos!$Q:$Q,MATCH(F2231,[2]Pedidos!$E:$E,0))</f>
        <v>#N/A</v>
      </c>
      <c r="M2231" t="e">
        <f>INDEX([1]Produtos!$L:$L,MATCH(G2231,[1]Produtos!$C:$C,0))*INDEX([2]Pedidos!$Q:$Q,MATCH(G2231,[2]Pedidos!$E:$E,0))</f>
        <v>#N/A</v>
      </c>
      <c r="N2231" t="e">
        <f>INDEX([1]Produtos!$L:$L,MATCH(H2231,[1]Produtos!$C:$C,0))*INDEX([2]Pedidos!$Q:$Q,MATCH(H2231,[2]Pedidos!$E:$E,0))</f>
        <v>#N/A</v>
      </c>
    </row>
    <row r="2232" spans="3:16" x14ac:dyDescent="0.25">
      <c r="C2232" t="s">
        <v>174</v>
      </c>
      <c r="D2232">
        <f t="shared" si="164"/>
        <v>46087</v>
      </c>
      <c r="E2232" t="s">
        <v>166</v>
      </c>
      <c r="F2232" t="s">
        <v>1378</v>
      </c>
      <c r="I2232">
        <f>INDEX([1]Produtos!$L:$L,MATCH(IF(ISNUMBER(FIND(" - ",F2232)),LEFT(F2232,FIND(" - ",F2232)-1),F2232),[1]Produtos!$C:$C,0))</f>
        <v>785.51665461857374</v>
      </c>
      <c r="J2232" t="e">
        <f>INDEX([1]Produtos!$L:$L,MATCH(IF(ISNUMBER(FIND(" - ",G2232)),LEFT(G2232,FIND(" - ",G2232)-1),G2232),[1]Produtos!$C:$C,0))</f>
        <v>#N/A</v>
      </c>
      <c r="K2232" t="e">
        <f>INDEX([1]Produtos!$L:$L,MATCH(IF(ISNUMBER(FIND(" - ",H2232)),LEFT(H2232,FIND(" - ",H2232)-1),H2232),[1]Produtos!$C:$C,0))</f>
        <v>#N/A</v>
      </c>
      <c r="L2232" t="e">
        <f>INDEX([1]Produtos!$L:$L,MATCH(F2232,[1]Produtos!$C:$C,0))*INDEX([2]Pedidos!$Q:$Q,MATCH(F2232,[2]Pedidos!$E:$E,0))</f>
        <v>#N/A</v>
      </c>
      <c r="M2232" t="e">
        <f>INDEX([1]Produtos!$L:$L,MATCH(G2232,[1]Produtos!$C:$C,0))*INDEX([2]Pedidos!$Q:$Q,MATCH(G2232,[2]Pedidos!$E:$E,0))</f>
        <v>#N/A</v>
      </c>
      <c r="N2232" t="e">
        <f>INDEX([1]Produtos!$L:$L,MATCH(H2232,[1]Produtos!$C:$C,0))*INDEX([2]Pedidos!$Q:$Q,MATCH(H2232,[2]Pedidos!$E:$E,0))</f>
        <v>#N/A</v>
      </c>
    </row>
    <row r="2233" spans="3:16" x14ac:dyDescent="0.25">
      <c r="C2233" t="s">
        <v>174</v>
      </c>
      <c r="D2233">
        <f t="shared" si="164"/>
        <v>46087</v>
      </c>
      <c r="E2233" t="s">
        <v>576</v>
      </c>
    </row>
    <row r="2234" spans="3:16" x14ac:dyDescent="0.25">
      <c r="C2234" t="s">
        <v>174</v>
      </c>
      <c r="D2234">
        <f t="shared" si="164"/>
        <v>46087</v>
      </c>
      <c r="E2234" t="s">
        <v>167</v>
      </c>
      <c r="F2234" t="s">
        <v>1378</v>
      </c>
      <c r="I2234">
        <f>INDEX([1]Produtos!$L:$L,MATCH(IF(ISNUMBER(FIND(" - ",F2234)),LEFT(F2234,FIND(" - ",F2234)-1),F2234),[1]Produtos!$C:$C,0))</f>
        <v>785.51665461857374</v>
      </c>
      <c r="J2234" t="e">
        <f>INDEX([1]Produtos!$L:$L,MATCH(IF(ISNUMBER(FIND(" - ",G2234)),LEFT(G2234,FIND(" - ",G2234)-1),G2234),[1]Produtos!$C:$C,0))</f>
        <v>#N/A</v>
      </c>
      <c r="K2234" t="e">
        <f>INDEX([1]Produtos!$L:$L,MATCH(IF(ISNUMBER(FIND(" - ",H2234)),LEFT(H2234,FIND(" - ",H2234)-1),H2234),[1]Produtos!$C:$C,0))</f>
        <v>#N/A</v>
      </c>
      <c r="L2234" t="e">
        <f>INDEX([1]Produtos!$L:$L,MATCH(F2234,[1]Produtos!$C:$C,0))*INDEX([2]Pedidos!$Q:$Q,MATCH(F2234,[2]Pedidos!$E:$E,0))</f>
        <v>#N/A</v>
      </c>
      <c r="M2234" t="e">
        <f>INDEX([1]Produtos!$L:$L,MATCH(G2234,[1]Produtos!$C:$C,0))*INDEX([2]Pedidos!$Q:$Q,MATCH(G2234,[2]Pedidos!$E:$E,0))</f>
        <v>#N/A</v>
      </c>
      <c r="N2234" t="e">
        <f>INDEX([1]Produtos!$L:$L,MATCH(H2234,[1]Produtos!$C:$C,0))*INDEX([2]Pedidos!$Q:$Q,MATCH(H2234,[2]Pedidos!$E:$E,0))</f>
        <v>#N/A</v>
      </c>
    </row>
    <row r="2235" spans="3:16" x14ac:dyDescent="0.25">
      <c r="C2235" t="s">
        <v>174</v>
      </c>
      <c r="D2235">
        <f t="shared" si="164"/>
        <v>46087</v>
      </c>
      <c r="E2235" t="s">
        <v>168</v>
      </c>
      <c r="F2235" t="s">
        <v>1378</v>
      </c>
      <c r="I2235">
        <f>INDEX([1]Produtos!$L:$L,MATCH(IF(ISNUMBER(FIND(" - ",F2235)),LEFT(F2235,FIND(" - ",F2235)-1),F2235),[1]Produtos!$C:$C,0))</f>
        <v>785.51665461857374</v>
      </c>
      <c r="J2235" t="e">
        <f>INDEX([1]Produtos!$L:$L,MATCH(IF(ISNUMBER(FIND(" - ",G2235)),LEFT(G2235,FIND(" - ",G2235)-1),G2235),[1]Produtos!$C:$C,0))</f>
        <v>#N/A</v>
      </c>
      <c r="K2235" t="e">
        <f>INDEX([1]Produtos!$L:$L,MATCH(IF(ISNUMBER(FIND(" - ",H2235)),LEFT(H2235,FIND(" - ",H2235)-1),H2235),[1]Produtos!$C:$C,0))</f>
        <v>#N/A</v>
      </c>
      <c r="L2235" t="e">
        <f>INDEX([1]Produtos!$L:$L,MATCH(F2235,[1]Produtos!$C:$C,0))*INDEX([2]Pedidos!$Q:$Q,MATCH(F2235,[2]Pedidos!$E:$E,0))</f>
        <v>#N/A</v>
      </c>
      <c r="M2235" t="e">
        <f>INDEX([1]Produtos!$L:$L,MATCH(G2235,[1]Produtos!$C:$C,0))*INDEX([2]Pedidos!$Q:$Q,MATCH(G2235,[2]Pedidos!$E:$E,0))</f>
        <v>#N/A</v>
      </c>
      <c r="N2235" t="e">
        <f>INDEX([1]Produtos!$L:$L,MATCH(H2235,[1]Produtos!$C:$C,0))*INDEX([2]Pedidos!$Q:$Q,MATCH(H2235,[2]Pedidos!$E:$E,0))</f>
        <v>#N/A</v>
      </c>
    </row>
    <row r="2236" spans="3:16" x14ac:dyDescent="0.25">
      <c r="C2236" t="s">
        <v>174</v>
      </c>
      <c r="D2236">
        <f t="shared" si="164"/>
        <v>46087</v>
      </c>
      <c r="E2236" t="s">
        <v>169</v>
      </c>
      <c r="F2236" t="s">
        <v>1378</v>
      </c>
      <c r="I2236">
        <f>INDEX([1]Produtos!$L:$L,MATCH(IF(ISNUMBER(FIND(" - ",F2236)),LEFT(F2236,FIND(" - ",F2236)-1),F2236),[1]Produtos!$C:$C,0))</f>
        <v>785.51665461857374</v>
      </c>
      <c r="J2236" t="e">
        <f>INDEX([1]Produtos!$L:$L,MATCH(IF(ISNUMBER(FIND(" - ",G2236)),LEFT(G2236,FIND(" - ",G2236)-1),G2236),[1]Produtos!$C:$C,0))</f>
        <v>#N/A</v>
      </c>
      <c r="K2236" t="e">
        <f>INDEX([1]Produtos!$L:$L,MATCH(IF(ISNUMBER(FIND(" - ",H2236)),LEFT(H2236,FIND(" - ",H2236)-1),H2236),[1]Produtos!$C:$C,0))</f>
        <v>#N/A</v>
      </c>
      <c r="L2236" t="e">
        <f>INDEX([1]Produtos!$L:$L,MATCH(F2236,[1]Produtos!$C:$C,0))*INDEX([2]Pedidos!$Q:$Q,MATCH(F2236,[2]Pedidos!$E:$E,0))</f>
        <v>#N/A</v>
      </c>
      <c r="M2236" t="e">
        <f>INDEX([1]Produtos!$L:$L,MATCH(G2236,[1]Produtos!$C:$C,0))*INDEX([2]Pedidos!$Q:$Q,MATCH(G2236,[2]Pedidos!$E:$E,0))</f>
        <v>#N/A</v>
      </c>
      <c r="N2236" t="e">
        <f>INDEX([1]Produtos!$L:$L,MATCH(H2236,[1]Produtos!$C:$C,0))*INDEX([2]Pedidos!$Q:$Q,MATCH(H2236,[2]Pedidos!$E:$E,0))</f>
        <v>#N/A</v>
      </c>
    </row>
    <row r="2237" spans="3:16" x14ac:dyDescent="0.25">
      <c r="C2237" t="s">
        <v>174</v>
      </c>
      <c r="D2237">
        <f t="shared" si="164"/>
        <v>46087</v>
      </c>
      <c r="E2237" t="s">
        <v>170</v>
      </c>
      <c r="F2237" t="s">
        <v>1378</v>
      </c>
      <c r="I2237">
        <f>INDEX([1]Produtos!$L:$L,MATCH(IF(ISNUMBER(FIND(" - ",F2237)),LEFT(F2237,FIND(" - ",F2237)-1),F2237),[1]Produtos!$C:$C,0))</f>
        <v>785.51665461857374</v>
      </c>
      <c r="J2237" t="e">
        <f>INDEX([1]Produtos!$L:$L,MATCH(IF(ISNUMBER(FIND(" - ",G2237)),LEFT(G2237,FIND(" - ",G2237)-1),G2237),[1]Produtos!$C:$C,0))</f>
        <v>#N/A</v>
      </c>
      <c r="K2237" t="e">
        <f>INDEX([1]Produtos!$L:$L,MATCH(IF(ISNUMBER(FIND(" - ",H2237)),LEFT(H2237,FIND(" - ",H2237)-1),H2237),[1]Produtos!$C:$C,0))</f>
        <v>#N/A</v>
      </c>
      <c r="L2237" t="e">
        <f>INDEX([1]Produtos!$L:$L,MATCH(F2237,[1]Produtos!$C:$C,0))*INDEX([2]Pedidos!$Q:$Q,MATCH(F2237,[2]Pedidos!$E:$E,0))</f>
        <v>#N/A</v>
      </c>
      <c r="M2237" t="e">
        <f>INDEX([1]Produtos!$L:$L,MATCH(G2237,[1]Produtos!$C:$C,0))*INDEX([2]Pedidos!$Q:$Q,MATCH(G2237,[2]Pedidos!$E:$E,0))</f>
        <v>#N/A</v>
      </c>
      <c r="N2237" t="e">
        <f>INDEX([1]Produtos!$L:$L,MATCH(H2237,[1]Produtos!$C:$C,0))*INDEX([2]Pedidos!$Q:$Q,MATCH(H2237,[2]Pedidos!$E:$E,0))</f>
        <v>#N/A</v>
      </c>
    </row>
    <row r="2238" spans="3:16" x14ac:dyDescent="0.25">
      <c r="C2238" t="s">
        <v>174</v>
      </c>
      <c r="D2238">
        <f t="shared" si="164"/>
        <v>46087</v>
      </c>
      <c r="E2238" t="s">
        <v>585</v>
      </c>
    </row>
    <row r="2239" spans="3:16" x14ac:dyDescent="0.25">
      <c r="C2239" t="s">
        <v>174</v>
      </c>
      <c r="D2239">
        <f t="shared" si="164"/>
        <v>46087</v>
      </c>
      <c r="E2239" t="s">
        <v>574</v>
      </c>
    </row>
    <row r="2240" spans="3:16" x14ac:dyDescent="0.25">
      <c r="C2240" t="s">
        <v>174</v>
      </c>
      <c r="D2240">
        <f t="shared" si="164"/>
        <v>46087</v>
      </c>
      <c r="E2240" t="s">
        <v>575</v>
      </c>
    </row>
    <row r="2241" spans="1:18" x14ac:dyDescent="0.25">
      <c r="C2241" t="s">
        <v>174</v>
      </c>
      <c r="D2241">
        <f t="shared" si="164"/>
        <v>46087</v>
      </c>
      <c r="E2241" t="s">
        <v>583</v>
      </c>
    </row>
    <row r="2242" spans="1:18" x14ac:dyDescent="0.25">
      <c r="C2242" t="s">
        <v>174</v>
      </c>
      <c r="D2242">
        <f t="shared" si="164"/>
        <v>46087</v>
      </c>
      <c r="E2242" t="s">
        <v>584</v>
      </c>
    </row>
    <row r="2243" spans="1:18" ht="15.75" thickBot="1" x14ac:dyDescent="0.3"/>
    <row r="2244" spans="1:18" ht="15" customHeight="1" thickBot="1" x14ac:dyDescent="0.3">
      <c r="A2244" s="753" t="s">
        <v>1434</v>
      </c>
      <c r="C2244" s="538"/>
      <c r="D2244" s="539"/>
      <c r="E2244" s="539"/>
      <c r="F2244" s="539"/>
      <c r="G2244" s="539"/>
      <c r="H2244" s="539"/>
      <c r="I2244" s="543">
        <f t="shared" ref="I2244:N2244" si="165">IFERROR(SUM(I2245:I2260),0)</f>
        <v>7999.9999999999991</v>
      </c>
      <c r="J2244" s="542">
        <f t="shared" si="165"/>
        <v>0</v>
      </c>
      <c r="K2244" s="544">
        <f t="shared" si="165"/>
        <v>0</v>
      </c>
      <c r="L2244" s="560">
        <f t="shared" si="165"/>
        <v>0</v>
      </c>
      <c r="M2244" s="561">
        <f t="shared" si="165"/>
        <v>0</v>
      </c>
      <c r="N2244" s="562">
        <f t="shared" si="165"/>
        <v>0</v>
      </c>
      <c r="O2244" s="548">
        <f>SUM(I2244:K2244)</f>
        <v>7999.9999999999991</v>
      </c>
      <c r="P2244" s="549">
        <f>SUM(L2244:N2244)</f>
        <v>0</v>
      </c>
      <c r="Q2244" s="3"/>
      <c r="R2244" s="3"/>
    </row>
    <row r="2245" spans="1:18" x14ac:dyDescent="0.25">
      <c r="A2245" s="753"/>
      <c r="C2245" s="496" t="s">
        <v>161</v>
      </c>
      <c r="D2245" s="507">
        <v>46090</v>
      </c>
      <c r="E2245" s="498" t="s">
        <v>573</v>
      </c>
      <c r="F2245" s="514"/>
      <c r="G2245" s="514"/>
      <c r="H2245" s="515"/>
      <c r="I2245" s="537"/>
      <c r="J2245" s="537"/>
      <c r="K2245" s="537"/>
      <c r="L2245" s="563"/>
      <c r="M2245" s="563"/>
      <c r="N2245" s="563"/>
    </row>
    <row r="2246" spans="1:18" x14ac:dyDescent="0.25">
      <c r="A2246" s="753"/>
      <c r="C2246" s="525" t="s">
        <v>161</v>
      </c>
      <c r="D2246" s="499">
        <f t="shared" ref="D2246:D2260" si="166">D2245</f>
        <v>46090</v>
      </c>
      <c r="E2246" s="500" t="s">
        <v>162</v>
      </c>
      <c r="F2246" s="460" t="s">
        <v>1378</v>
      </c>
      <c r="G2246" s="460"/>
      <c r="H2246" s="460"/>
      <c r="I2246" s="540">
        <f>8000/9</f>
        <v>888.88888888888891</v>
      </c>
      <c r="J2246" s="540" t="e">
        <f>INDEX([1]Produtos!$L:$L,MATCH(IF(ISNUMBER(FIND(" - ",G2246)),LEFT(G2246,FIND(" - ",G2246)-1),G2246),[1]Produtos!$C:$C,0))</f>
        <v>#N/A</v>
      </c>
      <c r="K2246" s="540" t="e">
        <f>INDEX([1]Produtos!$L:$L,MATCH(IF(ISNUMBER(FIND(" - ",H2246)),LEFT(H2246,FIND(" - ",H2246)-1),H2246),[1]Produtos!$C:$C,0))</f>
        <v>#N/A</v>
      </c>
      <c r="L2246" s="555" t="e">
        <f>8000/9*INDEX([2]Pedidos!$Q:$Q,MATCH(F2246,[2]Pedidos!$E:$E,0))</f>
        <v>#N/A</v>
      </c>
      <c r="M2246" s="555" t="e">
        <f>INDEX([1]Produtos!$L:$L,MATCH(G2246,[1]Produtos!$C:$C,0))*INDEX([2]Pedidos!$Q:$Q,MATCH(G2246,[2]Pedidos!$E:$E,0))</f>
        <v>#N/A</v>
      </c>
      <c r="N2246" s="555" t="e">
        <f>INDEX([1]Produtos!$L:$L,MATCH(H2246,[1]Produtos!$C:$C,0))*INDEX([2]Pedidos!$Q:$Q,MATCH(H2246,[2]Pedidos!$E:$E,0))</f>
        <v>#N/A</v>
      </c>
    </row>
    <row r="2247" spans="1:18" x14ac:dyDescent="0.25">
      <c r="A2247" s="753"/>
      <c r="C2247" s="526" t="s">
        <v>161</v>
      </c>
      <c r="D2247" s="449">
        <f t="shared" si="166"/>
        <v>46090</v>
      </c>
      <c r="E2247" s="454" t="s">
        <v>163</v>
      </c>
      <c r="F2247" s="460" t="s">
        <v>1378</v>
      </c>
      <c r="G2247" s="460"/>
      <c r="H2247" s="460"/>
      <c r="I2247" s="540">
        <f>8000/9</f>
        <v>888.88888888888891</v>
      </c>
      <c r="J2247" s="540" t="e">
        <f>INDEX([1]Produtos!$L:$L,MATCH(IF(ISNUMBER(FIND(" - ",G2247)),LEFT(G2247,FIND(" - ",G2247)-1),G2247),[1]Produtos!$C:$C,0))</f>
        <v>#N/A</v>
      </c>
      <c r="K2247" s="540" t="e">
        <f>INDEX([1]Produtos!$L:$L,MATCH(IF(ISNUMBER(FIND(" - ",H2247)),LEFT(H2247,FIND(" - ",H2247)-1),H2247),[1]Produtos!$C:$C,0))</f>
        <v>#N/A</v>
      </c>
      <c r="L2247" s="564" t="e">
        <f>8000/9*INDEX([2]Pedidos!$Q:$Q,MATCH(F2247,[2]Pedidos!$E:$E,0))</f>
        <v>#N/A</v>
      </c>
      <c r="M2247" s="564" t="e">
        <f>INDEX([1]Produtos!$L:$L,MATCH(G2247,[1]Produtos!$C:$C,0))*INDEX([2]Pedidos!$Q:$Q,MATCH(G2247,[2]Pedidos!$E:$E,0))</f>
        <v>#N/A</v>
      </c>
      <c r="N2247" s="564" t="e">
        <f>INDEX([1]Produtos!$L:$L,MATCH(H2247,[1]Produtos!$C:$C,0))*INDEX([2]Pedidos!$Q:$Q,MATCH(H2247,[2]Pedidos!$E:$E,0))</f>
        <v>#N/A</v>
      </c>
    </row>
    <row r="2248" spans="1:18" x14ac:dyDescent="0.25">
      <c r="A2248" s="753"/>
      <c r="C2248" s="526" t="s">
        <v>161</v>
      </c>
      <c r="D2248" s="449">
        <f t="shared" si="166"/>
        <v>46090</v>
      </c>
      <c r="E2248" s="454" t="s">
        <v>164</v>
      </c>
      <c r="F2248" s="460" t="s">
        <v>1378</v>
      </c>
      <c r="G2248" s="460"/>
      <c r="H2248" s="460"/>
      <c r="I2248" s="540">
        <f>8000/9</f>
        <v>888.88888888888891</v>
      </c>
      <c r="J2248" s="540" t="e">
        <f>INDEX([1]Produtos!$L:$L,MATCH(IF(ISNUMBER(FIND(" - ",G2248)),LEFT(G2248,FIND(" - ",G2248)-1),G2248),[1]Produtos!$C:$C,0))</f>
        <v>#N/A</v>
      </c>
      <c r="K2248" s="540" t="e">
        <f>INDEX([1]Produtos!$L:$L,MATCH(IF(ISNUMBER(FIND(" - ",H2248)),LEFT(H2248,FIND(" - ",H2248)-1),H2248),[1]Produtos!$C:$C,0))</f>
        <v>#N/A</v>
      </c>
      <c r="L2248" s="564" t="e">
        <f>8000/9*INDEX([2]Pedidos!$Q:$Q,MATCH(F2248,[2]Pedidos!$E:$E,0))</f>
        <v>#N/A</v>
      </c>
      <c r="M2248" s="564" t="e">
        <f>INDEX([1]Produtos!$L:$L,MATCH(G2248,[1]Produtos!$C:$C,0))*INDEX([2]Pedidos!$Q:$Q,MATCH(G2248,[2]Pedidos!$E:$E,0))</f>
        <v>#N/A</v>
      </c>
      <c r="N2248" s="564" t="e">
        <f>INDEX([1]Produtos!$L:$L,MATCH(H2248,[1]Produtos!$C:$C,0))*INDEX([2]Pedidos!$Q:$Q,MATCH(H2248,[2]Pedidos!$E:$E,0))</f>
        <v>#N/A</v>
      </c>
    </row>
    <row r="2249" spans="1:18" x14ac:dyDescent="0.25">
      <c r="A2249" s="753"/>
      <c r="C2249" s="526" t="s">
        <v>161</v>
      </c>
      <c r="D2249" s="449">
        <f t="shared" si="166"/>
        <v>46090</v>
      </c>
      <c r="E2249" s="454" t="s">
        <v>165</v>
      </c>
      <c r="F2249" s="460" t="s">
        <v>1025</v>
      </c>
      <c r="G2249" s="460"/>
      <c r="H2249" s="460"/>
      <c r="I2249" s="540">
        <f>8000/9</f>
        <v>888.88888888888891</v>
      </c>
      <c r="J2249" s="540" t="e">
        <f>INDEX([1]Produtos!$L:$L,MATCH(IF(ISNUMBER(FIND(" - ",G2249)),LEFT(G2249,FIND(" - ",G2249)-1),G2249),[1]Produtos!$C:$C,0))</f>
        <v>#N/A</v>
      </c>
      <c r="K2249" s="540" t="e">
        <f>INDEX([1]Produtos!$L:$L,MATCH(IF(ISNUMBER(FIND(" - ",H2249)),LEFT(H2249,FIND(" - ",H2249)-1),H2249),[1]Produtos!$C:$C,0))</f>
        <v>#N/A</v>
      </c>
      <c r="L2249" s="564" t="e">
        <f>8000/9*INDEX([2]Pedidos!$Q:$Q,MATCH(F2249,[2]Pedidos!$E:$E,0))</f>
        <v>#N/A</v>
      </c>
      <c r="M2249" s="564" t="e">
        <f>INDEX([1]Produtos!$L:$L,MATCH(G2249,[1]Produtos!$C:$C,0))*INDEX([2]Pedidos!$Q:$Q,MATCH(G2249,[2]Pedidos!$E:$E,0))</f>
        <v>#N/A</v>
      </c>
      <c r="N2249" s="564" t="e">
        <f>INDEX([1]Produtos!$L:$L,MATCH(H2249,[1]Produtos!$C:$C,0))*INDEX([2]Pedidos!$Q:$Q,MATCH(H2249,[2]Pedidos!$E:$E,0))</f>
        <v>#N/A</v>
      </c>
    </row>
    <row r="2250" spans="1:18" x14ac:dyDescent="0.25">
      <c r="A2250" s="753"/>
      <c r="C2250" s="526" t="s">
        <v>161</v>
      </c>
      <c r="D2250" s="449">
        <f t="shared" si="166"/>
        <v>46090</v>
      </c>
      <c r="E2250" s="454" t="s">
        <v>166</v>
      </c>
      <c r="F2250" s="460" t="s">
        <v>1025</v>
      </c>
      <c r="G2250" s="460"/>
      <c r="H2250" s="460"/>
      <c r="I2250" s="540">
        <f>8000/9</f>
        <v>888.88888888888891</v>
      </c>
      <c r="J2250" s="540" t="e">
        <f>INDEX([1]Produtos!$L:$L,MATCH(IF(ISNUMBER(FIND(" - ",G2250)),LEFT(G2250,FIND(" - ",G2250)-1),G2250),[1]Produtos!$C:$C,0))</f>
        <v>#N/A</v>
      </c>
      <c r="K2250" s="540" t="e">
        <f>INDEX([1]Produtos!$L:$L,MATCH(IF(ISNUMBER(FIND(" - ",H2250)),LEFT(H2250,FIND(" - ",H2250)-1),H2250),[1]Produtos!$C:$C,0))</f>
        <v>#N/A</v>
      </c>
      <c r="L2250" s="564" t="e">
        <f>8000/9*INDEX([2]Pedidos!$Q:$Q,MATCH(F2250,[2]Pedidos!$E:$E,0))</f>
        <v>#N/A</v>
      </c>
      <c r="M2250" s="564" t="e">
        <f>INDEX([1]Produtos!$L:$L,MATCH(G2250,[1]Produtos!$C:$C,0))*INDEX([2]Pedidos!$Q:$Q,MATCH(G2250,[2]Pedidos!$E:$E,0))</f>
        <v>#N/A</v>
      </c>
      <c r="N2250" s="564" t="e">
        <f>INDEX([1]Produtos!$L:$L,MATCH(H2250,[1]Produtos!$C:$C,0))*INDEX([2]Pedidos!$Q:$Q,MATCH(H2250,[2]Pedidos!$E:$E,0))</f>
        <v>#N/A</v>
      </c>
    </row>
    <row r="2251" spans="1:18" x14ac:dyDescent="0.25">
      <c r="A2251" s="753"/>
      <c r="C2251" s="526" t="s">
        <v>161</v>
      </c>
      <c r="D2251" s="449">
        <f t="shared" si="166"/>
        <v>46090</v>
      </c>
      <c r="E2251" s="454" t="s">
        <v>576</v>
      </c>
      <c r="F2251" s="512"/>
      <c r="G2251" s="512"/>
      <c r="H2251" s="505"/>
      <c r="I2251" s="554"/>
      <c r="J2251" s="541"/>
      <c r="K2251" s="541"/>
      <c r="L2251" s="556"/>
      <c r="M2251" s="556"/>
      <c r="N2251" s="556"/>
    </row>
    <row r="2252" spans="1:18" x14ac:dyDescent="0.25">
      <c r="A2252" s="753"/>
      <c r="C2252" s="527" t="s">
        <v>161</v>
      </c>
      <c r="D2252" s="449">
        <f t="shared" si="166"/>
        <v>46090</v>
      </c>
      <c r="E2252" s="454" t="s">
        <v>167</v>
      </c>
      <c r="F2252" s="460" t="s">
        <v>1025</v>
      </c>
      <c r="G2252" s="460"/>
      <c r="H2252" s="460"/>
      <c r="I2252" s="540">
        <f>8000/9</f>
        <v>888.88888888888891</v>
      </c>
      <c r="J2252" s="540" t="e">
        <f>INDEX([1]Produtos!$L:$L,MATCH(IF(ISNUMBER(FIND(" - ",G2252)),LEFT(G2252,FIND(" - ",G2252)-1),G2252),[1]Produtos!$C:$C,0))</f>
        <v>#N/A</v>
      </c>
      <c r="K2252" s="540" t="e">
        <f>INDEX([1]Produtos!$L:$L,MATCH(IF(ISNUMBER(FIND(" - ",H2252)),LEFT(H2252,FIND(" - ",H2252)-1),H2252),[1]Produtos!$C:$C,0))</f>
        <v>#N/A</v>
      </c>
      <c r="L2252" s="565" t="e">
        <f>8000/9*INDEX([2]Pedidos!$Q:$Q,MATCH(F2252,[2]Pedidos!$E:$E,0))</f>
        <v>#N/A</v>
      </c>
      <c r="M2252" s="565" t="e">
        <f>INDEX([1]Produtos!$L:$L,MATCH(G2252,[1]Produtos!$C:$C,0))*INDEX([2]Pedidos!$Q:$Q,MATCH(G2252,[2]Pedidos!$E:$E,0))</f>
        <v>#N/A</v>
      </c>
      <c r="N2252" s="565" t="e">
        <f>INDEX([1]Produtos!$L:$L,MATCH(H2252,[1]Produtos!$C:$C,0))*INDEX([2]Pedidos!$Q:$Q,MATCH(H2252,[2]Pedidos!$E:$E,0))</f>
        <v>#N/A</v>
      </c>
    </row>
    <row r="2253" spans="1:18" x14ac:dyDescent="0.25">
      <c r="A2253" s="753"/>
      <c r="C2253" s="527" t="s">
        <v>161</v>
      </c>
      <c r="D2253" s="449">
        <f t="shared" si="166"/>
        <v>46090</v>
      </c>
      <c r="E2253" s="454" t="s">
        <v>168</v>
      </c>
      <c r="F2253" s="460" t="s">
        <v>1025</v>
      </c>
      <c r="G2253" s="460"/>
      <c r="H2253" s="461"/>
      <c r="I2253" s="540">
        <f>8000/9</f>
        <v>888.88888888888891</v>
      </c>
      <c r="J2253" s="540" t="e">
        <f>INDEX([1]Produtos!$L:$L,MATCH(IF(ISNUMBER(FIND(" - ",G2253)),LEFT(G2253,FIND(" - ",G2253)-1),G2253),[1]Produtos!$C:$C,0))</f>
        <v>#N/A</v>
      </c>
      <c r="K2253" s="540" t="e">
        <f>INDEX([1]Produtos!$L:$L,MATCH(IF(ISNUMBER(FIND(" - ",H2253)),LEFT(H2253,FIND(" - ",H2253)-1),H2253),[1]Produtos!$C:$C,0))</f>
        <v>#N/A</v>
      </c>
      <c r="L2253" s="565" t="e">
        <f>8000/9*INDEX([2]Pedidos!$Q:$Q,MATCH(F2253,[2]Pedidos!$E:$E,0))</f>
        <v>#N/A</v>
      </c>
      <c r="M2253" s="565" t="e">
        <f>INDEX([1]Produtos!$L:$L,MATCH(G2253,[1]Produtos!$C:$C,0))*INDEX([2]Pedidos!$Q:$Q,MATCH(G2253,[2]Pedidos!$E:$E,0))</f>
        <v>#N/A</v>
      </c>
      <c r="N2253" s="565" t="e">
        <f>INDEX([1]Produtos!$L:$L,MATCH(H2253,[1]Produtos!$C:$C,0))*INDEX([2]Pedidos!$Q:$Q,MATCH(H2253,[2]Pedidos!$E:$E,0))</f>
        <v>#N/A</v>
      </c>
    </row>
    <row r="2254" spans="1:18" x14ac:dyDescent="0.25">
      <c r="A2254" s="753"/>
      <c r="C2254" s="527" t="s">
        <v>161</v>
      </c>
      <c r="D2254" s="449">
        <f t="shared" si="166"/>
        <v>46090</v>
      </c>
      <c r="E2254" s="454" t="s">
        <v>169</v>
      </c>
      <c r="F2254" s="460" t="s">
        <v>1025</v>
      </c>
      <c r="G2254" s="460"/>
      <c r="H2254" s="461"/>
      <c r="I2254" s="540">
        <f>8000/9</f>
        <v>888.88888888888891</v>
      </c>
      <c r="J2254" s="540" t="e">
        <f>INDEX([1]Produtos!$L:$L,MATCH(IF(ISNUMBER(FIND(" - ",G2254)),LEFT(G2254,FIND(" - ",G2254)-1),G2254),[1]Produtos!$C:$C,0))</f>
        <v>#N/A</v>
      </c>
      <c r="K2254" s="540" t="e">
        <f>INDEX([1]Produtos!$L:$L,MATCH(IF(ISNUMBER(FIND(" - ",H2254)),LEFT(H2254,FIND(" - ",H2254)-1),H2254),[1]Produtos!$C:$C,0))</f>
        <v>#N/A</v>
      </c>
      <c r="L2254" s="565" t="e">
        <f>8000/9*INDEX([2]Pedidos!$Q:$Q,MATCH(F2254,[2]Pedidos!$E:$E,0))</f>
        <v>#N/A</v>
      </c>
      <c r="M2254" s="565" t="e">
        <f>INDEX([1]Produtos!$L:$L,MATCH(G2254,[1]Produtos!$C:$C,0))*INDEX([2]Pedidos!$Q:$Q,MATCH(G2254,[2]Pedidos!$E:$E,0))</f>
        <v>#N/A</v>
      </c>
      <c r="N2254" s="565" t="e">
        <f>INDEX([1]Produtos!$L:$L,MATCH(H2254,[1]Produtos!$C:$C,0))*INDEX([2]Pedidos!$Q:$Q,MATCH(H2254,[2]Pedidos!$E:$E,0))</f>
        <v>#N/A</v>
      </c>
    </row>
    <row r="2255" spans="1:18" x14ac:dyDescent="0.25">
      <c r="A2255" s="753"/>
      <c r="C2255" s="527" t="s">
        <v>161</v>
      </c>
      <c r="D2255" s="449">
        <f t="shared" si="166"/>
        <v>46090</v>
      </c>
      <c r="E2255" s="454" t="s">
        <v>170</v>
      </c>
      <c r="F2255" s="460" t="s">
        <v>1025</v>
      </c>
      <c r="G2255" s="460"/>
      <c r="H2255" s="504"/>
      <c r="I2255" s="540">
        <f>8000/9</f>
        <v>888.88888888888891</v>
      </c>
      <c r="J2255" s="540" t="e">
        <f>INDEX([1]Produtos!$L:$L,MATCH(IF(ISNUMBER(FIND(" - ",G2255)),LEFT(G2255,FIND(" - ",G2255)-1),G2255),[1]Produtos!$C:$C,0))</f>
        <v>#N/A</v>
      </c>
      <c r="K2255" s="540" t="e">
        <f>INDEX([1]Produtos!$L:$L,MATCH(IF(ISNUMBER(FIND(" - ",H2255)),LEFT(H2255,FIND(" - ",H2255)-1),H2255),[1]Produtos!$C:$C,0))</f>
        <v>#N/A</v>
      </c>
      <c r="L2255" s="566" t="e">
        <f>8000/9*INDEX([2]Pedidos!$Q:$Q,MATCH(F2255,[2]Pedidos!$E:$E,0))</f>
        <v>#N/A</v>
      </c>
      <c r="M2255" s="566" t="e">
        <f>INDEX([1]Produtos!$L:$L,MATCH(G2255,[1]Produtos!$C:$C,0))*INDEX([2]Pedidos!$Q:$Q,MATCH(G2255,[2]Pedidos!$E:$E,0))</f>
        <v>#N/A</v>
      </c>
      <c r="N2255" s="566" t="e">
        <f>INDEX([1]Produtos!$L:$L,MATCH(H2255,[1]Produtos!$C:$C,0))*INDEX([2]Pedidos!$Q:$Q,MATCH(H2255,[2]Pedidos!$E:$E,0))</f>
        <v>#N/A</v>
      </c>
    </row>
    <row r="2256" spans="1:18" x14ac:dyDescent="0.25">
      <c r="A2256" s="753"/>
      <c r="C2256" s="527" t="s">
        <v>161</v>
      </c>
      <c r="D2256" s="449">
        <f t="shared" si="166"/>
        <v>46090</v>
      </c>
      <c r="E2256" s="454" t="s">
        <v>585</v>
      </c>
      <c r="F2256" s="505"/>
      <c r="G2256" s="516"/>
      <c r="H2256" s="516"/>
      <c r="I2256" s="516"/>
      <c r="J2256" s="516"/>
      <c r="K2256" s="516"/>
      <c r="L2256" s="557"/>
      <c r="M2256" s="557"/>
      <c r="N2256" s="557"/>
    </row>
    <row r="2257" spans="1:18" x14ac:dyDescent="0.25">
      <c r="A2257" s="753"/>
      <c r="C2257" s="527" t="s">
        <v>161</v>
      </c>
      <c r="D2257" s="449">
        <f t="shared" si="166"/>
        <v>46090</v>
      </c>
      <c r="E2257" s="455" t="s">
        <v>574</v>
      </c>
      <c r="F2257" s="505"/>
      <c r="G2257" s="516"/>
      <c r="H2257" s="516"/>
      <c r="I2257" s="516"/>
      <c r="J2257" s="516"/>
      <c r="K2257" s="516"/>
      <c r="L2257" s="557"/>
      <c r="M2257" s="557"/>
      <c r="N2257" s="557"/>
    </row>
    <row r="2258" spans="1:18" x14ac:dyDescent="0.25">
      <c r="A2258" s="753"/>
      <c r="C2258" s="527" t="s">
        <v>161</v>
      </c>
      <c r="D2258" s="449">
        <f t="shared" si="166"/>
        <v>46090</v>
      </c>
      <c r="E2258" s="455" t="s">
        <v>575</v>
      </c>
      <c r="F2258" s="506"/>
      <c r="G2258" s="506"/>
      <c r="H2258" s="516"/>
      <c r="I2258" s="516"/>
      <c r="J2258" s="516"/>
      <c r="K2258" s="516"/>
      <c r="L2258" s="557"/>
      <c r="M2258" s="557"/>
      <c r="N2258" s="557"/>
    </row>
    <row r="2259" spans="1:18" x14ac:dyDescent="0.25">
      <c r="A2259" s="753"/>
      <c r="C2259" s="527" t="s">
        <v>161</v>
      </c>
      <c r="D2259" s="449">
        <f t="shared" si="166"/>
        <v>46090</v>
      </c>
      <c r="E2259" s="503" t="s">
        <v>583</v>
      </c>
      <c r="F2259" s="506"/>
      <c r="G2259" s="506"/>
      <c r="H2259" s="516"/>
      <c r="I2259" s="516"/>
      <c r="J2259" s="516"/>
      <c r="K2259" s="516"/>
      <c r="L2259" s="557"/>
      <c r="M2259" s="557"/>
      <c r="N2259" s="557"/>
    </row>
    <row r="2260" spans="1:18" ht="15.75" thickBot="1" x14ac:dyDescent="0.3">
      <c r="A2260" s="753"/>
      <c r="C2260" s="528" t="s">
        <v>161</v>
      </c>
      <c r="D2260" s="451">
        <f t="shared" si="166"/>
        <v>46090</v>
      </c>
      <c r="E2260" s="459" t="s">
        <v>584</v>
      </c>
      <c r="F2260" s="493"/>
      <c r="G2260" s="493"/>
      <c r="H2260" s="513"/>
      <c r="I2260" s="513"/>
      <c r="J2260" s="513"/>
      <c r="K2260" s="513"/>
      <c r="L2260" s="558"/>
      <c r="M2260" s="558"/>
      <c r="N2260" s="558"/>
    </row>
    <row r="2261" spans="1:18" ht="4.5" customHeight="1" thickBot="1" x14ac:dyDescent="0.3">
      <c r="A2261" s="753"/>
      <c r="L2261" s="559"/>
      <c r="M2261" s="559"/>
      <c r="N2261" s="559"/>
      <c r="Q2261" s="3"/>
      <c r="R2261" s="3"/>
    </row>
    <row r="2262" spans="1:18" ht="15" customHeight="1" thickBot="1" x14ac:dyDescent="0.3">
      <c r="A2262" s="753"/>
      <c r="C2262" s="538"/>
      <c r="D2262" s="539"/>
      <c r="E2262" s="539"/>
      <c r="F2262" s="539"/>
      <c r="G2262" s="539"/>
      <c r="H2262" s="539"/>
      <c r="I2262" s="543">
        <f t="shared" ref="I2262:N2262" si="167">IFERROR(SUM(I2263:I2278),0)</f>
        <v>7592.2902086267004</v>
      </c>
      <c r="J2262" s="542">
        <f t="shared" si="167"/>
        <v>7592.2902086267004</v>
      </c>
      <c r="K2262" s="544">
        <f t="shared" si="167"/>
        <v>0</v>
      </c>
      <c r="L2262" s="560">
        <f t="shared" si="167"/>
        <v>0</v>
      </c>
      <c r="M2262" s="561">
        <f t="shared" si="167"/>
        <v>0</v>
      </c>
      <c r="N2262" s="562">
        <f t="shared" si="167"/>
        <v>0</v>
      </c>
      <c r="O2262" s="548">
        <f>SUM(I2262:K2262)</f>
        <v>15184.580417253401</v>
      </c>
      <c r="P2262" s="549">
        <f>SUM(L2262:N2262)</f>
        <v>0</v>
      </c>
      <c r="Q2262" s="3"/>
      <c r="R2262" s="3"/>
    </row>
    <row r="2263" spans="1:18" x14ac:dyDescent="0.25">
      <c r="A2263" s="753"/>
      <c r="C2263" s="446" t="s">
        <v>171</v>
      </c>
      <c r="D2263" s="497">
        <f>D2260+1</f>
        <v>46091</v>
      </c>
      <c r="E2263" s="498" t="s">
        <v>573</v>
      </c>
      <c r="F2263" s="514"/>
      <c r="G2263" s="514"/>
      <c r="H2263" s="515"/>
      <c r="I2263" s="537"/>
      <c r="J2263" s="537"/>
      <c r="K2263" s="537"/>
      <c r="L2263" s="563"/>
      <c r="M2263" s="563"/>
      <c r="N2263" s="563"/>
    </row>
    <row r="2264" spans="1:18" x14ac:dyDescent="0.25">
      <c r="A2264" s="753"/>
      <c r="C2264" s="452" t="s">
        <v>171</v>
      </c>
      <c r="D2264" s="499">
        <f t="shared" ref="D2264:D2278" si="168">D2263</f>
        <v>46091</v>
      </c>
      <c r="E2264" s="500" t="s">
        <v>162</v>
      </c>
      <c r="F2264" s="460" t="s">
        <v>1025</v>
      </c>
      <c r="G2264" s="460" t="s">
        <v>1025</v>
      </c>
      <c r="H2264" s="501"/>
      <c r="I2264" s="540">
        <f>INDEX([1]Produtos!$L:$L,MATCH(IF(ISNUMBER(FIND(" - ",F2264)),LEFT(F2264,FIND(" - ",F2264)-1),F2264),[1]Produtos!$C:$C,0))</f>
        <v>843.58780095852239</v>
      </c>
      <c r="J2264" s="540">
        <f>INDEX([1]Produtos!$L:$L,MATCH(IF(ISNUMBER(FIND(" - ",G2264)),LEFT(G2264,FIND(" - ",G2264)-1),G2264),[1]Produtos!$C:$C,0))</f>
        <v>843.58780095852239</v>
      </c>
      <c r="K2264" s="540" t="e">
        <f>INDEX([1]Produtos!$L:$L,MATCH(IF(ISNUMBER(FIND(" - ",H2264)),LEFT(H2264,FIND(" - ",H2264)-1),H2264),[1]Produtos!$C:$C,0))</f>
        <v>#N/A</v>
      </c>
      <c r="L2264" s="555" t="e">
        <f>INDEX([1]Produtos!$L:$L,MATCH(F2264,[1]Produtos!$C:$C,0))*INDEX([2]Pedidos!$Q:$Q,MATCH(F2264,[2]Pedidos!$E:$E,0))</f>
        <v>#N/A</v>
      </c>
      <c r="M2264" s="555" t="e">
        <f>INDEX([1]Produtos!$L:$L,MATCH(G2264,[1]Produtos!$C:$C,0))*INDEX([2]Pedidos!$Q:$Q,MATCH(G2264,[2]Pedidos!$E:$E,0))</f>
        <v>#N/A</v>
      </c>
      <c r="N2264" s="555" t="e">
        <f>INDEX([1]Produtos!$L:$L,MATCH(H2264,[1]Produtos!$C:$C,0))*INDEX([2]Pedidos!$Q:$Q,MATCH(H2264,[2]Pedidos!$E:$E,0))</f>
        <v>#N/A</v>
      </c>
    </row>
    <row r="2265" spans="1:18" x14ac:dyDescent="0.25">
      <c r="A2265" s="753"/>
      <c r="C2265" s="452" t="s">
        <v>171</v>
      </c>
      <c r="D2265" s="449">
        <f t="shared" si="168"/>
        <v>46091</v>
      </c>
      <c r="E2265" s="454" t="s">
        <v>163</v>
      </c>
      <c r="F2265" s="460" t="s">
        <v>1025</v>
      </c>
      <c r="G2265" s="460" t="s">
        <v>1025</v>
      </c>
      <c r="H2265" s="460"/>
      <c r="I2265" s="540">
        <f>INDEX([1]Produtos!$L:$L,MATCH(IF(ISNUMBER(FIND(" - ",F2265)),LEFT(F2265,FIND(" - ",F2265)-1),F2265),[1]Produtos!$C:$C,0))</f>
        <v>843.58780095852239</v>
      </c>
      <c r="J2265" s="540">
        <f>INDEX([1]Produtos!$L:$L,MATCH(IF(ISNUMBER(FIND(" - ",G2265)),LEFT(G2265,FIND(" - ",G2265)-1),G2265),[1]Produtos!$C:$C,0))</f>
        <v>843.58780095852239</v>
      </c>
      <c r="K2265" s="540" t="e">
        <f>INDEX([1]Produtos!$L:$L,MATCH(IF(ISNUMBER(FIND(" - ",H2265)),LEFT(H2265,FIND(" - ",H2265)-1),H2265),[1]Produtos!$C:$C,0))</f>
        <v>#N/A</v>
      </c>
      <c r="L2265" s="564" t="e">
        <f>INDEX([1]Produtos!$L:$L,MATCH(F2265,[1]Produtos!$C:$C,0))*INDEX([2]Pedidos!$Q:$Q,MATCH(F2265,[2]Pedidos!$E:$E,0))</f>
        <v>#N/A</v>
      </c>
      <c r="M2265" s="564" t="e">
        <f>INDEX([1]Produtos!$L:$L,MATCH(G2265,[1]Produtos!$C:$C,0))*INDEX([2]Pedidos!$Q:$Q,MATCH(G2265,[2]Pedidos!$E:$E,0))</f>
        <v>#N/A</v>
      </c>
      <c r="N2265" s="564" t="e">
        <f>INDEX([1]Produtos!$L:$L,MATCH(H2265,[1]Produtos!$C:$C,0))*INDEX([2]Pedidos!$Q:$Q,MATCH(H2265,[2]Pedidos!$E:$E,0))</f>
        <v>#N/A</v>
      </c>
    </row>
    <row r="2266" spans="1:18" x14ac:dyDescent="0.25">
      <c r="A2266" s="753"/>
      <c r="C2266" s="452" t="s">
        <v>171</v>
      </c>
      <c r="D2266" s="449">
        <f t="shared" si="168"/>
        <v>46091</v>
      </c>
      <c r="E2266" s="454" t="s">
        <v>164</v>
      </c>
      <c r="F2266" s="460" t="s">
        <v>1025</v>
      </c>
      <c r="G2266" s="460" t="s">
        <v>1025</v>
      </c>
      <c r="H2266" s="460"/>
      <c r="I2266" s="540">
        <f>INDEX([1]Produtos!$L:$L,MATCH(IF(ISNUMBER(FIND(" - ",F2266)),LEFT(F2266,FIND(" - ",F2266)-1),F2266),[1]Produtos!$C:$C,0))</f>
        <v>843.58780095852239</v>
      </c>
      <c r="J2266" s="540">
        <f>INDEX([1]Produtos!$L:$L,MATCH(IF(ISNUMBER(FIND(" - ",G2266)),LEFT(G2266,FIND(" - ",G2266)-1),G2266),[1]Produtos!$C:$C,0))</f>
        <v>843.58780095852239</v>
      </c>
      <c r="K2266" s="540" t="e">
        <f>INDEX([1]Produtos!$L:$L,MATCH(IF(ISNUMBER(FIND(" - ",H2266)),LEFT(H2266,FIND(" - ",H2266)-1),H2266),[1]Produtos!$C:$C,0))</f>
        <v>#N/A</v>
      </c>
      <c r="L2266" s="564" t="e">
        <f>INDEX([1]Produtos!$L:$L,MATCH(F2266,[1]Produtos!$C:$C,0))*INDEX([2]Pedidos!$Q:$Q,MATCH(F2266,[2]Pedidos!$E:$E,0))</f>
        <v>#N/A</v>
      </c>
      <c r="M2266" s="564" t="e">
        <f>INDEX([1]Produtos!$L:$L,MATCH(G2266,[1]Produtos!$C:$C,0))*INDEX([2]Pedidos!$Q:$Q,MATCH(G2266,[2]Pedidos!$E:$E,0))</f>
        <v>#N/A</v>
      </c>
      <c r="N2266" s="564" t="e">
        <f>INDEX([1]Produtos!$L:$L,MATCH(H2266,[1]Produtos!$C:$C,0))*INDEX([2]Pedidos!$Q:$Q,MATCH(H2266,[2]Pedidos!$E:$E,0))</f>
        <v>#N/A</v>
      </c>
    </row>
    <row r="2267" spans="1:18" x14ac:dyDescent="0.25">
      <c r="A2267" s="753"/>
      <c r="C2267" s="452" t="s">
        <v>171</v>
      </c>
      <c r="D2267" s="449">
        <f t="shared" si="168"/>
        <v>46091</v>
      </c>
      <c r="E2267" s="454" t="s">
        <v>165</v>
      </c>
      <c r="F2267" s="460" t="s">
        <v>1025</v>
      </c>
      <c r="G2267" s="460" t="s">
        <v>1025</v>
      </c>
      <c r="H2267" s="460"/>
      <c r="I2267" s="540">
        <f>INDEX([1]Produtos!$L:$L,MATCH(IF(ISNUMBER(FIND(" - ",F2267)),LEFT(F2267,FIND(" - ",F2267)-1),F2267),[1]Produtos!$C:$C,0))</f>
        <v>843.58780095852239</v>
      </c>
      <c r="J2267" s="540">
        <f>INDEX([1]Produtos!$L:$L,MATCH(IF(ISNUMBER(FIND(" - ",G2267)),LEFT(G2267,FIND(" - ",G2267)-1),G2267),[1]Produtos!$C:$C,0))</f>
        <v>843.58780095852239</v>
      </c>
      <c r="K2267" s="540" t="e">
        <f>INDEX([1]Produtos!$L:$L,MATCH(IF(ISNUMBER(FIND(" - ",H2267)),LEFT(H2267,FIND(" - ",H2267)-1),H2267),[1]Produtos!$C:$C,0))</f>
        <v>#N/A</v>
      </c>
      <c r="L2267" s="564" t="e">
        <f>INDEX([1]Produtos!$L:$L,MATCH(F2267,[1]Produtos!$C:$C,0))*INDEX([2]Pedidos!$Q:$Q,MATCH(F2267,[2]Pedidos!$E:$E,0))</f>
        <v>#N/A</v>
      </c>
      <c r="M2267" s="564" t="e">
        <f>INDEX([1]Produtos!$L:$L,MATCH(G2267,[1]Produtos!$C:$C,0))*INDEX([2]Pedidos!$Q:$Q,MATCH(G2267,[2]Pedidos!$E:$E,0))</f>
        <v>#N/A</v>
      </c>
      <c r="N2267" s="564" t="e">
        <f>INDEX([1]Produtos!$L:$L,MATCH(H2267,[1]Produtos!$C:$C,0))*INDEX([2]Pedidos!$Q:$Q,MATCH(H2267,[2]Pedidos!$E:$E,0))</f>
        <v>#N/A</v>
      </c>
    </row>
    <row r="2268" spans="1:18" x14ac:dyDescent="0.25">
      <c r="A2268" s="753"/>
      <c r="C2268" s="452" t="s">
        <v>171</v>
      </c>
      <c r="D2268" s="449">
        <f t="shared" si="168"/>
        <v>46091</v>
      </c>
      <c r="E2268" s="454" t="s">
        <v>166</v>
      </c>
      <c r="F2268" s="460" t="s">
        <v>1025</v>
      </c>
      <c r="G2268" s="460" t="s">
        <v>1025</v>
      </c>
      <c r="H2268" s="460"/>
      <c r="I2268" s="540">
        <f>INDEX([1]Produtos!$L:$L,MATCH(IF(ISNUMBER(FIND(" - ",F2268)),LEFT(F2268,FIND(" - ",F2268)-1),F2268),[1]Produtos!$C:$C,0))</f>
        <v>843.58780095852239</v>
      </c>
      <c r="J2268" s="540">
        <f>INDEX([1]Produtos!$L:$L,MATCH(IF(ISNUMBER(FIND(" - ",G2268)),LEFT(G2268,FIND(" - ",G2268)-1),G2268),[1]Produtos!$C:$C,0))</f>
        <v>843.58780095852239</v>
      </c>
      <c r="K2268" s="540" t="e">
        <f>INDEX([1]Produtos!$L:$L,MATCH(IF(ISNUMBER(FIND(" - ",H2268)),LEFT(H2268,FIND(" - ",H2268)-1),H2268),[1]Produtos!$C:$C,0))</f>
        <v>#N/A</v>
      </c>
      <c r="L2268" s="564" t="e">
        <f>INDEX([1]Produtos!$L:$L,MATCH(F2268,[1]Produtos!$C:$C,0))*INDEX([2]Pedidos!$Q:$Q,MATCH(F2268,[2]Pedidos!$E:$E,0))</f>
        <v>#N/A</v>
      </c>
      <c r="M2268" s="564" t="e">
        <f>INDEX([1]Produtos!$L:$L,MATCH(G2268,[1]Produtos!$C:$C,0))*INDEX([2]Pedidos!$Q:$Q,MATCH(G2268,[2]Pedidos!$E:$E,0))</f>
        <v>#N/A</v>
      </c>
      <c r="N2268" s="564" t="e">
        <f>INDEX([1]Produtos!$L:$L,MATCH(H2268,[1]Produtos!$C:$C,0))*INDEX([2]Pedidos!$Q:$Q,MATCH(H2268,[2]Pedidos!$E:$E,0))</f>
        <v>#N/A</v>
      </c>
    </row>
    <row r="2269" spans="1:18" x14ac:dyDescent="0.25">
      <c r="A2269" s="753"/>
      <c r="C2269" s="452" t="s">
        <v>171</v>
      </c>
      <c r="D2269" s="449">
        <f t="shared" si="168"/>
        <v>46091</v>
      </c>
      <c r="E2269" s="454" t="s">
        <v>576</v>
      </c>
      <c r="F2269" s="517"/>
      <c r="G2269" s="512"/>
      <c r="H2269" s="505"/>
      <c r="I2269" s="554"/>
      <c r="J2269" s="541"/>
      <c r="K2269" s="541"/>
      <c r="L2269" s="556"/>
      <c r="M2269" s="556"/>
      <c r="N2269" s="556"/>
    </row>
    <row r="2270" spans="1:18" x14ac:dyDescent="0.25">
      <c r="A2270" s="753"/>
      <c r="C2270" s="452" t="s">
        <v>171</v>
      </c>
      <c r="D2270" s="449">
        <f t="shared" si="168"/>
        <v>46091</v>
      </c>
      <c r="E2270" s="454" t="s">
        <v>167</v>
      </c>
      <c r="F2270" s="460" t="s">
        <v>1025</v>
      </c>
      <c r="G2270" s="460" t="s">
        <v>1025</v>
      </c>
      <c r="H2270" s="461"/>
      <c r="I2270" s="540">
        <f>INDEX([1]Produtos!$L:$L,MATCH(IF(ISNUMBER(FIND(" - ",F2270)),LEFT(F2270,FIND(" - ",F2270)-1),F2270),[1]Produtos!$C:$C,0))</f>
        <v>843.58780095852239</v>
      </c>
      <c r="J2270" s="540">
        <f>INDEX([1]Produtos!$L:$L,MATCH(IF(ISNUMBER(FIND(" - ",G2270)),LEFT(G2270,FIND(" - ",G2270)-1),G2270),[1]Produtos!$C:$C,0))</f>
        <v>843.58780095852239</v>
      </c>
      <c r="K2270" s="540" t="e">
        <f>INDEX([1]Produtos!$L:$L,MATCH(IF(ISNUMBER(FIND(" - ",H2270)),LEFT(H2270,FIND(" - ",H2270)-1),H2270),[1]Produtos!$C:$C,0))</f>
        <v>#N/A</v>
      </c>
      <c r="L2270" s="565" t="e">
        <f>INDEX([1]Produtos!$L:$L,MATCH(F2270,[1]Produtos!$C:$C,0))*INDEX([2]Pedidos!$Q:$Q,MATCH(F2270,[2]Pedidos!$E:$E,0))</f>
        <v>#N/A</v>
      </c>
      <c r="M2270" s="565" t="e">
        <f>INDEX([1]Produtos!$L:$L,MATCH(G2270,[1]Produtos!$C:$C,0))*INDEX([2]Pedidos!$Q:$Q,MATCH(G2270,[2]Pedidos!$E:$E,0))</f>
        <v>#N/A</v>
      </c>
      <c r="N2270" s="565" t="e">
        <f>INDEX([1]Produtos!$L:$L,MATCH(H2270,[1]Produtos!$C:$C,0))*INDEX([2]Pedidos!$Q:$Q,MATCH(H2270,[2]Pedidos!$E:$E,0))</f>
        <v>#N/A</v>
      </c>
    </row>
    <row r="2271" spans="1:18" x14ac:dyDescent="0.25">
      <c r="A2271" s="753"/>
      <c r="C2271" s="452" t="s">
        <v>171</v>
      </c>
      <c r="D2271" s="449">
        <f t="shared" si="168"/>
        <v>46091</v>
      </c>
      <c r="E2271" s="454" t="s">
        <v>168</v>
      </c>
      <c r="F2271" s="460" t="s">
        <v>1025</v>
      </c>
      <c r="G2271" s="460" t="s">
        <v>1025</v>
      </c>
      <c r="H2271" s="461"/>
      <c r="I2271" s="540">
        <f>INDEX([1]Produtos!$L:$L,MATCH(IF(ISNUMBER(FIND(" - ",F2271)),LEFT(F2271,FIND(" - ",F2271)-1),F2271),[1]Produtos!$C:$C,0))</f>
        <v>843.58780095852239</v>
      </c>
      <c r="J2271" s="540">
        <f>INDEX([1]Produtos!$L:$L,MATCH(IF(ISNUMBER(FIND(" - ",G2271)),LEFT(G2271,FIND(" - ",G2271)-1),G2271),[1]Produtos!$C:$C,0))</f>
        <v>843.58780095852239</v>
      </c>
      <c r="K2271" s="540" t="e">
        <f>INDEX([1]Produtos!$L:$L,MATCH(IF(ISNUMBER(FIND(" - ",H2271)),LEFT(H2271,FIND(" - ",H2271)-1),H2271),[1]Produtos!$C:$C,0))</f>
        <v>#N/A</v>
      </c>
      <c r="L2271" s="565" t="e">
        <f>INDEX([1]Produtos!$L:$L,MATCH(F2271,[1]Produtos!$C:$C,0))*INDEX([2]Pedidos!$Q:$Q,MATCH(F2271,[2]Pedidos!$E:$E,0))</f>
        <v>#N/A</v>
      </c>
      <c r="M2271" s="565" t="e">
        <f>INDEX([1]Produtos!$L:$L,MATCH(G2271,[1]Produtos!$C:$C,0))*INDEX([2]Pedidos!$Q:$Q,MATCH(G2271,[2]Pedidos!$E:$E,0))</f>
        <v>#N/A</v>
      </c>
      <c r="N2271" s="565" t="e">
        <f>INDEX([1]Produtos!$L:$L,MATCH(H2271,[1]Produtos!$C:$C,0))*INDEX([2]Pedidos!$Q:$Q,MATCH(H2271,[2]Pedidos!$E:$E,0))</f>
        <v>#N/A</v>
      </c>
    </row>
    <row r="2272" spans="1:18" x14ac:dyDescent="0.25">
      <c r="A2272" s="753"/>
      <c r="C2272" s="452" t="s">
        <v>171</v>
      </c>
      <c r="D2272" s="449">
        <f t="shared" si="168"/>
        <v>46091</v>
      </c>
      <c r="E2272" s="454" t="s">
        <v>169</v>
      </c>
      <c r="F2272" s="460" t="s">
        <v>1025</v>
      </c>
      <c r="G2272" s="460" t="s">
        <v>1025</v>
      </c>
      <c r="H2272" s="461"/>
      <c r="I2272" s="540">
        <f>INDEX([1]Produtos!$L:$L,MATCH(IF(ISNUMBER(FIND(" - ",F2272)),LEFT(F2272,FIND(" - ",F2272)-1),F2272),[1]Produtos!$C:$C,0))</f>
        <v>843.58780095852239</v>
      </c>
      <c r="J2272" s="540">
        <f>INDEX([1]Produtos!$L:$L,MATCH(IF(ISNUMBER(FIND(" - ",G2272)),LEFT(G2272,FIND(" - ",G2272)-1),G2272),[1]Produtos!$C:$C,0))</f>
        <v>843.58780095852239</v>
      </c>
      <c r="K2272" s="540" t="e">
        <f>INDEX([1]Produtos!$L:$L,MATCH(IF(ISNUMBER(FIND(" - ",H2272)),LEFT(H2272,FIND(" - ",H2272)-1),H2272),[1]Produtos!$C:$C,0))</f>
        <v>#N/A</v>
      </c>
      <c r="L2272" s="565" t="e">
        <f>INDEX([1]Produtos!$L:$L,MATCH(F2272,[1]Produtos!$C:$C,0))*INDEX([2]Pedidos!$Q:$Q,MATCH(F2272,[2]Pedidos!$E:$E,0))</f>
        <v>#N/A</v>
      </c>
      <c r="M2272" s="565" t="e">
        <f>INDEX([1]Produtos!$L:$L,MATCH(G2272,[1]Produtos!$C:$C,0))*INDEX([2]Pedidos!$Q:$Q,MATCH(G2272,[2]Pedidos!$E:$E,0))</f>
        <v>#N/A</v>
      </c>
      <c r="N2272" s="565" t="e">
        <f>INDEX([1]Produtos!$L:$L,MATCH(H2272,[1]Produtos!$C:$C,0))*INDEX([2]Pedidos!$Q:$Q,MATCH(H2272,[2]Pedidos!$E:$E,0))</f>
        <v>#N/A</v>
      </c>
    </row>
    <row r="2273" spans="1:18" x14ac:dyDescent="0.25">
      <c r="A2273" s="753"/>
      <c r="C2273" s="452" t="s">
        <v>171</v>
      </c>
      <c r="D2273" s="449">
        <f t="shared" si="168"/>
        <v>46091</v>
      </c>
      <c r="E2273" s="454" t="s">
        <v>170</v>
      </c>
      <c r="F2273" s="460" t="s">
        <v>1025</v>
      </c>
      <c r="G2273" s="460" t="s">
        <v>1025</v>
      </c>
      <c r="H2273" s="504"/>
      <c r="I2273" s="540">
        <f>INDEX([1]Produtos!$L:$L,MATCH(IF(ISNUMBER(FIND(" - ",F2273)),LEFT(F2273,FIND(" - ",F2273)-1),F2273),[1]Produtos!$C:$C,0))</f>
        <v>843.58780095852239</v>
      </c>
      <c r="J2273" s="540">
        <f>INDEX([1]Produtos!$L:$L,MATCH(IF(ISNUMBER(FIND(" - ",G2273)),LEFT(G2273,FIND(" - ",G2273)-1),G2273),[1]Produtos!$C:$C,0))</f>
        <v>843.58780095852239</v>
      </c>
      <c r="K2273" s="540" t="e">
        <f>INDEX([1]Produtos!$L:$L,MATCH(IF(ISNUMBER(FIND(" - ",H2273)),LEFT(H2273,FIND(" - ",H2273)-1),H2273),[1]Produtos!$C:$C,0))</f>
        <v>#N/A</v>
      </c>
      <c r="L2273" s="566" t="e">
        <f>INDEX([1]Produtos!$L:$L,MATCH(F2273,[1]Produtos!$C:$C,0))*INDEX([2]Pedidos!$Q:$Q,MATCH(F2273,[2]Pedidos!$E:$E,0))</f>
        <v>#N/A</v>
      </c>
      <c r="M2273" s="566" t="e">
        <f>INDEX([1]Produtos!$L:$L,MATCH(G2273,[1]Produtos!$C:$C,0))*INDEX([2]Pedidos!$Q:$Q,MATCH(G2273,[2]Pedidos!$E:$E,0))</f>
        <v>#N/A</v>
      </c>
      <c r="N2273" s="566" t="e">
        <f>INDEX([1]Produtos!$L:$L,MATCH(H2273,[1]Produtos!$C:$C,0))*INDEX([2]Pedidos!$Q:$Q,MATCH(H2273,[2]Pedidos!$E:$E,0))</f>
        <v>#N/A</v>
      </c>
    </row>
    <row r="2274" spans="1:18" x14ac:dyDescent="0.25">
      <c r="A2274" s="753"/>
      <c r="C2274" s="452" t="s">
        <v>171</v>
      </c>
      <c r="D2274" s="449">
        <f t="shared" si="168"/>
        <v>46091</v>
      </c>
      <c r="E2274" s="454" t="s">
        <v>585</v>
      </c>
      <c r="F2274" s="505"/>
      <c r="G2274" s="505"/>
      <c r="H2274" s="516"/>
      <c r="I2274" s="516"/>
      <c r="J2274" s="516"/>
      <c r="K2274" s="516"/>
      <c r="L2274" s="557"/>
      <c r="M2274" s="557"/>
      <c r="N2274" s="557"/>
    </row>
    <row r="2275" spans="1:18" x14ac:dyDescent="0.25">
      <c r="A2275" s="753"/>
      <c r="C2275" s="448" t="s">
        <v>171</v>
      </c>
      <c r="D2275" s="449">
        <f t="shared" si="168"/>
        <v>46091</v>
      </c>
      <c r="E2275" s="455" t="s">
        <v>574</v>
      </c>
      <c r="F2275" s="505"/>
      <c r="G2275" s="505"/>
      <c r="H2275" s="516"/>
      <c r="I2275" s="516"/>
      <c r="J2275" s="516"/>
      <c r="K2275" s="516"/>
      <c r="L2275" s="557"/>
      <c r="M2275" s="557"/>
      <c r="N2275" s="557"/>
    </row>
    <row r="2276" spans="1:18" x14ac:dyDescent="0.25">
      <c r="A2276" s="753"/>
      <c r="C2276" s="448" t="s">
        <v>171</v>
      </c>
      <c r="D2276" s="449">
        <f t="shared" si="168"/>
        <v>46091</v>
      </c>
      <c r="E2276" s="455" t="s">
        <v>575</v>
      </c>
      <c r="F2276" s="506"/>
      <c r="G2276" s="506"/>
      <c r="H2276" s="516"/>
      <c r="I2276" s="516"/>
      <c r="J2276" s="516"/>
      <c r="K2276" s="516"/>
      <c r="L2276" s="557"/>
      <c r="M2276" s="557"/>
      <c r="N2276" s="557"/>
    </row>
    <row r="2277" spans="1:18" x14ac:dyDescent="0.25">
      <c r="A2277" s="753"/>
      <c r="C2277" s="448" t="s">
        <v>171</v>
      </c>
      <c r="D2277" s="449">
        <f t="shared" si="168"/>
        <v>46091</v>
      </c>
      <c r="E2277" s="503" t="s">
        <v>583</v>
      </c>
      <c r="F2277" s="506"/>
      <c r="G2277" s="506"/>
      <c r="H2277" s="516"/>
      <c r="I2277" s="516"/>
      <c r="J2277" s="516"/>
      <c r="K2277" s="516"/>
      <c r="L2277" s="557"/>
      <c r="M2277" s="557"/>
      <c r="N2277" s="557"/>
    </row>
    <row r="2278" spans="1:18" ht="15.75" thickBot="1" x14ac:dyDescent="0.3">
      <c r="A2278" s="753"/>
      <c r="C2278" s="450" t="s">
        <v>171</v>
      </c>
      <c r="D2278" s="451">
        <f t="shared" si="168"/>
        <v>46091</v>
      </c>
      <c r="E2278" s="459" t="s">
        <v>584</v>
      </c>
      <c r="F2278" s="493"/>
      <c r="G2278" s="493"/>
      <c r="H2278" s="513"/>
      <c r="I2278" s="513"/>
      <c r="J2278" s="513"/>
      <c r="K2278" s="513"/>
      <c r="L2278" s="558"/>
      <c r="M2278" s="558"/>
      <c r="N2278" s="558"/>
    </row>
    <row r="2279" spans="1:18" ht="4.5" customHeight="1" thickBot="1" x14ac:dyDescent="0.3">
      <c r="A2279" s="753"/>
      <c r="L2279" s="559"/>
      <c r="M2279" s="559"/>
      <c r="N2279" s="559"/>
      <c r="Q2279" s="3"/>
      <c r="R2279" s="3"/>
    </row>
    <row r="2280" spans="1:18" ht="15" customHeight="1" thickBot="1" x14ac:dyDescent="0.3">
      <c r="A2280" s="753"/>
      <c r="C2280" s="538"/>
      <c r="D2280" s="539"/>
      <c r="E2280" s="539"/>
      <c r="F2280" s="539"/>
      <c r="G2280" s="539"/>
      <c r="H2280" s="539"/>
      <c r="I2280" s="543">
        <f t="shared" ref="I2280:N2280" si="169">IFERROR(SUM(I2281:I2296),0)</f>
        <v>7592.2902086267004</v>
      </c>
      <c r="J2280" s="542">
        <f t="shared" si="169"/>
        <v>7592.2902086267004</v>
      </c>
      <c r="K2280" s="544">
        <f t="shared" si="169"/>
        <v>0</v>
      </c>
      <c r="L2280" s="560">
        <f t="shared" si="169"/>
        <v>0</v>
      </c>
      <c r="M2280" s="561">
        <f t="shared" si="169"/>
        <v>0</v>
      </c>
      <c r="N2280" s="562">
        <f t="shared" si="169"/>
        <v>0</v>
      </c>
      <c r="O2280" s="548">
        <f>SUM(I2280:K2280)</f>
        <v>15184.580417253401</v>
      </c>
      <c r="P2280" s="549">
        <f>SUM(L2280:N2280)</f>
        <v>0</v>
      </c>
      <c r="Q2280" s="3"/>
      <c r="R2280" s="3"/>
    </row>
    <row r="2281" spans="1:18" x14ac:dyDescent="0.25">
      <c r="A2281" s="753"/>
      <c r="C2281" s="446" t="s">
        <v>172</v>
      </c>
      <c r="D2281" s="497">
        <f>D2278+1</f>
        <v>46092</v>
      </c>
      <c r="E2281" s="498" t="s">
        <v>573</v>
      </c>
      <c r="F2281" s="514"/>
      <c r="G2281" s="514"/>
      <c r="H2281" s="515"/>
      <c r="I2281" s="537"/>
      <c r="J2281" s="537"/>
      <c r="K2281" s="537"/>
      <c r="L2281" s="563"/>
      <c r="M2281" s="563"/>
      <c r="N2281" s="563"/>
    </row>
    <row r="2282" spans="1:18" x14ac:dyDescent="0.25">
      <c r="A2282" s="753"/>
      <c r="C2282" s="452" t="s">
        <v>172</v>
      </c>
      <c r="D2282" s="499">
        <f t="shared" ref="D2282:D2296" si="170">D2281</f>
        <v>46092</v>
      </c>
      <c r="E2282" s="500" t="s">
        <v>162</v>
      </c>
      <c r="F2282" s="460" t="s">
        <v>1025</v>
      </c>
      <c r="G2282" s="460" t="s">
        <v>1025</v>
      </c>
      <c r="H2282" s="501"/>
      <c r="I2282" s="540">
        <f>INDEX([1]Produtos!$L:$L,MATCH(IF(ISNUMBER(FIND(" - ",F2282)),LEFT(F2282,FIND(" - ",F2282)-1),F2282),[1]Produtos!$C:$C,0))</f>
        <v>843.58780095852239</v>
      </c>
      <c r="J2282" s="540">
        <f>INDEX([1]Produtos!$L:$L,MATCH(IF(ISNUMBER(FIND(" - ",G2282)),LEFT(G2282,FIND(" - ",G2282)-1),G2282),[1]Produtos!$C:$C,0))</f>
        <v>843.58780095852239</v>
      </c>
      <c r="K2282" s="540" t="e">
        <f>INDEX([1]Produtos!$L:$L,MATCH(IF(ISNUMBER(FIND(" - ",H2282)),LEFT(H2282,FIND(" - ",H2282)-1),H2282),[1]Produtos!$C:$C,0))</f>
        <v>#N/A</v>
      </c>
      <c r="L2282" s="555" t="e">
        <f>INDEX([1]Produtos!$L:$L,MATCH(F2282,[1]Produtos!$C:$C,0))*INDEX([2]Pedidos!$Q:$Q,MATCH(F2282,[2]Pedidos!$E:$E,0))</f>
        <v>#N/A</v>
      </c>
      <c r="M2282" s="555" t="e">
        <f>INDEX([1]Produtos!$L:$L,MATCH(G2282,[1]Produtos!$C:$C,0))*INDEX([2]Pedidos!$Q:$Q,MATCH(G2282,[2]Pedidos!$E:$E,0))</f>
        <v>#N/A</v>
      </c>
      <c r="N2282" s="555" t="e">
        <f>INDEX([1]Produtos!$L:$L,MATCH(H2282,[1]Produtos!$C:$C,0))*INDEX([2]Pedidos!$Q:$Q,MATCH(H2282,[2]Pedidos!$E:$E,0))</f>
        <v>#N/A</v>
      </c>
    </row>
    <row r="2283" spans="1:18" x14ac:dyDescent="0.25">
      <c r="A2283" s="753"/>
      <c r="C2283" s="452" t="s">
        <v>172</v>
      </c>
      <c r="D2283" s="449">
        <f t="shared" si="170"/>
        <v>46092</v>
      </c>
      <c r="E2283" s="454" t="s">
        <v>163</v>
      </c>
      <c r="F2283" s="460" t="s">
        <v>1025</v>
      </c>
      <c r="G2283" s="460" t="s">
        <v>1025</v>
      </c>
      <c r="H2283" s="460"/>
      <c r="I2283" s="540">
        <f>INDEX([1]Produtos!$L:$L,MATCH(IF(ISNUMBER(FIND(" - ",F2283)),LEFT(F2283,FIND(" - ",F2283)-1),F2283),[1]Produtos!$C:$C,0))</f>
        <v>843.58780095852239</v>
      </c>
      <c r="J2283" s="540">
        <f>INDEX([1]Produtos!$L:$L,MATCH(IF(ISNUMBER(FIND(" - ",G2283)),LEFT(G2283,FIND(" - ",G2283)-1),G2283),[1]Produtos!$C:$C,0))</f>
        <v>843.58780095852239</v>
      </c>
      <c r="K2283" s="540" t="e">
        <f>INDEX([1]Produtos!$L:$L,MATCH(IF(ISNUMBER(FIND(" - ",H2283)),LEFT(H2283,FIND(" - ",H2283)-1),H2283),[1]Produtos!$C:$C,0))</f>
        <v>#N/A</v>
      </c>
      <c r="L2283" s="564" t="e">
        <f>INDEX([1]Produtos!$L:$L,MATCH(F2283,[1]Produtos!$C:$C,0))*INDEX([2]Pedidos!$Q:$Q,MATCH(F2283,[2]Pedidos!$E:$E,0))</f>
        <v>#N/A</v>
      </c>
      <c r="M2283" s="564" t="e">
        <f>INDEX([1]Produtos!$L:$L,MATCH(G2283,[1]Produtos!$C:$C,0))*INDEX([2]Pedidos!$Q:$Q,MATCH(G2283,[2]Pedidos!$E:$E,0))</f>
        <v>#N/A</v>
      </c>
      <c r="N2283" s="564" t="e">
        <f>INDEX([1]Produtos!$L:$L,MATCH(H2283,[1]Produtos!$C:$C,0))*INDEX([2]Pedidos!$Q:$Q,MATCH(H2283,[2]Pedidos!$E:$E,0))</f>
        <v>#N/A</v>
      </c>
    </row>
    <row r="2284" spans="1:18" x14ac:dyDescent="0.25">
      <c r="A2284" s="753"/>
      <c r="C2284" s="452" t="s">
        <v>172</v>
      </c>
      <c r="D2284" s="449">
        <f t="shared" si="170"/>
        <v>46092</v>
      </c>
      <c r="E2284" s="454" t="s">
        <v>164</v>
      </c>
      <c r="F2284" s="460" t="s">
        <v>1025</v>
      </c>
      <c r="G2284" s="460" t="s">
        <v>1025</v>
      </c>
      <c r="H2284" s="460"/>
      <c r="I2284" s="540">
        <f>INDEX([1]Produtos!$L:$L,MATCH(IF(ISNUMBER(FIND(" - ",F2284)),LEFT(F2284,FIND(" - ",F2284)-1),F2284),[1]Produtos!$C:$C,0))</f>
        <v>843.58780095852239</v>
      </c>
      <c r="J2284" s="540">
        <f>INDEX([1]Produtos!$L:$L,MATCH(IF(ISNUMBER(FIND(" - ",G2284)),LEFT(G2284,FIND(" - ",G2284)-1),G2284),[1]Produtos!$C:$C,0))</f>
        <v>843.58780095852239</v>
      </c>
      <c r="K2284" s="540" t="e">
        <f>INDEX([1]Produtos!$L:$L,MATCH(IF(ISNUMBER(FIND(" - ",H2284)),LEFT(H2284,FIND(" - ",H2284)-1),H2284),[1]Produtos!$C:$C,0))</f>
        <v>#N/A</v>
      </c>
      <c r="L2284" s="564" t="e">
        <f>INDEX([1]Produtos!$L:$L,MATCH(F2284,[1]Produtos!$C:$C,0))*INDEX([2]Pedidos!$Q:$Q,MATCH(F2284,[2]Pedidos!$E:$E,0))</f>
        <v>#N/A</v>
      </c>
      <c r="M2284" s="564" t="e">
        <f>INDEX([1]Produtos!$L:$L,MATCH(G2284,[1]Produtos!$C:$C,0))*INDEX([2]Pedidos!$Q:$Q,MATCH(G2284,[2]Pedidos!$E:$E,0))</f>
        <v>#N/A</v>
      </c>
      <c r="N2284" s="564" t="e">
        <f>INDEX([1]Produtos!$L:$L,MATCH(H2284,[1]Produtos!$C:$C,0))*INDEX([2]Pedidos!$Q:$Q,MATCH(H2284,[2]Pedidos!$E:$E,0))</f>
        <v>#N/A</v>
      </c>
    </row>
    <row r="2285" spans="1:18" x14ac:dyDescent="0.25">
      <c r="A2285" s="753"/>
      <c r="C2285" s="452" t="s">
        <v>172</v>
      </c>
      <c r="D2285" s="449">
        <f t="shared" si="170"/>
        <v>46092</v>
      </c>
      <c r="E2285" s="454" t="s">
        <v>165</v>
      </c>
      <c r="F2285" s="460" t="s">
        <v>1025</v>
      </c>
      <c r="G2285" s="460" t="s">
        <v>1025</v>
      </c>
      <c r="H2285" s="460"/>
      <c r="I2285" s="540">
        <f>INDEX([1]Produtos!$L:$L,MATCH(IF(ISNUMBER(FIND(" - ",F2285)),LEFT(F2285,FIND(" - ",F2285)-1),F2285),[1]Produtos!$C:$C,0))</f>
        <v>843.58780095852239</v>
      </c>
      <c r="J2285" s="540">
        <f>INDEX([1]Produtos!$L:$L,MATCH(IF(ISNUMBER(FIND(" - ",G2285)),LEFT(G2285,FIND(" - ",G2285)-1),G2285),[1]Produtos!$C:$C,0))</f>
        <v>843.58780095852239</v>
      </c>
      <c r="K2285" s="540" t="e">
        <f>INDEX([1]Produtos!$L:$L,MATCH(IF(ISNUMBER(FIND(" - ",H2285)),LEFT(H2285,FIND(" - ",H2285)-1),H2285),[1]Produtos!$C:$C,0))</f>
        <v>#N/A</v>
      </c>
      <c r="L2285" s="564" t="e">
        <f>INDEX([1]Produtos!$L:$L,MATCH(F2285,[1]Produtos!$C:$C,0))*INDEX([2]Pedidos!$Q:$Q,MATCH(F2285,[2]Pedidos!$E:$E,0))</f>
        <v>#N/A</v>
      </c>
      <c r="M2285" s="564" t="e">
        <f>INDEX([1]Produtos!$L:$L,MATCH(G2285,[1]Produtos!$C:$C,0))*INDEX([2]Pedidos!$Q:$Q,MATCH(G2285,[2]Pedidos!$E:$E,0))</f>
        <v>#N/A</v>
      </c>
      <c r="N2285" s="564" t="e">
        <f>INDEX([1]Produtos!$L:$L,MATCH(H2285,[1]Produtos!$C:$C,0))*INDEX([2]Pedidos!$Q:$Q,MATCH(H2285,[2]Pedidos!$E:$E,0))</f>
        <v>#N/A</v>
      </c>
    </row>
    <row r="2286" spans="1:18" x14ac:dyDescent="0.25">
      <c r="A2286" s="753"/>
      <c r="C2286" s="452" t="s">
        <v>172</v>
      </c>
      <c r="D2286" s="449">
        <f t="shared" si="170"/>
        <v>46092</v>
      </c>
      <c r="E2286" s="454" t="s">
        <v>166</v>
      </c>
      <c r="F2286" s="460" t="s">
        <v>386</v>
      </c>
      <c r="G2286" s="460" t="s">
        <v>1025</v>
      </c>
      <c r="H2286" s="460"/>
      <c r="I2286" s="540">
        <f>INDEX([1]Produtos!$L:$L,MATCH(IF(ISNUMBER(FIND(" - ",F2286)),LEFT(F2286,FIND(" - ",F2286)-1),F2286),[1]Produtos!$C:$C,0))</f>
        <v>843.58780095852239</v>
      </c>
      <c r="J2286" s="540">
        <f>INDEX([1]Produtos!$L:$L,MATCH(IF(ISNUMBER(FIND(" - ",G2286)),LEFT(G2286,FIND(" - ",G2286)-1),G2286),[1]Produtos!$C:$C,0))</f>
        <v>843.58780095852239</v>
      </c>
      <c r="K2286" s="540" t="e">
        <f>INDEX([1]Produtos!$L:$L,MATCH(IF(ISNUMBER(FIND(" - ",H2286)),LEFT(H2286,FIND(" - ",H2286)-1),H2286),[1]Produtos!$C:$C,0))</f>
        <v>#N/A</v>
      </c>
      <c r="L2286" s="564" t="e">
        <f>INDEX([1]Produtos!$L:$L,MATCH(F2286,[1]Produtos!$C:$C,0))*INDEX([2]Pedidos!$Q:$Q,MATCH(F2286,[2]Pedidos!$E:$E,0))</f>
        <v>#N/A</v>
      </c>
      <c r="M2286" s="564" t="e">
        <f>INDEX([1]Produtos!$L:$L,MATCH(G2286,[1]Produtos!$C:$C,0))*INDEX([2]Pedidos!$Q:$Q,MATCH(G2286,[2]Pedidos!$E:$E,0))</f>
        <v>#N/A</v>
      </c>
      <c r="N2286" s="564" t="e">
        <f>INDEX([1]Produtos!$L:$L,MATCH(H2286,[1]Produtos!$C:$C,0))*INDEX([2]Pedidos!$Q:$Q,MATCH(H2286,[2]Pedidos!$E:$E,0))</f>
        <v>#N/A</v>
      </c>
    </row>
    <row r="2287" spans="1:18" x14ac:dyDescent="0.25">
      <c r="A2287" s="753"/>
      <c r="C2287" s="452" t="s">
        <v>172</v>
      </c>
      <c r="D2287" s="449">
        <f t="shared" si="170"/>
        <v>46092</v>
      </c>
      <c r="E2287" s="454" t="s">
        <v>576</v>
      </c>
      <c r="F2287" s="517"/>
      <c r="G2287" s="512"/>
      <c r="H2287" s="505"/>
      <c r="I2287" s="541"/>
      <c r="J2287" s="541"/>
      <c r="K2287" s="541"/>
      <c r="L2287" s="556"/>
      <c r="M2287" s="556"/>
      <c r="N2287" s="556"/>
    </row>
    <row r="2288" spans="1:18" x14ac:dyDescent="0.25">
      <c r="A2288" s="753"/>
      <c r="C2288" s="452" t="s">
        <v>172</v>
      </c>
      <c r="D2288" s="449">
        <f t="shared" si="170"/>
        <v>46092</v>
      </c>
      <c r="E2288" s="454" t="s">
        <v>167</v>
      </c>
      <c r="F2288" s="460" t="s">
        <v>386</v>
      </c>
      <c r="G2288" s="460" t="s">
        <v>1025</v>
      </c>
      <c r="H2288" s="461"/>
      <c r="I2288" s="540">
        <f>INDEX([1]Produtos!$L:$L,MATCH(IF(ISNUMBER(FIND(" - ",F2288)),LEFT(F2288,FIND(" - ",F2288)-1),F2288),[1]Produtos!$C:$C,0))</f>
        <v>843.58780095852239</v>
      </c>
      <c r="J2288" s="540">
        <f>INDEX([1]Produtos!$L:$L,MATCH(IF(ISNUMBER(FIND(" - ",G2288)),LEFT(G2288,FIND(" - ",G2288)-1),G2288),[1]Produtos!$C:$C,0))</f>
        <v>843.58780095852239</v>
      </c>
      <c r="K2288" s="540" t="e">
        <f>INDEX([1]Produtos!$L:$L,MATCH(IF(ISNUMBER(FIND(" - ",H2288)),LEFT(H2288,FIND(" - ",H2288)-1),H2288),[1]Produtos!$C:$C,0))</f>
        <v>#N/A</v>
      </c>
      <c r="L2288" s="565" t="e">
        <f>INDEX([1]Produtos!$L:$L,MATCH(F2288,[1]Produtos!$C:$C,0))*INDEX([2]Pedidos!$Q:$Q,MATCH(F2288,[2]Pedidos!$E:$E,0))</f>
        <v>#N/A</v>
      </c>
      <c r="M2288" s="565" t="e">
        <f>INDEX([1]Produtos!$L:$L,MATCH(G2288,[1]Produtos!$C:$C,0))*INDEX([2]Pedidos!$Q:$Q,MATCH(G2288,[2]Pedidos!$E:$E,0))</f>
        <v>#N/A</v>
      </c>
      <c r="N2288" s="565" t="e">
        <f>INDEX([1]Produtos!$L:$L,MATCH(H2288,[1]Produtos!$C:$C,0))*INDEX([2]Pedidos!$Q:$Q,MATCH(H2288,[2]Pedidos!$E:$E,0))</f>
        <v>#N/A</v>
      </c>
    </row>
    <row r="2289" spans="1:18" x14ac:dyDescent="0.25">
      <c r="A2289" s="753"/>
      <c r="C2289" s="452" t="s">
        <v>172</v>
      </c>
      <c r="D2289" s="449">
        <f t="shared" si="170"/>
        <v>46092</v>
      </c>
      <c r="E2289" s="454" t="s">
        <v>168</v>
      </c>
      <c r="F2289" s="460" t="s">
        <v>386</v>
      </c>
      <c r="G2289" s="460" t="s">
        <v>1025</v>
      </c>
      <c r="H2289" s="461"/>
      <c r="I2289" s="540">
        <f>INDEX([1]Produtos!$L:$L,MATCH(IF(ISNUMBER(FIND(" - ",F2289)),LEFT(F2289,FIND(" - ",F2289)-1),F2289),[1]Produtos!$C:$C,0))</f>
        <v>843.58780095852239</v>
      </c>
      <c r="J2289" s="540">
        <f>INDEX([1]Produtos!$L:$L,MATCH(IF(ISNUMBER(FIND(" - ",G2289)),LEFT(G2289,FIND(" - ",G2289)-1),G2289),[1]Produtos!$C:$C,0))</f>
        <v>843.58780095852239</v>
      </c>
      <c r="K2289" s="540" t="e">
        <f>INDEX([1]Produtos!$L:$L,MATCH(IF(ISNUMBER(FIND(" - ",H2289)),LEFT(H2289,FIND(" - ",H2289)-1),H2289),[1]Produtos!$C:$C,0))</f>
        <v>#N/A</v>
      </c>
      <c r="L2289" s="565" t="e">
        <f>INDEX([1]Produtos!$L:$L,MATCH(F2289,[1]Produtos!$C:$C,0))*INDEX([2]Pedidos!$Q:$Q,MATCH(F2289,[2]Pedidos!$E:$E,0))</f>
        <v>#N/A</v>
      </c>
      <c r="M2289" s="565" t="e">
        <f>INDEX([1]Produtos!$L:$L,MATCH(G2289,[1]Produtos!$C:$C,0))*INDEX([2]Pedidos!$Q:$Q,MATCH(G2289,[2]Pedidos!$E:$E,0))</f>
        <v>#N/A</v>
      </c>
      <c r="N2289" s="565" t="e">
        <f>INDEX([1]Produtos!$L:$L,MATCH(H2289,[1]Produtos!$C:$C,0))*INDEX([2]Pedidos!$Q:$Q,MATCH(H2289,[2]Pedidos!$E:$E,0))</f>
        <v>#N/A</v>
      </c>
    </row>
    <row r="2290" spans="1:18" x14ac:dyDescent="0.25">
      <c r="A2290" s="753"/>
      <c r="C2290" s="452" t="s">
        <v>172</v>
      </c>
      <c r="D2290" s="449">
        <f t="shared" si="170"/>
        <v>46092</v>
      </c>
      <c r="E2290" s="454" t="s">
        <v>169</v>
      </c>
      <c r="F2290" s="460" t="s">
        <v>386</v>
      </c>
      <c r="G2290" s="460" t="s">
        <v>1025</v>
      </c>
      <c r="H2290" s="461"/>
      <c r="I2290" s="540">
        <f>INDEX([1]Produtos!$L:$L,MATCH(IF(ISNUMBER(FIND(" - ",F2290)),LEFT(F2290,FIND(" - ",F2290)-1),F2290),[1]Produtos!$C:$C,0))</f>
        <v>843.58780095852239</v>
      </c>
      <c r="J2290" s="540">
        <f>INDEX([1]Produtos!$L:$L,MATCH(IF(ISNUMBER(FIND(" - ",G2290)),LEFT(G2290,FIND(" - ",G2290)-1),G2290),[1]Produtos!$C:$C,0))</f>
        <v>843.58780095852239</v>
      </c>
      <c r="K2290" s="540" t="e">
        <f>INDEX([1]Produtos!$L:$L,MATCH(IF(ISNUMBER(FIND(" - ",H2290)),LEFT(H2290,FIND(" - ",H2290)-1),H2290),[1]Produtos!$C:$C,0))</f>
        <v>#N/A</v>
      </c>
      <c r="L2290" s="565" t="e">
        <f>INDEX([1]Produtos!$L:$L,MATCH(F2290,[1]Produtos!$C:$C,0))*INDEX([2]Pedidos!$Q:$Q,MATCH(F2290,[2]Pedidos!$E:$E,0))</f>
        <v>#N/A</v>
      </c>
      <c r="M2290" s="565" t="e">
        <f>INDEX([1]Produtos!$L:$L,MATCH(G2290,[1]Produtos!$C:$C,0))*INDEX([2]Pedidos!$Q:$Q,MATCH(G2290,[2]Pedidos!$E:$E,0))</f>
        <v>#N/A</v>
      </c>
      <c r="N2290" s="565" t="e">
        <f>INDEX([1]Produtos!$L:$L,MATCH(H2290,[1]Produtos!$C:$C,0))*INDEX([2]Pedidos!$Q:$Q,MATCH(H2290,[2]Pedidos!$E:$E,0))</f>
        <v>#N/A</v>
      </c>
    </row>
    <row r="2291" spans="1:18" x14ac:dyDescent="0.25">
      <c r="A2291" s="753"/>
      <c r="C2291" s="452" t="s">
        <v>172</v>
      </c>
      <c r="D2291" s="449">
        <f t="shared" si="170"/>
        <v>46092</v>
      </c>
      <c r="E2291" s="454" t="s">
        <v>170</v>
      </c>
      <c r="F2291" s="460" t="s">
        <v>386</v>
      </c>
      <c r="G2291" s="460" t="s">
        <v>1025</v>
      </c>
      <c r="H2291" s="504"/>
      <c r="I2291" s="540">
        <f>INDEX([1]Produtos!$L:$L,MATCH(IF(ISNUMBER(FIND(" - ",F2291)),LEFT(F2291,FIND(" - ",F2291)-1),F2291),[1]Produtos!$C:$C,0))</f>
        <v>843.58780095852239</v>
      </c>
      <c r="J2291" s="540">
        <f>INDEX([1]Produtos!$L:$L,MATCH(IF(ISNUMBER(FIND(" - ",G2291)),LEFT(G2291,FIND(" - ",G2291)-1),G2291),[1]Produtos!$C:$C,0))</f>
        <v>843.58780095852239</v>
      </c>
      <c r="K2291" s="540" t="e">
        <f>INDEX([1]Produtos!$L:$L,MATCH(IF(ISNUMBER(FIND(" - ",H2291)),LEFT(H2291,FIND(" - ",H2291)-1),H2291),[1]Produtos!$C:$C,0))</f>
        <v>#N/A</v>
      </c>
      <c r="L2291" s="565" t="e">
        <f>INDEX([1]Produtos!$L:$L,MATCH(F2291,[1]Produtos!$C:$C,0))*INDEX([2]Pedidos!$Q:$Q,MATCH(F2291,[2]Pedidos!$E:$E,0))</f>
        <v>#N/A</v>
      </c>
      <c r="M2291" s="566" t="e">
        <f>INDEX([1]Produtos!$L:$L,MATCH(G2291,[1]Produtos!$C:$C,0))*INDEX([2]Pedidos!$Q:$Q,MATCH(G2291,[2]Pedidos!$E:$E,0))</f>
        <v>#N/A</v>
      </c>
      <c r="N2291" s="566" t="e">
        <f>INDEX([1]Produtos!$L:$L,MATCH(H2291,[1]Produtos!$C:$C,0))*INDEX([2]Pedidos!$Q:$Q,MATCH(H2291,[2]Pedidos!$E:$E,0))</f>
        <v>#N/A</v>
      </c>
    </row>
    <row r="2292" spans="1:18" x14ac:dyDescent="0.25">
      <c r="A2292" s="753"/>
      <c r="C2292" s="452" t="s">
        <v>172</v>
      </c>
      <c r="D2292" s="449">
        <f t="shared" si="170"/>
        <v>46092</v>
      </c>
      <c r="E2292" s="454" t="s">
        <v>585</v>
      </c>
      <c r="F2292" s="505"/>
      <c r="G2292" s="505"/>
      <c r="H2292" s="516"/>
      <c r="I2292" s="516"/>
      <c r="J2292" s="516"/>
      <c r="K2292" s="516"/>
      <c r="L2292" s="557"/>
      <c r="M2292" s="557"/>
      <c r="N2292" s="557"/>
    </row>
    <row r="2293" spans="1:18" x14ac:dyDescent="0.25">
      <c r="A2293" s="753"/>
      <c r="C2293" s="448" t="s">
        <v>172</v>
      </c>
      <c r="D2293" s="449">
        <f t="shared" si="170"/>
        <v>46092</v>
      </c>
      <c r="E2293" s="455" t="s">
        <v>574</v>
      </c>
      <c r="F2293" s="505"/>
      <c r="G2293" s="505"/>
      <c r="H2293" s="516"/>
      <c r="I2293" s="516"/>
      <c r="J2293" s="516"/>
      <c r="K2293" s="516"/>
      <c r="L2293" s="557"/>
      <c r="M2293" s="557"/>
      <c r="N2293" s="557"/>
    </row>
    <row r="2294" spans="1:18" x14ac:dyDescent="0.25">
      <c r="A2294" s="753"/>
      <c r="C2294" s="448" t="s">
        <v>172</v>
      </c>
      <c r="D2294" s="449">
        <f t="shared" si="170"/>
        <v>46092</v>
      </c>
      <c r="E2294" s="455" t="s">
        <v>575</v>
      </c>
      <c r="F2294" s="506"/>
      <c r="G2294" s="506"/>
      <c r="H2294" s="516"/>
      <c r="I2294" s="516"/>
      <c r="J2294" s="516"/>
      <c r="K2294" s="516"/>
      <c r="L2294" s="557"/>
      <c r="M2294" s="557"/>
      <c r="N2294" s="557"/>
    </row>
    <row r="2295" spans="1:18" x14ac:dyDescent="0.25">
      <c r="A2295" s="753"/>
      <c r="C2295" s="448" t="s">
        <v>172</v>
      </c>
      <c r="D2295" s="449">
        <f t="shared" si="170"/>
        <v>46092</v>
      </c>
      <c r="E2295" s="503" t="s">
        <v>583</v>
      </c>
      <c r="F2295" s="506"/>
      <c r="G2295" s="506"/>
      <c r="H2295" s="516"/>
      <c r="I2295" s="516"/>
      <c r="J2295" s="516"/>
      <c r="K2295" s="516"/>
      <c r="L2295" s="557"/>
      <c r="M2295" s="557"/>
      <c r="N2295" s="557"/>
    </row>
    <row r="2296" spans="1:18" ht="15.75" thickBot="1" x14ac:dyDescent="0.3">
      <c r="A2296" s="753"/>
      <c r="C2296" s="450" t="s">
        <v>172</v>
      </c>
      <c r="D2296" s="451">
        <f t="shared" si="170"/>
        <v>46092</v>
      </c>
      <c r="E2296" s="459" t="s">
        <v>584</v>
      </c>
      <c r="F2296" s="493"/>
      <c r="G2296" s="493"/>
      <c r="H2296" s="513"/>
      <c r="I2296" s="513"/>
      <c r="J2296" s="513"/>
      <c r="K2296" s="513"/>
      <c r="L2296" s="558"/>
      <c r="M2296" s="558"/>
      <c r="N2296" s="558"/>
    </row>
    <row r="2297" spans="1:18" ht="4.5" customHeight="1" thickBot="1" x14ac:dyDescent="0.3">
      <c r="A2297" s="753"/>
      <c r="L2297" s="559"/>
      <c r="M2297" s="559"/>
      <c r="N2297" s="559"/>
      <c r="Q2297" s="3"/>
      <c r="R2297" s="3"/>
    </row>
    <row r="2298" spans="1:18" ht="15" customHeight="1" thickBot="1" x14ac:dyDescent="0.3">
      <c r="A2298" s="753"/>
      <c r="C2298" s="538"/>
      <c r="D2298" s="539"/>
      <c r="E2298" s="539"/>
      <c r="F2298" s="539"/>
      <c r="G2298" s="539"/>
      <c r="H2298" s="539"/>
      <c r="I2298" s="543">
        <f t="shared" ref="I2298:N2298" si="171">IFERROR(SUM(I2299:I2314),0)</f>
        <v>7592.2902086267004</v>
      </c>
      <c r="J2298" s="542">
        <f t="shared" si="171"/>
        <v>7592.2902086267004</v>
      </c>
      <c r="K2298" s="544">
        <f t="shared" si="171"/>
        <v>0</v>
      </c>
      <c r="L2298" s="560">
        <f t="shared" si="171"/>
        <v>0</v>
      </c>
      <c r="M2298" s="561">
        <f t="shared" si="171"/>
        <v>0</v>
      </c>
      <c r="N2298" s="562">
        <f t="shared" si="171"/>
        <v>0</v>
      </c>
      <c r="O2298" s="548">
        <f>SUM(I2298:K2298)</f>
        <v>15184.580417253401</v>
      </c>
      <c r="P2298" s="549">
        <f>SUM(L2298:N2298)</f>
        <v>0</v>
      </c>
      <c r="Q2298" s="3"/>
      <c r="R2298" s="3"/>
    </row>
    <row r="2299" spans="1:18" x14ac:dyDescent="0.25">
      <c r="A2299" s="753"/>
      <c r="C2299" s="529" t="s">
        <v>173</v>
      </c>
      <c r="D2299" s="447">
        <f>D2296+1</f>
        <v>46093</v>
      </c>
      <c r="E2299" s="498" t="s">
        <v>573</v>
      </c>
      <c r="F2299" s="514"/>
      <c r="G2299" s="514"/>
      <c r="H2299" s="515"/>
      <c r="I2299" s="537"/>
      <c r="J2299" s="537"/>
      <c r="K2299" s="537"/>
      <c r="L2299" s="563"/>
      <c r="M2299" s="563"/>
      <c r="N2299" s="563"/>
    </row>
    <row r="2300" spans="1:18" x14ac:dyDescent="0.25">
      <c r="A2300" s="753"/>
      <c r="C2300" s="452" t="s">
        <v>173</v>
      </c>
      <c r="D2300" s="453">
        <f t="shared" ref="D2300:D2314" si="172">D2299</f>
        <v>46093</v>
      </c>
      <c r="E2300" s="500" t="s">
        <v>162</v>
      </c>
      <c r="F2300" s="460" t="s">
        <v>405</v>
      </c>
      <c r="G2300" s="460" t="s">
        <v>1025</v>
      </c>
      <c r="H2300" s="501"/>
      <c r="I2300" s="540">
        <f>INDEX([1]Produtos!$L:$L,MATCH(IF(ISNUMBER(FIND(" - ",F2300)),LEFT(F2300,FIND(" - ",F2300)-1),F2300),[1]Produtos!$C:$C,0))</f>
        <v>843.58780095852239</v>
      </c>
      <c r="J2300" s="540">
        <f>INDEX([1]Produtos!$L:$L,MATCH(IF(ISNUMBER(FIND(" - ",G2300)),LEFT(G2300,FIND(" - ",G2300)-1),G2300),[1]Produtos!$C:$C,0))</f>
        <v>843.58780095852239</v>
      </c>
      <c r="K2300" s="540" t="e">
        <f>INDEX([1]Produtos!$L:$L,MATCH(IF(ISNUMBER(FIND(" - ",H2300)),LEFT(H2300,FIND(" - ",H2300)-1),H2300),[1]Produtos!$C:$C,0))</f>
        <v>#N/A</v>
      </c>
      <c r="L2300" s="555" t="e">
        <f>INDEX([1]Produtos!$L:$L,MATCH(F2300,[1]Produtos!$C:$C,0))*INDEX([2]Pedidos!$Q:$Q,MATCH(F2300,[2]Pedidos!$E:$E,0))</f>
        <v>#N/A</v>
      </c>
      <c r="M2300" s="555" t="e">
        <f>INDEX([1]Produtos!$L:$L,MATCH(G2300,[1]Produtos!$C:$C,0))*INDEX([2]Pedidos!$Q:$Q,MATCH(G2300,[2]Pedidos!$E:$E,0))</f>
        <v>#N/A</v>
      </c>
      <c r="N2300" s="555" t="e">
        <f>INDEX([1]Produtos!$L:$L,MATCH(H2300,[1]Produtos!$C:$C,0))*INDEX([2]Pedidos!$Q:$Q,MATCH(H2300,[2]Pedidos!$E:$E,0))</f>
        <v>#N/A</v>
      </c>
    </row>
    <row r="2301" spans="1:18" x14ac:dyDescent="0.25">
      <c r="A2301" s="753"/>
      <c r="C2301" s="452" t="s">
        <v>173</v>
      </c>
      <c r="D2301" s="453">
        <f t="shared" si="172"/>
        <v>46093</v>
      </c>
      <c r="E2301" s="454" t="s">
        <v>163</v>
      </c>
      <c r="F2301" s="460" t="s">
        <v>405</v>
      </c>
      <c r="G2301" s="460" t="s">
        <v>1025</v>
      </c>
      <c r="H2301" s="460"/>
      <c r="I2301" s="540">
        <f>INDEX([1]Produtos!$L:$L,MATCH(IF(ISNUMBER(FIND(" - ",F2301)),LEFT(F2301,FIND(" - ",F2301)-1),F2301),[1]Produtos!$C:$C,0))</f>
        <v>843.58780095852239</v>
      </c>
      <c r="J2301" s="540">
        <f>INDEX([1]Produtos!$L:$L,MATCH(IF(ISNUMBER(FIND(" - ",G2301)),LEFT(G2301,FIND(" - ",G2301)-1),G2301),[1]Produtos!$C:$C,0))</f>
        <v>843.58780095852239</v>
      </c>
      <c r="K2301" s="540" t="e">
        <f>INDEX([1]Produtos!$L:$L,MATCH(IF(ISNUMBER(FIND(" - ",H2301)),LEFT(H2301,FIND(" - ",H2301)-1),H2301),[1]Produtos!$C:$C,0))</f>
        <v>#N/A</v>
      </c>
      <c r="L2301" s="564" t="e">
        <f>INDEX([1]Produtos!$L:$L,MATCH(F2301,[1]Produtos!$C:$C,0))*INDEX([2]Pedidos!$Q:$Q,MATCH(F2301,[2]Pedidos!$E:$E,0))</f>
        <v>#N/A</v>
      </c>
      <c r="M2301" s="564" t="e">
        <f>INDEX([1]Produtos!$L:$L,MATCH(G2301,[1]Produtos!$C:$C,0))*INDEX([2]Pedidos!$Q:$Q,MATCH(G2301,[2]Pedidos!$E:$E,0))</f>
        <v>#N/A</v>
      </c>
      <c r="N2301" s="564" t="e">
        <f>INDEX([1]Produtos!$L:$L,MATCH(H2301,[1]Produtos!$C:$C,0))*INDEX([2]Pedidos!$Q:$Q,MATCH(H2301,[2]Pedidos!$E:$E,0))</f>
        <v>#N/A</v>
      </c>
    </row>
    <row r="2302" spans="1:18" x14ac:dyDescent="0.25">
      <c r="A2302" s="753"/>
      <c r="C2302" s="452" t="s">
        <v>173</v>
      </c>
      <c r="D2302" s="453">
        <f t="shared" si="172"/>
        <v>46093</v>
      </c>
      <c r="E2302" s="454" t="s">
        <v>164</v>
      </c>
      <c r="F2302" s="460" t="s">
        <v>405</v>
      </c>
      <c r="G2302" s="460" t="s">
        <v>1025</v>
      </c>
      <c r="H2302" s="460"/>
      <c r="I2302" s="540">
        <f>INDEX([1]Produtos!$L:$L,MATCH(IF(ISNUMBER(FIND(" - ",F2302)),LEFT(F2302,FIND(" - ",F2302)-1),F2302),[1]Produtos!$C:$C,0))</f>
        <v>843.58780095852239</v>
      </c>
      <c r="J2302" s="540">
        <f>INDEX([1]Produtos!$L:$L,MATCH(IF(ISNUMBER(FIND(" - ",G2302)),LEFT(G2302,FIND(" - ",G2302)-1),G2302),[1]Produtos!$C:$C,0))</f>
        <v>843.58780095852239</v>
      </c>
      <c r="K2302" s="540" t="e">
        <f>INDEX([1]Produtos!$L:$L,MATCH(IF(ISNUMBER(FIND(" - ",H2302)),LEFT(H2302,FIND(" - ",H2302)-1),H2302),[1]Produtos!$C:$C,0))</f>
        <v>#N/A</v>
      </c>
      <c r="L2302" s="564" t="e">
        <f>INDEX([1]Produtos!$L:$L,MATCH(F2302,[1]Produtos!$C:$C,0))*INDEX([2]Pedidos!$Q:$Q,MATCH(F2302,[2]Pedidos!$E:$E,0))</f>
        <v>#N/A</v>
      </c>
      <c r="M2302" s="564" t="e">
        <f>INDEX([1]Produtos!$L:$L,MATCH(G2302,[1]Produtos!$C:$C,0))*INDEX([2]Pedidos!$Q:$Q,MATCH(G2302,[2]Pedidos!$E:$E,0))</f>
        <v>#N/A</v>
      </c>
      <c r="N2302" s="564" t="e">
        <f>INDEX([1]Produtos!$L:$L,MATCH(H2302,[1]Produtos!$C:$C,0))*INDEX([2]Pedidos!$Q:$Q,MATCH(H2302,[2]Pedidos!$E:$E,0))</f>
        <v>#N/A</v>
      </c>
    </row>
    <row r="2303" spans="1:18" x14ac:dyDescent="0.25">
      <c r="A2303" s="753"/>
      <c r="C2303" s="452" t="s">
        <v>173</v>
      </c>
      <c r="D2303" s="453">
        <f t="shared" si="172"/>
        <v>46093</v>
      </c>
      <c r="E2303" s="454" t="s">
        <v>165</v>
      </c>
      <c r="F2303" s="460" t="s">
        <v>405</v>
      </c>
      <c r="G2303" s="460" t="s">
        <v>1025</v>
      </c>
      <c r="H2303" s="460"/>
      <c r="I2303" s="540">
        <f>INDEX([1]Produtos!$L:$L,MATCH(IF(ISNUMBER(FIND(" - ",F2303)),LEFT(F2303,FIND(" - ",F2303)-1),F2303),[1]Produtos!$C:$C,0))</f>
        <v>843.58780095852239</v>
      </c>
      <c r="J2303" s="540">
        <f>INDEX([1]Produtos!$L:$L,MATCH(IF(ISNUMBER(FIND(" - ",G2303)),LEFT(G2303,FIND(" - ",G2303)-1),G2303),[1]Produtos!$C:$C,0))</f>
        <v>843.58780095852239</v>
      </c>
      <c r="K2303" s="540" t="e">
        <f>INDEX([1]Produtos!$L:$L,MATCH(IF(ISNUMBER(FIND(" - ",H2303)),LEFT(H2303,FIND(" - ",H2303)-1),H2303),[1]Produtos!$C:$C,0))</f>
        <v>#N/A</v>
      </c>
      <c r="L2303" s="564" t="e">
        <f>INDEX([1]Produtos!$L:$L,MATCH(F2303,[1]Produtos!$C:$C,0))*INDEX([2]Pedidos!$Q:$Q,MATCH(F2303,[2]Pedidos!$E:$E,0))</f>
        <v>#N/A</v>
      </c>
      <c r="M2303" s="564" t="e">
        <f>INDEX([1]Produtos!$L:$L,MATCH(G2303,[1]Produtos!$C:$C,0))*INDEX([2]Pedidos!$Q:$Q,MATCH(G2303,[2]Pedidos!$E:$E,0))</f>
        <v>#N/A</v>
      </c>
      <c r="N2303" s="564" t="e">
        <f>INDEX([1]Produtos!$L:$L,MATCH(H2303,[1]Produtos!$C:$C,0))*INDEX([2]Pedidos!$Q:$Q,MATCH(H2303,[2]Pedidos!$E:$E,0))</f>
        <v>#N/A</v>
      </c>
    </row>
    <row r="2304" spans="1:18" x14ac:dyDescent="0.25">
      <c r="A2304" s="753"/>
      <c r="C2304" s="452" t="s">
        <v>173</v>
      </c>
      <c r="D2304" s="453">
        <f t="shared" si="172"/>
        <v>46093</v>
      </c>
      <c r="E2304" s="454" t="s">
        <v>166</v>
      </c>
      <c r="F2304" s="460" t="s">
        <v>387</v>
      </c>
      <c r="G2304" s="460" t="s">
        <v>1025</v>
      </c>
      <c r="H2304" s="460"/>
      <c r="I2304" s="540">
        <f>INDEX([1]Produtos!$L:$L,MATCH(IF(ISNUMBER(FIND(" - ",F2304)),LEFT(F2304,FIND(" - ",F2304)-1),F2304),[1]Produtos!$C:$C,0))</f>
        <v>843.58780095852239</v>
      </c>
      <c r="J2304" s="540">
        <f>INDEX([1]Produtos!$L:$L,MATCH(IF(ISNUMBER(FIND(" - ",G2304)),LEFT(G2304,FIND(" - ",G2304)-1),G2304),[1]Produtos!$C:$C,0))</f>
        <v>843.58780095852239</v>
      </c>
      <c r="K2304" s="540" t="e">
        <f>INDEX([1]Produtos!$L:$L,MATCH(IF(ISNUMBER(FIND(" - ",H2304)),LEFT(H2304,FIND(" - ",H2304)-1),H2304),[1]Produtos!$C:$C,0))</f>
        <v>#N/A</v>
      </c>
      <c r="L2304" s="564" t="e">
        <f>INDEX([1]Produtos!$L:$L,MATCH(F2304,[1]Produtos!$C:$C,0))*INDEX([2]Pedidos!$Q:$Q,MATCH(F2304,[2]Pedidos!$E:$E,0))</f>
        <v>#N/A</v>
      </c>
      <c r="M2304" s="564" t="e">
        <f>INDEX([1]Produtos!$L:$L,MATCH(G2304,[1]Produtos!$C:$C,0))*INDEX([2]Pedidos!$Q:$Q,MATCH(G2304,[2]Pedidos!$E:$E,0))</f>
        <v>#N/A</v>
      </c>
      <c r="N2304" s="564" t="e">
        <f>INDEX([1]Produtos!$L:$L,MATCH(H2304,[1]Produtos!$C:$C,0))*INDEX([2]Pedidos!$Q:$Q,MATCH(H2304,[2]Pedidos!$E:$E,0))</f>
        <v>#N/A</v>
      </c>
    </row>
    <row r="2305" spans="1:18" x14ac:dyDescent="0.25">
      <c r="A2305" s="753"/>
      <c r="C2305" s="452" t="s">
        <v>173</v>
      </c>
      <c r="D2305" s="453">
        <f t="shared" si="172"/>
        <v>46093</v>
      </c>
      <c r="E2305" s="454" t="s">
        <v>576</v>
      </c>
      <c r="F2305" s="517"/>
      <c r="G2305" s="512"/>
      <c r="H2305" s="505"/>
      <c r="I2305" s="541"/>
      <c r="J2305" s="541"/>
      <c r="K2305" s="541"/>
      <c r="L2305" s="556"/>
      <c r="M2305" s="556"/>
      <c r="N2305" s="556"/>
    </row>
    <row r="2306" spans="1:18" x14ac:dyDescent="0.25">
      <c r="A2306" s="753"/>
      <c r="C2306" s="452" t="s">
        <v>173</v>
      </c>
      <c r="D2306" s="449">
        <f t="shared" si="172"/>
        <v>46093</v>
      </c>
      <c r="E2306" s="454" t="s">
        <v>167</v>
      </c>
      <c r="F2306" s="460" t="s">
        <v>387</v>
      </c>
      <c r="G2306" s="460" t="s">
        <v>1025</v>
      </c>
      <c r="H2306" s="461"/>
      <c r="I2306" s="540">
        <f>INDEX([1]Produtos!$L:$L,MATCH(IF(ISNUMBER(FIND(" - ",F2306)),LEFT(F2306,FIND(" - ",F2306)-1),F2306),[1]Produtos!$C:$C,0))</f>
        <v>843.58780095852239</v>
      </c>
      <c r="J2306" s="540">
        <f>INDEX([1]Produtos!$L:$L,MATCH(IF(ISNUMBER(FIND(" - ",G2306)),LEFT(G2306,FIND(" - ",G2306)-1),G2306),[1]Produtos!$C:$C,0))</f>
        <v>843.58780095852239</v>
      </c>
      <c r="K2306" s="540" t="e">
        <f>INDEX([1]Produtos!$L:$L,MATCH(IF(ISNUMBER(FIND(" - ",H2306)),LEFT(H2306,FIND(" - ",H2306)-1),H2306),[1]Produtos!$C:$C,0))</f>
        <v>#N/A</v>
      </c>
      <c r="L2306" s="565" t="e">
        <f>INDEX([1]Produtos!$L:$L,MATCH(F2306,[1]Produtos!$C:$C,0))*INDEX([2]Pedidos!$Q:$Q,MATCH(F2306,[2]Pedidos!$E:$E,0))</f>
        <v>#N/A</v>
      </c>
      <c r="M2306" s="565" t="e">
        <f>INDEX([1]Produtos!$L:$L,MATCH(G2306,[1]Produtos!$C:$C,0))*INDEX([2]Pedidos!$Q:$Q,MATCH(G2306,[2]Pedidos!$E:$E,0))</f>
        <v>#N/A</v>
      </c>
      <c r="N2306" s="565" t="e">
        <f>INDEX([1]Produtos!$L:$L,MATCH(H2306,[1]Produtos!$C:$C,0))*INDEX([2]Pedidos!$Q:$Q,MATCH(H2306,[2]Pedidos!$E:$E,0))</f>
        <v>#N/A</v>
      </c>
    </row>
    <row r="2307" spans="1:18" x14ac:dyDescent="0.25">
      <c r="A2307" s="753"/>
      <c r="C2307" s="452" t="s">
        <v>173</v>
      </c>
      <c r="D2307" s="449">
        <f t="shared" si="172"/>
        <v>46093</v>
      </c>
      <c r="E2307" s="454" t="s">
        <v>168</v>
      </c>
      <c r="F2307" s="460" t="s">
        <v>387</v>
      </c>
      <c r="G2307" s="460" t="s">
        <v>1025</v>
      </c>
      <c r="H2307" s="461"/>
      <c r="I2307" s="540">
        <f>INDEX([1]Produtos!$L:$L,MATCH(IF(ISNUMBER(FIND(" - ",F2307)),LEFT(F2307,FIND(" - ",F2307)-1),F2307),[1]Produtos!$C:$C,0))</f>
        <v>843.58780095852239</v>
      </c>
      <c r="J2307" s="540">
        <f>INDEX([1]Produtos!$L:$L,MATCH(IF(ISNUMBER(FIND(" - ",G2307)),LEFT(G2307,FIND(" - ",G2307)-1),G2307),[1]Produtos!$C:$C,0))</f>
        <v>843.58780095852239</v>
      </c>
      <c r="K2307" s="540" t="e">
        <f>INDEX([1]Produtos!$L:$L,MATCH(IF(ISNUMBER(FIND(" - ",H2307)),LEFT(H2307,FIND(" - ",H2307)-1),H2307),[1]Produtos!$C:$C,0))</f>
        <v>#N/A</v>
      </c>
      <c r="L2307" s="565" t="e">
        <f>INDEX([1]Produtos!$L:$L,MATCH(F2307,[1]Produtos!$C:$C,0))*INDEX([2]Pedidos!$Q:$Q,MATCH(F2307,[2]Pedidos!$E:$E,0))</f>
        <v>#N/A</v>
      </c>
      <c r="M2307" s="565" t="e">
        <f>INDEX([1]Produtos!$L:$L,MATCH(G2307,[1]Produtos!$C:$C,0))*INDEX([2]Pedidos!$Q:$Q,MATCH(G2307,[2]Pedidos!$E:$E,0))</f>
        <v>#N/A</v>
      </c>
      <c r="N2307" s="565" t="e">
        <f>INDEX([1]Produtos!$L:$L,MATCH(H2307,[1]Produtos!$C:$C,0))*INDEX([2]Pedidos!$Q:$Q,MATCH(H2307,[2]Pedidos!$E:$E,0))</f>
        <v>#N/A</v>
      </c>
    </row>
    <row r="2308" spans="1:18" x14ac:dyDescent="0.25">
      <c r="A2308" s="753"/>
      <c r="C2308" s="452" t="s">
        <v>173</v>
      </c>
      <c r="D2308" s="449">
        <f t="shared" si="172"/>
        <v>46093</v>
      </c>
      <c r="E2308" s="454" t="s">
        <v>169</v>
      </c>
      <c r="F2308" s="460" t="s">
        <v>387</v>
      </c>
      <c r="G2308" s="460" t="s">
        <v>1025</v>
      </c>
      <c r="H2308" s="461"/>
      <c r="I2308" s="540">
        <f>INDEX([1]Produtos!$L:$L,MATCH(IF(ISNUMBER(FIND(" - ",F2308)),LEFT(F2308,FIND(" - ",F2308)-1),F2308),[1]Produtos!$C:$C,0))</f>
        <v>843.58780095852239</v>
      </c>
      <c r="J2308" s="540">
        <f>INDEX([1]Produtos!$L:$L,MATCH(IF(ISNUMBER(FIND(" - ",G2308)),LEFT(G2308,FIND(" - ",G2308)-1),G2308),[1]Produtos!$C:$C,0))</f>
        <v>843.58780095852239</v>
      </c>
      <c r="K2308" s="540" t="e">
        <f>INDEX([1]Produtos!$L:$L,MATCH(IF(ISNUMBER(FIND(" - ",H2308)),LEFT(H2308,FIND(" - ",H2308)-1),H2308),[1]Produtos!$C:$C,0))</f>
        <v>#N/A</v>
      </c>
      <c r="L2308" s="565" t="e">
        <f>INDEX([1]Produtos!$L:$L,MATCH(F2308,[1]Produtos!$C:$C,0))*INDEX([2]Pedidos!$Q:$Q,MATCH(F2308,[2]Pedidos!$E:$E,0))</f>
        <v>#N/A</v>
      </c>
      <c r="M2308" s="565" t="e">
        <f>INDEX([1]Produtos!$L:$L,MATCH(G2308,[1]Produtos!$C:$C,0))*INDEX([2]Pedidos!$Q:$Q,MATCH(G2308,[2]Pedidos!$E:$E,0))</f>
        <v>#N/A</v>
      </c>
      <c r="N2308" s="565" t="e">
        <f>INDEX([1]Produtos!$L:$L,MATCH(H2308,[1]Produtos!$C:$C,0))*INDEX([2]Pedidos!$Q:$Q,MATCH(H2308,[2]Pedidos!$E:$E,0))</f>
        <v>#N/A</v>
      </c>
    </row>
    <row r="2309" spans="1:18" x14ac:dyDescent="0.25">
      <c r="A2309" s="753"/>
      <c r="C2309" s="452" t="s">
        <v>173</v>
      </c>
      <c r="D2309" s="449">
        <f t="shared" si="172"/>
        <v>46093</v>
      </c>
      <c r="E2309" s="454" t="s">
        <v>170</v>
      </c>
      <c r="F2309" s="460" t="s">
        <v>387</v>
      </c>
      <c r="G2309" s="460" t="s">
        <v>1025</v>
      </c>
      <c r="H2309" s="504"/>
      <c r="I2309" s="545">
        <f>INDEX([1]Produtos!$L:$L,MATCH(IF(ISNUMBER(FIND(" - ",F2309)),LEFT(F2309,FIND(" - ",F2309)-1),F2309),[1]Produtos!$C:$C,0))</f>
        <v>843.58780095852239</v>
      </c>
      <c r="J2309" s="540">
        <f>INDEX([1]Produtos!$L:$L,MATCH(IF(ISNUMBER(FIND(" - ",G2309)),LEFT(G2309,FIND(" - ",G2309)-1),G2309),[1]Produtos!$C:$C,0))</f>
        <v>843.58780095852239</v>
      </c>
      <c r="K2309" s="540" t="e">
        <f>INDEX([1]Produtos!$L:$L,MATCH(IF(ISNUMBER(FIND(" - ",H2309)),LEFT(H2309,FIND(" - ",H2309)-1),H2309),[1]Produtos!$C:$C,0))</f>
        <v>#N/A</v>
      </c>
      <c r="L2309" s="566" t="e">
        <f>INDEX([1]Produtos!$L:$L,MATCH(F2309,[1]Produtos!$C:$C,0))*INDEX([2]Pedidos!$Q:$Q,MATCH(F2309,[2]Pedidos!$E:$E,0))</f>
        <v>#N/A</v>
      </c>
      <c r="M2309" s="566" t="e">
        <f>INDEX([1]Produtos!$L:$L,MATCH(G2309,[1]Produtos!$C:$C,0))*INDEX([2]Pedidos!$Q:$Q,MATCH(G2309,[2]Pedidos!$E:$E,0))</f>
        <v>#N/A</v>
      </c>
      <c r="N2309" s="566" t="e">
        <f>INDEX([1]Produtos!$L:$L,MATCH(H2309,[1]Produtos!$C:$C,0))*INDEX([2]Pedidos!$Q:$Q,MATCH(H2309,[2]Pedidos!$E:$E,0))</f>
        <v>#N/A</v>
      </c>
    </row>
    <row r="2310" spans="1:18" x14ac:dyDescent="0.25">
      <c r="A2310" s="753"/>
      <c r="C2310" s="452" t="s">
        <v>173</v>
      </c>
      <c r="D2310" s="449">
        <f t="shared" si="172"/>
        <v>46093</v>
      </c>
      <c r="E2310" s="454" t="s">
        <v>585</v>
      </c>
      <c r="F2310" s="505"/>
      <c r="G2310" s="505"/>
      <c r="H2310" s="516"/>
      <c r="I2310" s="516"/>
      <c r="J2310" s="516"/>
      <c r="K2310" s="516"/>
      <c r="L2310" s="557"/>
      <c r="M2310" s="557"/>
      <c r="N2310" s="557"/>
    </row>
    <row r="2311" spans="1:18" x14ac:dyDescent="0.25">
      <c r="A2311" s="753"/>
      <c r="C2311" s="452" t="s">
        <v>173</v>
      </c>
      <c r="D2311" s="449">
        <f t="shared" si="172"/>
        <v>46093</v>
      </c>
      <c r="E2311" s="455" t="s">
        <v>574</v>
      </c>
      <c r="F2311" s="505"/>
      <c r="G2311" s="505"/>
      <c r="H2311" s="516"/>
      <c r="I2311" s="516"/>
      <c r="J2311" s="516"/>
      <c r="K2311" s="516"/>
      <c r="L2311" s="557"/>
      <c r="M2311" s="557"/>
      <c r="N2311" s="557"/>
    </row>
    <row r="2312" spans="1:18" x14ac:dyDescent="0.25">
      <c r="A2312" s="753"/>
      <c r="C2312" s="452" t="s">
        <v>173</v>
      </c>
      <c r="D2312" s="449">
        <f t="shared" si="172"/>
        <v>46093</v>
      </c>
      <c r="E2312" s="455" t="s">
        <v>575</v>
      </c>
      <c r="F2312" s="506"/>
      <c r="G2312" s="506"/>
      <c r="H2312" s="516"/>
      <c r="I2312" s="516"/>
      <c r="J2312" s="516"/>
      <c r="K2312" s="516"/>
      <c r="L2312" s="557"/>
      <c r="M2312" s="557"/>
      <c r="N2312" s="557"/>
    </row>
    <row r="2313" spans="1:18" x14ac:dyDescent="0.25">
      <c r="A2313" s="753"/>
      <c r="C2313" s="452" t="s">
        <v>173</v>
      </c>
      <c r="D2313" s="449">
        <f t="shared" si="172"/>
        <v>46093</v>
      </c>
      <c r="E2313" s="503" t="s">
        <v>583</v>
      </c>
      <c r="F2313" s="506"/>
      <c r="G2313" s="506"/>
      <c r="H2313" s="516"/>
      <c r="I2313" s="516"/>
      <c r="J2313" s="516"/>
      <c r="K2313" s="516"/>
      <c r="L2313" s="557"/>
      <c r="M2313" s="557"/>
      <c r="N2313" s="557"/>
    </row>
    <row r="2314" spans="1:18" ht="15.75" thickBot="1" x14ac:dyDescent="0.3">
      <c r="A2314" s="753"/>
      <c r="C2314" s="530" t="s">
        <v>173</v>
      </c>
      <c r="D2314" s="451">
        <f t="shared" si="172"/>
        <v>46093</v>
      </c>
      <c r="E2314" s="459" t="s">
        <v>584</v>
      </c>
      <c r="F2314" s="493"/>
      <c r="G2314" s="493"/>
      <c r="H2314" s="513"/>
      <c r="I2314" s="513"/>
      <c r="J2314" s="513"/>
      <c r="K2314" s="513"/>
      <c r="L2314" s="558"/>
      <c r="M2314" s="558"/>
      <c r="N2314" s="558"/>
    </row>
    <row r="2315" spans="1:18" ht="4.5" customHeight="1" thickBot="1" x14ac:dyDescent="0.3">
      <c r="A2315" s="753"/>
      <c r="I2315" s="420"/>
      <c r="J2315" s="420"/>
      <c r="K2315" s="420"/>
      <c r="L2315" s="559"/>
      <c r="M2315" s="559"/>
      <c r="N2315" s="559"/>
      <c r="Q2315" s="3"/>
      <c r="R2315" s="3"/>
    </row>
    <row r="2316" spans="1:18" ht="15" customHeight="1" thickBot="1" x14ac:dyDescent="0.3">
      <c r="A2316" s="753"/>
      <c r="C2316" s="546">
        <f>SUM(I2244:K2244,I2262:K2262,I2280:K2280,I2298:K2298,I2316:K2316)</f>
        <v>66130.390304669054</v>
      </c>
      <c r="D2316" s="547">
        <f>SUM(P2316,P2298,P2280,P2262,P2244)</f>
        <v>0</v>
      </c>
      <c r="E2316" s="539"/>
      <c r="F2316" s="539"/>
      <c r="G2316" s="539"/>
      <c r="H2316" s="539"/>
      <c r="I2316" s="543">
        <f t="shared" ref="I2316:N2316" si="173">IFERROR(SUM(I2317:I2332),0)</f>
        <v>5827.9466452406878</v>
      </c>
      <c r="J2316" s="542">
        <f t="shared" si="173"/>
        <v>6748.7024076681782</v>
      </c>
      <c r="K2316" s="544">
        <f t="shared" si="173"/>
        <v>0</v>
      </c>
      <c r="L2316" s="560">
        <f t="shared" si="173"/>
        <v>0</v>
      </c>
      <c r="M2316" s="561">
        <f t="shared" si="173"/>
        <v>0</v>
      </c>
      <c r="N2316" s="562">
        <f t="shared" si="173"/>
        <v>0</v>
      </c>
      <c r="O2316" s="548">
        <f>SUM(I2316:K2316)</f>
        <v>12576.649052908866</v>
      </c>
      <c r="P2316" s="549">
        <f>SUM(L2316:N2316)</f>
        <v>0</v>
      </c>
      <c r="Q2316" s="3"/>
      <c r="R2316" s="3"/>
    </row>
    <row r="2317" spans="1:18" x14ac:dyDescent="0.25">
      <c r="A2317" s="753"/>
      <c r="C2317" s="529" t="s">
        <v>174</v>
      </c>
      <c r="D2317" s="447">
        <f>D2314+1</f>
        <v>46094</v>
      </c>
      <c r="E2317" s="498" t="s">
        <v>573</v>
      </c>
      <c r="F2317" s="514"/>
      <c r="G2317" s="514"/>
      <c r="H2317" s="514"/>
      <c r="I2317" s="537"/>
      <c r="J2317" s="537"/>
      <c r="K2317" s="537"/>
      <c r="L2317" s="563"/>
      <c r="M2317" s="563"/>
      <c r="N2317" s="563"/>
    </row>
    <row r="2318" spans="1:18" x14ac:dyDescent="0.25">
      <c r="A2318" s="753"/>
      <c r="C2318" s="452" t="s">
        <v>174</v>
      </c>
      <c r="D2318" s="453">
        <f t="shared" ref="D2318:D2332" si="174">D2317</f>
        <v>46094</v>
      </c>
      <c r="E2318" s="500" t="s">
        <v>162</v>
      </c>
      <c r="F2318" s="569" t="s">
        <v>387</v>
      </c>
      <c r="G2318" s="569" t="s">
        <v>1022</v>
      </c>
      <c r="H2318" s="569"/>
      <c r="I2318" s="540">
        <f>INDEX([1]Produtos!$L:$L,MATCH(IF(ISNUMBER(FIND(" - ",F2408)),LEFT(F2408,FIND(" - ",F2408)-1),F2408),[1]Produtos!$C:$C,0))</f>
        <v>613.39886035164977</v>
      </c>
      <c r="J2318" s="540">
        <f>INDEX([1]Produtos!$L:$L,MATCH(IF(ISNUMBER(FIND(" - ",G2318)),LEFT(G2318,FIND(" - ",G2318)-1),G2318),[1]Produtos!$C:$C,0))</f>
        <v>843.58780095852239</v>
      </c>
      <c r="K2318" s="540" t="e">
        <f>INDEX([1]Produtos!$L:$L,MATCH(IF(ISNUMBER(FIND(" - ",H2318)),LEFT(H2318,FIND(" - ",H2318)-1),H2318),[1]Produtos!$C:$C,0))</f>
        <v>#N/A</v>
      </c>
      <c r="L2318" s="555" t="e">
        <f>INDEX([1]Produtos!$L:$L,MATCH(F2408,[1]Produtos!$C:$C,0))*INDEX([2]Pedidos!$Q:$Q,MATCH(F2408,[2]Pedidos!$E:$E,0))</f>
        <v>#N/A</v>
      </c>
      <c r="M2318" s="555" t="e">
        <f>INDEX([1]Produtos!$L:$L,MATCH(G2318,[1]Produtos!$C:$C,0))*INDEX([2]Pedidos!$Q:$Q,MATCH(G2318,[2]Pedidos!$E:$E,0))</f>
        <v>#N/A</v>
      </c>
      <c r="N2318" s="555" t="e">
        <f>INDEX([1]Produtos!$L:$L,MATCH(H2318,[1]Produtos!$C:$C,0))*INDEX([2]Pedidos!$Q:$Q,MATCH(H2318,[2]Pedidos!$E:$E,0))</f>
        <v>#N/A</v>
      </c>
    </row>
    <row r="2319" spans="1:18" x14ac:dyDescent="0.25">
      <c r="A2319" s="753"/>
      <c r="C2319" s="452" t="s">
        <v>174</v>
      </c>
      <c r="D2319" s="453">
        <f t="shared" si="174"/>
        <v>46094</v>
      </c>
      <c r="E2319" s="454" t="s">
        <v>163</v>
      </c>
      <c r="F2319" s="569" t="s">
        <v>406</v>
      </c>
      <c r="G2319" s="569" t="s">
        <v>1022</v>
      </c>
      <c r="H2319" s="569"/>
      <c r="I2319" s="540">
        <f>INDEX([1]Produtos!$L:$L,MATCH(IF(ISNUMBER(FIND(" - ",F2409)),LEFT(F2409,FIND(" - ",F2409)-1),F2409),[1]Produtos!$C:$C,0))</f>
        <v>613.39886035164977</v>
      </c>
      <c r="J2319" s="540">
        <f>INDEX([1]Produtos!$L:$L,MATCH(IF(ISNUMBER(FIND(" - ",G2319)),LEFT(G2319,FIND(" - ",G2319)-1),G2319),[1]Produtos!$C:$C,0))</f>
        <v>843.58780095852239</v>
      </c>
      <c r="K2319" s="540" t="e">
        <f>INDEX([1]Produtos!$L:$L,MATCH(IF(ISNUMBER(FIND(" - ",H2319)),LEFT(H2319,FIND(" - ",H2319)-1),H2319),[1]Produtos!$C:$C,0))</f>
        <v>#N/A</v>
      </c>
      <c r="L2319" s="564" t="e">
        <f>INDEX([1]Produtos!$L:$L,MATCH(F2409,[1]Produtos!$C:$C,0))*INDEX([2]Pedidos!$Q:$Q,MATCH(F2409,[2]Pedidos!$E:$E,0))</f>
        <v>#N/A</v>
      </c>
      <c r="M2319" s="564" t="e">
        <f>INDEX([1]Produtos!$L:$L,MATCH(G2319,[1]Produtos!$C:$C,0))*INDEX([2]Pedidos!$Q:$Q,MATCH(G2319,[2]Pedidos!$E:$E,0))</f>
        <v>#N/A</v>
      </c>
      <c r="N2319" s="564" t="e">
        <f>INDEX([1]Produtos!$L:$L,MATCH(H2319,[1]Produtos!$C:$C,0))*INDEX([2]Pedidos!$Q:$Q,MATCH(H2319,[2]Pedidos!$E:$E,0))</f>
        <v>#N/A</v>
      </c>
    </row>
    <row r="2320" spans="1:18" x14ac:dyDescent="0.25">
      <c r="A2320" s="753"/>
      <c r="C2320" s="452" t="s">
        <v>174</v>
      </c>
      <c r="D2320" s="453">
        <f t="shared" si="174"/>
        <v>46094</v>
      </c>
      <c r="E2320" s="454" t="s">
        <v>164</v>
      </c>
      <c r="F2320" s="569" t="s">
        <v>406</v>
      </c>
      <c r="G2320" s="569" t="s">
        <v>1022</v>
      </c>
      <c r="H2320" s="569"/>
      <c r="I2320" s="540">
        <f>INDEX([1]Produtos!$L:$L,MATCH(IF(ISNUMBER(FIND(" - ",F2410)),LEFT(F2410,FIND(" - ",F2410)-1),F2410),[1]Produtos!$C:$C,0))</f>
        <v>613.39886035164977</v>
      </c>
      <c r="J2320" s="540">
        <f>INDEX([1]Produtos!$L:$L,MATCH(IF(ISNUMBER(FIND(" - ",G2320)),LEFT(G2320,FIND(" - ",G2320)-1),G2320),[1]Produtos!$C:$C,0))</f>
        <v>843.58780095852239</v>
      </c>
      <c r="K2320" s="540" t="e">
        <f>INDEX([1]Produtos!$L:$L,MATCH(IF(ISNUMBER(FIND(" - ",H2320)),LEFT(H2320,FIND(" - ",H2320)-1),H2320),[1]Produtos!$C:$C,0))</f>
        <v>#N/A</v>
      </c>
      <c r="L2320" s="564" t="e">
        <f>INDEX([1]Produtos!$L:$L,MATCH(F2410,[1]Produtos!$C:$C,0))*INDEX([2]Pedidos!$Q:$Q,MATCH(F2410,[2]Pedidos!$E:$E,0))</f>
        <v>#N/A</v>
      </c>
      <c r="M2320" s="564" t="e">
        <f>INDEX([1]Produtos!$L:$L,MATCH(G2320,[1]Produtos!$C:$C,0))*INDEX([2]Pedidos!$Q:$Q,MATCH(G2320,[2]Pedidos!$E:$E,0))</f>
        <v>#N/A</v>
      </c>
      <c r="N2320" s="564" t="e">
        <f>INDEX([1]Produtos!$L:$L,MATCH(H2320,[1]Produtos!$C:$C,0))*INDEX([2]Pedidos!$Q:$Q,MATCH(H2320,[2]Pedidos!$E:$E,0))</f>
        <v>#N/A</v>
      </c>
    </row>
    <row r="2321" spans="1:26" x14ac:dyDescent="0.25">
      <c r="A2321" s="753"/>
      <c r="C2321" s="452" t="s">
        <v>174</v>
      </c>
      <c r="D2321" s="453">
        <f t="shared" si="174"/>
        <v>46094</v>
      </c>
      <c r="E2321" s="454" t="s">
        <v>165</v>
      </c>
      <c r="F2321" s="569" t="s">
        <v>406</v>
      </c>
      <c r="G2321" s="569" t="s">
        <v>1022</v>
      </c>
      <c r="H2321" s="569"/>
      <c r="I2321" s="540">
        <f>INDEX([1]Produtos!$L:$L,MATCH(IF(ISNUMBER(FIND(" - ",F2411)),LEFT(F2411,FIND(" - ",F2411)-1),F2411),[1]Produtos!$C:$C,0))</f>
        <v>613.39886035164977</v>
      </c>
      <c r="J2321" s="540">
        <f>INDEX([1]Produtos!$L:$L,MATCH(IF(ISNUMBER(FIND(" - ",G2321)),LEFT(G2321,FIND(" - ",G2321)-1),G2321),[1]Produtos!$C:$C,0))</f>
        <v>843.58780095852239</v>
      </c>
      <c r="K2321" s="540" t="e">
        <f>INDEX([1]Produtos!$L:$L,MATCH(IF(ISNUMBER(FIND(" - ",H2321)),LEFT(H2321,FIND(" - ",H2321)-1),H2321),[1]Produtos!$C:$C,0))</f>
        <v>#N/A</v>
      </c>
      <c r="L2321" s="564" t="e">
        <f>INDEX([1]Produtos!$L:$L,MATCH(F2411,[1]Produtos!$C:$C,0))*INDEX([2]Pedidos!$Q:$Q,MATCH(F2411,[2]Pedidos!$E:$E,0))</f>
        <v>#N/A</v>
      </c>
      <c r="M2321" s="564" t="e">
        <f>INDEX([1]Produtos!$L:$L,MATCH(G2321,[1]Produtos!$C:$C,0))*INDEX([2]Pedidos!$Q:$Q,MATCH(G2321,[2]Pedidos!$E:$E,0))</f>
        <v>#N/A</v>
      </c>
      <c r="N2321" s="564" t="e">
        <f>INDEX([1]Produtos!$L:$L,MATCH(H2321,[1]Produtos!$C:$C,0))*INDEX([2]Pedidos!$Q:$Q,MATCH(H2321,[2]Pedidos!$E:$E,0))</f>
        <v>#N/A</v>
      </c>
    </row>
    <row r="2322" spans="1:26" x14ac:dyDescent="0.25">
      <c r="A2322" s="753"/>
      <c r="C2322" s="452" t="s">
        <v>174</v>
      </c>
      <c r="D2322" s="453">
        <f t="shared" si="174"/>
        <v>46094</v>
      </c>
      <c r="E2322" s="454" t="s">
        <v>166</v>
      </c>
      <c r="F2322" s="569" t="s">
        <v>406</v>
      </c>
      <c r="G2322" s="569" t="s">
        <v>1022</v>
      </c>
      <c r="H2322" s="569"/>
      <c r="I2322" s="540">
        <f>INDEX([1]Produtos!$L:$L,MATCH(IF(ISNUMBER(FIND(" - ",F2322)),LEFT(F2322,FIND(" - ",F2322)-1),F2322),[1]Produtos!$C:$C,0))</f>
        <v>843.58780095852239</v>
      </c>
      <c r="J2322" s="540">
        <f>INDEX([1]Produtos!$L:$L,MATCH(IF(ISNUMBER(FIND(" - ",G2322)),LEFT(G2322,FIND(" - ",G2322)-1),G2322),[1]Produtos!$C:$C,0))</f>
        <v>843.58780095852239</v>
      </c>
      <c r="K2322" s="540" t="e">
        <f>INDEX([1]Produtos!$L:$L,MATCH(IF(ISNUMBER(FIND(" - ",H2322)),LEFT(H2322,FIND(" - ",H2322)-1),H2322),[1]Produtos!$C:$C,0))</f>
        <v>#N/A</v>
      </c>
      <c r="L2322" s="564" t="e">
        <f>INDEX([1]Produtos!$L:$L,MATCH(F2322,[1]Produtos!$C:$C,0))*INDEX([2]Pedidos!$Q:$Q,MATCH(F2322,[2]Pedidos!$E:$E,0))</f>
        <v>#N/A</v>
      </c>
      <c r="M2322" s="564" t="e">
        <f>INDEX([1]Produtos!$L:$L,MATCH(G2322,[1]Produtos!$C:$C,0))*INDEX([2]Pedidos!$Q:$Q,MATCH(G2322,[2]Pedidos!$E:$E,0))</f>
        <v>#N/A</v>
      </c>
      <c r="N2322" s="564" t="e">
        <f>INDEX([1]Produtos!$L:$L,MATCH(H2322,[1]Produtos!$C:$C,0))*INDEX([2]Pedidos!$Q:$Q,MATCH(H2322,[2]Pedidos!$E:$E,0))</f>
        <v>#N/A</v>
      </c>
    </row>
    <row r="2323" spans="1:26" x14ac:dyDescent="0.25">
      <c r="A2323" s="753"/>
      <c r="C2323" s="452" t="s">
        <v>174</v>
      </c>
      <c r="D2323" s="453">
        <f t="shared" si="174"/>
        <v>46094</v>
      </c>
      <c r="E2323" s="454" t="s">
        <v>576</v>
      </c>
      <c r="F2323" s="512"/>
      <c r="G2323" s="512"/>
      <c r="H2323" s="512"/>
      <c r="I2323" s="541"/>
      <c r="J2323" s="541"/>
      <c r="K2323" s="541"/>
      <c r="L2323" s="556"/>
      <c r="M2323" s="556"/>
      <c r="N2323" s="556"/>
    </row>
    <row r="2324" spans="1:26" x14ac:dyDescent="0.25">
      <c r="A2324" s="753"/>
      <c r="C2324" s="452" t="s">
        <v>174</v>
      </c>
      <c r="D2324" s="449">
        <f t="shared" si="174"/>
        <v>46094</v>
      </c>
      <c r="E2324" s="454" t="s">
        <v>167</v>
      </c>
      <c r="F2324" s="569" t="s">
        <v>1022</v>
      </c>
      <c r="G2324" s="569" t="s">
        <v>1022</v>
      </c>
      <c r="H2324" s="569"/>
      <c r="I2324" s="540">
        <f>INDEX([1]Produtos!$L:$L,MATCH(IF(ISNUMBER(FIND(" - ",F2324)),LEFT(F2324,FIND(" - ",F2324)-1),F2324),[1]Produtos!$C:$C,0))</f>
        <v>843.58780095852239</v>
      </c>
      <c r="J2324" s="540">
        <f>INDEX([1]Produtos!$L:$L,MATCH(IF(ISNUMBER(FIND(" - ",G2324)),LEFT(G2324,FIND(" - ",G2324)-1),G2324),[1]Produtos!$C:$C,0))</f>
        <v>843.58780095852239</v>
      </c>
      <c r="K2324" s="540" t="e">
        <f>INDEX([1]Produtos!$L:$L,MATCH(IF(ISNUMBER(FIND(" - ",H2324)),LEFT(H2324,FIND(" - ",H2324)-1),H2324),[1]Produtos!$C:$C,0))</f>
        <v>#N/A</v>
      </c>
      <c r="L2324" s="565" t="e">
        <f>INDEX([1]Produtos!$L:$L,MATCH(F2324,[1]Produtos!$C:$C,0))*INDEX([2]Pedidos!$Q:$Q,MATCH(F2324,[2]Pedidos!$E:$E,0))</f>
        <v>#N/A</v>
      </c>
      <c r="M2324" s="565" t="e">
        <f>INDEX([1]Produtos!$L:$L,MATCH(G2324,[1]Produtos!$C:$C,0))*INDEX([2]Pedidos!$Q:$Q,MATCH(G2324,[2]Pedidos!$E:$E,0))</f>
        <v>#N/A</v>
      </c>
      <c r="N2324" s="565" t="e">
        <f>INDEX([1]Produtos!$L:$L,MATCH(H2324,[1]Produtos!$C:$C,0))*INDEX([2]Pedidos!$Q:$Q,MATCH(H2324,[2]Pedidos!$E:$E,0))</f>
        <v>#N/A</v>
      </c>
    </row>
    <row r="2325" spans="1:26" x14ac:dyDescent="0.25">
      <c r="A2325" s="753"/>
      <c r="C2325" s="452" t="s">
        <v>174</v>
      </c>
      <c r="D2325" s="449">
        <f t="shared" si="174"/>
        <v>46094</v>
      </c>
      <c r="E2325" s="454" t="s">
        <v>168</v>
      </c>
      <c r="F2325" s="569" t="s">
        <v>1022</v>
      </c>
      <c r="G2325" s="569" t="s">
        <v>1022</v>
      </c>
      <c r="H2325" s="569"/>
      <c r="I2325" s="540">
        <f>INDEX([1]Produtos!$L:$L,MATCH(IF(ISNUMBER(FIND(" - ",F2325)),LEFT(F2325,FIND(" - ",F2325)-1),F2325),[1]Produtos!$C:$C,0))</f>
        <v>843.58780095852239</v>
      </c>
      <c r="J2325" s="540">
        <f>INDEX([1]Produtos!$L:$L,MATCH(IF(ISNUMBER(FIND(" - ",G2325)),LEFT(G2325,FIND(" - ",G2325)-1),G2325),[1]Produtos!$C:$C,0))</f>
        <v>843.58780095852239</v>
      </c>
      <c r="K2325" s="540" t="e">
        <f>INDEX([1]Produtos!$L:$L,MATCH(IF(ISNUMBER(FIND(" - ",H2325)),LEFT(H2325,FIND(" - ",H2325)-1),H2325),[1]Produtos!$C:$C,0))</f>
        <v>#N/A</v>
      </c>
      <c r="L2325" s="565" t="e">
        <f>INDEX([1]Produtos!$L:$L,MATCH(F2325,[1]Produtos!$C:$C,0))*INDEX([2]Pedidos!$Q:$Q,MATCH(F2325,[2]Pedidos!$E:$E,0))</f>
        <v>#N/A</v>
      </c>
      <c r="M2325" s="565" t="e">
        <f>INDEX([1]Produtos!$L:$L,MATCH(G2325,[1]Produtos!$C:$C,0))*INDEX([2]Pedidos!$Q:$Q,MATCH(G2325,[2]Pedidos!$E:$E,0))</f>
        <v>#N/A</v>
      </c>
      <c r="N2325" s="565" t="e">
        <f>INDEX([1]Produtos!$L:$L,MATCH(H2325,[1]Produtos!$C:$C,0))*INDEX([2]Pedidos!$Q:$Q,MATCH(H2325,[2]Pedidos!$E:$E,0))</f>
        <v>#N/A</v>
      </c>
    </row>
    <row r="2326" spans="1:26" x14ac:dyDescent="0.25">
      <c r="A2326" s="753"/>
      <c r="C2326" s="452" t="s">
        <v>174</v>
      </c>
      <c r="D2326" s="449">
        <f t="shared" si="174"/>
        <v>46094</v>
      </c>
      <c r="E2326" s="454" t="s">
        <v>169</v>
      </c>
      <c r="F2326" s="569" t="s">
        <v>1022</v>
      </c>
      <c r="G2326" s="569" t="s">
        <v>1022</v>
      </c>
      <c r="H2326" s="569"/>
      <c r="I2326" s="540">
        <f>INDEX([1]Produtos!$L:$L,MATCH(IF(ISNUMBER(FIND(" - ",F2326)),LEFT(F2326,FIND(" - ",F2326)-1),F2326),[1]Produtos!$C:$C,0))</f>
        <v>843.58780095852239</v>
      </c>
      <c r="J2326" s="540">
        <f>INDEX([1]Produtos!$L:$L,MATCH(IF(ISNUMBER(FIND(" - ",G2326)),LEFT(G2326,FIND(" - ",G2326)-1),G2326),[1]Produtos!$C:$C,0))</f>
        <v>843.58780095852239</v>
      </c>
      <c r="K2326" s="540" t="e">
        <f>INDEX([1]Produtos!$L:$L,MATCH(IF(ISNUMBER(FIND(" - ",H2326)),LEFT(H2326,FIND(" - ",H2326)-1),H2326),[1]Produtos!$C:$C,0))</f>
        <v>#N/A</v>
      </c>
      <c r="L2326" s="565" t="e">
        <f>INDEX([1]Produtos!$L:$L,MATCH(F2326,[1]Produtos!$C:$C,0))*INDEX([2]Pedidos!$Q:$Q,MATCH(F2326,[2]Pedidos!$E:$E,0))</f>
        <v>#N/A</v>
      </c>
      <c r="M2326" s="565" t="e">
        <f>INDEX([1]Produtos!$L:$L,MATCH(G2326,[1]Produtos!$C:$C,0))*INDEX([2]Pedidos!$Q:$Q,MATCH(G2326,[2]Pedidos!$E:$E,0))</f>
        <v>#N/A</v>
      </c>
      <c r="N2326" s="565" t="e">
        <f>INDEX([1]Produtos!$L:$L,MATCH(H2326,[1]Produtos!$C:$C,0))*INDEX([2]Pedidos!$Q:$Q,MATCH(H2326,[2]Pedidos!$E:$E,0))</f>
        <v>#N/A</v>
      </c>
    </row>
    <row r="2327" spans="1:26" x14ac:dyDescent="0.25">
      <c r="A2327" s="753"/>
      <c r="C2327" s="452" t="s">
        <v>174</v>
      </c>
      <c r="D2327" s="449">
        <f t="shared" si="174"/>
        <v>46094</v>
      </c>
      <c r="E2327" s="454" t="s">
        <v>170</v>
      </c>
      <c r="F2327" s="505"/>
      <c r="G2327" s="505"/>
      <c r="H2327" s="505"/>
      <c r="I2327" s="516"/>
      <c r="J2327" s="516"/>
      <c r="K2327" s="516"/>
      <c r="L2327" s="557"/>
      <c r="M2327" s="557"/>
      <c r="N2327" s="557"/>
    </row>
    <row r="2328" spans="1:26" x14ac:dyDescent="0.25">
      <c r="A2328" s="753"/>
      <c r="C2328" s="452" t="s">
        <v>174</v>
      </c>
      <c r="D2328" s="449">
        <f t="shared" si="174"/>
        <v>46094</v>
      </c>
      <c r="E2328" s="454" t="s">
        <v>585</v>
      </c>
      <c r="F2328" s="505"/>
      <c r="G2328" s="505"/>
      <c r="H2328" s="505"/>
      <c r="I2328" s="516"/>
      <c r="J2328" s="516"/>
      <c r="K2328" s="516"/>
      <c r="L2328" s="557"/>
      <c r="M2328" s="557"/>
      <c r="N2328" s="557"/>
    </row>
    <row r="2329" spans="1:26" x14ac:dyDescent="0.25">
      <c r="A2329" s="753"/>
      <c r="C2329" s="452" t="s">
        <v>174</v>
      </c>
      <c r="D2329" s="449">
        <f t="shared" si="174"/>
        <v>46094</v>
      </c>
      <c r="E2329" s="455" t="s">
        <v>574</v>
      </c>
      <c r="F2329" s="505"/>
      <c r="G2329" s="505"/>
      <c r="H2329" s="505"/>
      <c r="I2329" s="516"/>
      <c r="J2329" s="516"/>
      <c r="K2329" s="516"/>
      <c r="L2329" s="557"/>
      <c r="M2329" s="557"/>
      <c r="N2329" s="557"/>
    </row>
    <row r="2330" spans="1:26" x14ac:dyDescent="0.25">
      <c r="A2330" s="753"/>
      <c r="C2330" s="452" t="s">
        <v>174</v>
      </c>
      <c r="D2330" s="449">
        <f t="shared" si="174"/>
        <v>46094</v>
      </c>
      <c r="E2330" s="455" t="s">
        <v>575</v>
      </c>
      <c r="F2330" s="506"/>
      <c r="G2330" s="506"/>
      <c r="H2330" s="506"/>
      <c r="I2330" s="516"/>
      <c r="J2330" s="516"/>
      <c r="K2330" s="516"/>
      <c r="L2330" s="557"/>
      <c r="M2330" s="557"/>
      <c r="N2330" s="557"/>
    </row>
    <row r="2331" spans="1:26" x14ac:dyDescent="0.25">
      <c r="A2331" s="753"/>
      <c r="C2331" s="452" t="s">
        <v>174</v>
      </c>
      <c r="D2331" s="502">
        <f t="shared" si="174"/>
        <v>46094</v>
      </c>
      <c r="E2331" s="503" t="s">
        <v>583</v>
      </c>
      <c r="F2331" s="506"/>
      <c r="G2331" s="506"/>
      <c r="H2331" s="506"/>
      <c r="I2331" s="516"/>
      <c r="J2331" s="516"/>
      <c r="K2331" s="516"/>
      <c r="L2331" s="557"/>
      <c r="M2331" s="557"/>
      <c r="N2331" s="557"/>
    </row>
    <row r="2332" spans="1:26" ht="15.75" thickBot="1" x14ac:dyDescent="0.3">
      <c r="A2332" s="753"/>
      <c r="C2332" s="530" t="s">
        <v>174</v>
      </c>
      <c r="D2332" s="451">
        <f t="shared" si="174"/>
        <v>46094</v>
      </c>
      <c r="E2332" s="459" t="s">
        <v>584</v>
      </c>
      <c r="F2332" s="493"/>
      <c r="G2332" s="493"/>
      <c r="H2332" s="493"/>
      <c r="I2332" s="513"/>
      <c r="J2332" s="513"/>
      <c r="K2332" s="513"/>
      <c r="L2332" s="558"/>
      <c r="M2332" s="558"/>
      <c r="N2332" s="558"/>
    </row>
    <row r="2334" spans="1:26" x14ac:dyDescent="0.25">
      <c r="A2334" t="s">
        <v>1508</v>
      </c>
      <c r="I2334">
        <f t="shared" ref="I2334:N2334" si="175">IFERROR(SUM(I2335:I2350),0)</f>
        <v>3999.9999999999995</v>
      </c>
      <c r="J2334">
        <f t="shared" si="175"/>
        <v>7592.2902086267004</v>
      </c>
      <c r="K2334">
        <f t="shared" si="175"/>
        <v>0</v>
      </c>
      <c r="L2334">
        <f t="shared" si="175"/>
        <v>0</v>
      </c>
      <c r="M2334">
        <f t="shared" si="175"/>
        <v>0</v>
      </c>
      <c r="N2334">
        <f t="shared" si="175"/>
        <v>0</v>
      </c>
      <c r="O2334">
        <f>SUM(I2334:K2334)</f>
        <v>11592.2902086267</v>
      </c>
      <c r="P2334">
        <f>SUM(L2334:N2334)</f>
        <v>0</v>
      </c>
      <c r="W2334" t="s">
        <v>1528</v>
      </c>
      <c r="X2334" t="s">
        <v>1529</v>
      </c>
      <c r="Y2334" t="s">
        <v>1530</v>
      </c>
      <c r="Z2334" t="s">
        <v>1531</v>
      </c>
    </row>
    <row r="2335" spans="1:26" x14ac:dyDescent="0.25">
      <c r="C2335" t="s">
        <v>161</v>
      </c>
      <c r="D2335">
        <v>46097</v>
      </c>
      <c r="E2335" t="s">
        <v>573</v>
      </c>
      <c r="W2335" t="s">
        <v>1450</v>
      </c>
      <c r="X2335">
        <v>2000</v>
      </c>
      <c r="Y2335">
        <v>1735</v>
      </c>
      <c r="Z2335">
        <f>Y2335/X2335</f>
        <v>0.86750000000000005</v>
      </c>
    </row>
    <row r="2336" spans="1:26" x14ac:dyDescent="0.25">
      <c r="C2336" t="s">
        <v>161</v>
      </c>
      <c r="D2336">
        <f t="shared" ref="D2336:D2350" si="176">D2335</f>
        <v>46097</v>
      </c>
      <c r="E2336" t="s">
        <v>162</v>
      </c>
      <c r="F2336" t="s">
        <v>971</v>
      </c>
      <c r="G2336" t="s">
        <v>1022</v>
      </c>
      <c r="I2336">
        <f>4000/9</f>
        <v>444.44444444444446</v>
      </c>
      <c r="J2336">
        <f>INDEX([1]Produtos!$L:$L,MATCH(IF(ISNUMBER(FIND(" - ",G2336)),LEFT(G2336,FIND(" - ",G2336)-1),G2336),[1]Produtos!$C:$C,0))</f>
        <v>843.58780095852239</v>
      </c>
      <c r="K2336" t="e">
        <f>INDEX([1]Produtos!$L:$L,MATCH(IF(ISNUMBER(FIND(" - ",H2336)),LEFT(H2336,FIND(" - ",H2336)-1),H2336),[1]Produtos!$C:$C,0))</f>
        <v>#N/A</v>
      </c>
      <c r="L2336" t="e">
        <f>INDEX([1]Produtos!$L:$L,MATCH(IF(ISNUMBER(FIND(" - ",F2336)),LEFT(F2336,FIND(" - ",F2336)-1),F2336),[1]Produtos!$C:$C,0))*INDEX([2]Pedidos!$Q:$Q,MATCH(F2336,[2]Pedidos!$E:$E,0))</f>
        <v>#N/A</v>
      </c>
      <c r="M2336" t="e">
        <f>INDEX([1]Produtos!$L:$L,MATCH(IF(ISNUMBER(FIND(" - ",G2336)),LEFT(G2336,FIND(" - ",G2336)-1),G2336),[1]Produtos!$C:$C,0))*INDEX([2]Pedidos!$Q:$Q,MATCH(G2336,[2]Pedidos!$E:$E,0))</f>
        <v>#N/A</v>
      </c>
      <c r="N2336" t="e">
        <f>INDEX([1]Produtos!$L:$L,MATCH(IF(ISNUMBER(FIND(" - ",H2336)),LEFT(H2336,FIND(" - ",H2336)-1),H2336),[1]Produtos!$C:$C,0))*INDEX([2]Pedidos!$Q:$Q,MATCH(H2336,[2]Pedidos!$E:$E,0))</f>
        <v>#N/A</v>
      </c>
      <c r="W2336" t="s">
        <v>1451</v>
      </c>
      <c r="X2336">
        <v>2000</v>
      </c>
      <c r="Y2336">
        <v>1957</v>
      </c>
      <c r="Z2336">
        <f t="shared" ref="Z2336:Z2346" si="177">Y2336/X2336</f>
        <v>0.97850000000000004</v>
      </c>
    </row>
    <row r="2337" spans="3:26" x14ac:dyDescent="0.25">
      <c r="C2337" t="s">
        <v>161</v>
      </c>
      <c r="D2337">
        <f t="shared" si="176"/>
        <v>46097</v>
      </c>
      <c r="E2337" t="s">
        <v>163</v>
      </c>
      <c r="F2337" t="s">
        <v>971</v>
      </c>
      <c r="G2337" t="s">
        <v>1022</v>
      </c>
      <c r="I2337">
        <f>4000/9</f>
        <v>444.44444444444446</v>
      </c>
      <c r="J2337">
        <f>INDEX([1]Produtos!$L:$L,MATCH(IF(ISNUMBER(FIND(" - ",G2337)),LEFT(G2337,FIND(" - ",G2337)-1),G2337),[1]Produtos!$C:$C,0))</f>
        <v>843.58780095852239</v>
      </c>
      <c r="K2337" t="e">
        <f>INDEX([1]Produtos!$L:$L,MATCH(IF(ISNUMBER(FIND(" - ",H2337)),LEFT(H2337,FIND(" - ",H2337)-1),H2337),[1]Produtos!$C:$C,0))</f>
        <v>#N/A</v>
      </c>
      <c r="L2337" t="e">
        <f>INDEX([1]Produtos!$L:$L,MATCH(IF(ISNUMBER(FIND(" - ",F2337)),LEFT(F2337,FIND(" - ",F2337)-1),F2337),[1]Produtos!$C:$C,0))*INDEX([2]Pedidos!$Q:$Q,MATCH(F2337,[2]Pedidos!$E:$E,0))</f>
        <v>#N/A</v>
      </c>
      <c r="M2337" t="e">
        <f>INDEX([1]Produtos!$L:$L,MATCH(IF(ISNUMBER(FIND(" - ",G2337)),LEFT(G2337,FIND(" - ",G2337)-1),G2337),[1]Produtos!$C:$C,0))*INDEX([2]Pedidos!$Q:$Q,MATCH(G2337,[2]Pedidos!$E:$E,0))</f>
        <v>#N/A</v>
      </c>
      <c r="N2337" t="e">
        <f>INDEX([1]Produtos!$L:$L,MATCH(IF(ISNUMBER(FIND(" - ",H2337)),LEFT(H2337,FIND(" - ",H2337)-1),H2337),[1]Produtos!$C:$C,0))*INDEX([2]Pedidos!$Q:$Q,MATCH(H2337,[2]Pedidos!$E:$E,0))</f>
        <v>#N/A</v>
      </c>
      <c r="W2337" t="s">
        <v>421</v>
      </c>
      <c r="X2337">
        <v>2954</v>
      </c>
      <c r="Y2337">
        <v>0</v>
      </c>
      <c r="Z2337">
        <f t="shared" si="177"/>
        <v>0</v>
      </c>
    </row>
    <row r="2338" spans="3:26" x14ac:dyDescent="0.25">
      <c r="C2338" t="s">
        <v>161</v>
      </c>
      <c r="D2338">
        <f t="shared" si="176"/>
        <v>46097</v>
      </c>
      <c r="E2338" t="s">
        <v>164</v>
      </c>
      <c r="F2338" t="s">
        <v>971</v>
      </c>
      <c r="G2338" t="s">
        <v>1022</v>
      </c>
      <c r="I2338">
        <f>4000/9</f>
        <v>444.44444444444446</v>
      </c>
      <c r="J2338">
        <f>INDEX([1]Produtos!$L:$L,MATCH(IF(ISNUMBER(FIND(" - ",G2338)),LEFT(G2338,FIND(" - ",G2338)-1),G2338),[1]Produtos!$C:$C,0))</f>
        <v>843.58780095852239</v>
      </c>
      <c r="K2338" t="e">
        <f>INDEX([1]Produtos!$L:$L,MATCH(IF(ISNUMBER(FIND(" - ",H2338)),LEFT(H2338,FIND(" - ",H2338)-1),H2338),[1]Produtos!$C:$C,0))</f>
        <v>#N/A</v>
      </c>
      <c r="L2338" t="e">
        <f>INDEX([1]Produtos!$L:$L,MATCH(IF(ISNUMBER(FIND(" - ",F2338)),LEFT(F2338,FIND(" - ",F2338)-1),F2338),[1]Produtos!$C:$C,0))*INDEX([2]Pedidos!$Q:$Q,MATCH(F2338,[2]Pedidos!$E:$E,0))</f>
        <v>#N/A</v>
      </c>
      <c r="M2338" t="e">
        <f>INDEX([1]Produtos!$L:$L,MATCH(IF(ISNUMBER(FIND(" - ",G2338)),LEFT(G2338,FIND(" - ",G2338)-1),G2338),[1]Produtos!$C:$C,0))*INDEX([2]Pedidos!$Q:$Q,MATCH(G2338,[2]Pedidos!$E:$E,0))</f>
        <v>#N/A</v>
      </c>
      <c r="N2338" t="e">
        <f>INDEX([1]Produtos!$L:$L,MATCH(IF(ISNUMBER(FIND(" - ",H2338)),LEFT(H2338,FIND(" - ",H2338)-1),H2338),[1]Produtos!$C:$C,0))*INDEX([2]Pedidos!$Q:$Q,MATCH(H2338,[2]Pedidos!$E:$E,0))</f>
        <v>#N/A</v>
      </c>
      <c r="W2338" t="s">
        <v>1454</v>
      </c>
      <c r="X2338">
        <v>2000</v>
      </c>
      <c r="Y2338">
        <v>1872</v>
      </c>
      <c r="Z2338">
        <f t="shared" si="177"/>
        <v>0.93600000000000005</v>
      </c>
    </row>
    <row r="2339" spans="3:26" x14ac:dyDescent="0.25">
      <c r="C2339" t="s">
        <v>161</v>
      </c>
      <c r="D2339">
        <f t="shared" si="176"/>
        <v>46097</v>
      </c>
      <c r="E2339" t="s">
        <v>165</v>
      </c>
      <c r="F2339" t="s">
        <v>1450</v>
      </c>
      <c r="G2339" t="s">
        <v>1022</v>
      </c>
      <c r="I2339">
        <f>4000/9</f>
        <v>444.44444444444446</v>
      </c>
      <c r="J2339">
        <f>INDEX([1]Produtos!$L:$L,MATCH(IF(ISNUMBER(FIND(" - ",G2339)),LEFT(G2339,FIND(" - ",G2339)-1),G2339),[1]Produtos!$C:$C,0))</f>
        <v>843.58780095852239</v>
      </c>
      <c r="K2339" t="e">
        <f>INDEX([1]Produtos!$L:$L,MATCH(IF(ISNUMBER(FIND(" - ",H2339)),LEFT(H2339,FIND(" - ",H2339)-1),H2339),[1]Produtos!$C:$C,0))</f>
        <v>#N/A</v>
      </c>
      <c r="L2339" t="e">
        <f>INDEX([1]Produtos!$L:$L,MATCH(IF(ISNUMBER(FIND(" - ",F2339)),LEFT(F2339,FIND(" - ",F2339)-1),F2339),[1]Produtos!$C:$C,0))*INDEX([2]Pedidos!$Q:$Q,MATCH(F2339,[2]Pedidos!$E:$E,0))</f>
        <v>#N/A</v>
      </c>
      <c r="M2339" t="e">
        <f>INDEX([1]Produtos!$L:$L,MATCH(IF(ISNUMBER(FIND(" - ",G2339)),LEFT(G2339,FIND(" - ",G2339)-1),G2339),[1]Produtos!$C:$C,0))*INDEX([2]Pedidos!$Q:$Q,MATCH(G2339,[2]Pedidos!$E:$E,0))</f>
        <v>#N/A</v>
      </c>
      <c r="N2339" t="e">
        <f>INDEX([1]Produtos!$L:$L,MATCH(IF(ISNUMBER(FIND(" - ",H2339)),LEFT(H2339,FIND(" - ",H2339)-1),H2339),[1]Produtos!$C:$C,0))*INDEX([2]Pedidos!$Q:$Q,MATCH(H2339,[2]Pedidos!$E:$E,0))</f>
        <v>#N/A</v>
      </c>
      <c r="W2339" t="s">
        <v>1455</v>
      </c>
      <c r="X2339">
        <v>2000</v>
      </c>
      <c r="Y2339">
        <v>1970</v>
      </c>
      <c r="Z2339">
        <f t="shared" si="177"/>
        <v>0.98499999999999999</v>
      </c>
    </row>
    <row r="2340" spans="3:26" x14ac:dyDescent="0.25">
      <c r="C2340" t="s">
        <v>161</v>
      </c>
      <c r="D2340">
        <f t="shared" si="176"/>
        <v>46097</v>
      </c>
      <c r="E2340" t="s">
        <v>166</v>
      </c>
      <c r="F2340" t="s">
        <v>1450</v>
      </c>
      <c r="G2340" t="s">
        <v>1022</v>
      </c>
      <c r="I2340">
        <f>4000/9</f>
        <v>444.44444444444446</v>
      </c>
      <c r="J2340">
        <f>INDEX([1]Produtos!$L:$L,MATCH(IF(ISNUMBER(FIND(" - ",G2340)),LEFT(G2340,FIND(" - ",G2340)-1),G2340),[1]Produtos!$C:$C,0))</f>
        <v>843.58780095852239</v>
      </c>
      <c r="K2340" t="e">
        <f>INDEX([1]Produtos!$L:$L,MATCH(IF(ISNUMBER(FIND(" - ",H2340)),LEFT(H2340,FIND(" - ",H2340)-1),H2340),[1]Produtos!$C:$C,0))</f>
        <v>#N/A</v>
      </c>
      <c r="L2340" t="e">
        <f>INDEX([1]Produtos!$L:$L,MATCH(IF(ISNUMBER(FIND(" - ",F2340)),LEFT(F2340,FIND(" - ",F2340)-1),F2340),[1]Produtos!$C:$C,0))*INDEX([2]Pedidos!$Q:$Q,MATCH(F2340,[2]Pedidos!$E:$E,0))</f>
        <v>#N/A</v>
      </c>
      <c r="M2340" t="e">
        <f>INDEX([1]Produtos!$L:$L,MATCH(IF(ISNUMBER(FIND(" - ",G2340)),LEFT(G2340,FIND(" - ",G2340)-1),G2340),[1]Produtos!$C:$C,0))*INDEX([2]Pedidos!$Q:$Q,MATCH(G2340,[2]Pedidos!$E:$E,0))</f>
        <v>#N/A</v>
      </c>
      <c r="N2340" t="e">
        <f>INDEX([1]Produtos!$L:$L,MATCH(IF(ISNUMBER(FIND(" - ",H2340)),LEFT(H2340,FIND(" - ",H2340)-1),H2340),[1]Produtos!$C:$C,0))*INDEX([2]Pedidos!$Q:$Q,MATCH(H2340,[2]Pedidos!$E:$E,0))</f>
        <v>#N/A</v>
      </c>
      <c r="W2340" t="s">
        <v>1453</v>
      </c>
      <c r="X2340">
        <v>2000</v>
      </c>
      <c r="Y2340">
        <v>1951</v>
      </c>
      <c r="Z2340">
        <f t="shared" si="177"/>
        <v>0.97550000000000003</v>
      </c>
    </row>
    <row r="2341" spans="3:26" x14ac:dyDescent="0.25">
      <c r="C2341" t="s">
        <v>161</v>
      </c>
      <c r="D2341">
        <f t="shared" si="176"/>
        <v>46097</v>
      </c>
      <c r="E2341" t="s">
        <v>576</v>
      </c>
      <c r="W2341" t="s">
        <v>1456</v>
      </c>
      <c r="X2341">
        <v>2000</v>
      </c>
      <c r="Y2341">
        <v>1965</v>
      </c>
      <c r="Z2341">
        <f t="shared" si="177"/>
        <v>0.98250000000000004</v>
      </c>
    </row>
    <row r="2342" spans="3:26" x14ac:dyDescent="0.25">
      <c r="C2342" t="s">
        <v>161</v>
      </c>
      <c r="D2342">
        <f t="shared" si="176"/>
        <v>46097</v>
      </c>
      <c r="E2342" t="s">
        <v>167</v>
      </c>
      <c r="F2342" t="s">
        <v>1450</v>
      </c>
      <c r="G2342" t="s">
        <v>1022</v>
      </c>
      <c r="I2342">
        <f>4000/9</f>
        <v>444.44444444444446</v>
      </c>
      <c r="J2342">
        <f>INDEX([1]Produtos!$L:$L,MATCH(IF(ISNUMBER(FIND(" - ",G2342)),LEFT(G2342,FIND(" - ",G2342)-1),G2342),[1]Produtos!$C:$C,0))</f>
        <v>843.58780095852239</v>
      </c>
      <c r="K2342" t="e">
        <f>INDEX([1]Produtos!$L:$L,MATCH(IF(ISNUMBER(FIND(" - ",H2342)),LEFT(H2342,FIND(" - ",H2342)-1),H2342),[1]Produtos!$C:$C,0))</f>
        <v>#N/A</v>
      </c>
      <c r="L2342" t="e">
        <f>INDEX([1]Produtos!$L:$L,MATCH(IF(ISNUMBER(FIND(" - ",F2342)),LEFT(F2342,FIND(" - ",F2342)-1),F2342),[1]Produtos!$C:$C,0))*INDEX([2]Pedidos!$Q:$Q,MATCH(F2342,[2]Pedidos!$E:$E,0))</f>
        <v>#N/A</v>
      </c>
      <c r="M2342" t="e">
        <f>INDEX([1]Produtos!$L:$L,MATCH(IF(ISNUMBER(FIND(" - ",G2342)),LEFT(G2342,FIND(" - ",G2342)-1),G2342),[1]Produtos!$C:$C,0))*INDEX([2]Pedidos!$Q:$Q,MATCH(G2342,[2]Pedidos!$E:$E,0))</f>
        <v>#N/A</v>
      </c>
      <c r="N2342" t="e">
        <f>INDEX([1]Produtos!$L:$L,MATCH(IF(ISNUMBER(FIND(" - ",H2342)),LEFT(H2342,FIND(" - ",H2342)-1),H2342),[1]Produtos!$C:$C,0))*INDEX([2]Pedidos!$Q:$Q,MATCH(H2342,[2]Pedidos!$E:$E,0))</f>
        <v>#N/A</v>
      </c>
      <c r="W2342" t="s">
        <v>1457</v>
      </c>
      <c r="X2342">
        <v>2000</v>
      </c>
      <c r="Y2342">
        <v>1980</v>
      </c>
      <c r="Z2342">
        <f t="shared" si="177"/>
        <v>0.99</v>
      </c>
    </row>
    <row r="2343" spans="3:26" x14ac:dyDescent="0.25">
      <c r="C2343" t="s">
        <v>161</v>
      </c>
      <c r="D2343">
        <f t="shared" si="176"/>
        <v>46097</v>
      </c>
      <c r="E2343" t="s">
        <v>168</v>
      </c>
      <c r="F2343" t="s">
        <v>1450</v>
      </c>
      <c r="G2343" t="s">
        <v>1022</v>
      </c>
      <c r="I2343">
        <f>4000/9</f>
        <v>444.44444444444446</v>
      </c>
      <c r="J2343">
        <f>INDEX([1]Produtos!$L:$L,MATCH(IF(ISNUMBER(FIND(" - ",G2343)),LEFT(G2343,FIND(" - ",G2343)-1),G2343),[1]Produtos!$C:$C,0))</f>
        <v>843.58780095852239</v>
      </c>
      <c r="K2343" t="e">
        <f>INDEX([1]Produtos!$L:$L,MATCH(IF(ISNUMBER(FIND(" - ",H2343)),LEFT(H2343,FIND(" - ",H2343)-1),H2343),[1]Produtos!$C:$C,0))</f>
        <v>#N/A</v>
      </c>
      <c r="L2343" t="e">
        <f>INDEX([1]Produtos!$L:$L,MATCH(IF(ISNUMBER(FIND(" - ",F2343)),LEFT(F2343,FIND(" - ",F2343)-1),F2343),[1]Produtos!$C:$C,0))*INDEX([2]Pedidos!$Q:$Q,MATCH(F2343,[2]Pedidos!$E:$E,0))</f>
        <v>#N/A</v>
      </c>
      <c r="M2343" t="e">
        <f>INDEX([1]Produtos!$L:$L,MATCH(IF(ISNUMBER(FIND(" - ",G2343)),LEFT(G2343,FIND(" - ",G2343)-1),G2343),[1]Produtos!$C:$C,0))*INDEX([2]Pedidos!$Q:$Q,MATCH(G2343,[2]Pedidos!$E:$E,0))</f>
        <v>#N/A</v>
      </c>
      <c r="N2343" t="e">
        <f>INDEX([1]Produtos!$L:$L,MATCH(IF(ISNUMBER(FIND(" - ",H2343)),LEFT(H2343,FIND(" - ",H2343)-1),H2343),[1]Produtos!$C:$C,0))*INDEX([2]Pedidos!$Q:$Q,MATCH(H2343,[2]Pedidos!$E:$E,0))</f>
        <v>#N/A</v>
      </c>
      <c r="W2343" t="s">
        <v>1452</v>
      </c>
      <c r="X2343">
        <v>2000</v>
      </c>
      <c r="Y2343">
        <v>1869</v>
      </c>
      <c r="Z2343">
        <f t="shared" si="177"/>
        <v>0.9345</v>
      </c>
    </row>
    <row r="2344" spans="3:26" x14ac:dyDescent="0.25">
      <c r="C2344" t="s">
        <v>161</v>
      </c>
      <c r="D2344">
        <f t="shared" si="176"/>
        <v>46097</v>
      </c>
      <c r="E2344" t="s">
        <v>169</v>
      </c>
      <c r="F2344" t="s">
        <v>1450</v>
      </c>
      <c r="G2344" t="s">
        <v>1022</v>
      </c>
      <c r="I2344">
        <f>4000/9</f>
        <v>444.44444444444446</v>
      </c>
      <c r="J2344">
        <f>INDEX([1]Produtos!$L:$L,MATCH(IF(ISNUMBER(FIND(" - ",G2344)),LEFT(G2344,FIND(" - ",G2344)-1),G2344),[1]Produtos!$C:$C,0))</f>
        <v>843.58780095852239</v>
      </c>
      <c r="K2344" t="e">
        <f>INDEX([1]Produtos!$L:$L,MATCH(IF(ISNUMBER(FIND(" - ",H2344)),LEFT(H2344,FIND(" - ",H2344)-1),H2344),[1]Produtos!$C:$C,0))</f>
        <v>#N/A</v>
      </c>
      <c r="L2344" t="e">
        <f>INDEX([1]Produtos!$L:$L,MATCH(IF(ISNUMBER(FIND(" - ",F2344)),LEFT(F2344,FIND(" - ",F2344)-1),F2344),[1]Produtos!$C:$C,0))*INDEX([2]Pedidos!$Q:$Q,MATCH(F2344,[2]Pedidos!$E:$E,0))</f>
        <v>#N/A</v>
      </c>
      <c r="M2344" t="e">
        <f>INDEX([1]Produtos!$L:$L,MATCH(IF(ISNUMBER(FIND(" - ",G2344)),LEFT(G2344,FIND(" - ",G2344)-1),G2344),[1]Produtos!$C:$C,0))*INDEX([2]Pedidos!$Q:$Q,MATCH(G2344,[2]Pedidos!$E:$E,0))</f>
        <v>#N/A</v>
      </c>
      <c r="N2344" t="e">
        <f>INDEX([1]Produtos!$L:$L,MATCH(IF(ISNUMBER(FIND(" - ",H2344)),LEFT(H2344,FIND(" - ",H2344)-1),H2344),[1]Produtos!$C:$C,0))*INDEX([2]Pedidos!$Q:$Q,MATCH(H2344,[2]Pedidos!$E:$E,0))</f>
        <v>#N/A</v>
      </c>
      <c r="W2344" t="s">
        <v>1502</v>
      </c>
      <c r="X2344">
        <v>2787</v>
      </c>
      <c r="Y2344">
        <v>0</v>
      </c>
      <c r="Z2344">
        <f t="shared" si="177"/>
        <v>0</v>
      </c>
    </row>
    <row r="2345" spans="3:26" x14ac:dyDescent="0.25">
      <c r="C2345" t="s">
        <v>161</v>
      </c>
      <c r="D2345">
        <f t="shared" si="176"/>
        <v>46097</v>
      </c>
      <c r="E2345" t="s">
        <v>170</v>
      </c>
      <c r="F2345" t="s">
        <v>1450</v>
      </c>
      <c r="G2345" t="s">
        <v>1022</v>
      </c>
      <c r="I2345">
        <f>4000/9</f>
        <v>444.44444444444446</v>
      </c>
      <c r="J2345">
        <f>INDEX([1]Produtos!$L:$L,MATCH(IF(ISNUMBER(FIND(" - ",G2345)),LEFT(G2345,FIND(" - ",G2345)-1),G2345),[1]Produtos!$C:$C,0))</f>
        <v>843.58780095852239</v>
      </c>
      <c r="K2345" t="e">
        <f>INDEX([1]Produtos!$L:$L,MATCH(IF(ISNUMBER(FIND(" - ",H2345)),LEFT(H2345,FIND(" - ",H2345)-1),H2345),[1]Produtos!$C:$C,0))</f>
        <v>#N/A</v>
      </c>
      <c r="L2345" t="e">
        <f>INDEX([1]Produtos!$L:$L,MATCH(IF(ISNUMBER(FIND(" - ",F2345)),LEFT(F2345,FIND(" - ",F2345)-1),F2345),[1]Produtos!$C:$C,0))*INDEX([2]Pedidos!$Q:$Q,MATCH(F2345,[2]Pedidos!$E:$E,0))</f>
        <v>#N/A</v>
      </c>
      <c r="M2345" t="e">
        <f>INDEX([1]Produtos!$L:$L,MATCH(IF(ISNUMBER(FIND(" - ",G2345)),LEFT(G2345,FIND(" - ",G2345)-1),G2345),[1]Produtos!$C:$C,0))*INDEX([2]Pedidos!$Q:$Q,MATCH(G2345,[2]Pedidos!$E:$E,0))</f>
        <v>#N/A</v>
      </c>
      <c r="N2345" t="e">
        <f>INDEX([1]Produtos!$L:$L,MATCH(IF(ISNUMBER(FIND(" - ",H2345)),LEFT(H2345,FIND(" - ",H2345)-1),H2345),[1]Produtos!$C:$C,0))*INDEX([2]Pedidos!$Q:$Q,MATCH(H2345,[2]Pedidos!$E:$E,0))</f>
        <v>#N/A</v>
      </c>
      <c r="W2345" t="s">
        <v>1022</v>
      </c>
      <c r="X2345">
        <v>13294</v>
      </c>
      <c r="Y2345">
        <v>7747</v>
      </c>
      <c r="Z2345">
        <f t="shared" si="177"/>
        <v>0.58274409508048741</v>
      </c>
    </row>
    <row r="2346" spans="3:26" x14ac:dyDescent="0.25">
      <c r="C2346" t="s">
        <v>161</v>
      </c>
      <c r="D2346">
        <f t="shared" si="176"/>
        <v>46097</v>
      </c>
      <c r="E2346" t="s">
        <v>585</v>
      </c>
      <c r="W2346" t="s">
        <v>1024</v>
      </c>
      <c r="X2346">
        <v>18463</v>
      </c>
      <c r="Y2346">
        <v>8865</v>
      </c>
      <c r="Z2346">
        <f t="shared" si="177"/>
        <v>0.48014948816552022</v>
      </c>
    </row>
    <row r="2347" spans="3:26" x14ac:dyDescent="0.25">
      <c r="C2347" t="s">
        <v>161</v>
      </c>
      <c r="D2347">
        <f t="shared" si="176"/>
        <v>46097</v>
      </c>
      <c r="E2347" t="s">
        <v>574</v>
      </c>
      <c r="W2347" t="s">
        <v>1532</v>
      </c>
      <c r="X2347">
        <v>53498</v>
      </c>
      <c r="Y2347">
        <v>31911</v>
      </c>
      <c r="Z2347">
        <f>Y2347/X2347</f>
        <v>0.59648958839582789</v>
      </c>
    </row>
    <row r="2348" spans="3:26" x14ac:dyDescent="0.25">
      <c r="C2348" t="s">
        <v>161</v>
      </c>
      <c r="D2348">
        <f t="shared" si="176"/>
        <v>46097</v>
      </c>
      <c r="E2348" t="s">
        <v>575</v>
      </c>
    </row>
    <row r="2349" spans="3:26" x14ac:dyDescent="0.25">
      <c r="C2349" t="s">
        <v>161</v>
      </c>
      <c r="D2349">
        <f t="shared" si="176"/>
        <v>46097</v>
      </c>
      <c r="E2349" t="s">
        <v>583</v>
      </c>
    </row>
    <row r="2350" spans="3:26" x14ac:dyDescent="0.25">
      <c r="C2350" t="s">
        <v>161</v>
      </c>
      <c r="D2350">
        <f t="shared" si="176"/>
        <v>46097</v>
      </c>
      <c r="E2350" t="s">
        <v>584</v>
      </c>
    </row>
    <row r="2352" spans="3:26" x14ac:dyDescent="0.25">
      <c r="I2352">
        <f t="shared" ref="I2352:N2352" si="178">IFERROR(SUM(I2353:I2368),0)</f>
        <v>4675.8176636288208</v>
      </c>
      <c r="J2352">
        <f t="shared" si="178"/>
        <v>7592.2902086267004</v>
      </c>
      <c r="K2352">
        <f t="shared" si="178"/>
        <v>0</v>
      </c>
      <c r="L2352">
        <f t="shared" si="178"/>
        <v>0</v>
      </c>
      <c r="M2352">
        <f t="shared" si="178"/>
        <v>0</v>
      </c>
      <c r="N2352">
        <f t="shared" si="178"/>
        <v>0</v>
      </c>
      <c r="O2352">
        <f>SUM(I2352:K2352)</f>
        <v>12268.107872255521</v>
      </c>
      <c r="P2352">
        <f>SUM(L2352:N2352)</f>
        <v>0</v>
      </c>
    </row>
    <row r="2353" spans="3:14" x14ac:dyDescent="0.25">
      <c r="C2353" t="s">
        <v>171</v>
      </c>
      <c r="D2353">
        <f>D2350+1</f>
        <v>46098</v>
      </c>
      <c r="E2353" t="s">
        <v>573</v>
      </c>
    </row>
    <row r="2354" spans="3:14" x14ac:dyDescent="0.25">
      <c r="C2354" t="s">
        <v>171</v>
      </c>
      <c r="D2354">
        <f t="shared" ref="D2354:D2368" si="179">D2353</f>
        <v>46098</v>
      </c>
      <c r="E2354" t="s">
        <v>162</v>
      </c>
      <c r="F2354" t="s">
        <v>1451</v>
      </c>
      <c r="G2354" t="s">
        <v>1022</v>
      </c>
      <c r="I2354">
        <f>INDEX([1]Produtos!$L:$L,MATCH(IF(ISNUMBER(FIND(" - ",F2354)),LEFT(F2354,FIND(" - ",F2354)-1),F2354),[1]Produtos!$C:$C,0))</f>
        <v>613.39886035164977</v>
      </c>
      <c r="J2354">
        <f>INDEX([1]Produtos!$L:$L,MATCH(IF(ISNUMBER(FIND(" - ",G2354)),LEFT(G2354,FIND(" - ",G2354)-1),G2354),[1]Produtos!$C:$C,0))</f>
        <v>843.58780095852239</v>
      </c>
      <c r="K2354" t="e">
        <f>INDEX([1]Produtos!$L:$L,MATCH(IF(ISNUMBER(FIND(" - ",H2354)),LEFT(H2354,FIND(" - ",H2354)-1),H2354),[1]Produtos!$C:$C,0))</f>
        <v>#N/A</v>
      </c>
      <c r="L2354" t="e">
        <f>INDEX([1]Produtos!$L:$L,MATCH(IF(ISNUMBER(FIND(" - ",F2354)),LEFT(F2354,FIND(" - ",F2354)-1),F2354),[1]Produtos!$C:$C,0))*INDEX([2]Pedidos!$Q:$Q,MATCH(F2354,[2]Pedidos!$E:$E,0))</f>
        <v>#N/A</v>
      </c>
      <c r="M2354" t="e">
        <f>INDEX([1]Produtos!$L:$L,MATCH(IF(ISNUMBER(FIND(" - ",G2354)),LEFT(G2354,FIND(" - ",G2354)-1),G2354),[1]Produtos!$C:$C,0))*INDEX([2]Pedidos!$Q:$Q,MATCH(G2354,[2]Pedidos!$E:$E,0))</f>
        <v>#N/A</v>
      </c>
      <c r="N2354" t="e">
        <f>INDEX([1]Produtos!$L:$L,MATCH(IF(ISNUMBER(FIND(" - ",H2354)),LEFT(H2354,FIND(" - ",H2354)-1),H2354),[1]Produtos!$C:$C,0))*INDEX([2]Pedidos!$Q:$Q,MATCH(H2354,[2]Pedidos!$E:$E,0))</f>
        <v>#N/A</v>
      </c>
    </row>
    <row r="2355" spans="3:14" x14ac:dyDescent="0.25">
      <c r="C2355" t="s">
        <v>171</v>
      </c>
      <c r="D2355">
        <f t="shared" si="179"/>
        <v>46098</v>
      </c>
      <c r="E2355" t="s">
        <v>163</v>
      </c>
      <c r="F2355" t="s">
        <v>1451</v>
      </c>
      <c r="G2355" t="s">
        <v>1022</v>
      </c>
      <c r="I2355">
        <f>INDEX([1]Produtos!$L:$L,MATCH(IF(ISNUMBER(FIND(" - ",F2355)),LEFT(F2355,FIND(" - ",F2355)-1),F2355),[1]Produtos!$C:$C,0))</f>
        <v>613.39886035164977</v>
      </c>
      <c r="J2355">
        <f>INDEX([1]Produtos!$L:$L,MATCH(IF(ISNUMBER(FIND(" - ",G2355)),LEFT(G2355,FIND(" - ",G2355)-1),G2355),[1]Produtos!$C:$C,0))</f>
        <v>843.58780095852239</v>
      </c>
      <c r="K2355" t="e">
        <f>INDEX([1]Produtos!$L:$L,MATCH(IF(ISNUMBER(FIND(" - ",H2355)),LEFT(H2355,FIND(" - ",H2355)-1),H2355),[1]Produtos!$C:$C,0))</f>
        <v>#N/A</v>
      </c>
      <c r="L2355" t="e">
        <f>INDEX([1]Produtos!$L:$L,MATCH(IF(ISNUMBER(FIND(" - ",F2355)),LEFT(F2355,FIND(" - ",F2355)-1),F2355),[1]Produtos!$C:$C,0))*INDEX([2]Pedidos!$Q:$Q,MATCH(F2355,[2]Pedidos!$E:$E,0))</f>
        <v>#N/A</v>
      </c>
      <c r="M2355" t="e">
        <f>INDEX([1]Produtos!$L:$L,MATCH(IF(ISNUMBER(FIND(" - ",G2355)),LEFT(G2355,FIND(" - ",G2355)-1),G2355),[1]Produtos!$C:$C,0))*INDEX([2]Pedidos!$Q:$Q,MATCH(G2355,[2]Pedidos!$E:$E,0))</f>
        <v>#N/A</v>
      </c>
      <c r="N2355" t="e">
        <f>INDEX([1]Produtos!$L:$L,MATCH(IF(ISNUMBER(FIND(" - ",H2355)),LEFT(H2355,FIND(" - ",H2355)-1),H2355),[1]Produtos!$C:$C,0))*INDEX([2]Pedidos!$Q:$Q,MATCH(H2355,[2]Pedidos!$E:$E,0))</f>
        <v>#N/A</v>
      </c>
    </row>
    <row r="2356" spans="3:14" x14ac:dyDescent="0.25">
      <c r="C2356" t="s">
        <v>171</v>
      </c>
      <c r="D2356">
        <f t="shared" si="179"/>
        <v>46098</v>
      </c>
      <c r="E2356" t="s">
        <v>164</v>
      </c>
      <c r="F2356" t="s">
        <v>1451</v>
      </c>
      <c r="G2356" t="s">
        <v>1022</v>
      </c>
      <c r="I2356">
        <f>INDEX([1]Produtos!$L:$L,MATCH(IF(ISNUMBER(FIND(" - ",F2356)),LEFT(F2356,FIND(" - ",F2356)-1),F2356),[1]Produtos!$C:$C,0))</f>
        <v>613.39886035164977</v>
      </c>
      <c r="J2356">
        <f>INDEX([1]Produtos!$L:$L,MATCH(IF(ISNUMBER(FIND(" - ",G2356)),LEFT(G2356,FIND(" - ",G2356)-1),G2356),[1]Produtos!$C:$C,0))</f>
        <v>843.58780095852239</v>
      </c>
      <c r="K2356" t="e">
        <f>INDEX([1]Produtos!$L:$L,MATCH(IF(ISNUMBER(FIND(" - ",H2356)),LEFT(H2356,FIND(" - ",H2356)-1),H2356),[1]Produtos!$C:$C,0))</f>
        <v>#N/A</v>
      </c>
      <c r="L2356" t="e">
        <f>INDEX([1]Produtos!$L:$L,MATCH(IF(ISNUMBER(FIND(" - ",F2356)),LEFT(F2356,FIND(" - ",F2356)-1),F2356),[1]Produtos!$C:$C,0))*INDEX([2]Pedidos!$Q:$Q,MATCH(F2356,[2]Pedidos!$E:$E,0))</f>
        <v>#N/A</v>
      </c>
      <c r="M2356" t="e">
        <f>INDEX([1]Produtos!$L:$L,MATCH(IF(ISNUMBER(FIND(" - ",G2356)),LEFT(G2356,FIND(" - ",G2356)-1),G2356),[1]Produtos!$C:$C,0))*INDEX([2]Pedidos!$Q:$Q,MATCH(G2356,[2]Pedidos!$E:$E,0))</f>
        <v>#N/A</v>
      </c>
      <c r="N2356" t="e">
        <f>INDEX([1]Produtos!$L:$L,MATCH(IF(ISNUMBER(FIND(" - ",H2356)),LEFT(H2356,FIND(" - ",H2356)-1),H2356),[1]Produtos!$C:$C,0))*INDEX([2]Pedidos!$Q:$Q,MATCH(H2356,[2]Pedidos!$E:$E,0))</f>
        <v>#N/A</v>
      </c>
    </row>
    <row r="2357" spans="3:14" x14ac:dyDescent="0.25">
      <c r="C2357" t="s">
        <v>171</v>
      </c>
      <c r="D2357">
        <f t="shared" si="179"/>
        <v>46098</v>
      </c>
      <c r="E2357" t="s">
        <v>165</v>
      </c>
      <c r="F2357" t="s">
        <v>1451</v>
      </c>
      <c r="G2357" t="s">
        <v>1022</v>
      </c>
      <c r="I2357">
        <f>INDEX([1]Produtos!$L:$L,MATCH(IF(ISNUMBER(FIND(" - ",F2357)),LEFT(F2357,FIND(" - ",F2357)-1),F2357),[1]Produtos!$C:$C,0))</f>
        <v>613.39886035164977</v>
      </c>
      <c r="J2357">
        <f>INDEX([1]Produtos!$L:$L,MATCH(IF(ISNUMBER(FIND(" - ",G2357)),LEFT(G2357,FIND(" - ",G2357)-1),G2357),[1]Produtos!$C:$C,0))</f>
        <v>843.58780095852239</v>
      </c>
      <c r="K2357" t="e">
        <f>INDEX([1]Produtos!$L:$L,MATCH(IF(ISNUMBER(FIND(" - ",H2357)),LEFT(H2357,FIND(" - ",H2357)-1),H2357),[1]Produtos!$C:$C,0))</f>
        <v>#N/A</v>
      </c>
      <c r="L2357" t="e">
        <f>INDEX([1]Produtos!$L:$L,MATCH(IF(ISNUMBER(FIND(" - ",F2357)),LEFT(F2357,FIND(" - ",F2357)-1),F2357),[1]Produtos!$C:$C,0))*INDEX([2]Pedidos!$Q:$Q,MATCH(F2357,[2]Pedidos!$E:$E,0))</f>
        <v>#N/A</v>
      </c>
      <c r="M2357" t="e">
        <f>INDEX([1]Produtos!$L:$L,MATCH(IF(ISNUMBER(FIND(" - ",G2357)),LEFT(G2357,FIND(" - ",G2357)-1),G2357),[1]Produtos!$C:$C,0))*INDEX([2]Pedidos!$Q:$Q,MATCH(G2357,[2]Pedidos!$E:$E,0))</f>
        <v>#N/A</v>
      </c>
      <c r="N2357" t="e">
        <f>INDEX([1]Produtos!$L:$L,MATCH(IF(ISNUMBER(FIND(" - ",H2357)),LEFT(H2357,FIND(" - ",H2357)-1),H2357),[1]Produtos!$C:$C,0))*INDEX([2]Pedidos!$Q:$Q,MATCH(H2357,[2]Pedidos!$E:$E,0))</f>
        <v>#N/A</v>
      </c>
    </row>
    <row r="2358" spans="3:14" x14ac:dyDescent="0.25">
      <c r="C2358" t="s">
        <v>171</v>
      </c>
      <c r="D2358">
        <f t="shared" si="179"/>
        <v>46098</v>
      </c>
      <c r="E2358" t="s">
        <v>166</v>
      </c>
      <c r="F2358" t="s">
        <v>1451</v>
      </c>
      <c r="G2358" t="s">
        <v>1022</v>
      </c>
      <c r="I2358">
        <f>4000/9</f>
        <v>444.44444444444446</v>
      </c>
      <c r="J2358">
        <f>INDEX([1]Produtos!$L:$L,MATCH(IF(ISNUMBER(FIND(" - ",G2358)),LEFT(G2358,FIND(" - ",G2358)-1),G2358),[1]Produtos!$C:$C,0))</f>
        <v>843.58780095852239</v>
      </c>
      <c r="K2358" t="e">
        <f>INDEX([1]Produtos!$L:$L,MATCH(IF(ISNUMBER(FIND(" - ",H2358)),LEFT(H2358,FIND(" - ",H2358)-1),H2358),[1]Produtos!$C:$C,0))</f>
        <v>#N/A</v>
      </c>
      <c r="L2358" t="e">
        <f>INDEX([1]Produtos!$L:$L,MATCH(IF(ISNUMBER(FIND(" - ",F2358)),LEFT(F2358,FIND(" - ",F2358)-1),F2358),[1]Produtos!$C:$C,0))*INDEX([2]Pedidos!$Q:$Q,MATCH(F2358,[2]Pedidos!$E:$E,0))</f>
        <v>#N/A</v>
      </c>
      <c r="M2358" t="e">
        <f>INDEX([1]Produtos!$L:$L,MATCH(IF(ISNUMBER(FIND(" - ",G2358)),LEFT(G2358,FIND(" - ",G2358)-1),G2358),[1]Produtos!$C:$C,0))*INDEX([2]Pedidos!$Q:$Q,MATCH(G2358,[2]Pedidos!$E:$E,0))</f>
        <v>#N/A</v>
      </c>
      <c r="N2358" t="e">
        <f>INDEX([1]Produtos!$L:$L,MATCH(IF(ISNUMBER(FIND(" - ",H2358)),LEFT(H2358,FIND(" - ",H2358)-1),H2358),[1]Produtos!$C:$C,0))*INDEX([2]Pedidos!$Q:$Q,MATCH(H2358,[2]Pedidos!$E:$E,0))</f>
        <v>#N/A</v>
      </c>
    </row>
    <row r="2359" spans="3:14" x14ac:dyDescent="0.25">
      <c r="C2359" t="s">
        <v>171</v>
      </c>
      <c r="D2359">
        <f t="shared" si="179"/>
        <v>46098</v>
      </c>
      <c r="E2359" t="s">
        <v>576</v>
      </c>
    </row>
    <row r="2360" spans="3:14" x14ac:dyDescent="0.25">
      <c r="C2360" t="s">
        <v>171</v>
      </c>
      <c r="D2360">
        <f t="shared" si="179"/>
        <v>46098</v>
      </c>
      <c r="E2360" t="s">
        <v>167</v>
      </c>
      <c r="F2360" t="s">
        <v>1456</v>
      </c>
      <c r="G2360" t="s">
        <v>1022</v>
      </c>
      <c r="I2360">
        <f>4000/9</f>
        <v>444.44444444444446</v>
      </c>
      <c r="J2360">
        <f>INDEX([1]Produtos!$L:$L,MATCH(IF(ISNUMBER(FIND(" - ",G2360)),LEFT(G2360,FIND(" - ",G2360)-1),G2360),[1]Produtos!$C:$C,0))</f>
        <v>843.58780095852239</v>
      </c>
      <c r="K2360" t="e">
        <f>INDEX([1]Produtos!$L:$L,MATCH(IF(ISNUMBER(FIND(" - ",H2360)),LEFT(H2360,FIND(" - ",H2360)-1),H2360),[1]Produtos!$C:$C,0))</f>
        <v>#N/A</v>
      </c>
      <c r="L2360" t="e">
        <f>INDEX([1]Produtos!$L:$L,MATCH(IF(ISNUMBER(FIND(" - ",F2360)),LEFT(F2360,FIND(" - ",F2360)-1),F2360),[1]Produtos!$C:$C,0))*INDEX([2]Pedidos!$Q:$Q,MATCH(F2360,[2]Pedidos!$E:$E,0))</f>
        <v>#N/A</v>
      </c>
      <c r="M2360" t="e">
        <f>INDEX([1]Produtos!$L:$L,MATCH(IF(ISNUMBER(FIND(" - ",G2360)),LEFT(G2360,FIND(" - ",G2360)-1),G2360),[1]Produtos!$C:$C,0))*INDEX([2]Pedidos!$Q:$Q,MATCH(G2360,[2]Pedidos!$E:$E,0))</f>
        <v>#N/A</v>
      </c>
      <c r="N2360" t="e">
        <f>INDEX([1]Produtos!$L:$L,MATCH(IF(ISNUMBER(FIND(" - ",H2360)),LEFT(H2360,FIND(" - ",H2360)-1),H2360),[1]Produtos!$C:$C,0))*INDEX([2]Pedidos!$Q:$Q,MATCH(H2360,[2]Pedidos!$E:$E,0))</f>
        <v>#N/A</v>
      </c>
    </row>
    <row r="2361" spans="3:14" x14ac:dyDescent="0.25">
      <c r="C2361" t="s">
        <v>171</v>
      </c>
      <c r="D2361">
        <f t="shared" si="179"/>
        <v>46098</v>
      </c>
      <c r="E2361" t="s">
        <v>168</v>
      </c>
      <c r="F2361" t="s">
        <v>1456</v>
      </c>
      <c r="G2361" t="s">
        <v>1022</v>
      </c>
      <c r="I2361">
        <f>4000/9</f>
        <v>444.44444444444446</v>
      </c>
      <c r="J2361">
        <f>INDEX([1]Produtos!$L:$L,MATCH(IF(ISNUMBER(FIND(" - ",G2361)),LEFT(G2361,FIND(" - ",G2361)-1),G2361),[1]Produtos!$C:$C,0))</f>
        <v>843.58780095852239</v>
      </c>
      <c r="K2361" t="e">
        <f>INDEX([1]Produtos!$L:$L,MATCH(IF(ISNUMBER(FIND(" - ",H2361)),LEFT(H2361,FIND(" - ",H2361)-1),H2361),[1]Produtos!$C:$C,0))</f>
        <v>#N/A</v>
      </c>
      <c r="L2361" t="e">
        <f>INDEX([1]Produtos!$L:$L,MATCH(IF(ISNUMBER(FIND(" - ",F2361)),LEFT(F2361,FIND(" - ",F2361)-1),F2361),[1]Produtos!$C:$C,0))*INDEX([2]Pedidos!$Q:$Q,MATCH(F2361,[2]Pedidos!$E:$E,0))</f>
        <v>#N/A</v>
      </c>
      <c r="M2361" t="e">
        <f>INDEX([1]Produtos!$L:$L,MATCH(IF(ISNUMBER(FIND(" - ",G2361)),LEFT(G2361,FIND(" - ",G2361)-1),G2361),[1]Produtos!$C:$C,0))*INDEX([2]Pedidos!$Q:$Q,MATCH(G2361,[2]Pedidos!$E:$E,0))</f>
        <v>#N/A</v>
      </c>
      <c r="N2361" t="e">
        <f>INDEX([1]Produtos!$L:$L,MATCH(IF(ISNUMBER(FIND(" - ",H2361)),LEFT(H2361,FIND(" - ",H2361)-1),H2361),[1]Produtos!$C:$C,0))*INDEX([2]Pedidos!$Q:$Q,MATCH(H2361,[2]Pedidos!$E:$E,0))</f>
        <v>#N/A</v>
      </c>
    </row>
    <row r="2362" spans="3:14" x14ac:dyDescent="0.25">
      <c r="C2362" t="s">
        <v>171</v>
      </c>
      <c r="D2362">
        <f t="shared" si="179"/>
        <v>46098</v>
      </c>
      <c r="E2362" t="s">
        <v>169</v>
      </c>
      <c r="F2362" t="s">
        <v>1456</v>
      </c>
      <c r="G2362" t="s">
        <v>1023</v>
      </c>
      <c r="I2362">
        <f>4000/9</f>
        <v>444.44444444444446</v>
      </c>
      <c r="J2362">
        <f>INDEX([1]Produtos!$L:$L,MATCH(IF(ISNUMBER(FIND(" - ",G2362)),LEFT(G2362,FIND(" - ",G2362)-1),G2362),[1]Produtos!$C:$C,0))</f>
        <v>843.58780095852239</v>
      </c>
      <c r="K2362" t="e">
        <f>INDEX([1]Produtos!$L:$L,MATCH(IF(ISNUMBER(FIND(" - ",H2362)),LEFT(H2362,FIND(" - ",H2362)-1),H2362),[1]Produtos!$C:$C,0))</f>
        <v>#N/A</v>
      </c>
      <c r="L2362" t="e">
        <f>INDEX([1]Produtos!$L:$L,MATCH(IF(ISNUMBER(FIND(" - ",F2362)),LEFT(F2362,FIND(" - ",F2362)-1),F2362),[1]Produtos!$C:$C,0))*INDEX([2]Pedidos!$Q:$Q,MATCH(F2362,[2]Pedidos!$E:$E,0))</f>
        <v>#N/A</v>
      </c>
      <c r="M2362" t="e">
        <f>INDEX([1]Produtos!$L:$L,MATCH(IF(ISNUMBER(FIND(" - ",G2362)),LEFT(G2362,FIND(" - ",G2362)-1),G2362),[1]Produtos!$C:$C,0))*INDEX([2]Pedidos!$Q:$Q,MATCH(G2362,[2]Pedidos!$E:$E,0))</f>
        <v>#N/A</v>
      </c>
      <c r="N2362" t="e">
        <f>INDEX([1]Produtos!$L:$L,MATCH(IF(ISNUMBER(FIND(" - ",H2362)),LEFT(H2362,FIND(" - ",H2362)-1),H2362),[1]Produtos!$C:$C,0))*INDEX([2]Pedidos!$Q:$Q,MATCH(H2362,[2]Pedidos!$E:$E,0))</f>
        <v>#N/A</v>
      </c>
    </row>
    <row r="2363" spans="3:14" x14ac:dyDescent="0.25">
      <c r="C2363" t="s">
        <v>171</v>
      </c>
      <c r="D2363">
        <f t="shared" si="179"/>
        <v>46098</v>
      </c>
      <c r="E2363" t="s">
        <v>170</v>
      </c>
      <c r="F2363" t="s">
        <v>1456</v>
      </c>
      <c r="G2363" t="s">
        <v>1023</v>
      </c>
      <c r="I2363">
        <f>4000/9</f>
        <v>444.44444444444446</v>
      </c>
      <c r="J2363">
        <f>INDEX([1]Produtos!$L:$L,MATCH(IF(ISNUMBER(FIND(" - ",G2363)),LEFT(G2363,FIND(" - ",G2363)-1),G2363),[1]Produtos!$C:$C,0))</f>
        <v>843.58780095852239</v>
      </c>
      <c r="K2363" t="e">
        <f>INDEX([1]Produtos!$L:$L,MATCH(IF(ISNUMBER(FIND(" - ",H2363)),LEFT(H2363,FIND(" - ",H2363)-1),H2363),[1]Produtos!$C:$C,0))</f>
        <v>#N/A</v>
      </c>
      <c r="L2363" t="e">
        <f>INDEX([1]Produtos!$L:$L,MATCH(IF(ISNUMBER(FIND(" - ",F2363)),LEFT(F2363,FIND(" - ",F2363)-1),F2363),[1]Produtos!$C:$C,0))*INDEX([2]Pedidos!$Q:$Q,MATCH(F2363,[2]Pedidos!$E:$E,0))</f>
        <v>#N/A</v>
      </c>
      <c r="M2363" t="e">
        <f>INDEX([1]Produtos!$L:$L,MATCH(IF(ISNUMBER(FIND(" - ",G2363)),LEFT(G2363,FIND(" - ",G2363)-1),G2363),[1]Produtos!$C:$C,0))*INDEX([2]Pedidos!$Q:$Q,MATCH(G2363,[2]Pedidos!$E:$E,0))</f>
        <v>#N/A</v>
      </c>
      <c r="N2363" t="e">
        <f>INDEX([1]Produtos!$L:$L,MATCH(IF(ISNUMBER(FIND(" - ",H2363)),LEFT(H2363,FIND(" - ",H2363)-1),H2363),[1]Produtos!$C:$C,0))*INDEX([2]Pedidos!$Q:$Q,MATCH(H2363,[2]Pedidos!$E:$E,0))</f>
        <v>#N/A</v>
      </c>
    </row>
    <row r="2364" spans="3:14" x14ac:dyDescent="0.25">
      <c r="C2364" t="s">
        <v>171</v>
      </c>
      <c r="D2364">
        <f t="shared" si="179"/>
        <v>46098</v>
      </c>
      <c r="E2364" t="s">
        <v>585</v>
      </c>
    </row>
    <row r="2365" spans="3:14" x14ac:dyDescent="0.25">
      <c r="C2365" t="s">
        <v>171</v>
      </c>
      <c r="D2365">
        <f t="shared" si="179"/>
        <v>46098</v>
      </c>
      <c r="E2365" t="s">
        <v>574</v>
      </c>
    </row>
    <row r="2366" spans="3:14" x14ac:dyDescent="0.25">
      <c r="C2366" t="s">
        <v>171</v>
      </c>
      <c r="D2366">
        <f t="shared" si="179"/>
        <v>46098</v>
      </c>
      <c r="E2366" t="s">
        <v>575</v>
      </c>
    </row>
    <row r="2367" spans="3:14" x14ac:dyDescent="0.25">
      <c r="C2367" t="s">
        <v>171</v>
      </c>
      <c r="D2367">
        <f t="shared" si="179"/>
        <v>46098</v>
      </c>
      <c r="E2367" t="s">
        <v>583</v>
      </c>
    </row>
    <row r="2368" spans="3:14" x14ac:dyDescent="0.25">
      <c r="C2368" t="s">
        <v>171</v>
      </c>
      <c r="D2368">
        <f t="shared" si="179"/>
        <v>46098</v>
      </c>
      <c r="E2368" t="s">
        <v>584</v>
      </c>
    </row>
    <row r="2370" spans="3:16" x14ac:dyDescent="0.25">
      <c r="I2370">
        <f t="shared" ref="I2370:N2370" si="180">IFERROR(SUM(I2371:I2386),0)</f>
        <v>3999.9999999999995</v>
      </c>
      <c r="J2370">
        <f t="shared" si="180"/>
        <v>7592.2902086267004</v>
      </c>
      <c r="K2370">
        <f t="shared" si="180"/>
        <v>0</v>
      </c>
      <c r="L2370">
        <f t="shared" si="180"/>
        <v>0</v>
      </c>
      <c r="M2370">
        <f t="shared" si="180"/>
        <v>0</v>
      </c>
      <c r="N2370">
        <f t="shared" si="180"/>
        <v>0</v>
      </c>
      <c r="O2370">
        <f>SUM(I2370:K2370)</f>
        <v>11592.2902086267</v>
      </c>
      <c r="P2370">
        <f>SUM(L2370:N2370)</f>
        <v>0</v>
      </c>
    </row>
    <row r="2371" spans="3:16" x14ac:dyDescent="0.25">
      <c r="C2371" t="s">
        <v>172</v>
      </c>
      <c r="D2371">
        <f>D2368+1</f>
        <v>46099</v>
      </c>
      <c r="E2371" t="s">
        <v>573</v>
      </c>
    </row>
    <row r="2372" spans="3:16" x14ac:dyDescent="0.25">
      <c r="C2372" t="s">
        <v>172</v>
      </c>
      <c r="D2372">
        <f t="shared" ref="D2372:D2386" si="181">D2371</f>
        <v>46099</v>
      </c>
      <c r="E2372" t="s">
        <v>162</v>
      </c>
      <c r="F2372" t="s">
        <v>1455</v>
      </c>
      <c r="G2372" t="s">
        <v>1023</v>
      </c>
      <c r="I2372">
        <f>4000/9</f>
        <v>444.44444444444446</v>
      </c>
      <c r="J2372">
        <f>INDEX([1]Produtos!$L:$L,MATCH(IF(ISNUMBER(FIND(" - ",G2372)),LEFT(G2372,FIND(" - ",G2372)-1),G2372),[1]Produtos!$C:$C,0))</f>
        <v>843.58780095852239</v>
      </c>
      <c r="K2372" t="e">
        <f>INDEX([1]Produtos!$L:$L,MATCH(IF(ISNUMBER(FIND(" - ",H2372)),LEFT(H2372,FIND(" - ",H2372)-1),H2372),[1]Produtos!$C:$C,0))</f>
        <v>#N/A</v>
      </c>
      <c r="L2372" t="e">
        <f>INDEX([1]Produtos!$L:$L,MATCH(IF(ISNUMBER(FIND(" - ",F2372)),LEFT(F2372,FIND(" - ",F2372)-1),F2372),[1]Produtos!$C:$C,0))*INDEX([2]Pedidos!$Q:$Q,MATCH(F2372,[2]Pedidos!$E:$E,0))</f>
        <v>#N/A</v>
      </c>
      <c r="M2372" t="e">
        <f>INDEX([1]Produtos!$L:$L,MATCH(IF(ISNUMBER(FIND(" - ",G2372)),LEFT(G2372,FIND(" - ",G2372)-1),G2372),[1]Produtos!$C:$C,0))*INDEX([2]Pedidos!$Q:$Q,MATCH(G2372,[2]Pedidos!$E:$E,0))</f>
        <v>#N/A</v>
      </c>
      <c r="N2372" t="e">
        <f>INDEX([1]Produtos!$L:$L,MATCH(IF(ISNUMBER(FIND(" - ",H2372)),LEFT(H2372,FIND(" - ",H2372)-1),H2372),[1]Produtos!$C:$C,0))*INDEX([2]Pedidos!$Q:$Q,MATCH(H2372,[2]Pedidos!$E:$E,0))</f>
        <v>#N/A</v>
      </c>
    </row>
    <row r="2373" spans="3:16" x14ac:dyDescent="0.25">
      <c r="C2373" t="s">
        <v>172</v>
      </c>
      <c r="D2373">
        <f t="shared" si="181"/>
        <v>46099</v>
      </c>
      <c r="E2373" t="s">
        <v>163</v>
      </c>
      <c r="F2373" t="s">
        <v>1455</v>
      </c>
      <c r="G2373" t="s">
        <v>1023</v>
      </c>
      <c r="I2373">
        <f>4000/9</f>
        <v>444.44444444444446</v>
      </c>
      <c r="J2373">
        <f>INDEX([1]Produtos!$L:$L,MATCH(IF(ISNUMBER(FIND(" - ",G2373)),LEFT(G2373,FIND(" - ",G2373)-1),G2373),[1]Produtos!$C:$C,0))</f>
        <v>843.58780095852239</v>
      </c>
      <c r="K2373" t="e">
        <f>INDEX([1]Produtos!$L:$L,MATCH(IF(ISNUMBER(FIND(" - ",H2373)),LEFT(H2373,FIND(" - ",H2373)-1),H2373),[1]Produtos!$C:$C,0))</f>
        <v>#N/A</v>
      </c>
      <c r="L2373" t="e">
        <f>INDEX([1]Produtos!$L:$L,MATCH(IF(ISNUMBER(FIND(" - ",F2373)),LEFT(F2373,FIND(" - ",F2373)-1),F2373),[1]Produtos!$C:$C,0))*INDEX([2]Pedidos!$Q:$Q,MATCH(F2373,[2]Pedidos!$E:$E,0))</f>
        <v>#N/A</v>
      </c>
      <c r="M2373" t="e">
        <f>INDEX([1]Produtos!$L:$L,MATCH(IF(ISNUMBER(FIND(" - ",G2373)),LEFT(G2373,FIND(" - ",G2373)-1),G2373),[1]Produtos!$C:$C,0))*INDEX([2]Pedidos!$Q:$Q,MATCH(G2373,[2]Pedidos!$E:$E,0))</f>
        <v>#N/A</v>
      </c>
      <c r="N2373" t="e">
        <f>INDEX([1]Produtos!$L:$L,MATCH(IF(ISNUMBER(FIND(" - ",H2373)),LEFT(H2373,FIND(" - ",H2373)-1),H2373),[1]Produtos!$C:$C,0))*INDEX([2]Pedidos!$Q:$Q,MATCH(H2373,[2]Pedidos!$E:$E,0))</f>
        <v>#N/A</v>
      </c>
    </row>
    <row r="2374" spans="3:16" x14ac:dyDescent="0.25">
      <c r="C2374" t="s">
        <v>172</v>
      </c>
      <c r="D2374">
        <f t="shared" si="181"/>
        <v>46099</v>
      </c>
      <c r="E2374" t="s">
        <v>164</v>
      </c>
      <c r="F2374" t="s">
        <v>1455</v>
      </c>
      <c r="G2374" t="s">
        <v>1023</v>
      </c>
      <c r="I2374">
        <f>4000/9</f>
        <v>444.44444444444446</v>
      </c>
      <c r="J2374">
        <f>INDEX([1]Produtos!$L:$L,MATCH(IF(ISNUMBER(FIND(" - ",G2374)),LEFT(G2374,FIND(" - ",G2374)-1),G2374),[1]Produtos!$C:$C,0))</f>
        <v>843.58780095852239</v>
      </c>
      <c r="K2374" t="e">
        <f>INDEX([1]Produtos!$L:$L,MATCH(IF(ISNUMBER(FIND(" - ",H2374)),LEFT(H2374,FIND(" - ",H2374)-1),H2374),[1]Produtos!$C:$C,0))</f>
        <v>#N/A</v>
      </c>
      <c r="L2374" t="e">
        <f>INDEX([1]Produtos!$L:$L,MATCH(IF(ISNUMBER(FIND(" - ",F2374)),LEFT(F2374,FIND(" - ",F2374)-1),F2374),[1]Produtos!$C:$C,0))*INDEX([2]Pedidos!$Q:$Q,MATCH(F2374,[2]Pedidos!$E:$E,0))</f>
        <v>#N/A</v>
      </c>
      <c r="M2374" t="e">
        <f>INDEX([1]Produtos!$L:$L,MATCH(IF(ISNUMBER(FIND(" - ",G2374)),LEFT(G2374,FIND(" - ",G2374)-1),G2374),[1]Produtos!$C:$C,0))*INDEX([2]Pedidos!$Q:$Q,MATCH(G2374,[2]Pedidos!$E:$E,0))</f>
        <v>#N/A</v>
      </c>
      <c r="N2374" t="e">
        <f>INDEX([1]Produtos!$L:$L,MATCH(IF(ISNUMBER(FIND(" - ",H2374)),LEFT(H2374,FIND(" - ",H2374)-1),H2374),[1]Produtos!$C:$C,0))*INDEX([2]Pedidos!$Q:$Q,MATCH(H2374,[2]Pedidos!$E:$E,0))</f>
        <v>#N/A</v>
      </c>
    </row>
    <row r="2375" spans="3:16" x14ac:dyDescent="0.25">
      <c r="C2375" t="s">
        <v>172</v>
      </c>
      <c r="D2375">
        <f t="shared" si="181"/>
        <v>46099</v>
      </c>
      <c r="E2375" t="s">
        <v>165</v>
      </c>
      <c r="F2375" t="s">
        <v>1455</v>
      </c>
      <c r="G2375" t="s">
        <v>1023</v>
      </c>
      <c r="I2375">
        <f>4000/9</f>
        <v>444.44444444444446</v>
      </c>
      <c r="J2375">
        <f>INDEX([1]Produtos!$L:$L,MATCH(IF(ISNUMBER(FIND(" - ",G2375)),LEFT(G2375,FIND(" - ",G2375)-1),G2375),[1]Produtos!$C:$C,0))</f>
        <v>843.58780095852239</v>
      </c>
      <c r="K2375" t="e">
        <f>INDEX([1]Produtos!$L:$L,MATCH(IF(ISNUMBER(FIND(" - ",H2375)),LEFT(H2375,FIND(" - ",H2375)-1),H2375),[1]Produtos!$C:$C,0))</f>
        <v>#N/A</v>
      </c>
      <c r="L2375" t="e">
        <f>INDEX([1]Produtos!$L:$L,MATCH(IF(ISNUMBER(FIND(" - ",F2375)),LEFT(F2375,FIND(" - ",F2375)-1),F2375),[1]Produtos!$C:$C,0))*INDEX([2]Pedidos!$Q:$Q,MATCH(F2375,[2]Pedidos!$E:$E,0))</f>
        <v>#N/A</v>
      </c>
      <c r="M2375" t="e">
        <f>INDEX([1]Produtos!$L:$L,MATCH(IF(ISNUMBER(FIND(" - ",G2375)),LEFT(G2375,FIND(" - ",G2375)-1),G2375),[1]Produtos!$C:$C,0))*INDEX([2]Pedidos!$Q:$Q,MATCH(G2375,[2]Pedidos!$E:$E,0))</f>
        <v>#N/A</v>
      </c>
      <c r="N2375" t="e">
        <f>INDEX([1]Produtos!$L:$L,MATCH(IF(ISNUMBER(FIND(" - ",H2375)),LEFT(H2375,FIND(" - ",H2375)-1),H2375),[1]Produtos!$C:$C,0))*INDEX([2]Pedidos!$Q:$Q,MATCH(H2375,[2]Pedidos!$E:$E,0))</f>
        <v>#N/A</v>
      </c>
    </row>
    <row r="2376" spans="3:16" x14ac:dyDescent="0.25">
      <c r="C2376" t="s">
        <v>172</v>
      </c>
      <c r="D2376">
        <f t="shared" si="181"/>
        <v>46099</v>
      </c>
      <c r="E2376" t="s">
        <v>166</v>
      </c>
      <c r="F2376" t="s">
        <v>1455</v>
      </c>
      <c r="G2376" t="s">
        <v>1023</v>
      </c>
      <c r="I2376">
        <f>4000/9</f>
        <v>444.44444444444446</v>
      </c>
      <c r="J2376">
        <f>INDEX([1]Produtos!$L:$L,MATCH(IF(ISNUMBER(FIND(" - ",G2376)),LEFT(G2376,FIND(" - ",G2376)-1),G2376),[1]Produtos!$C:$C,0))</f>
        <v>843.58780095852239</v>
      </c>
      <c r="K2376" t="e">
        <f>INDEX([1]Produtos!$L:$L,MATCH(IF(ISNUMBER(FIND(" - ",H2376)),LEFT(H2376,FIND(" - ",H2376)-1),H2376),[1]Produtos!$C:$C,0))</f>
        <v>#N/A</v>
      </c>
      <c r="L2376" t="e">
        <f>INDEX([1]Produtos!$L:$L,MATCH(IF(ISNUMBER(FIND(" - ",F2376)),LEFT(F2376,FIND(" - ",F2376)-1),F2376),[1]Produtos!$C:$C,0))*INDEX([2]Pedidos!$Q:$Q,MATCH(F2376,[2]Pedidos!$E:$E,0))</f>
        <v>#N/A</v>
      </c>
      <c r="M2376" t="e">
        <f>INDEX([1]Produtos!$L:$L,MATCH(IF(ISNUMBER(FIND(" - ",G2376)),LEFT(G2376,FIND(" - ",G2376)-1),G2376),[1]Produtos!$C:$C,0))*INDEX([2]Pedidos!$Q:$Q,MATCH(G2376,[2]Pedidos!$E:$E,0))</f>
        <v>#N/A</v>
      </c>
      <c r="N2376" t="e">
        <f>INDEX([1]Produtos!$L:$L,MATCH(IF(ISNUMBER(FIND(" - ",H2376)),LEFT(H2376,FIND(" - ",H2376)-1),H2376),[1]Produtos!$C:$C,0))*INDEX([2]Pedidos!$Q:$Q,MATCH(H2376,[2]Pedidos!$E:$E,0))</f>
        <v>#N/A</v>
      </c>
    </row>
    <row r="2377" spans="3:16" x14ac:dyDescent="0.25">
      <c r="C2377" t="s">
        <v>172</v>
      </c>
      <c r="D2377">
        <f t="shared" si="181"/>
        <v>46099</v>
      </c>
      <c r="E2377" t="s">
        <v>576</v>
      </c>
    </row>
    <row r="2378" spans="3:16" x14ac:dyDescent="0.25">
      <c r="C2378" t="s">
        <v>172</v>
      </c>
      <c r="D2378">
        <f t="shared" si="181"/>
        <v>46099</v>
      </c>
      <c r="E2378" t="s">
        <v>167</v>
      </c>
      <c r="F2378" t="s">
        <v>1452</v>
      </c>
      <c r="G2378" t="s">
        <v>1024</v>
      </c>
      <c r="I2378">
        <f>4000/9</f>
        <v>444.44444444444446</v>
      </c>
      <c r="J2378">
        <f>INDEX([1]Produtos!$L:$L,MATCH(IF(ISNUMBER(FIND(" - ",G2378)),LEFT(G2378,FIND(" - ",G2378)-1),G2378),[1]Produtos!$C:$C,0))</f>
        <v>843.58780095852239</v>
      </c>
      <c r="K2378" t="e">
        <f>INDEX([1]Produtos!$L:$L,MATCH(IF(ISNUMBER(FIND(" - ",H2378)),LEFT(H2378,FIND(" - ",H2378)-1),H2378),[1]Produtos!$C:$C,0))</f>
        <v>#N/A</v>
      </c>
      <c r="L2378" t="e">
        <f>INDEX([1]Produtos!$L:$L,MATCH(IF(ISNUMBER(FIND(" - ",F2378)),LEFT(F2378,FIND(" - ",F2378)-1),F2378),[1]Produtos!$C:$C,0))*INDEX([2]Pedidos!$Q:$Q,MATCH(F2378,[2]Pedidos!$E:$E,0))</f>
        <v>#N/A</v>
      </c>
      <c r="M2378" t="e">
        <f>INDEX([1]Produtos!$L:$L,MATCH(IF(ISNUMBER(FIND(" - ",G2378)),LEFT(G2378,FIND(" - ",G2378)-1),G2378),[1]Produtos!$C:$C,0))*INDEX([2]Pedidos!$Q:$Q,MATCH(G2378,[2]Pedidos!$E:$E,0))</f>
        <v>#N/A</v>
      </c>
      <c r="N2378" t="e">
        <f>INDEX([1]Produtos!$L:$L,MATCH(IF(ISNUMBER(FIND(" - ",H2378)),LEFT(H2378,FIND(" - ",H2378)-1),H2378),[1]Produtos!$C:$C,0))*INDEX([2]Pedidos!$Q:$Q,MATCH(H2378,[2]Pedidos!$E:$E,0))</f>
        <v>#N/A</v>
      </c>
    </row>
    <row r="2379" spans="3:16" x14ac:dyDescent="0.25">
      <c r="C2379" t="s">
        <v>172</v>
      </c>
      <c r="D2379">
        <f t="shared" si="181"/>
        <v>46099</v>
      </c>
      <c r="E2379" t="s">
        <v>168</v>
      </c>
      <c r="F2379" t="s">
        <v>1452</v>
      </c>
      <c r="G2379" t="s">
        <v>1024</v>
      </c>
      <c r="I2379">
        <f>4000/9</f>
        <v>444.44444444444446</v>
      </c>
      <c r="J2379">
        <f>INDEX([1]Produtos!$L:$L,MATCH(IF(ISNUMBER(FIND(" - ",G2379)),LEFT(G2379,FIND(" - ",G2379)-1),G2379),[1]Produtos!$C:$C,0))</f>
        <v>843.58780095852239</v>
      </c>
      <c r="K2379" t="e">
        <f>INDEX([1]Produtos!$L:$L,MATCH(IF(ISNUMBER(FIND(" - ",H2379)),LEFT(H2379,FIND(" - ",H2379)-1),H2379),[1]Produtos!$C:$C,0))</f>
        <v>#N/A</v>
      </c>
      <c r="L2379" t="e">
        <f>INDEX([1]Produtos!$L:$L,MATCH(IF(ISNUMBER(FIND(" - ",F2379)),LEFT(F2379,FIND(" - ",F2379)-1),F2379),[1]Produtos!$C:$C,0))*INDEX([2]Pedidos!$Q:$Q,MATCH(F2379,[2]Pedidos!$E:$E,0))</f>
        <v>#N/A</v>
      </c>
      <c r="M2379" t="e">
        <f>INDEX([1]Produtos!$L:$L,MATCH(IF(ISNUMBER(FIND(" - ",G2379)),LEFT(G2379,FIND(" - ",G2379)-1),G2379),[1]Produtos!$C:$C,0))*INDEX([2]Pedidos!$Q:$Q,MATCH(G2379,[2]Pedidos!$E:$E,0))</f>
        <v>#N/A</v>
      </c>
      <c r="N2379" t="e">
        <f>INDEX([1]Produtos!$L:$L,MATCH(IF(ISNUMBER(FIND(" - ",H2379)),LEFT(H2379,FIND(" - ",H2379)-1),H2379),[1]Produtos!$C:$C,0))*INDEX([2]Pedidos!$Q:$Q,MATCH(H2379,[2]Pedidos!$E:$E,0))</f>
        <v>#N/A</v>
      </c>
    </row>
    <row r="2380" spans="3:16" x14ac:dyDescent="0.25">
      <c r="C2380" t="s">
        <v>172</v>
      </c>
      <c r="D2380">
        <f t="shared" si="181"/>
        <v>46099</v>
      </c>
      <c r="E2380" t="s">
        <v>169</v>
      </c>
      <c r="F2380" t="s">
        <v>1452</v>
      </c>
      <c r="G2380" t="s">
        <v>1024</v>
      </c>
      <c r="I2380">
        <f>4000/9</f>
        <v>444.44444444444446</v>
      </c>
      <c r="J2380">
        <f>INDEX([1]Produtos!$L:$L,MATCH(IF(ISNUMBER(FIND(" - ",G2380)),LEFT(G2380,FIND(" - ",G2380)-1),G2380),[1]Produtos!$C:$C,0))</f>
        <v>843.58780095852239</v>
      </c>
      <c r="K2380" t="e">
        <f>INDEX([1]Produtos!$L:$L,MATCH(IF(ISNUMBER(FIND(" - ",H2380)),LEFT(H2380,FIND(" - ",H2380)-1),H2380),[1]Produtos!$C:$C,0))</f>
        <v>#N/A</v>
      </c>
      <c r="L2380" t="e">
        <f>INDEX([1]Produtos!$L:$L,MATCH(IF(ISNUMBER(FIND(" - ",F2380)),LEFT(F2380,FIND(" - ",F2380)-1),F2380),[1]Produtos!$C:$C,0))*INDEX([2]Pedidos!$Q:$Q,MATCH(F2380,[2]Pedidos!$E:$E,0))</f>
        <v>#N/A</v>
      </c>
      <c r="M2380" t="e">
        <f>INDEX([1]Produtos!$L:$L,MATCH(IF(ISNUMBER(FIND(" - ",G2380)),LEFT(G2380,FIND(" - ",G2380)-1),G2380),[1]Produtos!$C:$C,0))*INDEX([2]Pedidos!$Q:$Q,MATCH(G2380,[2]Pedidos!$E:$E,0))</f>
        <v>#N/A</v>
      </c>
      <c r="N2380" t="e">
        <f>INDEX([1]Produtos!$L:$L,MATCH(IF(ISNUMBER(FIND(" - ",H2380)),LEFT(H2380,FIND(" - ",H2380)-1),H2380),[1]Produtos!$C:$C,0))*INDEX([2]Pedidos!$Q:$Q,MATCH(H2380,[2]Pedidos!$E:$E,0))</f>
        <v>#N/A</v>
      </c>
    </row>
    <row r="2381" spans="3:16" x14ac:dyDescent="0.25">
      <c r="C2381" t="s">
        <v>172</v>
      </c>
      <c r="D2381">
        <f t="shared" si="181"/>
        <v>46099</v>
      </c>
      <c r="E2381" t="s">
        <v>170</v>
      </c>
      <c r="F2381" t="s">
        <v>1452</v>
      </c>
      <c r="G2381" t="s">
        <v>1024</v>
      </c>
      <c r="I2381">
        <f>4000/9</f>
        <v>444.44444444444446</v>
      </c>
      <c r="J2381">
        <f>INDEX([1]Produtos!$L:$L,MATCH(IF(ISNUMBER(FIND(" - ",G2381)),LEFT(G2381,FIND(" - ",G2381)-1),G2381),[1]Produtos!$C:$C,0))</f>
        <v>843.58780095852239</v>
      </c>
      <c r="K2381" t="e">
        <f>INDEX([1]Produtos!$L:$L,MATCH(IF(ISNUMBER(FIND(" - ",H2381)),LEFT(H2381,FIND(" - ",H2381)-1),H2381),[1]Produtos!$C:$C,0))</f>
        <v>#N/A</v>
      </c>
      <c r="L2381" t="e">
        <f>INDEX([1]Produtos!$L:$L,MATCH(IF(ISNUMBER(FIND(" - ",F2381)),LEFT(F2381,FIND(" - ",F2381)-1),F2381),[1]Produtos!$C:$C,0))*INDEX([2]Pedidos!$Q:$Q,MATCH(F2381,[2]Pedidos!$E:$E,0))</f>
        <v>#N/A</v>
      </c>
      <c r="M2381" t="e">
        <f>INDEX([1]Produtos!$L:$L,MATCH(IF(ISNUMBER(FIND(" - ",G2381)),LEFT(G2381,FIND(" - ",G2381)-1),G2381),[1]Produtos!$C:$C,0))*INDEX([2]Pedidos!$Q:$Q,MATCH(G2381,[2]Pedidos!$E:$E,0))</f>
        <v>#N/A</v>
      </c>
      <c r="N2381" t="e">
        <f>INDEX([1]Produtos!$L:$L,MATCH(IF(ISNUMBER(FIND(" - ",H2381)),LEFT(H2381,FIND(" - ",H2381)-1),H2381),[1]Produtos!$C:$C,0))*INDEX([2]Pedidos!$Q:$Q,MATCH(H2381,[2]Pedidos!$E:$E,0))</f>
        <v>#N/A</v>
      </c>
    </row>
    <row r="2382" spans="3:16" x14ac:dyDescent="0.25">
      <c r="C2382" t="s">
        <v>172</v>
      </c>
      <c r="D2382">
        <f t="shared" si="181"/>
        <v>46099</v>
      </c>
      <c r="E2382" t="s">
        <v>585</v>
      </c>
    </row>
    <row r="2383" spans="3:16" x14ac:dyDescent="0.25">
      <c r="C2383" t="s">
        <v>172</v>
      </c>
      <c r="D2383">
        <f t="shared" si="181"/>
        <v>46099</v>
      </c>
      <c r="E2383" t="s">
        <v>574</v>
      </c>
    </row>
    <row r="2384" spans="3:16" x14ac:dyDescent="0.25">
      <c r="C2384" t="s">
        <v>172</v>
      </c>
      <c r="D2384">
        <f t="shared" si="181"/>
        <v>46099</v>
      </c>
      <c r="E2384" t="s">
        <v>575</v>
      </c>
    </row>
    <row r="2385" spans="3:16" x14ac:dyDescent="0.25">
      <c r="C2385" t="s">
        <v>172</v>
      </c>
      <c r="D2385">
        <f t="shared" si="181"/>
        <v>46099</v>
      </c>
      <c r="E2385" t="s">
        <v>583</v>
      </c>
    </row>
    <row r="2386" spans="3:16" x14ac:dyDescent="0.25">
      <c r="C2386" t="s">
        <v>172</v>
      </c>
      <c r="D2386">
        <f t="shared" si="181"/>
        <v>46099</v>
      </c>
      <c r="E2386" t="s">
        <v>584</v>
      </c>
    </row>
    <row r="2388" spans="3:16" x14ac:dyDescent="0.25">
      <c r="I2388">
        <f t="shared" ref="I2388:N2388" si="182">IFERROR(SUM(I2389:I2404),0)</f>
        <v>3999.9999999999995</v>
      </c>
      <c r="J2388">
        <f t="shared" si="182"/>
        <v>7592.2902086267004</v>
      </c>
      <c r="K2388">
        <f t="shared" si="182"/>
        <v>0</v>
      </c>
      <c r="L2388">
        <f t="shared" si="182"/>
        <v>0</v>
      </c>
      <c r="M2388">
        <f t="shared" si="182"/>
        <v>0</v>
      </c>
      <c r="N2388">
        <f t="shared" si="182"/>
        <v>0</v>
      </c>
      <c r="O2388">
        <f>SUM(I2388:K2388)</f>
        <v>11592.2902086267</v>
      </c>
      <c r="P2388">
        <f>SUM(L2388:N2388)</f>
        <v>0</v>
      </c>
    </row>
    <row r="2389" spans="3:16" x14ac:dyDescent="0.25">
      <c r="C2389" t="s">
        <v>173</v>
      </c>
      <c r="D2389">
        <f>D2386+1</f>
        <v>46100</v>
      </c>
      <c r="E2389" t="s">
        <v>573</v>
      </c>
    </row>
    <row r="2390" spans="3:16" x14ac:dyDescent="0.25">
      <c r="C2390" t="s">
        <v>173</v>
      </c>
      <c r="D2390">
        <f t="shared" ref="D2390:D2404" si="183">D2389</f>
        <v>46100</v>
      </c>
      <c r="E2390" t="s">
        <v>162</v>
      </c>
      <c r="F2390" t="s">
        <v>388</v>
      </c>
      <c r="G2390" t="s">
        <v>1024</v>
      </c>
      <c r="I2390">
        <f>4000/9</f>
        <v>444.44444444444446</v>
      </c>
      <c r="J2390">
        <f>INDEX([1]Produtos!$L:$L,MATCH(IF(ISNUMBER(FIND(" - ",G2390)),LEFT(G2390,FIND(" - ",G2390)-1),G2390),[1]Produtos!$C:$C,0))</f>
        <v>843.58780095852239</v>
      </c>
      <c r="K2390" t="e">
        <f>INDEX([1]Produtos!$L:$L,MATCH(IF(ISNUMBER(FIND(" - ",H2390)),LEFT(H2390,FIND(" - ",H2390)-1),H2390),[1]Produtos!$C:$C,0))</f>
        <v>#N/A</v>
      </c>
      <c r="L2390" t="e">
        <f>INDEX([1]Produtos!$L:$L,MATCH(IF(ISNUMBER(FIND(" - ",F2390)),LEFT(F2390,FIND(" - ",F2390)-1),F2390),[1]Produtos!$C:$C,0))*INDEX([2]Pedidos!$Q:$Q,MATCH(F2390,[2]Pedidos!$E:$E,0))</f>
        <v>#N/A</v>
      </c>
      <c r="M2390" t="e">
        <f>INDEX([1]Produtos!$L:$L,MATCH(IF(ISNUMBER(FIND(" - ",G2390)),LEFT(G2390,FIND(" - ",G2390)-1),G2390),[1]Produtos!$C:$C,0))*INDEX([2]Pedidos!$Q:$Q,MATCH(G2390,[2]Pedidos!$E:$E,0))</f>
        <v>#N/A</v>
      </c>
      <c r="N2390" t="e">
        <f>INDEX([1]Produtos!$L:$L,MATCH(IF(ISNUMBER(FIND(" - ",H2390)),LEFT(H2390,FIND(" - ",H2390)-1),H2390),[1]Produtos!$C:$C,0))*INDEX([2]Pedidos!$Q:$Q,MATCH(H2390,[2]Pedidos!$E:$E,0))</f>
        <v>#N/A</v>
      </c>
    </row>
    <row r="2391" spans="3:16" x14ac:dyDescent="0.25">
      <c r="C2391" t="s">
        <v>173</v>
      </c>
      <c r="D2391">
        <f t="shared" si="183"/>
        <v>46100</v>
      </c>
      <c r="E2391" t="s">
        <v>163</v>
      </c>
      <c r="F2391" t="s">
        <v>388</v>
      </c>
      <c r="G2391" t="s">
        <v>1024</v>
      </c>
      <c r="I2391">
        <f>4000/9</f>
        <v>444.44444444444446</v>
      </c>
      <c r="J2391">
        <f>INDEX([1]Produtos!$L:$L,MATCH(IF(ISNUMBER(FIND(" - ",G2391)),LEFT(G2391,FIND(" - ",G2391)-1),G2391),[1]Produtos!$C:$C,0))</f>
        <v>843.58780095852239</v>
      </c>
      <c r="K2391" t="e">
        <f>INDEX([1]Produtos!$L:$L,MATCH(IF(ISNUMBER(FIND(" - ",H2391)),LEFT(H2391,FIND(" - ",H2391)-1),H2391),[1]Produtos!$C:$C,0))</f>
        <v>#N/A</v>
      </c>
      <c r="L2391" t="e">
        <f>INDEX([1]Produtos!$L:$L,MATCH(IF(ISNUMBER(FIND(" - ",F2391)),LEFT(F2391,FIND(" - ",F2391)-1),F2391),[1]Produtos!$C:$C,0))*INDEX([2]Pedidos!$Q:$Q,MATCH(F2391,[2]Pedidos!$E:$E,0))</f>
        <v>#N/A</v>
      </c>
      <c r="M2391" t="e">
        <f>INDEX([1]Produtos!$L:$L,MATCH(IF(ISNUMBER(FIND(" - ",G2391)),LEFT(G2391,FIND(" - ",G2391)-1),G2391),[1]Produtos!$C:$C,0))*INDEX([2]Pedidos!$Q:$Q,MATCH(G2391,[2]Pedidos!$E:$E,0))</f>
        <v>#N/A</v>
      </c>
      <c r="N2391" t="e">
        <f>INDEX([1]Produtos!$L:$L,MATCH(IF(ISNUMBER(FIND(" - ",H2391)),LEFT(H2391,FIND(" - ",H2391)-1),H2391),[1]Produtos!$C:$C,0))*INDEX([2]Pedidos!$Q:$Q,MATCH(H2391,[2]Pedidos!$E:$E,0))</f>
        <v>#N/A</v>
      </c>
    </row>
    <row r="2392" spans="3:16" x14ac:dyDescent="0.25">
      <c r="C2392" t="s">
        <v>173</v>
      </c>
      <c r="D2392">
        <f t="shared" si="183"/>
        <v>46100</v>
      </c>
      <c r="E2392" t="s">
        <v>164</v>
      </c>
      <c r="F2392" t="s">
        <v>388</v>
      </c>
      <c r="G2392" t="s">
        <v>1024</v>
      </c>
      <c r="I2392">
        <f>4000/9</f>
        <v>444.44444444444446</v>
      </c>
      <c r="J2392">
        <f>INDEX([1]Produtos!$L:$L,MATCH(IF(ISNUMBER(FIND(" - ",G2392)),LEFT(G2392,FIND(" - ",G2392)-1),G2392),[1]Produtos!$C:$C,0))</f>
        <v>843.58780095852239</v>
      </c>
      <c r="K2392" t="e">
        <f>INDEX([1]Produtos!$L:$L,MATCH(IF(ISNUMBER(FIND(" - ",H2392)),LEFT(H2392,FIND(" - ",H2392)-1),H2392),[1]Produtos!$C:$C,0))</f>
        <v>#N/A</v>
      </c>
      <c r="L2392" t="e">
        <f>INDEX([1]Produtos!$L:$L,MATCH(IF(ISNUMBER(FIND(" - ",F2392)),LEFT(F2392,FIND(" - ",F2392)-1),F2392),[1]Produtos!$C:$C,0))*INDEX([2]Pedidos!$Q:$Q,MATCH(F2392,[2]Pedidos!$E:$E,0))</f>
        <v>#N/A</v>
      </c>
      <c r="M2392" t="e">
        <f>INDEX([1]Produtos!$L:$L,MATCH(IF(ISNUMBER(FIND(" - ",G2392)),LEFT(G2392,FIND(" - ",G2392)-1),G2392),[1]Produtos!$C:$C,0))*INDEX([2]Pedidos!$Q:$Q,MATCH(G2392,[2]Pedidos!$E:$E,0))</f>
        <v>#N/A</v>
      </c>
      <c r="N2392" t="e">
        <f>INDEX([1]Produtos!$L:$L,MATCH(IF(ISNUMBER(FIND(" - ",H2392)),LEFT(H2392,FIND(" - ",H2392)-1),H2392),[1]Produtos!$C:$C,0))*INDEX([2]Pedidos!$Q:$Q,MATCH(H2392,[2]Pedidos!$E:$E,0))</f>
        <v>#N/A</v>
      </c>
    </row>
    <row r="2393" spans="3:16" x14ac:dyDescent="0.25">
      <c r="C2393" t="s">
        <v>173</v>
      </c>
      <c r="D2393">
        <f t="shared" si="183"/>
        <v>46100</v>
      </c>
      <c r="E2393" t="s">
        <v>165</v>
      </c>
      <c r="F2393" t="s">
        <v>388</v>
      </c>
      <c r="G2393" t="s">
        <v>1024</v>
      </c>
      <c r="I2393">
        <f>4000/9</f>
        <v>444.44444444444446</v>
      </c>
      <c r="J2393">
        <f>INDEX([1]Produtos!$L:$L,MATCH(IF(ISNUMBER(FIND(" - ",G2393)),LEFT(G2393,FIND(" - ",G2393)-1),G2393),[1]Produtos!$C:$C,0))</f>
        <v>843.58780095852239</v>
      </c>
      <c r="K2393" t="e">
        <f>INDEX([1]Produtos!$L:$L,MATCH(IF(ISNUMBER(FIND(" - ",H2393)),LEFT(H2393,FIND(" - ",H2393)-1),H2393),[1]Produtos!$C:$C,0))</f>
        <v>#N/A</v>
      </c>
      <c r="L2393" t="e">
        <f>INDEX([1]Produtos!$L:$L,MATCH(IF(ISNUMBER(FIND(" - ",F2393)),LEFT(F2393,FIND(" - ",F2393)-1),F2393),[1]Produtos!$C:$C,0))*INDEX([2]Pedidos!$Q:$Q,MATCH(F2393,[2]Pedidos!$E:$E,0))</f>
        <v>#N/A</v>
      </c>
      <c r="M2393" t="e">
        <f>INDEX([1]Produtos!$L:$L,MATCH(IF(ISNUMBER(FIND(" - ",G2393)),LEFT(G2393,FIND(" - ",G2393)-1),G2393),[1]Produtos!$C:$C,0))*INDEX([2]Pedidos!$Q:$Q,MATCH(G2393,[2]Pedidos!$E:$E,0))</f>
        <v>#N/A</v>
      </c>
      <c r="N2393" t="e">
        <f>INDEX([1]Produtos!$L:$L,MATCH(IF(ISNUMBER(FIND(" - ",H2393)),LEFT(H2393,FIND(" - ",H2393)-1),H2393),[1]Produtos!$C:$C,0))*INDEX([2]Pedidos!$Q:$Q,MATCH(H2393,[2]Pedidos!$E:$E,0))</f>
        <v>#N/A</v>
      </c>
    </row>
    <row r="2394" spans="3:16" x14ac:dyDescent="0.25">
      <c r="C2394" t="s">
        <v>173</v>
      </c>
      <c r="D2394">
        <f t="shared" si="183"/>
        <v>46100</v>
      </c>
      <c r="E2394" t="s">
        <v>166</v>
      </c>
      <c r="F2394" t="s">
        <v>388</v>
      </c>
      <c r="G2394" t="s">
        <v>1024</v>
      </c>
      <c r="I2394">
        <f>4000/9</f>
        <v>444.44444444444446</v>
      </c>
      <c r="J2394">
        <f>INDEX([1]Produtos!$L:$L,MATCH(IF(ISNUMBER(FIND(" - ",G2394)),LEFT(G2394,FIND(" - ",G2394)-1),G2394),[1]Produtos!$C:$C,0))</f>
        <v>843.58780095852239</v>
      </c>
      <c r="K2394" t="e">
        <f>INDEX([1]Produtos!$L:$L,MATCH(IF(ISNUMBER(FIND(" - ",H2394)),LEFT(H2394,FIND(" - ",H2394)-1),H2394),[1]Produtos!$C:$C,0))</f>
        <v>#N/A</v>
      </c>
      <c r="L2394" t="e">
        <f>INDEX([1]Produtos!$L:$L,MATCH(IF(ISNUMBER(FIND(" - ",F2394)),LEFT(F2394,FIND(" - ",F2394)-1),F2394),[1]Produtos!$C:$C,0))*INDEX([2]Pedidos!$Q:$Q,MATCH(F2394,[2]Pedidos!$E:$E,0))</f>
        <v>#N/A</v>
      </c>
      <c r="M2394" t="e">
        <f>INDEX([1]Produtos!$L:$L,MATCH(IF(ISNUMBER(FIND(" - ",G2394)),LEFT(G2394,FIND(" - ",G2394)-1),G2394),[1]Produtos!$C:$C,0))*INDEX([2]Pedidos!$Q:$Q,MATCH(G2394,[2]Pedidos!$E:$E,0))</f>
        <v>#N/A</v>
      </c>
      <c r="N2394" t="e">
        <f>INDEX([1]Produtos!$L:$L,MATCH(IF(ISNUMBER(FIND(" - ",H2394)),LEFT(H2394,FIND(" - ",H2394)-1),H2394),[1]Produtos!$C:$C,0))*INDEX([2]Pedidos!$Q:$Q,MATCH(H2394,[2]Pedidos!$E:$E,0))</f>
        <v>#N/A</v>
      </c>
    </row>
    <row r="2395" spans="3:16" x14ac:dyDescent="0.25">
      <c r="C2395" t="s">
        <v>173</v>
      </c>
      <c r="D2395">
        <f t="shared" si="183"/>
        <v>46100</v>
      </c>
      <c r="E2395" t="s">
        <v>576</v>
      </c>
    </row>
    <row r="2396" spans="3:16" x14ac:dyDescent="0.25">
      <c r="C2396" t="s">
        <v>173</v>
      </c>
      <c r="D2396">
        <f t="shared" si="183"/>
        <v>46100</v>
      </c>
      <c r="E2396" t="s">
        <v>167</v>
      </c>
      <c r="F2396" t="s">
        <v>1453</v>
      </c>
      <c r="G2396" t="s">
        <v>1024</v>
      </c>
      <c r="I2396">
        <f>4000/9</f>
        <v>444.44444444444446</v>
      </c>
      <c r="J2396">
        <f>INDEX([1]Produtos!$L:$L,MATCH(IF(ISNUMBER(FIND(" - ",G2396)),LEFT(G2396,FIND(" - ",G2396)-1),G2396),[1]Produtos!$C:$C,0))</f>
        <v>843.58780095852239</v>
      </c>
      <c r="K2396" t="e">
        <f>INDEX([1]Produtos!$L:$L,MATCH(IF(ISNUMBER(FIND(" - ",H2396)),LEFT(H2396,FIND(" - ",H2396)-1),H2396),[1]Produtos!$C:$C,0))</f>
        <v>#N/A</v>
      </c>
      <c r="L2396" t="e">
        <f>INDEX([1]Produtos!$L:$L,MATCH(IF(ISNUMBER(FIND(" - ",F2396)),LEFT(F2396,FIND(" - ",F2396)-1),F2396),[1]Produtos!$C:$C,0))*INDEX([2]Pedidos!$Q:$Q,MATCH(F2396,[2]Pedidos!$E:$E,0))</f>
        <v>#N/A</v>
      </c>
      <c r="M2396" t="e">
        <f>INDEX([1]Produtos!$L:$L,MATCH(IF(ISNUMBER(FIND(" - ",G2396)),LEFT(G2396,FIND(" - ",G2396)-1),G2396),[1]Produtos!$C:$C,0))*INDEX([2]Pedidos!$Q:$Q,MATCH(G2396,[2]Pedidos!$E:$E,0))</f>
        <v>#N/A</v>
      </c>
      <c r="N2396" t="e">
        <f>INDEX([1]Produtos!$L:$L,MATCH(IF(ISNUMBER(FIND(" - ",H2396)),LEFT(H2396,FIND(" - ",H2396)-1),H2396),[1]Produtos!$C:$C,0))*INDEX([2]Pedidos!$Q:$Q,MATCH(H2396,[2]Pedidos!$E:$E,0))</f>
        <v>#N/A</v>
      </c>
    </row>
    <row r="2397" spans="3:16" x14ac:dyDescent="0.25">
      <c r="C2397" t="s">
        <v>173</v>
      </c>
      <c r="D2397">
        <f t="shared" si="183"/>
        <v>46100</v>
      </c>
      <c r="E2397" t="s">
        <v>168</v>
      </c>
      <c r="F2397" t="s">
        <v>1453</v>
      </c>
      <c r="G2397" t="s">
        <v>1024</v>
      </c>
      <c r="I2397">
        <f>4000/9</f>
        <v>444.44444444444446</v>
      </c>
      <c r="J2397">
        <f>INDEX([1]Produtos!$L:$L,MATCH(IF(ISNUMBER(FIND(" - ",G2397)),LEFT(G2397,FIND(" - ",G2397)-1),G2397),[1]Produtos!$C:$C,0))</f>
        <v>843.58780095852239</v>
      </c>
      <c r="K2397" t="e">
        <f>INDEX([1]Produtos!$L:$L,MATCH(IF(ISNUMBER(FIND(" - ",H2397)),LEFT(H2397,FIND(" - ",H2397)-1),H2397),[1]Produtos!$C:$C,0))</f>
        <v>#N/A</v>
      </c>
      <c r="L2397" t="e">
        <f>INDEX([1]Produtos!$L:$L,MATCH(IF(ISNUMBER(FIND(" - ",F2397)),LEFT(F2397,FIND(" - ",F2397)-1),F2397),[1]Produtos!$C:$C,0))*INDEX([2]Pedidos!$Q:$Q,MATCH(F2397,[2]Pedidos!$E:$E,0))</f>
        <v>#N/A</v>
      </c>
      <c r="M2397" t="e">
        <f>INDEX([1]Produtos!$L:$L,MATCH(IF(ISNUMBER(FIND(" - ",G2397)),LEFT(G2397,FIND(" - ",G2397)-1),G2397),[1]Produtos!$C:$C,0))*INDEX([2]Pedidos!$Q:$Q,MATCH(G2397,[2]Pedidos!$E:$E,0))</f>
        <v>#N/A</v>
      </c>
      <c r="N2397" t="e">
        <f>INDEX([1]Produtos!$L:$L,MATCH(IF(ISNUMBER(FIND(" - ",H2397)),LEFT(H2397,FIND(" - ",H2397)-1),H2397),[1]Produtos!$C:$C,0))*INDEX([2]Pedidos!$Q:$Q,MATCH(H2397,[2]Pedidos!$E:$E,0))</f>
        <v>#N/A</v>
      </c>
    </row>
    <row r="2398" spans="3:16" x14ac:dyDescent="0.25">
      <c r="C2398" t="s">
        <v>173</v>
      </c>
      <c r="D2398">
        <f t="shared" si="183"/>
        <v>46100</v>
      </c>
      <c r="E2398" t="s">
        <v>169</v>
      </c>
      <c r="F2398" t="s">
        <v>1453</v>
      </c>
      <c r="G2398" t="s">
        <v>1024</v>
      </c>
      <c r="I2398">
        <f>4000/9</f>
        <v>444.44444444444446</v>
      </c>
      <c r="J2398">
        <f>INDEX([1]Produtos!$L:$L,MATCH(IF(ISNUMBER(FIND(" - ",G2398)),LEFT(G2398,FIND(" - ",G2398)-1),G2398),[1]Produtos!$C:$C,0))</f>
        <v>843.58780095852239</v>
      </c>
      <c r="K2398" t="e">
        <f>INDEX([1]Produtos!$L:$L,MATCH(IF(ISNUMBER(FIND(" - ",H2398)),LEFT(H2398,FIND(" - ",H2398)-1),H2398),[1]Produtos!$C:$C,0))</f>
        <v>#N/A</v>
      </c>
      <c r="L2398" t="e">
        <f>INDEX([1]Produtos!$L:$L,MATCH(IF(ISNUMBER(FIND(" - ",F2398)),LEFT(F2398,FIND(" - ",F2398)-1),F2398),[1]Produtos!$C:$C,0))*INDEX([2]Pedidos!$Q:$Q,MATCH(F2398,[2]Pedidos!$E:$E,0))</f>
        <v>#N/A</v>
      </c>
      <c r="M2398" t="e">
        <f>INDEX([1]Produtos!$L:$L,MATCH(IF(ISNUMBER(FIND(" - ",G2398)),LEFT(G2398,FIND(" - ",G2398)-1),G2398),[1]Produtos!$C:$C,0))*INDEX([2]Pedidos!$Q:$Q,MATCH(G2398,[2]Pedidos!$E:$E,0))</f>
        <v>#N/A</v>
      </c>
      <c r="N2398" t="e">
        <f>INDEX([1]Produtos!$L:$L,MATCH(IF(ISNUMBER(FIND(" - ",H2398)),LEFT(H2398,FIND(" - ",H2398)-1),H2398),[1]Produtos!$C:$C,0))*INDEX([2]Pedidos!$Q:$Q,MATCH(H2398,[2]Pedidos!$E:$E,0))</f>
        <v>#N/A</v>
      </c>
    </row>
    <row r="2399" spans="3:16" x14ac:dyDescent="0.25">
      <c r="C2399" t="s">
        <v>173</v>
      </c>
      <c r="D2399">
        <f t="shared" si="183"/>
        <v>46100</v>
      </c>
      <c r="E2399" t="s">
        <v>170</v>
      </c>
      <c r="F2399" t="s">
        <v>1453</v>
      </c>
      <c r="G2399" t="s">
        <v>1024</v>
      </c>
      <c r="I2399">
        <f>4000/9</f>
        <v>444.44444444444446</v>
      </c>
      <c r="J2399">
        <f>INDEX([1]Produtos!$L:$L,MATCH(IF(ISNUMBER(FIND(" - ",G2399)),LEFT(G2399,FIND(" - ",G2399)-1),G2399),[1]Produtos!$C:$C,0))</f>
        <v>843.58780095852239</v>
      </c>
      <c r="K2399" t="e">
        <f>INDEX([1]Produtos!$L:$L,MATCH(IF(ISNUMBER(FIND(" - ",H2399)),LEFT(H2399,FIND(" - ",H2399)-1),H2399),[1]Produtos!$C:$C,0))</f>
        <v>#N/A</v>
      </c>
      <c r="L2399" t="e">
        <f>INDEX([1]Produtos!$L:$L,MATCH(IF(ISNUMBER(FIND(" - ",F2399)),LEFT(F2399,FIND(" - ",F2399)-1),F2399),[1]Produtos!$C:$C,0))*INDEX([2]Pedidos!$Q:$Q,MATCH(F2399,[2]Pedidos!$E:$E,0))</f>
        <v>#N/A</v>
      </c>
      <c r="M2399" t="e">
        <f>INDEX([1]Produtos!$L:$L,MATCH(IF(ISNUMBER(FIND(" - ",G2399)),LEFT(G2399,FIND(" - ",G2399)-1),G2399),[1]Produtos!$C:$C,0))*INDEX([2]Pedidos!$Q:$Q,MATCH(G2399,[2]Pedidos!$E:$E,0))</f>
        <v>#N/A</v>
      </c>
      <c r="N2399" t="e">
        <f>INDEX([1]Produtos!$L:$L,MATCH(IF(ISNUMBER(FIND(" - ",H2399)),LEFT(H2399,FIND(" - ",H2399)-1),H2399),[1]Produtos!$C:$C,0))*INDEX([2]Pedidos!$Q:$Q,MATCH(H2399,[2]Pedidos!$E:$E,0))</f>
        <v>#N/A</v>
      </c>
    </row>
    <row r="2400" spans="3:16" x14ac:dyDescent="0.25">
      <c r="C2400" t="s">
        <v>173</v>
      </c>
      <c r="D2400">
        <f t="shared" si="183"/>
        <v>46100</v>
      </c>
      <c r="E2400" t="s">
        <v>585</v>
      </c>
    </row>
    <row r="2401" spans="3:16" x14ac:dyDescent="0.25">
      <c r="C2401" t="s">
        <v>173</v>
      </c>
      <c r="D2401">
        <f t="shared" si="183"/>
        <v>46100</v>
      </c>
      <c r="E2401" t="s">
        <v>574</v>
      </c>
    </row>
    <row r="2402" spans="3:16" x14ac:dyDescent="0.25">
      <c r="C2402" t="s">
        <v>173</v>
      </c>
      <c r="D2402">
        <f t="shared" si="183"/>
        <v>46100</v>
      </c>
      <c r="E2402" t="s">
        <v>575</v>
      </c>
    </row>
    <row r="2403" spans="3:16" x14ac:dyDescent="0.25">
      <c r="C2403" t="s">
        <v>173</v>
      </c>
      <c r="D2403">
        <f t="shared" si="183"/>
        <v>46100</v>
      </c>
      <c r="E2403" t="s">
        <v>583</v>
      </c>
    </row>
    <row r="2404" spans="3:16" x14ac:dyDescent="0.25">
      <c r="C2404" t="s">
        <v>173</v>
      </c>
      <c r="D2404">
        <f t="shared" si="183"/>
        <v>46100</v>
      </c>
      <c r="E2404" t="s">
        <v>584</v>
      </c>
    </row>
    <row r="2406" spans="3:16" x14ac:dyDescent="0.25">
      <c r="C2406">
        <f>SUM(I2334:K2334,I2352:K2352,I2370:K2370,I2388:K2388,I2406:K2406)</f>
        <v>57856.099709080969</v>
      </c>
      <c r="D2406">
        <f>SUM(P2406,P2388,P2370,P2352,P2334)</f>
        <v>0</v>
      </c>
      <c r="I2406">
        <f t="shared" ref="I2406:N2406" si="184">IFERROR(SUM(I2407:I2422),0)</f>
        <v>4062.4188032771717</v>
      </c>
      <c r="J2406">
        <f t="shared" si="184"/>
        <v>6748.7024076681782</v>
      </c>
      <c r="K2406">
        <f t="shared" si="184"/>
        <v>0</v>
      </c>
      <c r="L2406">
        <f t="shared" si="184"/>
        <v>0</v>
      </c>
      <c r="M2406">
        <f t="shared" si="184"/>
        <v>0</v>
      </c>
      <c r="N2406">
        <f t="shared" si="184"/>
        <v>0</v>
      </c>
      <c r="O2406">
        <f>SUM(I2406:K2406)</f>
        <v>10811.12121094535</v>
      </c>
      <c r="P2406">
        <f>SUM(L2406:N2406)</f>
        <v>0</v>
      </c>
    </row>
    <row r="2407" spans="3:16" x14ac:dyDescent="0.25">
      <c r="C2407" t="s">
        <v>174</v>
      </c>
      <c r="D2407">
        <f>D2404+1</f>
        <v>46101</v>
      </c>
      <c r="E2407" t="s">
        <v>573</v>
      </c>
    </row>
    <row r="2408" spans="3:16" x14ac:dyDescent="0.25">
      <c r="C2408" t="s">
        <v>174</v>
      </c>
      <c r="D2408">
        <f t="shared" ref="D2408:D2422" si="185">D2407</f>
        <v>46101</v>
      </c>
      <c r="E2408" t="s">
        <v>162</v>
      </c>
      <c r="F2408" t="s">
        <v>1453</v>
      </c>
      <c r="G2408" t="s">
        <v>1024</v>
      </c>
      <c r="H2408" t="s">
        <v>1510</v>
      </c>
      <c r="I2408">
        <f>4000/9</f>
        <v>444.44444444444446</v>
      </c>
      <c r="J2408">
        <f>INDEX([1]Produtos!$L:$L,MATCH(IF(ISNUMBER(FIND(" - ",G2408)),LEFT(G2408,FIND(" - ",G2408)-1),G2408),[1]Produtos!$C:$C,0))</f>
        <v>843.58780095852239</v>
      </c>
      <c r="K2408">
        <f>INDEX([1]Produtos!$L:$L,MATCH(IF(ISNUMBER(FIND(" - ",H2408)),LEFT(H2408,FIND(" - ",H2408)-1),H2408),[1]Produtos!$C:$C,0))</f>
        <v>843.58780095852239</v>
      </c>
      <c r="L2408" t="e">
        <f>INDEX([1]Produtos!$L:$L,MATCH(IF(ISNUMBER(FIND(" - ",F2408)),LEFT(F2408,FIND(" - ",F2408)-1),F2408),[1]Produtos!$C:$C,0))*INDEX([2]Pedidos!$Q:$Q,MATCH(F2408,[2]Pedidos!$E:$E,0))</f>
        <v>#N/A</v>
      </c>
      <c r="M2408" t="e">
        <f>INDEX([1]Produtos!$L:$L,MATCH(IF(ISNUMBER(FIND(" - ",G2408)),LEFT(G2408,FIND(" - ",G2408)-1),G2408),[1]Produtos!$C:$C,0))*INDEX([2]Pedidos!$Q:$Q,MATCH(G2408,[2]Pedidos!$E:$E,0))</f>
        <v>#N/A</v>
      </c>
      <c r="N2408" t="e">
        <f>INDEX([1]Produtos!$L:$L,MATCH(IF(ISNUMBER(FIND(" - ",H2408)),LEFT(H2408,FIND(" - ",H2408)-1),H2408),[1]Produtos!$C:$C,0))*INDEX([2]Pedidos!$Q:$Q,MATCH(H2408,[2]Pedidos!$E:$E,0))</f>
        <v>#N/A</v>
      </c>
    </row>
    <row r="2409" spans="3:16" x14ac:dyDescent="0.25">
      <c r="C2409" t="s">
        <v>174</v>
      </c>
      <c r="D2409">
        <f t="shared" si="185"/>
        <v>46101</v>
      </c>
      <c r="E2409" t="s">
        <v>163</v>
      </c>
      <c r="F2409" t="s">
        <v>1457</v>
      </c>
      <c r="G2409" t="s">
        <v>1024</v>
      </c>
      <c r="H2409" t="s">
        <v>1510</v>
      </c>
      <c r="I2409">
        <f>4000/9</f>
        <v>444.44444444444446</v>
      </c>
      <c r="J2409">
        <f>INDEX([1]Produtos!$L:$L,MATCH(IF(ISNUMBER(FIND(" - ",G2409)),LEFT(G2409,FIND(" - ",G2409)-1),G2409),[1]Produtos!$C:$C,0))</f>
        <v>843.58780095852239</v>
      </c>
      <c r="K2409">
        <f>INDEX([1]Produtos!$L:$L,MATCH(IF(ISNUMBER(FIND(" - ",H2409)),LEFT(H2409,FIND(" - ",H2409)-1),H2409),[1]Produtos!$C:$C,0))</f>
        <v>843.58780095852239</v>
      </c>
      <c r="L2409" t="e">
        <f>INDEX([1]Produtos!$L:$L,MATCH(IF(ISNUMBER(FIND(" - ",F2409)),LEFT(F2409,FIND(" - ",F2409)-1),F2409),[1]Produtos!$C:$C,0))*INDEX([2]Pedidos!$Q:$Q,MATCH(F2409,[2]Pedidos!$E:$E,0))</f>
        <v>#N/A</v>
      </c>
      <c r="M2409" t="e">
        <f>INDEX([1]Produtos!$L:$L,MATCH(IF(ISNUMBER(FIND(" - ",G2409)),LEFT(G2409,FIND(" - ",G2409)-1),G2409),[1]Produtos!$C:$C,0))*INDEX([2]Pedidos!$Q:$Q,MATCH(G2409,[2]Pedidos!$E:$E,0))</f>
        <v>#N/A</v>
      </c>
      <c r="N2409" t="e">
        <f>INDEX([1]Produtos!$L:$L,MATCH(IF(ISNUMBER(FIND(" - ",H2409)),LEFT(H2409,FIND(" - ",H2409)-1),H2409),[1]Produtos!$C:$C,0))*INDEX([2]Pedidos!$Q:$Q,MATCH(H2409,[2]Pedidos!$E:$E,0))</f>
        <v>#N/A</v>
      </c>
    </row>
    <row r="2410" spans="3:16" x14ac:dyDescent="0.25">
      <c r="C2410" t="s">
        <v>174</v>
      </c>
      <c r="D2410">
        <f t="shared" si="185"/>
        <v>46101</v>
      </c>
      <c r="E2410" t="s">
        <v>164</v>
      </c>
      <c r="F2410" t="s">
        <v>1457</v>
      </c>
      <c r="G2410" t="s">
        <v>1024</v>
      </c>
      <c r="H2410" t="s">
        <v>1511</v>
      </c>
      <c r="I2410">
        <f>4000/9</f>
        <v>444.44444444444446</v>
      </c>
      <c r="J2410">
        <f>INDEX([1]Produtos!$L:$L,MATCH(IF(ISNUMBER(FIND(" - ",G2410)),LEFT(G2410,FIND(" - ",G2410)-1),G2410),[1]Produtos!$C:$C,0))</f>
        <v>843.58780095852239</v>
      </c>
      <c r="K2410">
        <f>INDEX([1]Produtos!$L:$L,MATCH(IF(ISNUMBER(FIND(" - ",H2410)),LEFT(H2410,FIND(" - ",H2410)-1),H2410),[1]Produtos!$C:$C,0))</f>
        <v>609.77777776200276</v>
      </c>
      <c r="L2410" t="e">
        <f>INDEX([1]Produtos!$L:$L,MATCH(IF(ISNUMBER(FIND(" - ",F2410)),LEFT(F2410,FIND(" - ",F2410)-1),F2410),[1]Produtos!$C:$C,0))*INDEX([2]Pedidos!$Q:$Q,MATCH(F2410,[2]Pedidos!$E:$E,0))</f>
        <v>#N/A</v>
      </c>
      <c r="M2410" t="e">
        <f>INDEX([1]Produtos!$L:$L,MATCH(IF(ISNUMBER(FIND(" - ",G2410)),LEFT(G2410,FIND(" - ",G2410)-1),G2410),[1]Produtos!$C:$C,0))*INDEX([2]Pedidos!$Q:$Q,MATCH(G2410,[2]Pedidos!$E:$E,0))</f>
        <v>#N/A</v>
      </c>
      <c r="N2410" t="e">
        <f>INDEX([1]Produtos!$L:$L,MATCH(IF(ISNUMBER(FIND(" - ",H2410)),LEFT(H2410,FIND(" - ",H2410)-1),H2410),[1]Produtos!$C:$C,0))*INDEX([2]Pedidos!$Q:$Q,MATCH(H2410,[2]Pedidos!$E:$E,0))</f>
        <v>#N/A</v>
      </c>
    </row>
    <row r="2411" spans="3:16" x14ac:dyDescent="0.25">
      <c r="C2411" t="s">
        <v>174</v>
      </c>
      <c r="D2411">
        <f t="shared" si="185"/>
        <v>46101</v>
      </c>
      <c r="E2411" t="s">
        <v>165</v>
      </c>
      <c r="F2411" t="s">
        <v>1457</v>
      </c>
      <c r="G2411" t="s">
        <v>1021</v>
      </c>
      <c r="H2411" t="s">
        <v>1511</v>
      </c>
      <c r="I2411">
        <f>4000/9</f>
        <v>444.44444444444446</v>
      </c>
      <c r="J2411">
        <f>INDEX([1]Produtos!$L:$L,MATCH(IF(ISNUMBER(FIND(" - ",G2411)),LEFT(G2411,FIND(" - ",G2411)-1),G2411),[1]Produtos!$C:$C,0))</f>
        <v>843.58780095852239</v>
      </c>
      <c r="K2411">
        <f>INDEX([1]Produtos!$L:$L,MATCH(IF(ISNUMBER(FIND(" - ",H2411)),LEFT(H2411,FIND(" - ",H2411)-1),H2411),[1]Produtos!$C:$C,0))</f>
        <v>609.77777776200276</v>
      </c>
      <c r="L2411" t="e">
        <f>INDEX([1]Produtos!$L:$L,MATCH(IF(ISNUMBER(FIND(" - ",F2411)),LEFT(F2411,FIND(" - ",F2411)-1),F2411),[1]Produtos!$C:$C,0))*INDEX([2]Pedidos!$Q:$Q,MATCH(F2411,[2]Pedidos!$E:$E,0))</f>
        <v>#N/A</v>
      </c>
      <c r="M2411" t="e">
        <f>INDEX([1]Produtos!$L:$L,MATCH(IF(ISNUMBER(FIND(" - ",G2411)),LEFT(G2411,FIND(" - ",G2411)-1),G2411),[1]Produtos!$C:$C,0))*INDEX([2]Pedidos!$Q:$Q,MATCH(G2411,[2]Pedidos!$E:$E,0))</f>
        <v>#N/A</v>
      </c>
      <c r="N2411" t="e">
        <f>INDEX([1]Produtos!$L:$L,MATCH(IF(ISNUMBER(FIND(" - ",H2411)),LEFT(H2411,FIND(" - ",H2411)-1),H2411),[1]Produtos!$C:$C,0))*INDEX([2]Pedidos!$Q:$Q,MATCH(H2411,[2]Pedidos!$E:$E,0))</f>
        <v>#N/A</v>
      </c>
    </row>
    <row r="2412" spans="3:16" x14ac:dyDescent="0.25">
      <c r="C2412" t="s">
        <v>174</v>
      </c>
      <c r="D2412">
        <f t="shared" si="185"/>
        <v>46101</v>
      </c>
      <c r="E2412" t="s">
        <v>166</v>
      </c>
      <c r="F2412" t="s">
        <v>1457</v>
      </c>
      <c r="G2412" t="s">
        <v>1021</v>
      </c>
      <c r="H2412" t="s">
        <v>1512</v>
      </c>
      <c r="I2412">
        <f>4000/9</f>
        <v>444.44444444444446</v>
      </c>
      <c r="J2412">
        <f>INDEX([1]Produtos!$L:$L,MATCH(IF(ISNUMBER(FIND(" - ",G2412)),LEFT(G2412,FIND(" - ",G2412)-1),G2412),[1]Produtos!$C:$C,0))</f>
        <v>843.58780095852239</v>
      </c>
      <c r="K2412">
        <f>INDEX([1]Produtos!$L:$L,MATCH(IF(ISNUMBER(FIND(" - ",H2412)),LEFT(H2412,FIND(" - ",H2412)-1),H2412),[1]Produtos!$C:$C,0))</f>
        <v>115.98675496465188</v>
      </c>
      <c r="L2412" t="e">
        <f>INDEX([1]Produtos!$L:$L,MATCH(IF(ISNUMBER(FIND(" - ",F2412)),LEFT(F2412,FIND(" - ",F2412)-1),F2412),[1]Produtos!$C:$C,0))*INDEX([2]Pedidos!$Q:$Q,MATCH(F2412,[2]Pedidos!$E:$E,0))</f>
        <v>#N/A</v>
      </c>
      <c r="M2412" t="e">
        <f>INDEX([1]Produtos!$L:$L,MATCH(IF(ISNUMBER(FIND(" - ",G2412)),LEFT(G2412,FIND(" - ",G2412)-1),G2412),[1]Produtos!$C:$C,0))*INDEX([2]Pedidos!$Q:$Q,MATCH(G2412,[2]Pedidos!$E:$E,0))</f>
        <v>#N/A</v>
      </c>
      <c r="N2412" t="e">
        <f>INDEX([1]Produtos!$L:$L,MATCH(IF(ISNUMBER(FIND(" - ",H2412)),LEFT(H2412,FIND(" - ",H2412)-1),H2412),[1]Produtos!$C:$C,0))*INDEX([2]Pedidos!$Q:$Q,MATCH(H2412,[2]Pedidos!$E:$E,0))</f>
        <v>#N/A</v>
      </c>
    </row>
    <row r="2413" spans="3:16" x14ac:dyDescent="0.25">
      <c r="C2413" t="s">
        <v>174</v>
      </c>
      <c r="D2413">
        <f t="shared" si="185"/>
        <v>46101</v>
      </c>
      <c r="E2413" t="s">
        <v>576</v>
      </c>
    </row>
    <row r="2414" spans="3:16" x14ac:dyDescent="0.25">
      <c r="C2414" t="s">
        <v>174</v>
      </c>
      <c r="D2414">
        <f t="shared" si="185"/>
        <v>46101</v>
      </c>
      <c r="E2414" t="s">
        <v>167</v>
      </c>
      <c r="F2414" t="s">
        <v>1457</v>
      </c>
      <c r="G2414" t="s">
        <v>1021</v>
      </c>
      <c r="H2414" t="s">
        <v>1512</v>
      </c>
      <c r="I2414">
        <f>INDEX([1]Produtos!$L:$L,MATCH(IF(ISNUMBER(FIND(" - ",F2414)),LEFT(F2414,FIND(" - ",F2414)-1),F2414),[1]Produtos!$C:$C,0))</f>
        <v>613.39886035164977</v>
      </c>
      <c r="J2414">
        <f>INDEX([1]Produtos!$L:$L,MATCH(IF(ISNUMBER(FIND(" - ",G2414)),LEFT(G2414,FIND(" - ",G2414)-1),G2414),[1]Produtos!$C:$C,0))</f>
        <v>843.58780095852239</v>
      </c>
      <c r="K2414">
        <f>INDEX([1]Produtos!$L:$L,MATCH(IF(ISNUMBER(FIND(" - ",H2414)),LEFT(H2414,FIND(" - ",H2414)-1),H2414),[1]Produtos!$C:$C,0))</f>
        <v>115.98675496465188</v>
      </c>
      <c r="L2414" t="e">
        <f>INDEX([1]Produtos!$L:$L,MATCH(IF(ISNUMBER(FIND(" - ",F2414)),LEFT(F2414,FIND(" - ",F2414)-1),F2414),[1]Produtos!$C:$C,0))*INDEX([2]Pedidos!$Q:$Q,MATCH(F2414,[2]Pedidos!$E:$E,0))</f>
        <v>#N/A</v>
      </c>
      <c r="M2414" t="e">
        <f>INDEX([1]Produtos!$L:$L,MATCH(IF(ISNUMBER(FIND(" - ",G2414)),LEFT(G2414,FIND(" - ",G2414)-1),G2414),[1]Produtos!$C:$C,0))*INDEX([2]Pedidos!$Q:$Q,MATCH(G2414,[2]Pedidos!$E:$E,0))</f>
        <v>#N/A</v>
      </c>
      <c r="N2414" t="e">
        <f>INDEX([1]Produtos!$L:$L,MATCH(IF(ISNUMBER(FIND(" - ",H2414)),LEFT(H2414,FIND(" - ",H2414)-1),H2414),[1]Produtos!$C:$C,0))*INDEX([2]Pedidos!$Q:$Q,MATCH(H2414,[2]Pedidos!$E:$E,0))</f>
        <v>#N/A</v>
      </c>
    </row>
    <row r="2415" spans="3:16" x14ac:dyDescent="0.25">
      <c r="C2415" t="s">
        <v>174</v>
      </c>
      <c r="D2415">
        <f t="shared" si="185"/>
        <v>46101</v>
      </c>
      <c r="E2415" t="s">
        <v>168</v>
      </c>
      <c r="F2415" t="s">
        <v>1457</v>
      </c>
      <c r="G2415" t="s">
        <v>1021</v>
      </c>
      <c r="I2415">
        <f>INDEX([1]Produtos!$L:$L,MATCH(IF(ISNUMBER(FIND(" - ",F2415)),LEFT(F2415,FIND(" - ",F2415)-1),F2415),[1]Produtos!$C:$C,0))</f>
        <v>613.39886035164977</v>
      </c>
      <c r="J2415">
        <f>INDEX([1]Produtos!$L:$L,MATCH(IF(ISNUMBER(FIND(" - ",G2415)),LEFT(G2415,FIND(" - ",G2415)-1),G2415),[1]Produtos!$C:$C,0))</f>
        <v>843.58780095852239</v>
      </c>
      <c r="K2415" t="e">
        <f>INDEX([1]Produtos!$L:$L,MATCH(IF(ISNUMBER(FIND(" - ",H2415)),LEFT(H2415,FIND(" - ",H2415)-1),H2415),[1]Produtos!$C:$C,0))</f>
        <v>#N/A</v>
      </c>
      <c r="L2415" t="e">
        <f>INDEX([1]Produtos!$L:$L,MATCH(IF(ISNUMBER(FIND(" - ",F2415)),LEFT(F2415,FIND(" - ",F2415)-1),F2415),[1]Produtos!$C:$C,0))*INDEX([2]Pedidos!$Q:$Q,MATCH(F2415,[2]Pedidos!$E:$E,0))</f>
        <v>#N/A</v>
      </c>
      <c r="M2415" t="e">
        <f>INDEX([1]Produtos!$L:$L,MATCH(IF(ISNUMBER(FIND(" - ",G2415)),LEFT(G2415,FIND(" - ",G2415)-1),G2415),[1]Produtos!$C:$C,0))*INDEX([2]Pedidos!$Q:$Q,MATCH(G2415,[2]Pedidos!$E:$E,0))</f>
        <v>#N/A</v>
      </c>
      <c r="N2415" t="e">
        <f>INDEX([1]Produtos!$L:$L,MATCH(IF(ISNUMBER(FIND(" - ",H2415)),LEFT(H2415,FIND(" - ",H2415)-1),H2415),[1]Produtos!$C:$C,0))*INDEX([2]Pedidos!$Q:$Q,MATCH(H2415,[2]Pedidos!$E:$E,0))</f>
        <v>#N/A</v>
      </c>
    </row>
    <row r="2416" spans="3:16" x14ac:dyDescent="0.25">
      <c r="C2416" t="s">
        <v>174</v>
      </c>
      <c r="D2416">
        <f t="shared" si="185"/>
        <v>46101</v>
      </c>
      <c r="E2416" t="s">
        <v>169</v>
      </c>
      <c r="F2416" t="s">
        <v>1457</v>
      </c>
      <c r="G2416" t="s">
        <v>1021</v>
      </c>
      <c r="I2416">
        <f>INDEX([1]Produtos!$L:$L,MATCH(IF(ISNUMBER(FIND(" - ",F2416)),LEFT(F2416,FIND(" - ",F2416)-1),F2416),[1]Produtos!$C:$C,0))</f>
        <v>613.39886035164977</v>
      </c>
      <c r="J2416">
        <f>INDEX([1]Produtos!$L:$L,MATCH(IF(ISNUMBER(FIND(" - ",G2416)),LEFT(G2416,FIND(" - ",G2416)-1),G2416),[1]Produtos!$C:$C,0))</f>
        <v>843.58780095852239</v>
      </c>
      <c r="K2416" t="e">
        <f>INDEX([1]Produtos!$L:$L,MATCH(IF(ISNUMBER(FIND(" - ",H2416)),LEFT(H2416,FIND(" - ",H2416)-1),H2416),[1]Produtos!$C:$C,0))</f>
        <v>#N/A</v>
      </c>
      <c r="L2416" t="e">
        <f>INDEX([1]Produtos!$L:$L,MATCH(IF(ISNUMBER(FIND(" - ",F2416)),LEFT(F2416,FIND(" - ",F2416)-1),F2416),[1]Produtos!$C:$C,0))*INDEX([2]Pedidos!$Q:$Q,MATCH(F2416,[2]Pedidos!$E:$E,0))</f>
        <v>#N/A</v>
      </c>
      <c r="M2416" t="e">
        <f>INDEX([1]Produtos!$L:$L,MATCH(IF(ISNUMBER(FIND(" - ",G2416)),LEFT(G2416,FIND(" - ",G2416)-1),G2416),[1]Produtos!$C:$C,0))*INDEX([2]Pedidos!$Q:$Q,MATCH(G2416,[2]Pedidos!$E:$E,0))</f>
        <v>#N/A</v>
      </c>
      <c r="N2416" t="e">
        <f>INDEX([1]Produtos!$L:$L,MATCH(IF(ISNUMBER(FIND(" - ",H2416)),LEFT(H2416,FIND(" - ",H2416)-1),H2416),[1]Produtos!$C:$C,0))*INDEX([2]Pedidos!$Q:$Q,MATCH(H2416,[2]Pedidos!$E:$E,0))</f>
        <v>#N/A</v>
      </c>
    </row>
    <row r="2417" spans="1:23" x14ac:dyDescent="0.25">
      <c r="C2417" t="s">
        <v>174</v>
      </c>
      <c r="D2417">
        <f t="shared" si="185"/>
        <v>46101</v>
      </c>
      <c r="E2417" t="s">
        <v>170</v>
      </c>
    </row>
    <row r="2418" spans="1:23" x14ac:dyDescent="0.25">
      <c r="C2418" t="s">
        <v>174</v>
      </c>
      <c r="D2418">
        <f t="shared" si="185"/>
        <v>46101</v>
      </c>
      <c r="E2418" t="s">
        <v>585</v>
      </c>
    </row>
    <row r="2419" spans="1:23" x14ac:dyDescent="0.25">
      <c r="C2419" t="s">
        <v>174</v>
      </c>
      <c r="D2419">
        <f t="shared" si="185"/>
        <v>46101</v>
      </c>
      <c r="E2419" t="s">
        <v>574</v>
      </c>
    </row>
    <row r="2420" spans="1:23" x14ac:dyDescent="0.25">
      <c r="C2420" t="s">
        <v>174</v>
      </c>
      <c r="D2420">
        <f t="shared" si="185"/>
        <v>46101</v>
      </c>
      <c r="E2420" t="s">
        <v>575</v>
      </c>
    </row>
    <row r="2421" spans="1:23" x14ac:dyDescent="0.25">
      <c r="C2421" t="s">
        <v>174</v>
      </c>
      <c r="D2421">
        <f t="shared" si="185"/>
        <v>46101</v>
      </c>
      <c r="E2421" t="s">
        <v>583</v>
      </c>
    </row>
    <row r="2422" spans="1:23" x14ac:dyDescent="0.25">
      <c r="C2422" t="s">
        <v>174</v>
      </c>
      <c r="D2422">
        <f t="shared" si="185"/>
        <v>46101</v>
      </c>
      <c r="E2422" t="s">
        <v>584</v>
      </c>
    </row>
    <row r="2423" spans="1:23" ht="15.75" thickBot="1" x14ac:dyDescent="0.3"/>
    <row r="2424" spans="1:23" ht="15" customHeight="1" thickBot="1" x14ac:dyDescent="0.3">
      <c r="A2424" s="753" t="s">
        <v>1508</v>
      </c>
      <c r="C2424" s="538"/>
      <c r="D2424" s="539"/>
      <c r="E2424" s="539"/>
      <c r="F2424" s="539"/>
      <c r="G2424" s="539"/>
      <c r="H2424" s="539"/>
      <c r="I2424" s="543">
        <f t="shared" ref="I2424:N2424" si="186">_xlfn.AGGREGATE(9,6,I2425:I2440)</f>
        <v>4800</v>
      </c>
      <c r="J2424" s="542">
        <f t="shared" si="186"/>
        <v>6065.217391304348</v>
      </c>
      <c r="K2424" s="544">
        <f t="shared" si="186"/>
        <v>6000</v>
      </c>
      <c r="L2424" s="560">
        <f t="shared" si="186"/>
        <v>0</v>
      </c>
      <c r="M2424" s="561">
        <f t="shared" si="186"/>
        <v>0</v>
      </c>
      <c r="N2424" s="562">
        <f t="shared" si="186"/>
        <v>0</v>
      </c>
      <c r="O2424" s="548">
        <f>SUM(I2424:K2424)</f>
        <v>16865.217391304348</v>
      </c>
      <c r="P2424" s="549">
        <f>SUM(L2424:N2424)</f>
        <v>0</v>
      </c>
      <c r="Q2424" s="3"/>
      <c r="R2424" s="3"/>
      <c r="T2424" s="570" t="s">
        <v>437</v>
      </c>
      <c r="U2424" s="571" t="s">
        <v>1520</v>
      </c>
      <c r="V2424" s="571" t="s">
        <v>1522</v>
      </c>
      <c r="W2424" s="572" t="s">
        <v>1536</v>
      </c>
    </row>
    <row r="2425" spans="1:23" x14ac:dyDescent="0.25">
      <c r="A2425" s="753"/>
      <c r="C2425" s="496" t="s">
        <v>161</v>
      </c>
      <c r="D2425" s="507">
        <v>46104</v>
      </c>
      <c r="E2425" s="498" t="s">
        <v>573</v>
      </c>
      <c r="F2425" s="514"/>
      <c r="G2425" s="514"/>
      <c r="H2425" s="515"/>
      <c r="I2425" s="537"/>
      <c r="J2425" s="537"/>
      <c r="K2425" s="537"/>
      <c r="L2425" s="563"/>
      <c r="M2425" s="563"/>
      <c r="N2425" s="563"/>
      <c r="T2425" s="575" t="s">
        <v>1454</v>
      </c>
      <c r="U2425" s="576">
        <f t="shared" ref="U2425:U2432" si="187">SUMIF(F$2425:F$2512,T2425,I$2425:I$2512)</f>
        <v>2000</v>
      </c>
      <c r="V2425" s="576">
        <v>112</v>
      </c>
      <c r="W2425" s="581">
        <f>IFERROR(V2425*INDEX([2]Pedidos!$Q:$Q,MATCH(T2425,[2]Pedidos!$E:$E,0)),0)</f>
        <v>0</v>
      </c>
    </row>
    <row r="2426" spans="1:23" x14ac:dyDescent="0.25">
      <c r="A2426" s="753"/>
      <c r="C2426" s="525" t="s">
        <v>161</v>
      </c>
      <c r="D2426" s="499">
        <f t="shared" ref="D2426:D2440" si="188">D2425</f>
        <v>46104</v>
      </c>
      <c r="E2426" s="500" t="s">
        <v>162</v>
      </c>
      <c r="F2426" s="460" t="s">
        <v>1454</v>
      </c>
      <c r="G2426" s="460" t="s">
        <v>1021</v>
      </c>
      <c r="H2426" s="460" t="s">
        <v>1510</v>
      </c>
      <c r="I2426" s="540">
        <f>2000/4</f>
        <v>500</v>
      </c>
      <c r="J2426" s="540">
        <f>15500/23</f>
        <v>673.91304347826087</v>
      </c>
      <c r="K2426" s="540">
        <f>3000/4</f>
        <v>750</v>
      </c>
      <c r="L2426" s="555" t="e">
        <f>I2426*INDEX([2]Pedidos!$Q:$Q,MATCH(F2426,[2]Pedidos!$E:$E,0))</f>
        <v>#N/A</v>
      </c>
      <c r="M2426" s="555" t="e">
        <f>J2426*INDEX([2]Pedidos!$Q:$Q,MATCH(G2426,[2]Pedidos!$E:$E,0))</f>
        <v>#N/A</v>
      </c>
      <c r="N2426" s="555" t="e">
        <f>K2426*INDEX([2]Pedidos!$Q:$Q,MATCH(H2426,[2]Pedidos!$E:$E,0))</f>
        <v>#N/A</v>
      </c>
      <c r="T2426" s="577" t="s">
        <v>421</v>
      </c>
      <c r="U2426" s="578">
        <f t="shared" si="187"/>
        <v>4600</v>
      </c>
      <c r="V2426" s="578">
        <v>2928</v>
      </c>
      <c r="W2426" s="582">
        <f>IFERROR(V2426*INDEX([2]Pedidos!$Q:$Q,MATCH(T2426,[2]Pedidos!$E:$E,0)),0)</f>
        <v>0</v>
      </c>
    </row>
    <row r="2427" spans="1:23" x14ac:dyDescent="0.25">
      <c r="A2427" s="753"/>
      <c r="C2427" s="526" t="s">
        <v>161</v>
      </c>
      <c r="D2427" s="449">
        <f t="shared" si="188"/>
        <v>46104</v>
      </c>
      <c r="E2427" s="454" t="s">
        <v>163</v>
      </c>
      <c r="F2427" s="460" t="s">
        <v>1454</v>
      </c>
      <c r="G2427" s="460" t="s">
        <v>1021</v>
      </c>
      <c r="H2427" s="460" t="s">
        <v>1510</v>
      </c>
      <c r="I2427" s="540">
        <f>2000/4</f>
        <v>500</v>
      </c>
      <c r="J2427" s="540">
        <f>15500/23</f>
        <v>673.91304347826087</v>
      </c>
      <c r="K2427" s="540">
        <f>3000/4</f>
        <v>750</v>
      </c>
      <c r="L2427" s="564" t="e">
        <f>I2427*INDEX([2]Pedidos!$Q:$Q,MATCH(F2427,[2]Pedidos!$E:$E,0))</f>
        <v>#N/A</v>
      </c>
      <c r="M2427" s="564" t="e">
        <f>J2427*INDEX([2]Pedidos!$Q:$Q,MATCH(G2427,[2]Pedidos!$E:$E,0))</f>
        <v>#N/A</v>
      </c>
      <c r="N2427" s="564" t="e">
        <f>K2427*INDEX([2]Pedidos!$Q:$Q,MATCH(H2427,[2]Pedidos!$E:$E,0))</f>
        <v>#N/A</v>
      </c>
      <c r="T2427" s="577" t="s">
        <v>1501</v>
      </c>
      <c r="U2427" s="578">
        <f t="shared" si="187"/>
        <v>2520</v>
      </c>
      <c r="V2427" s="578">
        <v>2847</v>
      </c>
      <c r="W2427" s="582">
        <f>IFERROR(V2427*INDEX([2]Pedidos!$Q:$Q,MATCH(T2427,[2]Pedidos!$E:$E,0)),0)</f>
        <v>0</v>
      </c>
    </row>
    <row r="2428" spans="1:23" x14ac:dyDescent="0.25">
      <c r="A2428" s="753"/>
      <c r="C2428" s="526" t="s">
        <v>161</v>
      </c>
      <c r="D2428" s="449">
        <f t="shared" si="188"/>
        <v>46104</v>
      </c>
      <c r="E2428" s="454" t="s">
        <v>164</v>
      </c>
      <c r="F2428" s="460" t="s">
        <v>1454</v>
      </c>
      <c r="G2428" s="460" t="s">
        <v>1021</v>
      </c>
      <c r="H2428" s="460" t="s">
        <v>1510</v>
      </c>
      <c r="I2428" s="540">
        <f>2000/4</f>
        <v>500</v>
      </c>
      <c r="J2428" s="540">
        <f>15500/23</f>
        <v>673.91304347826087</v>
      </c>
      <c r="K2428" s="540">
        <f>3000/4</f>
        <v>750</v>
      </c>
      <c r="L2428" s="564" t="e">
        <f>I2428*INDEX([2]Pedidos!$Q:$Q,MATCH(F2428,[2]Pedidos!$E:$E,0))</f>
        <v>#N/A</v>
      </c>
      <c r="M2428" s="564" t="e">
        <f>J2428*INDEX([2]Pedidos!$Q:$Q,MATCH(G2428,[2]Pedidos!$E:$E,0))</f>
        <v>#N/A</v>
      </c>
      <c r="N2428" s="564" t="e">
        <f>K2428*INDEX([2]Pedidos!$Q:$Q,MATCH(H2428,[2]Pedidos!$E:$E,0))</f>
        <v>#N/A</v>
      </c>
      <c r="T2428" s="577" t="s">
        <v>1502</v>
      </c>
      <c r="U2428" s="578">
        <f t="shared" si="187"/>
        <v>2520</v>
      </c>
      <c r="V2428" s="578">
        <v>0</v>
      </c>
      <c r="W2428" s="582">
        <f>IFERROR(V2428*INDEX([2]Pedidos!$Q:$Q,MATCH(T2428,[2]Pedidos!$E:$E,0)),0)</f>
        <v>0</v>
      </c>
    </row>
    <row r="2429" spans="1:23" x14ac:dyDescent="0.25">
      <c r="A2429" s="753"/>
      <c r="C2429" s="526" t="s">
        <v>161</v>
      </c>
      <c r="D2429" s="449">
        <f t="shared" si="188"/>
        <v>46104</v>
      </c>
      <c r="E2429" s="454" t="s">
        <v>165</v>
      </c>
      <c r="F2429" s="460" t="s">
        <v>1454</v>
      </c>
      <c r="G2429" s="460" t="s">
        <v>1021</v>
      </c>
      <c r="H2429" s="460" t="s">
        <v>1510</v>
      </c>
      <c r="I2429" s="540">
        <f>2000/4</f>
        <v>500</v>
      </c>
      <c r="J2429" s="540">
        <f>15500/23</f>
        <v>673.91304347826087</v>
      </c>
      <c r="K2429" s="540">
        <f>3000/4</f>
        <v>750</v>
      </c>
      <c r="L2429" s="564" t="e">
        <f>I2429*INDEX([2]Pedidos!$Q:$Q,MATCH(F2429,[2]Pedidos!$E:$E,0))</f>
        <v>#N/A</v>
      </c>
      <c r="M2429" s="564" t="e">
        <f>J2429*INDEX([2]Pedidos!$Q:$Q,MATCH(G2429,[2]Pedidos!$E:$E,0))</f>
        <v>#N/A</v>
      </c>
      <c r="N2429" s="564" t="e">
        <f>K2429*INDEX([2]Pedidos!$Q:$Q,MATCH(H2429,[2]Pedidos!$E:$E,0))</f>
        <v>#N/A</v>
      </c>
      <c r="T2429" s="577" t="s">
        <v>1024</v>
      </c>
      <c r="U2429" s="578">
        <f t="shared" si="187"/>
        <v>11500</v>
      </c>
      <c r="V2429" s="578">
        <v>11085</v>
      </c>
      <c r="W2429" s="582">
        <f>IFERROR(V2429*INDEX([2]Pedidos!$Q:$Q,MATCH(T2429,[2]Pedidos!$E:$E,0)),0)</f>
        <v>0</v>
      </c>
    </row>
    <row r="2430" spans="1:23" x14ac:dyDescent="0.25">
      <c r="A2430" s="753"/>
      <c r="C2430" s="526" t="s">
        <v>161</v>
      </c>
      <c r="D2430" s="449">
        <f t="shared" si="188"/>
        <v>46104</v>
      </c>
      <c r="E2430" s="454" t="s">
        <v>166</v>
      </c>
      <c r="F2430" s="460" t="s">
        <v>421</v>
      </c>
      <c r="G2430" s="460" t="s">
        <v>1021</v>
      </c>
      <c r="H2430" s="460" t="s">
        <v>1511</v>
      </c>
      <c r="I2430" s="540">
        <f>2800/5</f>
        <v>560</v>
      </c>
      <c r="J2430" s="540">
        <f>15500/23</f>
        <v>673.91304347826087</v>
      </c>
      <c r="K2430" s="540">
        <f>3000/5</f>
        <v>600</v>
      </c>
      <c r="L2430" s="564" t="e">
        <f>I2430*INDEX([2]Pedidos!$Q:$Q,MATCH(F2430,[2]Pedidos!$E:$E,0))</f>
        <v>#N/A</v>
      </c>
      <c r="M2430" s="564" t="e">
        <f>J2430*INDEX([2]Pedidos!$Q:$Q,MATCH(G2430,[2]Pedidos!$E:$E,0))</f>
        <v>#N/A</v>
      </c>
      <c r="N2430" s="564" t="e">
        <f>K2430*INDEX([2]Pedidos!$Q:$Q,MATCH(H2430,[2]Pedidos!$E:$E,0))</f>
        <v>#N/A</v>
      </c>
      <c r="T2430" s="577" t="s">
        <v>1516</v>
      </c>
      <c r="U2430" s="578">
        <f t="shared" si="187"/>
        <v>4000</v>
      </c>
      <c r="V2430" s="578">
        <v>0</v>
      </c>
      <c r="W2430" s="582">
        <f>IFERROR(V2430*INDEX([2]Pedidos!$Q:$Q,MATCH(T2430,[2]Pedidos!$E:$E,0)),0)</f>
        <v>0</v>
      </c>
    </row>
    <row r="2431" spans="1:23" x14ac:dyDescent="0.25">
      <c r="A2431" s="753"/>
      <c r="C2431" s="526" t="s">
        <v>161</v>
      </c>
      <c r="D2431" s="449">
        <f t="shared" si="188"/>
        <v>46104</v>
      </c>
      <c r="E2431" s="454" t="s">
        <v>576</v>
      </c>
      <c r="F2431" s="512"/>
      <c r="G2431" s="512"/>
      <c r="H2431" s="505"/>
      <c r="I2431" s="554"/>
      <c r="J2431" s="541"/>
      <c r="K2431" s="541"/>
      <c r="L2431" s="556"/>
      <c r="M2431" s="556"/>
      <c r="N2431" s="556"/>
      <c r="T2431" s="577" t="s">
        <v>388</v>
      </c>
      <c r="U2431" s="578">
        <f t="shared" si="187"/>
        <v>0</v>
      </c>
      <c r="V2431" s="578">
        <v>495</v>
      </c>
      <c r="W2431" s="582">
        <f>IFERROR(V2431*INDEX([2]Pedidos!$Q:$Q,MATCH(T2431,[2]Pedidos!$E:$E,0)),0)</f>
        <v>0</v>
      </c>
    </row>
    <row r="2432" spans="1:23" x14ac:dyDescent="0.25">
      <c r="A2432" s="753"/>
      <c r="C2432" s="527" t="s">
        <v>161</v>
      </c>
      <c r="D2432" s="449">
        <f t="shared" si="188"/>
        <v>46104</v>
      </c>
      <c r="E2432" s="454" t="s">
        <v>167</v>
      </c>
      <c r="F2432" s="460" t="s">
        <v>421</v>
      </c>
      <c r="G2432" s="460" t="s">
        <v>1021</v>
      </c>
      <c r="H2432" s="460" t="s">
        <v>1511</v>
      </c>
      <c r="I2432" s="540">
        <f>2800/5</f>
        <v>560</v>
      </c>
      <c r="J2432" s="540">
        <f>15500/23</f>
        <v>673.91304347826087</v>
      </c>
      <c r="K2432" s="540">
        <f>3000/5</f>
        <v>600</v>
      </c>
      <c r="L2432" s="565" t="e">
        <f>I2432*INDEX([2]Pedidos!$Q:$Q,MATCH(F2432,[2]Pedidos!$E:$E,0))</f>
        <v>#N/A</v>
      </c>
      <c r="M2432" s="565" t="e">
        <f>J2432*INDEX([2]Pedidos!$Q:$Q,MATCH(G2432,[2]Pedidos!$E:$E,0))</f>
        <v>#N/A</v>
      </c>
      <c r="N2432" s="565" t="e">
        <f>K2432*INDEX([2]Pedidos!$Q:$Q,MATCH(H2432,[2]Pedidos!$E:$E,0))</f>
        <v>#N/A</v>
      </c>
      <c r="T2432" s="577" t="s">
        <v>386</v>
      </c>
      <c r="U2432" s="578">
        <f t="shared" si="187"/>
        <v>0</v>
      </c>
      <c r="V2432" s="578">
        <v>174</v>
      </c>
      <c r="W2432" s="582">
        <f>IFERROR(V2432*INDEX([2]Pedidos!$Q:$Q,MATCH(T2432,[2]Pedidos!$E:$E,0)),0)</f>
        <v>0</v>
      </c>
    </row>
    <row r="2433" spans="1:23" x14ac:dyDescent="0.25">
      <c r="A2433" s="753"/>
      <c r="C2433" s="527" t="s">
        <v>161</v>
      </c>
      <c r="D2433" s="449">
        <f t="shared" si="188"/>
        <v>46104</v>
      </c>
      <c r="E2433" s="454" t="s">
        <v>168</v>
      </c>
      <c r="F2433" s="460" t="s">
        <v>421</v>
      </c>
      <c r="G2433" s="460" t="s">
        <v>1021</v>
      </c>
      <c r="H2433" s="461" t="s">
        <v>1511</v>
      </c>
      <c r="I2433" s="540">
        <f>2800/5</f>
        <v>560</v>
      </c>
      <c r="J2433" s="540">
        <f>15500/23</f>
        <v>673.91304347826087</v>
      </c>
      <c r="K2433" s="540">
        <f>3000/5</f>
        <v>600</v>
      </c>
      <c r="L2433" s="565" t="e">
        <f>I2433*INDEX([2]Pedidos!$Q:$Q,MATCH(F2433,[2]Pedidos!$E:$E,0))</f>
        <v>#N/A</v>
      </c>
      <c r="M2433" s="565" t="e">
        <f>J2433*INDEX([2]Pedidos!$Q:$Q,MATCH(G2433,[2]Pedidos!$E:$E,0))</f>
        <v>#N/A</v>
      </c>
      <c r="N2433" s="565" t="e">
        <f>K2433*INDEX([2]Pedidos!$Q:$Q,MATCH(H2433,[2]Pedidos!$E:$E,0))</f>
        <v>#N/A</v>
      </c>
      <c r="T2433" s="577" t="s">
        <v>1021</v>
      </c>
      <c r="U2433" s="578">
        <f>SUMIF(G$2425:G$2512,T2433,J$2425:J$2512)</f>
        <v>15499.999999999993</v>
      </c>
      <c r="V2433" s="578">
        <v>13344</v>
      </c>
      <c r="W2433" s="582">
        <f>IFERROR(V2433*INDEX([2]Pedidos!$Q:$Q,MATCH(T2433,[2]Pedidos!$E:$E,0)),0)</f>
        <v>0</v>
      </c>
    </row>
    <row r="2434" spans="1:23" x14ac:dyDescent="0.25">
      <c r="A2434" s="753"/>
      <c r="C2434" s="527" t="s">
        <v>161</v>
      </c>
      <c r="D2434" s="449">
        <f t="shared" si="188"/>
        <v>46104</v>
      </c>
      <c r="E2434" s="454" t="s">
        <v>169</v>
      </c>
      <c r="F2434" s="460" t="s">
        <v>421</v>
      </c>
      <c r="G2434" s="460" t="s">
        <v>1021</v>
      </c>
      <c r="H2434" s="461" t="s">
        <v>1511</v>
      </c>
      <c r="I2434" s="540">
        <f>2800/5</f>
        <v>560</v>
      </c>
      <c r="J2434" s="540">
        <f>15500/23</f>
        <v>673.91304347826087</v>
      </c>
      <c r="K2434" s="540">
        <f>3000/5</f>
        <v>600</v>
      </c>
      <c r="L2434" s="565" t="e">
        <f>I2434*INDEX([2]Pedidos!$Q:$Q,MATCH(F2434,[2]Pedidos!$E:$E,0))</f>
        <v>#N/A</v>
      </c>
      <c r="M2434" s="565" t="e">
        <f>J2434*INDEX([2]Pedidos!$Q:$Q,MATCH(G2434,[2]Pedidos!$E:$E,0))</f>
        <v>#N/A</v>
      </c>
      <c r="N2434" s="565" t="e">
        <f>K2434*INDEX([2]Pedidos!$Q:$Q,MATCH(H2434,[2]Pedidos!$E:$E,0))</f>
        <v>#N/A</v>
      </c>
      <c r="T2434" s="577" t="s">
        <v>1023</v>
      </c>
      <c r="U2434" s="578">
        <f>SUMIF(G$2425:G$2512,T2434,J$2425:J$2512)</f>
        <v>11300.000000000002</v>
      </c>
      <c r="V2434" s="578">
        <v>0</v>
      </c>
      <c r="W2434" s="582">
        <f>IFERROR(V2434*INDEX([2]Pedidos!$Q:$Q,MATCH(T2434,[2]Pedidos!$E:$E,0)),0)</f>
        <v>0</v>
      </c>
    </row>
    <row r="2435" spans="1:23" x14ac:dyDescent="0.25">
      <c r="A2435" s="753"/>
      <c r="C2435" s="527" t="s">
        <v>161</v>
      </c>
      <c r="D2435" s="449">
        <f t="shared" si="188"/>
        <v>46104</v>
      </c>
      <c r="E2435" s="454" t="s">
        <v>170</v>
      </c>
      <c r="F2435" s="460" t="s">
        <v>421</v>
      </c>
      <c r="G2435" s="460" t="s">
        <v>1021</v>
      </c>
      <c r="H2435" s="504" t="s">
        <v>1511</v>
      </c>
      <c r="I2435" s="540">
        <f>2800/5</f>
        <v>560</v>
      </c>
      <c r="J2435" s="540">
        <f>15500/23</f>
        <v>673.91304347826087</v>
      </c>
      <c r="K2435" s="540">
        <f>3000/5</f>
        <v>600</v>
      </c>
      <c r="L2435" s="566" t="e">
        <f>I2435*INDEX([2]Pedidos!$Q:$Q,MATCH(F2435,[2]Pedidos!$E:$E,0))</f>
        <v>#N/A</v>
      </c>
      <c r="M2435" s="566" t="e">
        <f>J2435*INDEX([2]Pedidos!$Q:$Q,MATCH(G2435,[2]Pedidos!$E:$E,0))</f>
        <v>#N/A</v>
      </c>
      <c r="N2435" s="566" t="e">
        <f>K2435*INDEX([2]Pedidos!$Q:$Q,MATCH(H2435,[2]Pedidos!$E:$E,0))</f>
        <v>#N/A</v>
      </c>
      <c r="T2435" s="577" t="s">
        <v>1518</v>
      </c>
      <c r="U2435" s="578">
        <f>SUMIF(G$2425:G$2512,T2435,J$2425:J$2512)</f>
        <v>3811.3286568057506</v>
      </c>
      <c r="V2435" s="578">
        <v>0</v>
      </c>
      <c r="W2435" s="582">
        <f>IFERROR(V2435*INDEX([2]Pedidos!$Q:$Q,MATCH(T2435,[2]Pedidos!$E:$E,0)),0)</f>
        <v>0</v>
      </c>
    </row>
    <row r="2436" spans="1:23" x14ac:dyDescent="0.25">
      <c r="A2436" s="753"/>
      <c r="C2436" s="527" t="s">
        <v>161</v>
      </c>
      <c r="D2436" s="449">
        <f t="shared" si="188"/>
        <v>46104</v>
      </c>
      <c r="E2436" s="454" t="s">
        <v>585</v>
      </c>
      <c r="F2436" s="505"/>
      <c r="G2436" s="516"/>
      <c r="H2436" s="516"/>
      <c r="I2436" s="516"/>
      <c r="J2436" s="516"/>
      <c r="K2436" s="516"/>
      <c r="L2436" s="557"/>
      <c r="M2436" s="557"/>
      <c r="N2436" s="557"/>
      <c r="T2436" s="577" t="s">
        <v>1510</v>
      </c>
      <c r="U2436" s="578">
        <f>SUMIF(H$2425:H$2512,T2436,K$2425:K$2512)</f>
        <v>3000</v>
      </c>
      <c r="V2436" s="578">
        <v>3082</v>
      </c>
      <c r="W2436" s="582">
        <f>IFERROR(V2436*INDEX([2]Pedidos!$Q:$Q,MATCH(T2436,[2]Pedidos!$E:$E,0)),0)</f>
        <v>0</v>
      </c>
    </row>
    <row r="2437" spans="1:23" x14ac:dyDescent="0.25">
      <c r="A2437" s="753"/>
      <c r="C2437" s="527" t="s">
        <v>161</v>
      </c>
      <c r="D2437" s="449">
        <f t="shared" si="188"/>
        <v>46104</v>
      </c>
      <c r="E2437" s="455" t="s">
        <v>574</v>
      </c>
      <c r="F2437" s="505"/>
      <c r="G2437" s="516"/>
      <c r="H2437" s="516"/>
      <c r="I2437" s="516"/>
      <c r="J2437" s="516"/>
      <c r="K2437" s="516"/>
      <c r="L2437" s="557"/>
      <c r="M2437" s="557"/>
      <c r="N2437" s="557"/>
      <c r="T2437" s="577" t="s">
        <v>1511</v>
      </c>
      <c r="U2437" s="578">
        <f>SUMIF(H$2425:H$2512,T2437,K$2425:K$2512)</f>
        <v>3000</v>
      </c>
      <c r="V2437" s="578">
        <v>2744</v>
      </c>
      <c r="W2437" s="582">
        <f>IFERROR(V2437*INDEX([2]Pedidos!$Q:$Q,MATCH(T2437,[2]Pedidos!$E:$E,0)),0)</f>
        <v>0</v>
      </c>
    </row>
    <row r="2438" spans="1:23" x14ac:dyDescent="0.25">
      <c r="A2438" s="753"/>
      <c r="C2438" s="527" t="s">
        <v>161</v>
      </c>
      <c r="D2438" s="449">
        <f t="shared" si="188"/>
        <v>46104</v>
      </c>
      <c r="E2438" s="455" t="s">
        <v>575</v>
      </c>
      <c r="F2438" s="506"/>
      <c r="G2438" s="506"/>
      <c r="H2438" s="516"/>
      <c r="I2438" s="516"/>
      <c r="J2438" s="516"/>
      <c r="K2438" s="516"/>
      <c r="L2438" s="557"/>
      <c r="M2438" s="557"/>
      <c r="N2438" s="557"/>
      <c r="T2438" s="579" t="s">
        <v>1512</v>
      </c>
      <c r="U2438" s="580">
        <f>SUMIF(H$2425:H$2512,T2438,K$2425:K$2512)</f>
        <v>3000</v>
      </c>
      <c r="V2438" s="580">
        <v>2919</v>
      </c>
      <c r="W2438" s="583">
        <f>IFERROR(V2438*INDEX([2]Pedidos!$Q:$Q,MATCH(T2438,[2]Pedidos!$E:$E,0)),0)</f>
        <v>0</v>
      </c>
    </row>
    <row r="2439" spans="1:23" x14ac:dyDescent="0.25">
      <c r="A2439" s="753"/>
      <c r="C2439" s="527" t="s">
        <v>161</v>
      </c>
      <c r="D2439" s="449">
        <f t="shared" si="188"/>
        <v>46104</v>
      </c>
      <c r="E2439" s="503" t="s">
        <v>583</v>
      </c>
      <c r="F2439" s="506"/>
      <c r="G2439" s="506"/>
      <c r="H2439" s="516"/>
      <c r="I2439" s="516"/>
      <c r="J2439" s="516"/>
      <c r="K2439" s="516"/>
      <c r="L2439" s="557"/>
      <c r="M2439" s="557"/>
      <c r="N2439" s="557"/>
      <c r="T2439" s="573" t="s">
        <v>1521</v>
      </c>
      <c r="U2439" s="574">
        <f>SUM(U2425:U2438)</f>
        <v>66751.328656805737</v>
      </c>
      <c r="V2439" s="574">
        <f>SUM(V2425:V2438)</f>
        <v>39730</v>
      </c>
      <c r="W2439" s="584">
        <f>SUM(W2425:W2438)</f>
        <v>0</v>
      </c>
    </row>
    <row r="2440" spans="1:23" ht="15.75" thickBot="1" x14ac:dyDescent="0.3">
      <c r="A2440" s="753"/>
      <c r="C2440" s="528" t="s">
        <v>161</v>
      </c>
      <c r="D2440" s="451">
        <f t="shared" si="188"/>
        <v>46104</v>
      </c>
      <c r="E2440" s="459" t="s">
        <v>584</v>
      </c>
      <c r="F2440" s="493"/>
      <c r="G2440" s="493"/>
      <c r="H2440" s="513"/>
      <c r="I2440" s="513"/>
      <c r="J2440" s="513"/>
      <c r="K2440" s="513"/>
      <c r="L2440" s="558"/>
      <c r="M2440" s="558"/>
      <c r="N2440" s="558"/>
    </row>
    <row r="2441" spans="1:23" ht="4.5" customHeight="1" thickBot="1" x14ac:dyDescent="0.3">
      <c r="A2441" s="753"/>
      <c r="L2441" s="559"/>
      <c r="M2441" s="559"/>
      <c r="N2441" s="559"/>
      <c r="Q2441" s="3"/>
      <c r="R2441" s="3"/>
    </row>
    <row r="2442" spans="1:23" ht="15" customHeight="1" thickBot="1" x14ac:dyDescent="0.3">
      <c r="A2442" s="753"/>
      <c r="C2442" s="538"/>
      <c r="D2442" s="539"/>
      <c r="E2442" s="539"/>
      <c r="F2442" s="539"/>
      <c r="G2442" s="539"/>
      <c r="H2442" s="539"/>
      <c r="I2442" s="543">
        <f t="shared" ref="I2442:N2442" si="189">_xlfn.AGGREGATE(9,6,I2443:I2458)</f>
        <v>5580</v>
      </c>
      <c r="J2442" s="542">
        <f t="shared" si="189"/>
        <v>6065.217391304348</v>
      </c>
      <c r="K2442" s="544">
        <f t="shared" si="189"/>
        <v>3000</v>
      </c>
      <c r="L2442" s="560">
        <f t="shared" si="189"/>
        <v>0</v>
      </c>
      <c r="M2442" s="561">
        <f t="shared" si="189"/>
        <v>0</v>
      </c>
      <c r="N2442" s="562">
        <f t="shared" si="189"/>
        <v>0</v>
      </c>
      <c r="O2442" s="548">
        <f>SUM(I2442:K2442)</f>
        <v>14645.217391304348</v>
      </c>
      <c r="P2442" s="549">
        <f>SUM(L2442:N2442)</f>
        <v>0</v>
      </c>
      <c r="Q2442" s="3"/>
      <c r="R2442" s="3"/>
    </row>
    <row r="2443" spans="1:23" x14ac:dyDescent="0.25">
      <c r="A2443" s="753"/>
      <c r="C2443" s="446" t="s">
        <v>171</v>
      </c>
      <c r="D2443" s="497">
        <f>D2440+1</f>
        <v>46105</v>
      </c>
      <c r="E2443" s="498" t="s">
        <v>573</v>
      </c>
      <c r="F2443" s="514"/>
      <c r="G2443" s="514"/>
      <c r="H2443" s="515"/>
      <c r="I2443" s="537"/>
      <c r="J2443" s="537"/>
      <c r="K2443" s="537"/>
      <c r="L2443" s="563"/>
      <c r="M2443" s="563"/>
      <c r="N2443" s="563"/>
    </row>
    <row r="2444" spans="1:23" x14ac:dyDescent="0.25">
      <c r="A2444" s="753"/>
      <c r="C2444" s="452" t="s">
        <v>171</v>
      </c>
      <c r="D2444" s="499">
        <f t="shared" ref="D2444:D2458" si="190">D2443</f>
        <v>46105</v>
      </c>
      <c r="E2444" s="500" t="s">
        <v>162</v>
      </c>
      <c r="F2444" s="460" t="s">
        <v>421</v>
      </c>
      <c r="G2444" s="460" t="s">
        <v>1021</v>
      </c>
      <c r="H2444" s="501" t="s">
        <v>1512</v>
      </c>
      <c r="I2444" s="540">
        <f>1800/3</f>
        <v>600</v>
      </c>
      <c r="J2444" s="540">
        <f>15500/23</f>
        <v>673.91304347826087</v>
      </c>
      <c r="K2444" s="540">
        <f>3000/5</f>
        <v>600</v>
      </c>
      <c r="L2444" s="555" t="e">
        <f>I2444*INDEX([2]Pedidos!$Q:$Q,MATCH(F2444,[2]Pedidos!$E:$E,0))</f>
        <v>#N/A</v>
      </c>
      <c r="M2444" s="555" t="e">
        <f>J2444*INDEX([2]Pedidos!$Q:$Q,MATCH(G2444,[2]Pedidos!$E:$E,0))</f>
        <v>#N/A</v>
      </c>
      <c r="N2444" s="555" t="e">
        <f>K2444*INDEX([2]Pedidos!$Q:$Q,MATCH(H2444,[2]Pedidos!$E:$E,0))</f>
        <v>#N/A</v>
      </c>
    </row>
    <row r="2445" spans="1:23" x14ac:dyDescent="0.25">
      <c r="A2445" s="753"/>
      <c r="C2445" s="452" t="s">
        <v>171</v>
      </c>
      <c r="D2445" s="449">
        <f t="shared" si="190"/>
        <v>46105</v>
      </c>
      <c r="E2445" s="454" t="s">
        <v>163</v>
      </c>
      <c r="F2445" s="460" t="s">
        <v>421</v>
      </c>
      <c r="G2445" s="460" t="s">
        <v>1021</v>
      </c>
      <c r="H2445" s="460" t="s">
        <v>1512</v>
      </c>
      <c r="I2445" s="540">
        <f>1800/3</f>
        <v>600</v>
      </c>
      <c r="J2445" s="540">
        <f>15500/23</f>
        <v>673.91304347826087</v>
      </c>
      <c r="K2445" s="540">
        <f>3000/5</f>
        <v>600</v>
      </c>
      <c r="L2445" s="564" t="e">
        <f>I2445*INDEX([2]Pedidos!$Q:$Q,MATCH(F2445,[2]Pedidos!$E:$E,0))</f>
        <v>#N/A</v>
      </c>
      <c r="M2445" s="564" t="e">
        <f>J2445*INDEX([2]Pedidos!$Q:$Q,MATCH(G2445,[2]Pedidos!$E:$E,0))</f>
        <v>#N/A</v>
      </c>
      <c r="N2445" s="564" t="e">
        <f>K2445*INDEX([2]Pedidos!$Q:$Q,MATCH(H2445,[2]Pedidos!$E:$E,0))</f>
        <v>#N/A</v>
      </c>
    </row>
    <row r="2446" spans="1:23" x14ac:dyDescent="0.25">
      <c r="A2446" s="753"/>
      <c r="C2446" s="452" t="s">
        <v>171</v>
      </c>
      <c r="D2446" s="449">
        <f t="shared" si="190"/>
        <v>46105</v>
      </c>
      <c r="E2446" s="454" t="s">
        <v>164</v>
      </c>
      <c r="F2446" s="460" t="s">
        <v>421</v>
      </c>
      <c r="G2446" s="460" t="s">
        <v>1021</v>
      </c>
      <c r="H2446" s="460" t="s">
        <v>1512</v>
      </c>
      <c r="I2446" s="540">
        <f>1800/3</f>
        <v>600</v>
      </c>
      <c r="J2446" s="540">
        <f>15500/23</f>
        <v>673.91304347826087</v>
      </c>
      <c r="K2446" s="540">
        <f>3000/5</f>
        <v>600</v>
      </c>
      <c r="L2446" s="564" t="e">
        <f>I2446*INDEX([2]Pedidos!$Q:$Q,MATCH(F2446,[2]Pedidos!$E:$E,0))</f>
        <v>#N/A</v>
      </c>
      <c r="M2446" s="564" t="e">
        <f>J2446*INDEX([2]Pedidos!$Q:$Q,MATCH(G2446,[2]Pedidos!$E:$E,0))</f>
        <v>#N/A</v>
      </c>
      <c r="N2446" s="564" t="e">
        <f>K2446*INDEX([2]Pedidos!$Q:$Q,MATCH(H2446,[2]Pedidos!$E:$E,0))</f>
        <v>#N/A</v>
      </c>
    </row>
    <row r="2447" spans="1:23" x14ac:dyDescent="0.25">
      <c r="A2447" s="753"/>
      <c r="C2447" s="452" t="s">
        <v>171</v>
      </c>
      <c r="D2447" s="449">
        <f t="shared" si="190"/>
        <v>46105</v>
      </c>
      <c r="E2447" s="454" t="s">
        <v>165</v>
      </c>
      <c r="F2447" s="460" t="s">
        <v>1501</v>
      </c>
      <c r="G2447" s="460" t="s">
        <v>1021</v>
      </c>
      <c r="H2447" s="460" t="s">
        <v>1512</v>
      </c>
      <c r="I2447" s="540">
        <f>2520/4</f>
        <v>630</v>
      </c>
      <c r="J2447" s="540">
        <f>15500/23</f>
        <v>673.91304347826087</v>
      </c>
      <c r="K2447" s="540">
        <f>3000/5</f>
        <v>600</v>
      </c>
      <c r="L2447" s="564" t="e">
        <f>I2447*INDEX([2]Pedidos!$Q:$Q,MATCH(F2447,[2]Pedidos!$E:$E,0))</f>
        <v>#N/A</v>
      </c>
      <c r="M2447" s="564" t="e">
        <f>J2447*INDEX([2]Pedidos!$Q:$Q,MATCH(G2447,[2]Pedidos!$E:$E,0))</f>
        <v>#N/A</v>
      </c>
      <c r="N2447" s="564" t="e">
        <f>K2447*INDEX([2]Pedidos!$Q:$Q,MATCH(H2447,[2]Pedidos!$E:$E,0))</f>
        <v>#N/A</v>
      </c>
    </row>
    <row r="2448" spans="1:23" x14ac:dyDescent="0.25">
      <c r="A2448" s="753"/>
      <c r="C2448" s="452" t="s">
        <v>171</v>
      </c>
      <c r="D2448" s="449">
        <f t="shared" si="190"/>
        <v>46105</v>
      </c>
      <c r="E2448" s="454" t="s">
        <v>166</v>
      </c>
      <c r="F2448" s="460" t="s">
        <v>1501</v>
      </c>
      <c r="G2448" s="460" t="s">
        <v>1021</v>
      </c>
      <c r="H2448" s="460" t="s">
        <v>1512</v>
      </c>
      <c r="I2448" s="540">
        <f>2520/4</f>
        <v>630</v>
      </c>
      <c r="J2448" s="540">
        <f>15500/23</f>
        <v>673.91304347826087</v>
      </c>
      <c r="K2448" s="540">
        <f>3000/5</f>
        <v>600</v>
      </c>
      <c r="L2448" s="564" t="e">
        <f>I2448*INDEX([2]Pedidos!$Q:$Q,MATCH(F2448,[2]Pedidos!$E:$E,0))</f>
        <v>#N/A</v>
      </c>
      <c r="M2448" s="564" t="e">
        <f>J2448*INDEX([2]Pedidos!$Q:$Q,MATCH(G2448,[2]Pedidos!$E:$E,0))</f>
        <v>#N/A</v>
      </c>
      <c r="N2448" s="564" t="e">
        <f>K2448*INDEX([2]Pedidos!$Q:$Q,MATCH(H2448,[2]Pedidos!$E:$E,0))</f>
        <v>#N/A</v>
      </c>
    </row>
    <row r="2449" spans="1:18" x14ac:dyDescent="0.25">
      <c r="A2449" s="753"/>
      <c r="C2449" s="452" t="s">
        <v>171</v>
      </c>
      <c r="D2449" s="449">
        <f t="shared" si="190"/>
        <v>46105</v>
      </c>
      <c r="E2449" s="454" t="s">
        <v>576</v>
      </c>
      <c r="F2449" s="517"/>
      <c r="G2449" s="512"/>
      <c r="H2449" s="505"/>
      <c r="I2449" s="554"/>
      <c r="J2449" s="541"/>
      <c r="K2449" s="541"/>
      <c r="L2449" s="556"/>
      <c r="M2449" s="556"/>
      <c r="N2449" s="556"/>
    </row>
    <row r="2450" spans="1:18" x14ac:dyDescent="0.25">
      <c r="A2450" s="753"/>
      <c r="C2450" s="452" t="s">
        <v>171</v>
      </c>
      <c r="D2450" s="449">
        <f t="shared" si="190"/>
        <v>46105</v>
      </c>
      <c r="E2450" s="454" t="s">
        <v>167</v>
      </c>
      <c r="F2450" s="460" t="s">
        <v>1501</v>
      </c>
      <c r="G2450" s="460" t="s">
        <v>1021</v>
      </c>
      <c r="H2450" s="461"/>
      <c r="I2450" s="540">
        <f>2520/4</f>
        <v>630</v>
      </c>
      <c r="J2450" s="540">
        <f>15500/23</f>
        <v>673.91304347826087</v>
      </c>
      <c r="K2450" s="540" t="e">
        <f>INDEX([1]Produtos!$L:$L,MATCH(IF(ISNUMBER(FIND(" - ",H2450)),LEFT(H2450,FIND(" - ",H2450)-1),H2450),[1]Produtos!$C:$C,0))</f>
        <v>#N/A</v>
      </c>
      <c r="L2450" s="565" t="e">
        <f>I2450*INDEX([2]Pedidos!$Q:$Q,MATCH(F2450,[2]Pedidos!$E:$E,0))</f>
        <v>#N/A</v>
      </c>
      <c r="M2450" s="565" t="e">
        <f>J2450*INDEX([2]Pedidos!$Q:$Q,MATCH(G2450,[2]Pedidos!$E:$E,0))</f>
        <v>#N/A</v>
      </c>
      <c r="N2450" s="565" t="e">
        <f>K2450*INDEX([2]Pedidos!$Q:$Q,MATCH(H2450,[2]Pedidos!$E:$E,0))</f>
        <v>#N/A</v>
      </c>
    </row>
    <row r="2451" spans="1:18" x14ac:dyDescent="0.25">
      <c r="A2451" s="753"/>
      <c r="C2451" s="452" t="s">
        <v>171</v>
      </c>
      <c r="D2451" s="449">
        <f t="shared" si="190"/>
        <v>46105</v>
      </c>
      <c r="E2451" s="454" t="s">
        <v>168</v>
      </c>
      <c r="F2451" s="460" t="s">
        <v>1501</v>
      </c>
      <c r="G2451" s="460" t="s">
        <v>1021</v>
      </c>
      <c r="H2451" s="461"/>
      <c r="I2451" s="540">
        <f>2520/4</f>
        <v>630</v>
      </c>
      <c r="J2451" s="540">
        <f>15500/23</f>
        <v>673.91304347826087</v>
      </c>
      <c r="K2451" s="540" t="e">
        <f>INDEX([1]Produtos!$L:$L,MATCH(IF(ISNUMBER(FIND(" - ",H2451)),LEFT(H2451,FIND(" - ",H2451)-1),H2451),[1]Produtos!$C:$C,0))</f>
        <v>#N/A</v>
      </c>
      <c r="L2451" s="565" t="e">
        <f>I2451*INDEX([2]Pedidos!$Q:$Q,MATCH(F2451,[2]Pedidos!$E:$E,0))</f>
        <v>#N/A</v>
      </c>
      <c r="M2451" s="565" t="e">
        <f>J2451*INDEX([2]Pedidos!$Q:$Q,MATCH(G2451,[2]Pedidos!$E:$E,0))</f>
        <v>#N/A</v>
      </c>
      <c r="N2451" s="565" t="e">
        <f>K2451*INDEX([2]Pedidos!$Q:$Q,MATCH(H2451,[2]Pedidos!$E:$E,0))</f>
        <v>#N/A</v>
      </c>
    </row>
    <row r="2452" spans="1:18" x14ac:dyDescent="0.25">
      <c r="A2452" s="753"/>
      <c r="C2452" s="452" t="s">
        <v>171</v>
      </c>
      <c r="D2452" s="449">
        <f t="shared" si="190"/>
        <v>46105</v>
      </c>
      <c r="E2452" s="454" t="s">
        <v>169</v>
      </c>
      <c r="F2452" s="460" t="s">
        <v>1502</v>
      </c>
      <c r="G2452" s="460" t="s">
        <v>1021</v>
      </c>
      <c r="H2452" s="461"/>
      <c r="I2452" s="540">
        <f>2520/4</f>
        <v>630</v>
      </c>
      <c r="J2452" s="540">
        <f>15500/23</f>
        <v>673.91304347826087</v>
      </c>
      <c r="K2452" s="540" t="e">
        <f>INDEX([1]Produtos!$L:$L,MATCH(IF(ISNUMBER(FIND(" - ",H2452)),LEFT(H2452,FIND(" - ",H2452)-1),H2452),[1]Produtos!$C:$C,0))</f>
        <v>#N/A</v>
      </c>
      <c r="L2452" s="565" t="e">
        <f>I2452*INDEX([2]Pedidos!$Q:$Q,MATCH(F2452,[2]Pedidos!$E:$E,0))</f>
        <v>#N/A</v>
      </c>
      <c r="M2452" s="565" t="e">
        <f>J2452*INDEX([2]Pedidos!$Q:$Q,MATCH(G2452,[2]Pedidos!$E:$E,0))</f>
        <v>#N/A</v>
      </c>
      <c r="N2452" s="565" t="e">
        <f>K2452*INDEX([2]Pedidos!$Q:$Q,MATCH(H2452,[2]Pedidos!$E:$E,0))</f>
        <v>#N/A</v>
      </c>
    </row>
    <row r="2453" spans="1:18" x14ac:dyDescent="0.25">
      <c r="A2453" s="753"/>
      <c r="C2453" s="452" t="s">
        <v>171</v>
      </c>
      <c r="D2453" s="449">
        <f t="shared" si="190"/>
        <v>46105</v>
      </c>
      <c r="E2453" s="454" t="s">
        <v>170</v>
      </c>
      <c r="F2453" s="460" t="s">
        <v>1502</v>
      </c>
      <c r="G2453" s="460" t="s">
        <v>1021</v>
      </c>
      <c r="H2453" s="504"/>
      <c r="I2453" s="540">
        <f>2520/4</f>
        <v>630</v>
      </c>
      <c r="J2453" s="540">
        <f>15500/23</f>
        <v>673.91304347826087</v>
      </c>
      <c r="K2453" s="540" t="e">
        <f>INDEX([1]Produtos!$L:$L,MATCH(IF(ISNUMBER(FIND(" - ",H2453)),LEFT(H2453,FIND(" - ",H2453)-1),H2453),[1]Produtos!$C:$C,0))</f>
        <v>#N/A</v>
      </c>
      <c r="L2453" s="566" t="e">
        <f>I2453*INDEX([2]Pedidos!$Q:$Q,MATCH(F2453,[2]Pedidos!$E:$E,0))</f>
        <v>#N/A</v>
      </c>
      <c r="M2453" s="566" t="e">
        <f>J2453*INDEX([2]Pedidos!$Q:$Q,MATCH(G2453,[2]Pedidos!$E:$E,0))</f>
        <v>#N/A</v>
      </c>
      <c r="N2453" s="566" t="e">
        <f>K2453*INDEX([2]Pedidos!$Q:$Q,MATCH(H2453,[2]Pedidos!$E:$E,0))</f>
        <v>#N/A</v>
      </c>
    </row>
    <row r="2454" spans="1:18" x14ac:dyDescent="0.25">
      <c r="A2454" s="753"/>
      <c r="C2454" s="452" t="s">
        <v>171</v>
      </c>
      <c r="D2454" s="449">
        <f t="shared" si="190"/>
        <v>46105</v>
      </c>
      <c r="E2454" s="454" t="s">
        <v>585</v>
      </c>
      <c r="F2454" s="505"/>
      <c r="G2454" s="505"/>
      <c r="H2454" s="516"/>
      <c r="I2454" s="516"/>
      <c r="J2454" s="516"/>
      <c r="K2454" s="516"/>
      <c r="L2454" s="557"/>
      <c r="M2454" s="557"/>
      <c r="N2454" s="557"/>
    </row>
    <row r="2455" spans="1:18" x14ac:dyDescent="0.25">
      <c r="A2455" s="753"/>
      <c r="C2455" s="448" t="s">
        <v>171</v>
      </c>
      <c r="D2455" s="449">
        <f t="shared" si="190"/>
        <v>46105</v>
      </c>
      <c r="E2455" s="455" t="s">
        <v>574</v>
      </c>
      <c r="F2455" s="505"/>
      <c r="G2455" s="505"/>
      <c r="H2455" s="516"/>
      <c r="I2455" s="516"/>
      <c r="J2455" s="516"/>
      <c r="K2455" s="516"/>
      <c r="L2455" s="557"/>
      <c r="M2455" s="557"/>
      <c r="N2455" s="557"/>
    </row>
    <row r="2456" spans="1:18" x14ac:dyDescent="0.25">
      <c r="A2456" s="753"/>
      <c r="C2456" s="448" t="s">
        <v>171</v>
      </c>
      <c r="D2456" s="449">
        <f t="shared" si="190"/>
        <v>46105</v>
      </c>
      <c r="E2456" s="455" t="s">
        <v>575</v>
      </c>
      <c r="F2456" s="506"/>
      <c r="G2456" s="506"/>
      <c r="H2456" s="516"/>
      <c r="I2456" s="516"/>
      <c r="J2456" s="516"/>
      <c r="K2456" s="516"/>
      <c r="L2456" s="557"/>
      <c r="M2456" s="557"/>
      <c r="N2456" s="557"/>
    </row>
    <row r="2457" spans="1:18" x14ac:dyDescent="0.25">
      <c r="A2457" s="753"/>
      <c r="C2457" s="448" t="s">
        <v>171</v>
      </c>
      <c r="D2457" s="449">
        <f t="shared" si="190"/>
        <v>46105</v>
      </c>
      <c r="E2457" s="503" t="s">
        <v>583</v>
      </c>
      <c r="F2457" s="506"/>
      <c r="G2457" s="506"/>
      <c r="H2457" s="516"/>
      <c r="I2457" s="516"/>
      <c r="J2457" s="516"/>
      <c r="K2457" s="516"/>
      <c r="L2457" s="557"/>
      <c r="M2457" s="557"/>
      <c r="N2457" s="557"/>
    </row>
    <row r="2458" spans="1:18" ht="15.75" thickBot="1" x14ac:dyDescent="0.3">
      <c r="A2458" s="753"/>
      <c r="C2458" s="450" t="s">
        <v>171</v>
      </c>
      <c r="D2458" s="451">
        <f t="shared" si="190"/>
        <v>46105</v>
      </c>
      <c r="E2458" s="459" t="s">
        <v>584</v>
      </c>
      <c r="F2458" s="493"/>
      <c r="G2458" s="493"/>
      <c r="H2458" s="513"/>
      <c r="I2458" s="513"/>
      <c r="J2458" s="513"/>
      <c r="K2458" s="513"/>
      <c r="L2458" s="558"/>
      <c r="M2458" s="558"/>
      <c r="N2458" s="558"/>
    </row>
    <row r="2459" spans="1:18" ht="4.5" customHeight="1" thickBot="1" x14ac:dyDescent="0.3">
      <c r="A2459" s="753"/>
      <c r="L2459" s="559"/>
      <c r="M2459" s="559"/>
      <c r="N2459" s="559"/>
      <c r="Q2459" s="3"/>
      <c r="R2459" s="3"/>
    </row>
    <row r="2460" spans="1:18" ht="15" customHeight="1" thickBot="1" x14ac:dyDescent="0.3">
      <c r="A2460" s="753"/>
      <c r="C2460" s="538"/>
      <c r="D2460" s="539"/>
      <c r="E2460" s="539"/>
      <c r="F2460" s="539"/>
      <c r="G2460" s="539"/>
      <c r="H2460" s="539"/>
      <c r="I2460" s="543">
        <f t="shared" ref="I2460:N2460" si="191">_xlfn.AGGREGATE(9,6,I2461:I2476)</f>
        <v>6291.25</v>
      </c>
      <c r="J2460" s="542">
        <f t="shared" si="191"/>
        <v>6382.8985507246371</v>
      </c>
      <c r="K2460" s="544">
        <f t="shared" si="191"/>
        <v>0</v>
      </c>
      <c r="L2460" s="560">
        <f t="shared" si="191"/>
        <v>0</v>
      </c>
      <c r="M2460" s="561">
        <f t="shared" si="191"/>
        <v>0</v>
      </c>
      <c r="N2460" s="562">
        <f t="shared" si="191"/>
        <v>0</v>
      </c>
      <c r="O2460" s="548">
        <f>SUM(I2460:K2460)</f>
        <v>12674.148550724636</v>
      </c>
      <c r="P2460" s="549">
        <f>SUM(L2460:N2460)</f>
        <v>0</v>
      </c>
      <c r="Q2460" s="3"/>
      <c r="R2460" s="3"/>
    </row>
    <row r="2461" spans="1:18" x14ac:dyDescent="0.25">
      <c r="A2461" s="753"/>
      <c r="C2461" s="446" t="s">
        <v>172</v>
      </c>
      <c r="D2461" s="497">
        <f>D2458+1</f>
        <v>46106</v>
      </c>
      <c r="E2461" s="498" t="s">
        <v>573</v>
      </c>
      <c r="F2461" s="514"/>
      <c r="G2461" s="514"/>
      <c r="H2461" s="515"/>
      <c r="I2461" s="537"/>
      <c r="J2461" s="537"/>
      <c r="K2461" s="537"/>
      <c r="L2461" s="563"/>
      <c r="M2461" s="563"/>
      <c r="N2461" s="563"/>
    </row>
    <row r="2462" spans="1:18" x14ac:dyDescent="0.25">
      <c r="A2462" s="753"/>
      <c r="C2462" s="452" t="s">
        <v>172</v>
      </c>
      <c r="D2462" s="499">
        <f t="shared" ref="D2462:D2476" si="192">D2461</f>
        <v>46106</v>
      </c>
      <c r="E2462" s="500" t="s">
        <v>162</v>
      </c>
      <c r="F2462" s="460" t="s">
        <v>1502</v>
      </c>
      <c r="G2462" s="460" t="s">
        <v>1021</v>
      </c>
      <c r="H2462" s="501"/>
      <c r="I2462" s="540">
        <f>2520/4</f>
        <v>630</v>
      </c>
      <c r="J2462" s="540">
        <f>15500/23</f>
        <v>673.91304347826087</v>
      </c>
      <c r="K2462" s="540" t="e">
        <f>INDEX([1]Produtos!$L:$L,MATCH(IF(ISNUMBER(FIND(" - ",H2462)),LEFT(H2462,FIND(" - ",H2462)-1),H2462),[1]Produtos!$C:$C,0))</f>
        <v>#N/A</v>
      </c>
      <c r="L2462" s="555" t="e">
        <f>I2462*INDEX([2]Pedidos!$Q:$Q,MATCH(F2462,[2]Pedidos!$E:$E,0))</f>
        <v>#N/A</v>
      </c>
      <c r="M2462" s="555" t="e">
        <f>J2462*INDEX([2]Pedidos!$Q:$Q,MATCH(G2462,[2]Pedidos!$E:$E,0))</f>
        <v>#N/A</v>
      </c>
      <c r="N2462" s="555" t="e">
        <f>K2462*INDEX([2]Pedidos!$Q:$Q,MATCH(H2462,[2]Pedidos!$E:$E,0))</f>
        <v>#N/A</v>
      </c>
    </row>
    <row r="2463" spans="1:18" x14ac:dyDescent="0.25">
      <c r="A2463" s="753"/>
      <c r="C2463" s="452" t="s">
        <v>172</v>
      </c>
      <c r="D2463" s="449">
        <f t="shared" si="192"/>
        <v>46106</v>
      </c>
      <c r="E2463" s="454" t="s">
        <v>163</v>
      </c>
      <c r="F2463" s="460" t="s">
        <v>1502</v>
      </c>
      <c r="G2463" s="460" t="s">
        <v>1021</v>
      </c>
      <c r="H2463" s="460"/>
      <c r="I2463" s="540">
        <f>2520/4</f>
        <v>630</v>
      </c>
      <c r="J2463" s="540">
        <f>15500/23</f>
        <v>673.91304347826087</v>
      </c>
      <c r="K2463" s="540" t="e">
        <f>INDEX([1]Produtos!$L:$L,MATCH(IF(ISNUMBER(FIND(" - ",H2463)),LEFT(H2463,FIND(" - ",H2463)-1),H2463),[1]Produtos!$C:$C,0))</f>
        <v>#N/A</v>
      </c>
      <c r="L2463" s="564" t="e">
        <f>I2463*INDEX([2]Pedidos!$Q:$Q,MATCH(F2463,[2]Pedidos!$E:$E,0))</f>
        <v>#N/A</v>
      </c>
      <c r="M2463" s="564" t="e">
        <f>J2463*INDEX([2]Pedidos!$Q:$Q,MATCH(G2463,[2]Pedidos!$E:$E,0))</f>
        <v>#N/A</v>
      </c>
      <c r="N2463" s="564" t="e">
        <f>K2463*INDEX([2]Pedidos!$Q:$Q,MATCH(H2463,[2]Pedidos!$E:$E,0))</f>
        <v>#N/A</v>
      </c>
    </row>
    <row r="2464" spans="1:18" x14ac:dyDescent="0.25">
      <c r="A2464" s="753"/>
      <c r="C2464" s="452" t="s">
        <v>172</v>
      </c>
      <c r="D2464" s="449">
        <f t="shared" si="192"/>
        <v>46106</v>
      </c>
      <c r="E2464" s="454" t="s">
        <v>164</v>
      </c>
      <c r="F2464" s="460" t="s">
        <v>1024</v>
      </c>
      <c r="G2464" s="460" t="s">
        <v>1021</v>
      </c>
      <c r="H2464" s="460"/>
      <c r="I2464" s="540">
        <f>11500/16</f>
        <v>718.75</v>
      </c>
      <c r="J2464" s="540">
        <f>15500/23</f>
        <v>673.91304347826087</v>
      </c>
      <c r="K2464" s="540" t="e">
        <f>INDEX([1]Produtos!$L:$L,MATCH(IF(ISNUMBER(FIND(" - ",H2464)),LEFT(H2464,FIND(" - ",H2464)-1),H2464),[1]Produtos!$C:$C,0))</f>
        <v>#N/A</v>
      </c>
      <c r="L2464" s="564" t="e">
        <f>I2464*INDEX([2]Pedidos!$Q:$Q,MATCH(F2464,[2]Pedidos!$E:$E,0))</f>
        <v>#N/A</v>
      </c>
      <c r="M2464" s="564" t="e">
        <f>J2464*INDEX([2]Pedidos!$Q:$Q,MATCH(G2464,[2]Pedidos!$E:$E,0))</f>
        <v>#N/A</v>
      </c>
      <c r="N2464" s="564" t="e">
        <f>K2464*INDEX([2]Pedidos!$Q:$Q,MATCH(H2464,[2]Pedidos!$E:$E,0))</f>
        <v>#N/A</v>
      </c>
    </row>
    <row r="2465" spans="1:18" x14ac:dyDescent="0.25">
      <c r="A2465" s="753"/>
      <c r="C2465" s="452" t="s">
        <v>172</v>
      </c>
      <c r="D2465" s="449">
        <f t="shared" si="192"/>
        <v>46106</v>
      </c>
      <c r="E2465" s="454" t="s">
        <v>165</v>
      </c>
      <c r="F2465" s="460" t="s">
        <v>1024</v>
      </c>
      <c r="G2465" s="460" t="s">
        <v>1021</v>
      </c>
      <c r="H2465" s="460"/>
      <c r="I2465" s="540">
        <f>11500/16</f>
        <v>718.75</v>
      </c>
      <c r="J2465" s="540">
        <f>15500/23</f>
        <v>673.91304347826087</v>
      </c>
      <c r="K2465" s="540" t="e">
        <f>INDEX([1]Produtos!$L:$L,MATCH(IF(ISNUMBER(FIND(" - ",H2465)),LEFT(H2465,FIND(" - ",H2465)-1),H2465),[1]Produtos!$C:$C,0))</f>
        <v>#N/A</v>
      </c>
      <c r="L2465" s="564" t="e">
        <f>I2465*INDEX([2]Pedidos!$Q:$Q,MATCH(F2465,[2]Pedidos!$E:$E,0))</f>
        <v>#N/A</v>
      </c>
      <c r="M2465" s="564" t="e">
        <f>J2465*INDEX([2]Pedidos!$Q:$Q,MATCH(G2465,[2]Pedidos!$E:$E,0))</f>
        <v>#N/A</v>
      </c>
      <c r="N2465" s="564" t="e">
        <f>K2465*INDEX([2]Pedidos!$Q:$Q,MATCH(H2465,[2]Pedidos!$E:$E,0))</f>
        <v>#N/A</v>
      </c>
    </row>
    <row r="2466" spans="1:18" x14ac:dyDescent="0.25">
      <c r="A2466" s="753"/>
      <c r="C2466" s="452" t="s">
        <v>172</v>
      </c>
      <c r="D2466" s="449">
        <f t="shared" si="192"/>
        <v>46106</v>
      </c>
      <c r="E2466" s="454" t="s">
        <v>166</v>
      </c>
      <c r="F2466" s="460" t="s">
        <v>1024</v>
      </c>
      <c r="G2466" s="460" t="s">
        <v>1021</v>
      </c>
      <c r="H2466" s="460"/>
      <c r="I2466" s="540">
        <f>11500/16</f>
        <v>718.75</v>
      </c>
      <c r="J2466" s="540">
        <f>15500/23</f>
        <v>673.91304347826087</v>
      </c>
      <c r="K2466" s="540" t="e">
        <f>INDEX([1]Produtos!$L:$L,MATCH(IF(ISNUMBER(FIND(" - ",H2466)),LEFT(H2466,FIND(" - ",H2466)-1),H2466),[1]Produtos!$C:$C,0))</f>
        <v>#N/A</v>
      </c>
      <c r="L2466" s="564" t="e">
        <f>I2466*INDEX([2]Pedidos!$Q:$Q,MATCH(F2466,[2]Pedidos!$E:$E,0))</f>
        <v>#N/A</v>
      </c>
      <c r="M2466" s="564" t="e">
        <f>J2466*INDEX([2]Pedidos!$Q:$Q,MATCH(G2466,[2]Pedidos!$E:$E,0))</f>
        <v>#N/A</v>
      </c>
      <c r="N2466" s="564" t="e">
        <f>K2466*INDEX([2]Pedidos!$Q:$Q,MATCH(H2466,[2]Pedidos!$E:$E,0))</f>
        <v>#N/A</v>
      </c>
    </row>
    <row r="2467" spans="1:18" x14ac:dyDescent="0.25">
      <c r="A2467" s="753"/>
      <c r="C2467" s="452" t="s">
        <v>172</v>
      </c>
      <c r="D2467" s="449">
        <f t="shared" si="192"/>
        <v>46106</v>
      </c>
      <c r="E2467" s="454" t="s">
        <v>576</v>
      </c>
      <c r="F2467" s="517"/>
      <c r="G2467" s="512"/>
      <c r="H2467" s="505"/>
      <c r="I2467" s="541"/>
      <c r="J2467" s="541"/>
      <c r="K2467" s="541"/>
      <c r="L2467" s="556"/>
      <c r="M2467" s="556"/>
      <c r="N2467" s="556"/>
    </row>
    <row r="2468" spans="1:18" x14ac:dyDescent="0.25">
      <c r="A2468" s="753"/>
      <c r="C2468" s="452" t="s">
        <v>172</v>
      </c>
      <c r="D2468" s="449">
        <f t="shared" si="192"/>
        <v>46106</v>
      </c>
      <c r="E2468" s="454" t="s">
        <v>167</v>
      </c>
      <c r="F2468" s="460" t="s">
        <v>1024</v>
      </c>
      <c r="G2468" s="460" t="s">
        <v>1023</v>
      </c>
      <c r="H2468" s="461"/>
      <c r="I2468" s="540">
        <f>11500/16</f>
        <v>718.75</v>
      </c>
      <c r="J2468" s="540">
        <f>11300/15</f>
        <v>753.33333333333337</v>
      </c>
      <c r="K2468" s="540" t="e">
        <f>INDEX([1]Produtos!$L:$L,MATCH(IF(ISNUMBER(FIND(" - ",H2468)),LEFT(H2468,FIND(" - ",H2468)-1),H2468),[1]Produtos!$C:$C,0))</f>
        <v>#N/A</v>
      </c>
      <c r="L2468" s="565" t="e">
        <f>I2468*INDEX([2]Pedidos!$Q:$Q,MATCH(F2468,[2]Pedidos!$E:$E,0))</f>
        <v>#N/A</v>
      </c>
      <c r="M2468" s="565" t="e">
        <f>J2468*INDEX([2]Pedidos!$Q:$Q,MATCH(G2468,[2]Pedidos!$E:$E,0))</f>
        <v>#N/A</v>
      </c>
      <c r="N2468" s="565" t="e">
        <f>K2468*INDEX([2]Pedidos!$Q:$Q,MATCH(H2468,[2]Pedidos!$E:$E,0))</f>
        <v>#N/A</v>
      </c>
    </row>
    <row r="2469" spans="1:18" x14ac:dyDescent="0.25">
      <c r="A2469" s="753"/>
      <c r="C2469" s="452" t="s">
        <v>172</v>
      </c>
      <c r="D2469" s="449">
        <f t="shared" si="192"/>
        <v>46106</v>
      </c>
      <c r="E2469" s="454" t="s">
        <v>168</v>
      </c>
      <c r="F2469" s="460" t="s">
        <v>1024</v>
      </c>
      <c r="G2469" s="460" t="s">
        <v>1023</v>
      </c>
      <c r="H2469" s="461"/>
      <c r="I2469" s="540">
        <f>11500/16</f>
        <v>718.75</v>
      </c>
      <c r="J2469" s="540">
        <f>11300/15</f>
        <v>753.33333333333337</v>
      </c>
      <c r="K2469" s="540" t="e">
        <f>INDEX([1]Produtos!$L:$L,MATCH(IF(ISNUMBER(FIND(" - ",H2469)),LEFT(H2469,FIND(" - ",H2469)-1),H2469),[1]Produtos!$C:$C,0))</f>
        <v>#N/A</v>
      </c>
      <c r="L2469" s="565" t="e">
        <f>I2469*INDEX([2]Pedidos!$Q:$Q,MATCH(F2469,[2]Pedidos!$E:$E,0))</f>
        <v>#N/A</v>
      </c>
      <c r="M2469" s="565" t="e">
        <f>J2469*INDEX([2]Pedidos!$Q:$Q,MATCH(G2469,[2]Pedidos!$E:$E,0))</f>
        <v>#N/A</v>
      </c>
      <c r="N2469" s="565" t="e">
        <f>K2469*INDEX([2]Pedidos!$Q:$Q,MATCH(H2469,[2]Pedidos!$E:$E,0))</f>
        <v>#N/A</v>
      </c>
    </row>
    <row r="2470" spans="1:18" x14ac:dyDescent="0.25">
      <c r="A2470" s="753"/>
      <c r="C2470" s="452" t="s">
        <v>172</v>
      </c>
      <c r="D2470" s="449">
        <f t="shared" si="192"/>
        <v>46106</v>
      </c>
      <c r="E2470" s="454" t="s">
        <v>169</v>
      </c>
      <c r="F2470" s="460" t="s">
        <v>1024</v>
      </c>
      <c r="G2470" s="460" t="s">
        <v>1023</v>
      </c>
      <c r="H2470" s="461"/>
      <c r="I2470" s="540">
        <f>11500/16</f>
        <v>718.75</v>
      </c>
      <c r="J2470" s="540">
        <f>11300/15</f>
        <v>753.33333333333337</v>
      </c>
      <c r="K2470" s="540" t="e">
        <f>INDEX([1]Produtos!$L:$L,MATCH(IF(ISNUMBER(FIND(" - ",H2470)),LEFT(H2470,FIND(" - ",H2470)-1),H2470),[1]Produtos!$C:$C,0))</f>
        <v>#N/A</v>
      </c>
      <c r="L2470" s="565" t="e">
        <f>I2470*INDEX([2]Pedidos!$Q:$Q,MATCH(F2470,[2]Pedidos!$E:$E,0))</f>
        <v>#N/A</v>
      </c>
      <c r="M2470" s="565" t="e">
        <f>J2470*INDEX([2]Pedidos!$Q:$Q,MATCH(G2470,[2]Pedidos!$E:$E,0))</f>
        <v>#N/A</v>
      </c>
      <c r="N2470" s="565" t="e">
        <f>K2470*INDEX([2]Pedidos!$Q:$Q,MATCH(H2470,[2]Pedidos!$E:$E,0))</f>
        <v>#N/A</v>
      </c>
    </row>
    <row r="2471" spans="1:18" x14ac:dyDescent="0.25">
      <c r="A2471" s="753"/>
      <c r="C2471" s="452" t="s">
        <v>172</v>
      </c>
      <c r="D2471" s="449">
        <f t="shared" si="192"/>
        <v>46106</v>
      </c>
      <c r="E2471" s="454" t="s">
        <v>170</v>
      </c>
      <c r="F2471" s="460" t="s">
        <v>1024</v>
      </c>
      <c r="G2471" s="460" t="s">
        <v>1023</v>
      </c>
      <c r="H2471" s="504"/>
      <c r="I2471" s="540">
        <f>11500/16</f>
        <v>718.75</v>
      </c>
      <c r="J2471" s="540">
        <f>11300/15</f>
        <v>753.33333333333337</v>
      </c>
      <c r="K2471" s="540" t="e">
        <f>INDEX([1]Produtos!$L:$L,MATCH(IF(ISNUMBER(FIND(" - ",H2471)),LEFT(H2471,FIND(" - ",H2471)-1),H2471),[1]Produtos!$C:$C,0))</f>
        <v>#N/A</v>
      </c>
      <c r="L2471" s="565" t="e">
        <f>I2471*INDEX([2]Pedidos!$Q:$Q,MATCH(F2471,[2]Pedidos!$E:$E,0))</f>
        <v>#N/A</v>
      </c>
      <c r="M2471" s="566" t="e">
        <f>J2471*INDEX([2]Pedidos!$Q:$Q,MATCH(G2471,[2]Pedidos!$E:$E,0))</f>
        <v>#N/A</v>
      </c>
      <c r="N2471" s="566" t="e">
        <f>K2471*INDEX([2]Pedidos!$Q:$Q,MATCH(H2471,[2]Pedidos!$E:$E,0))</f>
        <v>#N/A</v>
      </c>
    </row>
    <row r="2472" spans="1:18" x14ac:dyDescent="0.25">
      <c r="A2472" s="753"/>
      <c r="C2472" s="452" t="s">
        <v>172</v>
      </c>
      <c r="D2472" s="449">
        <f t="shared" si="192"/>
        <v>46106</v>
      </c>
      <c r="E2472" s="454" t="s">
        <v>585</v>
      </c>
      <c r="F2472" s="505"/>
      <c r="G2472" s="505"/>
      <c r="H2472" s="516"/>
      <c r="I2472" s="516"/>
      <c r="J2472" s="516"/>
      <c r="K2472" s="516"/>
      <c r="L2472" s="557"/>
      <c r="M2472" s="557"/>
      <c r="N2472" s="557"/>
    </row>
    <row r="2473" spans="1:18" x14ac:dyDescent="0.25">
      <c r="A2473" s="753"/>
      <c r="C2473" s="448" t="s">
        <v>172</v>
      </c>
      <c r="D2473" s="449">
        <f t="shared" si="192"/>
        <v>46106</v>
      </c>
      <c r="E2473" s="455" t="s">
        <v>574</v>
      </c>
      <c r="F2473" s="505"/>
      <c r="G2473" s="505"/>
      <c r="H2473" s="516"/>
      <c r="I2473" s="516"/>
      <c r="J2473" s="516"/>
      <c r="K2473" s="516"/>
      <c r="L2473" s="557"/>
      <c r="M2473" s="557"/>
      <c r="N2473" s="557"/>
    </row>
    <row r="2474" spans="1:18" x14ac:dyDescent="0.25">
      <c r="A2474" s="753"/>
      <c r="C2474" s="448" t="s">
        <v>172</v>
      </c>
      <c r="D2474" s="449">
        <f t="shared" si="192"/>
        <v>46106</v>
      </c>
      <c r="E2474" s="455" t="s">
        <v>575</v>
      </c>
      <c r="F2474" s="506"/>
      <c r="G2474" s="506"/>
      <c r="H2474" s="516"/>
      <c r="I2474" s="516"/>
      <c r="J2474" s="516"/>
      <c r="K2474" s="516"/>
      <c r="L2474" s="557"/>
      <c r="M2474" s="557"/>
      <c r="N2474" s="557"/>
    </row>
    <row r="2475" spans="1:18" x14ac:dyDescent="0.25">
      <c r="A2475" s="753"/>
      <c r="C2475" s="448" t="s">
        <v>172</v>
      </c>
      <c r="D2475" s="449">
        <f t="shared" si="192"/>
        <v>46106</v>
      </c>
      <c r="E2475" s="503" t="s">
        <v>583</v>
      </c>
      <c r="F2475" s="506"/>
      <c r="G2475" s="506"/>
      <c r="H2475" s="516"/>
      <c r="I2475" s="516"/>
      <c r="J2475" s="516"/>
      <c r="K2475" s="516"/>
      <c r="L2475" s="557"/>
      <c r="M2475" s="557"/>
      <c r="N2475" s="557"/>
    </row>
    <row r="2476" spans="1:18" ht="15.75" thickBot="1" x14ac:dyDescent="0.3">
      <c r="A2476" s="753"/>
      <c r="C2476" s="450" t="s">
        <v>172</v>
      </c>
      <c r="D2476" s="451">
        <f t="shared" si="192"/>
        <v>46106</v>
      </c>
      <c r="E2476" s="459" t="s">
        <v>584</v>
      </c>
      <c r="F2476" s="493"/>
      <c r="G2476" s="493"/>
      <c r="H2476" s="513"/>
      <c r="I2476" s="513"/>
      <c r="J2476" s="513"/>
      <c r="K2476" s="513"/>
      <c r="L2476" s="558"/>
      <c r="M2476" s="558"/>
      <c r="N2476" s="558"/>
    </row>
    <row r="2477" spans="1:18" ht="4.5" customHeight="1" thickBot="1" x14ac:dyDescent="0.3">
      <c r="A2477" s="753"/>
      <c r="L2477" s="559"/>
      <c r="M2477" s="559"/>
      <c r="N2477" s="559"/>
      <c r="Q2477" s="3"/>
      <c r="R2477" s="3"/>
    </row>
    <row r="2478" spans="1:18" ht="15" customHeight="1" thickBot="1" x14ac:dyDescent="0.3">
      <c r="A2478" s="753"/>
      <c r="C2478" s="538"/>
      <c r="D2478" s="539"/>
      <c r="E2478" s="539"/>
      <c r="F2478" s="539"/>
      <c r="G2478" s="539"/>
      <c r="H2478" s="539"/>
      <c r="I2478" s="543">
        <f t="shared" ref="I2478:N2478" si="193">_xlfn.AGGREGATE(9,6,I2479:I2494)</f>
        <v>6468.75</v>
      </c>
      <c r="J2478" s="542">
        <f t="shared" si="193"/>
        <v>6779.9999999999991</v>
      </c>
      <c r="K2478" s="544">
        <f t="shared" si="193"/>
        <v>0</v>
      </c>
      <c r="L2478" s="560">
        <f t="shared" si="193"/>
        <v>0</v>
      </c>
      <c r="M2478" s="561">
        <f t="shared" si="193"/>
        <v>0</v>
      </c>
      <c r="N2478" s="562">
        <f t="shared" si="193"/>
        <v>0</v>
      </c>
      <c r="O2478" s="548">
        <f>SUM(I2478:K2478)</f>
        <v>13248.75</v>
      </c>
      <c r="P2478" s="549">
        <f>SUM(L2478:N2478)</f>
        <v>0</v>
      </c>
      <c r="Q2478" s="3"/>
      <c r="R2478" s="3"/>
    </row>
    <row r="2479" spans="1:18" x14ac:dyDescent="0.25">
      <c r="A2479" s="753"/>
      <c r="C2479" s="529" t="s">
        <v>173</v>
      </c>
      <c r="D2479" s="447">
        <f>D2476+1</f>
        <v>46107</v>
      </c>
      <c r="E2479" s="498" t="s">
        <v>573</v>
      </c>
      <c r="F2479" s="514"/>
      <c r="G2479" s="514"/>
      <c r="H2479" s="515"/>
      <c r="I2479" s="537"/>
      <c r="J2479" s="537"/>
      <c r="K2479" s="537"/>
      <c r="L2479" s="563"/>
      <c r="M2479" s="563"/>
      <c r="N2479" s="563"/>
    </row>
    <row r="2480" spans="1:18" x14ac:dyDescent="0.25">
      <c r="A2480" s="753"/>
      <c r="C2480" s="452" t="s">
        <v>173</v>
      </c>
      <c r="D2480" s="453">
        <f t="shared" ref="D2480:D2494" si="194">D2479</f>
        <v>46107</v>
      </c>
      <c r="E2480" s="500" t="s">
        <v>162</v>
      </c>
      <c r="F2480" s="460" t="s">
        <v>1024</v>
      </c>
      <c r="G2480" s="460" t="s">
        <v>1023</v>
      </c>
      <c r="H2480" s="501"/>
      <c r="I2480" s="540">
        <f>11500/16</f>
        <v>718.75</v>
      </c>
      <c r="J2480" s="540">
        <f>11300/15</f>
        <v>753.33333333333337</v>
      </c>
      <c r="K2480" s="540" t="e">
        <f>INDEX([1]Produtos!$L:$L,MATCH(IF(ISNUMBER(FIND(" - ",H2480)),LEFT(H2480,FIND(" - ",H2480)-1),H2480),[1]Produtos!$C:$C,0))</f>
        <v>#N/A</v>
      </c>
      <c r="L2480" s="555" t="e">
        <f>I2480*INDEX([2]Pedidos!$Q:$Q,MATCH(F2480,[2]Pedidos!$E:$E,0))</f>
        <v>#N/A</v>
      </c>
      <c r="M2480" s="555" t="e">
        <f>J2480*INDEX([2]Pedidos!$Q:$Q,MATCH(G2480,[2]Pedidos!$E:$E,0))</f>
        <v>#N/A</v>
      </c>
      <c r="N2480" s="555" t="e">
        <f>K2480*INDEX([2]Pedidos!$Q:$Q,MATCH(H2480,[2]Pedidos!$E:$E,0))</f>
        <v>#N/A</v>
      </c>
    </row>
    <row r="2481" spans="1:18" x14ac:dyDescent="0.25">
      <c r="A2481" s="753"/>
      <c r="C2481" s="452" t="s">
        <v>173</v>
      </c>
      <c r="D2481" s="453">
        <f t="shared" si="194"/>
        <v>46107</v>
      </c>
      <c r="E2481" s="454" t="s">
        <v>163</v>
      </c>
      <c r="F2481" s="460" t="s">
        <v>1024</v>
      </c>
      <c r="G2481" s="460" t="s">
        <v>1023</v>
      </c>
      <c r="H2481" s="460"/>
      <c r="I2481" s="540">
        <f>11500/16</f>
        <v>718.75</v>
      </c>
      <c r="J2481" s="540">
        <f>11300/15</f>
        <v>753.33333333333337</v>
      </c>
      <c r="K2481" s="540" t="e">
        <f>INDEX([1]Produtos!$L:$L,MATCH(IF(ISNUMBER(FIND(" - ",H2481)),LEFT(H2481,FIND(" - ",H2481)-1),H2481),[1]Produtos!$C:$C,0))</f>
        <v>#N/A</v>
      </c>
      <c r="L2481" s="564" t="e">
        <f>I2481*INDEX([2]Pedidos!$Q:$Q,MATCH(F2481,[2]Pedidos!$E:$E,0))</f>
        <v>#N/A</v>
      </c>
      <c r="M2481" s="564" t="e">
        <f>J2481*INDEX([2]Pedidos!$Q:$Q,MATCH(G2481,[2]Pedidos!$E:$E,0))</f>
        <v>#N/A</v>
      </c>
      <c r="N2481" s="564" t="e">
        <f>K2481*INDEX([2]Pedidos!$Q:$Q,MATCH(H2481,[2]Pedidos!$E:$E,0))</f>
        <v>#N/A</v>
      </c>
    </row>
    <row r="2482" spans="1:18" x14ac:dyDescent="0.25">
      <c r="A2482" s="753"/>
      <c r="C2482" s="452" t="s">
        <v>173</v>
      </c>
      <c r="D2482" s="453">
        <f t="shared" si="194"/>
        <v>46107</v>
      </c>
      <c r="E2482" s="454" t="s">
        <v>164</v>
      </c>
      <c r="F2482" s="460" t="s">
        <v>1024</v>
      </c>
      <c r="G2482" s="460" t="s">
        <v>1023</v>
      </c>
      <c r="H2482" s="460"/>
      <c r="I2482" s="540">
        <f>11500/16</f>
        <v>718.75</v>
      </c>
      <c r="J2482" s="540">
        <f>11300/15</f>
        <v>753.33333333333337</v>
      </c>
      <c r="K2482" s="540" t="e">
        <f>INDEX([1]Produtos!$L:$L,MATCH(IF(ISNUMBER(FIND(" - ",H2482)),LEFT(H2482,FIND(" - ",H2482)-1),H2482),[1]Produtos!$C:$C,0))</f>
        <v>#N/A</v>
      </c>
      <c r="L2482" s="564" t="e">
        <f>I2482*INDEX([2]Pedidos!$Q:$Q,MATCH(F2482,[2]Pedidos!$E:$E,0))</f>
        <v>#N/A</v>
      </c>
      <c r="M2482" s="564" t="e">
        <f>J2482*INDEX([2]Pedidos!$Q:$Q,MATCH(G2482,[2]Pedidos!$E:$E,0))</f>
        <v>#N/A</v>
      </c>
      <c r="N2482" s="564" t="e">
        <f>K2482*INDEX([2]Pedidos!$Q:$Q,MATCH(H2482,[2]Pedidos!$E:$E,0))</f>
        <v>#N/A</v>
      </c>
    </row>
    <row r="2483" spans="1:18" x14ac:dyDescent="0.25">
      <c r="A2483" s="753"/>
      <c r="C2483" s="452" t="s">
        <v>173</v>
      </c>
      <c r="D2483" s="453">
        <f t="shared" si="194"/>
        <v>46107</v>
      </c>
      <c r="E2483" s="454" t="s">
        <v>165</v>
      </c>
      <c r="F2483" s="460" t="s">
        <v>1024</v>
      </c>
      <c r="G2483" s="460" t="s">
        <v>1023</v>
      </c>
      <c r="H2483" s="460"/>
      <c r="I2483" s="540">
        <f>11500/16</f>
        <v>718.75</v>
      </c>
      <c r="J2483" s="540">
        <f>11300/15</f>
        <v>753.33333333333337</v>
      </c>
      <c r="K2483" s="540" t="e">
        <f>INDEX([1]Produtos!$L:$L,MATCH(IF(ISNUMBER(FIND(" - ",H2483)),LEFT(H2483,FIND(" - ",H2483)-1),H2483),[1]Produtos!$C:$C,0))</f>
        <v>#N/A</v>
      </c>
      <c r="L2483" s="564" t="e">
        <f>I2483*INDEX([2]Pedidos!$Q:$Q,MATCH(F2483,[2]Pedidos!$E:$E,0))</f>
        <v>#N/A</v>
      </c>
      <c r="M2483" s="564" t="e">
        <f>J2483*INDEX([2]Pedidos!$Q:$Q,MATCH(G2483,[2]Pedidos!$E:$E,0))</f>
        <v>#N/A</v>
      </c>
      <c r="N2483" s="564" t="e">
        <f>K2483*INDEX([2]Pedidos!$Q:$Q,MATCH(H2483,[2]Pedidos!$E:$E,0))</f>
        <v>#N/A</v>
      </c>
    </row>
    <row r="2484" spans="1:18" x14ac:dyDescent="0.25">
      <c r="A2484" s="753"/>
      <c r="C2484" s="452" t="s">
        <v>173</v>
      </c>
      <c r="D2484" s="453">
        <f t="shared" si="194"/>
        <v>46107</v>
      </c>
      <c r="E2484" s="454" t="s">
        <v>166</v>
      </c>
      <c r="F2484" s="460" t="s">
        <v>1024</v>
      </c>
      <c r="G2484" s="460" t="s">
        <v>1023</v>
      </c>
      <c r="H2484" s="460"/>
      <c r="I2484" s="540">
        <f>11500/16</f>
        <v>718.75</v>
      </c>
      <c r="J2484" s="540">
        <f>11300/15</f>
        <v>753.33333333333337</v>
      </c>
      <c r="K2484" s="540" t="e">
        <f>INDEX([1]Produtos!$L:$L,MATCH(IF(ISNUMBER(FIND(" - ",H2484)),LEFT(H2484,FIND(" - ",H2484)-1),H2484),[1]Produtos!$C:$C,0))</f>
        <v>#N/A</v>
      </c>
      <c r="L2484" s="564" t="e">
        <f>I2484*INDEX([2]Pedidos!$Q:$Q,MATCH(F2484,[2]Pedidos!$E:$E,0))</f>
        <v>#N/A</v>
      </c>
      <c r="M2484" s="564" t="e">
        <f>J2484*INDEX([2]Pedidos!$Q:$Q,MATCH(G2484,[2]Pedidos!$E:$E,0))</f>
        <v>#N/A</v>
      </c>
      <c r="N2484" s="564" t="e">
        <f>K2484*INDEX([2]Pedidos!$Q:$Q,MATCH(H2484,[2]Pedidos!$E:$E,0))</f>
        <v>#N/A</v>
      </c>
    </row>
    <row r="2485" spans="1:18" x14ac:dyDescent="0.25">
      <c r="A2485" s="753"/>
      <c r="C2485" s="452" t="s">
        <v>173</v>
      </c>
      <c r="D2485" s="453">
        <f t="shared" si="194"/>
        <v>46107</v>
      </c>
      <c r="E2485" s="454" t="s">
        <v>576</v>
      </c>
      <c r="F2485" s="517"/>
      <c r="G2485" s="512"/>
      <c r="H2485" s="505"/>
      <c r="I2485" s="541"/>
      <c r="J2485" s="541"/>
      <c r="K2485" s="541"/>
      <c r="L2485" s="556"/>
      <c r="M2485" s="556"/>
      <c r="N2485" s="556"/>
    </row>
    <row r="2486" spans="1:18" x14ac:dyDescent="0.25">
      <c r="A2486" s="753"/>
      <c r="C2486" s="452" t="s">
        <v>173</v>
      </c>
      <c r="D2486" s="449">
        <f t="shared" si="194"/>
        <v>46107</v>
      </c>
      <c r="E2486" s="454" t="s">
        <v>167</v>
      </c>
      <c r="F2486" s="460" t="s">
        <v>1024</v>
      </c>
      <c r="G2486" s="460" t="s">
        <v>1023</v>
      </c>
      <c r="H2486" s="461"/>
      <c r="I2486" s="540">
        <f>11500/16</f>
        <v>718.75</v>
      </c>
      <c r="J2486" s="540">
        <f>11300/15</f>
        <v>753.33333333333337</v>
      </c>
      <c r="K2486" s="540" t="e">
        <f>INDEX([1]Produtos!$L:$L,MATCH(IF(ISNUMBER(FIND(" - ",H2486)),LEFT(H2486,FIND(" - ",H2486)-1),H2486),[1]Produtos!$C:$C,0))</f>
        <v>#N/A</v>
      </c>
      <c r="L2486" s="565" t="e">
        <f>I2486*INDEX([2]Pedidos!$Q:$Q,MATCH(F2486,[2]Pedidos!$E:$E,0))</f>
        <v>#N/A</v>
      </c>
      <c r="M2486" s="565" t="e">
        <f>J2486*INDEX([2]Pedidos!$Q:$Q,MATCH(G2486,[2]Pedidos!$E:$E,0))</f>
        <v>#N/A</v>
      </c>
      <c r="N2486" s="565" t="e">
        <f>K2486*INDEX([2]Pedidos!$Q:$Q,MATCH(H2486,[2]Pedidos!$E:$E,0))</f>
        <v>#N/A</v>
      </c>
    </row>
    <row r="2487" spans="1:18" x14ac:dyDescent="0.25">
      <c r="A2487" s="753"/>
      <c r="C2487" s="452" t="s">
        <v>173</v>
      </c>
      <c r="D2487" s="449">
        <f t="shared" si="194"/>
        <v>46107</v>
      </c>
      <c r="E2487" s="454" t="s">
        <v>168</v>
      </c>
      <c r="F2487" s="460" t="s">
        <v>1024</v>
      </c>
      <c r="G2487" s="460" t="s">
        <v>1023</v>
      </c>
      <c r="H2487" s="461"/>
      <c r="I2487" s="540">
        <f>11500/16</f>
        <v>718.75</v>
      </c>
      <c r="J2487" s="540">
        <f>11300/15</f>
        <v>753.33333333333337</v>
      </c>
      <c r="K2487" s="540" t="e">
        <f>INDEX([1]Produtos!$L:$L,MATCH(IF(ISNUMBER(FIND(" - ",H2487)),LEFT(H2487,FIND(" - ",H2487)-1),H2487),[1]Produtos!$C:$C,0))</f>
        <v>#N/A</v>
      </c>
      <c r="L2487" s="565" t="e">
        <f>I2487*INDEX([2]Pedidos!$Q:$Q,MATCH(F2487,[2]Pedidos!$E:$E,0))</f>
        <v>#N/A</v>
      </c>
      <c r="M2487" s="565" t="e">
        <f>J2487*INDEX([2]Pedidos!$Q:$Q,MATCH(G2487,[2]Pedidos!$E:$E,0))</f>
        <v>#N/A</v>
      </c>
      <c r="N2487" s="565" t="e">
        <f>K2487*INDEX([2]Pedidos!$Q:$Q,MATCH(H2487,[2]Pedidos!$E:$E,0))</f>
        <v>#N/A</v>
      </c>
    </row>
    <row r="2488" spans="1:18" x14ac:dyDescent="0.25">
      <c r="A2488" s="753"/>
      <c r="C2488" s="452" t="s">
        <v>173</v>
      </c>
      <c r="D2488" s="449">
        <f t="shared" si="194"/>
        <v>46107</v>
      </c>
      <c r="E2488" s="454" t="s">
        <v>169</v>
      </c>
      <c r="F2488" s="460" t="s">
        <v>1024</v>
      </c>
      <c r="G2488" s="460" t="s">
        <v>1023</v>
      </c>
      <c r="H2488" s="461"/>
      <c r="I2488" s="540">
        <f>11500/16</f>
        <v>718.75</v>
      </c>
      <c r="J2488" s="540">
        <f>11300/15</f>
        <v>753.33333333333337</v>
      </c>
      <c r="K2488" s="540" t="e">
        <f>INDEX([1]Produtos!$L:$L,MATCH(IF(ISNUMBER(FIND(" - ",H2488)),LEFT(H2488,FIND(" - ",H2488)-1),H2488),[1]Produtos!$C:$C,0))</f>
        <v>#N/A</v>
      </c>
      <c r="L2488" s="565" t="e">
        <f>I2488*INDEX([2]Pedidos!$Q:$Q,MATCH(F2488,[2]Pedidos!$E:$E,0))</f>
        <v>#N/A</v>
      </c>
      <c r="M2488" s="565" t="e">
        <f>J2488*INDEX([2]Pedidos!$Q:$Q,MATCH(G2488,[2]Pedidos!$E:$E,0))</f>
        <v>#N/A</v>
      </c>
      <c r="N2488" s="565" t="e">
        <f>K2488*INDEX([2]Pedidos!$Q:$Q,MATCH(H2488,[2]Pedidos!$E:$E,0))</f>
        <v>#N/A</v>
      </c>
    </row>
    <row r="2489" spans="1:18" x14ac:dyDescent="0.25">
      <c r="A2489" s="753"/>
      <c r="C2489" s="452" t="s">
        <v>173</v>
      </c>
      <c r="D2489" s="449">
        <f t="shared" si="194"/>
        <v>46107</v>
      </c>
      <c r="E2489" s="454" t="s">
        <v>170</v>
      </c>
      <c r="F2489" s="460" t="s">
        <v>1024</v>
      </c>
      <c r="G2489" s="460" t="s">
        <v>1023</v>
      </c>
      <c r="H2489" s="504"/>
      <c r="I2489" s="545">
        <f>11500/16</f>
        <v>718.75</v>
      </c>
      <c r="J2489" s="540">
        <f>11300/15</f>
        <v>753.33333333333337</v>
      </c>
      <c r="K2489" s="540" t="e">
        <f>INDEX([1]Produtos!$L:$L,MATCH(IF(ISNUMBER(FIND(" - ",H2489)),LEFT(H2489,FIND(" - ",H2489)-1),H2489),[1]Produtos!$C:$C,0))</f>
        <v>#N/A</v>
      </c>
      <c r="L2489" s="566" t="e">
        <f>I2489*INDEX([2]Pedidos!$Q:$Q,MATCH(F2489,[2]Pedidos!$E:$E,0))</f>
        <v>#N/A</v>
      </c>
      <c r="M2489" s="566" t="e">
        <f>J2489*INDEX([2]Pedidos!$Q:$Q,MATCH(G2489,[2]Pedidos!$E:$E,0))</f>
        <v>#N/A</v>
      </c>
      <c r="N2489" s="566" t="e">
        <f>K2489*INDEX([2]Pedidos!$Q:$Q,MATCH(H2489,[2]Pedidos!$E:$E,0))</f>
        <v>#N/A</v>
      </c>
    </row>
    <row r="2490" spans="1:18" x14ac:dyDescent="0.25">
      <c r="A2490" s="753"/>
      <c r="C2490" s="452" t="s">
        <v>173</v>
      </c>
      <c r="D2490" s="449">
        <f t="shared" si="194"/>
        <v>46107</v>
      </c>
      <c r="E2490" s="454" t="s">
        <v>585</v>
      </c>
      <c r="F2490" s="505"/>
      <c r="G2490" s="505"/>
      <c r="H2490" s="516"/>
      <c r="I2490" s="516"/>
      <c r="J2490" s="516"/>
      <c r="K2490" s="516"/>
      <c r="L2490" s="557"/>
      <c r="M2490" s="557"/>
      <c r="N2490" s="557"/>
    </row>
    <row r="2491" spans="1:18" x14ac:dyDescent="0.25">
      <c r="A2491" s="753"/>
      <c r="C2491" s="452" t="s">
        <v>173</v>
      </c>
      <c r="D2491" s="449">
        <f t="shared" si="194"/>
        <v>46107</v>
      </c>
      <c r="E2491" s="455" t="s">
        <v>574</v>
      </c>
      <c r="F2491" s="505"/>
      <c r="G2491" s="505"/>
      <c r="H2491" s="516"/>
      <c r="I2491" s="516"/>
      <c r="J2491" s="516"/>
      <c r="K2491" s="516"/>
      <c r="L2491" s="557"/>
      <c r="M2491" s="557"/>
      <c r="N2491" s="557"/>
    </row>
    <row r="2492" spans="1:18" x14ac:dyDescent="0.25">
      <c r="A2492" s="753"/>
      <c r="C2492" s="452" t="s">
        <v>173</v>
      </c>
      <c r="D2492" s="449">
        <f t="shared" si="194"/>
        <v>46107</v>
      </c>
      <c r="E2492" s="455" t="s">
        <v>575</v>
      </c>
      <c r="F2492" s="506"/>
      <c r="G2492" s="506"/>
      <c r="H2492" s="516"/>
      <c r="I2492" s="516"/>
      <c r="J2492" s="516"/>
      <c r="K2492" s="516"/>
      <c r="L2492" s="557"/>
      <c r="M2492" s="557"/>
      <c r="N2492" s="557"/>
    </row>
    <row r="2493" spans="1:18" x14ac:dyDescent="0.25">
      <c r="A2493" s="753"/>
      <c r="C2493" s="452" t="s">
        <v>173</v>
      </c>
      <c r="D2493" s="449">
        <f t="shared" si="194"/>
        <v>46107</v>
      </c>
      <c r="E2493" s="503" t="s">
        <v>583</v>
      </c>
      <c r="F2493" s="506"/>
      <c r="G2493" s="506"/>
      <c r="H2493" s="516"/>
      <c r="I2493" s="516"/>
      <c r="J2493" s="516"/>
      <c r="K2493" s="516"/>
      <c r="L2493" s="557"/>
      <c r="M2493" s="557"/>
      <c r="N2493" s="557"/>
    </row>
    <row r="2494" spans="1:18" ht="15.75" thickBot="1" x14ac:dyDescent="0.3">
      <c r="A2494" s="753"/>
      <c r="C2494" s="530" t="s">
        <v>173</v>
      </c>
      <c r="D2494" s="451">
        <f t="shared" si="194"/>
        <v>46107</v>
      </c>
      <c r="E2494" s="459" t="s">
        <v>584</v>
      </c>
      <c r="F2494" s="493"/>
      <c r="G2494" s="493"/>
      <c r="H2494" s="513"/>
      <c r="I2494" s="513"/>
      <c r="J2494" s="513"/>
      <c r="K2494" s="513"/>
      <c r="L2494" s="558"/>
      <c r="M2494" s="558"/>
      <c r="N2494" s="558"/>
    </row>
    <row r="2495" spans="1:18" ht="4.5" customHeight="1" thickBot="1" x14ac:dyDescent="0.3">
      <c r="A2495" s="753"/>
      <c r="I2495" s="420"/>
      <c r="J2495" s="420"/>
      <c r="K2495" s="420"/>
      <c r="L2495" s="559"/>
      <c r="M2495" s="559"/>
      <c r="N2495" s="559"/>
      <c r="Q2495" s="3"/>
      <c r="R2495" s="3"/>
    </row>
    <row r="2496" spans="1:18" ht="15" customHeight="1" thickBot="1" x14ac:dyDescent="0.3">
      <c r="A2496" s="753"/>
      <c r="C2496" s="546">
        <f>SUM(I2424:K2424,I2442:K2442,I2460:K2460,I2478:K2478,I2496:K2496)</f>
        <v>66751.328656805752</v>
      </c>
      <c r="D2496" s="547">
        <f>SUM(P2496,P2478,P2460,P2442,P2424)</f>
        <v>0</v>
      </c>
      <c r="E2496" s="539"/>
      <c r="F2496" s="539"/>
      <c r="G2496" s="539"/>
      <c r="H2496" s="539"/>
      <c r="I2496" s="543">
        <f t="shared" ref="I2496:N2496" si="195">_xlfn.AGGREGATE(9,6,I2497:I2512)</f>
        <v>4000</v>
      </c>
      <c r="J2496" s="542">
        <f t="shared" si="195"/>
        <v>5317.9953234724171</v>
      </c>
      <c r="K2496" s="544">
        <f t="shared" si="195"/>
        <v>0</v>
      </c>
      <c r="L2496" s="560">
        <f t="shared" si="195"/>
        <v>0</v>
      </c>
      <c r="M2496" s="561">
        <f t="shared" si="195"/>
        <v>0</v>
      </c>
      <c r="N2496" s="562">
        <f t="shared" si="195"/>
        <v>0</v>
      </c>
      <c r="O2496" s="548">
        <f>SUM(I2496:K2496)</f>
        <v>9317.9953234724162</v>
      </c>
      <c r="P2496" s="549">
        <f>SUM(L2496:N2496)</f>
        <v>0</v>
      </c>
      <c r="Q2496" s="3"/>
      <c r="R2496" s="3"/>
    </row>
    <row r="2497" spans="1:14" x14ac:dyDescent="0.25">
      <c r="A2497" s="753"/>
      <c r="C2497" s="529" t="s">
        <v>174</v>
      </c>
      <c r="D2497" s="447">
        <f>D2494+1</f>
        <v>46108</v>
      </c>
      <c r="E2497" s="498" t="s">
        <v>573</v>
      </c>
      <c r="F2497" s="514"/>
      <c r="G2497" s="514"/>
      <c r="H2497" s="514"/>
      <c r="I2497" s="537"/>
      <c r="J2497" s="537"/>
      <c r="K2497" s="537"/>
      <c r="L2497" s="563"/>
      <c r="M2497" s="563"/>
      <c r="N2497" s="563"/>
    </row>
    <row r="2498" spans="1:14" x14ac:dyDescent="0.25">
      <c r="A2498" s="753"/>
      <c r="C2498" s="452" t="s">
        <v>174</v>
      </c>
      <c r="D2498" s="453">
        <f t="shared" ref="D2498:D2512" si="196">D2497</f>
        <v>46108</v>
      </c>
      <c r="E2498" s="500" t="s">
        <v>162</v>
      </c>
      <c r="F2498" s="569" t="s">
        <v>1516</v>
      </c>
      <c r="G2498" s="569" t="s">
        <v>1023</v>
      </c>
      <c r="H2498" s="569"/>
      <c r="I2498" s="540">
        <v>500</v>
      </c>
      <c r="J2498" s="540">
        <f>11300/15</f>
        <v>753.33333333333337</v>
      </c>
      <c r="K2498" s="540" t="e">
        <f>INDEX([1]Produtos!$L:$L,MATCH(IF(ISNUMBER(FIND(" - ",H2498)),LEFT(H2498,FIND(" - ",H2498)-1),H2498),[1]Produtos!$C:$C,0))</f>
        <v>#N/A</v>
      </c>
      <c r="L2498" s="555" t="e">
        <f>I2498*INDEX([2]Pedidos!$Q:$Q,MATCH(F2498,[2]Pedidos!$E:$E,0))</f>
        <v>#N/A</v>
      </c>
      <c r="M2498" s="555" t="e">
        <f>J2498*INDEX([2]Pedidos!$Q:$Q,MATCH(G2498,[2]Pedidos!$E:$E,0))</f>
        <v>#N/A</v>
      </c>
      <c r="N2498" s="555" t="e">
        <f>K2498*INDEX([2]Pedidos!$Q:$Q,MATCH(H2498,[2]Pedidos!$E:$E,0))</f>
        <v>#N/A</v>
      </c>
    </row>
    <row r="2499" spans="1:14" x14ac:dyDescent="0.25">
      <c r="A2499" s="753"/>
      <c r="C2499" s="452" t="s">
        <v>174</v>
      </c>
      <c r="D2499" s="453">
        <f t="shared" si="196"/>
        <v>46108</v>
      </c>
      <c r="E2499" s="454" t="s">
        <v>163</v>
      </c>
      <c r="F2499" s="569" t="s">
        <v>1516</v>
      </c>
      <c r="G2499" s="569" t="s">
        <v>1023</v>
      </c>
      <c r="H2499" s="569"/>
      <c r="I2499" s="540">
        <v>500</v>
      </c>
      <c r="J2499" s="540">
        <f>11300/15</f>
        <v>753.33333333333337</v>
      </c>
      <c r="K2499" s="540" t="e">
        <f>INDEX([1]Produtos!$L:$L,MATCH(IF(ISNUMBER(FIND(" - ",H2499)),LEFT(H2499,FIND(" - ",H2499)-1),H2499),[1]Produtos!$C:$C,0))</f>
        <v>#N/A</v>
      </c>
      <c r="L2499" s="564" t="e">
        <f>I2499*INDEX([2]Pedidos!$Q:$Q,MATCH(F2499,[2]Pedidos!$E:$E,0))</f>
        <v>#N/A</v>
      </c>
      <c r="M2499" s="564" t="e">
        <f>J2499*INDEX([2]Pedidos!$Q:$Q,MATCH(G2499,[2]Pedidos!$E:$E,0))</f>
        <v>#N/A</v>
      </c>
      <c r="N2499" s="564" t="e">
        <f>K2499*INDEX([2]Pedidos!$Q:$Q,MATCH(H2499,[2]Pedidos!$E:$E,0))</f>
        <v>#N/A</v>
      </c>
    </row>
    <row r="2500" spans="1:14" x14ac:dyDescent="0.25">
      <c r="A2500" s="753"/>
      <c r="C2500" s="452" t="s">
        <v>174</v>
      </c>
      <c r="D2500" s="453">
        <f t="shared" si="196"/>
        <v>46108</v>
      </c>
      <c r="E2500" s="454" t="s">
        <v>164</v>
      </c>
      <c r="F2500" s="569" t="s">
        <v>1516</v>
      </c>
      <c r="G2500" s="569" t="s">
        <v>1518</v>
      </c>
      <c r="H2500" s="569"/>
      <c r="I2500" s="540">
        <v>500</v>
      </c>
      <c r="J2500" s="540">
        <f>INDEX([1]Produtos!$L:$L,MATCH(IF(ISNUMBER(FIND(" - ",G2500)),LEFT(G2500,FIND(" - ",G2500)-1),G2500),[1]Produtos!$C:$C,0))</f>
        <v>635.22144280095847</v>
      </c>
      <c r="K2500" s="540" t="e">
        <f>INDEX([1]Produtos!$L:$L,MATCH(IF(ISNUMBER(FIND(" - ",H2500)),LEFT(H2500,FIND(" - ",H2500)-1),H2500),[1]Produtos!$C:$C,0))</f>
        <v>#N/A</v>
      </c>
      <c r="L2500" s="564" t="e">
        <f>I2500*INDEX([2]Pedidos!$Q:$Q,MATCH(F2500,[2]Pedidos!$E:$E,0))</f>
        <v>#N/A</v>
      </c>
      <c r="M2500" s="564" t="e">
        <f>J2500*INDEX([2]Pedidos!$Q:$Q,MATCH(G2500,[2]Pedidos!$E:$E,0))</f>
        <v>#N/A</v>
      </c>
      <c r="N2500" s="564" t="e">
        <f>K2500*INDEX([2]Pedidos!$Q:$Q,MATCH(H2500,[2]Pedidos!$E:$E,0))</f>
        <v>#N/A</v>
      </c>
    </row>
    <row r="2501" spans="1:14" x14ac:dyDescent="0.25">
      <c r="A2501" s="753"/>
      <c r="C2501" s="452" t="s">
        <v>174</v>
      </c>
      <c r="D2501" s="453">
        <f t="shared" si="196"/>
        <v>46108</v>
      </c>
      <c r="E2501" s="454" t="s">
        <v>165</v>
      </c>
      <c r="F2501" s="569" t="s">
        <v>1516</v>
      </c>
      <c r="G2501" s="569" t="s">
        <v>1518</v>
      </c>
      <c r="H2501" s="569"/>
      <c r="I2501" s="540">
        <v>500</v>
      </c>
      <c r="J2501" s="540">
        <f>INDEX([1]Produtos!$L:$L,MATCH(IF(ISNUMBER(FIND(" - ",G2501)),LEFT(G2501,FIND(" - ",G2501)-1),G2501),[1]Produtos!$C:$C,0))</f>
        <v>635.22144280095847</v>
      </c>
      <c r="K2501" s="540" t="e">
        <f>INDEX([1]Produtos!$L:$L,MATCH(IF(ISNUMBER(FIND(" - ",H2501)),LEFT(H2501,FIND(" - ",H2501)-1),H2501),[1]Produtos!$C:$C,0))</f>
        <v>#N/A</v>
      </c>
      <c r="L2501" s="564" t="e">
        <f>I2501*INDEX([2]Pedidos!$Q:$Q,MATCH(F2501,[2]Pedidos!$E:$E,0))</f>
        <v>#N/A</v>
      </c>
      <c r="M2501" s="564" t="e">
        <f>J2501*INDEX([2]Pedidos!$Q:$Q,MATCH(G2501,[2]Pedidos!$E:$E,0))</f>
        <v>#N/A</v>
      </c>
      <c r="N2501" s="564" t="e">
        <f>K2501*INDEX([2]Pedidos!$Q:$Q,MATCH(H2501,[2]Pedidos!$E:$E,0))</f>
        <v>#N/A</v>
      </c>
    </row>
    <row r="2502" spans="1:14" x14ac:dyDescent="0.25">
      <c r="A2502" s="753"/>
      <c r="C2502" s="452" t="s">
        <v>174</v>
      </c>
      <c r="D2502" s="453">
        <f t="shared" si="196"/>
        <v>46108</v>
      </c>
      <c r="E2502" s="454" t="s">
        <v>166</v>
      </c>
      <c r="F2502" s="569" t="s">
        <v>1516</v>
      </c>
      <c r="G2502" s="569" t="s">
        <v>1518</v>
      </c>
      <c r="H2502" s="569"/>
      <c r="I2502" s="540">
        <v>500</v>
      </c>
      <c r="J2502" s="540">
        <f>INDEX([1]Produtos!$L:$L,MATCH(IF(ISNUMBER(FIND(" - ",G2502)),LEFT(G2502,FIND(" - ",G2502)-1),G2502),[1]Produtos!$C:$C,0))</f>
        <v>635.22144280095847</v>
      </c>
      <c r="K2502" s="540" t="e">
        <f>INDEX([1]Produtos!$L:$L,MATCH(IF(ISNUMBER(FIND(" - ",H2502)),LEFT(H2502,FIND(" - ",H2502)-1),H2502),[1]Produtos!$C:$C,0))</f>
        <v>#N/A</v>
      </c>
      <c r="L2502" s="564" t="e">
        <f>I2502*INDEX([2]Pedidos!$Q:$Q,MATCH(F2502,[2]Pedidos!$E:$E,0))</f>
        <v>#N/A</v>
      </c>
      <c r="M2502" s="564" t="e">
        <f>J2502*INDEX([2]Pedidos!$Q:$Q,MATCH(G2502,[2]Pedidos!$E:$E,0))</f>
        <v>#N/A</v>
      </c>
      <c r="N2502" s="564" t="e">
        <f>K2502*INDEX([2]Pedidos!$Q:$Q,MATCH(H2502,[2]Pedidos!$E:$E,0))</f>
        <v>#N/A</v>
      </c>
    </row>
    <row r="2503" spans="1:14" x14ac:dyDescent="0.25">
      <c r="A2503" s="753"/>
      <c r="C2503" s="452" t="s">
        <v>174</v>
      </c>
      <c r="D2503" s="453">
        <f t="shared" si="196"/>
        <v>46108</v>
      </c>
      <c r="E2503" s="454" t="s">
        <v>576</v>
      </c>
      <c r="F2503" s="512"/>
      <c r="G2503" s="512"/>
      <c r="H2503" s="512"/>
      <c r="I2503" s="541"/>
      <c r="J2503" s="541"/>
      <c r="K2503" s="541"/>
      <c r="L2503" s="556"/>
      <c r="M2503" s="556"/>
      <c r="N2503" s="556"/>
    </row>
    <row r="2504" spans="1:14" x14ac:dyDescent="0.25">
      <c r="A2504" s="753"/>
      <c r="C2504" s="452" t="s">
        <v>174</v>
      </c>
      <c r="D2504" s="449">
        <f t="shared" si="196"/>
        <v>46108</v>
      </c>
      <c r="E2504" s="454" t="s">
        <v>167</v>
      </c>
      <c r="F2504" s="569" t="s">
        <v>1516</v>
      </c>
      <c r="G2504" s="569" t="s">
        <v>1518</v>
      </c>
      <c r="H2504" s="569"/>
      <c r="I2504" s="540">
        <v>500</v>
      </c>
      <c r="J2504" s="540">
        <f>INDEX([1]Produtos!$L:$L,MATCH(IF(ISNUMBER(FIND(" - ",G2504)),LEFT(G2504,FIND(" - ",G2504)-1),G2504),[1]Produtos!$C:$C,0))</f>
        <v>635.22144280095847</v>
      </c>
      <c r="K2504" s="540" t="e">
        <f>INDEX([1]Produtos!$L:$L,MATCH(IF(ISNUMBER(FIND(" - ",H2504)),LEFT(H2504,FIND(" - ",H2504)-1),H2504),[1]Produtos!$C:$C,0))</f>
        <v>#N/A</v>
      </c>
      <c r="L2504" s="565" t="e">
        <f>I2504*INDEX([2]Pedidos!$Q:$Q,MATCH(F2504,[2]Pedidos!$E:$E,0))</f>
        <v>#N/A</v>
      </c>
      <c r="M2504" s="565" t="e">
        <f>J2504*INDEX([2]Pedidos!$Q:$Q,MATCH(G2504,[2]Pedidos!$E:$E,0))</f>
        <v>#N/A</v>
      </c>
      <c r="N2504" s="565" t="e">
        <f>K2504*INDEX([2]Pedidos!$Q:$Q,MATCH(H2504,[2]Pedidos!$E:$E,0))</f>
        <v>#N/A</v>
      </c>
    </row>
    <row r="2505" spans="1:14" x14ac:dyDescent="0.25">
      <c r="A2505" s="753"/>
      <c r="C2505" s="452" t="s">
        <v>174</v>
      </c>
      <c r="D2505" s="449">
        <f t="shared" si="196"/>
        <v>46108</v>
      </c>
      <c r="E2505" s="454" t="s">
        <v>168</v>
      </c>
      <c r="F2505" s="569" t="s">
        <v>1516</v>
      </c>
      <c r="G2505" s="569" t="s">
        <v>1518</v>
      </c>
      <c r="H2505" s="569"/>
      <c r="I2505" s="540">
        <v>500</v>
      </c>
      <c r="J2505" s="540">
        <f>INDEX([1]Produtos!$L:$L,MATCH(IF(ISNUMBER(FIND(" - ",G2505)),LEFT(G2505,FIND(" - ",G2505)-1),G2505),[1]Produtos!$C:$C,0))</f>
        <v>635.22144280095847</v>
      </c>
      <c r="K2505" s="540" t="e">
        <f>INDEX([1]Produtos!$L:$L,MATCH(IF(ISNUMBER(FIND(" - ",H2505)),LEFT(H2505,FIND(" - ",H2505)-1),H2505),[1]Produtos!$C:$C,0))</f>
        <v>#N/A</v>
      </c>
      <c r="L2505" s="565" t="e">
        <f>I2505*INDEX([2]Pedidos!$Q:$Q,MATCH(F2505,[2]Pedidos!$E:$E,0))</f>
        <v>#N/A</v>
      </c>
      <c r="M2505" s="565" t="e">
        <f>J2505*INDEX([2]Pedidos!$Q:$Q,MATCH(G2505,[2]Pedidos!$E:$E,0))</f>
        <v>#N/A</v>
      </c>
      <c r="N2505" s="565" t="e">
        <f>K2505*INDEX([2]Pedidos!$Q:$Q,MATCH(H2505,[2]Pedidos!$E:$E,0))</f>
        <v>#N/A</v>
      </c>
    </row>
    <row r="2506" spans="1:14" x14ac:dyDescent="0.25">
      <c r="A2506" s="753"/>
      <c r="C2506" s="452" t="s">
        <v>174</v>
      </c>
      <c r="D2506" s="449">
        <f t="shared" si="196"/>
        <v>46108</v>
      </c>
      <c r="E2506" s="454" t="s">
        <v>169</v>
      </c>
      <c r="F2506" s="569" t="s">
        <v>1516</v>
      </c>
      <c r="G2506" s="569" t="s">
        <v>1518</v>
      </c>
      <c r="H2506" s="569"/>
      <c r="I2506" s="540">
        <v>500</v>
      </c>
      <c r="J2506" s="540">
        <f>INDEX([1]Produtos!$L:$L,MATCH(IF(ISNUMBER(FIND(" - ",G2506)),LEFT(G2506,FIND(" - ",G2506)-1),G2506),[1]Produtos!$C:$C,0))</f>
        <v>635.22144280095847</v>
      </c>
      <c r="K2506" s="540" t="e">
        <f>INDEX([1]Produtos!$L:$L,MATCH(IF(ISNUMBER(FIND(" - ",H2506)),LEFT(H2506,FIND(" - ",H2506)-1),H2506),[1]Produtos!$C:$C,0))</f>
        <v>#N/A</v>
      </c>
      <c r="L2506" s="565" t="e">
        <f>I2506*INDEX([2]Pedidos!$Q:$Q,MATCH(F2506,[2]Pedidos!$E:$E,0))</f>
        <v>#N/A</v>
      </c>
      <c r="M2506" s="565" t="e">
        <f>J2506*INDEX([2]Pedidos!$Q:$Q,MATCH(G2506,[2]Pedidos!$E:$E,0))</f>
        <v>#N/A</v>
      </c>
      <c r="N2506" s="565" t="e">
        <f>K2506*INDEX([2]Pedidos!$Q:$Q,MATCH(H2506,[2]Pedidos!$E:$E,0))</f>
        <v>#N/A</v>
      </c>
    </row>
    <row r="2507" spans="1:14" x14ac:dyDescent="0.25">
      <c r="A2507" s="753"/>
      <c r="C2507" s="452" t="s">
        <v>174</v>
      </c>
      <c r="D2507" s="449">
        <f t="shared" si="196"/>
        <v>46108</v>
      </c>
      <c r="E2507" s="454" t="s">
        <v>170</v>
      </c>
      <c r="F2507" s="505"/>
      <c r="G2507" s="505"/>
      <c r="H2507" s="505"/>
      <c r="I2507" s="516"/>
      <c r="J2507" s="516"/>
      <c r="K2507" s="516"/>
      <c r="L2507" s="557"/>
      <c r="M2507" s="557"/>
      <c r="N2507" s="557"/>
    </row>
    <row r="2508" spans="1:14" x14ac:dyDescent="0.25">
      <c r="A2508" s="753"/>
      <c r="C2508" s="452" t="s">
        <v>174</v>
      </c>
      <c r="D2508" s="449">
        <f t="shared" si="196"/>
        <v>46108</v>
      </c>
      <c r="E2508" s="454" t="s">
        <v>585</v>
      </c>
      <c r="F2508" s="505"/>
      <c r="G2508" s="505"/>
      <c r="H2508" s="505"/>
      <c r="I2508" s="516"/>
      <c r="J2508" s="516"/>
      <c r="K2508" s="516"/>
      <c r="L2508" s="557"/>
      <c r="M2508" s="557"/>
      <c r="N2508" s="557"/>
    </row>
    <row r="2509" spans="1:14" x14ac:dyDescent="0.25">
      <c r="A2509" s="753"/>
      <c r="C2509" s="452" t="s">
        <v>174</v>
      </c>
      <c r="D2509" s="449">
        <f t="shared" si="196"/>
        <v>46108</v>
      </c>
      <c r="E2509" s="455" t="s">
        <v>574</v>
      </c>
      <c r="F2509" s="505"/>
      <c r="G2509" s="505"/>
      <c r="H2509" s="505"/>
      <c r="I2509" s="516"/>
      <c r="J2509" s="516"/>
      <c r="K2509" s="516"/>
      <c r="L2509" s="557"/>
      <c r="M2509" s="557"/>
      <c r="N2509" s="557"/>
    </row>
    <row r="2510" spans="1:14" x14ac:dyDescent="0.25">
      <c r="A2510" s="753"/>
      <c r="C2510" s="452" t="s">
        <v>174</v>
      </c>
      <c r="D2510" s="449">
        <f t="shared" si="196"/>
        <v>46108</v>
      </c>
      <c r="E2510" s="455" t="s">
        <v>575</v>
      </c>
      <c r="F2510" s="506"/>
      <c r="G2510" s="506"/>
      <c r="H2510" s="506"/>
      <c r="I2510" s="516"/>
      <c r="J2510" s="516"/>
      <c r="K2510" s="516"/>
      <c r="L2510" s="557"/>
      <c r="M2510" s="557"/>
      <c r="N2510" s="557"/>
    </row>
    <row r="2511" spans="1:14" x14ac:dyDescent="0.25">
      <c r="A2511" s="753"/>
      <c r="C2511" s="452" t="s">
        <v>174</v>
      </c>
      <c r="D2511" s="502">
        <f t="shared" si="196"/>
        <v>46108</v>
      </c>
      <c r="E2511" s="503" t="s">
        <v>583</v>
      </c>
      <c r="F2511" s="506"/>
      <c r="G2511" s="506"/>
      <c r="H2511" s="506"/>
      <c r="I2511" s="516"/>
      <c r="J2511" s="516"/>
      <c r="K2511" s="516"/>
      <c r="L2511" s="557"/>
      <c r="M2511" s="557"/>
      <c r="N2511" s="557"/>
    </row>
    <row r="2512" spans="1:14" ht="15.75" thickBot="1" x14ac:dyDescent="0.3">
      <c r="A2512" s="753"/>
      <c r="C2512" s="530" t="s">
        <v>174</v>
      </c>
      <c r="D2512" s="451">
        <f t="shared" si="196"/>
        <v>46108</v>
      </c>
      <c r="E2512" s="459" t="s">
        <v>584</v>
      </c>
      <c r="F2512" s="493"/>
      <c r="G2512" s="493"/>
      <c r="H2512" s="493"/>
      <c r="I2512" s="513"/>
      <c r="J2512" s="513"/>
      <c r="K2512" s="513"/>
      <c r="L2512" s="558"/>
      <c r="M2512" s="558"/>
      <c r="N2512" s="558"/>
    </row>
    <row r="2513" spans="1:23" ht="4.5" customHeight="1" thickBot="1" x14ac:dyDescent="0.3">
      <c r="L2513" s="559"/>
      <c r="M2513" s="559"/>
      <c r="N2513" s="559"/>
      <c r="Q2513" s="3"/>
      <c r="R2513" s="3"/>
    </row>
    <row r="2514" spans="1:23" ht="15" customHeight="1" thickBot="1" x14ac:dyDescent="0.3">
      <c r="A2514" s="753" t="s">
        <v>1509</v>
      </c>
      <c r="C2514" s="538"/>
      <c r="D2514" s="539"/>
      <c r="E2514" s="539"/>
      <c r="F2514" s="539"/>
      <c r="G2514" s="539"/>
      <c r="H2514" s="539"/>
      <c r="I2514" s="543">
        <f t="shared" ref="I2514:N2514" si="197">_xlfn.AGGREGATE(9,6,I2515:I2530)</f>
        <v>0</v>
      </c>
      <c r="J2514" s="542">
        <f t="shared" si="197"/>
        <v>0</v>
      </c>
      <c r="K2514" s="544">
        <f t="shared" si="197"/>
        <v>0</v>
      </c>
      <c r="L2514" s="560">
        <f t="shared" si="197"/>
        <v>0</v>
      </c>
      <c r="M2514" s="561">
        <f t="shared" si="197"/>
        <v>0</v>
      </c>
      <c r="N2514" s="562">
        <f t="shared" si="197"/>
        <v>0</v>
      </c>
      <c r="O2514" s="548">
        <f>SUM(I2514:K2514)</f>
        <v>0</v>
      </c>
      <c r="P2514" s="549">
        <f>SUM(L2514:N2514)</f>
        <v>0</v>
      </c>
      <c r="Q2514" s="3"/>
      <c r="R2514" s="3"/>
      <c r="T2514" s="570" t="s">
        <v>437</v>
      </c>
      <c r="U2514" s="571" t="s">
        <v>1520</v>
      </c>
      <c r="V2514" s="571" t="s">
        <v>1522</v>
      </c>
      <c r="W2514" s="572" t="s">
        <v>1536</v>
      </c>
    </row>
    <row r="2515" spans="1:23" x14ac:dyDescent="0.25">
      <c r="A2515" s="753"/>
      <c r="C2515" s="496" t="s">
        <v>161</v>
      </c>
      <c r="D2515" s="507">
        <v>46111</v>
      </c>
      <c r="E2515" s="498" t="s">
        <v>573</v>
      </c>
      <c r="F2515" s="514"/>
      <c r="G2515" s="514"/>
      <c r="H2515" s="515"/>
      <c r="I2515" s="537"/>
      <c r="J2515" s="537"/>
      <c r="K2515" s="537"/>
      <c r="L2515" s="563"/>
      <c r="M2515" s="563"/>
      <c r="N2515" s="563"/>
      <c r="T2515" s="588"/>
      <c r="U2515" s="576">
        <f>SUMIF('Previsão Envase'!F$1924:F$2011,T2515,'Previsão Envase'!J$1924:J$2011)</f>
        <v>0</v>
      </c>
      <c r="V2515" s="585"/>
      <c r="W2515" s="581">
        <f>IFERROR(V2515*INDEX([2]Pedidos!$Q:$Q,MATCH(T2515,[2]Pedidos!$E:$E,0)),0)</f>
        <v>0</v>
      </c>
    </row>
    <row r="2516" spans="1:23" x14ac:dyDescent="0.25">
      <c r="A2516" s="753"/>
      <c r="C2516" s="525" t="s">
        <v>161</v>
      </c>
      <c r="D2516" s="499">
        <f t="shared" ref="D2516:D2530" si="198">D2515</f>
        <v>46111</v>
      </c>
      <c r="E2516" s="500" t="s">
        <v>162</v>
      </c>
      <c r="F2516" s="460"/>
      <c r="G2516" s="460"/>
      <c r="H2516" s="460"/>
      <c r="I2516" s="540" t="e">
        <f>INDEX([1]Produtos!$L:$L,MATCH(IF(ISNUMBER(FIND(" - ",F2516)),LEFT(F2516,FIND(" - ",F2516)-1),F2516),[1]Produtos!$C:$C,0))</f>
        <v>#N/A</v>
      </c>
      <c r="J2516" s="540" t="e">
        <f>INDEX([1]Produtos!$L:$L,MATCH(IF(ISNUMBER(FIND(" - ",G2516)),LEFT(G2516,FIND(" - ",G2516)-1),G2516),[1]Produtos!$C:$C,0))</f>
        <v>#N/A</v>
      </c>
      <c r="K2516" s="540" t="e">
        <f>INDEX([1]Produtos!$L:$L,MATCH(IF(ISNUMBER(FIND(" - ",H2516)),LEFT(H2516,FIND(" - ",H2516)-1),H2516),[1]Produtos!$C:$C,0))</f>
        <v>#N/A</v>
      </c>
      <c r="L2516" s="555" t="e">
        <f>INDEX([1]Produtos!$L:$L,MATCH(IF(ISNUMBER(FIND(" - ",F2516)),LEFT(F2516,FIND(" - ",F2516)-1),F2516),[1]Produtos!$C:$C,0))*INDEX([2]Pedidos!$Q:$Q,MATCH(F2516,[2]Pedidos!$E:$E,0))</f>
        <v>#N/A</v>
      </c>
      <c r="M2516" s="555" t="e">
        <f>INDEX([1]Produtos!$L:$L,MATCH(IF(ISNUMBER(FIND(" - ",G2516)),LEFT(G2516,FIND(" - ",G2516)-1),G2516),[1]Produtos!$C:$C,0))*INDEX([2]Pedidos!$Q:$Q,MATCH(G2516,[2]Pedidos!$E:$E,0))</f>
        <v>#N/A</v>
      </c>
      <c r="N2516" s="555" t="e">
        <f>INDEX([1]Produtos!$L:$L,MATCH(IF(ISNUMBER(FIND(" - ",H2516)),LEFT(H2516,FIND(" - ",H2516)-1),H2516),[1]Produtos!$C:$C,0))*INDEX([2]Pedidos!$Q:$Q,MATCH(H2516,[2]Pedidos!$E:$E,0))</f>
        <v>#N/A</v>
      </c>
      <c r="T2516" s="589"/>
      <c r="U2516" s="578">
        <f>SUMIF('Previsão Envase'!F$1924:F$2011,T2516,'Previsão Envase'!J$1924:J$2011)</f>
        <v>0</v>
      </c>
      <c r="V2516" s="586"/>
      <c r="W2516" s="582">
        <f>IFERROR(V2516*INDEX([2]Pedidos!$Q:$Q,MATCH(T2516,[2]Pedidos!$E:$E,0)),0)</f>
        <v>0</v>
      </c>
    </row>
    <row r="2517" spans="1:23" x14ac:dyDescent="0.25">
      <c r="A2517" s="753"/>
      <c r="C2517" s="526" t="s">
        <v>161</v>
      </c>
      <c r="D2517" s="449">
        <f t="shared" si="198"/>
        <v>46111</v>
      </c>
      <c r="E2517" s="454" t="s">
        <v>163</v>
      </c>
      <c r="F2517" s="460"/>
      <c r="G2517" s="460"/>
      <c r="H2517" s="460"/>
      <c r="I2517" s="540" t="e">
        <f>INDEX([1]Produtos!$L:$L,MATCH(IF(ISNUMBER(FIND(" - ",F2517)),LEFT(F2517,FIND(" - ",F2517)-1),F2517),[1]Produtos!$C:$C,0))</f>
        <v>#N/A</v>
      </c>
      <c r="J2517" s="540" t="e">
        <f>INDEX([1]Produtos!$L:$L,MATCH(IF(ISNUMBER(FIND(" - ",G2517)),LEFT(G2517,FIND(" - ",G2517)-1),G2517),[1]Produtos!$C:$C,0))</f>
        <v>#N/A</v>
      </c>
      <c r="K2517" s="540" t="e">
        <f>INDEX([1]Produtos!$L:$L,MATCH(IF(ISNUMBER(FIND(" - ",H2517)),LEFT(H2517,FIND(" - ",H2517)-1),H2517),[1]Produtos!$C:$C,0))</f>
        <v>#N/A</v>
      </c>
      <c r="L2517" s="564" t="e">
        <f>INDEX([1]Produtos!$L:$L,MATCH(IF(ISNUMBER(FIND(" - ",F2517)),LEFT(F2517,FIND(" - ",F2517)-1),F2517),[1]Produtos!$C:$C,0))*INDEX([2]Pedidos!$Q:$Q,MATCH(F2517,[2]Pedidos!$E:$E,0))</f>
        <v>#N/A</v>
      </c>
      <c r="M2517" s="564" t="e">
        <f>INDEX([1]Produtos!$L:$L,MATCH(IF(ISNUMBER(FIND(" - ",G2517)),LEFT(G2517,FIND(" - ",G2517)-1),G2517),[1]Produtos!$C:$C,0))*INDEX([2]Pedidos!$Q:$Q,MATCH(G2517,[2]Pedidos!$E:$E,0))</f>
        <v>#N/A</v>
      </c>
      <c r="N2517" s="564" t="e">
        <f>INDEX([1]Produtos!$L:$L,MATCH(IF(ISNUMBER(FIND(" - ",H2517)),LEFT(H2517,FIND(" - ",H2517)-1),H2517),[1]Produtos!$C:$C,0))*INDEX([2]Pedidos!$Q:$Q,MATCH(H2517,[2]Pedidos!$E:$E,0))</f>
        <v>#N/A</v>
      </c>
      <c r="T2517" s="589"/>
      <c r="U2517" s="578">
        <f>SUMIF('Previsão Envase'!F$1924:F$2011,T2517,'Previsão Envase'!J$1924:J$2011)</f>
        <v>0</v>
      </c>
      <c r="V2517" s="586"/>
      <c r="W2517" s="582">
        <f>IFERROR(V2517*INDEX([2]Pedidos!$Q:$Q,MATCH(T2517,[2]Pedidos!$E:$E,0)),0)</f>
        <v>0</v>
      </c>
    </row>
    <row r="2518" spans="1:23" x14ac:dyDescent="0.25">
      <c r="A2518" s="753"/>
      <c r="C2518" s="526" t="s">
        <v>161</v>
      </c>
      <c r="D2518" s="449">
        <f t="shared" si="198"/>
        <v>46111</v>
      </c>
      <c r="E2518" s="454" t="s">
        <v>164</v>
      </c>
      <c r="F2518" s="460"/>
      <c r="G2518" s="460"/>
      <c r="H2518" s="460"/>
      <c r="I2518" s="540" t="e">
        <f>INDEX([1]Produtos!$L:$L,MATCH(IF(ISNUMBER(FIND(" - ",F2518)),LEFT(F2518,FIND(" - ",F2518)-1),F2518),[1]Produtos!$C:$C,0))</f>
        <v>#N/A</v>
      </c>
      <c r="J2518" s="540" t="e">
        <f>INDEX([1]Produtos!$L:$L,MATCH(IF(ISNUMBER(FIND(" - ",G2518)),LEFT(G2518,FIND(" - ",G2518)-1),G2518),[1]Produtos!$C:$C,0))</f>
        <v>#N/A</v>
      </c>
      <c r="K2518" s="540" t="e">
        <f>INDEX([1]Produtos!$L:$L,MATCH(IF(ISNUMBER(FIND(" - ",H2518)),LEFT(H2518,FIND(" - ",H2518)-1),H2518),[1]Produtos!$C:$C,0))</f>
        <v>#N/A</v>
      </c>
      <c r="L2518" s="564" t="e">
        <f>INDEX([1]Produtos!$L:$L,MATCH(IF(ISNUMBER(FIND(" - ",F2518)),LEFT(F2518,FIND(" - ",F2518)-1),F2518),[1]Produtos!$C:$C,0))*INDEX([2]Pedidos!$Q:$Q,MATCH(F2518,[2]Pedidos!$E:$E,0))</f>
        <v>#N/A</v>
      </c>
      <c r="M2518" s="564" t="e">
        <f>INDEX([1]Produtos!$L:$L,MATCH(IF(ISNUMBER(FIND(" - ",G2518)),LEFT(G2518,FIND(" - ",G2518)-1),G2518),[1]Produtos!$C:$C,0))*INDEX([2]Pedidos!$Q:$Q,MATCH(G2518,[2]Pedidos!$E:$E,0))</f>
        <v>#N/A</v>
      </c>
      <c r="N2518" s="564" t="e">
        <f>INDEX([1]Produtos!$L:$L,MATCH(IF(ISNUMBER(FIND(" - ",H2518)),LEFT(H2518,FIND(" - ",H2518)-1),H2518),[1]Produtos!$C:$C,0))*INDEX([2]Pedidos!$Q:$Q,MATCH(H2518,[2]Pedidos!$E:$E,0))</f>
        <v>#N/A</v>
      </c>
      <c r="T2518" s="589"/>
      <c r="U2518" s="578">
        <f>SUMIF('Previsão Envase'!F$1924:F$2011,T2518,'Previsão Envase'!J$1924:J$2011)</f>
        <v>0</v>
      </c>
      <c r="V2518" s="586"/>
      <c r="W2518" s="582">
        <f>IFERROR(V2518*INDEX([2]Pedidos!$Q:$Q,MATCH(T2518,[2]Pedidos!$E:$E,0)),0)</f>
        <v>0</v>
      </c>
    </row>
    <row r="2519" spans="1:23" x14ac:dyDescent="0.25">
      <c r="A2519" s="753"/>
      <c r="C2519" s="526" t="s">
        <v>161</v>
      </c>
      <c r="D2519" s="449">
        <f t="shared" si="198"/>
        <v>46111</v>
      </c>
      <c r="E2519" s="454" t="s">
        <v>165</v>
      </c>
      <c r="F2519" s="460"/>
      <c r="G2519" s="460"/>
      <c r="H2519" s="460"/>
      <c r="I2519" s="540" t="e">
        <f>INDEX([1]Produtos!$L:$L,MATCH(IF(ISNUMBER(FIND(" - ",F2519)),LEFT(F2519,FIND(" - ",F2519)-1),F2519),[1]Produtos!$C:$C,0))</f>
        <v>#N/A</v>
      </c>
      <c r="J2519" s="540" t="e">
        <f>INDEX([1]Produtos!$L:$L,MATCH(IF(ISNUMBER(FIND(" - ",G2519)),LEFT(G2519,FIND(" - ",G2519)-1),G2519),[1]Produtos!$C:$C,0))</f>
        <v>#N/A</v>
      </c>
      <c r="K2519" s="540" t="e">
        <f>INDEX([1]Produtos!$L:$L,MATCH(IF(ISNUMBER(FIND(" - ",H2519)),LEFT(H2519,FIND(" - ",H2519)-1),H2519),[1]Produtos!$C:$C,0))</f>
        <v>#N/A</v>
      </c>
      <c r="L2519" s="564" t="e">
        <f>INDEX([1]Produtos!$L:$L,MATCH(IF(ISNUMBER(FIND(" - ",F2519)),LEFT(F2519,FIND(" - ",F2519)-1),F2519),[1]Produtos!$C:$C,0))*INDEX([2]Pedidos!$Q:$Q,MATCH(F2519,[2]Pedidos!$E:$E,0))</f>
        <v>#N/A</v>
      </c>
      <c r="M2519" s="564" t="e">
        <f>INDEX([1]Produtos!$L:$L,MATCH(IF(ISNUMBER(FIND(" - ",G2519)),LEFT(G2519,FIND(" - ",G2519)-1),G2519),[1]Produtos!$C:$C,0))*INDEX([2]Pedidos!$Q:$Q,MATCH(G2519,[2]Pedidos!$E:$E,0))</f>
        <v>#N/A</v>
      </c>
      <c r="N2519" s="564" t="e">
        <f>INDEX([1]Produtos!$L:$L,MATCH(IF(ISNUMBER(FIND(" - ",H2519)),LEFT(H2519,FIND(" - ",H2519)-1),H2519),[1]Produtos!$C:$C,0))*INDEX([2]Pedidos!$Q:$Q,MATCH(H2519,[2]Pedidos!$E:$E,0))</f>
        <v>#N/A</v>
      </c>
      <c r="T2519" s="589"/>
      <c r="U2519" s="578">
        <f>SUMIF('Previsão Envase'!F$1924:F$2011,T2519,'Previsão Envase'!J$1924:J$2011)</f>
        <v>0</v>
      </c>
      <c r="V2519" s="586"/>
      <c r="W2519" s="582">
        <f>IFERROR(V2519*INDEX([2]Pedidos!$Q:$Q,MATCH(T2519,[2]Pedidos!$E:$E,0)),0)</f>
        <v>0</v>
      </c>
    </row>
    <row r="2520" spans="1:23" x14ac:dyDescent="0.25">
      <c r="A2520" s="753"/>
      <c r="C2520" s="526" t="s">
        <v>161</v>
      </c>
      <c r="D2520" s="449">
        <f t="shared" si="198"/>
        <v>46111</v>
      </c>
      <c r="E2520" s="454" t="s">
        <v>166</v>
      </c>
      <c r="F2520" s="460"/>
      <c r="G2520" s="460"/>
      <c r="H2520" s="460"/>
      <c r="I2520" s="540" t="e">
        <f>INDEX([1]Produtos!$L:$L,MATCH(IF(ISNUMBER(FIND(" - ",F2520)),LEFT(F2520,FIND(" - ",F2520)-1),F2520),[1]Produtos!$C:$C,0))</f>
        <v>#N/A</v>
      </c>
      <c r="J2520" s="540" t="e">
        <f>INDEX([1]Produtos!$L:$L,MATCH(IF(ISNUMBER(FIND(" - ",G2520)),LEFT(G2520,FIND(" - ",G2520)-1),G2520),[1]Produtos!$C:$C,0))</f>
        <v>#N/A</v>
      </c>
      <c r="K2520" s="540" t="e">
        <f>INDEX([1]Produtos!$L:$L,MATCH(IF(ISNUMBER(FIND(" - ",H2520)),LEFT(H2520,FIND(" - ",H2520)-1),H2520),[1]Produtos!$C:$C,0))</f>
        <v>#N/A</v>
      </c>
      <c r="L2520" s="564" t="e">
        <f>INDEX([1]Produtos!$L:$L,MATCH(IF(ISNUMBER(FIND(" - ",F2520)),LEFT(F2520,FIND(" - ",F2520)-1),F2520),[1]Produtos!$C:$C,0))*INDEX([2]Pedidos!$Q:$Q,MATCH(F2520,[2]Pedidos!$E:$E,0))</f>
        <v>#N/A</v>
      </c>
      <c r="M2520" s="564" t="e">
        <f>INDEX([1]Produtos!$L:$L,MATCH(IF(ISNUMBER(FIND(" - ",G2520)),LEFT(G2520,FIND(" - ",G2520)-1),G2520),[1]Produtos!$C:$C,0))*INDEX([2]Pedidos!$Q:$Q,MATCH(G2520,[2]Pedidos!$E:$E,0))</f>
        <v>#N/A</v>
      </c>
      <c r="N2520" s="564" t="e">
        <f>INDEX([1]Produtos!$L:$L,MATCH(IF(ISNUMBER(FIND(" - ",H2520)),LEFT(H2520,FIND(" - ",H2520)-1),H2520),[1]Produtos!$C:$C,0))*INDEX([2]Pedidos!$Q:$Q,MATCH(H2520,[2]Pedidos!$E:$E,0))</f>
        <v>#N/A</v>
      </c>
      <c r="T2520" s="589"/>
      <c r="U2520" s="578">
        <f>SUMIF('Previsão Envase'!F$1924:F$2011,T2520,'Previsão Envase'!J$1924:J$2011)</f>
        <v>0</v>
      </c>
      <c r="V2520" s="586"/>
      <c r="W2520" s="582">
        <f>IFERROR(V2520*INDEX([2]Pedidos!$Q:$Q,MATCH(T2520,[2]Pedidos!$E:$E,0)),0)</f>
        <v>0</v>
      </c>
    </row>
    <row r="2521" spans="1:23" x14ac:dyDescent="0.25">
      <c r="A2521" s="753"/>
      <c r="C2521" s="526" t="s">
        <v>161</v>
      </c>
      <c r="D2521" s="449">
        <f t="shared" si="198"/>
        <v>46111</v>
      </c>
      <c r="E2521" s="454" t="s">
        <v>576</v>
      </c>
      <c r="F2521" s="512"/>
      <c r="G2521" s="512"/>
      <c r="H2521" s="505"/>
      <c r="I2521" s="554"/>
      <c r="J2521" s="541"/>
      <c r="K2521" s="541"/>
      <c r="L2521" s="556"/>
      <c r="M2521" s="556"/>
      <c r="N2521" s="556"/>
      <c r="T2521" s="589"/>
      <c r="U2521" s="578">
        <f>SUMIF('Previsão Envase'!F$1924:F$2011,T2521,'Previsão Envase'!J$1924:J$2011)</f>
        <v>0</v>
      </c>
      <c r="V2521" s="586"/>
      <c r="W2521" s="582">
        <f>IFERROR(V2521*INDEX([2]Pedidos!$Q:$Q,MATCH(T2521,[2]Pedidos!$E:$E,0)),0)</f>
        <v>0</v>
      </c>
    </row>
    <row r="2522" spans="1:23" x14ac:dyDescent="0.25">
      <c r="A2522" s="753"/>
      <c r="C2522" s="527" t="s">
        <v>161</v>
      </c>
      <c r="D2522" s="449">
        <f t="shared" si="198"/>
        <v>46111</v>
      </c>
      <c r="E2522" s="454" t="s">
        <v>167</v>
      </c>
      <c r="F2522" s="460"/>
      <c r="G2522" s="460"/>
      <c r="H2522" s="460"/>
      <c r="I2522" s="540" t="e">
        <f>INDEX([1]Produtos!$L:$L,MATCH(IF(ISNUMBER(FIND(" - ",F2522)),LEFT(F2522,FIND(" - ",F2522)-1),F2522),[1]Produtos!$C:$C,0))</f>
        <v>#N/A</v>
      </c>
      <c r="J2522" s="540" t="e">
        <f>INDEX([1]Produtos!$L:$L,MATCH(IF(ISNUMBER(FIND(" - ",G2522)),LEFT(G2522,FIND(" - ",G2522)-1),G2522),[1]Produtos!$C:$C,0))</f>
        <v>#N/A</v>
      </c>
      <c r="K2522" s="540" t="e">
        <f>INDEX([1]Produtos!$L:$L,MATCH(IF(ISNUMBER(FIND(" - ",H2522)),LEFT(H2522,FIND(" - ",H2522)-1),H2522),[1]Produtos!$C:$C,0))</f>
        <v>#N/A</v>
      </c>
      <c r="L2522" s="565" t="e">
        <f>INDEX([1]Produtos!$L:$L,MATCH(IF(ISNUMBER(FIND(" - ",F2522)),LEFT(F2522,FIND(" - ",F2522)-1),F2522),[1]Produtos!$C:$C,0))*INDEX([2]Pedidos!$Q:$Q,MATCH(F2522,[2]Pedidos!$E:$E,0))</f>
        <v>#N/A</v>
      </c>
      <c r="M2522" s="565" t="e">
        <f>INDEX([1]Produtos!$L:$L,MATCH(IF(ISNUMBER(FIND(" - ",G2522)),LEFT(G2522,FIND(" - ",G2522)-1),G2522),[1]Produtos!$C:$C,0))*INDEX([2]Pedidos!$Q:$Q,MATCH(G2522,[2]Pedidos!$E:$E,0))</f>
        <v>#N/A</v>
      </c>
      <c r="N2522" s="565" t="e">
        <f>INDEX([1]Produtos!$L:$L,MATCH(IF(ISNUMBER(FIND(" - ",H2522)),LEFT(H2522,FIND(" - ",H2522)-1),H2522),[1]Produtos!$C:$C,0))*INDEX([2]Pedidos!$Q:$Q,MATCH(H2522,[2]Pedidos!$E:$E,0))</f>
        <v>#N/A</v>
      </c>
      <c r="T2522" s="589"/>
      <c r="U2522" s="578">
        <f>SUMIF('Previsão Envase'!F$1924:F$2011,T2522,'Previsão Envase'!J$1924:J$2011)</f>
        <v>0</v>
      </c>
      <c r="V2522" s="586"/>
      <c r="W2522" s="582">
        <f>IFERROR(V2522*INDEX([2]Pedidos!$Q:$Q,MATCH(T2522,[2]Pedidos!$E:$E,0)),0)</f>
        <v>0</v>
      </c>
    </row>
    <row r="2523" spans="1:23" x14ac:dyDescent="0.25">
      <c r="A2523" s="753"/>
      <c r="C2523" s="527" t="s">
        <v>161</v>
      </c>
      <c r="D2523" s="449">
        <f t="shared" si="198"/>
        <v>46111</v>
      </c>
      <c r="E2523" s="454" t="s">
        <v>168</v>
      </c>
      <c r="F2523" s="460"/>
      <c r="G2523" s="460"/>
      <c r="H2523" s="461"/>
      <c r="I2523" s="540" t="e">
        <f>INDEX([1]Produtos!$L:$L,MATCH(IF(ISNUMBER(FIND(" - ",F2523)),LEFT(F2523,FIND(" - ",F2523)-1),F2523),[1]Produtos!$C:$C,0))</f>
        <v>#N/A</v>
      </c>
      <c r="J2523" s="540" t="e">
        <f>INDEX([1]Produtos!$L:$L,MATCH(IF(ISNUMBER(FIND(" - ",G2523)),LEFT(G2523,FIND(" - ",G2523)-1),G2523),[1]Produtos!$C:$C,0))</f>
        <v>#N/A</v>
      </c>
      <c r="K2523" s="540" t="e">
        <f>INDEX([1]Produtos!$L:$L,MATCH(IF(ISNUMBER(FIND(" - ",H2523)),LEFT(H2523,FIND(" - ",H2523)-1),H2523),[1]Produtos!$C:$C,0))</f>
        <v>#N/A</v>
      </c>
      <c r="L2523" s="565" t="e">
        <f>INDEX([1]Produtos!$L:$L,MATCH(IF(ISNUMBER(FIND(" - ",F2523)),LEFT(F2523,FIND(" - ",F2523)-1),F2523),[1]Produtos!$C:$C,0))*INDEX([2]Pedidos!$Q:$Q,MATCH(F2523,[2]Pedidos!$E:$E,0))</f>
        <v>#N/A</v>
      </c>
      <c r="M2523" s="565" t="e">
        <f>INDEX([1]Produtos!$L:$L,MATCH(IF(ISNUMBER(FIND(" - ",G2523)),LEFT(G2523,FIND(" - ",G2523)-1),G2523),[1]Produtos!$C:$C,0))*INDEX([2]Pedidos!$Q:$Q,MATCH(G2523,[2]Pedidos!$E:$E,0))</f>
        <v>#N/A</v>
      </c>
      <c r="N2523" s="565" t="e">
        <f>INDEX([1]Produtos!$L:$L,MATCH(IF(ISNUMBER(FIND(" - ",H2523)),LEFT(H2523,FIND(" - ",H2523)-1),H2523),[1]Produtos!$C:$C,0))*INDEX([2]Pedidos!$Q:$Q,MATCH(H2523,[2]Pedidos!$E:$E,0))</f>
        <v>#N/A</v>
      </c>
      <c r="T2523" s="589"/>
      <c r="U2523" s="578">
        <f>SUMIF('Previsão Envase'!G$1924:G$2011,T2523,'Previsão Envase'!K$1924:K$2011)</f>
        <v>0</v>
      </c>
      <c r="V2523" s="586"/>
      <c r="W2523" s="582">
        <f>IFERROR(V2523*INDEX([2]Pedidos!$Q:$Q,MATCH(T2523,[2]Pedidos!$E:$E,0)),0)</f>
        <v>0</v>
      </c>
    </row>
    <row r="2524" spans="1:23" x14ac:dyDescent="0.25">
      <c r="A2524" s="753"/>
      <c r="C2524" s="527" t="s">
        <v>161</v>
      </c>
      <c r="D2524" s="449">
        <f t="shared" si="198"/>
        <v>46111</v>
      </c>
      <c r="E2524" s="454" t="s">
        <v>169</v>
      </c>
      <c r="F2524" s="460"/>
      <c r="G2524" s="460"/>
      <c r="H2524" s="461"/>
      <c r="I2524" s="540" t="e">
        <f>INDEX([1]Produtos!$L:$L,MATCH(IF(ISNUMBER(FIND(" - ",F2524)),LEFT(F2524,FIND(" - ",F2524)-1),F2524),[1]Produtos!$C:$C,0))</f>
        <v>#N/A</v>
      </c>
      <c r="J2524" s="540" t="e">
        <f>INDEX([1]Produtos!$L:$L,MATCH(IF(ISNUMBER(FIND(" - ",G2524)),LEFT(G2524,FIND(" - ",G2524)-1),G2524),[1]Produtos!$C:$C,0))</f>
        <v>#N/A</v>
      </c>
      <c r="K2524" s="540" t="e">
        <f>INDEX([1]Produtos!$L:$L,MATCH(IF(ISNUMBER(FIND(" - ",H2524)),LEFT(H2524,FIND(" - ",H2524)-1),H2524),[1]Produtos!$C:$C,0))</f>
        <v>#N/A</v>
      </c>
      <c r="L2524" s="565" t="e">
        <f>INDEX([1]Produtos!$L:$L,MATCH(IF(ISNUMBER(FIND(" - ",F2524)),LEFT(F2524,FIND(" - ",F2524)-1),F2524),[1]Produtos!$C:$C,0))*INDEX([2]Pedidos!$Q:$Q,MATCH(F2524,[2]Pedidos!$E:$E,0))</f>
        <v>#N/A</v>
      </c>
      <c r="M2524" s="565" t="e">
        <f>INDEX([1]Produtos!$L:$L,MATCH(IF(ISNUMBER(FIND(" - ",G2524)),LEFT(G2524,FIND(" - ",G2524)-1),G2524),[1]Produtos!$C:$C,0))*INDEX([2]Pedidos!$Q:$Q,MATCH(G2524,[2]Pedidos!$E:$E,0))</f>
        <v>#N/A</v>
      </c>
      <c r="N2524" s="565" t="e">
        <f>INDEX([1]Produtos!$L:$L,MATCH(IF(ISNUMBER(FIND(" - ",H2524)),LEFT(H2524,FIND(" - ",H2524)-1),H2524),[1]Produtos!$C:$C,0))*INDEX([2]Pedidos!$Q:$Q,MATCH(H2524,[2]Pedidos!$E:$E,0))</f>
        <v>#N/A</v>
      </c>
      <c r="T2524" s="589"/>
      <c r="U2524" s="578">
        <f>SUMIF('Previsão Envase'!G$1924:G$2011,T2524,'Previsão Envase'!K$1924:K$2011)</f>
        <v>0</v>
      </c>
      <c r="V2524" s="586"/>
      <c r="W2524" s="582">
        <f>IFERROR(V2524*INDEX([2]Pedidos!$Q:$Q,MATCH(T2524,[2]Pedidos!$E:$E,0)),0)</f>
        <v>0</v>
      </c>
    </row>
    <row r="2525" spans="1:23" x14ac:dyDescent="0.25">
      <c r="A2525" s="753"/>
      <c r="C2525" s="527" t="s">
        <v>161</v>
      </c>
      <c r="D2525" s="449">
        <f t="shared" si="198"/>
        <v>46111</v>
      </c>
      <c r="E2525" s="454" t="s">
        <v>170</v>
      </c>
      <c r="F2525" s="460"/>
      <c r="G2525" s="460"/>
      <c r="H2525" s="504"/>
      <c r="I2525" s="540" t="e">
        <f>INDEX([1]Produtos!$L:$L,MATCH(IF(ISNUMBER(FIND(" - ",F2525)),LEFT(F2525,FIND(" - ",F2525)-1),F2525),[1]Produtos!$C:$C,0))</f>
        <v>#N/A</v>
      </c>
      <c r="J2525" s="540" t="e">
        <f>INDEX([1]Produtos!$L:$L,MATCH(IF(ISNUMBER(FIND(" - ",G2525)),LEFT(G2525,FIND(" - ",G2525)-1),G2525),[1]Produtos!$C:$C,0))</f>
        <v>#N/A</v>
      </c>
      <c r="K2525" s="540" t="e">
        <f>INDEX([1]Produtos!$L:$L,MATCH(IF(ISNUMBER(FIND(" - ",H2525)),LEFT(H2525,FIND(" - ",H2525)-1),H2525),[1]Produtos!$C:$C,0))</f>
        <v>#N/A</v>
      </c>
      <c r="L2525" s="566" t="e">
        <f>INDEX([1]Produtos!$L:$L,MATCH(IF(ISNUMBER(FIND(" - ",F2525)),LEFT(F2525,FIND(" - ",F2525)-1),F2525),[1]Produtos!$C:$C,0))*INDEX([2]Pedidos!$Q:$Q,MATCH(F2525,[2]Pedidos!$E:$E,0))</f>
        <v>#N/A</v>
      </c>
      <c r="M2525" s="566" t="e">
        <f>INDEX([1]Produtos!$L:$L,MATCH(IF(ISNUMBER(FIND(" - ",G2525)),LEFT(G2525,FIND(" - ",G2525)-1),G2525),[1]Produtos!$C:$C,0))*INDEX([2]Pedidos!$Q:$Q,MATCH(G2525,[2]Pedidos!$E:$E,0))</f>
        <v>#N/A</v>
      </c>
      <c r="N2525" s="566" t="e">
        <f>INDEX([1]Produtos!$L:$L,MATCH(IF(ISNUMBER(FIND(" - ",H2525)),LEFT(H2525,FIND(" - ",H2525)-1),H2525),[1]Produtos!$C:$C,0))*INDEX([2]Pedidos!$Q:$Q,MATCH(H2525,[2]Pedidos!$E:$E,0))</f>
        <v>#N/A</v>
      </c>
      <c r="T2525" s="589"/>
      <c r="U2525" s="578">
        <f>SUMIF('Previsão Envase'!G$1924:G$2011,T2525,'Previsão Envase'!K$1924:K$2011)</f>
        <v>0</v>
      </c>
      <c r="V2525" s="586"/>
      <c r="W2525" s="582">
        <f>IFERROR(V2525*INDEX([2]Pedidos!$Q:$Q,MATCH(T2525,[2]Pedidos!$E:$E,0)),0)</f>
        <v>0</v>
      </c>
    </row>
    <row r="2526" spans="1:23" x14ac:dyDescent="0.25">
      <c r="A2526" s="753"/>
      <c r="C2526" s="527" t="s">
        <v>161</v>
      </c>
      <c r="D2526" s="449">
        <f t="shared" si="198"/>
        <v>46111</v>
      </c>
      <c r="E2526" s="454" t="s">
        <v>585</v>
      </c>
      <c r="F2526" s="505"/>
      <c r="G2526" s="516"/>
      <c r="H2526" s="516"/>
      <c r="I2526" s="516"/>
      <c r="J2526" s="516"/>
      <c r="K2526" s="516"/>
      <c r="L2526" s="557"/>
      <c r="M2526" s="557"/>
      <c r="N2526" s="557"/>
      <c r="T2526" s="589"/>
      <c r="U2526" s="578">
        <f>SUMIF('Previsão Envase'!H$1924:H$2011,T2526,'Previsão Envase'!M$1924:M$2011)</f>
        <v>0</v>
      </c>
      <c r="V2526" s="586"/>
      <c r="W2526" s="582">
        <f>IFERROR(V2526*INDEX([2]Pedidos!$Q:$Q,MATCH(T2526,[2]Pedidos!$E:$E,0)),0)</f>
        <v>0</v>
      </c>
    </row>
    <row r="2527" spans="1:23" x14ac:dyDescent="0.25">
      <c r="A2527" s="753"/>
      <c r="C2527" s="527" t="s">
        <v>161</v>
      </c>
      <c r="D2527" s="449">
        <f t="shared" si="198"/>
        <v>46111</v>
      </c>
      <c r="E2527" s="455" t="s">
        <v>574</v>
      </c>
      <c r="F2527" s="505"/>
      <c r="G2527" s="516"/>
      <c r="H2527" s="516"/>
      <c r="I2527" s="516"/>
      <c r="J2527" s="516"/>
      <c r="K2527" s="516"/>
      <c r="L2527" s="557"/>
      <c r="M2527" s="557"/>
      <c r="N2527" s="557"/>
      <c r="T2527" s="589"/>
      <c r="U2527" s="578">
        <f>SUMIF('Previsão Envase'!H$1924:H$2011,T2527,'Previsão Envase'!M$1924:M$2011)</f>
        <v>0</v>
      </c>
      <c r="V2527" s="586"/>
      <c r="W2527" s="582">
        <f>IFERROR(V2527*INDEX([2]Pedidos!$Q:$Q,MATCH(T2527,[2]Pedidos!$E:$E,0)),0)</f>
        <v>0</v>
      </c>
    </row>
    <row r="2528" spans="1:23" x14ac:dyDescent="0.25">
      <c r="A2528" s="753"/>
      <c r="C2528" s="527" t="s">
        <v>161</v>
      </c>
      <c r="D2528" s="449">
        <f t="shared" si="198"/>
        <v>46111</v>
      </c>
      <c r="E2528" s="455" t="s">
        <v>575</v>
      </c>
      <c r="F2528" s="506"/>
      <c r="G2528" s="506"/>
      <c r="H2528" s="516"/>
      <c r="I2528" s="516"/>
      <c r="J2528" s="516"/>
      <c r="K2528" s="516"/>
      <c r="L2528" s="557"/>
      <c r="M2528" s="557"/>
      <c r="N2528" s="557"/>
      <c r="T2528" s="590"/>
      <c r="U2528" s="580">
        <f>SUMIF('Previsão Envase'!H$1924:H$2011,T2528,'Previsão Envase'!M$1924:M$2011)</f>
        <v>0</v>
      </c>
      <c r="V2528" s="587"/>
      <c r="W2528" s="583">
        <f>IFERROR(V2528*INDEX([2]Pedidos!$Q:$Q,MATCH(T2528,[2]Pedidos!$E:$E,0)),0)</f>
        <v>0</v>
      </c>
    </row>
    <row r="2529" spans="1:23" x14ac:dyDescent="0.25">
      <c r="A2529" s="753"/>
      <c r="C2529" s="527" t="s">
        <v>161</v>
      </c>
      <c r="D2529" s="449">
        <f t="shared" si="198"/>
        <v>46111</v>
      </c>
      <c r="E2529" s="503" t="s">
        <v>583</v>
      </c>
      <c r="F2529" s="506"/>
      <c r="G2529" s="506"/>
      <c r="H2529" s="516"/>
      <c r="I2529" s="516"/>
      <c r="J2529" s="516"/>
      <c r="K2529" s="516"/>
      <c r="L2529" s="557"/>
      <c r="M2529" s="557"/>
      <c r="N2529" s="557"/>
      <c r="T2529" s="573" t="s">
        <v>1521</v>
      </c>
      <c r="U2529" s="574">
        <f>SUM(U2515:U2528)</f>
        <v>0</v>
      </c>
      <c r="V2529" s="574">
        <f>SUM(V2515:V2528)</f>
        <v>0</v>
      </c>
      <c r="W2529" s="584">
        <f>SUM(W2515:W2528)</f>
        <v>0</v>
      </c>
    </row>
    <row r="2530" spans="1:23" ht="15.75" thickBot="1" x14ac:dyDescent="0.3">
      <c r="A2530" s="753"/>
      <c r="C2530" s="528" t="s">
        <v>161</v>
      </c>
      <c r="D2530" s="451">
        <f t="shared" si="198"/>
        <v>46111</v>
      </c>
      <c r="E2530" s="459" t="s">
        <v>584</v>
      </c>
      <c r="F2530" s="493"/>
      <c r="G2530" s="493"/>
      <c r="H2530" s="513"/>
      <c r="I2530" s="513"/>
      <c r="J2530" s="513"/>
      <c r="K2530" s="513"/>
      <c r="L2530" s="558"/>
      <c r="M2530" s="558"/>
      <c r="N2530" s="558"/>
    </row>
    <row r="2531" spans="1:23" ht="4.5" customHeight="1" thickBot="1" x14ac:dyDescent="0.3">
      <c r="A2531" s="753"/>
      <c r="L2531" s="559"/>
      <c r="M2531" s="559"/>
      <c r="N2531" s="559"/>
      <c r="Q2531" s="3"/>
      <c r="R2531" s="3"/>
    </row>
    <row r="2532" spans="1:23" ht="15" customHeight="1" thickBot="1" x14ac:dyDescent="0.3">
      <c r="A2532" s="753"/>
      <c r="C2532" s="538"/>
      <c r="D2532" s="539"/>
      <c r="E2532" s="539"/>
      <c r="F2532" s="539"/>
      <c r="G2532" s="539"/>
      <c r="H2532" s="539"/>
      <c r="I2532" s="543">
        <f t="shared" ref="I2532:N2532" si="199">_xlfn.AGGREGATE(9,6,I2533:I2548)</f>
        <v>0</v>
      </c>
      <c r="J2532" s="542">
        <f t="shared" si="199"/>
        <v>0</v>
      </c>
      <c r="K2532" s="544">
        <f t="shared" si="199"/>
        <v>0</v>
      </c>
      <c r="L2532" s="560">
        <f t="shared" si="199"/>
        <v>0</v>
      </c>
      <c r="M2532" s="561">
        <f t="shared" si="199"/>
        <v>0</v>
      </c>
      <c r="N2532" s="562">
        <f t="shared" si="199"/>
        <v>0</v>
      </c>
      <c r="O2532" s="548">
        <f>SUM(I2532:K2532)</f>
        <v>0</v>
      </c>
      <c r="P2532" s="549">
        <f>SUM(L2532:N2532)</f>
        <v>0</v>
      </c>
      <c r="Q2532" s="3"/>
      <c r="R2532" s="3"/>
    </row>
    <row r="2533" spans="1:23" x14ac:dyDescent="0.25">
      <c r="A2533" s="753"/>
      <c r="C2533" s="446" t="s">
        <v>171</v>
      </c>
      <c r="D2533" s="497">
        <f>D2530+1</f>
        <v>46112</v>
      </c>
      <c r="E2533" s="498" t="s">
        <v>573</v>
      </c>
      <c r="F2533" s="514"/>
      <c r="G2533" s="514"/>
      <c r="H2533" s="515"/>
      <c r="I2533" s="537"/>
      <c r="J2533" s="537"/>
      <c r="K2533" s="537"/>
      <c r="L2533" s="563"/>
      <c r="M2533" s="563"/>
      <c r="N2533" s="563"/>
    </row>
    <row r="2534" spans="1:23" x14ac:dyDescent="0.25">
      <c r="A2534" s="753"/>
      <c r="C2534" s="452" t="s">
        <v>171</v>
      </c>
      <c r="D2534" s="499">
        <f t="shared" ref="D2534:D2548" si="200">D2533</f>
        <v>46112</v>
      </c>
      <c r="E2534" s="500" t="s">
        <v>162</v>
      </c>
      <c r="F2534" s="460"/>
      <c r="G2534" s="460"/>
      <c r="H2534" s="501"/>
      <c r="I2534" s="540" t="e">
        <f>INDEX([1]Produtos!$L:$L,MATCH(IF(ISNUMBER(FIND(" - ",F2534)),LEFT(F2534,FIND(" - ",F2534)-1),F2534),[1]Produtos!$C:$C,0))</f>
        <v>#N/A</v>
      </c>
      <c r="J2534" s="540" t="e">
        <f>INDEX([1]Produtos!$L:$L,MATCH(IF(ISNUMBER(FIND(" - ",G2534)),LEFT(G2534,FIND(" - ",G2534)-1),G2534),[1]Produtos!$C:$C,0))</f>
        <v>#N/A</v>
      </c>
      <c r="K2534" s="540" t="e">
        <f>INDEX([1]Produtos!$L:$L,MATCH(IF(ISNUMBER(FIND(" - ",H2534)),LEFT(H2534,FIND(" - ",H2534)-1),H2534),[1]Produtos!$C:$C,0))</f>
        <v>#N/A</v>
      </c>
      <c r="L2534" s="555" t="e">
        <f>INDEX([1]Produtos!$L:$L,MATCH(IF(ISNUMBER(FIND(" - ",F2534)),LEFT(F2534,FIND(" - ",F2534)-1),F2534),[1]Produtos!$C:$C,0))*INDEX([2]Pedidos!$Q:$Q,MATCH(F2534,[2]Pedidos!$E:$E,0))</f>
        <v>#N/A</v>
      </c>
      <c r="M2534" s="555" t="e">
        <f>INDEX([1]Produtos!$L:$L,MATCH(IF(ISNUMBER(FIND(" - ",G2534)),LEFT(G2534,FIND(" - ",G2534)-1),G2534),[1]Produtos!$C:$C,0))*INDEX([2]Pedidos!$Q:$Q,MATCH(G2534,[2]Pedidos!$E:$E,0))</f>
        <v>#N/A</v>
      </c>
      <c r="N2534" s="555" t="e">
        <f>INDEX([1]Produtos!$L:$L,MATCH(IF(ISNUMBER(FIND(" - ",H2534)),LEFT(H2534,FIND(" - ",H2534)-1),H2534),[1]Produtos!$C:$C,0))*INDEX([2]Pedidos!$Q:$Q,MATCH(H2534,[2]Pedidos!$E:$E,0))</f>
        <v>#N/A</v>
      </c>
    </row>
    <row r="2535" spans="1:23" x14ac:dyDescent="0.25">
      <c r="A2535" s="753"/>
      <c r="C2535" s="452" t="s">
        <v>171</v>
      </c>
      <c r="D2535" s="449">
        <f t="shared" si="200"/>
        <v>46112</v>
      </c>
      <c r="E2535" s="454" t="s">
        <v>163</v>
      </c>
      <c r="F2535" s="460"/>
      <c r="G2535" s="460"/>
      <c r="H2535" s="460"/>
      <c r="I2535" s="540" t="e">
        <f>INDEX([1]Produtos!$L:$L,MATCH(IF(ISNUMBER(FIND(" - ",F2535)),LEFT(F2535,FIND(" - ",F2535)-1),F2535),[1]Produtos!$C:$C,0))</f>
        <v>#N/A</v>
      </c>
      <c r="J2535" s="540" t="e">
        <f>INDEX([1]Produtos!$L:$L,MATCH(IF(ISNUMBER(FIND(" - ",G2537)),LEFT(G2537,FIND(" - ",G2537)-1),G2537),[1]Produtos!$C:$C,0))</f>
        <v>#N/A</v>
      </c>
      <c r="K2535" s="540" t="e">
        <f>INDEX([1]Produtos!$L:$L,MATCH(IF(ISNUMBER(FIND(" - ",H2535)),LEFT(H2535,FIND(" - ",H2535)-1),H2535),[1]Produtos!$C:$C,0))</f>
        <v>#N/A</v>
      </c>
      <c r="L2535" s="564" t="e">
        <f>INDEX([1]Produtos!$L:$L,MATCH(IF(ISNUMBER(FIND(" - ",F2535)),LEFT(F2535,FIND(" - ",F2535)-1),F2535),[1]Produtos!$C:$C,0))*INDEX([2]Pedidos!$Q:$Q,MATCH(F2535,[2]Pedidos!$E:$E,0))</f>
        <v>#N/A</v>
      </c>
      <c r="M2535" s="564" t="e">
        <f>INDEX([1]Produtos!$L:$L,MATCH(IF(ISNUMBER(FIND(" - ",G2537)),LEFT(G2537,FIND(" - ",G2537)-1),G2537),[1]Produtos!$C:$C,0))*INDEX([2]Pedidos!$Q:$Q,MATCH(G2537,[2]Pedidos!$E:$E,0))</f>
        <v>#N/A</v>
      </c>
      <c r="N2535" s="564" t="e">
        <f>INDEX([1]Produtos!$L:$L,MATCH(IF(ISNUMBER(FIND(" - ",H2535)),LEFT(H2535,FIND(" - ",H2535)-1),H2535),[1]Produtos!$C:$C,0))*INDEX([2]Pedidos!$Q:$Q,MATCH(H2535,[2]Pedidos!$E:$E,0))</f>
        <v>#N/A</v>
      </c>
    </row>
    <row r="2536" spans="1:23" x14ac:dyDescent="0.25">
      <c r="A2536" s="753"/>
      <c r="C2536" s="452" t="s">
        <v>171</v>
      </c>
      <c r="D2536" s="449">
        <f t="shared" si="200"/>
        <v>46112</v>
      </c>
      <c r="E2536" s="454" t="s">
        <v>164</v>
      </c>
      <c r="F2536" s="460"/>
      <c r="G2536" s="460"/>
      <c r="H2536" s="460"/>
      <c r="I2536" s="540" t="e">
        <f>INDEX([1]Produtos!$L:$L,MATCH(IF(ISNUMBER(FIND(" - ",F2536)),LEFT(F2536,FIND(" - ",F2536)-1),F2536),[1]Produtos!$C:$C,0))</f>
        <v>#N/A</v>
      </c>
      <c r="J2536" s="540" t="e">
        <f>INDEX([1]Produtos!$L:$L,MATCH(IF(ISNUMBER(FIND(" - ",G2536)),LEFT(G2536,FIND(" - ",G2536)-1),G2536),[1]Produtos!$C:$C,0))</f>
        <v>#N/A</v>
      </c>
      <c r="K2536" s="540" t="e">
        <f>INDEX([1]Produtos!$L:$L,MATCH(IF(ISNUMBER(FIND(" - ",H2536)),LEFT(H2536,FIND(" - ",H2536)-1),H2536),[1]Produtos!$C:$C,0))</f>
        <v>#N/A</v>
      </c>
      <c r="L2536" s="564" t="e">
        <f>INDEX([1]Produtos!$L:$L,MATCH(IF(ISNUMBER(FIND(" - ",F2536)),LEFT(F2536,FIND(" - ",F2536)-1),F2536),[1]Produtos!$C:$C,0))*INDEX([2]Pedidos!$Q:$Q,MATCH(F2536,[2]Pedidos!$E:$E,0))</f>
        <v>#N/A</v>
      </c>
      <c r="M2536" s="564" t="e">
        <f>INDEX([1]Produtos!$L:$L,MATCH(IF(ISNUMBER(FIND(" - ",G2536)),LEFT(G2536,FIND(" - ",G2536)-1),G2536),[1]Produtos!$C:$C,0))*INDEX([2]Pedidos!$Q:$Q,MATCH(G2536,[2]Pedidos!$E:$E,0))</f>
        <v>#N/A</v>
      </c>
      <c r="N2536" s="564" t="e">
        <f>INDEX([1]Produtos!$L:$L,MATCH(IF(ISNUMBER(FIND(" - ",H2536)),LEFT(H2536,FIND(" - ",H2536)-1),H2536),[1]Produtos!$C:$C,0))*INDEX([2]Pedidos!$Q:$Q,MATCH(H2536,[2]Pedidos!$E:$E,0))</f>
        <v>#N/A</v>
      </c>
    </row>
    <row r="2537" spans="1:23" x14ac:dyDescent="0.25">
      <c r="A2537" s="753"/>
      <c r="C2537" s="452" t="s">
        <v>171</v>
      </c>
      <c r="D2537" s="449">
        <f t="shared" si="200"/>
        <v>46112</v>
      </c>
      <c r="E2537" s="454" t="s">
        <v>165</v>
      </c>
      <c r="F2537" s="460"/>
      <c r="G2537" s="460"/>
      <c r="H2537" s="460"/>
      <c r="I2537" s="540" t="e">
        <f>INDEX([1]Produtos!$L:$L,MATCH(IF(ISNUMBER(FIND(" - ",F2537)),LEFT(F2537,FIND(" - ",F2537)-1),F2537),[1]Produtos!$C:$C,0))</f>
        <v>#N/A</v>
      </c>
      <c r="J2537" s="540" t="e">
        <f>INDEX([1]Produtos!$L:$L,MATCH(IF(ISNUMBER(FIND(" - ",G2537)),LEFT(G2537,FIND(" - ",G2537)-1),G2537),[1]Produtos!$C:$C,0))</f>
        <v>#N/A</v>
      </c>
      <c r="K2537" s="540" t="e">
        <f>INDEX([1]Produtos!$L:$L,MATCH(IF(ISNUMBER(FIND(" - ",H2537)),LEFT(H2537,FIND(" - ",H2537)-1),H2537),[1]Produtos!$C:$C,0))</f>
        <v>#N/A</v>
      </c>
      <c r="L2537" s="564" t="e">
        <f>INDEX([1]Produtos!$L:$L,MATCH(IF(ISNUMBER(FIND(" - ",F2537)),LEFT(F2537,FIND(" - ",F2537)-1),F2537),[1]Produtos!$C:$C,0))*INDEX([2]Pedidos!$Q:$Q,MATCH(F2537,[2]Pedidos!$E:$E,0))</f>
        <v>#N/A</v>
      </c>
      <c r="M2537" s="564" t="e">
        <f>INDEX([1]Produtos!$L:$L,MATCH(IF(ISNUMBER(FIND(" - ",G2537)),LEFT(G2537,FIND(" - ",G2537)-1),G2537),[1]Produtos!$C:$C,0))*INDEX([2]Pedidos!$Q:$Q,MATCH(G2537,[2]Pedidos!$E:$E,0))</f>
        <v>#N/A</v>
      </c>
      <c r="N2537" s="564" t="e">
        <f>INDEX([1]Produtos!$L:$L,MATCH(IF(ISNUMBER(FIND(" - ",H2537)),LEFT(H2537,FIND(" - ",H2537)-1),H2537),[1]Produtos!$C:$C,0))*INDEX([2]Pedidos!$Q:$Q,MATCH(H2537,[2]Pedidos!$E:$E,0))</f>
        <v>#N/A</v>
      </c>
    </row>
    <row r="2538" spans="1:23" x14ac:dyDescent="0.25">
      <c r="A2538" s="753"/>
      <c r="C2538" s="452" t="s">
        <v>171</v>
      </c>
      <c r="D2538" s="449">
        <f t="shared" si="200"/>
        <v>46112</v>
      </c>
      <c r="E2538" s="454" t="s">
        <v>166</v>
      </c>
      <c r="F2538" s="460"/>
      <c r="G2538" s="460"/>
      <c r="H2538" s="460"/>
      <c r="I2538" s="540" t="e">
        <f>INDEX([1]Produtos!$L:$L,MATCH(IF(ISNUMBER(FIND(" - ",F2538)),LEFT(F2538,FIND(" - ",F2538)-1),F2538),[1]Produtos!$C:$C,0))</f>
        <v>#N/A</v>
      </c>
      <c r="J2538" s="540" t="e">
        <f>INDEX([1]Produtos!$L:$L,MATCH(IF(ISNUMBER(FIND(" - ",G2538)),LEFT(G2538,FIND(" - ",G2538)-1),G2538),[1]Produtos!$C:$C,0))</f>
        <v>#N/A</v>
      </c>
      <c r="K2538" s="540" t="e">
        <f>INDEX([1]Produtos!$L:$L,MATCH(IF(ISNUMBER(FIND(" - ",H2538)),LEFT(H2538,FIND(" - ",H2538)-1),H2538),[1]Produtos!$C:$C,0))</f>
        <v>#N/A</v>
      </c>
      <c r="L2538" s="564" t="e">
        <f>INDEX([1]Produtos!$L:$L,MATCH(IF(ISNUMBER(FIND(" - ",F2538)),LEFT(F2538,FIND(" - ",F2538)-1),F2538),[1]Produtos!$C:$C,0))*INDEX([2]Pedidos!$Q:$Q,MATCH(F2538,[2]Pedidos!$E:$E,0))</f>
        <v>#N/A</v>
      </c>
      <c r="M2538" s="564" t="e">
        <f>INDEX([1]Produtos!$L:$L,MATCH(IF(ISNUMBER(FIND(" - ",G2538)),LEFT(G2538,FIND(" - ",G2538)-1),G2538),[1]Produtos!$C:$C,0))*INDEX([2]Pedidos!$Q:$Q,MATCH(G2538,[2]Pedidos!$E:$E,0))</f>
        <v>#N/A</v>
      </c>
      <c r="N2538" s="564" t="e">
        <f>INDEX([1]Produtos!$L:$L,MATCH(IF(ISNUMBER(FIND(" - ",H2538)),LEFT(H2538,FIND(" - ",H2538)-1),H2538),[1]Produtos!$C:$C,0))*INDEX([2]Pedidos!$Q:$Q,MATCH(H2538,[2]Pedidos!$E:$E,0))</f>
        <v>#N/A</v>
      </c>
    </row>
    <row r="2539" spans="1:23" x14ac:dyDescent="0.25">
      <c r="A2539" s="753"/>
      <c r="C2539" s="452" t="s">
        <v>171</v>
      </c>
      <c r="D2539" s="449">
        <f t="shared" si="200"/>
        <v>46112</v>
      </c>
      <c r="E2539" s="454" t="s">
        <v>576</v>
      </c>
      <c r="F2539" s="517"/>
      <c r="G2539" s="512"/>
      <c r="H2539" s="505"/>
      <c r="I2539" s="554"/>
      <c r="J2539" s="541"/>
      <c r="K2539" s="541"/>
      <c r="L2539" s="556"/>
      <c r="M2539" s="556"/>
      <c r="N2539" s="556"/>
    </row>
    <row r="2540" spans="1:23" x14ac:dyDescent="0.25">
      <c r="A2540" s="753"/>
      <c r="C2540" s="452" t="s">
        <v>171</v>
      </c>
      <c r="D2540" s="449">
        <f t="shared" si="200"/>
        <v>46112</v>
      </c>
      <c r="E2540" s="454" t="s">
        <v>167</v>
      </c>
      <c r="F2540" s="460"/>
      <c r="G2540" s="460"/>
      <c r="H2540" s="461"/>
      <c r="I2540" s="540" t="e">
        <f>INDEX([1]Produtos!$L:$L,MATCH(IF(ISNUMBER(FIND(" - ",F2540)),LEFT(F2540,FIND(" - ",F2540)-1),F2540),[1]Produtos!$C:$C,0))</f>
        <v>#N/A</v>
      </c>
      <c r="J2540" s="540" t="e">
        <f>INDEX([1]Produtos!$L:$L,MATCH(IF(ISNUMBER(FIND(" - ",G2540)),LEFT(G2540,FIND(" - ",G2540)-1),G2540),[1]Produtos!$C:$C,0))</f>
        <v>#N/A</v>
      </c>
      <c r="K2540" s="540" t="e">
        <f>INDEX([1]Produtos!$L:$L,MATCH(IF(ISNUMBER(FIND(" - ",H2540)),LEFT(H2540,FIND(" - ",H2540)-1),H2540),[1]Produtos!$C:$C,0))</f>
        <v>#N/A</v>
      </c>
      <c r="L2540" s="565" t="e">
        <f>INDEX([1]Produtos!$L:$L,MATCH(IF(ISNUMBER(FIND(" - ",F2540)),LEFT(F2540,FIND(" - ",F2540)-1),F2540),[1]Produtos!$C:$C,0))*INDEX([2]Pedidos!$Q:$Q,MATCH(F2540,[2]Pedidos!$E:$E,0))</f>
        <v>#N/A</v>
      </c>
      <c r="M2540" s="565" t="e">
        <f>INDEX([1]Produtos!$L:$L,MATCH(IF(ISNUMBER(FIND(" - ",G2540)),LEFT(G2540,FIND(" - ",G2540)-1),G2540),[1]Produtos!$C:$C,0))*INDEX([2]Pedidos!$Q:$Q,MATCH(G2540,[2]Pedidos!$E:$E,0))</f>
        <v>#N/A</v>
      </c>
      <c r="N2540" s="565" t="e">
        <f>INDEX([1]Produtos!$L:$L,MATCH(IF(ISNUMBER(FIND(" - ",H2540)),LEFT(H2540,FIND(" - ",H2540)-1),H2540),[1]Produtos!$C:$C,0))*INDEX([2]Pedidos!$Q:$Q,MATCH(H2540,[2]Pedidos!$E:$E,0))</f>
        <v>#N/A</v>
      </c>
    </row>
    <row r="2541" spans="1:23" x14ac:dyDescent="0.25">
      <c r="A2541" s="753"/>
      <c r="C2541" s="452" t="s">
        <v>171</v>
      </c>
      <c r="D2541" s="449">
        <f t="shared" si="200"/>
        <v>46112</v>
      </c>
      <c r="E2541" s="454" t="s">
        <v>168</v>
      </c>
      <c r="F2541" s="460"/>
      <c r="G2541" s="460"/>
      <c r="H2541" s="461"/>
      <c r="I2541" s="540" t="e">
        <f>INDEX([1]Produtos!$L:$L,MATCH(IF(ISNUMBER(FIND(" - ",F2541)),LEFT(F2541,FIND(" - ",F2541)-1),F2541),[1]Produtos!$C:$C,0))</f>
        <v>#N/A</v>
      </c>
      <c r="J2541" s="540" t="e">
        <f>INDEX([1]Produtos!$L:$L,MATCH(IF(ISNUMBER(FIND(" - ",G2541)),LEFT(G2541,FIND(" - ",G2541)-1),G2541),[1]Produtos!$C:$C,0))</f>
        <v>#N/A</v>
      </c>
      <c r="K2541" s="540" t="e">
        <f>INDEX([1]Produtos!$L:$L,MATCH(IF(ISNUMBER(FIND(" - ",H2541)),LEFT(H2541,FIND(" - ",H2541)-1),H2541),[1]Produtos!$C:$C,0))</f>
        <v>#N/A</v>
      </c>
      <c r="L2541" s="565" t="e">
        <f>INDEX([1]Produtos!$L:$L,MATCH(IF(ISNUMBER(FIND(" - ",F2541)),LEFT(F2541,FIND(" - ",F2541)-1),F2541),[1]Produtos!$C:$C,0))*INDEX([2]Pedidos!$Q:$Q,MATCH(F2541,[2]Pedidos!$E:$E,0))</f>
        <v>#N/A</v>
      </c>
      <c r="M2541" s="565" t="e">
        <f>INDEX([1]Produtos!$L:$L,MATCH(IF(ISNUMBER(FIND(" - ",G2541)),LEFT(G2541,FIND(" - ",G2541)-1),G2541),[1]Produtos!$C:$C,0))*INDEX([2]Pedidos!$Q:$Q,MATCH(G2541,[2]Pedidos!$E:$E,0))</f>
        <v>#N/A</v>
      </c>
      <c r="N2541" s="565" t="e">
        <f>INDEX([1]Produtos!$L:$L,MATCH(IF(ISNUMBER(FIND(" - ",H2541)),LEFT(H2541,FIND(" - ",H2541)-1),H2541),[1]Produtos!$C:$C,0))*INDEX([2]Pedidos!$Q:$Q,MATCH(H2541,[2]Pedidos!$E:$E,0))</f>
        <v>#N/A</v>
      </c>
    </row>
    <row r="2542" spans="1:23" x14ac:dyDescent="0.25">
      <c r="A2542" s="753"/>
      <c r="C2542" s="452" t="s">
        <v>171</v>
      </c>
      <c r="D2542" s="449">
        <f t="shared" si="200"/>
        <v>46112</v>
      </c>
      <c r="E2542" s="454" t="s">
        <v>169</v>
      </c>
      <c r="F2542" s="460"/>
      <c r="G2542" s="460"/>
      <c r="H2542" s="461"/>
      <c r="I2542" s="540" t="e">
        <f>INDEX([1]Produtos!$L:$L,MATCH(IF(ISNUMBER(FIND(" - ",F2542)),LEFT(F2542,FIND(" - ",F2542)-1),F2542),[1]Produtos!$C:$C,0))</f>
        <v>#N/A</v>
      </c>
      <c r="J2542" s="540" t="e">
        <f>INDEX([1]Produtos!$L:$L,MATCH(IF(ISNUMBER(FIND(" - ",G2542)),LEFT(G2542,FIND(" - ",G2542)-1),G2542),[1]Produtos!$C:$C,0))</f>
        <v>#N/A</v>
      </c>
      <c r="K2542" s="540" t="e">
        <f>INDEX([1]Produtos!$L:$L,MATCH(IF(ISNUMBER(FIND(" - ",H2542)),LEFT(H2542,FIND(" - ",H2542)-1),H2542),[1]Produtos!$C:$C,0))</f>
        <v>#N/A</v>
      </c>
      <c r="L2542" s="565" t="e">
        <f>INDEX([1]Produtos!$L:$L,MATCH(IF(ISNUMBER(FIND(" - ",F2542)),LEFT(F2542,FIND(" - ",F2542)-1),F2542),[1]Produtos!$C:$C,0))*INDEX([2]Pedidos!$Q:$Q,MATCH(F2542,[2]Pedidos!$E:$E,0))</f>
        <v>#N/A</v>
      </c>
      <c r="M2542" s="565" t="e">
        <f>INDEX([1]Produtos!$L:$L,MATCH(IF(ISNUMBER(FIND(" - ",G2542)),LEFT(G2542,FIND(" - ",G2542)-1),G2542),[1]Produtos!$C:$C,0))*INDEX([2]Pedidos!$Q:$Q,MATCH(G2542,[2]Pedidos!$E:$E,0))</f>
        <v>#N/A</v>
      </c>
      <c r="N2542" s="565" t="e">
        <f>INDEX([1]Produtos!$L:$L,MATCH(IF(ISNUMBER(FIND(" - ",H2542)),LEFT(H2542,FIND(" - ",H2542)-1),H2542),[1]Produtos!$C:$C,0))*INDEX([2]Pedidos!$Q:$Q,MATCH(H2542,[2]Pedidos!$E:$E,0))</f>
        <v>#N/A</v>
      </c>
    </row>
    <row r="2543" spans="1:23" x14ac:dyDescent="0.25">
      <c r="A2543" s="753"/>
      <c r="C2543" s="452" t="s">
        <v>171</v>
      </c>
      <c r="D2543" s="449">
        <f t="shared" si="200"/>
        <v>46112</v>
      </c>
      <c r="E2543" s="454" t="s">
        <v>170</v>
      </c>
      <c r="F2543" s="460"/>
      <c r="G2543" s="460"/>
      <c r="H2543" s="504"/>
      <c r="I2543" s="540" t="e">
        <f>INDEX([1]Produtos!$L:$L,MATCH(IF(ISNUMBER(FIND(" - ",F2543)),LEFT(F2543,FIND(" - ",F2543)-1),F2543),[1]Produtos!$C:$C,0))</f>
        <v>#N/A</v>
      </c>
      <c r="J2543" s="540" t="e">
        <f>INDEX([1]Produtos!$L:$L,MATCH(IF(ISNUMBER(FIND(" - ",G2543)),LEFT(G2543,FIND(" - ",G2543)-1),G2543),[1]Produtos!$C:$C,0))</f>
        <v>#N/A</v>
      </c>
      <c r="K2543" s="540" t="e">
        <f>INDEX([1]Produtos!$L:$L,MATCH(IF(ISNUMBER(FIND(" - ",H2543)),LEFT(H2543,FIND(" - ",H2543)-1),H2543),[1]Produtos!$C:$C,0))</f>
        <v>#N/A</v>
      </c>
      <c r="L2543" s="566" t="e">
        <f>INDEX([1]Produtos!$L:$L,MATCH(IF(ISNUMBER(FIND(" - ",F2543)),LEFT(F2543,FIND(" - ",F2543)-1),F2543),[1]Produtos!$C:$C,0))*INDEX([2]Pedidos!$Q:$Q,MATCH(F2543,[2]Pedidos!$E:$E,0))</f>
        <v>#N/A</v>
      </c>
      <c r="M2543" s="566" t="e">
        <f>INDEX([1]Produtos!$L:$L,MATCH(IF(ISNUMBER(FIND(" - ",G2543)),LEFT(G2543,FIND(" - ",G2543)-1),G2543),[1]Produtos!$C:$C,0))*INDEX([2]Pedidos!$Q:$Q,MATCH(G2543,[2]Pedidos!$E:$E,0))</f>
        <v>#N/A</v>
      </c>
      <c r="N2543" s="566" t="e">
        <f>INDEX([1]Produtos!$L:$L,MATCH(IF(ISNUMBER(FIND(" - ",H2543)),LEFT(H2543,FIND(" - ",H2543)-1),H2543),[1]Produtos!$C:$C,0))*INDEX([2]Pedidos!$Q:$Q,MATCH(H2543,[2]Pedidos!$E:$E,0))</f>
        <v>#N/A</v>
      </c>
    </row>
    <row r="2544" spans="1:23" x14ac:dyDescent="0.25">
      <c r="A2544" s="753"/>
      <c r="C2544" s="452" t="s">
        <v>171</v>
      </c>
      <c r="D2544" s="449">
        <f t="shared" si="200"/>
        <v>46112</v>
      </c>
      <c r="E2544" s="454" t="s">
        <v>585</v>
      </c>
      <c r="F2544" s="505"/>
      <c r="G2544" s="505"/>
      <c r="H2544" s="516"/>
      <c r="I2544" s="516"/>
      <c r="J2544" s="516"/>
      <c r="K2544" s="516"/>
      <c r="L2544" s="557"/>
      <c r="M2544" s="557"/>
      <c r="N2544" s="557"/>
    </row>
    <row r="2545" spans="1:18" x14ac:dyDescent="0.25">
      <c r="A2545" s="753"/>
      <c r="C2545" s="448" t="s">
        <v>171</v>
      </c>
      <c r="D2545" s="449">
        <f t="shared" si="200"/>
        <v>46112</v>
      </c>
      <c r="E2545" s="455" t="s">
        <v>574</v>
      </c>
      <c r="F2545" s="505"/>
      <c r="G2545" s="505"/>
      <c r="H2545" s="516"/>
      <c r="I2545" s="516"/>
      <c r="J2545" s="516"/>
      <c r="K2545" s="516"/>
      <c r="L2545" s="557"/>
      <c r="M2545" s="557"/>
      <c r="N2545" s="557"/>
    </row>
    <row r="2546" spans="1:18" x14ac:dyDescent="0.25">
      <c r="A2546" s="753"/>
      <c r="C2546" s="448" t="s">
        <v>171</v>
      </c>
      <c r="D2546" s="449">
        <f t="shared" si="200"/>
        <v>46112</v>
      </c>
      <c r="E2546" s="455" t="s">
        <v>575</v>
      </c>
      <c r="F2546" s="506"/>
      <c r="G2546" s="506"/>
      <c r="H2546" s="516"/>
      <c r="I2546" s="516"/>
      <c r="J2546" s="516"/>
      <c r="K2546" s="516"/>
      <c r="L2546" s="557"/>
      <c r="M2546" s="557"/>
      <c r="N2546" s="557"/>
    </row>
    <row r="2547" spans="1:18" x14ac:dyDescent="0.25">
      <c r="A2547" s="753"/>
      <c r="C2547" s="448" t="s">
        <v>171</v>
      </c>
      <c r="D2547" s="449">
        <f t="shared" si="200"/>
        <v>46112</v>
      </c>
      <c r="E2547" s="503" t="s">
        <v>583</v>
      </c>
      <c r="F2547" s="506"/>
      <c r="G2547" s="506"/>
      <c r="H2547" s="516"/>
      <c r="I2547" s="516"/>
      <c r="J2547" s="516"/>
      <c r="K2547" s="516"/>
      <c r="L2547" s="557"/>
      <c r="M2547" s="557"/>
      <c r="N2547" s="557"/>
    </row>
    <row r="2548" spans="1:18" ht="15.75" thickBot="1" x14ac:dyDescent="0.3">
      <c r="A2548" s="753"/>
      <c r="C2548" s="450" t="s">
        <v>171</v>
      </c>
      <c r="D2548" s="451">
        <f t="shared" si="200"/>
        <v>46112</v>
      </c>
      <c r="E2548" s="459" t="s">
        <v>584</v>
      </c>
      <c r="F2548" s="493"/>
      <c r="G2548" s="493"/>
      <c r="H2548" s="513"/>
      <c r="I2548" s="513"/>
      <c r="J2548" s="513"/>
      <c r="K2548" s="513"/>
      <c r="L2548" s="558"/>
      <c r="M2548" s="558"/>
      <c r="N2548" s="558"/>
    </row>
    <row r="2549" spans="1:18" ht="4.5" customHeight="1" thickBot="1" x14ac:dyDescent="0.3">
      <c r="A2549" s="753"/>
      <c r="L2549" s="559"/>
      <c r="M2549" s="559"/>
      <c r="N2549" s="559"/>
      <c r="Q2549" s="3"/>
      <c r="R2549" s="3"/>
    </row>
    <row r="2550" spans="1:18" ht="15" customHeight="1" thickBot="1" x14ac:dyDescent="0.3">
      <c r="A2550" s="753"/>
      <c r="C2550" s="538"/>
      <c r="D2550" s="539"/>
      <c r="E2550" s="539"/>
      <c r="F2550" s="539"/>
      <c r="G2550" s="539"/>
      <c r="H2550" s="539"/>
      <c r="I2550" s="543">
        <f t="shared" ref="I2550:N2550" si="201">_xlfn.AGGREGATE(9,6,I2551:I2566)</f>
        <v>7592.2902086267004</v>
      </c>
      <c r="J2550" s="542">
        <f t="shared" si="201"/>
        <v>0</v>
      </c>
      <c r="K2550" s="544">
        <f t="shared" si="201"/>
        <v>0</v>
      </c>
      <c r="L2550" s="560">
        <f t="shared" si="201"/>
        <v>0</v>
      </c>
      <c r="M2550" s="561">
        <f t="shared" si="201"/>
        <v>0</v>
      </c>
      <c r="N2550" s="562">
        <f t="shared" si="201"/>
        <v>0</v>
      </c>
      <c r="O2550" s="548">
        <f>SUM(I2550:K2550)</f>
        <v>7592.2902086267004</v>
      </c>
      <c r="P2550" s="549">
        <f>SUM(L2550:N2550)</f>
        <v>0</v>
      </c>
      <c r="Q2550" s="3"/>
      <c r="R2550" s="3"/>
    </row>
    <row r="2551" spans="1:18" x14ac:dyDescent="0.25">
      <c r="A2551" s="753"/>
      <c r="C2551" s="446" t="s">
        <v>172</v>
      </c>
      <c r="D2551" s="497">
        <f>D2548+1</f>
        <v>46113</v>
      </c>
      <c r="E2551" s="498" t="s">
        <v>573</v>
      </c>
      <c r="F2551" s="514"/>
      <c r="G2551" s="514"/>
      <c r="H2551" s="515"/>
      <c r="I2551" s="537"/>
      <c r="J2551" s="537"/>
      <c r="K2551" s="537"/>
      <c r="L2551" s="563"/>
      <c r="M2551" s="563"/>
      <c r="N2551" s="563"/>
    </row>
    <row r="2552" spans="1:18" x14ac:dyDescent="0.25">
      <c r="A2552" s="753"/>
      <c r="C2552" s="452" t="s">
        <v>172</v>
      </c>
      <c r="D2552" s="499">
        <f t="shared" ref="D2552:D2566" si="202">D2551</f>
        <v>46113</v>
      </c>
      <c r="E2552" s="500" t="s">
        <v>162</v>
      </c>
      <c r="F2552" s="460" t="s">
        <v>1564</v>
      </c>
      <c r="G2552" s="460"/>
      <c r="H2552" s="501"/>
      <c r="I2552" s="540">
        <f>INDEX([1]Produtos!$L:$L,MATCH(IF(ISNUMBER(FIND(" - ",F2552)),LEFT(F2552,FIND(" - ",F2552)-1),F2552),[1]Produtos!$C:$C,0))</f>
        <v>843.58780095852239</v>
      </c>
      <c r="J2552" s="540" t="e">
        <f>INDEX([1]Produtos!$L:$L,MATCH(IF(ISNUMBER(FIND(" - ",G2552)),LEFT(G2552,FIND(" - ",G2552)-1),G2552),[1]Produtos!$C:$C,0))</f>
        <v>#N/A</v>
      </c>
      <c r="K2552" s="540" t="e">
        <f>INDEX([1]Produtos!$L:$L,MATCH(IF(ISNUMBER(FIND(" - ",H2552)),LEFT(H2552,FIND(" - ",H2552)-1),H2552),[1]Produtos!$C:$C,0))</f>
        <v>#N/A</v>
      </c>
      <c r="L2552" s="555" t="e">
        <f>INDEX([1]Produtos!$L:$L,MATCH(IF(ISNUMBER(FIND(" - ",F2552)),LEFT(F2552,FIND(" - ",F2552)-1),F2552),[1]Produtos!$C:$C,0))*INDEX([2]Pedidos!$Q:$Q,MATCH(F2552,[2]Pedidos!$E:$E,0))</f>
        <v>#N/A</v>
      </c>
      <c r="M2552" s="555" t="e">
        <f>INDEX([1]Produtos!$L:$L,MATCH(IF(ISNUMBER(FIND(" - ",G2552)),LEFT(G2552,FIND(" - ",G2552)-1),G2552),[1]Produtos!$C:$C,0))*INDEX([2]Pedidos!$Q:$Q,MATCH(G2552,[2]Pedidos!$E:$E,0))</f>
        <v>#N/A</v>
      </c>
      <c r="N2552" s="555" t="e">
        <f>INDEX([1]Produtos!$L:$L,MATCH(IF(ISNUMBER(FIND(" - ",H2552)),LEFT(H2552,FIND(" - ",H2552)-1),H2552),[1]Produtos!$C:$C,0))*INDEX([2]Pedidos!$Q:$Q,MATCH(H2552,[2]Pedidos!$E:$E,0))</f>
        <v>#N/A</v>
      </c>
    </row>
    <row r="2553" spans="1:18" x14ac:dyDescent="0.25">
      <c r="A2553" s="753"/>
      <c r="C2553" s="452" t="s">
        <v>172</v>
      </c>
      <c r="D2553" s="449">
        <f t="shared" si="202"/>
        <v>46113</v>
      </c>
      <c r="E2553" s="454" t="s">
        <v>163</v>
      </c>
      <c r="F2553" s="460" t="s">
        <v>1565</v>
      </c>
      <c r="G2553" s="460"/>
      <c r="H2553" s="460"/>
      <c r="I2553" s="540">
        <f>INDEX([1]Produtos!$L:$L,MATCH(IF(ISNUMBER(FIND(" - ",F2553)),LEFT(F2553,FIND(" - ",F2553)-1),F2553),[1]Produtos!$C:$C,0))</f>
        <v>843.58780095852239</v>
      </c>
      <c r="J2553" s="540" t="e">
        <f>INDEX([1]Produtos!$L:$L,MATCH(IF(ISNUMBER(FIND(" - ",G2553)),LEFT(G2553,FIND(" - ",G2553)-1),G2553),[1]Produtos!$C:$C,0))</f>
        <v>#N/A</v>
      </c>
      <c r="K2553" s="540" t="e">
        <f>INDEX([1]Produtos!$L:$L,MATCH(IF(ISNUMBER(FIND(" - ",H2553)),LEFT(H2553,FIND(" - ",H2553)-1),H2553),[1]Produtos!$C:$C,0))</f>
        <v>#N/A</v>
      </c>
      <c r="L2553" s="564" t="e">
        <f>INDEX([1]Produtos!$L:$L,MATCH(IF(ISNUMBER(FIND(" - ",F2553)),LEFT(F2553,FIND(" - ",F2553)-1),F2553),[1]Produtos!$C:$C,0))*INDEX([2]Pedidos!$Q:$Q,MATCH(F2553,[2]Pedidos!$E:$E,0))</f>
        <v>#N/A</v>
      </c>
      <c r="M2553" s="564" t="e">
        <f>INDEX([1]Produtos!$L:$L,MATCH(IF(ISNUMBER(FIND(" - ",G2553)),LEFT(G2553,FIND(" - ",G2553)-1),G2553),[1]Produtos!$C:$C,0))*INDEX([2]Pedidos!$Q:$Q,MATCH(G2553,[2]Pedidos!$E:$E,0))</f>
        <v>#N/A</v>
      </c>
      <c r="N2553" s="564" t="e">
        <f>INDEX([1]Produtos!$L:$L,MATCH(IF(ISNUMBER(FIND(" - ",H2553)),LEFT(H2553,FIND(" - ",H2553)-1),H2553),[1]Produtos!$C:$C,0))*INDEX([2]Pedidos!$Q:$Q,MATCH(H2553,[2]Pedidos!$E:$E,0))</f>
        <v>#N/A</v>
      </c>
    </row>
    <row r="2554" spans="1:18" x14ac:dyDescent="0.25">
      <c r="A2554" s="753"/>
      <c r="C2554" s="452" t="s">
        <v>172</v>
      </c>
      <c r="D2554" s="449">
        <f t="shared" si="202"/>
        <v>46113</v>
      </c>
      <c r="E2554" s="454" t="s">
        <v>164</v>
      </c>
      <c r="F2554" s="460" t="s">
        <v>1565</v>
      </c>
      <c r="G2554" s="460"/>
      <c r="H2554" s="460"/>
      <c r="I2554" s="540">
        <f>INDEX([1]Produtos!$L:$L,MATCH(IF(ISNUMBER(FIND(" - ",F2554)),LEFT(F2554,FIND(" - ",F2554)-1),F2554),[1]Produtos!$C:$C,0))</f>
        <v>843.58780095852239</v>
      </c>
      <c r="J2554" s="540" t="e">
        <f>INDEX([1]Produtos!$L:$L,MATCH(IF(ISNUMBER(FIND(" - ",G2554)),LEFT(G2554,FIND(" - ",G2554)-1),G2554),[1]Produtos!$C:$C,0))</f>
        <v>#N/A</v>
      </c>
      <c r="K2554" s="540" t="e">
        <f>INDEX([1]Produtos!$L:$L,MATCH(IF(ISNUMBER(FIND(" - ",H2554)),LEFT(H2554,FIND(" - ",H2554)-1),H2554),[1]Produtos!$C:$C,0))</f>
        <v>#N/A</v>
      </c>
      <c r="L2554" s="564" t="e">
        <f>INDEX([1]Produtos!$L:$L,MATCH(IF(ISNUMBER(FIND(" - ",F2554)),LEFT(F2554,FIND(" - ",F2554)-1),F2554),[1]Produtos!$C:$C,0))*INDEX([2]Pedidos!$Q:$Q,MATCH(F2554,[2]Pedidos!$E:$E,0))</f>
        <v>#N/A</v>
      </c>
      <c r="M2554" s="564" t="e">
        <f>INDEX([1]Produtos!$L:$L,MATCH(IF(ISNUMBER(FIND(" - ",G2554)),LEFT(G2554,FIND(" - ",G2554)-1),G2554),[1]Produtos!$C:$C,0))*INDEX([2]Pedidos!$Q:$Q,MATCH(G2554,[2]Pedidos!$E:$E,0))</f>
        <v>#N/A</v>
      </c>
      <c r="N2554" s="564" t="e">
        <f>INDEX([1]Produtos!$L:$L,MATCH(IF(ISNUMBER(FIND(" - ",H2554)),LEFT(H2554,FIND(" - ",H2554)-1),H2554),[1]Produtos!$C:$C,0))*INDEX([2]Pedidos!$Q:$Q,MATCH(H2554,[2]Pedidos!$E:$E,0))</f>
        <v>#N/A</v>
      </c>
    </row>
    <row r="2555" spans="1:18" x14ac:dyDescent="0.25">
      <c r="A2555" s="753"/>
      <c r="C2555" s="452" t="s">
        <v>172</v>
      </c>
      <c r="D2555" s="449">
        <f t="shared" si="202"/>
        <v>46113</v>
      </c>
      <c r="E2555" s="454" t="s">
        <v>165</v>
      </c>
      <c r="F2555" s="460" t="s">
        <v>1565</v>
      </c>
      <c r="G2555" s="460"/>
      <c r="H2555" s="460"/>
      <c r="I2555" s="540">
        <f>INDEX([1]Produtos!$L:$L,MATCH(IF(ISNUMBER(FIND(" - ",F2555)),LEFT(F2555,FIND(" - ",F2555)-1),F2555),[1]Produtos!$C:$C,0))</f>
        <v>843.58780095852239</v>
      </c>
      <c r="J2555" s="540" t="e">
        <f>INDEX([1]Produtos!$L:$L,MATCH(IF(ISNUMBER(FIND(" - ",G2555)),LEFT(G2555,FIND(" - ",G2555)-1),G2555),[1]Produtos!$C:$C,0))</f>
        <v>#N/A</v>
      </c>
      <c r="K2555" s="540" t="e">
        <f>INDEX([1]Produtos!$L:$L,MATCH(IF(ISNUMBER(FIND(" - ",H2555)),LEFT(H2555,FIND(" - ",H2555)-1),H2555),[1]Produtos!$C:$C,0))</f>
        <v>#N/A</v>
      </c>
      <c r="L2555" s="564" t="e">
        <f>INDEX([1]Produtos!$L:$L,MATCH(IF(ISNUMBER(FIND(" - ",F2555)),LEFT(F2555,FIND(" - ",F2555)-1),F2555),[1]Produtos!$C:$C,0))*INDEX([2]Pedidos!$Q:$Q,MATCH(F2555,[2]Pedidos!$E:$E,0))</f>
        <v>#N/A</v>
      </c>
      <c r="M2555" s="564" t="e">
        <f>INDEX([1]Produtos!$L:$L,MATCH(IF(ISNUMBER(FIND(" - ",G2555)),LEFT(G2555,FIND(" - ",G2555)-1),G2555),[1]Produtos!$C:$C,0))*INDEX([2]Pedidos!$Q:$Q,MATCH(G2555,[2]Pedidos!$E:$E,0))</f>
        <v>#N/A</v>
      </c>
      <c r="N2555" s="564" t="e">
        <f>INDEX([1]Produtos!$L:$L,MATCH(IF(ISNUMBER(FIND(" - ",H2555)),LEFT(H2555,FIND(" - ",H2555)-1),H2555),[1]Produtos!$C:$C,0))*INDEX([2]Pedidos!$Q:$Q,MATCH(H2555,[2]Pedidos!$E:$E,0))</f>
        <v>#N/A</v>
      </c>
    </row>
    <row r="2556" spans="1:18" x14ac:dyDescent="0.25">
      <c r="A2556" s="753"/>
      <c r="C2556" s="452" t="s">
        <v>172</v>
      </c>
      <c r="D2556" s="449">
        <f t="shared" si="202"/>
        <v>46113</v>
      </c>
      <c r="E2556" s="454" t="s">
        <v>166</v>
      </c>
      <c r="F2556" s="460" t="s">
        <v>1565</v>
      </c>
      <c r="G2556" s="460"/>
      <c r="H2556" s="460"/>
      <c r="I2556" s="540">
        <f>INDEX([1]Produtos!$L:$L,MATCH(IF(ISNUMBER(FIND(" - ",F2556)),LEFT(F2556,FIND(" - ",F2556)-1),F2556),[1]Produtos!$C:$C,0))</f>
        <v>843.58780095852239</v>
      </c>
      <c r="J2556" s="540" t="e">
        <f>INDEX([1]Produtos!$L:$L,MATCH(IF(ISNUMBER(FIND(" - ",G2556)),LEFT(G2556,FIND(" - ",G2556)-1),G2556),[1]Produtos!$C:$C,0))</f>
        <v>#N/A</v>
      </c>
      <c r="K2556" s="540" t="e">
        <f>INDEX([1]Produtos!$L:$L,MATCH(IF(ISNUMBER(FIND(" - ",H2556)),LEFT(H2556,FIND(" - ",H2556)-1),H2556),[1]Produtos!$C:$C,0))</f>
        <v>#N/A</v>
      </c>
      <c r="L2556" s="564" t="e">
        <f>INDEX([1]Produtos!$L:$L,MATCH(IF(ISNUMBER(FIND(" - ",F2556)),LEFT(F2556,FIND(" - ",F2556)-1),F2556),[1]Produtos!$C:$C,0))*INDEX([2]Pedidos!$Q:$Q,MATCH(F2556,[2]Pedidos!$E:$E,0))</f>
        <v>#N/A</v>
      </c>
      <c r="M2556" s="564" t="e">
        <f>INDEX([1]Produtos!$L:$L,MATCH(IF(ISNUMBER(FIND(" - ",G2556)),LEFT(G2556,FIND(" - ",G2556)-1),G2556),[1]Produtos!$C:$C,0))*INDEX([2]Pedidos!$Q:$Q,MATCH(G2556,[2]Pedidos!$E:$E,0))</f>
        <v>#N/A</v>
      </c>
      <c r="N2556" s="564" t="e">
        <f>INDEX([1]Produtos!$L:$L,MATCH(IF(ISNUMBER(FIND(" - ",H2556)),LEFT(H2556,FIND(" - ",H2556)-1),H2556),[1]Produtos!$C:$C,0))*INDEX([2]Pedidos!$Q:$Q,MATCH(H2556,[2]Pedidos!$E:$E,0))</f>
        <v>#N/A</v>
      </c>
    </row>
    <row r="2557" spans="1:18" x14ac:dyDescent="0.25">
      <c r="A2557" s="753"/>
      <c r="C2557" s="452" t="s">
        <v>172</v>
      </c>
      <c r="D2557" s="449">
        <f t="shared" si="202"/>
        <v>46113</v>
      </c>
      <c r="E2557" s="454" t="s">
        <v>576</v>
      </c>
      <c r="F2557" s="517"/>
      <c r="G2557" s="512"/>
      <c r="H2557" s="505"/>
      <c r="I2557" s="541"/>
      <c r="J2557" s="541"/>
      <c r="K2557" s="541"/>
      <c r="L2557" s="556"/>
      <c r="M2557" s="556"/>
      <c r="N2557" s="556"/>
    </row>
    <row r="2558" spans="1:18" x14ac:dyDescent="0.25">
      <c r="A2558" s="753"/>
      <c r="C2558" s="452" t="s">
        <v>172</v>
      </c>
      <c r="D2558" s="449">
        <f t="shared" si="202"/>
        <v>46113</v>
      </c>
      <c r="E2558" s="454" t="s">
        <v>167</v>
      </c>
      <c r="F2558" s="460" t="s">
        <v>1566</v>
      </c>
      <c r="G2558" s="460"/>
      <c r="H2558" s="461"/>
      <c r="I2558" s="540">
        <f>INDEX([1]Produtos!$L:$L,MATCH(IF(ISNUMBER(FIND(" - ",F2558)),LEFT(F2558,FIND(" - ",F2558)-1),F2558),[1]Produtos!$C:$C,0))</f>
        <v>843.58780095852239</v>
      </c>
      <c r="J2558" s="540" t="e">
        <f>INDEX([1]Produtos!$L:$L,MATCH(IF(ISNUMBER(FIND(" - ",G2558)),LEFT(G2558,FIND(" - ",G2558)-1),G2558),[1]Produtos!$C:$C,0))</f>
        <v>#N/A</v>
      </c>
      <c r="K2558" s="540" t="e">
        <f>INDEX([1]Produtos!$L:$L,MATCH(IF(ISNUMBER(FIND(" - ",H2558)),LEFT(H2558,FIND(" - ",H2558)-1),H2558),[1]Produtos!$C:$C,0))</f>
        <v>#N/A</v>
      </c>
      <c r="L2558" s="565" t="e">
        <f>INDEX([1]Produtos!$L:$L,MATCH(IF(ISNUMBER(FIND(" - ",F2558)),LEFT(F2558,FIND(" - ",F2558)-1),F2558),[1]Produtos!$C:$C,0))*INDEX([2]Pedidos!$Q:$Q,MATCH(F2558,[2]Pedidos!$E:$E,0))</f>
        <v>#N/A</v>
      </c>
      <c r="M2558" s="565" t="e">
        <f>INDEX([1]Produtos!$L:$L,MATCH(IF(ISNUMBER(FIND(" - ",G2558)),LEFT(G2558,FIND(" - ",G2558)-1),G2558),[1]Produtos!$C:$C,0))*INDEX([2]Pedidos!$Q:$Q,MATCH(G2558,[2]Pedidos!$E:$E,0))</f>
        <v>#N/A</v>
      </c>
      <c r="N2558" s="565" t="e">
        <f>INDEX([1]Produtos!$L:$L,MATCH(IF(ISNUMBER(FIND(" - ",H2558)),LEFT(H2558,FIND(" - ",H2558)-1),H2558),[1]Produtos!$C:$C,0))*INDEX([2]Pedidos!$Q:$Q,MATCH(H2558,[2]Pedidos!$E:$E,0))</f>
        <v>#N/A</v>
      </c>
    </row>
    <row r="2559" spans="1:18" x14ac:dyDescent="0.25">
      <c r="A2559" s="753"/>
      <c r="C2559" s="452" t="s">
        <v>172</v>
      </c>
      <c r="D2559" s="449">
        <f t="shared" si="202"/>
        <v>46113</v>
      </c>
      <c r="E2559" s="454" t="s">
        <v>168</v>
      </c>
      <c r="F2559" s="460" t="s">
        <v>1566</v>
      </c>
      <c r="G2559" s="460"/>
      <c r="H2559" s="461"/>
      <c r="I2559" s="540">
        <f>INDEX([1]Produtos!$L:$L,MATCH(IF(ISNUMBER(FIND(" - ",F2559)),LEFT(F2559,FIND(" - ",F2559)-1),F2559),[1]Produtos!$C:$C,0))</f>
        <v>843.58780095852239</v>
      </c>
      <c r="J2559" s="540" t="e">
        <f>INDEX([1]Produtos!$L:$L,MATCH(IF(ISNUMBER(FIND(" - ",G2559)),LEFT(G2559,FIND(" - ",G2559)-1),G2559),[1]Produtos!$C:$C,0))</f>
        <v>#N/A</v>
      </c>
      <c r="K2559" s="540" t="e">
        <f>INDEX([1]Produtos!$L:$L,MATCH(IF(ISNUMBER(FIND(" - ",H2559)),LEFT(H2559,FIND(" - ",H2559)-1),H2559),[1]Produtos!$C:$C,0))</f>
        <v>#N/A</v>
      </c>
      <c r="L2559" s="565" t="e">
        <f>INDEX([1]Produtos!$L:$L,MATCH(IF(ISNUMBER(FIND(" - ",F2559)),LEFT(F2559,FIND(" - ",F2559)-1),F2559),[1]Produtos!$C:$C,0))*INDEX([2]Pedidos!$Q:$Q,MATCH(F2559,[2]Pedidos!$E:$E,0))</f>
        <v>#N/A</v>
      </c>
      <c r="M2559" s="565" t="e">
        <f>INDEX([1]Produtos!$L:$L,MATCH(IF(ISNUMBER(FIND(" - ",G2559)),LEFT(G2559,FIND(" - ",G2559)-1),G2559),[1]Produtos!$C:$C,0))*INDEX([2]Pedidos!$Q:$Q,MATCH(G2559,[2]Pedidos!$E:$E,0))</f>
        <v>#N/A</v>
      </c>
      <c r="N2559" s="565" t="e">
        <f>INDEX([1]Produtos!$L:$L,MATCH(IF(ISNUMBER(FIND(" - ",H2559)),LEFT(H2559,FIND(" - ",H2559)-1),H2559),[1]Produtos!$C:$C,0))*INDEX([2]Pedidos!$Q:$Q,MATCH(H2559,[2]Pedidos!$E:$E,0))</f>
        <v>#N/A</v>
      </c>
    </row>
    <row r="2560" spans="1:18" x14ac:dyDescent="0.25">
      <c r="A2560" s="753"/>
      <c r="C2560" s="452" t="s">
        <v>172</v>
      </c>
      <c r="D2560" s="449">
        <f t="shared" si="202"/>
        <v>46113</v>
      </c>
      <c r="E2560" s="454" t="s">
        <v>169</v>
      </c>
      <c r="F2560" s="460" t="s">
        <v>1566</v>
      </c>
      <c r="G2560" s="460"/>
      <c r="H2560" s="461"/>
      <c r="I2560" s="540">
        <f>INDEX([1]Produtos!$L:$L,MATCH(IF(ISNUMBER(FIND(" - ",F2560)),LEFT(F2560,FIND(" - ",F2560)-1),F2560),[1]Produtos!$C:$C,0))</f>
        <v>843.58780095852239</v>
      </c>
      <c r="J2560" s="540" t="e">
        <f>INDEX([1]Produtos!$L:$L,MATCH(IF(ISNUMBER(FIND(" - ",G2560)),LEFT(G2560,FIND(" - ",G2560)-1),G2560),[1]Produtos!$C:$C,0))</f>
        <v>#N/A</v>
      </c>
      <c r="K2560" s="540" t="e">
        <f>INDEX([1]Produtos!$L:$L,MATCH(IF(ISNUMBER(FIND(" - ",H2560)),LEFT(H2560,FIND(" - ",H2560)-1),H2560),[1]Produtos!$C:$C,0))</f>
        <v>#N/A</v>
      </c>
      <c r="L2560" s="565" t="e">
        <f>INDEX([1]Produtos!$L:$L,MATCH(IF(ISNUMBER(FIND(" - ",F2561)),LEFT(F2561,FIND(" - ",F2561)-1),F2561),[1]Produtos!$C:$C,0))*INDEX([2]Pedidos!$Q:$Q,MATCH(F2561,[2]Pedidos!$E:$E,0))</f>
        <v>#N/A</v>
      </c>
      <c r="M2560" s="565" t="e">
        <f>INDEX([1]Produtos!$L:$L,MATCH(IF(ISNUMBER(FIND(" - ",G2560)),LEFT(G2560,FIND(" - ",G2560)-1),G2560),[1]Produtos!$C:$C,0))*INDEX([2]Pedidos!$Q:$Q,MATCH(G2560,[2]Pedidos!$E:$E,0))</f>
        <v>#N/A</v>
      </c>
      <c r="N2560" s="565" t="e">
        <f>INDEX([1]Produtos!$L:$L,MATCH(IF(ISNUMBER(FIND(" - ",H2560)),LEFT(H2560,FIND(" - ",H2560)-1),H2560),[1]Produtos!$C:$C,0))*INDEX([2]Pedidos!$Q:$Q,MATCH(H2560,[2]Pedidos!$E:$E,0))</f>
        <v>#N/A</v>
      </c>
    </row>
    <row r="2561" spans="1:18" x14ac:dyDescent="0.25">
      <c r="A2561" s="753"/>
      <c r="C2561" s="452" t="s">
        <v>172</v>
      </c>
      <c r="D2561" s="449">
        <f t="shared" si="202"/>
        <v>46113</v>
      </c>
      <c r="E2561" s="454" t="s">
        <v>170</v>
      </c>
      <c r="F2561" s="460" t="s">
        <v>1566</v>
      </c>
      <c r="G2561" s="460"/>
      <c r="H2561" s="504"/>
      <c r="I2561" s="540">
        <f>INDEX([1]Produtos!$L:$L,MATCH(IF(ISNUMBER(FIND(" - ",F2561)),LEFT(F2561,FIND(" - ",F2561)-1),F2561),[1]Produtos!$C:$C,0))</f>
        <v>843.58780095852239</v>
      </c>
      <c r="J2561" s="540" t="e">
        <f>INDEX([1]Produtos!$L:$L,MATCH(IF(ISNUMBER(FIND(" - ",G2561)),LEFT(G2561,FIND(" - ",G2561)-1),G2561),[1]Produtos!$C:$C,0))</f>
        <v>#N/A</v>
      </c>
      <c r="K2561" s="540" t="e">
        <f>INDEX([1]Produtos!$L:$L,MATCH(IF(ISNUMBER(FIND(" - ",H2561)),LEFT(H2561,FIND(" - ",H2561)-1),H2561),[1]Produtos!$C:$C,0))</f>
        <v>#N/A</v>
      </c>
      <c r="L2561" s="565" t="e">
        <f>INDEX([1]Produtos!$L:$L,MATCH(IF(ISNUMBER(FIND(" - ",F2562)),LEFT(F2562,FIND(" - ",F2562)-1),F2562),[1]Produtos!$C:$C,0))*INDEX([2]Pedidos!$Q:$Q,MATCH(F2562,[2]Pedidos!$E:$E,0))</f>
        <v>#N/A</v>
      </c>
      <c r="M2561" s="566" t="e">
        <f>INDEX([1]Produtos!$L:$L,MATCH(IF(ISNUMBER(FIND(" - ",G2561)),LEFT(G2561,FIND(" - ",G2561)-1),G2561),[1]Produtos!$C:$C,0))*INDEX([2]Pedidos!$Q:$Q,MATCH(G2561,[2]Pedidos!$E:$E,0))</f>
        <v>#N/A</v>
      </c>
      <c r="N2561" s="566" t="e">
        <f>INDEX([1]Produtos!$L:$L,MATCH(IF(ISNUMBER(FIND(" - ",H2561)),LEFT(H2561,FIND(" - ",H2561)-1),H2561),[1]Produtos!$C:$C,0))*INDEX([2]Pedidos!$Q:$Q,MATCH(H2561,[2]Pedidos!$E:$E,0))</f>
        <v>#N/A</v>
      </c>
    </row>
    <row r="2562" spans="1:18" x14ac:dyDescent="0.25">
      <c r="A2562" s="753"/>
      <c r="C2562" s="452" t="s">
        <v>172</v>
      </c>
      <c r="D2562" s="449">
        <f t="shared" si="202"/>
        <v>46113</v>
      </c>
      <c r="E2562" s="454" t="s">
        <v>585</v>
      </c>
      <c r="F2562" s="505"/>
      <c r="G2562" s="505"/>
      <c r="H2562" s="516"/>
      <c r="I2562" s="516"/>
      <c r="J2562" s="516"/>
      <c r="K2562" s="516"/>
      <c r="L2562" s="557"/>
      <c r="M2562" s="557"/>
      <c r="N2562" s="557"/>
    </row>
    <row r="2563" spans="1:18" x14ac:dyDescent="0.25">
      <c r="A2563" s="753"/>
      <c r="C2563" s="448" t="s">
        <v>172</v>
      </c>
      <c r="D2563" s="449">
        <f t="shared" si="202"/>
        <v>46113</v>
      </c>
      <c r="E2563" s="455" t="s">
        <v>574</v>
      </c>
      <c r="F2563" s="505"/>
      <c r="G2563" s="505"/>
      <c r="H2563" s="516"/>
      <c r="I2563" s="516"/>
      <c r="J2563" s="516"/>
      <c r="K2563" s="516"/>
      <c r="L2563" s="557"/>
      <c r="M2563" s="557"/>
      <c r="N2563" s="557"/>
    </row>
    <row r="2564" spans="1:18" x14ac:dyDescent="0.25">
      <c r="A2564" s="753"/>
      <c r="C2564" s="448" t="s">
        <v>172</v>
      </c>
      <c r="D2564" s="449">
        <f t="shared" si="202"/>
        <v>46113</v>
      </c>
      <c r="E2564" s="455" t="s">
        <v>575</v>
      </c>
      <c r="F2564" s="506"/>
      <c r="G2564" s="506"/>
      <c r="H2564" s="516"/>
      <c r="I2564" s="516"/>
      <c r="J2564" s="516"/>
      <c r="K2564" s="516"/>
      <c r="L2564" s="557"/>
      <c r="M2564" s="557"/>
      <c r="N2564" s="557"/>
    </row>
    <row r="2565" spans="1:18" x14ac:dyDescent="0.25">
      <c r="A2565" s="753"/>
      <c r="C2565" s="448" t="s">
        <v>172</v>
      </c>
      <c r="D2565" s="449">
        <f t="shared" si="202"/>
        <v>46113</v>
      </c>
      <c r="E2565" s="503" t="s">
        <v>583</v>
      </c>
      <c r="F2565" s="506"/>
      <c r="G2565" s="506"/>
      <c r="H2565" s="516"/>
      <c r="I2565" s="516"/>
      <c r="J2565" s="516"/>
      <c r="K2565" s="516"/>
      <c r="L2565" s="557"/>
      <c r="M2565" s="557"/>
      <c r="N2565" s="557"/>
    </row>
    <row r="2566" spans="1:18" ht="15.75" thickBot="1" x14ac:dyDescent="0.3">
      <c r="A2566" s="753"/>
      <c r="C2566" s="450" t="s">
        <v>172</v>
      </c>
      <c r="D2566" s="451">
        <f t="shared" si="202"/>
        <v>46113</v>
      </c>
      <c r="E2566" s="459" t="s">
        <v>584</v>
      </c>
      <c r="F2566" s="493"/>
      <c r="G2566" s="493"/>
      <c r="H2566" s="513"/>
      <c r="I2566" s="513"/>
      <c r="J2566" s="513"/>
      <c r="K2566" s="513"/>
      <c r="L2566" s="558"/>
      <c r="M2566" s="558"/>
      <c r="N2566" s="558"/>
    </row>
    <row r="2567" spans="1:18" ht="4.5" customHeight="1" thickBot="1" x14ac:dyDescent="0.3">
      <c r="A2567" s="753"/>
      <c r="L2567" s="559"/>
      <c r="M2567" s="559"/>
      <c r="N2567" s="559"/>
      <c r="Q2567" s="3"/>
      <c r="R2567" s="3"/>
    </row>
    <row r="2568" spans="1:18" ht="15" customHeight="1" thickBot="1" x14ac:dyDescent="0.3">
      <c r="A2568" s="753"/>
      <c r="C2568" s="538"/>
      <c r="D2568" s="539"/>
      <c r="E2568" s="539"/>
      <c r="F2568" s="539"/>
      <c r="G2568" s="539"/>
      <c r="H2568" s="539"/>
      <c r="I2568" s="543">
        <f t="shared" ref="I2568:N2568" si="203">_xlfn.AGGREGATE(9,6,I2569:I2584)</f>
        <v>7378.7024076681782</v>
      </c>
      <c r="J2568" s="542">
        <f t="shared" si="203"/>
        <v>0</v>
      </c>
      <c r="K2568" s="544">
        <f t="shared" si="203"/>
        <v>0</v>
      </c>
      <c r="L2568" s="560">
        <f t="shared" si="203"/>
        <v>0</v>
      </c>
      <c r="M2568" s="561">
        <f t="shared" si="203"/>
        <v>0</v>
      </c>
      <c r="N2568" s="562">
        <f t="shared" si="203"/>
        <v>0</v>
      </c>
      <c r="O2568" s="548">
        <f>SUM(I2568:K2568)</f>
        <v>7378.7024076681782</v>
      </c>
      <c r="P2568" s="549">
        <f>SUM(L2568:N2568)</f>
        <v>0</v>
      </c>
      <c r="Q2568" s="3"/>
      <c r="R2568" s="3"/>
    </row>
    <row r="2569" spans="1:18" x14ac:dyDescent="0.25">
      <c r="A2569" s="753"/>
      <c r="C2569" s="529" t="s">
        <v>173</v>
      </c>
      <c r="D2569" s="447">
        <f>D2566+1</f>
        <v>46114</v>
      </c>
      <c r="E2569" s="498" t="s">
        <v>573</v>
      </c>
      <c r="F2569" s="514"/>
      <c r="G2569" s="514"/>
      <c r="H2569" s="515"/>
      <c r="I2569" s="537"/>
      <c r="J2569" s="537"/>
      <c r="K2569" s="537"/>
      <c r="L2569" s="563"/>
      <c r="M2569" s="563"/>
      <c r="N2569" s="563"/>
    </row>
    <row r="2570" spans="1:18" x14ac:dyDescent="0.25">
      <c r="A2570" s="753"/>
      <c r="C2570" s="452" t="s">
        <v>173</v>
      </c>
      <c r="D2570" s="453">
        <f t="shared" ref="D2570:D2584" si="204">D2569</f>
        <v>46114</v>
      </c>
      <c r="E2570" s="500" t="s">
        <v>162</v>
      </c>
      <c r="F2570" s="460" t="s">
        <v>1571</v>
      </c>
      <c r="G2570" s="460"/>
      <c r="H2570" s="501"/>
      <c r="I2570" s="540">
        <f>INDEX([1]Produtos!$L:$L,MATCH(IF(ISNUMBER(FIND(" - ",F2570)),LEFT(F2570,FIND(" - ",F2570)-1),F2570),[1]Produtos!$C:$C,0))</f>
        <v>843.58780095852239</v>
      </c>
      <c r="J2570" s="540" t="e">
        <f>INDEX([1]Produtos!$L:$L,MATCH(IF(ISNUMBER(FIND(" - ",G2570)),LEFT(G2570,FIND(" - ",G2570)-1),G2570),[1]Produtos!$C:$C,0))</f>
        <v>#N/A</v>
      </c>
      <c r="K2570" s="540" t="e">
        <f>INDEX([1]Produtos!$L:$L,MATCH(IF(ISNUMBER(FIND(" - ",H2570)),LEFT(H2570,FIND(" - ",H2570)-1),H2570),[1]Produtos!$C:$C,0))</f>
        <v>#N/A</v>
      </c>
      <c r="L2570" s="555" t="e">
        <f>INDEX([1]Produtos!$L:$L,MATCH(IF(ISNUMBER(FIND(" - ",F2570)),LEFT(F2570,FIND(" - ",F2570)-1),F2570),[1]Produtos!$C:$C,0))*INDEX([2]Pedidos!$Q:$Q,MATCH(F2570,[2]Pedidos!$E:$E,0))</f>
        <v>#N/A</v>
      </c>
      <c r="M2570" s="555" t="e">
        <f>INDEX([1]Produtos!$L:$L,MATCH(IF(ISNUMBER(FIND(" - ",G2570)),LEFT(G2570,FIND(" - ",G2570)-1),G2570),[1]Produtos!$C:$C,0))*INDEX([2]Pedidos!$Q:$Q,MATCH(G2570,[2]Pedidos!$E:$E,0))</f>
        <v>#N/A</v>
      </c>
      <c r="N2570" s="555" t="e">
        <f>INDEX([1]Produtos!$L:$L,MATCH(IF(ISNUMBER(FIND(" - ",H2570)),LEFT(H2570,FIND(" - ",H2570)-1),H2570),[1]Produtos!$C:$C,0))*INDEX([2]Pedidos!$Q:$Q,MATCH(H2570,[2]Pedidos!$E:$E,0))</f>
        <v>#N/A</v>
      </c>
    </row>
    <row r="2571" spans="1:18" x14ac:dyDescent="0.25">
      <c r="A2571" s="753"/>
      <c r="C2571" s="452" t="s">
        <v>173</v>
      </c>
      <c r="D2571" s="453">
        <f t="shared" si="204"/>
        <v>46114</v>
      </c>
      <c r="E2571" s="454" t="s">
        <v>163</v>
      </c>
      <c r="F2571" s="460" t="s">
        <v>1571</v>
      </c>
      <c r="G2571" s="460"/>
      <c r="H2571" s="460"/>
      <c r="I2571" s="540">
        <f>INDEX([1]Produtos!$L:$L,MATCH(IF(ISNUMBER(FIND(" - ",F2571)),LEFT(F2571,FIND(" - ",F2571)-1),F2571),[1]Produtos!$C:$C,0))</f>
        <v>843.58780095852239</v>
      </c>
      <c r="J2571" s="540" t="e">
        <f>INDEX([1]Produtos!$L:$L,MATCH(IF(ISNUMBER(FIND(" - ",G2571)),LEFT(G2571,FIND(" - ",G2571)-1),G2571),[1]Produtos!$C:$C,0))</f>
        <v>#N/A</v>
      </c>
      <c r="K2571" s="540" t="e">
        <f>INDEX([1]Produtos!$L:$L,MATCH(IF(ISNUMBER(FIND(" - ",H2571)),LEFT(H2571,FIND(" - ",H2571)-1),H2571),[1]Produtos!$C:$C,0))</f>
        <v>#N/A</v>
      </c>
      <c r="L2571" s="564" t="e">
        <f>INDEX([1]Produtos!$L:$L,MATCH(IF(ISNUMBER(FIND(" - ",F2571)),LEFT(F2571,FIND(" - ",F2571)-1),F2571),[1]Produtos!$C:$C,0))*INDEX([2]Pedidos!$Q:$Q,MATCH(F2571,[2]Pedidos!$E:$E,0))</f>
        <v>#N/A</v>
      </c>
      <c r="M2571" s="564" t="e">
        <f>INDEX([1]Produtos!$L:$L,MATCH(IF(ISNUMBER(FIND(" - ",G2571)),LEFT(G2571,FIND(" - ",G2571)-1),G2571),[1]Produtos!$C:$C,0))*INDEX([2]Pedidos!$Q:$Q,MATCH(G2571,[2]Pedidos!$E:$E,0))</f>
        <v>#N/A</v>
      </c>
      <c r="N2571" s="564" t="e">
        <f>INDEX([1]Produtos!$L:$L,MATCH(IF(ISNUMBER(FIND(" - ",H2571)),LEFT(H2571,FIND(" - ",H2571)-1),H2571),[1]Produtos!$C:$C,0))*INDEX([2]Pedidos!$Q:$Q,MATCH(H2571,[2]Pedidos!$E:$E,0))</f>
        <v>#N/A</v>
      </c>
    </row>
    <row r="2572" spans="1:18" x14ac:dyDescent="0.25">
      <c r="A2572" s="753"/>
      <c r="C2572" s="452" t="s">
        <v>173</v>
      </c>
      <c r="D2572" s="453">
        <f t="shared" si="204"/>
        <v>46114</v>
      </c>
      <c r="E2572" s="454" t="s">
        <v>164</v>
      </c>
      <c r="F2572" s="460" t="s">
        <v>1571</v>
      </c>
      <c r="G2572" s="460"/>
      <c r="H2572" s="460"/>
      <c r="I2572" s="540">
        <f>INDEX([1]Produtos!$L:$L,MATCH(IF(ISNUMBER(FIND(" - ",F2572)),LEFT(F2572,FIND(" - ",F2572)-1),F2572),[1]Produtos!$C:$C,0))</f>
        <v>843.58780095852239</v>
      </c>
      <c r="J2572" s="540" t="e">
        <f>INDEX([1]Produtos!$L:$L,MATCH(IF(ISNUMBER(FIND(" - ",G2572)),LEFT(G2572,FIND(" - ",G2572)-1),G2572),[1]Produtos!$C:$C,0))</f>
        <v>#N/A</v>
      </c>
      <c r="K2572" s="540" t="e">
        <f>INDEX([1]Produtos!$L:$L,MATCH(IF(ISNUMBER(FIND(" - ",H2572)),LEFT(H2572,FIND(" - ",H2572)-1),H2572),[1]Produtos!$C:$C,0))</f>
        <v>#N/A</v>
      </c>
      <c r="L2572" s="564" t="e">
        <f>INDEX([1]Produtos!$L:$L,MATCH(IF(ISNUMBER(FIND(" - ",F2572)),LEFT(F2572,FIND(" - ",F2572)-1),F2572),[1]Produtos!$C:$C,0))*INDEX([2]Pedidos!$Q:$Q,MATCH(F2572,[2]Pedidos!$E:$E,0))</f>
        <v>#N/A</v>
      </c>
      <c r="M2572" s="564" t="e">
        <f>INDEX([1]Produtos!$L:$L,MATCH(IF(ISNUMBER(FIND(" - ",G2572)),LEFT(G2572,FIND(" - ",G2572)-1),G2572),[1]Produtos!$C:$C,0))*INDEX([2]Pedidos!$Q:$Q,MATCH(G2572,[2]Pedidos!$E:$E,0))</f>
        <v>#N/A</v>
      </c>
      <c r="N2572" s="564" t="e">
        <f>INDEX([1]Produtos!$L:$L,MATCH(IF(ISNUMBER(FIND(" - ",H2572)),LEFT(H2572,FIND(" - ",H2572)-1),H2572),[1]Produtos!$C:$C,0))*INDEX([2]Pedidos!$Q:$Q,MATCH(H2572,[2]Pedidos!$E:$E,0))</f>
        <v>#N/A</v>
      </c>
    </row>
    <row r="2573" spans="1:18" x14ac:dyDescent="0.25">
      <c r="A2573" s="753"/>
      <c r="C2573" s="452" t="s">
        <v>173</v>
      </c>
      <c r="D2573" s="453">
        <f t="shared" si="204"/>
        <v>46114</v>
      </c>
      <c r="E2573" s="454" t="s">
        <v>165</v>
      </c>
      <c r="F2573" s="460" t="s">
        <v>1571</v>
      </c>
      <c r="G2573" s="460"/>
      <c r="H2573" s="460"/>
      <c r="I2573" s="540">
        <f>INDEX([1]Produtos!$L:$L,MATCH(IF(ISNUMBER(FIND(" - ",F2573)),LEFT(F2573,FIND(" - ",F2573)-1),F2573),[1]Produtos!$C:$C,0))</f>
        <v>843.58780095852239</v>
      </c>
      <c r="J2573" s="540" t="e">
        <f>INDEX([1]Produtos!$L:$L,MATCH(IF(ISNUMBER(FIND(" - ",G2573)),LEFT(G2573,FIND(" - ",G2573)-1),G2573),[1]Produtos!$C:$C,0))</f>
        <v>#N/A</v>
      </c>
      <c r="K2573" s="540" t="e">
        <f>INDEX([1]Produtos!$L:$L,MATCH(IF(ISNUMBER(FIND(" - ",H2573)),LEFT(H2573,FIND(" - ",H2573)-1),H2573),[1]Produtos!$C:$C,0))</f>
        <v>#N/A</v>
      </c>
      <c r="L2573" s="564" t="e">
        <f>INDEX([1]Produtos!$L:$L,MATCH(IF(ISNUMBER(FIND(" - ",F2573)),LEFT(F2573,FIND(" - ",F2573)-1),F2573),[1]Produtos!$C:$C,0))*INDEX([2]Pedidos!$Q:$Q,MATCH(F2573,[2]Pedidos!$E:$E,0))</f>
        <v>#N/A</v>
      </c>
      <c r="M2573" s="564" t="e">
        <f>INDEX([1]Produtos!$L:$L,MATCH(IF(ISNUMBER(FIND(" - ",G2573)),LEFT(G2573,FIND(" - ",G2573)-1),G2573),[1]Produtos!$C:$C,0))*INDEX([2]Pedidos!$Q:$Q,MATCH(G2573,[2]Pedidos!$E:$E,0))</f>
        <v>#N/A</v>
      </c>
      <c r="N2573" s="564" t="e">
        <f>INDEX([1]Produtos!$L:$L,MATCH(IF(ISNUMBER(FIND(" - ",H2573)),LEFT(H2573,FIND(" - ",H2573)-1),H2573),[1]Produtos!$C:$C,0))*INDEX([2]Pedidos!$Q:$Q,MATCH(H2573,[2]Pedidos!$E:$E,0))</f>
        <v>#N/A</v>
      </c>
    </row>
    <row r="2574" spans="1:18" x14ac:dyDescent="0.25">
      <c r="A2574" s="753"/>
      <c r="C2574" s="452" t="s">
        <v>173</v>
      </c>
      <c r="D2574" s="453">
        <f t="shared" si="204"/>
        <v>46114</v>
      </c>
      <c r="E2574" s="454" t="s">
        <v>166</v>
      </c>
      <c r="F2574" s="460" t="s">
        <v>1572</v>
      </c>
      <c r="G2574" s="460"/>
      <c r="H2574" s="460"/>
      <c r="I2574" s="540">
        <f>INDEX([1]Produtos!$L:$L,MATCH(IF(ISNUMBER(FIND(" - ",F2574)),LEFT(F2574,FIND(" - ",F2574)-1),F2574),[1]Produtos!$C:$C,0))</f>
        <v>843.58780095852239</v>
      </c>
      <c r="J2574" s="540" t="e">
        <f>INDEX([1]Produtos!$L:$L,MATCH(IF(ISNUMBER(FIND(" - ",G2574)),LEFT(G2574,FIND(" - ",G2574)-1),G2574),[1]Produtos!$C:$C,0))</f>
        <v>#N/A</v>
      </c>
      <c r="K2574" s="540" t="e">
        <f>INDEX([1]Produtos!$L:$L,MATCH(IF(ISNUMBER(FIND(" - ",H2574)),LEFT(H2574,FIND(" - ",H2574)-1),H2574),[1]Produtos!$C:$C,0))</f>
        <v>#N/A</v>
      </c>
      <c r="L2574" s="564" t="e">
        <f>INDEX([1]Produtos!$L:$L,MATCH(IF(ISNUMBER(FIND(" - ",F2574)),LEFT(F2574,FIND(" - ",F2574)-1),F2574),[1]Produtos!$C:$C,0))*INDEX([2]Pedidos!$Q:$Q,MATCH(F2574,[2]Pedidos!$E:$E,0))</f>
        <v>#N/A</v>
      </c>
      <c r="M2574" s="564" t="e">
        <f>INDEX([1]Produtos!$L:$L,MATCH(IF(ISNUMBER(FIND(" - ",G2574)),LEFT(G2574,FIND(" - ",G2574)-1),G2574),[1]Produtos!$C:$C,0))*INDEX([2]Pedidos!$Q:$Q,MATCH(G2574,[2]Pedidos!$E:$E,0))</f>
        <v>#N/A</v>
      </c>
      <c r="N2574" s="564" t="e">
        <f>INDEX([1]Produtos!$L:$L,MATCH(IF(ISNUMBER(FIND(" - ",H2574)),LEFT(H2574,FIND(" - ",H2574)-1),H2574),[1]Produtos!$C:$C,0))*INDEX([2]Pedidos!$Q:$Q,MATCH(H2574,[2]Pedidos!$E:$E,0))</f>
        <v>#N/A</v>
      </c>
    </row>
    <row r="2575" spans="1:18" x14ac:dyDescent="0.25">
      <c r="A2575" s="753"/>
      <c r="C2575" s="452" t="s">
        <v>173</v>
      </c>
      <c r="D2575" s="453">
        <f t="shared" si="204"/>
        <v>46114</v>
      </c>
      <c r="E2575" s="454" t="s">
        <v>576</v>
      </c>
      <c r="F2575" s="517"/>
      <c r="G2575" s="512"/>
      <c r="H2575" s="505"/>
      <c r="I2575" s="541"/>
      <c r="J2575" s="541"/>
      <c r="K2575" s="541"/>
      <c r="L2575" s="556"/>
      <c r="M2575" s="556"/>
      <c r="N2575" s="556"/>
    </row>
    <row r="2576" spans="1:18" x14ac:dyDescent="0.25">
      <c r="A2576" s="753"/>
      <c r="C2576" s="452" t="s">
        <v>173</v>
      </c>
      <c r="D2576" s="449">
        <f t="shared" si="204"/>
        <v>46114</v>
      </c>
      <c r="E2576" s="454" t="s">
        <v>167</v>
      </c>
      <c r="F2576" s="460" t="s">
        <v>1572</v>
      </c>
      <c r="G2576" s="460"/>
      <c r="H2576" s="461"/>
      <c r="I2576" s="540">
        <f>INDEX([1]Produtos!$L:$L,MATCH(IF(ISNUMBER(FIND(" - ",F2576)),LEFT(F2576,FIND(" - ",F2576)-1),F2576),[1]Produtos!$C:$C,0))</f>
        <v>843.58780095852239</v>
      </c>
      <c r="J2576" s="540" t="e">
        <f>INDEX([1]Produtos!$L:$L,MATCH(IF(ISNUMBER(FIND(" - ",G2576)),LEFT(G2576,FIND(" - ",G2576)-1),G2576),[1]Produtos!$C:$C,0))</f>
        <v>#N/A</v>
      </c>
      <c r="K2576" s="540" t="e">
        <f>INDEX([1]Produtos!$L:$L,MATCH(IF(ISNUMBER(FIND(" - ",H2576)),LEFT(H2576,FIND(" - ",H2576)-1),H2576),[1]Produtos!$C:$C,0))</f>
        <v>#N/A</v>
      </c>
      <c r="L2576" s="565" t="e">
        <f>INDEX([1]Produtos!$L:$L,MATCH(IF(ISNUMBER(FIND(" - ",F2576)),LEFT(F2576,FIND(" - ",F2576)-1),F2576),[1]Produtos!$C:$C,0))*INDEX([2]Pedidos!$Q:$Q,MATCH(F2576,[2]Pedidos!$E:$E,0))</f>
        <v>#N/A</v>
      </c>
      <c r="M2576" s="565" t="e">
        <f>INDEX([1]Produtos!$L:$L,MATCH(IF(ISNUMBER(FIND(" - ",G2576)),LEFT(G2576,FIND(" - ",G2576)-1),G2576),[1]Produtos!$C:$C,0))*INDEX([2]Pedidos!$Q:$Q,MATCH(G2576,[2]Pedidos!$E:$E,0))</f>
        <v>#N/A</v>
      </c>
      <c r="N2576" s="565" t="e">
        <f>INDEX([1]Produtos!$L:$L,MATCH(IF(ISNUMBER(FIND(" - ",H2576)),LEFT(H2576,FIND(" - ",H2576)-1),H2576),[1]Produtos!$C:$C,0))*INDEX([2]Pedidos!$Q:$Q,MATCH(H2576,[2]Pedidos!$E:$E,0))</f>
        <v>#N/A</v>
      </c>
    </row>
    <row r="2577" spans="1:18" x14ac:dyDescent="0.25">
      <c r="A2577" s="753"/>
      <c r="C2577" s="452" t="s">
        <v>173</v>
      </c>
      <c r="D2577" s="449">
        <f t="shared" si="204"/>
        <v>46114</v>
      </c>
      <c r="E2577" s="454" t="s">
        <v>168</v>
      </c>
      <c r="F2577" s="460" t="s">
        <v>1572</v>
      </c>
      <c r="G2577" s="460"/>
      <c r="H2577" s="461"/>
      <c r="I2577" s="540">
        <f>INDEX([1]Produtos!$L:$L,MATCH(IF(ISNUMBER(FIND(" - ",F2577)),LEFT(F2577,FIND(" - ",F2577)-1),F2577),[1]Produtos!$C:$C,0))</f>
        <v>843.58780095852239</v>
      </c>
      <c r="J2577" s="540" t="e">
        <f>INDEX([1]Produtos!$L:$L,MATCH(IF(ISNUMBER(FIND(" - ",G2577)),LEFT(G2577,FIND(" - ",G2577)-1),G2577),[1]Produtos!$C:$C,0))</f>
        <v>#N/A</v>
      </c>
      <c r="K2577" s="540" t="e">
        <f>INDEX([1]Produtos!$L:$L,MATCH(IF(ISNUMBER(FIND(" - ",H2577)),LEFT(H2577,FIND(" - ",H2577)-1),H2577),[1]Produtos!$C:$C,0))</f>
        <v>#N/A</v>
      </c>
      <c r="L2577" s="565" t="e">
        <f>INDEX([1]Produtos!$L:$L,MATCH(IF(ISNUMBER(FIND(" - ",F2577)),LEFT(F2577,FIND(" - ",F2577)-1),F2577),[1]Produtos!$C:$C,0))*INDEX([2]Pedidos!$Q:$Q,MATCH(F2577,[2]Pedidos!$E:$E,0))</f>
        <v>#N/A</v>
      </c>
      <c r="M2577" s="565" t="e">
        <f>INDEX([1]Produtos!$L:$L,MATCH(IF(ISNUMBER(FIND(" - ",G2577)),LEFT(G2577,FIND(" - ",G2577)-1),G2577),[1]Produtos!$C:$C,0))*INDEX([2]Pedidos!$Q:$Q,MATCH(G2577,[2]Pedidos!$E:$E,0))</f>
        <v>#N/A</v>
      </c>
      <c r="N2577" s="565" t="e">
        <f>INDEX([1]Produtos!$L:$L,MATCH(IF(ISNUMBER(FIND(" - ",H2577)),LEFT(H2577,FIND(" - ",H2577)-1),H2577),[1]Produtos!$C:$C,0))*INDEX([2]Pedidos!$Q:$Q,MATCH(H2577,[2]Pedidos!$E:$E,0))</f>
        <v>#N/A</v>
      </c>
    </row>
    <row r="2578" spans="1:18" x14ac:dyDescent="0.25">
      <c r="A2578" s="753"/>
      <c r="C2578" s="452" t="s">
        <v>173</v>
      </c>
      <c r="D2578" s="449">
        <f t="shared" si="204"/>
        <v>46114</v>
      </c>
      <c r="E2578" s="454" t="s">
        <v>169</v>
      </c>
      <c r="F2578" s="460" t="s">
        <v>1572</v>
      </c>
      <c r="G2578" s="460"/>
      <c r="H2578" s="461"/>
      <c r="I2578" s="540">
        <f>INDEX([1]Produtos!$L:$L,MATCH(IF(ISNUMBER(FIND(" - ",F2578)),LEFT(F2578,FIND(" - ",F2578)-1),F2578),[1]Produtos!$C:$C,0))</f>
        <v>843.58780095852239</v>
      </c>
      <c r="J2578" s="540" t="e">
        <f>INDEX([1]Produtos!$L:$L,MATCH(IF(ISNUMBER(FIND(" - ",G2578)),LEFT(G2578,FIND(" - ",G2578)-1),G2578),[1]Produtos!$C:$C,0))</f>
        <v>#N/A</v>
      </c>
      <c r="K2578" s="540" t="e">
        <f>INDEX([1]Produtos!$L:$L,MATCH(IF(ISNUMBER(FIND(" - ",H2578)),LEFT(H2578,FIND(" - ",H2578)-1),H2578),[1]Produtos!$C:$C,0))</f>
        <v>#N/A</v>
      </c>
      <c r="L2578" s="565" t="e">
        <f>INDEX([1]Produtos!$L:$L,MATCH(IF(ISNUMBER(FIND(" - ",F2578)),LEFT(F2578,FIND(" - ",F2578)-1),F2578),[1]Produtos!$C:$C,0))*INDEX([2]Pedidos!$Q:$Q,MATCH(F2578,[2]Pedidos!$E:$E,0))</f>
        <v>#N/A</v>
      </c>
      <c r="M2578" s="565" t="e">
        <f>INDEX([1]Produtos!$L:$L,MATCH(IF(ISNUMBER(FIND(" - ",G2578)),LEFT(G2578,FIND(" - ",G2578)-1),G2578),[1]Produtos!$C:$C,0))*INDEX([2]Pedidos!$Q:$Q,MATCH(G2578,[2]Pedidos!$E:$E,0))</f>
        <v>#N/A</v>
      </c>
      <c r="N2578" s="565" t="e">
        <f>INDEX([1]Produtos!$L:$L,MATCH(IF(ISNUMBER(FIND(" - ",H2578)),LEFT(H2578,FIND(" - ",H2578)-1),H2578),[1]Produtos!$C:$C,0))*INDEX([2]Pedidos!$Q:$Q,MATCH(H2578,[2]Pedidos!$E:$E,0))</f>
        <v>#N/A</v>
      </c>
    </row>
    <row r="2579" spans="1:18" x14ac:dyDescent="0.25">
      <c r="A2579" s="753"/>
      <c r="C2579" s="452" t="s">
        <v>173</v>
      </c>
      <c r="D2579" s="449">
        <f t="shared" si="204"/>
        <v>46114</v>
      </c>
      <c r="E2579" s="454" t="s">
        <v>170</v>
      </c>
      <c r="F2579" s="460" t="s">
        <v>1572</v>
      </c>
      <c r="G2579" s="460"/>
      <c r="H2579" s="504"/>
      <c r="I2579" s="545">
        <f>2520/4</f>
        <v>630</v>
      </c>
      <c r="J2579" s="540" t="e">
        <f>INDEX([1]Produtos!$L:$L,MATCH(IF(ISNUMBER(FIND(" - ",G2579)),LEFT(G2579,FIND(" - ",G2579)-1),G2579),[1]Produtos!$C:$C,0))</f>
        <v>#N/A</v>
      </c>
      <c r="K2579" s="540" t="e">
        <f>INDEX([1]Produtos!$L:$L,MATCH(IF(ISNUMBER(FIND(" - ",H2579)),LEFT(H2579,FIND(" - ",H2579)-1),H2579),[1]Produtos!$C:$C,0))</f>
        <v>#N/A</v>
      </c>
      <c r="L2579" s="566" t="e">
        <f>INDEX([1]Produtos!$L:$L,MATCH(IF(ISNUMBER(FIND(" - ",F2579)),LEFT(F2579,FIND(" - ",F2579)-1),F2579),[1]Produtos!$C:$C,0))*INDEX([2]Pedidos!$Q:$Q,MATCH(F2579,[2]Pedidos!$E:$E,0))</f>
        <v>#N/A</v>
      </c>
      <c r="M2579" s="566" t="e">
        <f>INDEX([1]Produtos!$L:$L,MATCH(IF(ISNUMBER(FIND(" - ",G2579)),LEFT(G2579,FIND(" - ",G2579)-1),G2579),[1]Produtos!$C:$C,0))*INDEX([2]Pedidos!$Q:$Q,MATCH(G2579,[2]Pedidos!$E:$E,0))</f>
        <v>#N/A</v>
      </c>
      <c r="N2579" s="566" t="e">
        <f>INDEX([1]Produtos!$L:$L,MATCH(IF(ISNUMBER(FIND(" - ",H2579)),LEFT(H2579,FIND(" - ",H2579)-1),H2579),[1]Produtos!$C:$C,0))*INDEX([2]Pedidos!$Q:$Q,MATCH(H2579,[2]Pedidos!$E:$E,0))</f>
        <v>#N/A</v>
      </c>
    </row>
    <row r="2580" spans="1:18" x14ac:dyDescent="0.25">
      <c r="A2580" s="753"/>
      <c r="C2580" s="452" t="s">
        <v>173</v>
      </c>
      <c r="D2580" s="449">
        <f t="shared" si="204"/>
        <v>46114</v>
      </c>
      <c r="E2580" s="454" t="s">
        <v>585</v>
      </c>
      <c r="F2580" s="505"/>
      <c r="G2580" s="505"/>
      <c r="H2580" s="516"/>
      <c r="I2580" s="516"/>
      <c r="J2580" s="516"/>
      <c r="K2580" s="516"/>
      <c r="L2580" s="557"/>
      <c r="M2580" s="557"/>
      <c r="N2580" s="557"/>
    </row>
    <row r="2581" spans="1:18" x14ac:dyDescent="0.25">
      <c r="A2581" s="753"/>
      <c r="C2581" s="452" t="s">
        <v>173</v>
      </c>
      <c r="D2581" s="449">
        <f t="shared" si="204"/>
        <v>46114</v>
      </c>
      <c r="E2581" s="455" t="s">
        <v>574</v>
      </c>
      <c r="F2581" s="505"/>
      <c r="G2581" s="505"/>
      <c r="H2581" s="516"/>
      <c r="I2581" s="516"/>
      <c r="J2581" s="516"/>
      <c r="K2581" s="516"/>
      <c r="L2581" s="557"/>
      <c r="M2581" s="557"/>
      <c r="N2581" s="557"/>
    </row>
    <row r="2582" spans="1:18" x14ac:dyDescent="0.25">
      <c r="A2582" s="753"/>
      <c r="C2582" s="452" t="s">
        <v>173</v>
      </c>
      <c r="D2582" s="449">
        <f t="shared" si="204"/>
        <v>46114</v>
      </c>
      <c r="E2582" s="455" t="s">
        <v>575</v>
      </c>
      <c r="F2582" s="506"/>
      <c r="G2582" s="506"/>
      <c r="H2582" s="516"/>
      <c r="I2582" s="516"/>
      <c r="J2582" s="516"/>
      <c r="K2582" s="516"/>
      <c r="L2582" s="557"/>
      <c r="M2582" s="557"/>
      <c r="N2582" s="557"/>
    </row>
    <row r="2583" spans="1:18" x14ac:dyDescent="0.25">
      <c r="A2583" s="753"/>
      <c r="C2583" s="452" t="s">
        <v>173</v>
      </c>
      <c r="D2583" s="449">
        <f t="shared" si="204"/>
        <v>46114</v>
      </c>
      <c r="E2583" s="503" t="s">
        <v>583</v>
      </c>
      <c r="F2583" s="506"/>
      <c r="G2583" s="506"/>
      <c r="H2583" s="516"/>
      <c r="I2583" s="516"/>
      <c r="J2583" s="516"/>
      <c r="K2583" s="516"/>
      <c r="L2583" s="557"/>
      <c r="M2583" s="557"/>
      <c r="N2583" s="557"/>
    </row>
    <row r="2584" spans="1:18" ht="15.75" thickBot="1" x14ac:dyDescent="0.3">
      <c r="A2584" s="753"/>
      <c r="C2584" s="530" t="s">
        <v>173</v>
      </c>
      <c r="D2584" s="451">
        <f t="shared" si="204"/>
        <v>46114</v>
      </c>
      <c r="E2584" s="459" t="s">
        <v>584</v>
      </c>
      <c r="F2584" s="493"/>
      <c r="G2584" s="493"/>
      <c r="H2584" s="513"/>
      <c r="I2584" s="513"/>
      <c r="J2584" s="513"/>
      <c r="K2584" s="513"/>
      <c r="L2584" s="558"/>
      <c r="M2584" s="558"/>
      <c r="N2584" s="558"/>
    </row>
    <row r="2585" spans="1:18" ht="4.5" customHeight="1" thickBot="1" x14ac:dyDescent="0.3">
      <c r="A2585" s="753"/>
      <c r="I2585" s="420"/>
      <c r="J2585" s="420"/>
      <c r="K2585" s="420"/>
      <c r="L2585" s="559"/>
      <c r="M2585" s="559"/>
      <c r="N2585" s="559"/>
      <c r="Q2585" s="3"/>
      <c r="R2585" s="3"/>
    </row>
    <row r="2586" spans="1:18" ht="15" customHeight="1" thickBot="1" x14ac:dyDescent="0.3">
      <c r="A2586" s="753"/>
      <c r="C2586" s="546">
        <f>SUM(I2514:K2514,I2532:K2532,I2550:K2550,I2568:K2568,I2586:K2586)</f>
        <v>14970.99261629488</v>
      </c>
      <c r="D2586" s="547">
        <f>SUM(P2586,P2568,P2550,P2532,P2514)</f>
        <v>0</v>
      </c>
      <c r="E2586" s="539"/>
      <c r="F2586" s="539"/>
      <c r="G2586" s="539"/>
      <c r="H2586" s="539"/>
      <c r="I2586" s="543">
        <f t="shared" ref="I2586:N2586" si="205">_xlfn.AGGREGATE(9,6,I2587:I2602)</f>
        <v>0</v>
      </c>
      <c r="J2586" s="542">
        <f t="shared" si="205"/>
        <v>0</v>
      </c>
      <c r="K2586" s="544">
        <f t="shared" si="205"/>
        <v>0</v>
      </c>
      <c r="L2586" s="560">
        <f t="shared" si="205"/>
        <v>0</v>
      </c>
      <c r="M2586" s="561">
        <f t="shared" si="205"/>
        <v>0</v>
      </c>
      <c r="N2586" s="562">
        <f t="shared" si="205"/>
        <v>0</v>
      </c>
      <c r="O2586" s="548">
        <f>SUM(I2586:K2586)</f>
        <v>0</v>
      </c>
      <c r="P2586" s="549">
        <f>SUM(L2586:N2586)</f>
        <v>0</v>
      </c>
      <c r="Q2586" s="3"/>
      <c r="R2586" s="3"/>
    </row>
    <row r="2587" spans="1:18" x14ac:dyDescent="0.25">
      <c r="A2587" s="753"/>
      <c r="C2587" s="529" t="s">
        <v>174</v>
      </c>
      <c r="D2587" s="447">
        <f>D2584+1</f>
        <v>46115</v>
      </c>
      <c r="E2587" s="498" t="s">
        <v>573</v>
      </c>
      <c r="F2587" s="514"/>
      <c r="G2587" s="514"/>
      <c r="H2587" s="514"/>
      <c r="I2587" s="537"/>
      <c r="J2587" s="537"/>
      <c r="K2587" s="537"/>
      <c r="L2587" s="563"/>
      <c r="M2587" s="563"/>
      <c r="N2587" s="563"/>
    </row>
    <row r="2588" spans="1:18" x14ac:dyDescent="0.25">
      <c r="A2588" s="753"/>
      <c r="C2588" s="452" t="s">
        <v>174</v>
      </c>
      <c r="D2588" s="453">
        <f t="shared" ref="D2588:D2602" si="206">D2587</f>
        <v>46115</v>
      </c>
      <c r="E2588" s="500" t="s">
        <v>162</v>
      </c>
      <c r="F2588" s="569"/>
      <c r="G2588" s="569"/>
      <c r="H2588" s="569"/>
      <c r="I2588" s="540" t="e">
        <f>INDEX([1]Produtos!$L:$L,MATCH(IF(ISNUMBER(FIND(" - ",F2588)),LEFT(F2588,FIND(" - ",F2588)-1),F2588),[1]Produtos!$C:$C,0))</f>
        <v>#N/A</v>
      </c>
      <c r="J2588" s="540" t="e">
        <f>INDEX([1]Produtos!$L:$L,MATCH(IF(ISNUMBER(FIND(" - ",G2588)),LEFT(G2588,FIND(" - ",G2588)-1),G2588),[1]Produtos!$C:$C,0))</f>
        <v>#N/A</v>
      </c>
      <c r="K2588" s="540" t="e">
        <f>INDEX([1]Produtos!$L:$L,MATCH(IF(ISNUMBER(FIND(" - ",H2588)),LEFT(H2588,FIND(" - ",H2588)-1),H2588),[1]Produtos!$C:$C,0))</f>
        <v>#N/A</v>
      </c>
      <c r="L2588" s="555" t="e">
        <f>INDEX([1]Produtos!$L:$L,MATCH(IF(ISNUMBER(FIND(" - ",F2588)),LEFT(F2588,FIND(" - ",F2588)-1),F2588),[1]Produtos!$C:$C,0))*INDEX([2]Pedidos!$Q:$Q,MATCH(F2588,[2]Pedidos!$E:$E,0))</f>
        <v>#N/A</v>
      </c>
      <c r="M2588" s="555" t="e">
        <f>INDEX([1]Produtos!$L:$L,MATCH(IF(ISNUMBER(FIND(" - ",G2588)),LEFT(G2588,FIND(" - ",G2588)-1),G2588),[1]Produtos!$C:$C,0))*INDEX([2]Pedidos!$Q:$Q,MATCH(G2588,[2]Pedidos!$E:$E,0))</f>
        <v>#N/A</v>
      </c>
      <c r="N2588" s="555" t="e">
        <f>INDEX([1]Produtos!$L:$L,MATCH(IF(ISNUMBER(FIND(" - ",H2588)),LEFT(H2588,FIND(" - ",H2588)-1),H2588),[1]Produtos!$C:$C,0))*INDEX([2]Pedidos!$Q:$Q,MATCH(H2588,[2]Pedidos!$E:$E,0))</f>
        <v>#N/A</v>
      </c>
    </row>
    <row r="2589" spans="1:18" x14ac:dyDescent="0.25">
      <c r="A2589" s="753"/>
      <c r="C2589" s="452" t="s">
        <v>174</v>
      </c>
      <c r="D2589" s="453">
        <f t="shared" si="206"/>
        <v>46115</v>
      </c>
      <c r="E2589" s="454" t="s">
        <v>163</v>
      </c>
      <c r="F2589" s="569"/>
      <c r="G2589" s="569"/>
      <c r="H2589" s="569"/>
      <c r="I2589" s="540" t="e">
        <f>INDEX([1]Produtos!$L:$L,MATCH(IF(ISNUMBER(FIND(" - ",F2589)),LEFT(F2589,FIND(" - ",F2589)-1),F2589),[1]Produtos!$C:$C,0))</f>
        <v>#N/A</v>
      </c>
      <c r="J2589" s="540" t="e">
        <f>INDEX([1]Produtos!$L:$L,MATCH(IF(ISNUMBER(FIND(" - ",G2589)),LEFT(G2589,FIND(" - ",G2589)-1),G2589),[1]Produtos!$C:$C,0))</f>
        <v>#N/A</v>
      </c>
      <c r="K2589" s="540" t="e">
        <f>INDEX([1]Produtos!$L:$L,MATCH(IF(ISNUMBER(FIND(" - ",H2589)),LEFT(H2589,FIND(" - ",H2589)-1),H2589),[1]Produtos!$C:$C,0))</f>
        <v>#N/A</v>
      </c>
      <c r="L2589" s="564" t="e">
        <f>INDEX([1]Produtos!$L:$L,MATCH(IF(ISNUMBER(FIND(" - ",F2589)),LEFT(F2589,FIND(" - ",F2589)-1),F2589),[1]Produtos!$C:$C,0))*INDEX([2]Pedidos!$Q:$Q,MATCH(F2589,[2]Pedidos!$E:$E,0))</f>
        <v>#N/A</v>
      </c>
      <c r="M2589" s="564" t="e">
        <f>INDEX([1]Produtos!$L:$L,MATCH(IF(ISNUMBER(FIND(" - ",G2589)),LEFT(G2589,FIND(" - ",G2589)-1),G2589),[1]Produtos!$C:$C,0))*INDEX([2]Pedidos!$Q:$Q,MATCH(G2589,[2]Pedidos!$E:$E,0))</f>
        <v>#N/A</v>
      </c>
      <c r="N2589" s="564" t="e">
        <f>INDEX([1]Produtos!$L:$L,MATCH(IF(ISNUMBER(FIND(" - ",H2589)),LEFT(H2589,FIND(" - ",H2589)-1),H2589),[1]Produtos!$C:$C,0))*INDEX([2]Pedidos!$Q:$Q,MATCH(H2589,[2]Pedidos!$E:$E,0))</f>
        <v>#N/A</v>
      </c>
    </row>
    <row r="2590" spans="1:18" x14ac:dyDescent="0.25">
      <c r="A2590" s="753"/>
      <c r="C2590" s="452" t="s">
        <v>174</v>
      </c>
      <c r="D2590" s="453">
        <f t="shared" si="206"/>
        <v>46115</v>
      </c>
      <c r="E2590" s="454" t="s">
        <v>164</v>
      </c>
      <c r="F2590" s="569"/>
      <c r="G2590" s="569"/>
      <c r="H2590" s="569"/>
      <c r="I2590" s="540" t="e">
        <f>INDEX([1]Produtos!$L:$L,MATCH(IF(ISNUMBER(FIND(" - ",F2590)),LEFT(F2590,FIND(" - ",F2590)-1),F2590),[1]Produtos!$C:$C,0))</f>
        <v>#N/A</v>
      </c>
      <c r="J2590" s="540" t="e">
        <f>INDEX([1]Produtos!$L:$L,MATCH(IF(ISNUMBER(FIND(" - ",G2590)),LEFT(G2590,FIND(" - ",G2590)-1),G2590),[1]Produtos!$C:$C,0))</f>
        <v>#N/A</v>
      </c>
      <c r="K2590" s="540" t="e">
        <f>INDEX([1]Produtos!$L:$L,MATCH(IF(ISNUMBER(FIND(" - ",H2590)),LEFT(H2590,FIND(" - ",H2590)-1),H2590),[1]Produtos!$C:$C,0))</f>
        <v>#N/A</v>
      </c>
      <c r="L2590" s="564" t="e">
        <f>INDEX([1]Produtos!$L:$L,MATCH(IF(ISNUMBER(FIND(" - ",F2590)),LEFT(F2590,FIND(" - ",F2590)-1),F2590),[1]Produtos!$C:$C,0))*INDEX([2]Pedidos!$Q:$Q,MATCH(F2590,[2]Pedidos!$E:$E,0))</f>
        <v>#N/A</v>
      </c>
      <c r="M2590" s="564" t="e">
        <f>INDEX([1]Produtos!$L:$L,MATCH(IF(ISNUMBER(FIND(" - ",G2590)),LEFT(G2590,FIND(" - ",G2590)-1),G2590),[1]Produtos!$C:$C,0))*INDEX([2]Pedidos!$Q:$Q,MATCH(G2590,[2]Pedidos!$E:$E,0))</f>
        <v>#N/A</v>
      </c>
      <c r="N2590" s="564" t="e">
        <f>INDEX([1]Produtos!$L:$L,MATCH(IF(ISNUMBER(FIND(" - ",H2590)),LEFT(H2590,FIND(" - ",H2590)-1),H2590),[1]Produtos!$C:$C,0))*INDEX([2]Pedidos!$Q:$Q,MATCH(H2590,[2]Pedidos!$E:$E,0))</f>
        <v>#N/A</v>
      </c>
    </row>
    <row r="2591" spans="1:18" x14ac:dyDescent="0.25">
      <c r="A2591" s="753"/>
      <c r="C2591" s="452" t="s">
        <v>174</v>
      </c>
      <c r="D2591" s="453">
        <f t="shared" si="206"/>
        <v>46115</v>
      </c>
      <c r="E2591" s="454" t="s">
        <v>165</v>
      </c>
      <c r="F2591" s="569"/>
      <c r="G2591" s="569"/>
      <c r="H2591" s="569"/>
      <c r="I2591" s="540" t="e">
        <f>INDEX([1]Produtos!$L:$L,MATCH(IF(ISNUMBER(FIND(" - ",F2591)),LEFT(F2591,FIND(" - ",F2591)-1),F2591),[1]Produtos!$C:$C,0))</f>
        <v>#N/A</v>
      </c>
      <c r="J2591" s="540" t="e">
        <f>INDEX([1]Produtos!$L:$L,MATCH(IF(ISNUMBER(FIND(" - ",G2591)),LEFT(G2591,FIND(" - ",G2591)-1),G2591),[1]Produtos!$C:$C,0))</f>
        <v>#N/A</v>
      </c>
      <c r="K2591" s="540" t="e">
        <f>INDEX([1]Produtos!$L:$L,MATCH(IF(ISNUMBER(FIND(" - ",H2591)),LEFT(H2591,FIND(" - ",H2591)-1),H2591),[1]Produtos!$C:$C,0))</f>
        <v>#N/A</v>
      </c>
      <c r="L2591" s="564" t="e">
        <f>INDEX([1]Produtos!$L:$L,MATCH(IF(ISNUMBER(FIND(" - ",F2591)),LEFT(F2591,FIND(" - ",F2591)-1),F2591),[1]Produtos!$C:$C,0))*INDEX([2]Pedidos!$Q:$Q,MATCH(F2591,[2]Pedidos!$E:$E,0))</f>
        <v>#N/A</v>
      </c>
      <c r="M2591" s="564" t="e">
        <f>INDEX([1]Produtos!$L:$L,MATCH(IF(ISNUMBER(FIND(" - ",G2591)),LEFT(G2591,FIND(" - ",G2591)-1),G2591),[1]Produtos!$C:$C,0))*INDEX([2]Pedidos!$Q:$Q,MATCH(G2591,[2]Pedidos!$E:$E,0))</f>
        <v>#N/A</v>
      </c>
      <c r="N2591" s="564" t="e">
        <f>INDEX([1]Produtos!$L:$L,MATCH(IF(ISNUMBER(FIND(" - ",H2591)),LEFT(H2591,FIND(" - ",H2591)-1),H2591),[1]Produtos!$C:$C,0))*INDEX([2]Pedidos!$Q:$Q,MATCH(H2591,[2]Pedidos!$E:$E,0))</f>
        <v>#N/A</v>
      </c>
    </row>
    <row r="2592" spans="1:18" x14ac:dyDescent="0.25">
      <c r="A2592" s="753"/>
      <c r="C2592" s="452" t="s">
        <v>174</v>
      </c>
      <c r="D2592" s="453">
        <f t="shared" si="206"/>
        <v>46115</v>
      </c>
      <c r="E2592" s="454" t="s">
        <v>166</v>
      </c>
      <c r="F2592" s="569"/>
      <c r="G2592" s="569"/>
      <c r="H2592" s="569"/>
      <c r="I2592" s="540" t="e">
        <f>INDEX([1]Produtos!$L:$L,MATCH(IF(ISNUMBER(FIND(" - ",F2592)),LEFT(F2592,FIND(" - ",F2592)-1),F2592),[1]Produtos!$C:$C,0))</f>
        <v>#N/A</v>
      </c>
      <c r="J2592" s="540" t="e">
        <f>INDEX([1]Produtos!$L:$L,MATCH(IF(ISNUMBER(FIND(" - ",G2592)),LEFT(G2592,FIND(" - ",G2592)-1),G2592),[1]Produtos!$C:$C,0))</f>
        <v>#N/A</v>
      </c>
      <c r="K2592" s="540" t="e">
        <f>INDEX([1]Produtos!$L:$L,MATCH(IF(ISNUMBER(FIND(" - ",H2592)),LEFT(H2592,FIND(" - ",H2592)-1),H2592),[1]Produtos!$C:$C,0))</f>
        <v>#N/A</v>
      </c>
      <c r="L2592" s="564" t="e">
        <f>INDEX([1]Produtos!$L:$L,MATCH(IF(ISNUMBER(FIND(" - ",F2592)),LEFT(F2592,FIND(" - ",F2592)-1),F2592),[1]Produtos!$C:$C,0))*INDEX([2]Pedidos!$Q:$Q,MATCH(F2592,[2]Pedidos!$E:$E,0))</f>
        <v>#N/A</v>
      </c>
      <c r="M2592" s="564" t="e">
        <f>INDEX([1]Produtos!$L:$L,MATCH(IF(ISNUMBER(FIND(" - ",G2592)),LEFT(G2592,FIND(" - ",G2592)-1),G2592),[1]Produtos!$C:$C,0))*INDEX([2]Pedidos!$Q:$Q,MATCH(G2592,[2]Pedidos!$E:$E,0))</f>
        <v>#N/A</v>
      </c>
      <c r="N2592" s="564" t="e">
        <f>INDEX([1]Produtos!$L:$L,MATCH(IF(ISNUMBER(FIND(" - ",H2592)),LEFT(H2592,FIND(" - ",H2592)-1),H2592),[1]Produtos!$C:$C,0))*INDEX([2]Pedidos!$Q:$Q,MATCH(H2592,[2]Pedidos!$E:$E,0))</f>
        <v>#N/A</v>
      </c>
    </row>
    <row r="2593" spans="1:23" x14ac:dyDescent="0.25">
      <c r="A2593" s="753"/>
      <c r="C2593" s="452" t="s">
        <v>174</v>
      </c>
      <c r="D2593" s="453">
        <f t="shared" si="206"/>
        <v>46115</v>
      </c>
      <c r="E2593" s="454" t="s">
        <v>576</v>
      </c>
      <c r="F2593" s="512"/>
      <c r="G2593" s="512"/>
      <c r="H2593" s="512"/>
      <c r="I2593" s="541"/>
      <c r="J2593" s="541"/>
      <c r="K2593" s="541"/>
      <c r="L2593" s="556"/>
      <c r="M2593" s="556"/>
      <c r="N2593" s="556"/>
    </row>
    <row r="2594" spans="1:23" x14ac:dyDescent="0.25">
      <c r="A2594" s="753"/>
      <c r="C2594" s="452" t="s">
        <v>174</v>
      </c>
      <c r="D2594" s="449">
        <f t="shared" si="206"/>
        <v>46115</v>
      </c>
      <c r="E2594" s="454" t="s">
        <v>167</v>
      </c>
      <c r="F2594" s="569"/>
      <c r="G2594" s="569"/>
      <c r="H2594" s="569"/>
      <c r="I2594" s="540" t="e">
        <f>INDEX([1]Produtos!$L:$L,MATCH(IF(ISNUMBER(FIND(" - ",F2594)),LEFT(F2594,FIND(" - ",F2594)-1),F2594),[1]Produtos!$C:$C,0))</f>
        <v>#N/A</v>
      </c>
      <c r="J2594" s="540" t="e">
        <f>INDEX([1]Produtos!$L:$L,MATCH(IF(ISNUMBER(FIND(" - ",G2594)),LEFT(G2594,FIND(" - ",G2594)-1),G2594),[1]Produtos!$C:$C,0))</f>
        <v>#N/A</v>
      </c>
      <c r="K2594" s="540" t="e">
        <f>INDEX([1]Produtos!$L:$L,MATCH(IF(ISNUMBER(FIND(" - ",H2594)),LEFT(H2594,FIND(" - ",H2594)-1),H2594),[1]Produtos!$C:$C,0))</f>
        <v>#N/A</v>
      </c>
      <c r="L2594" s="565" t="e">
        <f>INDEX([1]Produtos!$L:$L,MATCH(IF(ISNUMBER(FIND(" - ",F2594)),LEFT(F2594,FIND(" - ",F2594)-1),F2594),[1]Produtos!$C:$C,0))*INDEX([2]Pedidos!$Q:$Q,MATCH(F2594,[2]Pedidos!$E:$E,0))</f>
        <v>#N/A</v>
      </c>
      <c r="M2594" s="565" t="e">
        <f>INDEX([1]Produtos!$L:$L,MATCH(IF(ISNUMBER(FIND(" - ",G2594)),LEFT(G2594,FIND(" - ",G2594)-1),G2594),[1]Produtos!$C:$C,0))*INDEX([2]Pedidos!$Q:$Q,MATCH(G2594,[2]Pedidos!$E:$E,0))</f>
        <v>#N/A</v>
      </c>
      <c r="N2594" s="565" t="e">
        <f>INDEX([1]Produtos!$L:$L,MATCH(IF(ISNUMBER(FIND(" - ",H2594)),LEFT(H2594,FIND(" - ",H2594)-1),H2594),[1]Produtos!$C:$C,0))*INDEX([2]Pedidos!$Q:$Q,MATCH(H2594,[2]Pedidos!$E:$E,0))</f>
        <v>#N/A</v>
      </c>
    </row>
    <row r="2595" spans="1:23" x14ac:dyDescent="0.25">
      <c r="A2595" s="753"/>
      <c r="C2595" s="452" t="s">
        <v>174</v>
      </c>
      <c r="D2595" s="449">
        <f t="shared" si="206"/>
        <v>46115</v>
      </c>
      <c r="E2595" s="454" t="s">
        <v>168</v>
      </c>
      <c r="F2595" s="569"/>
      <c r="G2595" s="569"/>
      <c r="H2595" s="569"/>
      <c r="I2595" s="540" t="e">
        <f>INDEX([1]Produtos!$L:$L,MATCH(IF(ISNUMBER(FIND(" - ",F2595)),LEFT(F2595,FIND(" - ",F2595)-1),F2595),[1]Produtos!$C:$C,0))</f>
        <v>#N/A</v>
      </c>
      <c r="J2595" s="540" t="e">
        <f>INDEX([1]Produtos!$L:$L,MATCH(IF(ISNUMBER(FIND(" - ",G2595)),LEFT(G2595,FIND(" - ",G2595)-1),G2595),[1]Produtos!$C:$C,0))</f>
        <v>#N/A</v>
      </c>
      <c r="K2595" s="540" t="e">
        <f>INDEX([1]Produtos!$L:$L,MATCH(IF(ISNUMBER(FIND(" - ",H2595)),LEFT(H2595,FIND(" - ",H2595)-1),H2595),[1]Produtos!$C:$C,0))</f>
        <v>#N/A</v>
      </c>
      <c r="L2595" s="565" t="e">
        <f>INDEX([1]Produtos!$L:$L,MATCH(IF(ISNUMBER(FIND(" - ",F2595)),LEFT(F2595,FIND(" - ",F2595)-1),F2595),[1]Produtos!$C:$C,0))*INDEX([2]Pedidos!$Q:$Q,MATCH(F2595,[2]Pedidos!$E:$E,0))</f>
        <v>#N/A</v>
      </c>
      <c r="M2595" s="565" t="e">
        <f>INDEX([1]Produtos!$L:$L,MATCH(IF(ISNUMBER(FIND(" - ",G2595)),LEFT(G2595,FIND(" - ",G2595)-1),G2595),[1]Produtos!$C:$C,0))*INDEX([2]Pedidos!$Q:$Q,MATCH(G2595,[2]Pedidos!$E:$E,0))</f>
        <v>#N/A</v>
      </c>
      <c r="N2595" s="565" t="e">
        <f>INDEX([1]Produtos!$L:$L,MATCH(IF(ISNUMBER(FIND(" - ",H2595)),LEFT(H2595,FIND(" - ",H2595)-1),H2595),[1]Produtos!$C:$C,0))*INDEX([2]Pedidos!$Q:$Q,MATCH(H2595,[2]Pedidos!$E:$E,0))</f>
        <v>#N/A</v>
      </c>
    </row>
    <row r="2596" spans="1:23" x14ac:dyDescent="0.25">
      <c r="A2596" s="753"/>
      <c r="C2596" s="452" t="s">
        <v>174</v>
      </c>
      <c r="D2596" s="449">
        <f t="shared" si="206"/>
        <v>46115</v>
      </c>
      <c r="E2596" s="454" t="s">
        <v>169</v>
      </c>
      <c r="F2596" s="569"/>
      <c r="G2596" s="569"/>
      <c r="H2596" s="569"/>
      <c r="I2596" s="540" t="e">
        <f>INDEX([1]Produtos!$L:$L,MATCH(IF(ISNUMBER(FIND(" - ",F2596)),LEFT(F2596,FIND(" - ",F2596)-1),F2596),[1]Produtos!$C:$C,0))</f>
        <v>#N/A</v>
      </c>
      <c r="J2596" s="540" t="e">
        <f>INDEX([1]Produtos!$L:$L,MATCH(IF(ISNUMBER(FIND(" - ",G2596)),LEFT(G2596,FIND(" - ",G2596)-1),G2596),[1]Produtos!$C:$C,0))</f>
        <v>#N/A</v>
      </c>
      <c r="K2596" s="540" t="e">
        <f>INDEX([1]Produtos!$L:$L,MATCH(IF(ISNUMBER(FIND(" - ",H2596)),LEFT(H2596,FIND(" - ",H2596)-1),H2596),[1]Produtos!$C:$C,0))</f>
        <v>#N/A</v>
      </c>
      <c r="L2596" s="565" t="e">
        <f>INDEX([1]Produtos!$L:$L,MATCH(IF(ISNUMBER(FIND(" - ",F2596)),LEFT(F2596,FIND(" - ",F2596)-1),F2596),[1]Produtos!$C:$C,0))*INDEX([2]Pedidos!$Q:$Q,MATCH(F2596,[2]Pedidos!$E:$E,0))</f>
        <v>#N/A</v>
      </c>
      <c r="M2596" s="565" t="e">
        <f>INDEX([1]Produtos!$L:$L,MATCH(IF(ISNUMBER(FIND(" - ",G2596)),LEFT(G2596,FIND(" - ",G2596)-1),G2596),[1]Produtos!$C:$C,0))*INDEX([2]Pedidos!$Q:$Q,MATCH(G2596,[2]Pedidos!$E:$E,0))</f>
        <v>#N/A</v>
      </c>
      <c r="N2596" s="565" t="e">
        <f>INDEX([1]Produtos!$L:$L,MATCH(IF(ISNUMBER(FIND(" - ",H2596)),LEFT(H2596,FIND(" - ",H2596)-1),H2596),[1]Produtos!$C:$C,0))*INDEX([2]Pedidos!$Q:$Q,MATCH(H2596,[2]Pedidos!$E:$E,0))</f>
        <v>#N/A</v>
      </c>
    </row>
    <row r="2597" spans="1:23" x14ac:dyDescent="0.25">
      <c r="A2597" s="753"/>
      <c r="C2597" s="452" t="s">
        <v>174</v>
      </c>
      <c r="D2597" s="449">
        <f t="shared" si="206"/>
        <v>46115</v>
      </c>
      <c r="E2597" s="454" t="s">
        <v>170</v>
      </c>
      <c r="F2597" s="505"/>
      <c r="G2597" s="505"/>
      <c r="H2597" s="505"/>
      <c r="I2597" s="516"/>
      <c r="J2597" s="516"/>
      <c r="K2597" s="516"/>
      <c r="L2597" s="557"/>
      <c r="M2597" s="557"/>
      <c r="N2597" s="557"/>
    </row>
    <row r="2598" spans="1:23" x14ac:dyDescent="0.25">
      <c r="A2598" s="753"/>
      <c r="C2598" s="452" t="s">
        <v>174</v>
      </c>
      <c r="D2598" s="449">
        <f t="shared" si="206"/>
        <v>46115</v>
      </c>
      <c r="E2598" s="454" t="s">
        <v>585</v>
      </c>
      <c r="F2598" s="505"/>
      <c r="G2598" s="505"/>
      <c r="H2598" s="505"/>
      <c r="I2598" s="516"/>
      <c r="J2598" s="516"/>
      <c r="K2598" s="516"/>
      <c r="L2598" s="557"/>
      <c r="M2598" s="557"/>
      <c r="N2598" s="557"/>
    </row>
    <row r="2599" spans="1:23" x14ac:dyDescent="0.25">
      <c r="A2599" s="753"/>
      <c r="C2599" s="452" t="s">
        <v>174</v>
      </c>
      <c r="D2599" s="449">
        <f t="shared" si="206"/>
        <v>46115</v>
      </c>
      <c r="E2599" s="455" t="s">
        <v>574</v>
      </c>
      <c r="F2599" s="505"/>
      <c r="G2599" s="505"/>
      <c r="H2599" s="505"/>
      <c r="I2599" s="516"/>
      <c r="J2599" s="516"/>
      <c r="K2599" s="516"/>
      <c r="L2599" s="557"/>
      <c r="M2599" s="557"/>
      <c r="N2599" s="557"/>
    </row>
    <row r="2600" spans="1:23" x14ac:dyDescent="0.25">
      <c r="A2600" s="753"/>
      <c r="C2600" s="452" t="s">
        <v>174</v>
      </c>
      <c r="D2600" s="449">
        <f t="shared" si="206"/>
        <v>46115</v>
      </c>
      <c r="E2600" s="455" t="s">
        <v>575</v>
      </c>
      <c r="F2600" s="506"/>
      <c r="G2600" s="506"/>
      <c r="H2600" s="506"/>
      <c r="I2600" s="516"/>
      <c r="J2600" s="516"/>
      <c r="K2600" s="516"/>
      <c r="L2600" s="557"/>
      <c r="M2600" s="557"/>
      <c r="N2600" s="557"/>
    </row>
    <row r="2601" spans="1:23" x14ac:dyDescent="0.25">
      <c r="A2601" s="753"/>
      <c r="C2601" s="452" t="s">
        <v>174</v>
      </c>
      <c r="D2601" s="502">
        <f t="shared" si="206"/>
        <v>46115</v>
      </c>
      <c r="E2601" s="503" t="s">
        <v>583</v>
      </c>
      <c r="F2601" s="506"/>
      <c r="G2601" s="506"/>
      <c r="H2601" s="506"/>
      <c r="I2601" s="516"/>
      <c r="J2601" s="516"/>
      <c r="K2601" s="516"/>
      <c r="L2601" s="557"/>
      <c r="M2601" s="557"/>
      <c r="N2601" s="557"/>
    </row>
    <row r="2602" spans="1:23" ht="15.75" thickBot="1" x14ac:dyDescent="0.3">
      <c r="A2602" s="753"/>
      <c r="C2602" s="530" t="s">
        <v>174</v>
      </c>
      <c r="D2602" s="451">
        <f t="shared" si="206"/>
        <v>46115</v>
      </c>
      <c r="E2602" s="459" t="s">
        <v>584</v>
      </c>
      <c r="F2602" s="493"/>
      <c r="G2602" s="493"/>
      <c r="H2602" s="493"/>
      <c r="I2602" s="513"/>
      <c r="J2602" s="513"/>
      <c r="K2602" s="513"/>
      <c r="L2602" s="558"/>
      <c r="M2602" s="558"/>
      <c r="N2602" s="558"/>
    </row>
    <row r="2603" spans="1:23" ht="4.5" customHeight="1" thickBot="1" x14ac:dyDescent="0.3">
      <c r="L2603" s="559"/>
      <c r="M2603" s="559"/>
      <c r="N2603" s="559"/>
      <c r="Q2603" s="3"/>
      <c r="R2603" s="3"/>
    </row>
    <row r="2604" spans="1:23" ht="15" customHeight="1" thickBot="1" x14ac:dyDescent="0.3">
      <c r="A2604" s="753" t="s">
        <v>1568</v>
      </c>
      <c r="C2604" s="593"/>
      <c r="D2604" s="594"/>
      <c r="E2604" s="594"/>
      <c r="F2604" s="594"/>
      <c r="G2604" s="594"/>
      <c r="H2604" s="594"/>
      <c r="I2604" s="604">
        <f t="shared" ref="I2604:N2604" ca="1" si="207">_xlfn.AGGREGATE(9,6,I2605:I2620)</f>
        <v>0</v>
      </c>
      <c r="J2604" s="605">
        <f t="shared" ca="1" si="207"/>
        <v>0</v>
      </c>
      <c r="K2604" s="595">
        <f t="shared" ca="1" si="207"/>
        <v>0</v>
      </c>
      <c r="L2604" s="596">
        <f t="shared" ca="1" si="207"/>
        <v>0</v>
      </c>
      <c r="M2604" s="597">
        <f t="shared" ca="1" si="207"/>
        <v>0</v>
      </c>
      <c r="N2604" s="598">
        <f t="shared" ca="1" si="207"/>
        <v>0</v>
      </c>
      <c r="O2604" s="599">
        <f ca="1">SUM(I2604:K2604)</f>
        <v>0</v>
      </c>
      <c r="P2604" s="600">
        <f ca="1">SUM(L2604:N2604)</f>
        <v>0</v>
      </c>
      <c r="Q2604" s="3"/>
      <c r="R2604" s="3"/>
      <c r="T2604" s="601" t="s">
        <v>437</v>
      </c>
      <c r="U2604" s="602" t="str">
        <f>"Qtd. Total "&amp;TEXT(D2605,"dd/mm/aaaa")&amp;" - "&amp;TEXT(D2677,"dd/mm/aaaa")</f>
        <v>Qtd. Total 06/04/2026 - 10/04/2026</v>
      </c>
      <c r="V2604" s="602" t="str">
        <f>"Produzido "&amp;TEXT(D2605,"dd/mm/aaaa")&amp;" - "&amp;TEXT(D2677,"dd/mm/aaaa")</f>
        <v>Produzido 06/04/2026 - 10/04/2026</v>
      </c>
      <c r="W2604" s="603" t="s">
        <v>1536</v>
      </c>
    </row>
    <row r="2605" spans="1:23" x14ac:dyDescent="0.25">
      <c r="A2605" s="753"/>
      <c r="C2605" s="496" t="s">
        <v>161</v>
      </c>
      <c r="D2605" s="507">
        <v>46118</v>
      </c>
      <c r="E2605" s="498" t="s">
        <v>573</v>
      </c>
      <c r="F2605" s="514"/>
      <c r="G2605" s="514"/>
      <c r="H2605" s="515"/>
      <c r="I2605" s="537" cm="1">
        <f t="array" aca="1" ref="I2605" ca="1">IFERROR(_xlfn.LET(_xlpm.produto,TRIM(F2605)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05" s="537" cm="1">
        <f t="array" aca="1" ref="J2605" ca="1">IFERROR(_xlfn.LET(_xlpm.produto,TRIM(G2605)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05" s="537" cm="1">
        <f t="array" aca="1" ref="K2605" ca="1">IFERROR(_xlfn.LET(_xlpm.produto,TRIM(H2605)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05" s="563"/>
      <c r="M2605" s="563"/>
      <c r="N2605" s="563"/>
      <c r="T2605" s="591" t="str" cm="1">
        <f t="array" aca="1" ref="T2605"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05"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Envase'!M$1,_xlpm.base-1,0,88,1),_xlpm.p,T2605,IF(_xlpm.p&lt;&gt;"",SUMIF(_xlpm.rF,_xlpm.p,_xlpm.rI)+SUMIF(_xlpm.rG,_xlpm.p,_xlpm.rJ)+SUMIF(_xlpm.rH,_xlpm.p,_xlpm.rK),""))</f>
        <v/>
      </c>
      <c r="V2605" s="585">
        <v>2616</v>
      </c>
      <c r="W2605" s="581">
        <f ca="1">IFERROR(V2605*INDEX([2]Pedidos!$Q:$Q,MATCH(T2605,[2]Pedidos!$E:$E,0)),0)</f>
        <v>0</v>
      </c>
    </row>
    <row r="2606" spans="1:23" x14ac:dyDescent="0.25">
      <c r="A2606" s="753"/>
      <c r="C2606" s="525" t="s">
        <v>161</v>
      </c>
      <c r="D2606" s="453">
        <f t="shared" ref="D2606:D2620" si="208">D2605</f>
        <v>46118</v>
      </c>
      <c r="E2606" s="500" t="s">
        <v>162</v>
      </c>
      <c r="F2606" s="460" t="s">
        <v>1573</v>
      </c>
      <c r="G2606" s="460" t="s">
        <v>5</v>
      </c>
      <c r="H2606" s="460"/>
      <c r="I2606" s="540" cm="1">
        <f t="array" aca="1" ref="I2606" ca="1">IFERROR(_xlfn.LET(_xlpm.produto,TRIM(F2606)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06" s="540" cm="1">
        <f t="array" aca="1" ref="J2606" ca="1">IFERROR(_xlfn.LET(_xlpm.produto,TRIM(G2606)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06" s="540" cm="1">
        <f t="array" aca="1" ref="K2606" ca="1">IFERROR(_xlfn.LET(_xlpm.produto,TRIM(H2606)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06" s="555" t="e">
        <f ca="1">I2606*INDEX([2]Pedidos!$Q:$Q,MATCH(F2606,[2]Pedidos!$E:$E,0))</f>
        <v>#N/A</v>
      </c>
      <c r="M2606" s="555" t="e">
        <f ca="1">J2606*INDEX([2]Pedidos!$Q:$Q,MATCH(G2606,[2]Pedidos!$E:$E,0))</f>
        <v>#N/A</v>
      </c>
      <c r="N2606" s="555" t="e">
        <f ca="1">K2606*INDEX([2]Pedidos!$Q:$Q,MATCH(H2606,[2]Pedidos!$E:$E,0))</f>
        <v>#N/A</v>
      </c>
      <c r="T2606" s="592" t="str" cm="1">
        <f t="array" aca="1" ref="T2606"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06"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Envase'!M$1,_xlpm.base-1,0,88,1),_xlpm.p,T2606,IF(_xlpm.p&lt;&gt;"",SUMIF(_xlpm.rF,_xlpm.p,_xlpm.rI)+SUMIF(_xlpm.rG,_xlpm.p,_xlpm.rJ)+SUMIF(_xlpm.rH,_xlpm.p,_xlpm.rK),""))</f>
        <v/>
      </c>
      <c r="V2606" s="586">
        <v>2534</v>
      </c>
      <c r="W2606" s="582">
        <f ca="1">IFERROR(V2606*INDEX([2]Pedidos!$Q:$Q,MATCH(T2606,[2]Pedidos!$E:$E,0)),0)</f>
        <v>0</v>
      </c>
    </row>
    <row r="2607" spans="1:23" x14ac:dyDescent="0.25">
      <c r="A2607" s="753"/>
      <c r="C2607" s="526" t="s">
        <v>161</v>
      </c>
      <c r="D2607" s="453">
        <f t="shared" si="208"/>
        <v>46118</v>
      </c>
      <c r="E2607" s="454" t="s">
        <v>163</v>
      </c>
      <c r="F2607" s="460" t="s">
        <v>1573</v>
      </c>
      <c r="G2607" s="460" t="s">
        <v>5</v>
      </c>
      <c r="H2607" s="460"/>
      <c r="I2607" s="540" cm="1">
        <f t="array" aca="1" ref="I2607" ca="1">IFERROR(_xlfn.LET(_xlpm.produto,TRIM(F2607)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07" s="540" cm="1">
        <f t="array" aca="1" ref="J2607" ca="1">IFERROR(_xlfn.LET(_xlpm.produto,TRIM(G2607)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07" s="540" cm="1">
        <f t="array" aca="1" ref="K2607" ca="1">IFERROR(_xlfn.LET(_xlpm.produto,TRIM(H2607)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07" s="564" t="e">
        <f ca="1">I2607*INDEX([2]Pedidos!$Q:$Q,MATCH(F2607,[2]Pedidos!$E:$E,0))</f>
        <v>#N/A</v>
      </c>
      <c r="M2607" s="564" t="e">
        <f ca="1">J2607*INDEX([2]Pedidos!$Q:$Q,MATCH(G2607,[2]Pedidos!$E:$E,0))</f>
        <v>#N/A</v>
      </c>
      <c r="N2607" s="564" t="e">
        <f ca="1">K2607*INDEX([2]Pedidos!$Q:$Q,MATCH(H2607,[2]Pedidos!$E:$E,0))</f>
        <v>#N/A</v>
      </c>
      <c r="T2607" s="591" t="str" cm="1">
        <f t="array" aca="1" ref="T2607"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07"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Envase'!M$1,_xlpm.base-1,0,88,1),_xlpm.p,T2607,IF(_xlpm.p&lt;&gt;"",SUMIF(_xlpm.rF,_xlpm.p,_xlpm.rI)+SUMIF(_xlpm.rG,_xlpm.p,_xlpm.rJ)+SUMIF(_xlpm.rH,_xlpm.p,_xlpm.rK),""))</f>
        <v/>
      </c>
      <c r="V2607" s="610">
        <v>2537</v>
      </c>
      <c r="W2607" s="582">
        <f ca="1">IFERROR(V2607*INDEX([2]Pedidos!$Q:$Q,MATCH(T2607,[2]Pedidos!$E:$E,0)),0)</f>
        <v>0</v>
      </c>
    </row>
    <row r="2608" spans="1:23" x14ac:dyDescent="0.25">
      <c r="A2608" s="753"/>
      <c r="C2608" s="526" t="s">
        <v>161</v>
      </c>
      <c r="D2608" s="453">
        <f t="shared" si="208"/>
        <v>46118</v>
      </c>
      <c r="E2608" s="454" t="s">
        <v>164</v>
      </c>
      <c r="F2608" s="460" t="s">
        <v>1573</v>
      </c>
      <c r="G2608" s="460" t="s">
        <v>5</v>
      </c>
      <c r="H2608" s="460"/>
      <c r="I2608" s="540" cm="1">
        <f t="array" aca="1" ref="I2608" ca="1">IFERROR(_xlfn.LET(_xlpm.produto,TRIM(F2608)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08" s="540" cm="1">
        <f t="array" aca="1" ref="J2608" ca="1">IFERROR(_xlfn.LET(_xlpm.produto,TRIM(G2608)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08" s="540" cm="1">
        <f t="array" aca="1" ref="K2608" ca="1">IFERROR(_xlfn.LET(_xlpm.produto,TRIM(H2608)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08" s="564" t="e">
        <f ca="1">I2608*INDEX([2]Pedidos!$Q:$Q,MATCH(F2608,[2]Pedidos!$E:$E,0))</f>
        <v>#N/A</v>
      </c>
      <c r="M2608" s="564" t="e">
        <f ca="1">J2608*INDEX([2]Pedidos!$Q:$Q,MATCH(G2608,[2]Pedidos!$E:$E,0))</f>
        <v>#N/A</v>
      </c>
      <c r="N2608" s="564" t="e">
        <f ca="1">K2608*INDEX([2]Pedidos!$Q:$Q,MATCH(H2608,[2]Pedidos!$E:$E,0))</f>
        <v>#N/A</v>
      </c>
      <c r="T2608" s="592" t="str" cm="1">
        <f t="array" aca="1" ref="T2608"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08"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Envase'!M$1,_xlpm.base-1,0,88,1),_xlpm.p,T2608,IF(_xlpm.p&lt;&gt;"",SUMIF(_xlpm.rF,_xlpm.p,_xlpm.rI)+SUMIF(_xlpm.rG,_xlpm.p,_xlpm.rJ)+SUMIF(_xlpm.rH,_xlpm.p,_xlpm.rK),""))</f>
        <v/>
      </c>
      <c r="V2608" s="586">
        <v>2511</v>
      </c>
      <c r="W2608" s="582">
        <f ca="1">IFERROR(V2608*INDEX([2]Pedidos!$Q:$Q,MATCH(T2608,[2]Pedidos!$E:$E,0)),0)</f>
        <v>0</v>
      </c>
    </row>
    <row r="2609" spans="1:23" x14ac:dyDescent="0.25">
      <c r="A2609" s="753"/>
      <c r="C2609" s="526" t="s">
        <v>161</v>
      </c>
      <c r="D2609" s="453">
        <f t="shared" si="208"/>
        <v>46118</v>
      </c>
      <c r="E2609" s="454" t="s">
        <v>165</v>
      </c>
      <c r="F2609" s="460" t="s">
        <v>1574</v>
      </c>
      <c r="G2609" s="460" t="s">
        <v>5</v>
      </c>
      <c r="H2609" s="460"/>
      <c r="I2609" s="540" cm="1">
        <f t="array" aca="1" ref="I2609" ca="1">IFERROR(_xlfn.LET(_xlpm.produto,TRIM(F2609)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09" s="540" cm="1">
        <f t="array" aca="1" ref="J2609" ca="1">IFERROR(_xlfn.LET(_xlpm.produto,TRIM(G2609)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09" s="540" cm="1">
        <f t="array" aca="1" ref="K2609" ca="1">IFERROR(_xlfn.LET(_xlpm.produto,TRIM(H2609)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09" s="564" t="e">
        <f ca="1">I2609*INDEX([2]Pedidos!$Q:$Q,MATCH(F2609,[2]Pedidos!$E:$E,0))</f>
        <v>#N/A</v>
      </c>
      <c r="M2609" s="564" t="e">
        <f ca="1">J2609*INDEX([2]Pedidos!$Q:$Q,MATCH(G2609,[2]Pedidos!$E:$E,0))</f>
        <v>#N/A</v>
      </c>
      <c r="N2609" s="564" t="e">
        <f ca="1">K2609*INDEX([2]Pedidos!$Q:$Q,MATCH(H2609,[2]Pedidos!$E:$E,0))</f>
        <v>#N/A</v>
      </c>
      <c r="T2609" s="591" t="str" cm="1">
        <f t="array" aca="1" ref="T2609"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09"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Envase'!M$1,_xlpm.base-1,0,88,1),_xlpm.p,T2609,IF(_xlpm.p&lt;&gt;"",SUMIF(_xlpm.rF,_xlpm.p,_xlpm.rI)+SUMIF(_xlpm.rG,_xlpm.p,_xlpm.rJ)+SUMIF(_xlpm.rH,_xlpm.p,_xlpm.rK),""))</f>
        <v/>
      </c>
      <c r="V2609" s="586">
        <v>2515</v>
      </c>
      <c r="W2609" s="582">
        <f ca="1">IFERROR(V2609*INDEX([2]Pedidos!$Q:$Q,MATCH(T2609,[2]Pedidos!$E:$E,0)),0)</f>
        <v>0</v>
      </c>
    </row>
    <row r="2610" spans="1:23" x14ac:dyDescent="0.25">
      <c r="A2610" s="753"/>
      <c r="C2610" s="526" t="s">
        <v>161</v>
      </c>
      <c r="D2610" s="453">
        <f t="shared" si="208"/>
        <v>46118</v>
      </c>
      <c r="E2610" s="454" t="s">
        <v>166</v>
      </c>
      <c r="F2610" s="460" t="s">
        <v>1574</v>
      </c>
      <c r="G2610" s="460" t="s">
        <v>5</v>
      </c>
      <c r="H2610" s="460"/>
      <c r="I2610" s="540" cm="1">
        <f t="array" aca="1" ref="I2610" ca="1">IFERROR(_xlfn.LET(_xlpm.produto,TRIM(F2610)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0" s="540" cm="1">
        <f t="array" aca="1" ref="J2610" ca="1">IFERROR(_xlfn.LET(_xlpm.produto,TRIM(G2610)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0" s="540" cm="1">
        <f t="array" aca="1" ref="K2610" ca="1">IFERROR(_xlfn.LET(_xlpm.produto,TRIM(H2610)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0" s="564" t="e">
        <f ca="1">I2610*INDEX([2]Pedidos!$Q:$Q,MATCH(F2610,[2]Pedidos!$E:$E,0))</f>
        <v>#N/A</v>
      </c>
      <c r="M2610" s="564" t="e">
        <f ca="1">J2610*INDEX([2]Pedidos!$Q:$Q,MATCH(G2610,[2]Pedidos!$E:$E,0))</f>
        <v>#N/A</v>
      </c>
      <c r="N2610" s="564" t="e">
        <f ca="1">K2610*INDEX([2]Pedidos!$Q:$Q,MATCH(H2610,[2]Pedidos!$E:$E,0))</f>
        <v>#N/A</v>
      </c>
      <c r="T2610" s="592" t="str" cm="1">
        <f t="array" aca="1" ref="T2610"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0"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Envase'!M$1,_xlpm.base-1,0,88,1),_xlpm.p,T2610,IF(_xlpm.p&lt;&gt;"",SUMIF(_xlpm.rF,_xlpm.p,_xlpm.rI)+SUMIF(_xlpm.rG,_xlpm.p,_xlpm.rJ)+SUMIF(_xlpm.rH,_xlpm.p,_xlpm.rK),""))</f>
        <v/>
      </c>
      <c r="V2610" s="586">
        <v>0</v>
      </c>
      <c r="W2610" s="582">
        <f ca="1">IFERROR(V2610*INDEX([2]Pedidos!$Q:$Q,MATCH(T2610,[2]Pedidos!$E:$E,0)),0)</f>
        <v>0</v>
      </c>
    </row>
    <row r="2611" spans="1:23" x14ac:dyDescent="0.25">
      <c r="A2611" s="753"/>
      <c r="C2611" s="526" t="s">
        <v>161</v>
      </c>
      <c r="D2611" s="453">
        <f t="shared" si="208"/>
        <v>46118</v>
      </c>
      <c r="E2611" s="454" t="s">
        <v>576</v>
      </c>
      <c r="F2611" s="517"/>
      <c r="G2611" s="512"/>
      <c r="H2611" s="505"/>
      <c r="I2611" s="541" cm="1">
        <f t="array" aca="1" ref="I2611" ca="1">IFERROR(_xlfn.LET(_xlpm.produto,TRIM(F2611)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1" s="541" cm="1">
        <f t="array" aca="1" ref="J2611" ca="1">IFERROR(_xlfn.LET(_xlpm.produto,TRIM(G2611)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1" s="541" cm="1">
        <f t="array" aca="1" ref="K2611" ca="1">IFERROR(_xlfn.LET(_xlpm.produto,TRIM(H2611)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1" s="556"/>
      <c r="M2611" s="556"/>
      <c r="N2611" s="556"/>
      <c r="T2611" s="591" t="str" cm="1">
        <f t="array" aca="1" ref="T2611"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1"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Envase'!M$1,_xlpm.base-1,0,88,1),_xlpm.p,T2611,IF(_xlpm.p&lt;&gt;"",SUMIF(_xlpm.rF,_xlpm.p,_xlpm.rI)+SUMIF(_xlpm.rG,_xlpm.p,_xlpm.rJ)+SUMIF(_xlpm.rH,_xlpm.p,_xlpm.rK),""))</f>
        <v/>
      </c>
      <c r="V2611" s="586">
        <v>0</v>
      </c>
      <c r="W2611" s="582">
        <f ca="1">IFERROR(V2611*INDEX([2]Pedidos!$Q:$Q,MATCH(T2611,[2]Pedidos!$E:$E,0)),0)</f>
        <v>0</v>
      </c>
    </row>
    <row r="2612" spans="1:23" x14ac:dyDescent="0.25">
      <c r="A2612" s="753"/>
      <c r="C2612" s="527" t="s">
        <v>161</v>
      </c>
      <c r="D2612" s="449">
        <f t="shared" si="208"/>
        <v>46118</v>
      </c>
      <c r="E2612" s="454" t="s">
        <v>167</v>
      </c>
      <c r="F2612" s="460" t="s">
        <v>1574</v>
      </c>
      <c r="G2612" s="460" t="s">
        <v>5</v>
      </c>
      <c r="H2612" s="460"/>
      <c r="I2612" s="540" cm="1">
        <f t="array" aca="1" ref="I2612" ca="1">IFERROR(_xlfn.LET(_xlpm.produto,TRIM(F2612)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2" s="540" cm="1">
        <f t="array" aca="1" ref="J2612" ca="1">IFERROR(_xlfn.LET(_xlpm.produto,TRIM(G2612)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2" s="540" cm="1">
        <f t="array" aca="1" ref="K2612" ca="1">IFERROR(_xlfn.LET(_xlpm.produto,TRIM(H2612)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2" s="565" t="e">
        <f ca="1">I2612*INDEX([2]Pedidos!$Q:$Q,MATCH(F2612,[2]Pedidos!$E:$E,0))</f>
        <v>#N/A</v>
      </c>
      <c r="M2612" s="565" t="e">
        <f ca="1">J2612*INDEX([2]Pedidos!$Q:$Q,MATCH(G2612,[2]Pedidos!$E:$E,0))</f>
        <v>#N/A</v>
      </c>
      <c r="N2612" s="565" t="e">
        <f ca="1">K2612*INDEX([2]Pedidos!$Q:$Q,MATCH(H2612,[2]Pedidos!$E:$E,0))</f>
        <v>#N/A</v>
      </c>
      <c r="T2612" s="592" t="str" cm="1">
        <f t="array" aca="1" ref="T2612"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2"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Envase'!M$1,_xlpm.base-1,0,88,1),_xlpm.p,T2612,IF(_xlpm.p&lt;&gt;"",SUMIF(_xlpm.rF,_xlpm.p,_xlpm.rI)+SUMIF(_xlpm.rG,_xlpm.p,_xlpm.rJ)+SUMIF(_xlpm.rH,_xlpm.p,_xlpm.rK),""))</f>
        <v/>
      </c>
      <c r="V2612" s="586">
        <v>5808</v>
      </c>
      <c r="W2612" s="582">
        <f ca="1">IFERROR(V2612*INDEX([2]Pedidos!$Q:$Q,MATCH(T2612,[2]Pedidos!$E:$E,0)),0)</f>
        <v>0</v>
      </c>
    </row>
    <row r="2613" spans="1:23" x14ac:dyDescent="0.25">
      <c r="A2613" s="753"/>
      <c r="C2613" s="527" t="s">
        <v>161</v>
      </c>
      <c r="D2613" s="449">
        <f t="shared" si="208"/>
        <v>46118</v>
      </c>
      <c r="E2613" s="454" t="s">
        <v>168</v>
      </c>
      <c r="F2613" s="460" t="s">
        <v>1575</v>
      </c>
      <c r="G2613" s="460" t="s">
        <v>5</v>
      </c>
      <c r="H2613" s="460"/>
      <c r="I2613" s="540" cm="1">
        <f t="array" aca="1" ref="I2613" ca="1">IFERROR(_xlfn.LET(_xlpm.produto,TRIM(F2613)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3" s="540" cm="1">
        <f t="array" aca="1" ref="J2613" ca="1">IFERROR(_xlfn.LET(_xlpm.produto,TRIM(G2613)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3" s="540" cm="1">
        <f t="array" aca="1" ref="K2613" ca="1">IFERROR(_xlfn.LET(_xlpm.produto,TRIM(H2613)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3" s="565" t="e">
        <f ca="1">I2613*INDEX([2]Pedidos!$Q:$Q,MATCH(F2613,[2]Pedidos!$E:$E,0))</f>
        <v>#N/A</v>
      </c>
      <c r="M2613" s="565" t="e">
        <f ca="1">J2613*INDEX([2]Pedidos!$Q:$Q,MATCH(G2613,[2]Pedidos!$E:$E,0))</f>
        <v>#N/A</v>
      </c>
      <c r="N2613" s="565" t="e">
        <f ca="1">K2613*INDEX([2]Pedidos!$Q:$Q,MATCH(H2613,[2]Pedidos!$E:$E,0))</f>
        <v>#N/A</v>
      </c>
      <c r="T2613" s="591" t="str" cm="1">
        <f t="array" aca="1" ref="T2613"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3"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Envase'!M$1,_xlpm.base-1,0,88,1),_xlpm.p,T2613,IF(_xlpm.p&lt;&gt;"",SUMIF(_xlpm.rF,_xlpm.p,_xlpm.rI)+SUMIF(_xlpm.rG,_xlpm.p,_xlpm.rJ)+SUMIF(_xlpm.rH,_xlpm.p,_xlpm.rK),""))</f>
        <v/>
      </c>
      <c r="V2613" s="586">
        <v>0</v>
      </c>
      <c r="W2613" s="582">
        <f ca="1">IFERROR(V2613*INDEX([2]Pedidos!$Q:$Q,MATCH(T2613,[2]Pedidos!$E:$E,0)),0)</f>
        <v>0</v>
      </c>
    </row>
    <row r="2614" spans="1:23" x14ac:dyDescent="0.25">
      <c r="A2614" s="753"/>
      <c r="C2614" s="527" t="s">
        <v>161</v>
      </c>
      <c r="D2614" s="449">
        <f t="shared" si="208"/>
        <v>46118</v>
      </c>
      <c r="E2614" s="454" t="s">
        <v>169</v>
      </c>
      <c r="F2614" s="460" t="s">
        <v>1575</v>
      </c>
      <c r="G2614" s="460" t="s">
        <v>5</v>
      </c>
      <c r="H2614" s="460"/>
      <c r="I2614" s="540" cm="1">
        <f t="array" aca="1" ref="I2614" ca="1">IFERROR(_xlfn.LET(_xlpm.produto,TRIM(F2614)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4" s="540" cm="1">
        <f t="array" aca="1" ref="J2614" ca="1">IFERROR(_xlfn.LET(_xlpm.produto,TRIM(G2614)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4" s="540" cm="1">
        <f t="array" aca="1" ref="K2614" ca="1">IFERROR(_xlfn.LET(_xlpm.produto,TRIM(H2614)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4" s="565" t="e">
        <f ca="1">I2614*INDEX([2]Pedidos!$Q:$Q,MATCH(F2614,[2]Pedidos!$E:$E,0))</f>
        <v>#N/A</v>
      </c>
      <c r="M2614" s="565" t="e">
        <f ca="1">J2614*INDEX([2]Pedidos!$Q:$Q,MATCH(G2614,[2]Pedidos!$E:$E,0))</f>
        <v>#N/A</v>
      </c>
      <c r="N2614" s="565" t="e">
        <f ca="1">K2614*INDEX([2]Pedidos!$Q:$Q,MATCH(H2614,[2]Pedidos!$E:$E,0))</f>
        <v>#N/A</v>
      </c>
      <c r="T2614" s="592" t="str" cm="1">
        <f t="array" aca="1" ref="T2614"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4"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Envase'!M$1,_xlpm.base-1,0,88,1),_xlpm.p,T2614,IF(_xlpm.p&lt;&gt;"",SUMIF(_xlpm.rF,_xlpm.p,_xlpm.rI)+SUMIF(_xlpm.rG,_xlpm.p,_xlpm.rJ)+SUMIF(_xlpm.rH,_xlpm.p,_xlpm.rK),""))</f>
        <v/>
      </c>
      <c r="V2614" s="586">
        <v>0</v>
      </c>
      <c r="W2614" s="582">
        <f ca="1">IFERROR(V2614*INDEX([2]Pedidos!$Q:$Q,MATCH(T2614,[2]Pedidos!$E:$E,0)),0)</f>
        <v>0</v>
      </c>
    </row>
    <row r="2615" spans="1:23" x14ac:dyDescent="0.25">
      <c r="A2615" s="753"/>
      <c r="C2615" s="527" t="s">
        <v>161</v>
      </c>
      <c r="D2615" s="453">
        <f t="shared" si="208"/>
        <v>46118</v>
      </c>
      <c r="E2615" s="454" t="s">
        <v>170</v>
      </c>
      <c r="F2615" s="460" t="s">
        <v>1575</v>
      </c>
      <c r="G2615" s="460" t="s">
        <v>5</v>
      </c>
      <c r="H2615" s="460"/>
      <c r="I2615" s="540" cm="1">
        <f t="array" aca="1" ref="I2615" ca="1">IFERROR(_xlfn.LET(_xlpm.produto,TRIM(F2615)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5" s="540" cm="1">
        <f t="array" aca="1" ref="J2615" ca="1">IFERROR(_xlfn.LET(_xlpm.produto,TRIM(G2615)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5" s="540" cm="1">
        <f t="array" aca="1" ref="K2615" ca="1">IFERROR(_xlfn.LET(_xlpm.produto,TRIM(H2615)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5" s="566" t="e">
        <f ca="1">I2615*INDEX([2]Pedidos!$Q:$Q,MATCH(F2615,[2]Pedidos!$E:$E,0))</f>
        <v>#N/A</v>
      </c>
      <c r="M2615" s="566" t="e">
        <f ca="1">J2615*INDEX([2]Pedidos!$Q:$Q,MATCH(G2615,[2]Pedidos!$E:$E,0))</f>
        <v>#N/A</v>
      </c>
      <c r="N2615" s="566" t="e">
        <f ca="1">K2615*INDEX([2]Pedidos!$Q:$Q,MATCH(H2615,[2]Pedidos!$E:$E,0))</f>
        <v>#N/A</v>
      </c>
      <c r="T2615" s="591" t="str" cm="1">
        <f t="array" aca="1" ref="T2615"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5"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Envase'!M$1,_xlpm.base-1,0,88,1),_xlpm.p,T2615,IF(_xlpm.p&lt;&gt;"",SUMIF(_xlpm.rF,_xlpm.p,_xlpm.rI)+SUMIF(_xlpm.rG,_xlpm.p,_xlpm.rJ)+SUMIF(_xlpm.rH,_xlpm.p,_xlpm.rK),""))</f>
        <v/>
      </c>
      <c r="V2615" s="586">
        <v>10752</v>
      </c>
      <c r="W2615" s="582">
        <f ca="1">IFERROR(V2615*INDEX([2]Pedidos!$Q:$Q,MATCH(T2615,[2]Pedidos!$E:$E,0)),0)</f>
        <v>0</v>
      </c>
    </row>
    <row r="2616" spans="1:23" x14ac:dyDescent="0.25">
      <c r="A2616" s="753"/>
      <c r="C2616" s="527" t="s">
        <v>161</v>
      </c>
      <c r="D2616" s="453">
        <f t="shared" si="208"/>
        <v>46118</v>
      </c>
      <c r="E2616" s="454" t="s">
        <v>585</v>
      </c>
      <c r="F2616" s="505"/>
      <c r="G2616" s="505"/>
      <c r="H2616" s="516"/>
      <c r="I2616" s="516" cm="1">
        <f t="array" aca="1" ref="I2616" ca="1">IFERROR(_xlfn.LET(_xlpm.produto,TRIM(F2616)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6" s="516" cm="1">
        <f t="array" aca="1" ref="J2616" ca="1">IFERROR(_xlfn.LET(_xlpm.produto,TRIM(G2616)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6" s="516" cm="1">
        <f t="array" aca="1" ref="K2616" ca="1">IFERROR(_xlfn.LET(_xlpm.produto,TRIM(H2616)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6" s="557"/>
      <c r="M2616" s="557"/>
      <c r="N2616" s="557"/>
      <c r="T2616" s="592" t="str" cm="1">
        <f t="array" aca="1" ref="T2616"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6"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Envase'!M$1,_xlpm.base-1,0,88,1),_xlpm.p,T2616,IF(_xlpm.p&lt;&gt;"",SUMIF(_xlpm.rF,_xlpm.p,_xlpm.rI)+SUMIF(_xlpm.rG,_xlpm.p,_xlpm.rJ)+SUMIF(_xlpm.rH,_xlpm.p,_xlpm.rK),""))</f>
        <v/>
      </c>
      <c r="V2616" s="586"/>
      <c r="W2616" s="582">
        <f ca="1">IFERROR(V2616*INDEX([2]Pedidos!$Q:$Q,MATCH(T2616,[2]Pedidos!$E:$E,0)),0)</f>
        <v>0</v>
      </c>
    </row>
    <row r="2617" spans="1:23" x14ac:dyDescent="0.25">
      <c r="A2617" s="753"/>
      <c r="C2617" s="527" t="s">
        <v>161</v>
      </c>
      <c r="D2617" s="453">
        <f t="shared" si="208"/>
        <v>46118</v>
      </c>
      <c r="E2617" s="455" t="s">
        <v>574</v>
      </c>
      <c r="F2617" s="505"/>
      <c r="G2617" s="505"/>
      <c r="H2617" s="516"/>
      <c r="I2617" s="516" cm="1">
        <f t="array" aca="1" ref="I2617" ca="1">IFERROR(_xlfn.LET(_xlpm.produto,TRIM(F2617)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7" s="516" cm="1">
        <f t="array" aca="1" ref="J2617" ca="1">IFERROR(_xlfn.LET(_xlpm.produto,TRIM(G2617)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7" s="516" cm="1">
        <f t="array" aca="1" ref="K2617" ca="1">IFERROR(_xlfn.LET(_xlpm.produto,TRIM(H2617)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7" s="557"/>
      <c r="M2617" s="557"/>
      <c r="N2617" s="557"/>
      <c r="T2617" s="591" t="str" cm="1">
        <f t="array" aca="1" ref="T2617"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7"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Envase'!M$1,_xlpm.base-1,0,88,1),_xlpm.p,T2617,IF(_xlpm.p&lt;&gt;"",SUMIF(_xlpm.rF,_xlpm.p,_xlpm.rI)+SUMIF(_xlpm.rG,_xlpm.p,_xlpm.rJ)+SUMIF(_xlpm.rH,_xlpm.p,_xlpm.rK),""))</f>
        <v/>
      </c>
      <c r="V2617" s="586"/>
      <c r="W2617" s="582">
        <f ca="1">IFERROR(V2617*INDEX([2]Pedidos!$Q:$Q,MATCH(T2617,[2]Pedidos!$E:$E,0)),0)</f>
        <v>0</v>
      </c>
    </row>
    <row r="2618" spans="1:23" x14ac:dyDescent="0.25">
      <c r="A2618" s="753"/>
      <c r="C2618" s="527" t="s">
        <v>161</v>
      </c>
      <c r="D2618" s="453">
        <f t="shared" si="208"/>
        <v>46118</v>
      </c>
      <c r="E2618" s="455" t="s">
        <v>575</v>
      </c>
      <c r="F2618" s="506"/>
      <c r="G2618" s="506"/>
      <c r="H2618" s="516"/>
      <c r="I2618" s="516" cm="1">
        <f t="array" aca="1" ref="I2618" ca="1">IFERROR(_xlfn.LET(_xlpm.produto,TRIM(F2618)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8" s="516" cm="1">
        <f t="array" aca="1" ref="J2618" ca="1">IFERROR(_xlfn.LET(_xlpm.produto,TRIM(G2618)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8" s="516" cm="1">
        <f t="array" aca="1" ref="K2618" ca="1">IFERROR(_xlfn.LET(_xlpm.produto,TRIM(H2618)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8" s="557"/>
      <c r="M2618" s="557"/>
      <c r="N2618" s="557"/>
      <c r="T2618" s="592" t="str" cm="1">
        <f t="array" aca="1" ref="T2618" ca="1">_xlfn.LET(_xlpm.base,INT((ROW()-7)/90)*90+7,_xlpm.n,ROW()-_xlpm.base+1,_xlpm.rF,OFFSET('Previsão Envase'!F$1,_xlpm.base-1,0,88,1),_xlpm.rG,OFFSET('Previsão Envase'!G$1,_xlpm.base-1,0,88,1),_xlpm.rH,OFFSET('Previsão Envase'!H$1,_xlpm.base-1,0,88,1),IFERROR(INDEX(_xlfn.UNIQUE(_xlfn.VSTACK(IFERROR(_xlfn._xlws.FILTER(_xlpm.rF,_xlpm.rF&lt;&gt;""),""),IFERROR(_xlfn._xlws.FILTER(_xlpm.rG,_xlpm.rG&lt;&gt;""),""),IFERROR(_xlfn._xlws.FILTER(_xlpm.rH,_xlpm.rH&lt;&gt;""),""))),_xlpm.n),""))</f>
        <v/>
      </c>
      <c r="U2618" s="576" t="str">
        <f ca="1">_xlfn.LET(_xlpm.base,INT((ROW()-7)/90)*90+7,_xlpm.rF,OFFSET('Previsão Envase'!F$1,_xlpm.base-1,0,88,1),_xlpm.rG,OFFSET('Previsão Envase'!G$1,_xlpm.base-1,0,88,1),_xlpm.rH,OFFSET('Previsão Envase'!H$1,_xlpm.base-1,0,88,1),_xlpm.rI,OFFSET('Previsão Envase'!J$1,_xlpm.base-1,0,88,1),_xlpm.rJ,OFFSET('Previsão Envase'!K$1,_xlpm.base-1,0,88,1),_xlpm.rK,OFFSET('Previsão Envase'!M$1,_xlpm.base-1,0,88,1),_xlpm.p,T2618,IF(_xlpm.p&lt;&gt;"",SUMIF(_xlpm.rF,_xlpm.p,_xlpm.rI)+SUMIF(_xlpm.rG,_xlpm.p,_xlpm.rJ)+SUMIF(_xlpm.rH,_xlpm.p,_xlpm.rK),""))</f>
        <v/>
      </c>
      <c r="V2618" s="587"/>
      <c r="W2618" s="583">
        <f ca="1">IFERROR(V2618*INDEX([2]Pedidos!$Q:$Q,MATCH(T2618,[2]Pedidos!$E:$E,0)),0)</f>
        <v>0</v>
      </c>
    </row>
    <row r="2619" spans="1:23" x14ac:dyDescent="0.25">
      <c r="A2619" s="753"/>
      <c r="C2619" s="527" t="s">
        <v>161</v>
      </c>
      <c r="D2619" s="453">
        <f t="shared" si="208"/>
        <v>46118</v>
      </c>
      <c r="E2619" s="503" t="s">
        <v>583</v>
      </c>
      <c r="F2619" s="506"/>
      <c r="G2619" s="506"/>
      <c r="H2619" s="516"/>
      <c r="I2619" s="516" cm="1">
        <f t="array" aca="1" ref="I2619" ca="1">IFERROR(_xlfn.LET(_xlpm.produto,TRIM(F2619)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19" s="516" cm="1">
        <f t="array" aca="1" ref="J2619" ca="1">IFERROR(_xlfn.LET(_xlpm.produto,TRIM(G2619)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19" s="516" cm="1">
        <f t="array" aca="1" ref="K2619" ca="1">IFERROR(_xlfn.LET(_xlpm.produto,TRIM(H2619)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19" s="557"/>
      <c r="M2619" s="557"/>
      <c r="N2619" s="557"/>
      <c r="T2619" s="573" t="s">
        <v>1521</v>
      </c>
      <c r="U2619" s="574">
        <f ca="1">SUM(U2605:U2618)</f>
        <v>0</v>
      </c>
      <c r="V2619" s="574">
        <f>SUM(V2605:V2618)</f>
        <v>29273</v>
      </c>
      <c r="W2619" s="584">
        <f ca="1">SUM(W2605:W2618)</f>
        <v>0</v>
      </c>
    </row>
    <row r="2620" spans="1:23" ht="15.75" thickBot="1" x14ac:dyDescent="0.3">
      <c r="A2620" s="753"/>
      <c r="C2620" s="528" t="s">
        <v>161</v>
      </c>
      <c r="D2620" s="451">
        <f t="shared" si="208"/>
        <v>46118</v>
      </c>
      <c r="E2620" s="459" t="s">
        <v>584</v>
      </c>
      <c r="F2620" s="493"/>
      <c r="G2620" s="493"/>
      <c r="H2620" s="513"/>
      <c r="I2620" s="513" cm="1">
        <f t="array" aca="1" ref="I2620" ca="1">IFERROR(_xlfn.LET(_xlpm.produto,TRIM(F2620)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0" s="513" cm="1">
        <f t="array" aca="1" ref="J2620" ca="1">IFERROR(_xlfn.LET(_xlpm.produto,TRIM(G2620)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0" s="513" cm="1">
        <f t="array" aca="1" ref="K2620" ca="1">IFERROR(_xlfn.LET(_xlpm.produto,TRIM(H2620)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0" s="558"/>
      <c r="M2620" s="558"/>
      <c r="N2620" s="558"/>
    </row>
    <row r="2621" spans="1:23" ht="4.5" customHeight="1" thickBot="1" x14ac:dyDescent="0.3">
      <c r="A2621" s="753"/>
      <c r="I2621" s="445"/>
      <c r="J2621" s="445"/>
      <c r="L2621" s="559"/>
      <c r="M2621" s="559"/>
      <c r="N2621" s="559"/>
      <c r="Q2621" s="3"/>
      <c r="R2621" s="3"/>
    </row>
    <row r="2622" spans="1:23" ht="15" customHeight="1" thickBot="1" x14ac:dyDescent="0.3">
      <c r="A2622" s="753"/>
      <c r="C2622" s="538"/>
      <c r="D2622" s="539"/>
      <c r="E2622" s="539"/>
      <c r="F2622" s="539"/>
      <c r="G2622" s="539"/>
      <c r="H2622" s="539"/>
      <c r="I2622" s="606">
        <f t="shared" ref="I2622:N2622" ca="1" si="209">_xlfn.AGGREGATE(9,6,I2623:I2638)</f>
        <v>0</v>
      </c>
      <c r="J2622" s="607">
        <f t="shared" ca="1" si="209"/>
        <v>0</v>
      </c>
      <c r="K2622" s="544">
        <f t="shared" ca="1" si="209"/>
        <v>0</v>
      </c>
      <c r="L2622" s="560">
        <f t="shared" ca="1" si="209"/>
        <v>0</v>
      </c>
      <c r="M2622" s="561">
        <f t="shared" ca="1" si="209"/>
        <v>0</v>
      </c>
      <c r="N2622" s="562">
        <f t="shared" ca="1" si="209"/>
        <v>0</v>
      </c>
      <c r="O2622" s="548">
        <f ca="1">SUM(I2622:K2622)</f>
        <v>0</v>
      </c>
      <c r="P2622" s="549">
        <f ca="1">SUM(L2622:N2622)</f>
        <v>0</v>
      </c>
      <c r="Q2622" s="3"/>
      <c r="R2622" s="3"/>
    </row>
    <row r="2623" spans="1:23" x14ac:dyDescent="0.25">
      <c r="A2623" s="753"/>
      <c r="C2623" s="446" t="s">
        <v>171</v>
      </c>
      <c r="D2623" s="497">
        <f>D2620+1</f>
        <v>46119</v>
      </c>
      <c r="E2623" s="498" t="s">
        <v>573</v>
      </c>
      <c r="F2623" s="514"/>
      <c r="G2623" s="514"/>
      <c r="H2623" s="515"/>
      <c r="I2623" s="537" cm="1">
        <f t="array" aca="1" ref="I2623" ca="1">IFERROR(_xlfn.LET(_xlpm.produto,TRIM(F2623)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3" s="537" cm="1">
        <f t="array" aca="1" ref="J2623" ca="1">IFERROR(_xlfn.LET(_xlpm.produto,TRIM(G2623)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3" s="537" cm="1">
        <f t="array" aca="1" ref="K2623" ca="1">IFERROR(_xlfn.LET(_xlpm.produto,TRIM(H2623)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3" s="563"/>
      <c r="M2623" s="563"/>
      <c r="N2623" s="563"/>
    </row>
    <row r="2624" spans="1:23" x14ac:dyDescent="0.25">
      <c r="A2624" s="753"/>
      <c r="C2624" s="452" t="s">
        <v>171</v>
      </c>
      <c r="D2624" s="499">
        <f t="shared" ref="D2624:D2638" si="210">D2623</f>
        <v>46119</v>
      </c>
      <c r="E2624" s="500" t="s">
        <v>162</v>
      </c>
      <c r="F2624" s="460" t="s">
        <v>1576</v>
      </c>
      <c r="G2624" s="460" t="s">
        <v>5</v>
      </c>
      <c r="H2624" s="460"/>
      <c r="I2624" s="540" cm="1">
        <f t="array" aca="1" ref="I2624" ca="1">IFERROR(_xlfn.LET(_xlpm.produto,TRIM(F2624)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4" s="540" cm="1">
        <f t="array" aca="1" ref="J2624" ca="1">IFERROR(_xlfn.LET(_xlpm.produto,TRIM(G2624)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4" s="540" cm="1">
        <f t="array" aca="1" ref="K2624" ca="1">IFERROR(_xlfn.LET(_xlpm.produto,TRIM(H2624)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4" s="555" t="e">
        <f ca="1">I2624*INDEX([2]Pedidos!$Q:$Q,MATCH(F2624,[2]Pedidos!$E:$E,0))</f>
        <v>#N/A</v>
      </c>
      <c r="M2624" s="555" t="e">
        <f ca="1">J2624*INDEX([2]Pedidos!$Q:$Q,MATCH(G2624,[2]Pedidos!$E:$E,0))</f>
        <v>#N/A</v>
      </c>
      <c r="N2624" s="555" t="e">
        <f ca="1">K2624*INDEX([2]Pedidos!$Q:$Q,MATCH(H2624,[2]Pedidos!$E:$E,0))</f>
        <v>#N/A</v>
      </c>
    </row>
    <row r="2625" spans="1:18" x14ac:dyDescent="0.25">
      <c r="A2625" s="753"/>
      <c r="C2625" s="452" t="s">
        <v>171</v>
      </c>
      <c r="D2625" s="449">
        <f t="shared" si="210"/>
        <v>46119</v>
      </c>
      <c r="E2625" s="454" t="s">
        <v>163</v>
      </c>
      <c r="F2625" s="460" t="s">
        <v>1576</v>
      </c>
      <c r="G2625" s="460" t="s">
        <v>5</v>
      </c>
      <c r="H2625" s="460"/>
      <c r="I2625" s="540" cm="1">
        <f t="array" aca="1" ref="I2625" ca="1">IFERROR(_xlfn.LET(_xlpm.produto,TRIM(F2625)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5" s="540" cm="1">
        <f t="array" aca="1" ref="J2625" ca="1">IFERROR(_xlfn.LET(_xlpm.produto,TRIM(G2625)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5" s="540" cm="1">
        <f t="array" aca="1" ref="K2625" ca="1">IFERROR(_xlfn.LET(_xlpm.produto,TRIM(H2625)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5" s="564" t="e">
        <f ca="1">I2625*INDEX([2]Pedidos!$Q:$Q,MATCH(F2625,[2]Pedidos!$E:$E,0))</f>
        <v>#N/A</v>
      </c>
      <c r="M2625" s="564" t="e">
        <f ca="1">J2625*INDEX([2]Pedidos!$Q:$Q,MATCH(G2625,[2]Pedidos!$E:$E,0))</f>
        <v>#N/A</v>
      </c>
      <c r="N2625" s="564" t="e">
        <f ca="1">K2625*INDEX([2]Pedidos!$Q:$Q,MATCH(H2625,[2]Pedidos!$E:$E,0))</f>
        <v>#N/A</v>
      </c>
    </row>
    <row r="2626" spans="1:18" x14ac:dyDescent="0.25">
      <c r="A2626" s="753"/>
      <c r="C2626" s="452" t="s">
        <v>171</v>
      </c>
      <c r="D2626" s="449">
        <f t="shared" si="210"/>
        <v>46119</v>
      </c>
      <c r="E2626" s="454" t="s">
        <v>164</v>
      </c>
      <c r="F2626" s="460" t="s">
        <v>1576</v>
      </c>
      <c r="G2626" s="460" t="s">
        <v>5</v>
      </c>
      <c r="H2626" s="460"/>
      <c r="I2626" s="540" cm="1">
        <f t="array" aca="1" ref="I2626" ca="1">IFERROR(_xlfn.LET(_xlpm.produto,TRIM(F2626)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6" s="540" cm="1">
        <f t="array" aca="1" ref="J2626" ca="1">IFERROR(_xlfn.LET(_xlpm.produto,TRIM(G2626)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6" s="540" cm="1">
        <f t="array" aca="1" ref="K2626" ca="1">IFERROR(_xlfn.LET(_xlpm.produto,TRIM(H2626)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6" s="564" t="e">
        <f ca="1">I2626*INDEX([2]Pedidos!$Q:$Q,MATCH(F2626,[2]Pedidos!$E:$E,0))</f>
        <v>#N/A</v>
      </c>
      <c r="M2626" s="564" t="e">
        <f ca="1">J2626*INDEX([2]Pedidos!$Q:$Q,MATCH(G2626,[2]Pedidos!$E:$E,0))</f>
        <v>#N/A</v>
      </c>
      <c r="N2626" s="564" t="e">
        <f ca="1">K2626*INDEX([2]Pedidos!$Q:$Q,MATCH(H2626,[2]Pedidos!$E:$E,0))</f>
        <v>#N/A</v>
      </c>
    </row>
    <row r="2627" spans="1:18" x14ac:dyDescent="0.25">
      <c r="A2627" s="753"/>
      <c r="C2627" s="452" t="s">
        <v>171</v>
      </c>
      <c r="D2627" s="449">
        <f t="shared" si="210"/>
        <v>46119</v>
      </c>
      <c r="E2627" s="454" t="s">
        <v>165</v>
      </c>
      <c r="F2627" s="460" t="s">
        <v>1577</v>
      </c>
      <c r="G2627" s="460" t="s">
        <v>5</v>
      </c>
      <c r="H2627" s="460"/>
      <c r="I2627" s="540" cm="1">
        <f t="array" aca="1" ref="I2627" ca="1">IFERROR(_xlfn.LET(_xlpm.produto,TRIM(F2627)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7" s="540" cm="1">
        <f t="array" aca="1" ref="J2627" ca="1">IFERROR(_xlfn.LET(_xlpm.produto,TRIM(G2627)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7" s="540" cm="1">
        <f t="array" aca="1" ref="K2627" ca="1">IFERROR(_xlfn.LET(_xlpm.produto,TRIM(H2627)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7" s="564" t="e">
        <f ca="1">I2627*INDEX([2]Pedidos!$Q:$Q,MATCH(F2627,[2]Pedidos!$E:$E,0))</f>
        <v>#N/A</v>
      </c>
      <c r="M2627" s="564" t="e">
        <f ca="1">J2627*INDEX([2]Pedidos!$Q:$Q,MATCH(G2627,[2]Pedidos!$E:$E,0))</f>
        <v>#N/A</v>
      </c>
      <c r="N2627" s="564" t="e">
        <f ca="1">K2627*INDEX([2]Pedidos!$Q:$Q,MATCH(H2627,[2]Pedidos!$E:$E,0))</f>
        <v>#N/A</v>
      </c>
    </row>
    <row r="2628" spans="1:18" x14ac:dyDescent="0.25">
      <c r="A2628" s="753"/>
      <c r="C2628" s="452" t="s">
        <v>171</v>
      </c>
      <c r="D2628" s="449">
        <f t="shared" si="210"/>
        <v>46119</v>
      </c>
      <c r="E2628" s="454" t="s">
        <v>166</v>
      </c>
      <c r="F2628" s="460" t="s">
        <v>1577</v>
      </c>
      <c r="G2628" s="460" t="s">
        <v>5</v>
      </c>
      <c r="H2628" s="460"/>
      <c r="I2628" s="540" cm="1">
        <f t="array" aca="1" ref="I2628" ca="1">IFERROR(_xlfn.LET(_xlpm.produto,TRIM(F2628)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8" s="540" cm="1">
        <f t="array" aca="1" ref="J2628" ca="1">IFERROR(_xlfn.LET(_xlpm.produto,TRIM(G2628)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8" s="540" cm="1">
        <f t="array" aca="1" ref="K2628" ca="1">IFERROR(_xlfn.LET(_xlpm.produto,TRIM(H2628)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8" s="564" t="e">
        <f ca="1">I2628*INDEX([2]Pedidos!$Q:$Q,MATCH(F2628,[2]Pedidos!$E:$E,0))</f>
        <v>#N/A</v>
      </c>
      <c r="M2628" s="564" t="e">
        <f ca="1">J2628*INDEX([2]Pedidos!$Q:$Q,MATCH(G2628,[2]Pedidos!$E:$E,0))</f>
        <v>#N/A</v>
      </c>
      <c r="N2628" s="564" t="e">
        <f ca="1">K2628*INDEX([2]Pedidos!$Q:$Q,MATCH(H2628,[2]Pedidos!$E:$E,0))</f>
        <v>#N/A</v>
      </c>
    </row>
    <row r="2629" spans="1:18" x14ac:dyDescent="0.25">
      <c r="A2629" s="753"/>
      <c r="C2629" s="452" t="s">
        <v>171</v>
      </c>
      <c r="D2629" s="449">
        <f t="shared" si="210"/>
        <v>46119</v>
      </c>
      <c r="E2629" s="454" t="s">
        <v>576</v>
      </c>
      <c r="F2629" s="517"/>
      <c r="G2629" s="512"/>
      <c r="H2629" s="505"/>
      <c r="I2629" s="541" cm="1">
        <f t="array" aca="1" ref="I2629" ca="1">IFERROR(_xlfn.LET(_xlpm.produto,TRIM(F2629)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29" s="541" cm="1">
        <f t="array" aca="1" ref="J2629" ca="1">IFERROR(_xlfn.LET(_xlpm.produto,TRIM(G2629)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29" s="541" cm="1">
        <f t="array" aca="1" ref="K2629" ca="1">IFERROR(_xlfn.LET(_xlpm.produto,TRIM(H2629)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29" s="556"/>
      <c r="M2629" s="556"/>
      <c r="N2629" s="556"/>
    </row>
    <row r="2630" spans="1:18" x14ac:dyDescent="0.25">
      <c r="A2630" s="753"/>
      <c r="C2630" s="452" t="s">
        <v>171</v>
      </c>
      <c r="D2630" s="449">
        <f t="shared" si="210"/>
        <v>46119</v>
      </c>
      <c r="E2630" s="454" t="s">
        <v>167</v>
      </c>
      <c r="F2630" s="460" t="s">
        <v>1577</v>
      </c>
      <c r="G2630" s="460" t="s">
        <v>5</v>
      </c>
      <c r="H2630" s="460"/>
      <c r="I2630" s="540" cm="1">
        <f t="array" aca="1" ref="I2630" ca="1">IFERROR(_xlfn.LET(_xlpm.produto,TRIM(F2630)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0" s="540" cm="1">
        <f t="array" aca="1" ref="J2630" ca="1">IFERROR(_xlfn.LET(_xlpm.produto,TRIM(G2630)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0" s="540" cm="1">
        <f t="array" aca="1" ref="K2630" ca="1">IFERROR(_xlfn.LET(_xlpm.produto,TRIM(H2630)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0" s="565" t="e">
        <f ca="1">I2630*INDEX([2]Pedidos!$Q:$Q,MATCH(F2630,[2]Pedidos!$E:$E,0))</f>
        <v>#N/A</v>
      </c>
      <c r="M2630" s="565" t="e">
        <f ca="1">J2630*INDEX([2]Pedidos!$Q:$Q,MATCH(G2630,[2]Pedidos!$E:$E,0))</f>
        <v>#N/A</v>
      </c>
      <c r="N2630" s="565" t="e">
        <f ca="1">K2630*INDEX([2]Pedidos!$Q:$Q,MATCH(H2630,[2]Pedidos!$E:$E,0))</f>
        <v>#N/A</v>
      </c>
    </row>
    <row r="2631" spans="1:18" x14ac:dyDescent="0.25">
      <c r="A2631" s="753"/>
      <c r="C2631" s="452" t="s">
        <v>171</v>
      </c>
      <c r="D2631" s="449">
        <f t="shared" si="210"/>
        <v>46119</v>
      </c>
      <c r="E2631" s="454" t="s">
        <v>168</v>
      </c>
      <c r="F2631" s="460" t="s">
        <v>1578</v>
      </c>
      <c r="G2631" s="460" t="s">
        <v>5</v>
      </c>
      <c r="H2631" s="460"/>
      <c r="I2631" s="540" cm="1">
        <f t="array" aca="1" ref="I2631" ca="1">IFERROR(_xlfn.LET(_xlpm.produto,TRIM(F2631)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1" s="540" cm="1">
        <f t="array" aca="1" ref="J2631" ca="1">IFERROR(_xlfn.LET(_xlpm.produto,TRIM(G2631)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1" s="540" cm="1">
        <f t="array" aca="1" ref="K2631" ca="1">IFERROR(_xlfn.LET(_xlpm.produto,TRIM(H2631)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1" s="565" t="e">
        <f ca="1">I2631*INDEX([2]Pedidos!$Q:$Q,MATCH(F2631,[2]Pedidos!$E:$E,0))</f>
        <v>#N/A</v>
      </c>
      <c r="M2631" s="565" t="e">
        <f ca="1">J2631*INDEX([2]Pedidos!$Q:$Q,MATCH(G2631,[2]Pedidos!$E:$E,0))</f>
        <v>#N/A</v>
      </c>
      <c r="N2631" s="565" t="e">
        <f ca="1">K2631*INDEX([2]Pedidos!$Q:$Q,MATCH(H2631,[2]Pedidos!$E:$E,0))</f>
        <v>#N/A</v>
      </c>
    </row>
    <row r="2632" spans="1:18" x14ac:dyDescent="0.25">
      <c r="A2632" s="753"/>
      <c r="C2632" s="452" t="s">
        <v>171</v>
      </c>
      <c r="D2632" s="449">
        <f t="shared" si="210"/>
        <v>46119</v>
      </c>
      <c r="E2632" s="454" t="s">
        <v>169</v>
      </c>
      <c r="F2632" s="460" t="s">
        <v>1578</v>
      </c>
      <c r="G2632" s="460" t="s">
        <v>5</v>
      </c>
      <c r="H2632" s="460"/>
      <c r="I2632" s="540" cm="1">
        <f t="array" aca="1" ref="I2632" ca="1">IFERROR(_xlfn.LET(_xlpm.produto,TRIM(F2632)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2" s="540" cm="1">
        <f t="array" aca="1" ref="J2632" ca="1">IFERROR(_xlfn.LET(_xlpm.produto,TRIM(G2632)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2" s="540" cm="1">
        <f t="array" aca="1" ref="K2632" ca="1">IFERROR(_xlfn.LET(_xlpm.produto,TRIM(H2632)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2" s="565" t="e">
        <f ca="1">I2632*INDEX([2]Pedidos!$Q:$Q,MATCH(F2632,[2]Pedidos!$E:$E,0))</f>
        <v>#N/A</v>
      </c>
      <c r="M2632" s="565" t="e">
        <f ca="1">J2632*INDEX([2]Pedidos!$Q:$Q,MATCH(G2632,[2]Pedidos!$E:$E,0))</f>
        <v>#N/A</v>
      </c>
      <c r="N2632" s="565" t="e">
        <f ca="1">K2632*INDEX([2]Pedidos!$Q:$Q,MATCH(H2632,[2]Pedidos!$E:$E,0))</f>
        <v>#N/A</v>
      </c>
    </row>
    <row r="2633" spans="1:18" x14ac:dyDescent="0.25">
      <c r="A2633" s="753"/>
      <c r="C2633" s="452" t="s">
        <v>171</v>
      </c>
      <c r="D2633" s="449">
        <f t="shared" si="210"/>
        <v>46119</v>
      </c>
      <c r="E2633" s="454" t="s">
        <v>170</v>
      </c>
      <c r="F2633" s="460" t="s">
        <v>1578</v>
      </c>
      <c r="G2633" s="460" t="s">
        <v>5</v>
      </c>
      <c r="H2633" s="460"/>
      <c r="I2633" s="540" cm="1">
        <f t="array" aca="1" ref="I2633" ca="1">IFERROR(_xlfn.LET(_xlpm.produto,TRIM(F2633)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3" s="540" cm="1">
        <f t="array" aca="1" ref="J2633" ca="1">IFERROR(_xlfn.LET(_xlpm.produto,TRIM(G2633)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3" s="540" cm="1">
        <f t="array" aca="1" ref="K2633" ca="1">IFERROR(_xlfn.LET(_xlpm.produto,TRIM(H2633)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3" s="566" t="e">
        <f ca="1">I2633*INDEX([2]Pedidos!$Q:$Q,MATCH(F2633,[2]Pedidos!$E:$E,0))</f>
        <v>#N/A</v>
      </c>
      <c r="M2633" s="566" t="e">
        <f ca="1">J2633*INDEX([2]Pedidos!$Q:$Q,MATCH(G2633,[2]Pedidos!$E:$E,0))</f>
        <v>#N/A</v>
      </c>
      <c r="N2633" s="566" t="e">
        <f ca="1">K2633*INDEX([2]Pedidos!$Q:$Q,MATCH(H2633,[2]Pedidos!$E:$E,0))</f>
        <v>#N/A</v>
      </c>
    </row>
    <row r="2634" spans="1:18" x14ac:dyDescent="0.25">
      <c r="A2634" s="753"/>
      <c r="C2634" s="452" t="s">
        <v>171</v>
      </c>
      <c r="D2634" s="449">
        <f t="shared" si="210"/>
        <v>46119</v>
      </c>
      <c r="E2634" s="454" t="s">
        <v>585</v>
      </c>
      <c r="F2634" s="505"/>
      <c r="G2634" s="505"/>
      <c r="H2634" s="516"/>
      <c r="I2634" s="516" cm="1">
        <f t="array" aca="1" ref="I2634" ca="1">IFERROR(_xlfn.LET(_xlpm.produto,TRIM(F2634)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4" s="516" cm="1">
        <f t="array" aca="1" ref="J2634" ca="1">IFERROR(_xlfn.LET(_xlpm.produto,TRIM(G2634)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4" s="516" cm="1">
        <f t="array" aca="1" ref="K2634" ca="1">IFERROR(_xlfn.LET(_xlpm.produto,TRIM(H2634)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4" s="557"/>
      <c r="M2634" s="557"/>
      <c r="N2634" s="557"/>
    </row>
    <row r="2635" spans="1:18" x14ac:dyDescent="0.25">
      <c r="A2635" s="753"/>
      <c r="C2635" s="448" t="s">
        <v>171</v>
      </c>
      <c r="D2635" s="449">
        <f t="shared" si="210"/>
        <v>46119</v>
      </c>
      <c r="E2635" s="455" t="s">
        <v>574</v>
      </c>
      <c r="F2635" s="505"/>
      <c r="G2635" s="505"/>
      <c r="H2635" s="516"/>
      <c r="I2635" s="516" cm="1">
        <f t="array" aca="1" ref="I2635" ca="1">IFERROR(_xlfn.LET(_xlpm.produto,TRIM(F2635)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5" s="516" cm="1">
        <f t="array" aca="1" ref="J2635" ca="1">IFERROR(_xlfn.LET(_xlpm.produto,TRIM(G2635)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5" s="516" cm="1">
        <f t="array" aca="1" ref="K2635" ca="1">IFERROR(_xlfn.LET(_xlpm.produto,TRIM(H2635)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5" s="557"/>
      <c r="M2635" s="557"/>
      <c r="N2635" s="557"/>
    </row>
    <row r="2636" spans="1:18" x14ac:dyDescent="0.25">
      <c r="A2636" s="753"/>
      <c r="C2636" s="448" t="s">
        <v>171</v>
      </c>
      <c r="D2636" s="449">
        <f t="shared" si="210"/>
        <v>46119</v>
      </c>
      <c r="E2636" s="455" t="s">
        <v>575</v>
      </c>
      <c r="F2636" s="506"/>
      <c r="G2636" s="506"/>
      <c r="H2636" s="516"/>
      <c r="I2636" s="516" cm="1">
        <f t="array" aca="1" ref="I2636" ca="1">IFERROR(_xlfn.LET(_xlpm.produto,TRIM(F2636)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6" s="516" cm="1">
        <f t="array" aca="1" ref="J2636" ca="1">IFERROR(_xlfn.LET(_xlpm.produto,TRIM(G2636)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6" s="516" cm="1">
        <f t="array" aca="1" ref="K2636" ca="1">IFERROR(_xlfn.LET(_xlpm.produto,TRIM(H2636)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6" s="557"/>
      <c r="M2636" s="557"/>
      <c r="N2636" s="557"/>
    </row>
    <row r="2637" spans="1:18" x14ac:dyDescent="0.25">
      <c r="A2637" s="753"/>
      <c r="C2637" s="448" t="s">
        <v>171</v>
      </c>
      <c r="D2637" s="449">
        <f t="shared" si="210"/>
        <v>46119</v>
      </c>
      <c r="E2637" s="503" t="s">
        <v>583</v>
      </c>
      <c r="F2637" s="506"/>
      <c r="G2637" s="506"/>
      <c r="H2637" s="516"/>
      <c r="I2637" s="516" cm="1">
        <f t="array" aca="1" ref="I2637" ca="1">IFERROR(_xlfn.LET(_xlpm.produto,TRIM(F2637)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7" s="516" cm="1">
        <f t="array" aca="1" ref="J2637" ca="1">IFERROR(_xlfn.LET(_xlpm.produto,TRIM(G2637)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7" s="516" cm="1">
        <f t="array" aca="1" ref="K2637" ca="1">IFERROR(_xlfn.LET(_xlpm.produto,TRIM(H2637)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7" s="557"/>
      <c r="M2637" s="557"/>
      <c r="N2637" s="557"/>
    </row>
    <row r="2638" spans="1:18" ht="15.75" thickBot="1" x14ac:dyDescent="0.3">
      <c r="A2638" s="753"/>
      <c r="C2638" s="450" t="s">
        <v>171</v>
      </c>
      <c r="D2638" s="451">
        <f t="shared" si="210"/>
        <v>46119</v>
      </c>
      <c r="E2638" s="459" t="s">
        <v>584</v>
      </c>
      <c r="F2638" s="493"/>
      <c r="G2638" s="493"/>
      <c r="H2638" s="513"/>
      <c r="I2638" s="513" cm="1">
        <f t="array" aca="1" ref="I2638" ca="1">IFERROR(_xlfn.LET(_xlpm.produto,TRIM(F2638)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38" s="513" cm="1">
        <f t="array" aca="1" ref="J2638" ca="1">IFERROR(_xlfn.LET(_xlpm.produto,TRIM(G2638)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38" s="513" cm="1">
        <f t="array" aca="1" ref="K2638" ca="1">IFERROR(_xlfn.LET(_xlpm.produto,TRIM(H2638)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38" s="558"/>
      <c r="M2638" s="558"/>
      <c r="N2638" s="558"/>
    </row>
    <row r="2639" spans="1:18" ht="4.5" customHeight="1" thickBot="1" x14ac:dyDescent="0.3">
      <c r="A2639" s="753"/>
      <c r="I2639" s="445"/>
      <c r="J2639" s="445"/>
      <c r="L2639" s="559"/>
      <c r="M2639" s="559"/>
      <c r="N2639" s="559"/>
      <c r="Q2639" s="3"/>
      <c r="R2639" s="3"/>
    </row>
    <row r="2640" spans="1:18" ht="15" customHeight="1" thickBot="1" x14ac:dyDescent="0.3">
      <c r="A2640" s="753"/>
      <c r="C2640" s="538"/>
      <c r="D2640" s="539"/>
      <c r="E2640" s="539"/>
      <c r="F2640" s="539"/>
      <c r="G2640" s="539"/>
      <c r="H2640" s="539"/>
      <c r="I2640" s="606">
        <f t="shared" ref="I2640:N2640" ca="1" si="211">_xlfn.AGGREGATE(9,6,I2641:I2656)</f>
        <v>800</v>
      </c>
      <c r="J2640" s="607">
        <f t="shared" ca="1" si="211"/>
        <v>0</v>
      </c>
      <c r="K2640" s="544">
        <f t="shared" ca="1" si="211"/>
        <v>0</v>
      </c>
      <c r="L2640" s="560">
        <f t="shared" ca="1" si="211"/>
        <v>0</v>
      </c>
      <c r="M2640" s="561">
        <f t="shared" ca="1" si="211"/>
        <v>0</v>
      </c>
      <c r="N2640" s="562">
        <f t="shared" ca="1" si="211"/>
        <v>0</v>
      </c>
      <c r="O2640" s="548">
        <f ca="1">SUM(I2640:K2640)</f>
        <v>800</v>
      </c>
      <c r="P2640" s="549">
        <f ca="1">SUM(L2640:N2640)</f>
        <v>0</v>
      </c>
      <c r="Q2640" s="3"/>
      <c r="R2640" s="3"/>
    </row>
    <row r="2641" spans="1:14" x14ac:dyDescent="0.25">
      <c r="A2641" s="753"/>
      <c r="C2641" s="446" t="s">
        <v>172</v>
      </c>
      <c r="D2641" s="497">
        <f>D2638+1</f>
        <v>46120</v>
      </c>
      <c r="E2641" s="498" t="s">
        <v>573</v>
      </c>
      <c r="F2641" s="514"/>
      <c r="G2641" s="514"/>
      <c r="H2641" s="515"/>
      <c r="I2641" s="537" cm="1">
        <f t="array" aca="1" ref="I2641" ca="1">IFERROR(_xlfn.LET(_xlpm.produto,TRIM(F2641)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41" s="537" cm="1">
        <f t="array" aca="1" ref="J2641" ca="1">IFERROR(_xlfn.LET(_xlpm.produto,TRIM(G2641)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1" s="537" cm="1">
        <f t="array" aca="1" ref="K2641" ca="1">IFERROR(_xlfn.LET(_xlpm.produto,TRIM(H2641)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1" s="563"/>
      <c r="M2641" s="563"/>
      <c r="N2641" s="563"/>
    </row>
    <row r="2642" spans="1:14" x14ac:dyDescent="0.25">
      <c r="A2642" s="753"/>
      <c r="C2642" s="452" t="s">
        <v>172</v>
      </c>
      <c r="D2642" s="499">
        <f t="shared" ref="D2642:D2656" si="212">D2641</f>
        <v>46120</v>
      </c>
      <c r="E2642" s="500" t="s">
        <v>162</v>
      </c>
      <c r="F2642" s="460" t="s">
        <v>1516</v>
      </c>
      <c r="G2642" s="460" t="s">
        <v>5</v>
      </c>
      <c r="H2642" s="501"/>
      <c r="I2642" s="609">
        <f>800/5</f>
        <v>160</v>
      </c>
      <c r="J2642" s="540" cm="1">
        <f t="array" aca="1" ref="J2642" ca="1">IFERROR(_xlfn.LET(_xlpm.produto,TRIM(G2642)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2" s="540" cm="1">
        <f t="array" aca="1" ref="K2642" ca="1">IFERROR(_xlfn.LET(_xlpm.produto,TRIM(H2642)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2" s="555" t="e">
        <f>I2642*INDEX([2]Pedidos!$Q:$Q,MATCH(F2642,[2]Pedidos!$E:$E,0))</f>
        <v>#N/A</v>
      </c>
      <c r="M2642" s="555" t="e">
        <f ca="1">J2642*INDEX([2]Pedidos!$Q:$Q,MATCH(G2642,[2]Pedidos!$E:$E,0))</f>
        <v>#N/A</v>
      </c>
      <c r="N2642" s="555" t="e">
        <f ca="1">K2642*INDEX([2]Pedidos!$Q:$Q,MATCH(H2642,[2]Pedidos!$E:$E,0))</f>
        <v>#N/A</v>
      </c>
    </row>
    <row r="2643" spans="1:14" x14ac:dyDescent="0.25">
      <c r="A2643" s="753"/>
      <c r="C2643" s="452" t="s">
        <v>172</v>
      </c>
      <c r="D2643" s="449">
        <f t="shared" si="212"/>
        <v>46120</v>
      </c>
      <c r="E2643" s="454" t="s">
        <v>163</v>
      </c>
      <c r="F2643" s="460" t="s">
        <v>1516</v>
      </c>
      <c r="G2643" s="460" t="s">
        <v>5</v>
      </c>
      <c r="H2643" s="460"/>
      <c r="I2643" s="609">
        <f>800/5</f>
        <v>160</v>
      </c>
      <c r="J2643" s="540" cm="1">
        <f t="array" aca="1" ref="J2643" ca="1">IFERROR(_xlfn.LET(_xlpm.produto,TRIM(G2643)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3" s="540" cm="1">
        <f t="array" aca="1" ref="K2643" ca="1">IFERROR(_xlfn.LET(_xlpm.produto,TRIM(H2643)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3" s="564" t="e">
        <f>I2643*INDEX([2]Pedidos!$Q:$Q,MATCH(F2643,[2]Pedidos!$E:$E,0))</f>
        <v>#N/A</v>
      </c>
      <c r="M2643" s="564" t="e">
        <f ca="1">J2643*INDEX([2]Pedidos!$Q:$Q,MATCH(G2643,[2]Pedidos!$E:$E,0))</f>
        <v>#N/A</v>
      </c>
      <c r="N2643" s="564" t="e">
        <f ca="1">K2643*INDEX([2]Pedidos!$Q:$Q,MATCH(H2643,[2]Pedidos!$E:$E,0))</f>
        <v>#N/A</v>
      </c>
    </row>
    <row r="2644" spans="1:14" x14ac:dyDescent="0.25">
      <c r="A2644" s="753"/>
      <c r="C2644" s="452" t="s">
        <v>172</v>
      </c>
      <c r="D2644" s="449">
        <f t="shared" si="212"/>
        <v>46120</v>
      </c>
      <c r="E2644" s="454" t="s">
        <v>164</v>
      </c>
      <c r="F2644" s="460" t="s">
        <v>1516</v>
      </c>
      <c r="G2644" s="460" t="s">
        <v>5</v>
      </c>
      <c r="H2644" s="460"/>
      <c r="I2644" s="609">
        <f>800/5</f>
        <v>160</v>
      </c>
      <c r="J2644" s="540" cm="1">
        <f t="array" aca="1" ref="J2644" ca="1">IFERROR(_xlfn.LET(_xlpm.produto,TRIM(G2644)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4" s="540" cm="1">
        <f t="array" aca="1" ref="K2644" ca="1">IFERROR(_xlfn.LET(_xlpm.produto,TRIM(H2644)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4" s="564" t="e">
        <f>I2644*INDEX([2]Pedidos!$Q:$Q,MATCH(F2644,[2]Pedidos!$E:$E,0))</f>
        <v>#N/A</v>
      </c>
      <c r="M2644" s="564" t="e">
        <f ca="1">J2644*INDEX([2]Pedidos!$Q:$Q,MATCH(G2644,[2]Pedidos!$E:$E,0))</f>
        <v>#N/A</v>
      </c>
      <c r="N2644" s="564" t="e">
        <f ca="1">K2644*INDEX([2]Pedidos!$Q:$Q,MATCH(H2644,[2]Pedidos!$E:$E,0))</f>
        <v>#N/A</v>
      </c>
    </row>
    <row r="2645" spans="1:14" x14ac:dyDescent="0.25">
      <c r="A2645" s="753"/>
      <c r="C2645" s="452" t="s">
        <v>172</v>
      </c>
      <c r="D2645" s="449">
        <f t="shared" si="212"/>
        <v>46120</v>
      </c>
      <c r="E2645" s="454" t="s">
        <v>165</v>
      </c>
      <c r="F2645" s="460" t="s">
        <v>1516</v>
      </c>
      <c r="G2645" s="460" t="s">
        <v>5</v>
      </c>
      <c r="H2645" s="460"/>
      <c r="I2645" s="609">
        <f>800/5</f>
        <v>160</v>
      </c>
      <c r="J2645" s="540" cm="1">
        <f t="array" aca="1" ref="J2645" ca="1">IFERROR(_xlfn.LET(_xlpm.produto,TRIM(G2645)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5" s="540" cm="1">
        <f t="array" aca="1" ref="K2645" ca="1">IFERROR(_xlfn.LET(_xlpm.produto,TRIM(H2645)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5" s="564" t="e">
        <f>I2645*INDEX([2]Pedidos!$Q:$Q,MATCH(F2645,[2]Pedidos!$E:$E,0))</f>
        <v>#N/A</v>
      </c>
      <c r="M2645" s="564" t="e">
        <f ca="1">J2645*INDEX([2]Pedidos!$Q:$Q,MATCH(G2645,[2]Pedidos!$E:$E,0))</f>
        <v>#N/A</v>
      </c>
      <c r="N2645" s="564" t="e">
        <f ca="1">K2645*INDEX([2]Pedidos!$Q:$Q,MATCH(H2645,[2]Pedidos!$E:$E,0))</f>
        <v>#N/A</v>
      </c>
    </row>
    <row r="2646" spans="1:14" x14ac:dyDescent="0.25">
      <c r="A2646" s="753"/>
      <c r="C2646" s="452" t="s">
        <v>172</v>
      </c>
      <c r="D2646" s="449">
        <f t="shared" si="212"/>
        <v>46120</v>
      </c>
      <c r="E2646" s="454" t="s">
        <v>166</v>
      </c>
      <c r="F2646" s="460" t="s">
        <v>1516</v>
      </c>
      <c r="G2646" s="460" t="s">
        <v>5</v>
      </c>
      <c r="H2646" s="460"/>
      <c r="I2646" s="609">
        <f>800/5</f>
        <v>160</v>
      </c>
      <c r="J2646" s="540" cm="1">
        <f t="array" aca="1" ref="J2646" ca="1">IFERROR(_xlfn.LET(_xlpm.produto,TRIM(G2646)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6" s="540" cm="1">
        <f t="array" aca="1" ref="K2646" ca="1">IFERROR(_xlfn.LET(_xlpm.produto,TRIM(H2646)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6" s="564" t="e">
        <f>I2646*INDEX([2]Pedidos!$Q:$Q,MATCH(F2646,[2]Pedidos!$E:$E,0))</f>
        <v>#N/A</v>
      </c>
      <c r="M2646" s="564" t="e">
        <f ca="1">J2646*INDEX([2]Pedidos!$Q:$Q,MATCH(G2646,[2]Pedidos!$E:$E,0))</f>
        <v>#N/A</v>
      </c>
      <c r="N2646" s="564" t="e">
        <f ca="1">K2646*INDEX([2]Pedidos!$Q:$Q,MATCH(H2646,[2]Pedidos!$E:$E,0))</f>
        <v>#N/A</v>
      </c>
    </row>
    <row r="2647" spans="1:14" x14ac:dyDescent="0.25">
      <c r="A2647" s="753"/>
      <c r="C2647" s="452" t="s">
        <v>172</v>
      </c>
      <c r="D2647" s="449">
        <f t="shared" si="212"/>
        <v>46120</v>
      </c>
      <c r="E2647" s="454" t="s">
        <v>576</v>
      </c>
      <c r="F2647" s="517"/>
      <c r="G2647" s="512"/>
      <c r="H2647" s="505"/>
      <c r="I2647" s="541" cm="1">
        <f t="array" aca="1" ref="I2647" ca="1">IFERROR(_xlfn.LET(_xlpm.produto,TRIM(F2647)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47" s="541" cm="1">
        <f t="array" aca="1" ref="J2647" ca="1">IFERROR(_xlfn.LET(_xlpm.produto,TRIM(G2647)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7" s="541" cm="1">
        <f t="array" aca="1" ref="K2647" ca="1">IFERROR(_xlfn.LET(_xlpm.produto,TRIM(H2647)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7" s="556"/>
      <c r="M2647" s="556"/>
      <c r="N2647" s="556"/>
    </row>
    <row r="2648" spans="1:14" x14ac:dyDescent="0.25">
      <c r="A2648" s="753"/>
      <c r="C2648" s="452" t="s">
        <v>172</v>
      </c>
      <c r="D2648" s="449">
        <f t="shared" si="212"/>
        <v>46120</v>
      </c>
      <c r="E2648" s="454" t="s">
        <v>167</v>
      </c>
      <c r="F2648" s="460"/>
      <c r="G2648" s="460" t="s">
        <v>5</v>
      </c>
      <c r="H2648" s="461"/>
      <c r="I2648" s="540" cm="1">
        <f t="array" aca="1" ref="I2648" ca="1">IFERROR(_xlfn.LET(_xlpm.produto,TRIM(F2648)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48" s="540" cm="1">
        <f t="array" aca="1" ref="J2648" ca="1">IFERROR(_xlfn.LET(_xlpm.produto,TRIM(G2648)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8" s="540" cm="1">
        <f t="array" aca="1" ref="K2648" ca="1">IFERROR(_xlfn.LET(_xlpm.produto,TRIM(H2648)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8" s="565" t="e">
        <f ca="1">I2648*INDEX([2]Pedidos!$Q:$Q,MATCH(F2648,[2]Pedidos!$E:$E,0))</f>
        <v>#N/A</v>
      </c>
      <c r="M2648" s="565" t="e">
        <f ca="1">J2648*INDEX([2]Pedidos!$Q:$Q,MATCH(G2648,[2]Pedidos!$E:$E,0))</f>
        <v>#N/A</v>
      </c>
      <c r="N2648" s="565" t="e">
        <f ca="1">K2648*INDEX([2]Pedidos!$Q:$Q,MATCH(H2648,[2]Pedidos!$E:$E,0))</f>
        <v>#N/A</v>
      </c>
    </row>
    <row r="2649" spans="1:14" x14ac:dyDescent="0.25">
      <c r="A2649" s="753"/>
      <c r="C2649" s="452" t="s">
        <v>172</v>
      </c>
      <c r="D2649" s="449">
        <f t="shared" si="212"/>
        <v>46120</v>
      </c>
      <c r="E2649" s="454" t="s">
        <v>168</v>
      </c>
      <c r="F2649" s="460"/>
      <c r="G2649" s="460" t="s">
        <v>5</v>
      </c>
      <c r="H2649" s="461"/>
      <c r="I2649" s="540" cm="1">
        <f t="array" aca="1" ref="I2649" ca="1">IFERROR(_xlfn.LET(_xlpm.produto,TRIM(F2649)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49" s="540" cm="1">
        <f t="array" aca="1" ref="J2649" ca="1">IFERROR(_xlfn.LET(_xlpm.produto,TRIM(G2649)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49" s="540" cm="1">
        <f t="array" aca="1" ref="K2649" ca="1">IFERROR(_xlfn.LET(_xlpm.produto,TRIM(H2649)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49" s="565" t="e">
        <f ca="1">I2649*INDEX([2]Pedidos!$Q:$Q,MATCH(F2649,[2]Pedidos!$E:$E,0))</f>
        <v>#N/A</v>
      </c>
      <c r="M2649" s="565" t="e">
        <f ca="1">J2649*INDEX([2]Pedidos!$Q:$Q,MATCH(G2649,[2]Pedidos!$E:$E,0))</f>
        <v>#N/A</v>
      </c>
      <c r="N2649" s="565" t="e">
        <f ca="1">K2649*INDEX([2]Pedidos!$Q:$Q,MATCH(H2649,[2]Pedidos!$E:$E,0))</f>
        <v>#N/A</v>
      </c>
    </row>
    <row r="2650" spans="1:14" x14ac:dyDescent="0.25">
      <c r="A2650" s="753"/>
      <c r="C2650" s="452" t="s">
        <v>172</v>
      </c>
      <c r="D2650" s="449">
        <f t="shared" si="212"/>
        <v>46120</v>
      </c>
      <c r="E2650" s="454" t="s">
        <v>169</v>
      </c>
      <c r="F2650" s="460"/>
      <c r="G2650" s="460" t="s">
        <v>5</v>
      </c>
      <c r="H2650" s="461"/>
      <c r="I2650" s="540" cm="1">
        <f t="array" aca="1" ref="I2650" ca="1">IFERROR(_xlfn.LET(_xlpm.produto,TRIM(F2650)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0" s="540" cm="1">
        <f t="array" aca="1" ref="J2650" ca="1">IFERROR(_xlfn.LET(_xlpm.produto,TRIM(G2650)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0" s="540" cm="1">
        <f t="array" aca="1" ref="K2650" ca="1">IFERROR(_xlfn.LET(_xlpm.produto,TRIM(H2650)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0" s="565" t="e">
        <f ca="1">I2650*INDEX([2]Pedidos!$Q:$Q,MATCH(F2650,[2]Pedidos!$E:$E,0))</f>
        <v>#N/A</v>
      </c>
      <c r="M2650" s="565" t="e">
        <f ca="1">J2650*INDEX([2]Pedidos!$Q:$Q,MATCH(G2650,[2]Pedidos!$E:$E,0))</f>
        <v>#N/A</v>
      </c>
      <c r="N2650" s="565" t="e">
        <f ca="1">K2650*INDEX([2]Pedidos!$Q:$Q,MATCH(H2650,[2]Pedidos!$E:$E,0))</f>
        <v>#N/A</v>
      </c>
    </row>
    <row r="2651" spans="1:14" x14ac:dyDescent="0.25">
      <c r="A2651" s="753"/>
      <c r="C2651" s="452" t="s">
        <v>172</v>
      </c>
      <c r="D2651" s="449">
        <f t="shared" si="212"/>
        <v>46120</v>
      </c>
      <c r="E2651" s="454" t="s">
        <v>170</v>
      </c>
      <c r="F2651" s="460"/>
      <c r="G2651" s="460" t="s">
        <v>5</v>
      </c>
      <c r="H2651" s="504"/>
      <c r="I2651" s="540" cm="1">
        <f t="array" aca="1" ref="I2651" ca="1">IFERROR(_xlfn.LET(_xlpm.produto,TRIM(F2651)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1" s="540" cm="1">
        <f t="array" aca="1" ref="J2651" ca="1">IFERROR(_xlfn.LET(_xlpm.produto,TRIM(G2651)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1" s="540" cm="1">
        <f t="array" aca="1" ref="K2651" ca="1">IFERROR(_xlfn.LET(_xlpm.produto,TRIM(H2651)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1" s="566" t="e">
        <f ca="1">I2651*INDEX([2]Pedidos!$Q:$Q,MATCH(F2651,[2]Pedidos!$E:$E,0))</f>
        <v>#N/A</v>
      </c>
      <c r="M2651" s="566" t="e">
        <f ca="1">J2651*INDEX([2]Pedidos!$Q:$Q,MATCH(G2651,[2]Pedidos!$E:$E,0))</f>
        <v>#N/A</v>
      </c>
      <c r="N2651" s="566" t="e">
        <f ca="1">K2651*INDEX([2]Pedidos!$Q:$Q,MATCH(H2651,[2]Pedidos!$E:$E,0))</f>
        <v>#N/A</v>
      </c>
    </row>
    <row r="2652" spans="1:14" x14ac:dyDescent="0.25">
      <c r="A2652" s="753"/>
      <c r="C2652" s="452" t="s">
        <v>172</v>
      </c>
      <c r="D2652" s="449">
        <f t="shared" si="212"/>
        <v>46120</v>
      </c>
      <c r="E2652" s="454" t="s">
        <v>585</v>
      </c>
      <c r="F2652" s="505"/>
      <c r="G2652" s="505"/>
      <c r="H2652" s="516"/>
      <c r="I2652" s="516" cm="1">
        <f t="array" aca="1" ref="I2652" ca="1">IFERROR(_xlfn.LET(_xlpm.produto,TRIM(F2652)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2" s="516" cm="1">
        <f t="array" aca="1" ref="J2652" ca="1">IFERROR(_xlfn.LET(_xlpm.produto,TRIM(G2652)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2" s="516" cm="1">
        <f t="array" aca="1" ref="K2652" ca="1">IFERROR(_xlfn.LET(_xlpm.produto,TRIM(H2652)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2" s="557"/>
      <c r="M2652" s="557"/>
      <c r="N2652" s="557"/>
    </row>
    <row r="2653" spans="1:14" x14ac:dyDescent="0.25">
      <c r="A2653" s="753"/>
      <c r="C2653" s="448" t="s">
        <v>172</v>
      </c>
      <c r="D2653" s="449">
        <f t="shared" si="212"/>
        <v>46120</v>
      </c>
      <c r="E2653" s="455" t="s">
        <v>574</v>
      </c>
      <c r="F2653" s="505"/>
      <c r="G2653" s="505"/>
      <c r="H2653" s="516"/>
      <c r="I2653" s="516" cm="1">
        <f t="array" aca="1" ref="I2653" ca="1">IFERROR(_xlfn.LET(_xlpm.produto,TRIM(F2653)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3" s="516" cm="1">
        <f t="array" aca="1" ref="J2653" ca="1">IFERROR(_xlfn.LET(_xlpm.produto,TRIM(G2653)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3" s="516" cm="1">
        <f t="array" aca="1" ref="K2653" ca="1">IFERROR(_xlfn.LET(_xlpm.produto,TRIM(H2653)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3" s="557"/>
      <c r="M2653" s="557"/>
      <c r="N2653" s="557"/>
    </row>
    <row r="2654" spans="1:14" x14ac:dyDescent="0.25">
      <c r="A2654" s="753"/>
      <c r="C2654" s="448" t="s">
        <v>172</v>
      </c>
      <c r="D2654" s="449">
        <f t="shared" si="212"/>
        <v>46120</v>
      </c>
      <c r="E2654" s="455" t="s">
        <v>575</v>
      </c>
      <c r="F2654" s="506"/>
      <c r="G2654" s="506"/>
      <c r="H2654" s="516"/>
      <c r="I2654" s="516" cm="1">
        <f t="array" aca="1" ref="I2654" ca="1">IFERROR(_xlfn.LET(_xlpm.produto,TRIM(F2654)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4" s="516" cm="1">
        <f t="array" aca="1" ref="J2654" ca="1">IFERROR(_xlfn.LET(_xlpm.produto,TRIM(G2654)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4" s="516" cm="1">
        <f t="array" aca="1" ref="K2654" ca="1">IFERROR(_xlfn.LET(_xlpm.produto,TRIM(H2654)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4" s="557"/>
      <c r="M2654" s="557"/>
      <c r="N2654" s="557"/>
    </row>
    <row r="2655" spans="1:14" x14ac:dyDescent="0.25">
      <c r="A2655" s="753"/>
      <c r="C2655" s="448" t="s">
        <v>172</v>
      </c>
      <c r="D2655" s="449">
        <f t="shared" si="212"/>
        <v>46120</v>
      </c>
      <c r="E2655" s="503" t="s">
        <v>583</v>
      </c>
      <c r="F2655" s="506"/>
      <c r="G2655" s="506"/>
      <c r="H2655" s="516"/>
      <c r="I2655" s="516" cm="1">
        <f t="array" aca="1" ref="I2655" ca="1">IFERROR(_xlfn.LET(_xlpm.produto,TRIM(F2655)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5" s="516" cm="1">
        <f t="array" aca="1" ref="J2655" ca="1">IFERROR(_xlfn.LET(_xlpm.produto,TRIM(G2655)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5" s="516" cm="1">
        <f t="array" aca="1" ref="K2655" ca="1">IFERROR(_xlfn.LET(_xlpm.produto,TRIM(H2655)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5" s="557"/>
      <c r="M2655" s="557"/>
      <c r="N2655" s="557"/>
    </row>
    <row r="2656" spans="1:14" ht="15.75" thickBot="1" x14ac:dyDescent="0.3">
      <c r="A2656" s="753"/>
      <c r="C2656" s="450" t="s">
        <v>172</v>
      </c>
      <c r="D2656" s="451">
        <f t="shared" si="212"/>
        <v>46120</v>
      </c>
      <c r="E2656" s="459" t="s">
        <v>584</v>
      </c>
      <c r="F2656" s="493"/>
      <c r="G2656" s="493"/>
      <c r="H2656" s="513"/>
      <c r="I2656" s="513" cm="1">
        <f t="array" aca="1" ref="I2656" ca="1">IFERROR(_xlfn.LET(_xlpm.produto,TRIM(F2656)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6" s="513" cm="1">
        <f t="array" aca="1" ref="J2656" ca="1">IFERROR(_xlfn.LET(_xlpm.produto,TRIM(G2656)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6" s="513" cm="1">
        <f t="array" aca="1" ref="K2656" ca="1">IFERROR(_xlfn.LET(_xlpm.produto,TRIM(H2656)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6" s="558"/>
      <c r="M2656" s="558"/>
      <c r="N2656" s="558"/>
    </row>
    <row r="2657" spans="1:18" ht="4.5" customHeight="1" thickBot="1" x14ac:dyDescent="0.3">
      <c r="A2657" s="753"/>
      <c r="I2657" s="445"/>
      <c r="J2657" s="445"/>
      <c r="L2657" s="559"/>
      <c r="M2657" s="559"/>
      <c r="N2657" s="559"/>
      <c r="Q2657" s="3"/>
      <c r="R2657" s="3"/>
    </row>
    <row r="2658" spans="1:18" ht="15" customHeight="1" thickBot="1" x14ac:dyDescent="0.3">
      <c r="A2658" s="753"/>
      <c r="C2658" s="538"/>
      <c r="D2658" s="539"/>
      <c r="E2658" s="539"/>
      <c r="F2658" s="539"/>
      <c r="G2658" s="539"/>
      <c r="H2658" s="539"/>
      <c r="I2658" s="606">
        <f t="shared" ref="I2658:N2658" ca="1" si="213">_xlfn.AGGREGATE(9,6,I2659:I2674)</f>
        <v>0</v>
      </c>
      <c r="J2658" s="607">
        <f t="shared" ca="1" si="213"/>
        <v>0</v>
      </c>
      <c r="K2658" s="544">
        <f t="shared" ca="1" si="213"/>
        <v>0</v>
      </c>
      <c r="L2658" s="560">
        <f t="shared" ca="1" si="213"/>
        <v>0</v>
      </c>
      <c r="M2658" s="561">
        <f t="shared" ca="1" si="213"/>
        <v>0</v>
      </c>
      <c r="N2658" s="562">
        <f t="shared" ca="1" si="213"/>
        <v>0</v>
      </c>
      <c r="O2658" s="548">
        <f ca="1">SUM(I2658:K2658)</f>
        <v>0</v>
      </c>
      <c r="P2658" s="549">
        <f ca="1">SUM(L2658:N2658)</f>
        <v>0</v>
      </c>
      <c r="Q2658" s="3"/>
      <c r="R2658" s="3"/>
    </row>
    <row r="2659" spans="1:18" x14ac:dyDescent="0.25">
      <c r="A2659" s="753"/>
      <c r="C2659" s="529" t="s">
        <v>173</v>
      </c>
      <c r="D2659" s="447">
        <f>D2656+1</f>
        <v>46121</v>
      </c>
      <c r="E2659" s="498" t="s">
        <v>573</v>
      </c>
      <c r="F2659" s="514"/>
      <c r="G2659" s="514"/>
      <c r="H2659" s="515"/>
      <c r="I2659" s="537" cm="1">
        <f t="array" aca="1" ref="I2659" ca="1">IFERROR(_xlfn.LET(_xlpm.produto,TRIM(F2659)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59" s="537" cm="1">
        <f t="array" aca="1" ref="J2659" ca="1">IFERROR(_xlfn.LET(_xlpm.produto,TRIM(G2659)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59" s="537" cm="1">
        <f t="array" aca="1" ref="K2659" ca="1">IFERROR(_xlfn.LET(_xlpm.produto,TRIM(H2659)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59" s="563"/>
      <c r="M2659" s="563"/>
      <c r="N2659" s="563"/>
    </row>
    <row r="2660" spans="1:18" x14ac:dyDescent="0.25">
      <c r="A2660" s="753"/>
      <c r="C2660" s="452" t="s">
        <v>173</v>
      </c>
      <c r="D2660" s="453">
        <f t="shared" ref="D2660:D2674" si="214">D2659</f>
        <v>46121</v>
      </c>
      <c r="E2660" s="500" t="s">
        <v>162</v>
      </c>
      <c r="F2660" s="460" t="s">
        <v>1567</v>
      </c>
      <c r="G2660" s="460" t="s">
        <v>409</v>
      </c>
      <c r="H2660" s="501" t="s">
        <v>1579</v>
      </c>
      <c r="I2660" s="540" cm="1">
        <f t="array" aca="1" ref="I2660" ca="1">IFERROR(_xlfn.LET(_xlpm.produto,TRIM(F2660)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0" s="540" cm="1">
        <f t="array" aca="1" ref="J2660" ca="1">IFERROR(_xlfn.LET(_xlpm.produto,TRIM(G2660)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0" s="545" cm="1">
        <f t="array" aca="1" ref="K2660" ca="1">IFERROR(_xlfn.LET(_xlpm.produto,TRIM(H2660)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0" s="555" t="e">
        <f ca="1">I2660*INDEX([2]Pedidos!$Q:$Q,MATCH(F2660,[2]Pedidos!$E:$E,0))</f>
        <v>#N/A</v>
      </c>
      <c r="M2660" s="555" t="e">
        <f ca="1">J2660*INDEX([2]Pedidos!$Q:$Q,MATCH(G2660,[2]Pedidos!$E:$E,0))</f>
        <v>#N/A</v>
      </c>
      <c r="N2660" s="555" t="e">
        <f ca="1">K2660*INDEX([2]Pedidos!$Q:$Q,MATCH(H2660,[2]Pedidos!$E:$E,0))</f>
        <v>#N/A</v>
      </c>
    </row>
    <row r="2661" spans="1:18" x14ac:dyDescent="0.25">
      <c r="A2661" s="753"/>
      <c r="C2661" s="452" t="s">
        <v>173</v>
      </c>
      <c r="D2661" s="453">
        <f t="shared" si="214"/>
        <v>46121</v>
      </c>
      <c r="E2661" s="454" t="s">
        <v>163</v>
      </c>
      <c r="F2661" s="460" t="s">
        <v>1567</v>
      </c>
      <c r="G2661" s="460" t="s">
        <v>409</v>
      </c>
      <c r="H2661" s="460" t="s">
        <v>1579</v>
      </c>
      <c r="I2661" s="540" cm="1">
        <f t="array" aca="1" ref="I2661" ca="1">IFERROR(_xlfn.LET(_xlpm.produto,TRIM(F2661)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1" s="540" cm="1">
        <f t="array" aca="1" ref="J2661" ca="1">IFERROR(_xlfn.LET(_xlpm.produto,TRIM(G2661)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1" s="545" cm="1">
        <f t="array" aca="1" ref="K2661" ca="1">IFERROR(_xlfn.LET(_xlpm.produto,TRIM(H2661)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1" s="564" t="e">
        <f ca="1">I2661*INDEX([2]Pedidos!$Q:$Q,MATCH(F2661,[2]Pedidos!$E:$E,0))</f>
        <v>#N/A</v>
      </c>
      <c r="M2661" s="564" t="e">
        <f ca="1">J2661*INDEX([2]Pedidos!$Q:$Q,MATCH(G2661,[2]Pedidos!$E:$E,0))</f>
        <v>#N/A</v>
      </c>
      <c r="N2661" s="564" t="e">
        <f ca="1">K2661*INDEX([2]Pedidos!$Q:$Q,MATCH(H2661,[2]Pedidos!$E:$E,0))</f>
        <v>#N/A</v>
      </c>
    </row>
    <row r="2662" spans="1:18" x14ac:dyDescent="0.25">
      <c r="A2662" s="753"/>
      <c r="C2662" s="452" t="s">
        <v>173</v>
      </c>
      <c r="D2662" s="453">
        <f t="shared" si="214"/>
        <v>46121</v>
      </c>
      <c r="E2662" s="454" t="s">
        <v>164</v>
      </c>
      <c r="F2662" s="460" t="s">
        <v>1567</v>
      </c>
      <c r="G2662" s="460" t="s">
        <v>409</v>
      </c>
      <c r="H2662" s="460" t="s">
        <v>1579</v>
      </c>
      <c r="I2662" s="540" cm="1">
        <f t="array" aca="1" ref="I2662" ca="1">IFERROR(_xlfn.LET(_xlpm.produto,TRIM(F2662)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2" s="540" cm="1">
        <f t="array" aca="1" ref="J2662" ca="1">IFERROR(_xlfn.LET(_xlpm.produto,TRIM(G2662)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2" s="545" cm="1">
        <f t="array" aca="1" ref="K2662" ca="1">IFERROR(_xlfn.LET(_xlpm.produto,TRIM(H2662)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2" s="564" t="e">
        <f ca="1">I2662*INDEX([2]Pedidos!$Q:$Q,MATCH(F2662,[2]Pedidos!$E:$E,0))</f>
        <v>#N/A</v>
      </c>
      <c r="M2662" s="564" t="e">
        <f ca="1">J2662*INDEX([2]Pedidos!$Q:$Q,MATCH(G2662,[2]Pedidos!$E:$E,0))</f>
        <v>#N/A</v>
      </c>
      <c r="N2662" s="564" t="e">
        <f ca="1">K2662*INDEX([2]Pedidos!$Q:$Q,MATCH(H2662,[2]Pedidos!$E:$E,0))</f>
        <v>#N/A</v>
      </c>
    </row>
    <row r="2663" spans="1:18" x14ac:dyDescent="0.25">
      <c r="A2663" s="753"/>
      <c r="C2663" s="452" t="s">
        <v>173</v>
      </c>
      <c r="D2663" s="453">
        <f t="shared" si="214"/>
        <v>46121</v>
      </c>
      <c r="E2663" s="454" t="s">
        <v>165</v>
      </c>
      <c r="F2663" s="460" t="s">
        <v>1567</v>
      </c>
      <c r="G2663" s="460" t="s">
        <v>409</v>
      </c>
      <c r="H2663" s="460" t="s">
        <v>1579</v>
      </c>
      <c r="I2663" s="540" cm="1">
        <f t="array" aca="1" ref="I2663" ca="1">IFERROR(_xlfn.LET(_xlpm.produto,TRIM(F2663)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3" s="540" cm="1">
        <f t="array" aca="1" ref="J2663" ca="1">IFERROR(_xlfn.LET(_xlpm.produto,TRIM(G2663)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3" s="545" cm="1">
        <f t="array" aca="1" ref="K2663" ca="1">IFERROR(_xlfn.LET(_xlpm.produto,TRIM(H2663)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3" s="564" t="e">
        <f ca="1">I2663*INDEX([2]Pedidos!$Q:$Q,MATCH(F2663,[2]Pedidos!$E:$E,0))</f>
        <v>#N/A</v>
      </c>
      <c r="M2663" s="564" t="e">
        <f ca="1">J2663*INDEX([2]Pedidos!$Q:$Q,MATCH(G2663,[2]Pedidos!$E:$E,0))</f>
        <v>#N/A</v>
      </c>
      <c r="N2663" s="564" t="e">
        <f ca="1">K2663*INDEX([2]Pedidos!$Q:$Q,MATCH(H2663,[2]Pedidos!$E:$E,0))</f>
        <v>#N/A</v>
      </c>
    </row>
    <row r="2664" spans="1:18" x14ac:dyDescent="0.25">
      <c r="A2664" s="753"/>
      <c r="C2664" s="452" t="s">
        <v>173</v>
      </c>
      <c r="D2664" s="453">
        <f t="shared" si="214"/>
        <v>46121</v>
      </c>
      <c r="E2664" s="454" t="s">
        <v>166</v>
      </c>
      <c r="F2664" s="460" t="s">
        <v>1567</v>
      </c>
      <c r="G2664" s="460" t="s">
        <v>409</v>
      </c>
      <c r="H2664" s="460" t="s">
        <v>1579</v>
      </c>
      <c r="I2664" s="540" cm="1">
        <f t="array" aca="1" ref="I2664" ca="1">IFERROR(_xlfn.LET(_xlpm.produto,TRIM(F2664)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4" s="540" cm="1">
        <f t="array" aca="1" ref="J2664" ca="1">IFERROR(_xlfn.LET(_xlpm.produto,TRIM(G2664)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4" s="545" cm="1">
        <f t="array" aca="1" ref="K2664" ca="1">IFERROR(_xlfn.LET(_xlpm.produto,TRIM(H2664)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4" s="564" t="e">
        <f ca="1">I2664*INDEX([2]Pedidos!$Q:$Q,MATCH(F2664,[2]Pedidos!$E:$E,0))</f>
        <v>#N/A</v>
      </c>
      <c r="M2664" s="564" t="e">
        <f ca="1">J2664*INDEX([2]Pedidos!$Q:$Q,MATCH(G2664,[2]Pedidos!$E:$E,0))</f>
        <v>#N/A</v>
      </c>
      <c r="N2664" s="564" t="e">
        <f ca="1">K2664*INDEX([2]Pedidos!$Q:$Q,MATCH(H2664,[2]Pedidos!$E:$E,0))</f>
        <v>#N/A</v>
      </c>
    </row>
    <row r="2665" spans="1:18" x14ac:dyDescent="0.25">
      <c r="A2665" s="753"/>
      <c r="C2665" s="452" t="s">
        <v>173</v>
      </c>
      <c r="D2665" s="453">
        <f t="shared" si="214"/>
        <v>46121</v>
      </c>
      <c r="E2665" s="454" t="s">
        <v>576</v>
      </c>
      <c r="F2665" s="517"/>
      <c r="G2665" s="512"/>
      <c r="H2665" s="505"/>
      <c r="I2665" s="541" cm="1">
        <f t="array" aca="1" ref="I2665" ca="1">IFERROR(_xlfn.LET(_xlpm.produto,TRIM(F2665)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5" s="541" cm="1">
        <f t="array" aca="1" ref="J2665" ca="1">IFERROR(_xlfn.LET(_xlpm.produto,TRIM(G2665)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5" s="541" cm="1">
        <f t="array" aca="1" ref="K2665" ca="1">IFERROR(_xlfn.LET(_xlpm.produto,TRIM(H2665)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5" s="556"/>
      <c r="M2665" s="556"/>
      <c r="N2665" s="556"/>
    </row>
    <row r="2666" spans="1:18" x14ac:dyDescent="0.25">
      <c r="A2666" s="753"/>
      <c r="C2666" s="452" t="s">
        <v>173</v>
      </c>
      <c r="D2666" s="449">
        <f t="shared" si="214"/>
        <v>46121</v>
      </c>
      <c r="E2666" s="454" t="s">
        <v>167</v>
      </c>
      <c r="F2666" s="460" t="s">
        <v>1567</v>
      </c>
      <c r="G2666" s="460" t="s">
        <v>409</v>
      </c>
      <c r="H2666" s="461" t="s">
        <v>1579</v>
      </c>
      <c r="I2666" s="540" cm="1">
        <f t="array" aca="1" ref="I2666" ca="1">IFERROR(_xlfn.LET(_xlpm.produto,TRIM(F2666)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6" s="540" cm="1">
        <f t="array" aca="1" ref="J2666" ca="1">IFERROR(_xlfn.LET(_xlpm.produto,TRIM(G2666)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6" s="545" cm="1">
        <f t="array" aca="1" ref="K2666" ca="1">IFERROR(_xlfn.LET(_xlpm.produto,TRIM(H2666)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6" s="565" t="e">
        <f ca="1">I2666*INDEX([2]Pedidos!$Q:$Q,MATCH(F2666,[2]Pedidos!$E:$E,0))</f>
        <v>#N/A</v>
      </c>
      <c r="M2666" s="565" t="e">
        <f ca="1">J2666*INDEX([2]Pedidos!$Q:$Q,MATCH(G2666,[2]Pedidos!$E:$E,0))</f>
        <v>#N/A</v>
      </c>
      <c r="N2666" s="565" t="e">
        <f ca="1">K2666*INDEX([2]Pedidos!$Q:$Q,MATCH(H2666,[2]Pedidos!$E:$E,0))</f>
        <v>#N/A</v>
      </c>
    </row>
    <row r="2667" spans="1:18" x14ac:dyDescent="0.25">
      <c r="A2667" s="753"/>
      <c r="C2667" s="452" t="s">
        <v>173</v>
      </c>
      <c r="D2667" s="449">
        <f t="shared" si="214"/>
        <v>46121</v>
      </c>
      <c r="E2667" s="454" t="s">
        <v>168</v>
      </c>
      <c r="F2667" s="460" t="s">
        <v>1567</v>
      </c>
      <c r="G2667" s="460" t="s">
        <v>409</v>
      </c>
      <c r="H2667" s="461" t="s">
        <v>1579</v>
      </c>
      <c r="I2667" s="540" cm="1">
        <f t="array" aca="1" ref="I2667" ca="1">IFERROR(_xlfn.LET(_xlpm.produto,TRIM(F2667)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7" s="540" cm="1">
        <f t="array" aca="1" ref="J2667" ca="1">IFERROR(_xlfn.LET(_xlpm.produto,TRIM(G2667)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7" s="545" cm="1">
        <f t="array" aca="1" ref="K2667" ca="1">IFERROR(_xlfn.LET(_xlpm.produto,TRIM(H2667)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7" s="565" t="e">
        <f ca="1">I2667*INDEX([2]Pedidos!$Q:$Q,MATCH(F2667,[2]Pedidos!$E:$E,0))</f>
        <v>#N/A</v>
      </c>
      <c r="M2667" s="565" t="e">
        <f ca="1">J2667*INDEX([2]Pedidos!$Q:$Q,MATCH(G2667,[2]Pedidos!$E:$E,0))</f>
        <v>#N/A</v>
      </c>
      <c r="N2667" s="565" t="e">
        <f ca="1">K2667*INDEX([2]Pedidos!$Q:$Q,MATCH(H2667,[2]Pedidos!$E:$E,0))</f>
        <v>#N/A</v>
      </c>
    </row>
    <row r="2668" spans="1:18" x14ac:dyDescent="0.25">
      <c r="A2668" s="753"/>
      <c r="C2668" s="452" t="s">
        <v>173</v>
      </c>
      <c r="D2668" s="449">
        <f t="shared" si="214"/>
        <v>46121</v>
      </c>
      <c r="E2668" s="454" t="s">
        <v>169</v>
      </c>
      <c r="F2668" s="460" t="s">
        <v>1567</v>
      </c>
      <c r="G2668" s="460" t="s">
        <v>409</v>
      </c>
      <c r="H2668" s="461" t="s">
        <v>1579</v>
      </c>
      <c r="I2668" s="540" cm="1">
        <f t="array" aca="1" ref="I2668" ca="1">IFERROR(_xlfn.LET(_xlpm.produto,TRIM(F2668)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8" s="540" cm="1">
        <f t="array" aca="1" ref="J2668" ca="1">IFERROR(_xlfn.LET(_xlpm.produto,TRIM(G2668)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8" s="545" cm="1">
        <f t="array" aca="1" ref="K2668" ca="1">IFERROR(_xlfn.LET(_xlpm.produto,TRIM(H2668)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8" s="565" t="e">
        <f ca="1">I2668*INDEX([2]Pedidos!$Q:$Q,MATCH(F2668,[2]Pedidos!$E:$E,0))</f>
        <v>#N/A</v>
      </c>
      <c r="M2668" s="565" t="e">
        <f ca="1">J2668*INDEX([2]Pedidos!$Q:$Q,MATCH(G2668,[2]Pedidos!$E:$E,0))</f>
        <v>#N/A</v>
      </c>
      <c r="N2668" s="565" t="e">
        <f ca="1">K2668*INDEX([2]Pedidos!$Q:$Q,MATCH(H2668,[2]Pedidos!$E:$E,0))</f>
        <v>#N/A</v>
      </c>
    </row>
    <row r="2669" spans="1:18" x14ac:dyDescent="0.25">
      <c r="A2669" s="753"/>
      <c r="C2669" s="452" t="s">
        <v>173</v>
      </c>
      <c r="D2669" s="449">
        <f t="shared" si="214"/>
        <v>46121</v>
      </c>
      <c r="E2669" s="454" t="s">
        <v>170</v>
      </c>
      <c r="F2669" s="460" t="s">
        <v>1567</v>
      </c>
      <c r="G2669" s="460" t="s">
        <v>409</v>
      </c>
      <c r="H2669" s="504" t="s">
        <v>1579</v>
      </c>
      <c r="I2669" s="540" cm="1">
        <f t="array" aca="1" ref="I2669" ca="1">IFERROR(_xlfn.LET(_xlpm.produto,TRIM(F2669)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69" s="540" cm="1">
        <f t="array" aca="1" ref="J2669" ca="1">IFERROR(_xlfn.LET(_xlpm.produto,TRIM(G2669)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69" s="545" cm="1">
        <f t="array" aca="1" ref="K2669" ca="1">IFERROR(_xlfn.LET(_xlpm.produto,TRIM(H2669)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69" s="566" t="e">
        <f ca="1">I2669*INDEX([2]Pedidos!$Q:$Q,MATCH(F2669,[2]Pedidos!$E:$E,0))</f>
        <v>#N/A</v>
      </c>
      <c r="M2669" s="566" t="e">
        <f ca="1">J2669*INDEX([2]Pedidos!$Q:$Q,MATCH(G2669,[2]Pedidos!$E:$E,0))</f>
        <v>#N/A</v>
      </c>
      <c r="N2669" s="566" t="e">
        <f ca="1">K2669*INDEX([2]Pedidos!$Q:$Q,MATCH(H2669,[2]Pedidos!$E:$E,0))</f>
        <v>#N/A</v>
      </c>
    </row>
    <row r="2670" spans="1:18" x14ac:dyDescent="0.25">
      <c r="A2670" s="753"/>
      <c r="C2670" s="452" t="s">
        <v>173</v>
      </c>
      <c r="D2670" s="449">
        <f t="shared" si="214"/>
        <v>46121</v>
      </c>
      <c r="E2670" s="454" t="s">
        <v>585</v>
      </c>
      <c r="F2670" s="505"/>
      <c r="G2670" s="505"/>
      <c r="H2670" s="516"/>
      <c r="I2670" s="516" cm="1">
        <f t="array" aca="1" ref="I2670" ca="1">IFERROR(_xlfn.LET(_xlpm.produto,TRIM(F2670)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0" s="516" cm="1">
        <f t="array" aca="1" ref="J2670" ca="1">IFERROR(_xlfn.LET(_xlpm.produto,TRIM(G2670)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0" s="516" cm="1">
        <f t="array" aca="1" ref="K2670" ca="1">IFERROR(_xlfn.LET(_xlpm.produto,TRIM(H2670)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0" s="557"/>
      <c r="M2670" s="557"/>
      <c r="N2670" s="557"/>
    </row>
    <row r="2671" spans="1:18" x14ac:dyDescent="0.25">
      <c r="A2671" s="753"/>
      <c r="C2671" s="452" t="s">
        <v>173</v>
      </c>
      <c r="D2671" s="449">
        <f t="shared" si="214"/>
        <v>46121</v>
      </c>
      <c r="E2671" s="455" t="s">
        <v>574</v>
      </c>
      <c r="F2671" s="505"/>
      <c r="G2671" s="505"/>
      <c r="H2671" s="516"/>
      <c r="I2671" s="516" cm="1">
        <f t="array" aca="1" ref="I2671" ca="1">IFERROR(_xlfn.LET(_xlpm.produto,TRIM(F2671)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1" s="516" cm="1">
        <f t="array" aca="1" ref="J2671" ca="1">IFERROR(_xlfn.LET(_xlpm.produto,TRIM(G2671)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1" s="516" cm="1">
        <f t="array" aca="1" ref="K2671" ca="1">IFERROR(_xlfn.LET(_xlpm.produto,TRIM(H2671)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1" s="557"/>
      <c r="M2671" s="557"/>
      <c r="N2671" s="557"/>
    </row>
    <row r="2672" spans="1:18" x14ac:dyDescent="0.25">
      <c r="A2672" s="753"/>
      <c r="C2672" s="452" t="s">
        <v>173</v>
      </c>
      <c r="D2672" s="449">
        <f t="shared" si="214"/>
        <v>46121</v>
      </c>
      <c r="E2672" s="455" t="s">
        <v>575</v>
      </c>
      <c r="F2672" s="506"/>
      <c r="G2672" s="506"/>
      <c r="H2672" s="516"/>
      <c r="I2672" s="516" cm="1">
        <f t="array" aca="1" ref="I2672" ca="1">IFERROR(_xlfn.LET(_xlpm.produto,TRIM(F2672)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2" s="516" cm="1">
        <f t="array" aca="1" ref="J2672" ca="1">IFERROR(_xlfn.LET(_xlpm.produto,TRIM(G2672)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2" s="516" cm="1">
        <f t="array" aca="1" ref="K2672" ca="1">IFERROR(_xlfn.LET(_xlpm.produto,TRIM(H2672)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2" s="557"/>
      <c r="M2672" s="557"/>
      <c r="N2672" s="557"/>
    </row>
    <row r="2673" spans="1:18" x14ac:dyDescent="0.25">
      <c r="A2673" s="753"/>
      <c r="C2673" s="452" t="s">
        <v>173</v>
      </c>
      <c r="D2673" s="449">
        <f t="shared" si="214"/>
        <v>46121</v>
      </c>
      <c r="E2673" s="503" t="s">
        <v>583</v>
      </c>
      <c r="F2673" s="506"/>
      <c r="G2673" s="506"/>
      <c r="H2673" s="516"/>
      <c r="I2673" s="516" cm="1">
        <f t="array" aca="1" ref="I2673" ca="1">IFERROR(_xlfn.LET(_xlpm.produto,TRIM(F2673)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3" s="516" cm="1">
        <f t="array" aca="1" ref="J2673" ca="1">IFERROR(_xlfn.LET(_xlpm.produto,TRIM(G2673)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3" s="516" cm="1">
        <f t="array" aca="1" ref="K2673" ca="1">IFERROR(_xlfn.LET(_xlpm.produto,TRIM(H2673)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3" s="557"/>
      <c r="M2673" s="557"/>
      <c r="N2673" s="557"/>
    </row>
    <row r="2674" spans="1:18" ht="15.75" thickBot="1" x14ac:dyDescent="0.3">
      <c r="A2674" s="753"/>
      <c r="C2674" s="530" t="s">
        <v>173</v>
      </c>
      <c r="D2674" s="451">
        <f t="shared" si="214"/>
        <v>46121</v>
      </c>
      <c r="E2674" s="459" t="s">
        <v>584</v>
      </c>
      <c r="F2674" s="493"/>
      <c r="G2674" s="493"/>
      <c r="H2674" s="513"/>
      <c r="I2674" s="513" cm="1">
        <f t="array" aca="1" ref="I2674" ca="1">IFERROR(_xlfn.LET(_xlpm.produto,TRIM(F2674)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4" s="513" cm="1">
        <f t="array" aca="1" ref="J2674" ca="1">IFERROR(_xlfn.LET(_xlpm.produto,TRIM(G2674)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4" s="513" cm="1">
        <f t="array" aca="1" ref="K2674" ca="1">IFERROR(_xlfn.LET(_xlpm.produto,TRIM(H2674)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4" s="558"/>
      <c r="M2674" s="558"/>
      <c r="N2674" s="558"/>
    </row>
    <row r="2675" spans="1:18" ht="4.5" customHeight="1" thickBot="1" x14ac:dyDescent="0.3">
      <c r="A2675" s="753"/>
      <c r="I2675" s="608"/>
      <c r="J2675" s="608"/>
      <c r="K2675" s="420"/>
      <c r="L2675" s="559"/>
      <c r="M2675" s="559"/>
      <c r="N2675" s="559"/>
      <c r="Q2675" s="3"/>
      <c r="R2675" s="3"/>
    </row>
    <row r="2676" spans="1:18" ht="15" customHeight="1" thickBot="1" x14ac:dyDescent="0.3">
      <c r="A2676" s="753"/>
      <c r="C2676" s="546">
        <f ca="1">SUM(I2604:K2604,I2622:K2622,I2640:K2640,I2658:K2658,I2676:K2676)</f>
        <v>800</v>
      </c>
      <c r="D2676" s="547">
        <f ca="1">SUM(P2676,P2658,P2640,P2622,P2604)</f>
        <v>0</v>
      </c>
      <c r="E2676" s="539"/>
      <c r="F2676" s="539"/>
      <c r="G2676" s="539"/>
      <c r="H2676" s="539"/>
      <c r="I2676" s="606">
        <f t="shared" ref="I2676:N2676" ca="1" si="215">_xlfn.AGGREGATE(9,6,I2677:I2692)</f>
        <v>0</v>
      </c>
      <c r="J2676" s="607">
        <f t="shared" ca="1" si="215"/>
        <v>0</v>
      </c>
      <c r="K2676" s="544">
        <f t="shared" ca="1" si="215"/>
        <v>0</v>
      </c>
      <c r="L2676" s="560">
        <f t="shared" ca="1" si="215"/>
        <v>0</v>
      </c>
      <c r="M2676" s="561">
        <f t="shared" ca="1" si="215"/>
        <v>0</v>
      </c>
      <c r="N2676" s="562">
        <f t="shared" ca="1" si="215"/>
        <v>0</v>
      </c>
      <c r="O2676" s="548">
        <f ca="1">SUM(I2676:K2676)</f>
        <v>0</v>
      </c>
      <c r="P2676" s="549">
        <f ca="1">SUM(L2676:N2676)</f>
        <v>0</v>
      </c>
      <c r="Q2676" s="3"/>
      <c r="R2676" s="3"/>
    </row>
    <row r="2677" spans="1:18" x14ac:dyDescent="0.25">
      <c r="A2677" s="753"/>
      <c r="C2677" s="529" t="s">
        <v>174</v>
      </c>
      <c r="D2677" s="447">
        <f>D2674+1</f>
        <v>46122</v>
      </c>
      <c r="E2677" s="498" t="s">
        <v>573</v>
      </c>
      <c r="F2677" s="514"/>
      <c r="G2677" s="514"/>
      <c r="H2677" s="515"/>
      <c r="I2677" s="537" cm="1">
        <f t="array" aca="1" ref="I2677" ca="1">IFERROR(_xlfn.LET(_xlpm.produto,TRIM(F2677)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7" s="537" cm="1">
        <f t="array" aca="1" ref="J2677" ca="1">IFERROR(_xlfn.LET(_xlpm.produto,TRIM(G2677)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7" s="537" cm="1">
        <f t="array" aca="1" ref="K2677" ca="1">IFERROR(_xlfn.LET(_xlpm.produto,TRIM(H2677)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7" s="563"/>
      <c r="M2677" s="563"/>
      <c r="N2677" s="563"/>
    </row>
    <row r="2678" spans="1:18" x14ac:dyDescent="0.25">
      <c r="A2678" s="753"/>
      <c r="C2678" s="452" t="s">
        <v>174</v>
      </c>
      <c r="D2678" s="453">
        <f t="shared" ref="D2678:D2692" si="216">D2677</f>
        <v>46122</v>
      </c>
      <c r="E2678" s="500" t="s">
        <v>162</v>
      </c>
      <c r="F2678" s="460"/>
      <c r="G2678" s="460" t="s">
        <v>409</v>
      </c>
      <c r="H2678" s="460" t="s">
        <v>1580</v>
      </c>
      <c r="I2678" s="540" cm="1">
        <f t="array" aca="1" ref="I2678" ca="1">IFERROR(_xlfn.LET(_xlpm.produto,TRIM(F2678)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8" s="540" cm="1">
        <f t="array" aca="1" ref="J2678" ca="1">IFERROR(_xlfn.LET(_xlpm.produto,TRIM(G2678)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8" s="545" cm="1">
        <f t="array" aca="1" ref="K2678" ca="1">IFERROR(_xlfn.LET(_xlpm.produto,TRIM(H2678)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8" s="564" t="e">
        <f ca="1">I2678*INDEX([2]Pedidos!$Q:$Q,MATCH(F2678,[2]Pedidos!$E:$E,0))</f>
        <v>#N/A</v>
      </c>
      <c r="M2678" s="555" t="e">
        <f ca="1">J2678*INDEX([2]Pedidos!$Q:$Q,MATCH(G2678,[2]Pedidos!$E:$E,0))</f>
        <v>#N/A</v>
      </c>
      <c r="N2678" s="555" t="e">
        <f ca="1">K2678*INDEX([2]Pedidos!$Q:$Q,MATCH(H2678,[2]Pedidos!$E:$E,0))</f>
        <v>#N/A</v>
      </c>
    </row>
    <row r="2679" spans="1:18" x14ac:dyDescent="0.25">
      <c r="A2679" s="753"/>
      <c r="C2679" s="452" t="s">
        <v>174</v>
      </c>
      <c r="D2679" s="453">
        <f t="shared" si="216"/>
        <v>46122</v>
      </c>
      <c r="E2679" s="454" t="s">
        <v>163</v>
      </c>
      <c r="F2679" s="460"/>
      <c r="G2679" s="460" t="s">
        <v>409</v>
      </c>
      <c r="H2679" s="460" t="s">
        <v>1580</v>
      </c>
      <c r="I2679" s="540" cm="1">
        <f t="array" aca="1" ref="I2679" ca="1">IFERROR(_xlfn.LET(_xlpm.produto,TRIM(F2679)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79" s="540" cm="1">
        <f t="array" aca="1" ref="J2679" ca="1">IFERROR(_xlfn.LET(_xlpm.produto,TRIM(G2679)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79" s="545" cm="1">
        <f t="array" aca="1" ref="K2679" ca="1">IFERROR(_xlfn.LET(_xlpm.produto,TRIM(H2679)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79" s="564" t="e">
        <f ca="1">I2679*INDEX([2]Pedidos!$Q:$Q,MATCH(F2679,[2]Pedidos!$E:$E,0))</f>
        <v>#N/A</v>
      </c>
      <c r="M2679" s="564" t="e">
        <f ca="1">J2679*INDEX([2]Pedidos!$Q:$Q,MATCH(G2679,[2]Pedidos!$E:$E,0))</f>
        <v>#N/A</v>
      </c>
      <c r="N2679" s="564" t="e">
        <f ca="1">K2679*INDEX([2]Pedidos!$Q:$Q,MATCH(H2679,[2]Pedidos!$E:$E,0))</f>
        <v>#N/A</v>
      </c>
    </row>
    <row r="2680" spans="1:18" x14ac:dyDescent="0.25">
      <c r="A2680" s="753"/>
      <c r="C2680" s="452" t="s">
        <v>174</v>
      </c>
      <c r="D2680" s="453">
        <f t="shared" si="216"/>
        <v>46122</v>
      </c>
      <c r="E2680" s="454" t="s">
        <v>164</v>
      </c>
      <c r="F2680" s="460"/>
      <c r="G2680" s="460" t="s">
        <v>409</v>
      </c>
      <c r="H2680" s="460" t="s">
        <v>1580</v>
      </c>
      <c r="I2680" s="540" cm="1">
        <f t="array" aca="1" ref="I2680" ca="1">IFERROR(_xlfn.LET(_xlpm.produto,TRIM(F2680)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0" s="540" cm="1">
        <f t="array" aca="1" ref="J2680" ca="1">IFERROR(_xlfn.LET(_xlpm.produto,TRIM(G2680)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0" s="545" cm="1">
        <f t="array" aca="1" ref="K2680" ca="1">IFERROR(_xlfn.LET(_xlpm.produto,TRIM(H2680)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0" s="564" t="e">
        <f ca="1">I2680*INDEX([2]Pedidos!$Q:$Q,MATCH(F2680,[2]Pedidos!$E:$E,0))</f>
        <v>#N/A</v>
      </c>
      <c r="M2680" s="564" t="e">
        <f ca="1">J2680*INDEX([2]Pedidos!$Q:$Q,MATCH(G2680,[2]Pedidos!$E:$E,0))</f>
        <v>#N/A</v>
      </c>
      <c r="N2680" s="564" t="e">
        <f ca="1">K2680*INDEX([2]Pedidos!$Q:$Q,MATCH(H2680,[2]Pedidos!$E:$E,0))</f>
        <v>#N/A</v>
      </c>
    </row>
    <row r="2681" spans="1:18" x14ac:dyDescent="0.25">
      <c r="A2681" s="753"/>
      <c r="C2681" s="452" t="s">
        <v>174</v>
      </c>
      <c r="D2681" s="453">
        <f t="shared" si="216"/>
        <v>46122</v>
      </c>
      <c r="E2681" s="454" t="s">
        <v>165</v>
      </c>
      <c r="F2681" s="460"/>
      <c r="G2681" s="460" t="s">
        <v>409</v>
      </c>
      <c r="H2681" s="460" t="s">
        <v>1580</v>
      </c>
      <c r="I2681" s="540" cm="1">
        <f t="array" aca="1" ref="I2681" ca="1">IFERROR(_xlfn.LET(_xlpm.produto,TRIM(F2681)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1" s="540" cm="1">
        <f t="array" aca="1" ref="J2681" ca="1">IFERROR(_xlfn.LET(_xlpm.produto,TRIM(G2681)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1" s="545" cm="1">
        <f t="array" aca="1" ref="K2681" ca="1">IFERROR(_xlfn.LET(_xlpm.produto,TRIM(H2681)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1" s="564" t="e">
        <f ca="1">I2681*INDEX([2]Pedidos!$Q:$Q,MATCH(F2681,[2]Pedidos!$E:$E,0))</f>
        <v>#N/A</v>
      </c>
      <c r="M2681" s="564" t="e">
        <f ca="1">J2681*INDEX([2]Pedidos!$Q:$Q,MATCH(G2681,[2]Pedidos!$E:$E,0))</f>
        <v>#N/A</v>
      </c>
      <c r="N2681" s="564" t="e">
        <f ca="1">K2681*INDEX([2]Pedidos!$Q:$Q,MATCH(H2681,[2]Pedidos!$E:$E,0))</f>
        <v>#N/A</v>
      </c>
    </row>
    <row r="2682" spans="1:18" x14ac:dyDescent="0.25">
      <c r="A2682" s="753"/>
      <c r="C2682" s="452" t="s">
        <v>174</v>
      </c>
      <c r="D2682" s="453">
        <f t="shared" si="216"/>
        <v>46122</v>
      </c>
      <c r="E2682" s="454" t="s">
        <v>166</v>
      </c>
      <c r="F2682" s="460"/>
      <c r="G2682" s="460" t="s">
        <v>409</v>
      </c>
      <c r="H2682" s="460" t="s">
        <v>1580</v>
      </c>
      <c r="I2682" s="540" cm="1">
        <f t="array" aca="1" ref="I2682" ca="1">IFERROR(_xlfn.LET(_xlpm.produto,TRIM(F2682)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2" s="540" cm="1">
        <f t="array" aca="1" ref="J2682" ca="1">IFERROR(_xlfn.LET(_xlpm.produto,TRIM(G2682)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2" s="545" cm="1">
        <f t="array" aca="1" ref="K2682" ca="1">IFERROR(_xlfn.LET(_xlpm.produto,TRIM(H2682)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2" s="564" t="e">
        <f ca="1">I2682*INDEX([2]Pedidos!$Q:$Q,MATCH(F2682,[2]Pedidos!$E:$E,0))</f>
        <v>#N/A</v>
      </c>
      <c r="M2682" s="564" t="e">
        <f ca="1">J2682*INDEX([2]Pedidos!$Q:$Q,MATCH(G2682,[2]Pedidos!$E:$E,0))</f>
        <v>#N/A</v>
      </c>
      <c r="N2682" s="564" t="e">
        <f ca="1">K2682*INDEX([2]Pedidos!$Q:$Q,MATCH(H2682,[2]Pedidos!$E:$E,0))</f>
        <v>#N/A</v>
      </c>
    </row>
    <row r="2683" spans="1:18" x14ac:dyDescent="0.25">
      <c r="A2683" s="753"/>
      <c r="C2683" s="452" t="s">
        <v>174</v>
      </c>
      <c r="D2683" s="453">
        <f t="shared" si="216"/>
        <v>46122</v>
      </c>
      <c r="E2683" s="454" t="s">
        <v>576</v>
      </c>
      <c r="F2683" s="517"/>
      <c r="G2683" s="512"/>
      <c r="H2683" s="505"/>
      <c r="I2683" s="541" cm="1">
        <f t="array" aca="1" ref="I2683" ca="1">IFERROR(_xlfn.LET(_xlpm.produto,TRIM(F2683)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3" s="541" cm="1">
        <f t="array" aca="1" ref="J2683" ca="1">IFERROR(_xlfn.LET(_xlpm.produto,TRIM(G2683)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3" s="541" cm="1">
        <f t="array" aca="1" ref="K2683" ca="1">IFERROR(_xlfn.LET(_xlpm.produto,TRIM(H2683)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3" s="556"/>
      <c r="M2683" s="556"/>
      <c r="N2683" s="556"/>
    </row>
    <row r="2684" spans="1:18" x14ac:dyDescent="0.25">
      <c r="A2684" s="753"/>
      <c r="C2684" s="452" t="s">
        <v>174</v>
      </c>
      <c r="D2684" s="449">
        <f t="shared" si="216"/>
        <v>46122</v>
      </c>
      <c r="E2684" s="454" t="s">
        <v>167</v>
      </c>
      <c r="F2684" s="460"/>
      <c r="G2684" s="460" t="s">
        <v>409</v>
      </c>
      <c r="H2684" s="461" t="s">
        <v>1580</v>
      </c>
      <c r="I2684" s="540" cm="1">
        <f t="array" aca="1" ref="I2684" ca="1">IFERROR(_xlfn.LET(_xlpm.produto,TRIM(F2684)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4" s="540" cm="1">
        <f t="array" aca="1" ref="J2684" ca="1">IFERROR(_xlfn.LET(_xlpm.produto,TRIM(G2684)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4" s="545" cm="1">
        <f t="array" aca="1" ref="K2684" ca="1">IFERROR(_xlfn.LET(_xlpm.produto,TRIM(H2684)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4" s="565" t="e">
        <f ca="1">I2684*INDEX([2]Pedidos!$Q:$Q,MATCH(F2684,[2]Pedidos!$E:$E,0))</f>
        <v>#N/A</v>
      </c>
      <c r="M2684" s="565" t="e">
        <f ca="1">J2684*INDEX([2]Pedidos!$Q:$Q,MATCH(G2684,[2]Pedidos!$E:$E,0))</f>
        <v>#N/A</v>
      </c>
      <c r="N2684" s="565" t="e">
        <f ca="1">K2684*INDEX([2]Pedidos!$Q:$Q,MATCH(H2684,[2]Pedidos!$E:$E,0))</f>
        <v>#N/A</v>
      </c>
    </row>
    <row r="2685" spans="1:18" x14ac:dyDescent="0.25">
      <c r="A2685" s="753"/>
      <c r="C2685" s="452" t="s">
        <v>174</v>
      </c>
      <c r="D2685" s="449">
        <f t="shared" si="216"/>
        <v>46122</v>
      </c>
      <c r="E2685" s="454" t="s">
        <v>168</v>
      </c>
      <c r="F2685" s="460"/>
      <c r="G2685" s="460" t="s">
        <v>409</v>
      </c>
      <c r="H2685" s="461" t="s">
        <v>1580</v>
      </c>
      <c r="I2685" s="540" cm="1">
        <f t="array" aca="1" ref="I2685" ca="1">IFERROR(_xlfn.LET(_xlpm.produto,TRIM(F2685)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5" s="540" cm="1">
        <f t="array" aca="1" ref="J2685" ca="1">IFERROR(_xlfn.LET(_xlpm.produto,TRIM(G2685)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5" s="545" cm="1">
        <f t="array" aca="1" ref="K2685" ca="1">IFERROR(_xlfn.LET(_xlpm.produto,TRIM(H2685)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5" s="565" t="e">
        <f ca="1">I2685*INDEX([2]Pedidos!$Q:$Q,MATCH(F2685,[2]Pedidos!$E:$E,0))</f>
        <v>#N/A</v>
      </c>
      <c r="M2685" s="565" t="e">
        <f ca="1">J2685*INDEX([2]Pedidos!$Q:$Q,MATCH(G2685,[2]Pedidos!$E:$E,0))</f>
        <v>#N/A</v>
      </c>
      <c r="N2685" s="565" t="e">
        <f ca="1">K2685*INDEX([2]Pedidos!$Q:$Q,MATCH(H2685,[2]Pedidos!$E:$E,0))</f>
        <v>#N/A</v>
      </c>
    </row>
    <row r="2686" spans="1:18" x14ac:dyDescent="0.25">
      <c r="A2686" s="753"/>
      <c r="C2686" s="452" t="s">
        <v>174</v>
      </c>
      <c r="D2686" s="449">
        <f t="shared" si="216"/>
        <v>46122</v>
      </c>
      <c r="E2686" s="454" t="s">
        <v>169</v>
      </c>
      <c r="F2686" s="460"/>
      <c r="G2686" s="460" t="s">
        <v>409</v>
      </c>
      <c r="H2686" s="461" t="s">
        <v>1580</v>
      </c>
      <c r="I2686" s="540" cm="1">
        <f t="array" aca="1" ref="I2686" ca="1">IFERROR(_xlfn.LET(_xlpm.produto,TRIM(F2686)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6" s="540" cm="1">
        <f t="array" aca="1" ref="J2686" ca="1">IFERROR(_xlfn.LET(_xlpm.produto,TRIM(G2686)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6" s="545" cm="1">
        <f t="array" aca="1" ref="K2686" ca="1">IFERROR(_xlfn.LET(_xlpm.produto,TRIM(H2686)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6" s="565" t="e">
        <f ca="1">I2686*INDEX([2]Pedidos!$Q:$Q,MATCH(F2686,[2]Pedidos!$E:$E,0))</f>
        <v>#N/A</v>
      </c>
      <c r="M2686" s="565" t="e">
        <f ca="1">J2686*INDEX([2]Pedidos!$Q:$Q,MATCH(G2686,[2]Pedidos!$E:$E,0))</f>
        <v>#N/A</v>
      </c>
      <c r="N2686" s="565" t="e">
        <f ca="1">K2686*INDEX([2]Pedidos!$Q:$Q,MATCH(H2686,[2]Pedidos!$E:$E,0))</f>
        <v>#N/A</v>
      </c>
    </row>
    <row r="2687" spans="1:18" x14ac:dyDescent="0.25">
      <c r="A2687" s="753"/>
      <c r="C2687" s="452" t="s">
        <v>174</v>
      </c>
      <c r="D2687" s="449">
        <f t="shared" si="216"/>
        <v>46122</v>
      </c>
      <c r="E2687" s="454" t="s">
        <v>170</v>
      </c>
      <c r="F2687" s="505"/>
      <c r="G2687" s="505"/>
      <c r="H2687" s="516"/>
      <c r="I2687" s="516" cm="1">
        <f t="array" aca="1" ref="I2687" ca="1">IFERROR(_xlfn.LET(_xlpm.produto,TRIM(F2687)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7" s="516" cm="1">
        <f t="array" aca="1" ref="J2687" ca="1">IFERROR(_xlfn.LET(_xlpm.produto,TRIM(G2687)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7" s="516" cm="1">
        <f t="array" aca="1" ref="K2687" ca="1">IFERROR(_xlfn.LET(_xlpm.produto,TRIM(H2687)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7" s="557"/>
      <c r="M2687" s="557"/>
      <c r="N2687" s="557"/>
    </row>
    <row r="2688" spans="1:18" x14ac:dyDescent="0.25">
      <c r="A2688" s="753"/>
      <c r="C2688" s="452" t="s">
        <v>174</v>
      </c>
      <c r="D2688" s="449">
        <f t="shared" si="216"/>
        <v>46122</v>
      </c>
      <c r="E2688" s="454" t="s">
        <v>585</v>
      </c>
      <c r="F2688" s="505"/>
      <c r="G2688" s="505"/>
      <c r="H2688" s="516"/>
      <c r="I2688" s="516" cm="1">
        <f t="array" aca="1" ref="I2688" ca="1">IFERROR(_xlfn.LET(_xlpm.produto,TRIM(F2688)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8" s="516" cm="1">
        <f t="array" aca="1" ref="J2688" ca="1">IFERROR(_xlfn.LET(_xlpm.produto,TRIM(G2688)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8" s="516" cm="1">
        <f t="array" aca="1" ref="K2688" ca="1">IFERROR(_xlfn.LET(_xlpm.produto,TRIM(H2688)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8" s="557"/>
      <c r="M2688" s="557"/>
      <c r="N2688" s="557"/>
    </row>
    <row r="2689" spans="1:23" x14ac:dyDescent="0.25">
      <c r="A2689" s="753"/>
      <c r="C2689" s="452" t="s">
        <v>174</v>
      </c>
      <c r="D2689" s="449">
        <f t="shared" si="216"/>
        <v>46122</v>
      </c>
      <c r="E2689" s="455" t="s">
        <v>574</v>
      </c>
      <c r="F2689" s="505"/>
      <c r="G2689" s="505"/>
      <c r="H2689" s="516"/>
      <c r="I2689" s="516" cm="1">
        <f t="array" aca="1" ref="I2689" ca="1">IFERROR(_xlfn.LET(_xlpm.produto,TRIM(F2689)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89" s="516" cm="1">
        <f t="array" aca="1" ref="J2689" ca="1">IFERROR(_xlfn.LET(_xlpm.produto,TRIM(G2689)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89" s="516" cm="1">
        <f t="array" aca="1" ref="K2689" ca="1">IFERROR(_xlfn.LET(_xlpm.produto,TRIM(H2689)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89" s="557"/>
      <c r="M2689" s="557"/>
      <c r="N2689" s="557"/>
    </row>
    <row r="2690" spans="1:23" x14ac:dyDescent="0.25">
      <c r="A2690" s="753"/>
      <c r="C2690" s="452" t="s">
        <v>174</v>
      </c>
      <c r="D2690" s="449">
        <f t="shared" si="216"/>
        <v>46122</v>
      </c>
      <c r="E2690" s="455" t="s">
        <v>575</v>
      </c>
      <c r="F2690" s="506"/>
      <c r="G2690" s="506"/>
      <c r="H2690" s="516"/>
      <c r="I2690" s="516" cm="1">
        <f t="array" aca="1" ref="I2690" ca="1">IFERROR(_xlfn.LET(_xlpm.produto,TRIM(F2690)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90" s="516" cm="1">
        <f t="array" aca="1" ref="J2690" ca="1">IFERROR(_xlfn.LET(_xlpm.produto,TRIM(G2690)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90" s="516" cm="1">
        <f t="array" aca="1" ref="K2690" ca="1">IFERROR(_xlfn.LET(_xlpm.produto,TRIM(H2690)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90" s="557"/>
      <c r="M2690" s="557"/>
      <c r="N2690" s="557"/>
    </row>
    <row r="2691" spans="1:23" x14ac:dyDescent="0.25">
      <c r="A2691" s="753"/>
      <c r="C2691" s="452" t="s">
        <v>174</v>
      </c>
      <c r="D2691" s="502">
        <f t="shared" si="216"/>
        <v>46122</v>
      </c>
      <c r="E2691" s="503" t="s">
        <v>583</v>
      </c>
      <c r="F2691" s="506"/>
      <c r="G2691" s="506"/>
      <c r="H2691" s="516"/>
      <c r="I2691" s="516" cm="1">
        <f t="array" aca="1" ref="I2691" ca="1">IFERROR(_xlfn.LET(_xlpm.produto,TRIM(F2691)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91" s="516" cm="1">
        <f t="array" aca="1" ref="J2691" ca="1">IFERROR(_xlfn.LET(_xlpm.produto,TRIM(G2691)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91" s="516" cm="1">
        <f t="array" aca="1" ref="K2691" ca="1">IFERROR(_xlfn.LET(_xlpm.produto,TRIM(H2691)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91" s="557"/>
      <c r="M2691" s="557"/>
      <c r="N2691" s="557"/>
    </row>
    <row r="2692" spans="1:23" ht="15.75" thickBot="1" x14ac:dyDescent="0.3">
      <c r="A2692" s="753"/>
      <c r="C2692" s="530" t="s">
        <v>174</v>
      </c>
      <c r="D2692" s="451">
        <f t="shared" si="216"/>
        <v>46122</v>
      </c>
      <c r="E2692" s="459" t="s">
        <v>584</v>
      </c>
      <c r="F2692" s="493"/>
      <c r="G2692" s="493"/>
      <c r="H2692" s="513"/>
      <c r="I2692" s="513" cm="1">
        <f t="array" aca="1" ref="I2692" ca="1">IFERROR(_xlfn.LET(_xlpm.produto,TRIM(F2692)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J2692" s="513" cm="1">
        <f t="array" aca="1" ref="J2692" ca="1">IFERROR(_xlfn.LET(_xlpm.produto,TRIM(G2692)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K2692" s="513" cm="1">
        <f t="array" aca="1" ref="K2692" ca="1">IFERROR(_xlfn.LET(_xlpm.produto,TRIM(H2692)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$2603:F$2692,"="&amp;_xlpm.produto)+COUNTIF(G$2603:G$2692,"="&amp;_xlpm.produto)+COUNTIF(H$2603:H$2692,"="&amp;_xlpm.produto),_xlpm.saldo/_xlpm.horas),0)</f>
        <v>0</v>
      </c>
      <c r="L2692" s="558"/>
      <c r="M2692" s="558"/>
      <c r="N2692" s="558"/>
    </row>
    <row r="2693" spans="1:23" ht="4.5" customHeight="1" thickBot="1" x14ac:dyDescent="0.3">
      <c r="I2693" s="445"/>
      <c r="J2693" s="445"/>
      <c r="L2693" s="559"/>
      <c r="M2693" s="559"/>
      <c r="N2693" s="559"/>
      <c r="Q2693" s="3"/>
      <c r="R2693" s="3"/>
    </row>
    <row r="2694" spans="1:23" ht="15" customHeight="1" thickBot="1" x14ac:dyDescent="0.3">
      <c r="A2694" s="753"/>
      <c r="C2694" s="538"/>
      <c r="D2694" s="539"/>
      <c r="E2694" s="539"/>
      <c r="F2694" s="539"/>
      <c r="G2694" s="539"/>
      <c r="H2694" s="539"/>
      <c r="I2694" s="606">
        <v>3721</v>
      </c>
      <c r="J2694" s="607">
        <v>1066.6666666666667</v>
      </c>
      <c r="K2694" s="544">
        <v>0</v>
      </c>
      <c r="L2694" s="560">
        <v>3162.8500000000004</v>
      </c>
      <c r="M2694" s="561">
        <v>544</v>
      </c>
      <c r="N2694" s="562">
        <v>0</v>
      </c>
      <c r="O2694" s="548">
        <v>4787.666666666667</v>
      </c>
      <c r="P2694" s="549">
        <v>3706.8500000000004</v>
      </c>
      <c r="Q2694" s="3"/>
      <c r="R2694" s="3"/>
      <c r="T2694" s="601" t="s">
        <v>437</v>
      </c>
      <c r="U2694" s="602" t="s">
        <v>1627</v>
      </c>
      <c r="V2694" s="602" t="s">
        <v>1628</v>
      </c>
      <c r="W2694" s="603" t="s">
        <v>1536</v>
      </c>
    </row>
    <row r="2695" spans="1:23" x14ac:dyDescent="0.25">
      <c r="A2695" s="753"/>
      <c r="C2695" s="496" t="s">
        <v>161</v>
      </c>
      <c r="D2695" s="507">
        <v>46125</v>
      </c>
      <c r="E2695" s="498" t="s">
        <v>573</v>
      </c>
      <c r="F2695" s="514"/>
      <c r="G2695" s="514"/>
      <c r="H2695" s="515"/>
      <c r="I2695" s="537">
        <v>0</v>
      </c>
      <c r="J2695" s="537">
        <v>0</v>
      </c>
      <c r="K2695" s="537">
        <v>0</v>
      </c>
      <c r="L2695" s="563"/>
      <c r="M2695" s="563"/>
      <c r="N2695" s="563"/>
      <c r="T2695" s="591" t="s">
        <v>1567</v>
      </c>
      <c r="U2695" s="576">
        <v>-599</v>
      </c>
      <c r="V2695" s="585"/>
      <c r="W2695" s="581">
        <v>0</v>
      </c>
    </row>
    <row r="2696" spans="1:23" x14ac:dyDescent="0.25">
      <c r="A2696" s="753"/>
      <c r="C2696" s="525" t="s">
        <v>161</v>
      </c>
      <c r="D2696" s="499">
        <v>46125</v>
      </c>
      <c r="E2696" s="500" t="s">
        <v>162</v>
      </c>
      <c r="F2696" s="460" t="s">
        <v>1567</v>
      </c>
      <c r="G2696" s="460" t="s">
        <v>1600</v>
      </c>
      <c r="H2696" s="460"/>
      <c r="I2696" s="540">
        <v>-199.66666666666666</v>
      </c>
      <c r="J2696" s="540">
        <v>0</v>
      </c>
      <c r="K2696" s="545">
        <v>0</v>
      </c>
      <c r="L2696" s="555">
        <v>-169.71666666666664</v>
      </c>
      <c r="M2696" s="555" t="e">
        <v>#N/A</v>
      </c>
      <c r="N2696" s="555" t="e">
        <v>#N/A</v>
      </c>
      <c r="T2696" s="592" t="s">
        <v>1278</v>
      </c>
      <c r="U2696" s="576">
        <v>5760</v>
      </c>
      <c r="V2696" s="586"/>
      <c r="W2696" s="582">
        <v>0</v>
      </c>
    </row>
    <row r="2697" spans="1:23" x14ac:dyDescent="0.25">
      <c r="A2697" s="753"/>
      <c r="C2697" s="526" t="s">
        <v>161</v>
      </c>
      <c r="D2697" s="449">
        <v>46125</v>
      </c>
      <c r="E2697" s="454" t="s">
        <v>163</v>
      </c>
      <c r="F2697" s="460" t="s">
        <v>1567</v>
      </c>
      <c r="G2697" s="460" t="s">
        <v>1600</v>
      </c>
      <c r="H2697" s="460"/>
      <c r="I2697" s="540">
        <v>-199.66666666666666</v>
      </c>
      <c r="J2697" s="540">
        <v>0</v>
      </c>
      <c r="K2697" s="545">
        <v>0</v>
      </c>
      <c r="L2697" s="564">
        <v>-169.71666666666664</v>
      </c>
      <c r="M2697" s="564" t="e">
        <v>#N/A</v>
      </c>
      <c r="N2697" s="564" t="e">
        <v>#N/A</v>
      </c>
      <c r="T2697" s="591" t="s">
        <v>1588</v>
      </c>
      <c r="U2697" s="576">
        <v>0</v>
      </c>
      <c r="V2697" s="586"/>
      <c r="W2697" s="582">
        <v>0</v>
      </c>
    </row>
    <row r="2698" spans="1:23" x14ac:dyDescent="0.25">
      <c r="A2698" s="753"/>
      <c r="C2698" s="526" t="s">
        <v>161</v>
      </c>
      <c r="D2698" s="449">
        <v>46125</v>
      </c>
      <c r="E2698" s="454" t="s">
        <v>164</v>
      </c>
      <c r="F2698" s="460" t="s">
        <v>1567</v>
      </c>
      <c r="G2698" s="460" t="s">
        <v>1600</v>
      </c>
      <c r="H2698" s="460"/>
      <c r="I2698" s="540">
        <v>-199.66666666666666</v>
      </c>
      <c r="J2698" s="540">
        <v>0</v>
      </c>
      <c r="K2698" s="545">
        <v>0</v>
      </c>
      <c r="L2698" s="564">
        <v>-169.71666666666664</v>
      </c>
      <c r="M2698" s="564" t="e">
        <v>#N/A</v>
      </c>
      <c r="N2698" s="564" t="e">
        <v>#N/A</v>
      </c>
      <c r="T2698" s="592" t="s">
        <v>1600</v>
      </c>
      <c r="U2698" s="576">
        <v>0</v>
      </c>
      <c r="V2698" s="586"/>
      <c r="W2698" s="582">
        <v>0</v>
      </c>
    </row>
    <row r="2699" spans="1:23" x14ac:dyDescent="0.25">
      <c r="A2699" s="753"/>
      <c r="C2699" s="526" t="s">
        <v>161</v>
      </c>
      <c r="D2699" s="449">
        <v>46125</v>
      </c>
      <c r="E2699" s="454" t="s">
        <v>165</v>
      </c>
      <c r="F2699" s="460" t="s">
        <v>1278</v>
      </c>
      <c r="G2699" s="460" t="s">
        <v>1600</v>
      </c>
      <c r="H2699" s="460"/>
      <c r="I2699" s="540">
        <v>720</v>
      </c>
      <c r="J2699" s="540">
        <v>0</v>
      </c>
      <c r="K2699" s="545">
        <v>0</v>
      </c>
      <c r="L2699" s="564">
        <v>612</v>
      </c>
      <c r="M2699" s="564" t="e">
        <v>#N/A</v>
      </c>
      <c r="N2699" s="564" t="e">
        <v>#N/A</v>
      </c>
      <c r="T2699" s="591" t="s">
        <v>581</v>
      </c>
      <c r="U2699" s="576">
        <v>10399.999999999998</v>
      </c>
      <c r="V2699" s="586"/>
      <c r="W2699" s="582">
        <v>0</v>
      </c>
    </row>
    <row r="2700" spans="1:23" x14ac:dyDescent="0.25">
      <c r="A2700" s="753"/>
      <c r="C2700" s="526" t="s">
        <v>161</v>
      </c>
      <c r="D2700" s="449">
        <v>46125</v>
      </c>
      <c r="E2700" s="454" t="s">
        <v>166</v>
      </c>
      <c r="F2700" s="460" t="s">
        <v>1278</v>
      </c>
      <c r="G2700" s="460" t="s">
        <v>1600</v>
      </c>
      <c r="H2700" s="460"/>
      <c r="I2700" s="540">
        <v>720</v>
      </c>
      <c r="J2700" s="540">
        <v>0</v>
      </c>
      <c r="K2700" s="545">
        <v>0</v>
      </c>
      <c r="L2700" s="564">
        <v>612</v>
      </c>
      <c r="M2700" s="564" t="e">
        <v>#N/A</v>
      </c>
      <c r="N2700" s="564" t="e">
        <v>#N/A</v>
      </c>
      <c r="T2700" s="592" t="s">
        <v>1607</v>
      </c>
      <c r="U2700" s="576">
        <v>0</v>
      </c>
      <c r="V2700" s="586"/>
      <c r="W2700" s="582">
        <v>0</v>
      </c>
    </row>
    <row r="2701" spans="1:23" x14ac:dyDescent="0.25">
      <c r="A2701" s="753"/>
      <c r="C2701" s="526" t="s">
        <v>161</v>
      </c>
      <c r="D2701" s="449">
        <v>46125</v>
      </c>
      <c r="E2701" s="454" t="s">
        <v>576</v>
      </c>
      <c r="F2701" s="517"/>
      <c r="G2701" s="512"/>
      <c r="H2701" s="512"/>
      <c r="I2701" s="541">
        <v>0</v>
      </c>
      <c r="J2701" s="541">
        <v>0</v>
      </c>
      <c r="K2701" s="541">
        <v>0</v>
      </c>
      <c r="L2701" s="556"/>
      <c r="M2701" s="556"/>
      <c r="N2701" s="556"/>
      <c r="T2701" s="591" t="s">
        <v>1449</v>
      </c>
      <c r="U2701" s="576" t="s">
        <v>1449</v>
      </c>
      <c r="V2701" s="586"/>
      <c r="W2701" s="582">
        <v>0</v>
      </c>
    </row>
    <row r="2702" spans="1:23" x14ac:dyDescent="0.25">
      <c r="A2702" s="753"/>
      <c r="C2702" s="527" t="s">
        <v>161</v>
      </c>
      <c r="D2702" s="449">
        <v>46125</v>
      </c>
      <c r="E2702" s="454" t="s">
        <v>167</v>
      </c>
      <c r="F2702" s="460" t="s">
        <v>1278</v>
      </c>
      <c r="G2702" s="460" t="s">
        <v>581</v>
      </c>
      <c r="H2702" s="460"/>
      <c r="I2702" s="540">
        <v>720</v>
      </c>
      <c r="J2702" s="540">
        <v>266.66666666666669</v>
      </c>
      <c r="K2702" s="545">
        <v>0</v>
      </c>
      <c r="L2702" s="565">
        <v>612</v>
      </c>
      <c r="M2702" s="565">
        <v>136</v>
      </c>
      <c r="N2702" s="565" t="e">
        <v>#N/A</v>
      </c>
      <c r="T2702" s="592" t="s">
        <v>1449</v>
      </c>
      <c r="U2702" s="576" t="s">
        <v>1449</v>
      </c>
      <c r="V2702" s="586"/>
      <c r="W2702" s="582">
        <v>0</v>
      </c>
    </row>
    <row r="2703" spans="1:23" x14ac:dyDescent="0.25">
      <c r="A2703" s="753"/>
      <c r="C2703" s="527" t="s">
        <v>161</v>
      </c>
      <c r="D2703" s="449">
        <v>46125</v>
      </c>
      <c r="E2703" s="454" t="s">
        <v>168</v>
      </c>
      <c r="F2703" s="460" t="s">
        <v>1278</v>
      </c>
      <c r="G2703" s="460" t="s">
        <v>581</v>
      </c>
      <c r="H2703" s="460"/>
      <c r="I2703" s="540">
        <v>720</v>
      </c>
      <c r="J2703" s="540">
        <v>266.66666666666669</v>
      </c>
      <c r="K2703" s="545">
        <v>0</v>
      </c>
      <c r="L2703" s="565">
        <v>612</v>
      </c>
      <c r="M2703" s="565">
        <v>136</v>
      </c>
      <c r="N2703" s="565" t="e">
        <v>#N/A</v>
      </c>
      <c r="T2703" s="591" t="s">
        <v>1449</v>
      </c>
      <c r="U2703" s="576" t="s">
        <v>1449</v>
      </c>
      <c r="V2703" s="586"/>
      <c r="W2703" s="582">
        <v>0</v>
      </c>
    </row>
    <row r="2704" spans="1:23" x14ac:dyDescent="0.25">
      <c r="A2704" s="753"/>
      <c r="C2704" s="527" t="s">
        <v>161</v>
      </c>
      <c r="D2704" s="449">
        <v>46125</v>
      </c>
      <c r="E2704" s="454" t="s">
        <v>169</v>
      </c>
      <c r="F2704" s="460" t="s">
        <v>1278</v>
      </c>
      <c r="G2704" s="460" t="s">
        <v>581</v>
      </c>
      <c r="H2704" s="460"/>
      <c r="I2704" s="540">
        <v>720</v>
      </c>
      <c r="J2704" s="540">
        <v>266.66666666666669</v>
      </c>
      <c r="K2704" s="545">
        <v>0</v>
      </c>
      <c r="L2704" s="565">
        <v>612</v>
      </c>
      <c r="M2704" s="565">
        <v>136</v>
      </c>
      <c r="N2704" s="565" t="e">
        <v>#N/A</v>
      </c>
      <c r="T2704" s="592" t="s">
        <v>1449</v>
      </c>
      <c r="U2704" s="576" t="s">
        <v>1449</v>
      </c>
      <c r="V2704" s="586"/>
      <c r="W2704" s="582">
        <v>0</v>
      </c>
    </row>
    <row r="2705" spans="1:23" x14ac:dyDescent="0.25">
      <c r="A2705" s="753"/>
      <c r="C2705" s="527" t="s">
        <v>161</v>
      </c>
      <c r="D2705" s="449">
        <v>46125</v>
      </c>
      <c r="E2705" s="454" t="s">
        <v>170</v>
      </c>
      <c r="F2705" s="460" t="s">
        <v>1278</v>
      </c>
      <c r="G2705" s="460" t="s">
        <v>581</v>
      </c>
      <c r="H2705" s="460"/>
      <c r="I2705" s="540">
        <v>720</v>
      </c>
      <c r="J2705" s="540">
        <v>266.66666666666669</v>
      </c>
      <c r="K2705" s="545">
        <v>0</v>
      </c>
      <c r="L2705" s="566">
        <v>612</v>
      </c>
      <c r="M2705" s="566">
        <v>136</v>
      </c>
      <c r="N2705" s="566" t="e">
        <v>#N/A</v>
      </c>
      <c r="T2705" s="591" t="s">
        <v>1449</v>
      </c>
      <c r="U2705" s="576" t="s">
        <v>1449</v>
      </c>
      <c r="V2705" s="586"/>
      <c r="W2705" s="582">
        <v>0</v>
      </c>
    </row>
    <row r="2706" spans="1:23" x14ac:dyDescent="0.25">
      <c r="A2706" s="753"/>
      <c r="C2706" s="527" t="s">
        <v>161</v>
      </c>
      <c r="D2706" s="449">
        <v>46125</v>
      </c>
      <c r="E2706" s="454" t="s">
        <v>585</v>
      </c>
      <c r="F2706" s="505"/>
      <c r="G2706" s="516"/>
      <c r="H2706" s="516"/>
      <c r="I2706" s="516">
        <v>0</v>
      </c>
      <c r="J2706" s="516">
        <v>0</v>
      </c>
      <c r="K2706" s="516">
        <v>0</v>
      </c>
      <c r="L2706" s="557"/>
      <c r="M2706" s="557"/>
      <c r="N2706" s="557"/>
      <c r="T2706" s="592" t="s">
        <v>1449</v>
      </c>
      <c r="U2706" s="576" t="s">
        <v>1449</v>
      </c>
      <c r="V2706" s="586"/>
      <c r="W2706" s="582">
        <v>0</v>
      </c>
    </row>
    <row r="2707" spans="1:23" x14ac:dyDescent="0.25">
      <c r="A2707" s="753"/>
      <c r="C2707" s="527" t="s">
        <v>161</v>
      </c>
      <c r="D2707" s="449">
        <v>46125</v>
      </c>
      <c r="E2707" s="455" t="s">
        <v>574</v>
      </c>
      <c r="F2707" s="505"/>
      <c r="G2707" s="516"/>
      <c r="H2707" s="516"/>
      <c r="I2707" s="516">
        <v>0</v>
      </c>
      <c r="J2707" s="516">
        <v>0</v>
      </c>
      <c r="K2707" s="516">
        <v>0</v>
      </c>
      <c r="L2707" s="557"/>
      <c r="M2707" s="557"/>
      <c r="N2707" s="557"/>
      <c r="T2707" s="591" t="s">
        <v>1449</v>
      </c>
      <c r="U2707" s="576" t="s">
        <v>1449</v>
      </c>
      <c r="V2707" s="586"/>
      <c r="W2707" s="582">
        <v>0</v>
      </c>
    </row>
    <row r="2708" spans="1:23" x14ac:dyDescent="0.25">
      <c r="A2708" s="753"/>
      <c r="C2708" s="527" t="s">
        <v>161</v>
      </c>
      <c r="D2708" s="449">
        <v>46125</v>
      </c>
      <c r="E2708" s="455" t="s">
        <v>575</v>
      </c>
      <c r="F2708" s="506"/>
      <c r="G2708" s="506"/>
      <c r="H2708" s="506"/>
      <c r="I2708" s="516">
        <v>0</v>
      </c>
      <c r="J2708" s="516">
        <v>0</v>
      </c>
      <c r="K2708" s="516">
        <v>0</v>
      </c>
      <c r="L2708" s="557"/>
      <c r="M2708" s="557"/>
      <c r="N2708" s="557"/>
      <c r="T2708" s="592" t="s">
        <v>1449</v>
      </c>
      <c r="U2708" s="576" t="s">
        <v>1449</v>
      </c>
      <c r="V2708" s="587"/>
      <c r="W2708" s="583">
        <v>0</v>
      </c>
    </row>
    <row r="2709" spans="1:23" x14ac:dyDescent="0.25">
      <c r="A2709" s="753"/>
      <c r="C2709" s="527" t="s">
        <v>161</v>
      </c>
      <c r="D2709" s="449">
        <v>46125</v>
      </c>
      <c r="E2709" s="503" t="s">
        <v>583</v>
      </c>
      <c r="F2709" s="506"/>
      <c r="G2709" s="506"/>
      <c r="H2709" s="506"/>
      <c r="I2709" s="516">
        <v>0</v>
      </c>
      <c r="J2709" s="516">
        <v>0</v>
      </c>
      <c r="K2709" s="516">
        <v>0</v>
      </c>
      <c r="L2709" s="557"/>
      <c r="M2709" s="557"/>
      <c r="N2709" s="557"/>
      <c r="T2709" s="573" t="s">
        <v>1521</v>
      </c>
      <c r="U2709" s="574">
        <v>15560.999999999998</v>
      </c>
      <c r="V2709" s="574">
        <v>0</v>
      </c>
      <c r="W2709" s="584">
        <v>0</v>
      </c>
    </row>
    <row r="2710" spans="1:23" ht="15.75" thickBot="1" x14ac:dyDescent="0.3">
      <c r="A2710" s="753"/>
      <c r="C2710" s="528" t="s">
        <v>161</v>
      </c>
      <c r="D2710" s="451">
        <v>46125</v>
      </c>
      <c r="E2710" s="459" t="s">
        <v>584</v>
      </c>
      <c r="F2710" s="493"/>
      <c r="G2710" s="493"/>
      <c r="H2710" s="493"/>
      <c r="I2710" s="513">
        <v>0</v>
      </c>
      <c r="J2710" s="513">
        <v>0</v>
      </c>
      <c r="K2710" s="513">
        <v>0</v>
      </c>
      <c r="L2710" s="558"/>
      <c r="M2710" s="558"/>
      <c r="N2710" s="558"/>
    </row>
    <row r="2711" spans="1:23" ht="4.5" customHeight="1" thickBot="1" x14ac:dyDescent="0.3">
      <c r="A2711" s="753"/>
      <c r="I2711" s="445"/>
      <c r="J2711" s="445"/>
      <c r="L2711" s="559"/>
      <c r="M2711" s="559"/>
      <c r="N2711" s="559"/>
      <c r="Q2711" s="3"/>
      <c r="R2711" s="3"/>
    </row>
    <row r="2712" spans="1:23" ht="15" customHeight="1" thickBot="1" x14ac:dyDescent="0.3">
      <c r="A2712" s="753"/>
      <c r="C2712" s="538"/>
      <c r="D2712" s="539"/>
      <c r="E2712" s="539"/>
      <c r="F2712" s="539"/>
      <c r="G2712" s="539"/>
      <c r="H2712" s="539"/>
      <c r="I2712" s="606">
        <v>1440</v>
      </c>
      <c r="J2712" s="607">
        <v>2400</v>
      </c>
      <c r="K2712" s="544">
        <v>0</v>
      </c>
      <c r="L2712" s="560">
        <v>1224</v>
      </c>
      <c r="M2712" s="561">
        <v>1224</v>
      </c>
      <c r="N2712" s="562">
        <v>0</v>
      </c>
      <c r="O2712" s="548">
        <v>3840</v>
      </c>
      <c r="P2712" s="549">
        <v>2448</v>
      </c>
      <c r="Q2712" s="3"/>
      <c r="R2712" s="3"/>
    </row>
    <row r="2713" spans="1:23" x14ac:dyDescent="0.25">
      <c r="A2713" s="753"/>
      <c r="C2713" s="446" t="s">
        <v>171</v>
      </c>
      <c r="D2713" s="497">
        <v>46126</v>
      </c>
      <c r="E2713" s="498" t="s">
        <v>573</v>
      </c>
      <c r="F2713" s="514"/>
      <c r="G2713" s="514"/>
      <c r="H2713" s="514"/>
      <c r="I2713" s="537">
        <v>0</v>
      </c>
      <c r="J2713" s="537">
        <v>0</v>
      </c>
      <c r="K2713" s="537">
        <v>0</v>
      </c>
      <c r="L2713" s="563"/>
      <c r="M2713" s="563"/>
      <c r="N2713" s="563"/>
    </row>
    <row r="2714" spans="1:23" x14ac:dyDescent="0.25">
      <c r="A2714" s="753"/>
      <c r="C2714" s="452" t="s">
        <v>171</v>
      </c>
      <c r="D2714" s="499">
        <v>46126</v>
      </c>
      <c r="E2714" s="500" t="s">
        <v>162</v>
      </c>
      <c r="F2714" s="460" t="s">
        <v>1278</v>
      </c>
      <c r="G2714" s="460" t="s">
        <v>581</v>
      </c>
      <c r="H2714" s="460"/>
      <c r="I2714" s="540">
        <v>720</v>
      </c>
      <c r="J2714" s="540">
        <v>266.66666666666669</v>
      </c>
      <c r="K2714" s="545">
        <v>0</v>
      </c>
      <c r="L2714" s="555">
        <v>612</v>
      </c>
      <c r="M2714" s="555">
        <v>136</v>
      </c>
      <c r="N2714" s="555" t="e">
        <v>#N/A</v>
      </c>
    </row>
    <row r="2715" spans="1:23" x14ac:dyDescent="0.25">
      <c r="A2715" s="753"/>
      <c r="C2715" s="452" t="s">
        <v>171</v>
      </c>
      <c r="D2715" s="449">
        <v>46126</v>
      </c>
      <c r="E2715" s="454" t="s">
        <v>163</v>
      </c>
      <c r="F2715" s="460" t="s">
        <v>1278</v>
      </c>
      <c r="G2715" s="460" t="s">
        <v>581</v>
      </c>
      <c r="H2715" s="460"/>
      <c r="I2715" s="540">
        <v>720</v>
      </c>
      <c r="J2715" s="540">
        <v>266.66666666666669</v>
      </c>
      <c r="K2715" s="545">
        <v>0</v>
      </c>
      <c r="L2715" s="564">
        <v>612</v>
      </c>
      <c r="M2715" s="564">
        <v>136</v>
      </c>
      <c r="N2715" s="564" t="e">
        <v>#N/A</v>
      </c>
    </row>
    <row r="2716" spans="1:23" x14ac:dyDescent="0.25">
      <c r="A2716" s="753"/>
      <c r="C2716" s="452" t="s">
        <v>171</v>
      </c>
      <c r="D2716" s="449">
        <v>46126</v>
      </c>
      <c r="E2716" s="454" t="s">
        <v>164</v>
      </c>
      <c r="F2716" s="460" t="s">
        <v>1588</v>
      </c>
      <c r="G2716" s="460" t="s">
        <v>581</v>
      </c>
      <c r="H2716" s="460"/>
      <c r="I2716" s="540">
        <v>0</v>
      </c>
      <c r="J2716" s="540">
        <v>266.66666666666669</v>
      </c>
      <c r="K2716" s="545">
        <v>0</v>
      </c>
      <c r="L2716" s="564">
        <v>0</v>
      </c>
      <c r="M2716" s="564">
        <v>136</v>
      </c>
      <c r="N2716" s="564" t="e">
        <v>#N/A</v>
      </c>
    </row>
    <row r="2717" spans="1:23" x14ac:dyDescent="0.25">
      <c r="A2717" s="753"/>
      <c r="C2717" s="452" t="s">
        <v>171</v>
      </c>
      <c r="D2717" s="449">
        <v>46126</v>
      </c>
      <c r="E2717" s="454" t="s">
        <v>165</v>
      </c>
      <c r="F2717" s="460" t="s">
        <v>1588</v>
      </c>
      <c r="G2717" s="460" t="s">
        <v>581</v>
      </c>
      <c r="H2717" s="460"/>
      <c r="I2717" s="540">
        <v>0</v>
      </c>
      <c r="J2717" s="540">
        <v>266.66666666666669</v>
      </c>
      <c r="K2717" s="545">
        <v>0</v>
      </c>
      <c r="L2717" s="564">
        <v>0</v>
      </c>
      <c r="M2717" s="564">
        <v>136</v>
      </c>
      <c r="N2717" s="564" t="e">
        <v>#N/A</v>
      </c>
    </row>
    <row r="2718" spans="1:23" x14ac:dyDescent="0.25">
      <c r="A2718" s="753"/>
      <c r="C2718" s="452" t="s">
        <v>171</v>
      </c>
      <c r="D2718" s="449">
        <v>46126</v>
      </c>
      <c r="E2718" s="454" t="s">
        <v>166</v>
      </c>
      <c r="F2718" s="460" t="s">
        <v>1588</v>
      </c>
      <c r="G2718" s="460" t="s">
        <v>581</v>
      </c>
      <c r="H2718" s="460"/>
      <c r="I2718" s="540">
        <v>0</v>
      </c>
      <c r="J2718" s="540">
        <v>266.66666666666669</v>
      </c>
      <c r="K2718" s="545">
        <v>0</v>
      </c>
      <c r="L2718" s="564">
        <v>0</v>
      </c>
      <c r="M2718" s="564">
        <v>136</v>
      </c>
      <c r="N2718" s="564" t="e">
        <v>#N/A</v>
      </c>
    </row>
    <row r="2719" spans="1:23" x14ac:dyDescent="0.25">
      <c r="A2719" s="753"/>
      <c r="C2719" s="452" t="s">
        <v>171</v>
      </c>
      <c r="D2719" s="449">
        <v>46126</v>
      </c>
      <c r="E2719" s="454" t="s">
        <v>576</v>
      </c>
      <c r="F2719" s="517"/>
      <c r="G2719" s="512"/>
      <c r="H2719" s="512"/>
      <c r="I2719" s="541">
        <v>0</v>
      </c>
      <c r="J2719" s="541">
        <v>0</v>
      </c>
      <c r="K2719" s="541">
        <v>0</v>
      </c>
      <c r="L2719" s="556"/>
      <c r="M2719" s="556"/>
      <c r="N2719" s="556"/>
    </row>
    <row r="2720" spans="1:23" x14ac:dyDescent="0.25">
      <c r="A2720" s="753"/>
      <c r="C2720" s="452" t="s">
        <v>171</v>
      </c>
      <c r="D2720" s="449">
        <v>46126</v>
      </c>
      <c r="E2720" s="454" t="s">
        <v>167</v>
      </c>
      <c r="F2720" s="460" t="s">
        <v>1588</v>
      </c>
      <c r="G2720" s="460" t="s">
        <v>581</v>
      </c>
      <c r="H2720" s="460"/>
      <c r="I2720" s="540">
        <v>0</v>
      </c>
      <c r="J2720" s="540">
        <v>266.66666666666669</v>
      </c>
      <c r="K2720" s="545">
        <v>0</v>
      </c>
      <c r="L2720" s="565">
        <v>0</v>
      </c>
      <c r="M2720" s="565">
        <v>136</v>
      </c>
      <c r="N2720" s="565" t="e">
        <v>#N/A</v>
      </c>
    </row>
    <row r="2721" spans="1:18" x14ac:dyDescent="0.25">
      <c r="A2721" s="753"/>
      <c r="C2721" s="452" t="s">
        <v>171</v>
      </c>
      <c r="D2721" s="449">
        <v>46126</v>
      </c>
      <c r="E2721" s="454" t="s">
        <v>168</v>
      </c>
      <c r="F2721" s="460" t="s">
        <v>1588</v>
      </c>
      <c r="G2721" s="460" t="s">
        <v>581</v>
      </c>
      <c r="H2721" s="460"/>
      <c r="I2721" s="540">
        <v>0</v>
      </c>
      <c r="J2721" s="540">
        <v>266.66666666666669</v>
      </c>
      <c r="K2721" s="545">
        <v>0</v>
      </c>
      <c r="L2721" s="565">
        <v>0</v>
      </c>
      <c r="M2721" s="565">
        <v>136</v>
      </c>
      <c r="N2721" s="565" t="e">
        <v>#N/A</v>
      </c>
    </row>
    <row r="2722" spans="1:18" x14ac:dyDescent="0.25">
      <c r="A2722" s="753"/>
      <c r="C2722" s="452" t="s">
        <v>171</v>
      </c>
      <c r="D2722" s="449">
        <v>46126</v>
      </c>
      <c r="E2722" s="454" t="s">
        <v>169</v>
      </c>
      <c r="F2722" s="460" t="s">
        <v>1588</v>
      </c>
      <c r="G2722" s="460" t="s">
        <v>581</v>
      </c>
      <c r="H2722" s="460"/>
      <c r="I2722" s="540">
        <v>0</v>
      </c>
      <c r="J2722" s="540">
        <v>266.66666666666669</v>
      </c>
      <c r="K2722" s="545">
        <v>0</v>
      </c>
      <c r="L2722" s="565">
        <v>0</v>
      </c>
      <c r="M2722" s="565">
        <v>136</v>
      </c>
      <c r="N2722" s="565" t="e">
        <v>#N/A</v>
      </c>
    </row>
    <row r="2723" spans="1:18" x14ac:dyDescent="0.25">
      <c r="A2723" s="753"/>
      <c r="C2723" s="452" t="s">
        <v>171</v>
      </c>
      <c r="D2723" s="449">
        <v>46126</v>
      </c>
      <c r="E2723" s="454" t="s">
        <v>170</v>
      </c>
      <c r="F2723" s="460" t="s">
        <v>1588</v>
      </c>
      <c r="G2723" s="460" t="s">
        <v>581</v>
      </c>
      <c r="H2723" s="460"/>
      <c r="I2723" s="540">
        <v>0</v>
      </c>
      <c r="J2723" s="540">
        <v>266.66666666666669</v>
      </c>
      <c r="K2723" s="545">
        <v>0</v>
      </c>
      <c r="L2723" s="566">
        <v>0</v>
      </c>
      <c r="M2723" s="566">
        <v>136</v>
      </c>
      <c r="N2723" s="566" t="e">
        <v>#N/A</v>
      </c>
    </row>
    <row r="2724" spans="1:18" x14ac:dyDescent="0.25">
      <c r="A2724" s="753"/>
      <c r="C2724" s="452" t="s">
        <v>171</v>
      </c>
      <c r="D2724" s="449">
        <v>46126</v>
      </c>
      <c r="E2724" s="454" t="s">
        <v>585</v>
      </c>
      <c r="F2724" s="505"/>
      <c r="G2724" s="505"/>
      <c r="H2724" s="505"/>
      <c r="I2724" s="516">
        <v>0</v>
      </c>
      <c r="J2724" s="516">
        <v>0</v>
      </c>
      <c r="K2724" s="516">
        <v>0</v>
      </c>
      <c r="L2724" s="557"/>
      <c r="M2724" s="557"/>
      <c r="N2724" s="557"/>
    </row>
    <row r="2725" spans="1:18" x14ac:dyDescent="0.25">
      <c r="A2725" s="753"/>
      <c r="C2725" s="448" t="s">
        <v>171</v>
      </c>
      <c r="D2725" s="449">
        <v>46126</v>
      </c>
      <c r="E2725" s="455" t="s">
        <v>574</v>
      </c>
      <c r="F2725" s="505"/>
      <c r="G2725" s="505"/>
      <c r="H2725" s="505"/>
      <c r="I2725" s="516">
        <v>0</v>
      </c>
      <c r="J2725" s="516">
        <v>0</v>
      </c>
      <c r="K2725" s="516">
        <v>0</v>
      </c>
      <c r="L2725" s="557"/>
      <c r="M2725" s="557"/>
      <c r="N2725" s="557"/>
    </row>
    <row r="2726" spans="1:18" x14ac:dyDescent="0.25">
      <c r="A2726" s="753"/>
      <c r="C2726" s="448" t="s">
        <v>171</v>
      </c>
      <c r="D2726" s="449">
        <v>46126</v>
      </c>
      <c r="E2726" s="455" t="s">
        <v>575</v>
      </c>
      <c r="F2726" s="506"/>
      <c r="G2726" s="506"/>
      <c r="H2726" s="506"/>
      <c r="I2726" s="516">
        <v>0</v>
      </c>
      <c r="J2726" s="516">
        <v>0</v>
      </c>
      <c r="K2726" s="516">
        <v>0</v>
      </c>
      <c r="L2726" s="557"/>
      <c r="M2726" s="557"/>
      <c r="N2726" s="557"/>
    </row>
    <row r="2727" spans="1:18" x14ac:dyDescent="0.25">
      <c r="A2727" s="753"/>
      <c r="C2727" s="448" t="s">
        <v>171</v>
      </c>
      <c r="D2727" s="449">
        <v>46126</v>
      </c>
      <c r="E2727" s="503" t="s">
        <v>583</v>
      </c>
      <c r="F2727" s="506"/>
      <c r="G2727" s="506"/>
      <c r="H2727" s="506"/>
      <c r="I2727" s="516">
        <v>0</v>
      </c>
      <c r="J2727" s="516">
        <v>0</v>
      </c>
      <c r="K2727" s="516">
        <v>0</v>
      </c>
      <c r="L2727" s="557"/>
      <c r="M2727" s="557"/>
      <c r="N2727" s="557"/>
    </row>
    <row r="2728" spans="1:18" ht="15.75" thickBot="1" x14ac:dyDescent="0.3">
      <c r="A2728" s="753"/>
      <c r="C2728" s="450" t="s">
        <v>171</v>
      </c>
      <c r="D2728" s="451">
        <v>46126</v>
      </c>
      <c r="E2728" s="459" t="s">
        <v>584</v>
      </c>
      <c r="F2728" s="493"/>
      <c r="G2728" s="493"/>
      <c r="H2728" s="493"/>
      <c r="I2728" s="513">
        <v>0</v>
      </c>
      <c r="J2728" s="513">
        <v>0</v>
      </c>
      <c r="K2728" s="513">
        <v>0</v>
      </c>
      <c r="L2728" s="558"/>
      <c r="M2728" s="558"/>
      <c r="N2728" s="558"/>
    </row>
    <row r="2729" spans="1:18" ht="4.5" customHeight="1" thickBot="1" x14ac:dyDescent="0.3">
      <c r="A2729" s="753"/>
      <c r="I2729" s="445"/>
      <c r="J2729" s="445"/>
      <c r="L2729" s="559"/>
      <c r="M2729" s="559"/>
      <c r="N2729" s="559"/>
      <c r="Q2729" s="3"/>
      <c r="R2729" s="3"/>
    </row>
    <row r="2730" spans="1:18" ht="15" customHeight="1" thickBot="1" x14ac:dyDescent="0.3">
      <c r="A2730" s="753"/>
      <c r="C2730" s="538"/>
      <c r="D2730" s="539"/>
      <c r="E2730" s="539"/>
      <c r="F2730" s="539"/>
      <c r="G2730" s="539"/>
      <c r="H2730" s="539"/>
      <c r="I2730" s="606">
        <v>0</v>
      </c>
      <c r="J2730" s="607">
        <v>2400</v>
      </c>
      <c r="K2730" s="544">
        <v>0</v>
      </c>
      <c r="L2730" s="560">
        <v>0</v>
      </c>
      <c r="M2730" s="561">
        <v>1224</v>
      </c>
      <c r="N2730" s="562">
        <v>0</v>
      </c>
      <c r="O2730" s="548">
        <v>2400</v>
      </c>
      <c r="P2730" s="549">
        <v>1224</v>
      </c>
      <c r="Q2730" s="3"/>
      <c r="R2730" s="3"/>
    </row>
    <row r="2731" spans="1:18" x14ac:dyDescent="0.25">
      <c r="A2731" s="753"/>
      <c r="C2731" s="446" t="s">
        <v>172</v>
      </c>
      <c r="D2731" s="497">
        <v>46127</v>
      </c>
      <c r="E2731" s="498" t="s">
        <v>573</v>
      </c>
      <c r="F2731" s="514"/>
      <c r="G2731" s="514"/>
      <c r="H2731" s="514"/>
      <c r="I2731" s="537">
        <v>0</v>
      </c>
      <c r="J2731" s="537">
        <v>0</v>
      </c>
      <c r="K2731" s="537">
        <v>0</v>
      </c>
      <c r="L2731" s="563"/>
      <c r="M2731" s="563"/>
      <c r="N2731" s="563"/>
    </row>
    <row r="2732" spans="1:18" x14ac:dyDescent="0.25">
      <c r="A2732" s="753"/>
      <c r="C2732" s="452" t="s">
        <v>172</v>
      </c>
      <c r="D2732" s="499">
        <v>46127</v>
      </c>
      <c r="E2732" s="500" t="s">
        <v>162</v>
      </c>
      <c r="F2732" s="460" t="s">
        <v>1588</v>
      </c>
      <c r="G2732" s="460" t="s">
        <v>581</v>
      </c>
      <c r="H2732" s="460"/>
      <c r="I2732" s="540">
        <v>0</v>
      </c>
      <c r="J2732" s="540">
        <v>266.66666666666669</v>
      </c>
      <c r="K2732" s="545">
        <v>0</v>
      </c>
      <c r="L2732" s="555">
        <v>0</v>
      </c>
      <c r="M2732" s="555">
        <v>136</v>
      </c>
      <c r="N2732" s="555" t="e">
        <v>#N/A</v>
      </c>
    </row>
    <row r="2733" spans="1:18" x14ac:dyDescent="0.25">
      <c r="A2733" s="753"/>
      <c r="C2733" s="452" t="s">
        <v>172</v>
      </c>
      <c r="D2733" s="449">
        <v>46127</v>
      </c>
      <c r="E2733" s="454" t="s">
        <v>163</v>
      </c>
      <c r="F2733" s="460" t="s">
        <v>1588</v>
      </c>
      <c r="G2733" s="460" t="s">
        <v>581</v>
      </c>
      <c r="H2733" s="460"/>
      <c r="I2733" s="540">
        <v>0</v>
      </c>
      <c r="J2733" s="540">
        <v>266.66666666666669</v>
      </c>
      <c r="K2733" s="545">
        <v>0</v>
      </c>
      <c r="L2733" s="564">
        <v>0</v>
      </c>
      <c r="M2733" s="564">
        <v>136</v>
      </c>
      <c r="N2733" s="564" t="e">
        <v>#N/A</v>
      </c>
    </row>
    <row r="2734" spans="1:18" x14ac:dyDescent="0.25">
      <c r="A2734" s="753"/>
      <c r="C2734" s="452" t="s">
        <v>172</v>
      </c>
      <c r="D2734" s="449">
        <v>46127</v>
      </c>
      <c r="E2734" s="454" t="s">
        <v>164</v>
      </c>
      <c r="F2734" s="460" t="s">
        <v>1588</v>
      </c>
      <c r="G2734" s="460" t="s">
        <v>581</v>
      </c>
      <c r="H2734" s="460"/>
      <c r="I2734" s="540">
        <v>0</v>
      </c>
      <c r="J2734" s="540">
        <v>266.66666666666669</v>
      </c>
      <c r="K2734" s="545">
        <v>0</v>
      </c>
      <c r="L2734" s="564">
        <v>0</v>
      </c>
      <c r="M2734" s="564">
        <v>136</v>
      </c>
      <c r="N2734" s="564" t="e">
        <v>#N/A</v>
      </c>
    </row>
    <row r="2735" spans="1:18" x14ac:dyDescent="0.25">
      <c r="A2735" s="753"/>
      <c r="C2735" s="452" t="s">
        <v>172</v>
      </c>
      <c r="D2735" s="449">
        <v>46127</v>
      </c>
      <c r="E2735" s="454" t="s">
        <v>165</v>
      </c>
      <c r="F2735" s="460" t="s">
        <v>1588</v>
      </c>
      <c r="G2735" s="460" t="s">
        <v>581</v>
      </c>
      <c r="H2735" s="460"/>
      <c r="I2735" s="540">
        <v>0</v>
      </c>
      <c r="J2735" s="540">
        <v>266.66666666666669</v>
      </c>
      <c r="K2735" s="545">
        <v>0</v>
      </c>
      <c r="L2735" s="564">
        <v>0</v>
      </c>
      <c r="M2735" s="564">
        <v>136</v>
      </c>
      <c r="N2735" s="564" t="e">
        <v>#N/A</v>
      </c>
    </row>
    <row r="2736" spans="1:18" x14ac:dyDescent="0.25">
      <c r="A2736" s="753"/>
      <c r="C2736" s="452" t="s">
        <v>172</v>
      </c>
      <c r="D2736" s="449">
        <v>46127</v>
      </c>
      <c r="E2736" s="454" t="s">
        <v>166</v>
      </c>
      <c r="F2736" s="460" t="s">
        <v>1588</v>
      </c>
      <c r="G2736" s="460" t="s">
        <v>581</v>
      </c>
      <c r="H2736" s="460"/>
      <c r="I2736" s="540">
        <v>0</v>
      </c>
      <c r="J2736" s="540">
        <v>266.66666666666669</v>
      </c>
      <c r="K2736" s="545">
        <v>0</v>
      </c>
      <c r="L2736" s="564">
        <v>0</v>
      </c>
      <c r="M2736" s="564">
        <v>136</v>
      </c>
      <c r="N2736" s="564" t="e">
        <v>#N/A</v>
      </c>
    </row>
    <row r="2737" spans="1:18" x14ac:dyDescent="0.25">
      <c r="A2737" s="753"/>
      <c r="C2737" s="452" t="s">
        <v>172</v>
      </c>
      <c r="D2737" s="449">
        <v>46127</v>
      </c>
      <c r="E2737" s="454" t="s">
        <v>576</v>
      </c>
      <c r="F2737" s="517"/>
      <c r="G2737" s="512"/>
      <c r="H2737" s="512"/>
      <c r="I2737" s="541">
        <v>0</v>
      </c>
      <c r="J2737" s="541">
        <v>0</v>
      </c>
      <c r="K2737" s="541">
        <v>0</v>
      </c>
      <c r="L2737" s="556"/>
      <c r="M2737" s="556"/>
      <c r="N2737" s="556"/>
    </row>
    <row r="2738" spans="1:18" x14ac:dyDescent="0.25">
      <c r="A2738" s="753"/>
      <c r="C2738" s="452" t="s">
        <v>172</v>
      </c>
      <c r="D2738" s="449">
        <v>46127</v>
      </c>
      <c r="E2738" s="454" t="s">
        <v>167</v>
      </c>
      <c r="F2738" s="460" t="s">
        <v>1588</v>
      </c>
      <c r="G2738" s="460" t="s">
        <v>581</v>
      </c>
      <c r="H2738" s="460"/>
      <c r="I2738" s="540">
        <v>0</v>
      </c>
      <c r="J2738" s="540">
        <v>266.66666666666669</v>
      </c>
      <c r="K2738" s="545">
        <v>0</v>
      </c>
      <c r="L2738" s="565">
        <v>0</v>
      </c>
      <c r="M2738" s="565">
        <v>136</v>
      </c>
      <c r="N2738" s="565" t="e">
        <v>#N/A</v>
      </c>
    </row>
    <row r="2739" spans="1:18" x14ac:dyDescent="0.25">
      <c r="A2739" s="753"/>
      <c r="C2739" s="452" t="s">
        <v>172</v>
      </c>
      <c r="D2739" s="449">
        <v>46127</v>
      </c>
      <c r="E2739" s="454" t="s">
        <v>168</v>
      </c>
      <c r="F2739" s="460" t="s">
        <v>1588</v>
      </c>
      <c r="G2739" s="460" t="s">
        <v>581</v>
      </c>
      <c r="H2739" s="460"/>
      <c r="I2739" s="540">
        <v>0</v>
      </c>
      <c r="J2739" s="540">
        <v>266.66666666666669</v>
      </c>
      <c r="K2739" s="545">
        <v>0</v>
      </c>
      <c r="L2739" s="565">
        <v>0</v>
      </c>
      <c r="M2739" s="565">
        <v>136</v>
      </c>
      <c r="N2739" s="565" t="e">
        <v>#N/A</v>
      </c>
    </row>
    <row r="2740" spans="1:18" x14ac:dyDescent="0.25">
      <c r="A2740" s="753"/>
      <c r="C2740" s="452" t="s">
        <v>172</v>
      </c>
      <c r="D2740" s="449">
        <v>46127</v>
      </c>
      <c r="E2740" s="454" t="s">
        <v>169</v>
      </c>
      <c r="F2740" s="460" t="s">
        <v>1588</v>
      </c>
      <c r="G2740" s="460" t="s">
        <v>581</v>
      </c>
      <c r="H2740" s="460"/>
      <c r="I2740" s="540">
        <v>0</v>
      </c>
      <c r="J2740" s="540">
        <v>266.66666666666669</v>
      </c>
      <c r="K2740" s="545">
        <v>0</v>
      </c>
      <c r="L2740" s="565">
        <v>0</v>
      </c>
      <c r="M2740" s="565">
        <v>136</v>
      </c>
      <c r="N2740" s="565" t="e">
        <v>#N/A</v>
      </c>
    </row>
    <row r="2741" spans="1:18" x14ac:dyDescent="0.25">
      <c r="A2741" s="753"/>
      <c r="C2741" s="452" t="s">
        <v>172</v>
      </c>
      <c r="D2741" s="449">
        <v>46127</v>
      </c>
      <c r="E2741" s="454" t="s">
        <v>170</v>
      </c>
      <c r="F2741" s="460" t="s">
        <v>1588</v>
      </c>
      <c r="G2741" s="460" t="s">
        <v>581</v>
      </c>
      <c r="H2741" s="460"/>
      <c r="I2741" s="540">
        <v>0</v>
      </c>
      <c r="J2741" s="540">
        <v>266.66666666666669</v>
      </c>
      <c r="K2741" s="545">
        <v>0</v>
      </c>
      <c r="L2741" s="566">
        <v>0</v>
      </c>
      <c r="M2741" s="566">
        <v>136</v>
      </c>
      <c r="N2741" s="566" t="e">
        <v>#N/A</v>
      </c>
    </row>
    <row r="2742" spans="1:18" x14ac:dyDescent="0.25">
      <c r="A2742" s="753"/>
      <c r="C2742" s="452" t="s">
        <v>172</v>
      </c>
      <c r="D2742" s="449">
        <v>46127</v>
      </c>
      <c r="E2742" s="454" t="s">
        <v>585</v>
      </c>
      <c r="F2742" s="505"/>
      <c r="G2742" s="505"/>
      <c r="H2742" s="505"/>
      <c r="I2742" s="516">
        <v>0</v>
      </c>
      <c r="J2742" s="516">
        <v>0</v>
      </c>
      <c r="K2742" s="516">
        <v>0</v>
      </c>
      <c r="L2742" s="557"/>
      <c r="M2742" s="557"/>
      <c r="N2742" s="557"/>
    </row>
    <row r="2743" spans="1:18" x14ac:dyDescent="0.25">
      <c r="A2743" s="753"/>
      <c r="C2743" s="448" t="s">
        <v>172</v>
      </c>
      <c r="D2743" s="449">
        <v>46127</v>
      </c>
      <c r="E2743" s="455" t="s">
        <v>574</v>
      </c>
      <c r="F2743" s="505"/>
      <c r="G2743" s="505"/>
      <c r="H2743" s="505"/>
      <c r="I2743" s="516">
        <v>0</v>
      </c>
      <c r="J2743" s="516">
        <v>0</v>
      </c>
      <c r="K2743" s="516">
        <v>0</v>
      </c>
      <c r="L2743" s="557"/>
      <c r="M2743" s="557"/>
      <c r="N2743" s="557"/>
    </row>
    <row r="2744" spans="1:18" x14ac:dyDescent="0.25">
      <c r="A2744" s="753"/>
      <c r="C2744" s="448" t="s">
        <v>172</v>
      </c>
      <c r="D2744" s="449">
        <v>46127</v>
      </c>
      <c r="E2744" s="455" t="s">
        <v>575</v>
      </c>
      <c r="F2744" s="506"/>
      <c r="G2744" s="506"/>
      <c r="H2744" s="506"/>
      <c r="I2744" s="516">
        <v>0</v>
      </c>
      <c r="J2744" s="516">
        <v>0</v>
      </c>
      <c r="K2744" s="516">
        <v>0</v>
      </c>
      <c r="L2744" s="557"/>
      <c r="M2744" s="557"/>
      <c r="N2744" s="557"/>
    </row>
    <row r="2745" spans="1:18" x14ac:dyDescent="0.25">
      <c r="A2745" s="753"/>
      <c r="C2745" s="448" t="s">
        <v>172</v>
      </c>
      <c r="D2745" s="449">
        <v>46127</v>
      </c>
      <c r="E2745" s="503" t="s">
        <v>583</v>
      </c>
      <c r="F2745" s="506"/>
      <c r="G2745" s="506"/>
      <c r="H2745" s="506"/>
      <c r="I2745" s="516">
        <v>0</v>
      </c>
      <c r="J2745" s="516">
        <v>0</v>
      </c>
      <c r="K2745" s="516">
        <v>0</v>
      </c>
      <c r="L2745" s="557"/>
      <c r="M2745" s="557"/>
      <c r="N2745" s="557"/>
    </row>
    <row r="2746" spans="1:18" ht="15.75" thickBot="1" x14ac:dyDescent="0.3">
      <c r="A2746" s="753"/>
      <c r="C2746" s="450" t="s">
        <v>172</v>
      </c>
      <c r="D2746" s="451">
        <v>46127</v>
      </c>
      <c r="E2746" s="459" t="s">
        <v>584</v>
      </c>
      <c r="F2746" s="493"/>
      <c r="G2746" s="493"/>
      <c r="H2746" s="493"/>
      <c r="I2746" s="513">
        <v>0</v>
      </c>
      <c r="J2746" s="513">
        <v>0</v>
      </c>
      <c r="K2746" s="513">
        <v>0</v>
      </c>
      <c r="L2746" s="558"/>
      <c r="M2746" s="558"/>
      <c r="N2746" s="558"/>
    </row>
    <row r="2747" spans="1:18" ht="4.5" customHeight="1" thickBot="1" x14ac:dyDescent="0.3">
      <c r="A2747" s="753"/>
      <c r="I2747" s="445"/>
      <c r="J2747" s="445"/>
      <c r="L2747" s="559"/>
      <c r="M2747" s="559"/>
      <c r="N2747" s="559"/>
      <c r="Q2747" s="3"/>
      <c r="R2747" s="3"/>
    </row>
    <row r="2748" spans="1:18" ht="15" customHeight="1" thickBot="1" x14ac:dyDescent="0.3">
      <c r="A2748" s="753"/>
      <c r="C2748" s="538"/>
      <c r="D2748" s="539"/>
      <c r="E2748" s="539"/>
      <c r="F2748" s="539"/>
      <c r="G2748" s="539"/>
      <c r="H2748" s="539"/>
      <c r="I2748" s="606">
        <v>0</v>
      </c>
      <c r="J2748" s="607">
        <v>2400</v>
      </c>
      <c r="K2748" s="544">
        <v>0</v>
      </c>
      <c r="L2748" s="560">
        <v>0</v>
      </c>
      <c r="M2748" s="561">
        <v>1224</v>
      </c>
      <c r="N2748" s="562">
        <v>0</v>
      </c>
      <c r="O2748" s="548">
        <v>2400</v>
      </c>
      <c r="P2748" s="549">
        <v>1224</v>
      </c>
      <c r="Q2748" s="3"/>
      <c r="R2748" s="3"/>
    </row>
    <row r="2749" spans="1:18" x14ac:dyDescent="0.25">
      <c r="A2749" s="753"/>
      <c r="C2749" s="529" t="s">
        <v>173</v>
      </c>
      <c r="D2749" s="447">
        <v>46128</v>
      </c>
      <c r="E2749" s="498" t="s">
        <v>573</v>
      </c>
      <c r="F2749" s="514"/>
      <c r="G2749" s="514"/>
      <c r="H2749" s="514"/>
      <c r="I2749" s="537">
        <v>0</v>
      </c>
      <c r="J2749" s="537">
        <v>0</v>
      </c>
      <c r="K2749" s="537">
        <v>0</v>
      </c>
      <c r="L2749" s="563"/>
      <c r="M2749" s="563"/>
      <c r="N2749" s="563"/>
    </row>
    <row r="2750" spans="1:18" x14ac:dyDescent="0.25">
      <c r="A2750" s="753"/>
      <c r="C2750" s="452" t="s">
        <v>173</v>
      </c>
      <c r="D2750" s="453">
        <v>46128</v>
      </c>
      <c r="E2750" s="500" t="s">
        <v>162</v>
      </c>
      <c r="F2750" s="460" t="s">
        <v>1588</v>
      </c>
      <c r="G2750" s="460" t="s">
        <v>581</v>
      </c>
      <c r="H2750" s="460" t="s">
        <v>1607</v>
      </c>
      <c r="I2750" s="540">
        <v>0</v>
      </c>
      <c r="J2750" s="540">
        <v>266.66666666666669</v>
      </c>
      <c r="K2750" s="545">
        <v>0</v>
      </c>
      <c r="L2750" s="555">
        <v>0</v>
      </c>
      <c r="M2750" s="555">
        <v>136</v>
      </c>
      <c r="N2750" s="555" t="e">
        <v>#N/A</v>
      </c>
    </row>
    <row r="2751" spans="1:18" x14ac:dyDescent="0.25">
      <c r="A2751" s="753"/>
      <c r="C2751" s="452" t="s">
        <v>173</v>
      </c>
      <c r="D2751" s="453">
        <v>46128</v>
      </c>
      <c r="E2751" s="454" t="s">
        <v>163</v>
      </c>
      <c r="F2751" s="460" t="s">
        <v>1588</v>
      </c>
      <c r="G2751" s="460" t="s">
        <v>581</v>
      </c>
      <c r="H2751" s="460" t="s">
        <v>1607</v>
      </c>
      <c r="I2751" s="540">
        <v>0</v>
      </c>
      <c r="J2751" s="540">
        <v>266.66666666666669</v>
      </c>
      <c r="K2751" s="545">
        <v>0</v>
      </c>
      <c r="L2751" s="564">
        <v>0</v>
      </c>
      <c r="M2751" s="564">
        <v>136</v>
      </c>
      <c r="N2751" s="564" t="e">
        <v>#N/A</v>
      </c>
    </row>
    <row r="2752" spans="1:18" x14ac:dyDescent="0.25">
      <c r="A2752" s="753"/>
      <c r="C2752" s="452" t="s">
        <v>173</v>
      </c>
      <c r="D2752" s="453">
        <v>46128</v>
      </c>
      <c r="E2752" s="454" t="s">
        <v>164</v>
      </c>
      <c r="F2752" s="460" t="s">
        <v>1588</v>
      </c>
      <c r="G2752" s="460" t="s">
        <v>581</v>
      </c>
      <c r="H2752" s="460" t="s">
        <v>1607</v>
      </c>
      <c r="I2752" s="540">
        <v>0</v>
      </c>
      <c r="J2752" s="540">
        <v>266.66666666666669</v>
      </c>
      <c r="K2752" s="545">
        <v>0</v>
      </c>
      <c r="L2752" s="564">
        <v>0</v>
      </c>
      <c r="M2752" s="564">
        <v>136</v>
      </c>
      <c r="N2752" s="564" t="e">
        <v>#N/A</v>
      </c>
    </row>
    <row r="2753" spans="1:18" x14ac:dyDescent="0.25">
      <c r="A2753" s="753"/>
      <c r="C2753" s="452" t="s">
        <v>173</v>
      </c>
      <c r="D2753" s="453">
        <v>46128</v>
      </c>
      <c r="E2753" s="454" t="s">
        <v>165</v>
      </c>
      <c r="F2753" s="460" t="s">
        <v>1588</v>
      </c>
      <c r="G2753" s="460" t="s">
        <v>581</v>
      </c>
      <c r="H2753" s="460" t="s">
        <v>1607</v>
      </c>
      <c r="I2753" s="540">
        <v>0</v>
      </c>
      <c r="J2753" s="540">
        <v>266.66666666666669</v>
      </c>
      <c r="K2753" s="545">
        <v>0</v>
      </c>
      <c r="L2753" s="564">
        <v>0</v>
      </c>
      <c r="M2753" s="564">
        <v>136</v>
      </c>
      <c r="N2753" s="564" t="e">
        <v>#N/A</v>
      </c>
    </row>
    <row r="2754" spans="1:18" x14ac:dyDescent="0.25">
      <c r="A2754" s="753"/>
      <c r="C2754" s="452" t="s">
        <v>173</v>
      </c>
      <c r="D2754" s="453">
        <v>46128</v>
      </c>
      <c r="E2754" s="454" t="s">
        <v>166</v>
      </c>
      <c r="F2754" s="460" t="s">
        <v>1588</v>
      </c>
      <c r="G2754" s="460" t="s">
        <v>581</v>
      </c>
      <c r="H2754" s="460" t="s">
        <v>1607</v>
      </c>
      <c r="I2754" s="540">
        <v>0</v>
      </c>
      <c r="J2754" s="540">
        <v>266.66666666666669</v>
      </c>
      <c r="K2754" s="545">
        <v>0</v>
      </c>
      <c r="L2754" s="564">
        <v>0</v>
      </c>
      <c r="M2754" s="564">
        <v>136</v>
      </c>
      <c r="N2754" s="564" t="e">
        <v>#N/A</v>
      </c>
    </row>
    <row r="2755" spans="1:18" x14ac:dyDescent="0.25">
      <c r="A2755" s="753"/>
      <c r="C2755" s="452" t="s">
        <v>173</v>
      </c>
      <c r="D2755" s="453">
        <v>46128</v>
      </c>
      <c r="E2755" s="454" t="s">
        <v>576</v>
      </c>
      <c r="F2755" s="517"/>
      <c r="G2755" s="512"/>
      <c r="H2755" s="512"/>
      <c r="I2755" s="541">
        <v>0</v>
      </c>
      <c r="J2755" s="541">
        <v>0</v>
      </c>
      <c r="K2755" s="541">
        <v>0</v>
      </c>
      <c r="L2755" s="556"/>
      <c r="M2755" s="556"/>
      <c r="N2755" s="556"/>
    </row>
    <row r="2756" spans="1:18" x14ac:dyDescent="0.25">
      <c r="A2756" s="753"/>
      <c r="C2756" s="452" t="s">
        <v>173</v>
      </c>
      <c r="D2756" s="449">
        <v>46128</v>
      </c>
      <c r="E2756" s="454" t="s">
        <v>167</v>
      </c>
      <c r="F2756" s="460" t="s">
        <v>1588</v>
      </c>
      <c r="G2756" s="460" t="s">
        <v>581</v>
      </c>
      <c r="H2756" s="460"/>
      <c r="I2756" s="540">
        <v>0</v>
      </c>
      <c r="J2756" s="540">
        <v>266.66666666666669</v>
      </c>
      <c r="K2756" s="545">
        <v>0</v>
      </c>
      <c r="L2756" s="565">
        <v>0</v>
      </c>
      <c r="M2756" s="565">
        <v>136</v>
      </c>
      <c r="N2756" s="565" t="e">
        <v>#N/A</v>
      </c>
    </row>
    <row r="2757" spans="1:18" x14ac:dyDescent="0.25">
      <c r="A2757" s="753"/>
      <c r="C2757" s="452" t="s">
        <v>173</v>
      </c>
      <c r="D2757" s="449">
        <v>46128</v>
      </c>
      <c r="E2757" s="454" t="s">
        <v>168</v>
      </c>
      <c r="F2757" s="460" t="s">
        <v>1588</v>
      </c>
      <c r="G2757" s="460" t="s">
        <v>581</v>
      </c>
      <c r="H2757" s="460"/>
      <c r="I2757" s="540">
        <v>0</v>
      </c>
      <c r="J2757" s="540">
        <v>266.66666666666669</v>
      </c>
      <c r="K2757" s="545">
        <v>0</v>
      </c>
      <c r="L2757" s="565">
        <v>0</v>
      </c>
      <c r="M2757" s="565">
        <v>136</v>
      </c>
      <c r="N2757" s="565" t="e">
        <v>#N/A</v>
      </c>
    </row>
    <row r="2758" spans="1:18" x14ac:dyDescent="0.25">
      <c r="A2758" s="753"/>
      <c r="C2758" s="452" t="s">
        <v>173</v>
      </c>
      <c r="D2758" s="449">
        <v>46128</v>
      </c>
      <c r="E2758" s="454" t="s">
        <v>169</v>
      </c>
      <c r="F2758" s="460" t="s">
        <v>1588</v>
      </c>
      <c r="G2758" s="460" t="s">
        <v>581</v>
      </c>
      <c r="H2758" s="460"/>
      <c r="I2758" s="540">
        <v>0</v>
      </c>
      <c r="J2758" s="540">
        <v>266.66666666666669</v>
      </c>
      <c r="K2758" s="545">
        <v>0</v>
      </c>
      <c r="L2758" s="565">
        <v>0</v>
      </c>
      <c r="M2758" s="565">
        <v>136</v>
      </c>
      <c r="N2758" s="565" t="e">
        <v>#N/A</v>
      </c>
    </row>
    <row r="2759" spans="1:18" x14ac:dyDescent="0.25">
      <c r="A2759" s="753"/>
      <c r="C2759" s="452" t="s">
        <v>173</v>
      </c>
      <c r="D2759" s="449">
        <v>46128</v>
      </c>
      <c r="E2759" s="454" t="s">
        <v>170</v>
      </c>
      <c r="F2759" s="460" t="s">
        <v>1588</v>
      </c>
      <c r="G2759" s="460" t="s">
        <v>581</v>
      </c>
      <c r="H2759" s="460"/>
      <c r="I2759" s="540">
        <v>0</v>
      </c>
      <c r="J2759" s="540">
        <v>266.66666666666669</v>
      </c>
      <c r="K2759" s="545">
        <v>0</v>
      </c>
      <c r="L2759" s="566">
        <v>0</v>
      </c>
      <c r="M2759" s="566">
        <v>136</v>
      </c>
      <c r="N2759" s="566" t="e">
        <v>#N/A</v>
      </c>
    </row>
    <row r="2760" spans="1:18" x14ac:dyDescent="0.25">
      <c r="A2760" s="753"/>
      <c r="C2760" s="452" t="s">
        <v>173</v>
      </c>
      <c r="D2760" s="449">
        <v>46128</v>
      </c>
      <c r="E2760" s="454" t="s">
        <v>585</v>
      </c>
      <c r="F2760" s="505"/>
      <c r="G2760" s="505"/>
      <c r="H2760" s="505"/>
      <c r="I2760" s="516">
        <v>0</v>
      </c>
      <c r="J2760" s="516">
        <v>0</v>
      </c>
      <c r="K2760" s="516">
        <v>0</v>
      </c>
      <c r="L2760" s="557"/>
      <c r="M2760" s="557"/>
      <c r="N2760" s="557"/>
    </row>
    <row r="2761" spans="1:18" x14ac:dyDescent="0.25">
      <c r="A2761" s="753"/>
      <c r="C2761" s="452" t="s">
        <v>173</v>
      </c>
      <c r="D2761" s="449">
        <v>46128</v>
      </c>
      <c r="E2761" s="455" t="s">
        <v>574</v>
      </c>
      <c r="F2761" s="505"/>
      <c r="G2761" s="505"/>
      <c r="H2761" s="505"/>
      <c r="I2761" s="516">
        <v>0</v>
      </c>
      <c r="J2761" s="516">
        <v>0</v>
      </c>
      <c r="K2761" s="516">
        <v>0</v>
      </c>
      <c r="L2761" s="557"/>
      <c r="M2761" s="557"/>
      <c r="N2761" s="557"/>
    </row>
    <row r="2762" spans="1:18" x14ac:dyDescent="0.25">
      <c r="A2762" s="753"/>
      <c r="C2762" s="452" t="s">
        <v>173</v>
      </c>
      <c r="D2762" s="449">
        <v>46128</v>
      </c>
      <c r="E2762" s="455" t="s">
        <v>575</v>
      </c>
      <c r="F2762" s="506"/>
      <c r="G2762" s="506"/>
      <c r="H2762" s="506"/>
      <c r="I2762" s="516">
        <v>0</v>
      </c>
      <c r="J2762" s="516">
        <v>0</v>
      </c>
      <c r="K2762" s="516">
        <v>0</v>
      </c>
      <c r="L2762" s="557"/>
      <c r="M2762" s="557"/>
      <c r="N2762" s="557"/>
    </row>
    <row r="2763" spans="1:18" x14ac:dyDescent="0.25">
      <c r="A2763" s="753"/>
      <c r="C2763" s="452" t="s">
        <v>173</v>
      </c>
      <c r="D2763" s="449">
        <v>46128</v>
      </c>
      <c r="E2763" s="503" t="s">
        <v>583</v>
      </c>
      <c r="F2763" s="506"/>
      <c r="G2763" s="506"/>
      <c r="H2763" s="506"/>
      <c r="I2763" s="516">
        <v>0</v>
      </c>
      <c r="J2763" s="516">
        <v>0</v>
      </c>
      <c r="K2763" s="516">
        <v>0</v>
      </c>
      <c r="L2763" s="557"/>
      <c r="M2763" s="557"/>
      <c r="N2763" s="557"/>
    </row>
    <row r="2764" spans="1:18" ht="15.75" thickBot="1" x14ac:dyDescent="0.3">
      <c r="A2764" s="753"/>
      <c r="C2764" s="530" t="s">
        <v>173</v>
      </c>
      <c r="D2764" s="451">
        <v>46128</v>
      </c>
      <c r="E2764" s="459" t="s">
        <v>584</v>
      </c>
      <c r="F2764" s="493"/>
      <c r="G2764" s="493"/>
      <c r="H2764" s="493"/>
      <c r="I2764" s="513">
        <v>0</v>
      </c>
      <c r="J2764" s="513">
        <v>0</v>
      </c>
      <c r="K2764" s="513">
        <v>0</v>
      </c>
      <c r="L2764" s="558"/>
      <c r="M2764" s="558"/>
      <c r="N2764" s="558"/>
    </row>
    <row r="2765" spans="1:18" ht="4.5" customHeight="1" thickBot="1" x14ac:dyDescent="0.3">
      <c r="A2765" s="753"/>
      <c r="I2765" s="608"/>
      <c r="J2765" s="608"/>
      <c r="K2765" s="420"/>
      <c r="L2765" s="559"/>
      <c r="M2765" s="559"/>
      <c r="N2765" s="559"/>
      <c r="Q2765" s="3"/>
      <c r="R2765" s="3"/>
    </row>
    <row r="2766" spans="1:18" ht="15" customHeight="1" thickBot="1" x14ac:dyDescent="0.3">
      <c r="A2766" s="753"/>
      <c r="C2766" s="546">
        <v>15561.000000000002</v>
      </c>
      <c r="D2766" s="547">
        <v>9690.85</v>
      </c>
      <c r="E2766" s="539"/>
      <c r="F2766" s="539"/>
      <c r="G2766" s="539"/>
      <c r="H2766" s="539"/>
      <c r="I2766" s="606">
        <v>0</v>
      </c>
      <c r="J2766" s="607">
        <v>2133.3333333333335</v>
      </c>
      <c r="K2766" s="544">
        <v>0</v>
      </c>
      <c r="L2766" s="560">
        <v>0</v>
      </c>
      <c r="M2766" s="561">
        <v>1088</v>
      </c>
      <c r="N2766" s="562">
        <v>0</v>
      </c>
      <c r="O2766" s="548">
        <v>2133.3333333333335</v>
      </c>
      <c r="P2766" s="549">
        <v>1088</v>
      </c>
      <c r="Q2766" s="3"/>
      <c r="R2766" s="3"/>
    </row>
    <row r="2767" spans="1:18" x14ac:dyDescent="0.25">
      <c r="A2767" s="753"/>
      <c r="C2767" s="529" t="s">
        <v>174</v>
      </c>
      <c r="D2767" s="447">
        <v>46129</v>
      </c>
      <c r="E2767" s="498" t="s">
        <v>573</v>
      </c>
      <c r="F2767" s="514"/>
      <c r="G2767" s="514"/>
      <c r="H2767" s="514"/>
      <c r="I2767" s="537">
        <v>0</v>
      </c>
      <c r="J2767" s="537">
        <v>0</v>
      </c>
      <c r="K2767" s="537">
        <v>0</v>
      </c>
      <c r="L2767" s="563"/>
      <c r="M2767" s="563"/>
      <c r="N2767" s="563"/>
    </row>
    <row r="2768" spans="1:18" x14ac:dyDescent="0.25">
      <c r="A2768" s="753"/>
      <c r="C2768" s="452" t="s">
        <v>174</v>
      </c>
      <c r="D2768" s="453">
        <v>46129</v>
      </c>
      <c r="E2768" s="500" t="s">
        <v>162</v>
      </c>
      <c r="F2768" s="460" t="s">
        <v>1588</v>
      </c>
      <c r="G2768" s="460" t="s">
        <v>581</v>
      </c>
      <c r="H2768" s="460"/>
      <c r="I2768" s="540">
        <v>0</v>
      </c>
      <c r="J2768" s="540">
        <v>266.66666666666669</v>
      </c>
      <c r="K2768" s="545">
        <v>0</v>
      </c>
      <c r="L2768" s="555">
        <v>0</v>
      </c>
      <c r="M2768" s="555">
        <v>136</v>
      </c>
      <c r="N2768" s="555" t="e">
        <v>#N/A</v>
      </c>
    </row>
    <row r="2769" spans="1:14" x14ac:dyDescent="0.25">
      <c r="A2769" s="753"/>
      <c r="C2769" s="452" t="s">
        <v>174</v>
      </c>
      <c r="D2769" s="453">
        <v>46129</v>
      </c>
      <c r="E2769" s="454" t="s">
        <v>163</v>
      </c>
      <c r="F2769" s="460" t="s">
        <v>1588</v>
      </c>
      <c r="G2769" s="460" t="s">
        <v>581</v>
      </c>
      <c r="H2769" s="460"/>
      <c r="I2769" s="540">
        <v>0</v>
      </c>
      <c r="J2769" s="540">
        <v>266.66666666666669</v>
      </c>
      <c r="K2769" s="545">
        <v>0</v>
      </c>
      <c r="L2769" s="564">
        <v>0</v>
      </c>
      <c r="M2769" s="564">
        <v>136</v>
      </c>
      <c r="N2769" s="564" t="e">
        <v>#N/A</v>
      </c>
    </row>
    <row r="2770" spans="1:14" x14ac:dyDescent="0.25">
      <c r="A2770" s="753"/>
      <c r="C2770" s="452" t="s">
        <v>174</v>
      </c>
      <c r="D2770" s="453">
        <v>46129</v>
      </c>
      <c r="E2770" s="454" t="s">
        <v>164</v>
      </c>
      <c r="F2770" s="460" t="s">
        <v>1588</v>
      </c>
      <c r="G2770" s="460" t="s">
        <v>581</v>
      </c>
      <c r="H2770" s="460"/>
      <c r="I2770" s="540">
        <v>0</v>
      </c>
      <c r="J2770" s="540">
        <v>266.66666666666669</v>
      </c>
      <c r="K2770" s="545">
        <v>0</v>
      </c>
      <c r="L2770" s="564">
        <v>0</v>
      </c>
      <c r="M2770" s="564">
        <v>136</v>
      </c>
      <c r="N2770" s="564" t="e">
        <v>#N/A</v>
      </c>
    </row>
    <row r="2771" spans="1:14" x14ac:dyDescent="0.25">
      <c r="A2771" s="753"/>
      <c r="C2771" s="452" t="s">
        <v>174</v>
      </c>
      <c r="D2771" s="453">
        <v>46129</v>
      </c>
      <c r="E2771" s="454" t="s">
        <v>165</v>
      </c>
      <c r="F2771" s="460" t="s">
        <v>1588</v>
      </c>
      <c r="G2771" s="460" t="s">
        <v>581</v>
      </c>
      <c r="H2771" s="460"/>
      <c r="I2771" s="540">
        <v>0</v>
      </c>
      <c r="J2771" s="540">
        <v>266.66666666666669</v>
      </c>
      <c r="K2771" s="545">
        <v>0</v>
      </c>
      <c r="L2771" s="564">
        <v>0</v>
      </c>
      <c r="M2771" s="564">
        <v>136</v>
      </c>
      <c r="N2771" s="564" t="e">
        <v>#N/A</v>
      </c>
    </row>
    <row r="2772" spans="1:14" x14ac:dyDescent="0.25">
      <c r="A2772" s="753"/>
      <c r="C2772" s="452" t="s">
        <v>174</v>
      </c>
      <c r="D2772" s="453">
        <v>46129</v>
      </c>
      <c r="E2772" s="454" t="s">
        <v>166</v>
      </c>
      <c r="F2772" s="460" t="s">
        <v>1588</v>
      </c>
      <c r="G2772" s="460" t="s">
        <v>581</v>
      </c>
      <c r="H2772" s="460"/>
      <c r="I2772" s="540">
        <v>0</v>
      </c>
      <c r="J2772" s="540">
        <v>266.66666666666669</v>
      </c>
      <c r="K2772" s="545">
        <v>0</v>
      </c>
      <c r="L2772" s="564">
        <v>0</v>
      </c>
      <c r="M2772" s="564">
        <v>136</v>
      </c>
      <c r="N2772" s="564" t="e">
        <v>#N/A</v>
      </c>
    </row>
    <row r="2773" spans="1:14" x14ac:dyDescent="0.25">
      <c r="A2773" s="753"/>
      <c r="C2773" s="452" t="s">
        <v>174</v>
      </c>
      <c r="D2773" s="453">
        <v>46129</v>
      </c>
      <c r="E2773" s="454" t="s">
        <v>576</v>
      </c>
      <c r="F2773" s="517"/>
      <c r="G2773" s="512"/>
      <c r="H2773" s="512"/>
      <c r="I2773" s="541">
        <v>0</v>
      </c>
      <c r="J2773" s="541">
        <v>0</v>
      </c>
      <c r="K2773" s="541">
        <v>0</v>
      </c>
      <c r="L2773" s="556"/>
      <c r="M2773" s="556"/>
      <c r="N2773" s="556"/>
    </row>
    <row r="2774" spans="1:14" x14ac:dyDescent="0.25">
      <c r="A2774" s="753"/>
      <c r="C2774" s="452" t="s">
        <v>174</v>
      </c>
      <c r="D2774" s="449">
        <v>46129</v>
      </c>
      <c r="E2774" s="454" t="s">
        <v>167</v>
      </c>
      <c r="F2774" s="460" t="s">
        <v>1588</v>
      </c>
      <c r="G2774" s="460" t="s">
        <v>581</v>
      </c>
      <c r="H2774" s="460"/>
      <c r="I2774" s="540">
        <v>0</v>
      </c>
      <c r="J2774" s="540">
        <v>266.66666666666669</v>
      </c>
      <c r="K2774" s="545">
        <v>0</v>
      </c>
      <c r="L2774" s="565">
        <v>0</v>
      </c>
      <c r="M2774" s="565">
        <v>136</v>
      </c>
      <c r="N2774" s="565" t="e">
        <v>#N/A</v>
      </c>
    </row>
    <row r="2775" spans="1:14" x14ac:dyDescent="0.25">
      <c r="A2775" s="753"/>
      <c r="C2775" s="452" t="s">
        <v>174</v>
      </c>
      <c r="D2775" s="449">
        <v>46129</v>
      </c>
      <c r="E2775" s="454" t="s">
        <v>168</v>
      </c>
      <c r="F2775" s="460" t="s">
        <v>1588</v>
      </c>
      <c r="G2775" s="460" t="s">
        <v>581</v>
      </c>
      <c r="H2775" s="460"/>
      <c r="I2775" s="540">
        <v>0</v>
      </c>
      <c r="J2775" s="540">
        <v>266.66666666666669</v>
      </c>
      <c r="K2775" s="545">
        <v>0</v>
      </c>
      <c r="L2775" s="565">
        <v>0</v>
      </c>
      <c r="M2775" s="565">
        <v>136</v>
      </c>
      <c r="N2775" s="565" t="e">
        <v>#N/A</v>
      </c>
    </row>
    <row r="2776" spans="1:14" x14ac:dyDescent="0.25">
      <c r="A2776" s="753"/>
      <c r="C2776" s="452" t="s">
        <v>174</v>
      </c>
      <c r="D2776" s="449">
        <v>46129</v>
      </c>
      <c r="E2776" s="454" t="s">
        <v>169</v>
      </c>
      <c r="F2776" s="460" t="s">
        <v>1588</v>
      </c>
      <c r="G2776" s="460" t="s">
        <v>581</v>
      </c>
      <c r="H2776" s="460"/>
      <c r="I2776" s="540">
        <v>0</v>
      </c>
      <c r="J2776" s="540">
        <v>266.66666666666669</v>
      </c>
      <c r="K2776" s="545">
        <v>0</v>
      </c>
      <c r="L2776" s="565">
        <v>0</v>
      </c>
      <c r="M2776" s="565">
        <v>136</v>
      </c>
      <c r="N2776" s="565" t="e">
        <v>#N/A</v>
      </c>
    </row>
    <row r="2777" spans="1:14" x14ac:dyDescent="0.25">
      <c r="A2777" s="753"/>
      <c r="C2777" s="452" t="s">
        <v>174</v>
      </c>
      <c r="D2777" s="449">
        <v>46129</v>
      </c>
      <c r="E2777" s="454" t="s">
        <v>170</v>
      </c>
      <c r="F2777" s="505"/>
      <c r="G2777" s="505"/>
      <c r="H2777" s="505"/>
      <c r="I2777" s="516">
        <v>0</v>
      </c>
      <c r="J2777" s="516">
        <v>0</v>
      </c>
      <c r="K2777" s="516">
        <v>0</v>
      </c>
      <c r="L2777" s="557"/>
      <c r="M2777" s="557"/>
      <c r="N2777" s="557"/>
    </row>
    <row r="2778" spans="1:14" x14ac:dyDescent="0.25">
      <c r="A2778" s="753"/>
      <c r="C2778" s="452" t="s">
        <v>174</v>
      </c>
      <c r="D2778" s="449">
        <v>46129</v>
      </c>
      <c r="E2778" s="454" t="s">
        <v>585</v>
      </c>
      <c r="F2778" s="505"/>
      <c r="G2778" s="505"/>
      <c r="H2778" s="505"/>
      <c r="I2778" s="516">
        <v>0</v>
      </c>
      <c r="J2778" s="516">
        <v>0</v>
      </c>
      <c r="K2778" s="516">
        <v>0</v>
      </c>
      <c r="L2778" s="557"/>
      <c r="M2778" s="557"/>
      <c r="N2778" s="557"/>
    </row>
    <row r="2779" spans="1:14" x14ac:dyDescent="0.25">
      <c r="A2779" s="753"/>
      <c r="C2779" s="452" t="s">
        <v>174</v>
      </c>
      <c r="D2779" s="449">
        <v>46129</v>
      </c>
      <c r="E2779" s="455" t="s">
        <v>574</v>
      </c>
      <c r="F2779" s="505"/>
      <c r="G2779" s="505"/>
      <c r="H2779" s="505"/>
      <c r="I2779" s="516">
        <v>0</v>
      </c>
      <c r="J2779" s="516">
        <v>0</v>
      </c>
      <c r="K2779" s="516">
        <v>0</v>
      </c>
      <c r="L2779" s="557"/>
      <c r="M2779" s="557"/>
      <c r="N2779" s="557"/>
    </row>
    <row r="2780" spans="1:14" x14ac:dyDescent="0.25">
      <c r="A2780" s="753"/>
      <c r="C2780" s="452" t="s">
        <v>174</v>
      </c>
      <c r="D2780" s="449">
        <v>46129</v>
      </c>
      <c r="E2780" s="455" t="s">
        <v>575</v>
      </c>
      <c r="F2780" s="506"/>
      <c r="G2780" s="506"/>
      <c r="H2780" s="506"/>
      <c r="I2780" s="516">
        <v>0</v>
      </c>
      <c r="J2780" s="516">
        <v>0</v>
      </c>
      <c r="K2780" s="516">
        <v>0</v>
      </c>
      <c r="L2780" s="557"/>
      <c r="M2780" s="557"/>
      <c r="N2780" s="557"/>
    </row>
    <row r="2781" spans="1:14" x14ac:dyDescent="0.25">
      <c r="A2781" s="753"/>
      <c r="C2781" s="452" t="s">
        <v>174</v>
      </c>
      <c r="D2781" s="502">
        <v>46129</v>
      </c>
      <c r="E2781" s="503" t="s">
        <v>583</v>
      </c>
      <c r="F2781" s="506"/>
      <c r="G2781" s="506"/>
      <c r="H2781" s="506"/>
      <c r="I2781" s="516">
        <v>0</v>
      </c>
      <c r="J2781" s="516">
        <v>0</v>
      </c>
      <c r="K2781" s="516">
        <v>0</v>
      </c>
      <c r="L2781" s="557"/>
      <c r="M2781" s="557"/>
      <c r="N2781" s="557"/>
    </row>
    <row r="2782" spans="1:14" ht="15.75" thickBot="1" x14ac:dyDescent="0.3">
      <c r="A2782" s="753"/>
      <c r="C2782" s="530" t="s">
        <v>174</v>
      </c>
      <c r="D2782" s="451">
        <v>46129</v>
      </c>
      <c r="E2782" s="459" t="s">
        <v>584</v>
      </c>
      <c r="F2782" s="493"/>
      <c r="G2782" s="493"/>
      <c r="H2782" s="493"/>
      <c r="I2782" s="513">
        <v>0</v>
      </c>
      <c r="J2782" s="513">
        <v>0</v>
      </c>
      <c r="K2782" s="513">
        <v>0</v>
      </c>
      <c r="L2782" s="558"/>
      <c r="M2782" s="558"/>
      <c r="N2782" s="558"/>
    </row>
    <row r="2783" spans="1:14" ht="7.5" customHeight="1" thickBot="1" x14ac:dyDescent="0.3"/>
    <row r="2784" spans="1:14" x14ac:dyDescent="0.25">
      <c r="C2784" s="446" t="s">
        <v>171</v>
      </c>
      <c r="D2784" s="497">
        <f>D2781+4</f>
        <v>46133</v>
      </c>
      <c r="E2784" s="498" t="s">
        <v>573</v>
      </c>
      <c r="F2784" s="514"/>
      <c r="G2784" s="514"/>
      <c r="H2784" s="514"/>
    </row>
    <row r="2785" spans="3:8" x14ac:dyDescent="0.25">
      <c r="C2785" s="452" t="s">
        <v>171</v>
      </c>
      <c r="D2785" s="499">
        <f t="shared" ref="D2785:D2799" si="217">D2784</f>
        <v>46133</v>
      </c>
      <c r="E2785" s="500" t="s">
        <v>162</v>
      </c>
      <c r="F2785" s="460" t="s">
        <v>581</v>
      </c>
      <c r="G2785" s="460" t="s">
        <v>1588</v>
      </c>
      <c r="H2785" s="460"/>
    </row>
    <row r="2786" spans="3:8" x14ac:dyDescent="0.25">
      <c r="C2786" s="452" t="s">
        <v>171</v>
      </c>
      <c r="D2786" s="449">
        <f t="shared" si="217"/>
        <v>46133</v>
      </c>
      <c r="E2786" s="454" t="s">
        <v>163</v>
      </c>
      <c r="F2786" s="460" t="s">
        <v>581</v>
      </c>
      <c r="G2786" s="460" t="s">
        <v>1588</v>
      </c>
      <c r="H2786" s="460"/>
    </row>
    <row r="2787" spans="3:8" x14ac:dyDescent="0.25">
      <c r="C2787" s="452" t="s">
        <v>171</v>
      </c>
      <c r="D2787" s="449">
        <f t="shared" si="217"/>
        <v>46133</v>
      </c>
      <c r="E2787" s="454" t="s">
        <v>164</v>
      </c>
      <c r="F2787" s="460" t="s">
        <v>581</v>
      </c>
      <c r="G2787" s="460" t="s">
        <v>1588</v>
      </c>
      <c r="H2787" s="460"/>
    </row>
    <row r="2788" spans="3:8" x14ac:dyDescent="0.25">
      <c r="C2788" s="452" t="s">
        <v>171</v>
      </c>
      <c r="D2788" s="449">
        <f t="shared" si="217"/>
        <v>46133</v>
      </c>
      <c r="E2788" s="454" t="s">
        <v>165</v>
      </c>
      <c r="F2788" s="460" t="s">
        <v>581</v>
      </c>
      <c r="G2788" s="460" t="s">
        <v>1588</v>
      </c>
      <c r="H2788" s="460"/>
    </row>
    <row r="2789" spans="3:8" x14ac:dyDescent="0.25">
      <c r="C2789" s="452" t="s">
        <v>171</v>
      </c>
      <c r="D2789" s="449">
        <f t="shared" si="217"/>
        <v>46133</v>
      </c>
      <c r="E2789" s="454" t="s">
        <v>166</v>
      </c>
      <c r="F2789" s="460" t="s">
        <v>581</v>
      </c>
      <c r="G2789" s="460" t="s">
        <v>1588</v>
      </c>
      <c r="H2789" s="460"/>
    </row>
    <row r="2790" spans="3:8" x14ac:dyDescent="0.25">
      <c r="C2790" s="452" t="s">
        <v>171</v>
      </c>
      <c r="D2790" s="449">
        <f t="shared" si="217"/>
        <v>46133</v>
      </c>
      <c r="E2790" s="454" t="s">
        <v>576</v>
      </c>
      <c r="F2790" s="517"/>
      <c r="G2790" s="512"/>
      <c r="H2790" s="512"/>
    </row>
    <row r="2791" spans="3:8" x14ac:dyDescent="0.25">
      <c r="C2791" s="452" t="s">
        <v>171</v>
      </c>
      <c r="D2791" s="449">
        <f t="shared" si="217"/>
        <v>46133</v>
      </c>
      <c r="E2791" s="454" t="s">
        <v>167</v>
      </c>
      <c r="F2791" s="460" t="s">
        <v>581</v>
      </c>
      <c r="G2791" s="460" t="s">
        <v>1588</v>
      </c>
      <c r="H2791" s="460"/>
    </row>
    <row r="2792" spans="3:8" x14ac:dyDescent="0.25">
      <c r="C2792" s="452" t="s">
        <v>171</v>
      </c>
      <c r="D2792" s="449">
        <f t="shared" si="217"/>
        <v>46133</v>
      </c>
      <c r="E2792" s="454" t="s">
        <v>168</v>
      </c>
      <c r="F2792" s="460" t="s">
        <v>581</v>
      </c>
      <c r="G2792" s="460" t="s">
        <v>1588</v>
      </c>
      <c r="H2792" s="460"/>
    </row>
    <row r="2793" spans="3:8" x14ac:dyDescent="0.25">
      <c r="C2793" s="452" t="s">
        <v>171</v>
      </c>
      <c r="D2793" s="449">
        <f t="shared" si="217"/>
        <v>46133</v>
      </c>
      <c r="E2793" s="454" t="s">
        <v>169</v>
      </c>
      <c r="F2793" s="460" t="s">
        <v>581</v>
      </c>
      <c r="G2793" s="460" t="s">
        <v>1588</v>
      </c>
      <c r="H2793" s="460"/>
    </row>
    <row r="2794" spans="3:8" x14ac:dyDescent="0.25">
      <c r="C2794" s="452" t="s">
        <v>171</v>
      </c>
      <c r="D2794" s="449">
        <f t="shared" si="217"/>
        <v>46133</v>
      </c>
      <c r="E2794" s="454" t="s">
        <v>170</v>
      </c>
      <c r="F2794" s="460" t="s">
        <v>581</v>
      </c>
      <c r="G2794" s="460" t="s">
        <v>1588</v>
      </c>
      <c r="H2794" s="460"/>
    </row>
    <row r="2795" spans="3:8" x14ac:dyDescent="0.25">
      <c r="C2795" s="452" t="s">
        <v>171</v>
      </c>
      <c r="D2795" s="449">
        <f t="shared" si="217"/>
        <v>46133</v>
      </c>
      <c r="E2795" s="454" t="s">
        <v>585</v>
      </c>
      <c r="F2795" s="505"/>
      <c r="G2795" s="505"/>
      <c r="H2795" s="516"/>
    </row>
    <row r="2796" spans="3:8" x14ac:dyDescent="0.25">
      <c r="C2796" s="448" t="s">
        <v>171</v>
      </c>
      <c r="D2796" s="449">
        <f t="shared" si="217"/>
        <v>46133</v>
      </c>
      <c r="E2796" s="455" t="s">
        <v>574</v>
      </c>
      <c r="F2796" s="505"/>
      <c r="G2796" s="505"/>
      <c r="H2796" s="516"/>
    </row>
    <row r="2797" spans="3:8" x14ac:dyDescent="0.25">
      <c r="C2797" s="448" t="s">
        <v>171</v>
      </c>
      <c r="D2797" s="449">
        <f t="shared" si="217"/>
        <v>46133</v>
      </c>
      <c r="E2797" s="455" t="s">
        <v>575</v>
      </c>
      <c r="F2797" s="506"/>
      <c r="G2797" s="506"/>
      <c r="H2797" s="516"/>
    </row>
    <row r="2798" spans="3:8" x14ac:dyDescent="0.25">
      <c r="C2798" s="448" t="s">
        <v>171</v>
      </c>
      <c r="D2798" s="449">
        <f t="shared" si="217"/>
        <v>46133</v>
      </c>
      <c r="E2798" s="503" t="s">
        <v>583</v>
      </c>
      <c r="F2798" s="506"/>
      <c r="G2798" s="506"/>
      <c r="H2798" s="516"/>
    </row>
    <row r="2799" spans="3:8" ht="15.75" thickBot="1" x14ac:dyDescent="0.3">
      <c r="C2799" s="450" t="s">
        <v>171</v>
      </c>
      <c r="D2799" s="451">
        <f t="shared" si="217"/>
        <v>46133</v>
      </c>
      <c r="E2799" s="459" t="s">
        <v>584</v>
      </c>
      <c r="F2799" s="493"/>
      <c r="G2799" s="493"/>
      <c r="H2799" s="513"/>
    </row>
    <row r="2800" spans="3:8" ht="8.25" customHeight="1" thickBot="1" x14ac:dyDescent="0.3"/>
    <row r="2801" spans="3:8" ht="15.75" thickBot="1" x14ac:dyDescent="0.3">
      <c r="C2801" s="538"/>
      <c r="D2801" s="539"/>
      <c r="E2801" s="539"/>
      <c r="F2801" s="539"/>
      <c r="G2801" s="539"/>
      <c r="H2801" s="539"/>
    </row>
    <row r="2802" spans="3:8" x14ac:dyDescent="0.25">
      <c r="C2802" s="446" t="s">
        <v>172</v>
      </c>
      <c r="D2802" s="497">
        <f>D2799+1</f>
        <v>46134</v>
      </c>
      <c r="E2802" s="498" t="s">
        <v>573</v>
      </c>
      <c r="F2802" s="514"/>
      <c r="G2802" s="514"/>
      <c r="H2802" s="515"/>
    </row>
    <row r="2803" spans="3:8" x14ac:dyDescent="0.25">
      <c r="C2803" s="452" t="s">
        <v>172</v>
      </c>
      <c r="D2803" s="499">
        <f t="shared" ref="D2803:D2817" si="218">D2802</f>
        <v>46134</v>
      </c>
      <c r="E2803" s="500" t="s">
        <v>162</v>
      </c>
      <c r="F2803" s="460"/>
      <c r="G2803" s="460" t="s">
        <v>1588</v>
      </c>
      <c r="H2803" s="460"/>
    </row>
    <row r="2804" spans="3:8" x14ac:dyDescent="0.25">
      <c r="C2804" s="452" t="s">
        <v>172</v>
      </c>
      <c r="D2804" s="449">
        <f t="shared" si="218"/>
        <v>46134</v>
      </c>
      <c r="E2804" s="454" t="s">
        <v>163</v>
      </c>
      <c r="F2804" s="460"/>
      <c r="G2804" s="460" t="s">
        <v>1588</v>
      </c>
      <c r="H2804" s="460"/>
    </row>
    <row r="2805" spans="3:8" x14ac:dyDescent="0.25">
      <c r="C2805" s="452" t="s">
        <v>172</v>
      </c>
      <c r="D2805" s="449">
        <f t="shared" si="218"/>
        <v>46134</v>
      </c>
      <c r="E2805" s="454" t="s">
        <v>164</v>
      </c>
      <c r="F2805" s="460"/>
      <c r="G2805" s="460" t="s">
        <v>1588</v>
      </c>
      <c r="H2805" s="460"/>
    </row>
    <row r="2806" spans="3:8" x14ac:dyDescent="0.25">
      <c r="C2806" s="452" t="s">
        <v>172</v>
      </c>
      <c r="D2806" s="449">
        <f t="shared" si="218"/>
        <v>46134</v>
      </c>
      <c r="E2806" s="454" t="s">
        <v>165</v>
      </c>
      <c r="F2806" s="460"/>
      <c r="G2806" s="460" t="s">
        <v>1588</v>
      </c>
      <c r="H2806" s="460"/>
    </row>
    <row r="2807" spans="3:8" x14ac:dyDescent="0.25">
      <c r="C2807" s="452" t="s">
        <v>172</v>
      </c>
      <c r="D2807" s="449">
        <f t="shared" si="218"/>
        <v>46134</v>
      </c>
      <c r="E2807" s="454" t="s">
        <v>166</v>
      </c>
      <c r="F2807" s="460"/>
      <c r="G2807" s="460" t="s">
        <v>1588</v>
      </c>
      <c r="H2807" s="460"/>
    </row>
    <row r="2808" spans="3:8" x14ac:dyDescent="0.25">
      <c r="C2808" s="452" t="s">
        <v>172</v>
      </c>
      <c r="D2808" s="449">
        <f t="shared" si="218"/>
        <v>46134</v>
      </c>
      <c r="E2808" s="454" t="s">
        <v>576</v>
      </c>
      <c r="F2808" s="517"/>
      <c r="G2808" s="512"/>
      <c r="H2808" s="512"/>
    </row>
    <row r="2809" spans="3:8" x14ac:dyDescent="0.25">
      <c r="C2809" s="452" t="s">
        <v>172</v>
      </c>
      <c r="D2809" s="449">
        <f t="shared" si="218"/>
        <v>46134</v>
      </c>
      <c r="E2809" s="454" t="s">
        <v>167</v>
      </c>
      <c r="F2809" s="460"/>
      <c r="G2809" s="460" t="s">
        <v>1588</v>
      </c>
      <c r="H2809" s="460"/>
    </row>
    <row r="2810" spans="3:8" x14ac:dyDescent="0.25">
      <c r="C2810" s="452" t="s">
        <v>172</v>
      </c>
      <c r="D2810" s="449">
        <f t="shared" si="218"/>
        <v>46134</v>
      </c>
      <c r="E2810" s="454" t="s">
        <v>168</v>
      </c>
      <c r="F2810" s="460"/>
      <c r="G2810" s="460" t="s">
        <v>1588</v>
      </c>
      <c r="H2810" s="460"/>
    </row>
    <row r="2811" spans="3:8" x14ac:dyDescent="0.25">
      <c r="C2811" s="452" t="s">
        <v>172</v>
      </c>
      <c r="D2811" s="449">
        <f t="shared" si="218"/>
        <v>46134</v>
      </c>
      <c r="E2811" s="454" t="s">
        <v>169</v>
      </c>
      <c r="F2811" s="460"/>
      <c r="G2811" s="460" t="s">
        <v>1588</v>
      </c>
      <c r="H2811" s="460"/>
    </row>
    <row r="2812" spans="3:8" x14ac:dyDescent="0.25">
      <c r="C2812" s="452" t="s">
        <v>172</v>
      </c>
      <c r="D2812" s="449">
        <f t="shared" si="218"/>
        <v>46134</v>
      </c>
      <c r="E2812" s="454" t="s">
        <v>170</v>
      </c>
      <c r="F2812" s="460"/>
      <c r="G2812" s="460" t="s">
        <v>1588</v>
      </c>
      <c r="H2812" s="460"/>
    </row>
    <row r="2813" spans="3:8" x14ac:dyDescent="0.25">
      <c r="C2813" s="452" t="s">
        <v>172</v>
      </c>
      <c r="D2813" s="449">
        <f t="shared" si="218"/>
        <v>46134</v>
      </c>
      <c r="E2813" s="454" t="s">
        <v>585</v>
      </c>
      <c r="F2813" s="505"/>
      <c r="G2813" s="505"/>
      <c r="H2813" s="516"/>
    </row>
    <row r="2814" spans="3:8" x14ac:dyDescent="0.25">
      <c r="C2814" s="448" t="s">
        <v>172</v>
      </c>
      <c r="D2814" s="449">
        <f t="shared" si="218"/>
        <v>46134</v>
      </c>
      <c r="E2814" s="455" t="s">
        <v>574</v>
      </c>
      <c r="F2814" s="505"/>
      <c r="G2814" s="505"/>
      <c r="H2814" s="516"/>
    </row>
    <row r="2815" spans="3:8" x14ac:dyDescent="0.25">
      <c r="C2815" s="448" t="s">
        <v>172</v>
      </c>
      <c r="D2815" s="449">
        <f t="shared" si="218"/>
        <v>46134</v>
      </c>
      <c r="E2815" s="455" t="s">
        <v>575</v>
      </c>
      <c r="F2815" s="506"/>
      <c r="G2815" s="506"/>
      <c r="H2815" s="516"/>
    </row>
    <row r="2816" spans="3:8" x14ac:dyDescent="0.25">
      <c r="C2816" s="448" t="s">
        <v>172</v>
      </c>
      <c r="D2816" s="449">
        <f t="shared" si="218"/>
        <v>46134</v>
      </c>
      <c r="E2816" s="503" t="s">
        <v>583</v>
      </c>
      <c r="F2816" s="506"/>
      <c r="G2816" s="506"/>
      <c r="H2816" s="516"/>
    </row>
    <row r="2817" spans="3:8" ht="15.75" thickBot="1" x14ac:dyDescent="0.3">
      <c r="C2817" s="450" t="s">
        <v>172</v>
      </c>
      <c r="D2817" s="451">
        <f t="shared" si="218"/>
        <v>46134</v>
      </c>
      <c r="E2817" s="459" t="s">
        <v>584</v>
      </c>
      <c r="F2817" s="493"/>
      <c r="G2817" s="493"/>
      <c r="H2817" s="513"/>
    </row>
    <row r="2818" spans="3:8" ht="6" customHeight="1" thickBot="1" x14ac:dyDescent="0.3"/>
    <row r="2819" spans="3:8" ht="15.75" thickBot="1" x14ac:dyDescent="0.3">
      <c r="C2819" s="538"/>
      <c r="D2819" s="539"/>
      <c r="E2819" s="539"/>
      <c r="F2819" s="539"/>
      <c r="G2819" s="539"/>
      <c r="H2819" s="539"/>
    </row>
    <row r="2820" spans="3:8" x14ac:dyDescent="0.25">
      <c r="C2820" s="529" t="s">
        <v>173</v>
      </c>
      <c r="D2820" s="447">
        <f>D2817+1</f>
        <v>46135</v>
      </c>
      <c r="E2820" s="498" t="s">
        <v>573</v>
      </c>
      <c r="F2820" s="514"/>
      <c r="G2820" s="514"/>
      <c r="H2820" s="515"/>
    </row>
    <row r="2821" spans="3:8" x14ac:dyDescent="0.25">
      <c r="C2821" s="452" t="s">
        <v>173</v>
      </c>
      <c r="D2821" s="453">
        <f t="shared" ref="D2821:D2835" si="219">D2820</f>
        <v>46135</v>
      </c>
      <c r="E2821" s="500" t="s">
        <v>162</v>
      </c>
      <c r="F2821" s="460" t="s">
        <v>1615</v>
      </c>
      <c r="G2821" s="460" t="s">
        <v>1588</v>
      </c>
      <c r="H2821" s="501" t="s">
        <v>1621</v>
      </c>
    </row>
    <row r="2822" spans="3:8" x14ac:dyDescent="0.25">
      <c r="C2822" s="452" t="s">
        <v>173</v>
      </c>
      <c r="D2822" s="453">
        <f t="shared" si="219"/>
        <v>46135</v>
      </c>
      <c r="E2822" s="454" t="s">
        <v>163</v>
      </c>
      <c r="F2822" s="460" t="s">
        <v>1615</v>
      </c>
      <c r="G2822" s="460" t="s">
        <v>1588</v>
      </c>
      <c r="H2822" s="460" t="s">
        <v>1621</v>
      </c>
    </row>
    <row r="2823" spans="3:8" x14ac:dyDescent="0.25">
      <c r="C2823" s="452" t="s">
        <v>173</v>
      </c>
      <c r="D2823" s="453">
        <f t="shared" si="219"/>
        <v>46135</v>
      </c>
      <c r="E2823" s="454" t="s">
        <v>164</v>
      </c>
      <c r="F2823" s="460" t="s">
        <v>1615</v>
      </c>
      <c r="G2823" s="460" t="s">
        <v>1588</v>
      </c>
      <c r="H2823" s="460" t="s">
        <v>1621</v>
      </c>
    </row>
    <row r="2824" spans="3:8" x14ac:dyDescent="0.25">
      <c r="C2824" s="452" t="s">
        <v>173</v>
      </c>
      <c r="D2824" s="453">
        <f t="shared" si="219"/>
        <v>46135</v>
      </c>
      <c r="E2824" s="454" t="s">
        <v>165</v>
      </c>
      <c r="F2824" s="460" t="s">
        <v>1615</v>
      </c>
      <c r="G2824" s="460" t="s">
        <v>1588</v>
      </c>
      <c r="H2824" s="460" t="s">
        <v>1621</v>
      </c>
    </row>
    <row r="2825" spans="3:8" x14ac:dyDescent="0.25">
      <c r="C2825" s="452" t="s">
        <v>173</v>
      </c>
      <c r="D2825" s="453">
        <f t="shared" si="219"/>
        <v>46135</v>
      </c>
      <c r="E2825" s="454" t="s">
        <v>166</v>
      </c>
      <c r="F2825" s="460" t="s">
        <v>1615</v>
      </c>
      <c r="G2825" s="460" t="s">
        <v>1588</v>
      </c>
      <c r="H2825" s="460" t="s">
        <v>1621</v>
      </c>
    </row>
    <row r="2826" spans="3:8" x14ac:dyDescent="0.25">
      <c r="C2826" s="452" t="s">
        <v>173</v>
      </c>
      <c r="D2826" s="453">
        <f t="shared" si="219"/>
        <v>46135</v>
      </c>
      <c r="E2826" s="454" t="s">
        <v>576</v>
      </c>
      <c r="F2826" s="517"/>
      <c r="G2826" s="512"/>
      <c r="H2826" s="505"/>
    </row>
    <row r="2827" spans="3:8" x14ac:dyDescent="0.25">
      <c r="C2827" s="452" t="s">
        <v>173</v>
      </c>
      <c r="D2827" s="449">
        <f t="shared" si="219"/>
        <v>46135</v>
      </c>
      <c r="E2827" s="454" t="s">
        <v>167</v>
      </c>
      <c r="F2827" s="460" t="s">
        <v>1616</v>
      </c>
      <c r="G2827" s="460" t="s">
        <v>1588</v>
      </c>
      <c r="H2827" s="461" t="s">
        <v>1621</v>
      </c>
    </row>
    <row r="2828" spans="3:8" x14ac:dyDescent="0.25">
      <c r="C2828" s="452" t="s">
        <v>173</v>
      </c>
      <c r="D2828" s="449">
        <f t="shared" si="219"/>
        <v>46135</v>
      </c>
      <c r="E2828" s="454" t="s">
        <v>168</v>
      </c>
      <c r="F2828" s="460" t="s">
        <v>1616</v>
      </c>
      <c r="G2828" s="460" t="s">
        <v>1588</v>
      </c>
      <c r="H2828" s="461" t="s">
        <v>1621</v>
      </c>
    </row>
    <row r="2829" spans="3:8" x14ac:dyDescent="0.25">
      <c r="C2829" s="452" t="s">
        <v>173</v>
      </c>
      <c r="D2829" s="449">
        <f t="shared" si="219"/>
        <v>46135</v>
      </c>
      <c r="E2829" s="454" t="s">
        <v>169</v>
      </c>
      <c r="F2829" s="460" t="s">
        <v>1616</v>
      </c>
      <c r="G2829" s="460" t="s">
        <v>1588</v>
      </c>
      <c r="H2829" s="461" t="s">
        <v>1621</v>
      </c>
    </row>
    <row r="2830" spans="3:8" x14ac:dyDescent="0.25">
      <c r="C2830" s="452" t="s">
        <v>173</v>
      </c>
      <c r="D2830" s="449">
        <f t="shared" si="219"/>
        <v>46135</v>
      </c>
      <c r="E2830" s="454" t="s">
        <v>170</v>
      </c>
      <c r="F2830" s="460" t="s">
        <v>1616</v>
      </c>
      <c r="G2830" s="460" t="s">
        <v>1588</v>
      </c>
      <c r="H2830" s="504" t="s">
        <v>1621</v>
      </c>
    </row>
    <row r="2831" spans="3:8" x14ac:dyDescent="0.25">
      <c r="C2831" s="452" t="s">
        <v>173</v>
      </c>
      <c r="D2831" s="449">
        <f t="shared" si="219"/>
        <v>46135</v>
      </c>
      <c r="E2831" s="454" t="s">
        <v>585</v>
      </c>
      <c r="F2831" s="505"/>
      <c r="G2831" s="505"/>
      <c r="H2831" s="516"/>
    </row>
    <row r="2832" spans="3:8" x14ac:dyDescent="0.25">
      <c r="C2832" s="452" t="s">
        <v>173</v>
      </c>
      <c r="D2832" s="449">
        <f t="shared" si="219"/>
        <v>46135</v>
      </c>
      <c r="E2832" s="455" t="s">
        <v>574</v>
      </c>
      <c r="F2832" s="505"/>
      <c r="G2832" s="505"/>
      <c r="H2832" s="516"/>
    </row>
    <row r="2833" spans="3:8" x14ac:dyDescent="0.25">
      <c r="C2833" s="452" t="s">
        <v>173</v>
      </c>
      <c r="D2833" s="449">
        <f t="shared" si="219"/>
        <v>46135</v>
      </c>
      <c r="E2833" s="455" t="s">
        <v>575</v>
      </c>
      <c r="F2833" s="506"/>
      <c r="G2833" s="506"/>
      <c r="H2833" s="516"/>
    </row>
    <row r="2834" spans="3:8" x14ac:dyDescent="0.25">
      <c r="C2834" s="452" t="s">
        <v>173</v>
      </c>
      <c r="D2834" s="449">
        <f t="shared" si="219"/>
        <v>46135</v>
      </c>
      <c r="E2834" s="503" t="s">
        <v>583</v>
      </c>
      <c r="F2834" s="506"/>
      <c r="G2834" s="506"/>
      <c r="H2834" s="516"/>
    </row>
    <row r="2835" spans="3:8" ht="15.75" thickBot="1" x14ac:dyDescent="0.3">
      <c r="C2835" s="530" t="s">
        <v>173</v>
      </c>
      <c r="D2835" s="451">
        <f t="shared" si="219"/>
        <v>46135</v>
      </c>
      <c r="E2835" s="459" t="s">
        <v>584</v>
      </c>
      <c r="F2835" s="493"/>
      <c r="G2835" s="493"/>
      <c r="H2835" s="513"/>
    </row>
    <row r="2836" spans="3:8" ht="6" customHeight="1" thickBot="1" x14ac:dyDescent="0.3"/>
    <row r="2837" spans="3:8" ht="15.75" thickBot="1" x14ac:dyDescent="0.3">
      <c r="C2837" s="546">
        <f>SUM(I2765:K2765,I2783:K2783,I2801:K2801,I2819:K2819,I2837:K2837,I2855:K2855,I2873:K2873)</f>
        <v>0</v>
      </c>
      <c r="D2837" s="547">
        <f>SUM(P2873,P2855,P2837,P2819,P2801,P2783,P2765)</f>
        <v>0</v>
      </c>
      <c r="E2837" s="539"/>
      <c r="F2837" s="539"/>
      <c r="G2837" s="539"/>
      <c r="H2837" s="539"/>
    </row>
    <row r="2838" spans="3:8" x14ac:dyDescent="0.25">
      <c r="C2838" s="529" t="s">
        <v>174</v>
      </c>
      <c r="D2838" s="447">
        <f>D2835+1</f>
        <v>46136</v>
      </c>
      <c r="E2838" s="498" t="s">
        <v>573</v>
      </c>
      <c r="F2838" s="514"/>
      <c r="G2838" s="514"/>
      <c r="H2838" s="515"/>
    </row>
    <row r="2839" spans="3:8" x14ac:dyDescent="0.25">
      <c r="C2839" s="452" t="s">
        <v>174</v>
      </c>
      <c r="D2839" s="453">
        <f t="shared" ref="D2839:D2853" si="220">D2838</f>
        <v>46136</v>
      </c>
      <c r="E2839" s="500" t="s">
        <v>162</v>
      </c>
      <c r="F2839" s="460" t="s">
        <v>1616</v>
      </c>
      <c r="G2839" s="460" t="s">
        <v>1588</v>
      </c>
      <c r="H2839" s="460" t="s">
        <v>1621</v>
      </c>
    </row>
    <row r="2840" spans="3:8" x14ac:dyDescent="0.25">
      <c r="C2840" s="452" t="s">
        <v>174</v>
      </c>
      <c r="D2840" s="453">
        <f t="shared" si="220"/>
        <v>46136</v>
      </c>
      <c r="E2840" s="454" t="s">
        <v>163</v>
      </c>
      <c r="F2840" s="460" t="s">
        <v>1616</v>
      </c>
      <c r="G2840" s="460" t="s">
        <v>1588</v>
      </c>
      <c r="H2840" s="460" t="s">
        <v>1621</v>
      </c>
    </row>
    <row r="2841" spans="3:8" x14ac:dyDescent="0.25">
      <c r="C2841" s="452" t="s">
        <v>174</v>
      </c>
      <c r="D2841" s="453">
        <f t="shared" si="220"/>
        <v>46136</v>
      </c>
      <c r="E2841" s="454" t="s">
        <v>164</v>
      </c>
      <c r="F2841" s="460" t="s">
        <v>1616</v>
      </c>
      <c r="G2841" s="460" t="s">
        <v>1588</v>
      </c>
      <c r="H2841" s="460" t="s">
        <v>1621</v>
      </c>
    </row>
    <row r="2842" spans="3:8" x14ac:dyDescent="0.25">
      <c r="C2842" s="452" t="s">
        <v>174</v>
      </c>
      <c r="D2842" s="453">
        <f t="shared" si="220"/>
        <v>46136</v>
      </c>
      <c r="E2842" s="454" t="s">
        <v>165</v>
      </c>
      <c r="F2842" s="460" t="s">
        <v>1617</v>
      </c>
      <c r="G2842" s="460" t="s">
        <v>1588</v>
      </c>
      <c r="H2842" s="460" t="s">
        <v>1621</v>
      </c>
    </row>
    <row r="2843" spans="3:8" x14ac:dyDescent="0.25">
      <c r="C2843" s="452" t="s">
        <v>174</v>
      </c>
      <c r="D2843" s="453">
        <f t="shared" si="220"/>
        <v>46136</v>
      </c>
      <c r="E2843" s="454" t="s">
        <v>166</v>
      </c>
      <c r="F2843" s="460" t="s">
        <v>1617</v>
      </c>
      <c r="G2843" s="460" t="s">
        <v>1588</v>
      </c>
      <c r="H2843" s="460" t="s">
        <v>1621</v>
      </c>
    </row>
    <row r="2844" spans="3:8" x14ac:dyDescent="0.25">
      <c r="C2844" s="452" t="s">
        <v>174</v>
      </c>
      <c r="D2844" s="453">
        <f t="shared" si="220"/>
        <v>46136</v>
      </c>
      <c r="E2844" s="454" t="s">
        <v>576</v>
      </c>
      <c r="F2844" s="517"/>
      <c r="G2844" s="512"/>
      <c r="H2844" s="505"/>
    </row>
    <row r="2845" spans="3:8" x14ac:dyDescent="0.25">
      <c r="C2845" s="452" t="s">
        <v>174</v>
      </c>
      <c r="D2845" s="449">
        <f t="shared" si="220"/>
        <v>46136</v>
      </c>
      <c r="E2845" s="454" t="s">
        <v>167</v>
      </c>
      <c r="F2845" s="460" t="s">
        <v>1617</v>
      </c>
      <c r="G2845" s="460" t="s">
        <v>1588</v>
      </c>
      <c r="H2845" s="461" t="s">
        <v>1621</v>
      </c>
    </row>
    <row r="2846" spans="3:8" x14ac:dyDescent="0.25">
      <c r="C2846" s="452" t="s">
        <v>174</v>
      </c>
      <c r="D2846" s="449">
        <f t="shared" si="220"/>
        <v>46136</v>
      </c>
      <c r="E2846" s="454" t="s">
        <v>168</v>
      </c>
      <c r="F2846" s="460" t="s">
        <v>1617</v>
      </c>
      <c r="G2846" s="460" t="s">
        <v>1588</v>
      </c>
      <c r="H2846" s="461" t="s">
        <v>1621</v>
      </c>
    </row>
    <row r="2847" spans="3:8" x14ac:dyDescent="0.25">
      <c r="C2847" s="452" t="s">
        <v>174</v>
      </c>
      <c r="D2847" s="449">
        <f t="shared" si="220"/>
        <v>46136</v>
      </c>
      <c r="E2847" s="454" t="s">
        <v>169</v>
      </c>
      <c r="F2847" s="460" t="s">
        <v>1617</v>
      </c>
      <c r="G2847" s="460" t="s">
        <v>1588</v>
      </c>
      <c r="H2847" s="461" t="s">
        <v>1621</v>
      </c>
    </row>
    <row r="2848" spans="3:8" x14ac:dyDescent="0.25">
      <c r="C2848" s="452" t="s">
        <v>174</v>
      </c>
      <c r="D2848" s="449">
        <f t="shared" si="220"/>
        <v>46136</v>
      </c>
      <c r="E2848" s="454" t="s">
        <v>170</v>
      </c>
      <c r="F2848" s="505"/>
      <c r="G2848" s="505"/>
      <c r="H2848" s="516"/>
    </row>
    <row r="2849" spans="3:8" x14ac:dyDescent="0.25">
      <c r="C2849" s="452" t="s">
        <v>174</v>
      </c>
      <c r="D2849" s="449">
        <f t="shared" si="220"/>
        <v>46136</v>
      </c>
      <c r="E2849" s="454" t="s">
        <v>585</v>
      </c>
      <c r="F2849" s="505"/>
      <c r="G2849" s="505"/>
      <c r="H2849" s="516"/>
    </row>
    <row r="2850" spans="3:8" x14ac:dyDescent="0.25">
      <c r="C2850" s="452" t="s">
        <v>174</v>
      </c>
      <c r="D2850" s="449">
        <f t="shared" si="220"/>
        <v>46136</v>
      </c>
      <c r="E2850" s="455" t="s">
        <v>574</v>
      </c>
      <c r="F2850" s="505"/>
      <c r="G2850" s="505"/>
      <c r="H2850" s="516"/>
    </row>
    <row r="2851" spans="3:8" x14ac:dyDescent="0.25">
      <c r="C2851" s="452" t="s">
        <v>174</v>
      </c>
      <c r="D2851" s="449">
        <f t="shared" si="220"/>
        <v>46136</v>
      </c>
      <c r="E2851" s="455" t="s">
        <v>575</v>
      </c>
      <c r="F2851" s="506"/>
      <c r="G2851" s="506"/>
      <c r="H2851" s="516"/>
    </row>
    <row r="2852" spans="3:8" x14ac:dyDescent="0.25">
      <c r="C2852" s="452" t="s">
        <v>174</v>
      </c>
      <c r="D2852" s="502">
        <f t="shared" si="220"/>
        <v>46136</v>
      </c>
      <c r="E2852" s="503" t="s">
        <v>583</v>
      </c>
      <c r="F2852" s="506"/>
      <c r="G2852" s="506"/>
      <c r="H2852" s="516"/>
    </row>
    <row r="2853" spans="3:8" ht="15.75" thickBot="1" x14ac:dyDescent="0.3">
      <c r="C2853" s="530" t="s">
        <v>174</v>
      </c>
      <c r="D2853" s="451">
        <f t="shared" si="220"/>
        <v>46136</v>
      </c>
      <c r="E2853" s="459" t="s">
        <v>584</v>
      </c>
      <c r="F2853" s="493"/>
      <c r="G2853" s="493"/>
      <c r="H2853" s="513"/>
    </row>
    <row r="2854" spans="3:8" ht="7.5" customHeight="1" thickBot="1" x14ac:dyDescent="0.3"/>
    <row r="2855" spans="3:8" x14ac:dyDescent="0.25">
      <c r="C2855" s="496" t="s">
        <v>161</v>
      </c>
      <c r="D2855" s="507">
        <f>D2816+5</f>
        <v>46139</v>
      </c>
      <c r="E2855" s="498" t="s">
        <v>573</v>
      </c>
      <c r="F2855" s="514"/>
      <c r="G2855" s="514"/>
      <c r="H2855" s="514"/>
    </row>
    <row r="2856" spans="3:8" x14ac:dyDescent="0.25">
      <c r="C2856" s="525" t="s">
        <v>161</v>
      </c>
      <c r="D2856" s="453">
        <f t="shared" ref="D2856:D2870" si="221">D2855</f>
        <v>46139</v>
      </c>
      <c r="E2856" s="500" t="s">
        <v>162</v>
      </c>
      <c r="F2856" s="460" t="s">
        <v>1618</v>
      </c>
      <c r="G2856" s="460" t="s">
        <v>1622</v>
      </c>
      <c r="H2856" s="460" t="s">
        <v>1623</v>
      </c>
    </row>
    <row r="2857" spans="3:8" x14ac:dyDescent="0.25">
      <c r="C2857" s="526" t="s">
        <v>161</v>
      </c>
      <c r="D2857" s="453">
        <f t="shared" si="221"/>
        <v>46139</v>
      </c>
      <c r="E2857" s="454" t="s">
        <v>163</v>
      </c>
      <c r="F2857" s="460" t="s">
        <v>1618</v>
      </c>
      <c r="G2857" s="460" t="s">
        <v>1622</v>
      </c>
      <c r="H2857" s="460" t="s">
        <v>1623</v>
      </c>
    </row>
    <row r="2858" spans="3:8" x14ac:dyDescent="0.25">
      <c r="C2858" s="526" t="s">
        <v>161</v>
      </c>
      <c r="D2858" s="453">
        <f t="shared" si="221"/>
        <v>46139</v>
      </c>
      <c r="E2858" s="454" t="s">
        <v>164</v>
      </c>
      <c r="F2858" s="460" t="s">
        <v>1618</v>
      </c>
      <c r="G2858" s="460" t="s">
        <v>1622</v>
      </c>
      <c r="H2858" s="460" t="s">
        <v>1623</v>
      </c>
    </row>
    <row r="2859" spans="3:8" x14ac:dyDescent="0.25">
      <c r="C2859" s="526" t="s">
        <v>161</v>
      </c>
      <c r="D2859" s="453">
        <f t="shared" si="221"/>
        <v>46139</v>
      </c>
      <c r="E2859" s="454" t="s">
        <v>165</v>
      </c>
      <c r="F2859" s="460" t="s">
        <v>1618</v>
      </c>
      <c r="G2859" s="460" t="s">
        <v>1622</v>
      </c>
      <c r="H2859" s="460" t="s">
        <v>1623</v>
      </c>
    </row>
    <row r="2860" spans="3:8" x14ac:dyDescent="0.25">
      <c r="C2860" s="526" t="s">
        <v>161</v>
      </c>
      <c r="D2860" s="453">
        <f t="shared" si="221"/>
        <v>46139</v>
      </c>
      <c r="E2860" s="454" t="s">
        <v>166</v>
      </c>
      <c r="F2860" s="460" t="s">
        <v>1618</v>
      </c>
      <c r="G2860" s="460" t="s">
        <v>1622</v>
      </c>
      <c r="H2860" s="460" t="s">
        <v>1623</v>
      </c>
    </row>
    <row r="2861" spans="3:8" x14ac:dyDescent="0.25">
      <c r="C2861" s="526" t="s">
        <v>161</v>
      </c>
      <c r="D2861" s="453">
        <f t="shared" si="221"/>
        <v>46139</v>
      </c>
      <c r="E2861" s="454" t="s">
        <v>576</v>
      </c>
      <c r="F2861" s="517"/>
      <c r="G2861" s="512"/>
      <c r="H2861" s="512"/>
    </row>
    <row r="2862" spans="3:8" x14ac:dyDescent="0.25">
      <c r="C2862" s="527" t="s">
        <v>161</v>
      </c>
      <c r="D2862" s="449">
        <f t="shared" si="221"/>
        <v>46139</v>
      </c>
      <c r="E2862" s="454" t="s">
        <v>167</v>
      </c>
      <c r="F2862" s="460" t="s">
        <v>1618</v>
      </c>
      <c r="G2862" s="460" t="s">
        <v>1622</v>
      </c>
      <c r="H2862" s="460" t="s">
        <v>1623</v>
      </c>
    </row>
    <row r="2863" spans="3:8" x14ac:dyDescent="0.25">
      <c r="C2863" s="527" t="s">
        <v>161</v>
      </c>
      <c r="D2863" s="449">
        <f t="shared" si="221"/>
        <v>46139</v>
      </c>
      <c r="E2863" s="454" t="s">
        <v>168</v>
      </c>
      <c r="F2863" s="460" t="s">
        <v>1618</v>
      </c>
      <c r="G2863" s="460" t="s">
        <v>1622</v>
      </c>
      <c r="H2863" s="460" t="s">
        <v>1623</v>
      </c>
    </row>
    <row r="2864" spans="3:8" x14ac:dyDescent="0.25">
      <c r="C2864" s="527" t="s">
        <v>161</v>
      </c>
      <c r="D2864" s="449">
        <f t="shared" si="221"/>
        <v>46139</v>
      </c>
      <c r="E2864" s="454" t="s">
        <v>169</v>
      </c>
      <c r="F2864" s="460" t="s">
        <v>1620</v>
      </c>
      <c r="G2864" s="460" t="s">
        <v>1622</v>
      </c>
      <c r="H2864" s="460" t="s">
        <v>1623</v>
      </c>
    </row>
    <row r="2865" spans="3:8" x14ac:dyDescent="0.25">
      <c r="C2865" s="527" t="s">
        <v>161</v>
      </c>
      <c r="D2865" s="453">
        <f t="shared" si="221"/>
        <v>46139</v>
      </c>
      <c r="E2865" s="454" t="s">
        <v>170</v>
      </c>
      <c r="F2865" s="460" t="s">
        <v>1620</v>
      </c>
      <c r="G2865" s="460" t="s">
        <v>1622</v>
      </c>
      <c r="H2865" s="460" t="s">
        <v>1623</v>
      </c>
    </row>
    <row r="2866" spans="3:8" x14ac:dyDescent="0.25">
      <c r="C2866" s="527" t="s">
        <v>161</v>
      </c>
      <c r="D2866" s="453">
        <f t="shared" si="221"/>
        <v>46139</v>
      </c>
      <c r="E2866" s="454" t="s">
        <v>585</v>
      </c>
      <c r="F2866" s="505"/>
      <c r="G2866" s="505"/>
      <c r="H2866" s="505"/>
    </row>
    <row r="2867" spans="3:8" x14ac:dyDescent="0.25">
      <c r="C2867" s="527" t="s">
        <v>161</v>
      </c>
      <c r="D2867" s="453">
        <f t="shared" si="221"/>
        <v>46139</v>
      </c>
      <c r="E2867" s="455" t="s">
        <v>574</v>
      </c>
      <c r="F2867" s="505"/>
      <c r="G2867" s="505"/>
      <c r="H2867" s="505"/>
    </row>
    <row r="2868" spans="3:8" x14ac:dyDescent="0.25">
      <c r="C2868" s="527" t="s">
        <v>161</v>
      </c>
      <c r="D2868" s="453">
        <f t="shared" si="221"/>
        <v>46139</v>
      </c>
      <c r="E2868" s="455" t="s">
        <v>575</v>
      </c>
      <c r="F2868" s="506"/>
      <c r="G2868" s="506"/>
      <c r="H2868" s="506"/>
    </row>
    <row r="2869" spans="3:8" x14ac:dyDescent="0.25">
      <c r="C2869" s="527" t="s">
        <v>161</v>
      </c>
      <c r="D2869" s="453">
        <f t="shared" si="221"/>
        <v>46139</v>
      </c>
      <c r="E2869" s="503" t="s">
        <v>583</v>
      </c>
      <c r="F2869" s="506"/>
      <c r="G2869" s="506"/>
      <c r="H2869" s="506"/>
    </row>
    <row r="2870" spans="3:8" ht="15.75" thickBot="1" x14ac:dyDescent="0.3">
      <c r="C2870" s="528" t="s">
        <v>161</v>
      </c>
      <c r="D2870" s="451">
        <f t="shared" si="221"/>
        <v>46139</v>
      </c>
      <c r="E2870" s="459" t="s">
        <v>584</v>
      </c>
      <c r="F2870" s="493"/>
      <c r="G2870" s="493"/>
      <c r="H2870" s="493"/>
    </row>
    <row r="2871" spans="3:8" ht="7.5" customHeight="1" thickBot="1" x14ac:dyDescent="0.3"/>
    <row r="2872" spans="3:8" ht="15.75" thickBot="1" x14ac:dyDescent="0.3">
      <c r="C2872" s="538"/>
      <c r="D2872" s="539"/>
      <c r="E2872" s="539"/>
      <c r="F2872" s="539"/>
      <c r="G2872" s="539"/>
      <c r="H2872" s="539"/>
    </row>
    <row r="2873" spans="3:8" x14ac:dyDescent="0.25">
      <c r="C2873" s="446" t="s">
        <v>171</v>
      </c>
      <c r="D2873" s="497">
        <f>D2870+1</f>
        <v>46140</v>
      </c>
      <c r="E2873" s="498" t="s">
        <v>573</v>
      </c>
      <c r="F2873" s="514"/>
      <c r="G2873" s="514"/>
      <c r="H2873" s="514"/>
    </row>
    <row r="2874" spans="3:8" x14ac:dyDescent="0.25">
      <c r="C2874" s="452" t="s">
        <v>171</v>
      </c>
      <c r="D2874" s="499">
        <f t="shared" ref="D2874:D2888" si="222">D2873</f>
        <v>46140</v>
      </c>
      <c r="E2874" s="500" t="s">
        <v>162</v>
      </c>
      <c r="F2874" s="460" t="s">
        <v>1620</v>
      </c>
      <c r="G2874" s="460" t="s">
        <v>1622</v>
      </c>
      <c r="H2874" s="460" t="s">
        <v>1623</v>
      </c>
    </row>
    <row r="2875" spans="3:8" x14ac:dyDescent="0.25">
      <c r="C2875" s="452" t="s">
        <v>171</v>
      </c>
      <c r="D2875" s="449">
        <f t="shared" si="222"/>
        <v>46140</v>
      </c>
      <c r="E2875" s="454" t="s">
        <v>163</v>
      </c>
      <c r="F2875" s="460" t="s">
        <v>1620</v>
      </c>
      <c r="G2875" s="460" t="s">
        <v>1622</v>
      </c>
      <c r="H2875" s="460" t="s">
        <v>1623</v>
      </c>
    </row>
    <row r="2876" spans="3:8" x14ac:dyDescent="0.25">
      <c r="C2876" s="452" t="s">
        <v>171</v>
      </c>
      <c r="D2876" s="449">
        <f t="shared" si="222"/>
        <v>46140</v>
      </c>
      <c r="E2876" s="454" t="s">
        <v>164</v>
      </c>
      <c r="F2876" s="460" t="s">
        <v>1620</v>
      </c>
      <c r="G2876" s="460" t="s">
        <v>1622</v>
      </c>
      <c r="H2876" s="460" t="s">
        <v>1623</v>
      </c>
    </row>
    <row r="2877" spans="3:8" x14ac:dyDescent="0.25">
      <c r="C2877" s="452" t="s">
        <v>171</v>
      </c>
      <c r="D2877" s="449">
        <f t="shared" si="222"/>
        <v>46140</v>
      </c>
      <c r="E2877" s="454" t="s">
        <v>165</v>
      </c>
      <c r="F2877" s="460" t="s">
        <v>1620</v>
      </c>
      <c r="G2877" s="460" t="s">
        <v>1622</v>
      </c>
      <c r="H2877" s="460" t="s">
        <v>1623</v>
      </c>
    </row>
    <row r="2878" spans="3:8" x14ac:dyDescent="0.25">
      <c r="C2878" s="452" t="s">
        <v>171</v>
      </c>
      <c r="D2878" s="449">
        <f t="shared" si="222"/>
        <v>46140</v>
      </c>
      <c r="E2878" s="454" t="s">
        <v>166</v>
      </c>
      <c r="F2878" s="460" t="s">
        <v>1620</v>
      </c>
      <c r="G2878" s="460" t="s">
        <v>1622</v>
      </c>
      <c r="H2878" s="460" t="s">
        <v>1623</v>
      </c>
    </row>
    <row r="2879" spans="3:8" x14ac:dyDescent="0.25">
      <c r="C2879" s="452" t="s">
        <v>171</v>
      </c>
      <c r="D2879" s="449">
        <f t="shared" si="222"/>
        <v>46140</v>
      </c>
      <c r="E2879" s="454" t="s">
        <v>576</v>
      </c>
      <c r="F2879" s="517"/>
      <c r="G2879" s="512"/>
      <c r="H2879" s="512"/>
    </row>
    <row r="2880" spans="3:8" x14ac:dyDescent="0.25">
      <c r="C2880" s="452" t="s">
        <v>171</v>
      </c>
      <c r="D2880" s="449">
        <f t="shared" si="222"/>
        <v>46140</v>
      </c>
      <c r="E2880" s="454" t="s">
        <v>167</v>
      </c>
      <c r="F2880" s="460" t="s">
        <v>1619</v>
      </c>
      <c r="G2880" s="460" t="s">
        <v>1622</v>
      </c>
      <c r="H2880" s="460" t="s">
        <v>1623</v>
      </c>
    </row>
    <row r="2881" spans="3:8" x14ac:dyDescent="0.25">
      <c r="C2881" s="452" t="s">
        <v>171</v>
      </c>
      <c r="D2881" s="449">
        <f t="shared" si="222"/>
        <v>46140</v>
      </c>
      <c r="E2881" s="454" t="s">
        <v>168</v>
      </c>
      <c r="F2881" s="460" t="s">
        <v>1619</v>
      </c>
      <c r="G2881" s="460" t="s">
        <v>1622</v>
      </c>
      <c r="H2881" s="460" t="s">
        <v>1623</v>
      </c>
    </row>
    <row r="2882" spans="3:8" x14ac:dyDescent="0.25">
      <c r="C2882" s="452" t="s">
        <v>171</v>
      </c>
      <c r="D2882" s="449">
        <f t="shared" si="222"/>
        <v>46140</v>
      </c>
      <c r="E2882" s="454" t="s">
        <v>169</v>
      </c>
      <c r="F2882" s="460" t="s">
        <v>1619</v>
      </c>
      <c r="G2882" s="460" t="s">
        <v>1622</v>
      </c>
      <c r="H2882" s="460" t="s">
        <v>1623</v>
      </c>
    </row>
    <row r="2883" spans="3:8" x14ac:dyDescent="0.25">
      <c r="C2883" s="452" t="s">
        <v>171</v>
      </c>
      <c r="D2883" s="449">
        <f t="shared" si="222"/>
        <v>46140</v>
      </c>
      <c r="E2883" s="454" t="s">
        <v>170</v>
      </c>
      <c r="F2883" s="460" t="s">
        <v>1619</v>
      </c>
      <c r="G2883" s="460" t="s">
        <v>1622</v>
      </c>
      <c r="H2883" s="460" t="s">
        <v>1623</v>
      </c>
    </row>
    <row r="2884" spans="3:8" x14ac:dyDescent="0.25">
      <c r="C2884" s="452" t="s">
        <v>171</v>
      </c>
      <c r="D2884" s="449">
        <f t="shared" si="222"/>
        <v>46140</v>
      </c>
      <c r="E2884" s="454" t="s">
        <v>585</v>
      </c>
      <c r="F2884" s="505"/>
      <c r="G2884" s="505"/>
      <c r="H2884" s="516"/>
    </row>
    <row r="2885" spans="3:8" x14ac:dyDescent="0.25">
      <c r="C2885" s="448" t="s">
        <v>171</v>
      </c>
      <c r="D2885" s="449">
        <f t="shared" si="222"/>
        <v>46140</v>
      </c>
      <c r="E2885" s="455" t="s">
        <v>574</v>
      </c>
      <c r="F2885" s="505"/>
      <c r="G2885" s="505"/>
      <c r="H2885" s="516"/>
    </row>
    <row r="2886" spans="3:8" x14ac:dyDescent="0.25">
      <c r="C2886" s="448" t="s">
        <v>171</v>
      </c>
      <c r="D2886" s="449">
        <f t="shared" si="222"/>
        <v>46140</v>
      </c>
      <c r="E2886" s="455" t="s">
        <v>575</v>
      </c>
      <c r="F2886" s="506"/>
      <c r="G2886" s="506"/>
      <c r="H2886" s="516"/>
    </row>
    <row r="2887" spans="3:8" x14ac:dyDescent="0.25">
      <c r="C2887" s="448" t="s">
        <v>171</v>
      </c>
      <c r="D2887" s="449">
        <f t="shared" si="222"/>
        <v>46140</v>
      </c>
      <c r="E2887" s="503" t="s">
        <v>583</v>
      </c>
      <c r="F2887" s="506"/>
      <c r="G2887" s="506"/>
      <c r="H2887" s="516"/>
    </row>
    <row r="2888" spans="3:8" ht="15.75" thickBot="1" x14ac:dyDescent="0.3">
      <c r="C2888" s="450" t="s">
        <v>171</v>
      </c>
      <c r="D2888" s="451">
        <f t="shared" si="222"/>
        <v>46140</v>
      </c>
      <c r="E2888" s="459" t="s">
        <v>584</v>
      </c>
      <c r="F2888" s="493"/>
      <c r="G2888" s="493"/>
      <c r="H2888" s="513"/>
    </row>
    <row r="2889" spans="3:8" ht="6.75" customHeight="1" thickBot="1" x14ac:dyDescent="0.3"/>
    <row r="2890" spans="3:8" ht="15.75" thickBot="1" x14ac:dyDescent="0.3">
      <c r="C2890" s="538"/>
      <c r="D2890" s="539"/>
      <c r="E2890" s="539"/>
      <c r="F2890" s="539"/>
      <c r="G2890" s="539"/>
      <c r="H2890" s="539"/>
    </row>
    <row r="2891" spans="3:8" x14ac:dyDescent="0.25">
      <c r="C2891" s="446" t="s">
        <v>172</v>
      </c>
      <c r="D2891" s="497">
        <f>D2888+1</f>
        <v>46141</v>
      </c>
      <c r="E2891" s="498" t="s">
        <v>573</v>
      </c>
      <c r="F2891" s="514"/>
      <c r="G2891" s="514"/>
      <c r="H2891" s="515"/>
    </row>
    <row r="2892" spans="3:8" x14ac:dyDescent="0.25">
      <c r="C2892" s="452" t="s">
        <v>172</v>
      </c>
      <c r="D2892" s="499">
        <f t="shared" ref="D2892:D2906" si="223">D2891</f>
        <v>46141</v>
      </c>
      <c r="E2892" s="500" t="s">
        <v>162</v>
      </c>
      <c r="F2892" s="460" t="s">
        <v>1619</v>
      </c>
      <c r="G2892" s="460" t="s">
        <v>1622</v>
      </c>
      <c r="H2892" s="460" t="s">
        <v>1623</v>
      </c>
    </row>
    <row r="2893" spans="3:8" x14ac:dyDescent="0.25">
      <c r="C2893" s="452" t="s">
        <v>172</v>
      </c>
      <c r="D2893" s="449">
        <f t="shared" si="223"/>
        <v>46141</v>
      </c>
      <c r="E2893" s="454" t="s">
        <v>163</v>
      </c>
      <c r="F2893" s="460" t="s">
        <v>1619</v>
      </c>
      <c r="G2893" s="460" t="s">
        <v>1622</v>
      </c>
      <c r="H2893" s="460" t="s">
        <v>1623</v>
      </c>
    </row>
    <row r="2894" spans="3:8" x14ac:dyDescent="0.25">
      <c r="C2894" s="452" t="s">
        <v>172</v>
      </c>
      <c r="D2894" s="449">
        <f t="shared" si="223"/>
        <v>46141</v>
      </c>
      <c r="E2894" s="454" t="s">
        <v>164</v>
      </c>
      <c r="F2894" s="460" t="s">
        <v>1619</v>
      </c>
      <c r="G2894" s="460" t="s">
        <v>1622</v>
      </c>
      <c r="H2894" s="460" t="s">
        <v>1623</v>
      </c>
    </row>
    <row r="2895" spans="3:8" x14ac:dyDescent="0.25">
      <c r="C2895" s="452" t="s">
        <v>172</v>
      </c>
      <c r="D2895" s="449">
        <f t="shared" si="223"/>
        <v>46141</v>
      </c>
      <c r="E2895" s="454" t="s">
        <v>165</v>
      </c>
      <c r="F2895" s="460" t="s">
        <v>1259</v>
      </c>
      <c r="G2895" s="460" t="s">
        <v>1622</v>
      </c>
      <c r="H2895" s="460" t="s">
        <v>1623</v>
      </c>
    </row>
    <row r="2896" spans="3:8" x14ac:dyDescent="0.25">
      <c r="C2896" s="452" t="s">
        <v>172</v>
      </c>
      <c r="D2896" s="449">
        <f t="shared" si="223"/>
        <v>46141</v>
      </c>
      <c r="E2896" s="454" t="s">
        <v>166</v>
      </c>
      <c r="F2896" s="460" t="s">
        <v>1259</v>
      </c>
      <c r="G2896" s="460" t="s">
        <v>1622</v>
      </c>
      <c r="H2896" s="460" t="s">
        <v>1623</v>
      </c>
    </row>
    <row r="2897" spans="3:8" x14ac:dyDescent="0.25">
      <c r="C2897" s="452" t="s">
        <v>172</v>
      </c>
      <c r="D2897" s="449">
        <f t="shared" si="223"/>
        <v>46141</v>
      </c>
      <c r="E2897" s="454" t="s">
        <v>576</v>
      </c>
      <c r="F2897" s="517"/>
      <c r="G2897" s="512"/>
      <c r="H2897" s="512"/>
    </row>
    <row r="2898" spans="3:8" x14ac:dyDescent="0.25">
      <c r="C2898" s="452" t="s">
        <v>172</v>
      </c>
      <c r="D2898" s="449">
        <f t="shared" si="223"/>
        <v>46141</v>
      </c>
      <c r="E2898" s="454" t="s">
        <v>167</v>
      </c>
      <c r="F2898" s="460" t="s">
        <v>1259</v>
      </c>
      <c r="G2898" s="460" t="s">
        <v>1622</v>
      </c>
      <c r="H2898" s="460" t="s">
        <v>1623</v>
      </c>
    </row>
    <row r="2899" spans="3:8" x14ac:dyDescent="0.25">
      <c r="C2899" s="452" t="s">
        <v>172</v>
      </c>
      <c r="D2899" s="449">
        <f t="shared" si="223"/>
        <v>46141</v>
      </c>
      <c r="E2899" s="454" t="s">
        <v>168</v>
      </c>
      <c r="F2899" s="460" t="s">
        <v>1259</v>
      </c>
      <c r="G2899" s="460" t="s">
        <v>1622</v>
      </c>
      <c r="H2899" s="460" t="s">
        <v>1623</v>
      </c>
    </row>
    <row r="2900" spans="3:8" x14ac:dyDescent="0.25">
      <c r="C2900" s="452" t="s">
        <v>172</v>
      </c>
      <c r="D2900" s="449">
        <f t="shared" si="223"/>
        <v>46141</v>
      </c>
      <c r="E2900" s="454" t="s">
        <v>169</v>
      </c>
      <c r="F2900" s="460" t="s">
        <v>1259</v>
      </c>
      <c r="G2900" s="460" t="s">
        <v>1622</v>
      </c>
      <c r="H2900" s="460" t="s">
        <v>1623</v>
      </c>
    </row>
    <row r="2901" spans="3:8" x14ac:dyDescent="0.25">
      <c r="C2901" s="452" t="s">
        <v>172</v>
      </c>
      <c r="D2901" s="449">
        <f t="shared" si="223"/>
        <v>46141</v>
      </c>
      <c r="E2901" s="454" t="s">
        <v>170</v>
      </c>
      <c r="F2901" s="460" t="s">
        <v>1259</v>
      </c>
      <c r="G2901" s="460" t="s">
        <v>1622</v>
      </c>
      <c r="H2901" s="460" t="s">
        <v>1623</v>
      </c>
    </row>
    <row r="2902" spans="3:8" x14ac:dyDescent="0.25">
      <c r="C2902" s="452" t="s">
        <v>172</v>
      </c>
      <c r="D2902" s="449">
        <f t="shared" si="223"/>
        <v>46141</v>
      </c>
      <c r="E2902" s="454" t="s">
        <v>585</v>
      </c>
      <c r="F2902" s="505"/>
      <c r="G2902" s="505"/>
      <c r="H2902" s="516"/>
    </row>
    <row r="2903" spans="3:8" x14ac:dyDescent="0.25">
      <c r="C2903" s="448" t="s">
        <v>172</v>
      </c>
      <c r="D2903" s="449">
        <f t="shared" si="223"/>
        <v>46141</v>
      </c>
      <c r="E2903" s="455" t="s">
        <v>574</v>
      </c>
      <c r="F2903" s="505"/>
      <c r="G2903" s="505"/>
      <c r="H2903" s="516"/>
    </row>
    <row r="2904" spans="3:8" x14ac:dyDescent="0.25">
      <c r="C2904" s="448" t="s">
        <v>172</v>
      </c>
      <c r="D2904" s="449">
        <f t="shared" si="223"/>
        <v>46141</v>
      </c>
      <c r="E2904" s="455" t="s">
        <v>575</v>
      </c>
      <c r="F2904" s="506"/>
      <c r="G2904" s="506"/>
      <c r="H2904" s="516"/>
    </row>
    <row r="2905" spans="3:8" x14ac:dyDescent="0.25">
      <c r="C2905" s="448" t="s">
        <v>172</v>
      </c>
      <c r="D2905" s="449">
        <f t="shared" si="223"/>
        <v>46141</v>
      </c>
      <c r="E2905" s="503" t="s">
        <v>583</v>
      </c>
      <c r="F2905" s="506"/>
      <c r="G2905" s="506"/>
      <c r="H2905" s="516"/>
    </row>
    <row r="2906" spans="3:8" ht="15.75" thickBot="1" x14ac:dyDescent="0.3">
      <c r="C2906" s="450" t="s">
        <v>172</v>
      </c>
      <c r="D2906" s="451">
        <f t="shared" si="223"/>
        <v>46141</v>
      </c>
      <c r="E2906" s="459" t="s">
        <v>584</v>
      </c>
      <c r="F2906" s="493"/>
      <c r="G2906" s="493"/>
      <c r="H2906" s="513"/>
    </row>
    <row r="2907" spans="3:8" ht="8.25" customHeight="1" thickBot="1" x14ac:dyDescent="0.3"/>
    <row r="2908" spans="3:8" ht="15.75" thickBot="1" x14ac:dyDescent="0.3">
      <c r="C2908" s="538"/>
      <c r="D2908" s="539"/>
      <c r="E2908" s="539"/>
      <c r="F2908" s="539"/>
      <c r="G2908" s="539"/>
      <c r="H2908" s="539"/>
    </row>
    <row r="2909" spans="3:8" x14ac:dyDescent="0.25">
      <c r="C2909" s="529" t="s">
        <v>173</v>
      </c>
      <c r="D2909" s="447">
        <f>D2906+1</f>
        <v>46142</v>
      </c>
      <c r="E2909" s="498" t="s">
        <v>573</v>
      </c>
      <c r="F2909" s="514"/>
      <c r="G2909" s="514"/>
      <c r="H2909" s="515"/>
    </row>
    <row r="2910" spans="3:8" x14ac:dyDescent="0.25">
      <c r="C2910" s="452" t="s">
        <v>173</v>
      </c>
      <c r="D2910" s="453">
        <f t="shared" ref="D2910:D2924" si="224">D2909</f>
        <v>46142</v>
      </c>
      <c r="E2910" s="500" t="s">
        <v>162</v>
      </c>
      <c r="F2910" s="460" t="s">
        <v>1259</v>
      </c>
      <c r="G2910" s="460" t="s">
        <v>1622</v>
      </c>
      <c r="H2910" s="460" t="s">
        <v>1623</v>
      </c>
    </row>
    <row r="2911" spans="3:8" x14ac:dyDescent="0.25">
      <c r="C2911" s="452" t="s">
        <v>173</v>
      </c>
      <c r="D2911" s="453">
        <f t="shared" si="224"/>
        <v>46142</v>
      </c>
      <c r="E2911" s="454" t="s">
        <v>163</v>
      </c>
      <c r="F2911" s="460" t="s">
        <v>1259</v>
      </c>
      <c r="G2911" s="460" t="s">
        <v>1622</v>
      </c>
      <c r="H2911" s="460" t="s">
        <v>1623</v>
      </c>
    </row>
    <row r="2912" spans="3:8" x14ac:dyDescent="0.25">
      <c r="C2912" s="452" t="s">
        <v>173</v>
      </c>
      <c r="D2912" s="453">
        <f t="shared" si="224"/>
        <v>46142</v>
      </c>
      <c r="E2912" s="454" t="s">
        <v>164</v>
      </c>
      <c r="F2912" s="460" t="s">
        <v>1259</v>
      </c>
      <c r="G2912" s="460" t="s">
        <v>1622</v>
      </c>
      <c r="H2912" s="460" t="s">
        <v>1623</v>
      </c>
    </row>
    <row r="2913" spans="3:8" x14ac:dyDescent="0.25">
      <c r="C2913" s="452" t="s">
        <v>173</v>
      </c>
      <c r="D2913" s="453">
        <f t="shared" si="224"/>
        <v>46142</v>
      </c>
      <c r="E2913" s="454" t="s">
        <v>165</v>
      </c>
      <c r="F2913" s="460" t="s">
        <v>1624</v>
      </c>
      <c r="G2913" s="460" t="s">
        <v>1622</v>
      </c>
      <c r="H2913" s="460" t="s">
        <v>1623</v>
      </c>
    </row>
    <row r="2914" spans="3:8" x14ac:dyDescent="0.25">
      <c r="C2914" s="452" t="s">
        <v>173</v>
      </c>
      <c r="D2914" s="453">
        <f t="shared" si="224"/>
        <v>46142</v>
      </c>
      <c r="E2914" s="454" t="s">
        <v>166</v>
      </c>
      <c r="F2914" s="460" t="s">
        <v>1624</v>
      </c>
      <c r="G2914" s="460" t="s">
        <v>1622</v>
      </c>
      <c r="H2914" s="460" t="s">
        <v>1623</v>
      </c>
    </row>
    <row r="2915" spans="3:8" x14ac:dyDescent="0.25">
      <c r="C2915" s="452" t="s">
        <v>173</v>
      </c>
      <c r="D2915" s="453">
        <f t="shared" si="224"/>
        <v>46142</v>
      </c>
      <c r="E2915" s="454" t="s">
        <v>576</v>
      </c>
      <c r="F2915" s="517"/>
      <c r="G2915" s="512"/>
      <c r="H2915" s="505"/>
    </row>
    <row r="2916" spans="3:8" x14ac:dyDescent="0.25">
      <c r="C2916" s="452" t="s">
        <v>173</v>
      </c>
      <c r="D2916" s="449">
        <f t="shared" si="224"/>
        <v>46142</v>
      </c>
      <c r="E2916" s="454" t="s">
        <v>167</v>
      </c>
      <c r="F2916" s="460" t="s">
        <v>1624</v>
      </c>
      <c r="G2916" s="460" t="s">
        <v>1622</v>
      </c>
      <c r="H2916" s="461"/>
    </row>
    <row r="2917" spans="3:8" x14ac:dyDescent="0.25">
      <c r="C2917" s="452" t="s">
        <v>173</v>
      </c>
      <c r="D2917" s="449">
        <f t="shared" si="224"/>
        <v>46142</v>
      </c>
      <c r="E2917" s="454" t="s">
        <v>168</v>
      </c>
      <c r="F2917" s="460" t="s">
        <v>1624</v>
      </c>
      <c r="G2917" s="460" t="s">
        <v>1622</v>
      </c>
      <c r="H2917" s="461"/>
    </row>
    <row r="2918" spans="3:8" x14ac:dyDescent="0.25">
      <c r="C2918" s="452" t="s">
        <v>173</v>
      </c>
      <c r="D2918" s="449">
        <f t="shared" si="224"/>
        <v>46142</v>
      </c>
      <c r="E2918" s="454" t="s">
        <v>169</v>
      </c>
      <c r="F2918" s="460" t="s">
        <v>1624</v>
      </c>
      <c r="G2918" s="460" t="s">
        <v>1622</v>
      </c>
      <c r="H2918" s="461"/>
    </row>
    <row r="2919" spans="3:8" x14ac:dyDescent="0.25">
      <c r="C2919" s="452" t="s">
        <v>173</v>
      </c>
      <c r="D2919" s="449">
        <f t="shared" si="224"/>
        <v>46142</v>
      </c>
      <c r="E2919" s="454" t="s">
        <v>170</v>
      </c>
      <c r="F2919" s="460" t="s">
        <v>1624</v>
      </c>
      <c r="G2919" s="460" t="s">
        <v>1622</v>
      </c>
      <c r="H2919" s="504"/>
    </row>
    <row r="2920" spans="3:8" x14ac:dyDescent="0.25">
      <c r="C2920" s="452" t="s">
        <v>173</v>
      </c>
      <c r="D2920" s="449">
        <f t="shared" si="224"/>
        <v>46142</v>
      </c>
      <c r="E2920" s="454" t="s">
        <v>585</v>
      </c>
      <c r="F2920" s="505"/>
      <c r="G2920" s="505"/>
      <c r="H2920" s="516"/>
    </row>
    <row r="2921" spans="3:8" x14ac:dyDescent="0.25">
      <c r="C2921" s="452" t="s">
        <v>173</v>
      </c>
      <c r="D2921" s="449">
        <f t="shared" si="224"/>
        <v>46142</v>
      </c>
      <c r="E2921" s="455" t="s">
        <v>574</v>
      </c>
      <c r="F2921" s="505"/>
      <c r="G2921" s="505"/>
      <c r="H2921" s="516"/>
    </row>
    <row r="2922" spans="3:8" x14ac:dyDescent="0.25">
      <c r="C2922" s="452" t="s">
        <v>173</v>
      </c>
      <c r="D2922" s="449">
        <f t="shared" si="224"/>
        <v>46142</v>
      </c>
      <c r="E2922" s="455" t="s">
        <v>575</v>
      </c>
      <c r="F2922" s="506"/>
      <c r="G2922" s="506"/>
      <c r="H2922" s="516"/>
    </row>
    <row r="2923" spans="3:8" x14ac:dyDescent="0.25">
      <c r="C2923" s="452" t="s">
        <v>173</v>
      </c>
      <c r="D2923" s="449">
        <f t="shared" si="224"/>
        <v>46142</v>
      </c>
      <c r="E2923" s="503" t="s">
        <v>583</v>
      </c>
      <c r="F2923" s="506"/>
      <c r="G2923" s="506"/>
      <c r="H2923" s="516"/>
    </row>
    <row r="2924" spans="3:8" ht="15.75" thickBot="1" x14ac:dyDescent="0.3">
      <c r="C2924" s="530" t="s">
        <v>173</v>
      </c>
      <c r="D2924" s="451">
        <f t="shared" si="224"/>
        <v>46142</v>
      </c>
      <c r="E2924" s="459" t="s">
        <v>584</v>
      </c>
      <c r="F2924" s="493"/>
      <c r="G2924" s="493"/>
      <c r="H2924" s="513"/>
    </row>
    <row r="2925" spans="3:8" ht="15.75" thickBot="1" x14ac:dyDescent="0.3"/>
    <row r="2926" spans="3:8" ht="15.75" thickBot="1" x14ac:dyDescent="0.3">
      <c r="C2926" s="538"/>
      <c r="D2926" s="539"/>
      <c r="E2926" s="539"/>
      <c r="F2926" s="539"/>
      <c r="G2926" s="539"/>
      <c r="H2926" s="539"/>
    </row>
    <row r="2927" spans="3:8" x14ac:dyDescent="0.25">
      <c r="C2927" s="452" t="s">
        <v>1643</v>
      </c>
      <c r="D2927" s="449">
        <v>46139</v>
      </c>
      <c r="E2927" s="498" t="s">
        <v>573</v>
      </c>
      <c r="F2927" s="514"/>
      <c r="G2927" s="514"/>
      <c r="H2927" s="514"/>
    </row>
    <row r="2928" spans="3:8" x14ac:dyDescent="0.25">
      <c r="C2928" s="452" t="s">
        <v>1643</v>
      </c>
      <c r="D2928" s="449">
        <v>46139</v>
      </c>
      <c r="E2928" s="500" t="s">
        <v>162</v>
      </c>
      <c r="F2928" s="460" t="s">
        <v>1624</v>
      </c>
      <c r="G2928" s="460" t="s">
        <v>1647</v>
      </c>
      <c r="H2928" s="460" t="s">
        <v>1623</v>
      </c>
    </row>
    <row r="2929" spans="3:8" x14ac:dyDescent="0.25">
      <c r="C2929" s="452" t="s">
        <v>1643</v>
      </c>
      <c r="D2929" s="449">
        <v>46139</v>
      </c>
      <c r="E2929" s="454" t="s">
        <v>163</v>
      </c>
      <c r="F2929" s="460" t="s">
        <v>1624</v>
      </c>
      <c r="G2929" s="460" t="s">
        <v>1647</v>
      </c>
      <c r="H2929" s="460" t="s">
        <v>1623</v>
      </c>
    </row>
    <row r="2930" spans="3:8" x14ac:dyDescent="0.25">
      <c r="C2930" s="452" t="s">
        <v>1643</v>
      </c>
      <c r="D2930" s="449">
        <v>46139</v>
      </c>
      <c r="E2930" s="454" t="s">
        <v>164</v>
      </c>
      <c r="F2930" s="460" t="s">
        <v>1624</v>
      </c>
      <c r="G2930" s="460" t="s">
        <v>1647</v>
      </c>
      <c r="H2930" s="460" t="s">
        <v>1623</v>
      </c>
    </row>
    <row r="2931" spans="3:8" x14ac:dyDescent="0.25">
      <c r="C2931" s="452" t="s">
        <v>1643</v>
      </c>
      <c r="D2931" s="449">
        <v>46139</v>
      </c>
      <c r="E2931" s="454" t="s">
        <v>165</v>
      </c>
      <c r="F2931" s="460" t="s">
        <v>1624</v>
      </c>
      <c r="G2931" s="460" t="s">
        <v>1647</v>
      </c>
      <c r="H2931" s="460" t="s">
        <v>1623</v>
      </c>
    </row>
    <row r="2932" spans="3:8" x14ac:dyDescent="0.25">
      <c r="C2932" s="452" t="s">
        <v>1643</v>
      </c>
      <c r="D2932" s="449">
        <v>46139</v>
      </c>
      <c r="E2932" s="454" t="s">
        <v>166</v>
      </c>
      <c r="F2932" s="460" t="s">
        <v>1624</v>
      </c>
      <c r="G2932" s="460" t="s">
        <v>1647</v>
      </c>
      <c r="H2932" s="460" t="s">
        <v>1623</v>
      </c>
    </row>
    <row r="2933" spans="3:8" x14ac:dyDescent="0.25">
      <c r="C2933" s="452" t="s">
        <v>1643</v>
      </c>
      <c r="D2933" s="449">
        <v>46139</v>
      </c>
      <c r="E2933" s="454" t="s">
        <v>576</v>
      </c>
      <c r="F2933" s="517"/>
      <c r="G2933" s="512"/>
      <c r="H2933" s="512"/>
    </row>
    <row r="2934" spans="3:8" x14ac:dyDescent="0.25">
      <c r="C2934" s="452" t="s">
        <v>1643</v>
      </c>
      <c r="D2934" s="449">
        <v>46139</v>
      </c>
      <c r="E2934" s="454" t="s">
        <v>167</v>
      </c>
      <c r="F2934" s="460" t="s">
        <v>1624</v>
      </c>
      <c r="G2934" s="460" t="s">
        <v>1615</v>
      </c>
      <c r="H2934" s="460" t="s">
        <v>1623</v>
      </c>
    </row>
    <row r="2935" spans="3:8" x14ac:dyDescent="0.25">
      <c r="C2935" s="452" t="s">
        <v>1643</v>
      </c>
      <c r="D2935" s="449">
        <v>46139</v>
      </c>
      <c r="E2935" s="454" t="s">
        <v>168</v>
      </c>
      <c r="F2935" s="460" t="s">
        <v>1624</v>
      </c>
      <c r="G2935" s="460" t="s">
        <v>1615</v>
      </c>
      <c r="H2935" s="460" t="s">
        <v>1623</v>
      </c>
    </row>
    <row r="2936" spans="3:8" x14ac:dyDescent="0.25">
      <c r="C2936" s="452" t="s">
        <v>1643</v>
      </c>
      <c r="D2936" s="449">
        <v>46139</v>
      </c>
      <c r="E2936" s="454" t="s">
        <v>169</v>
      </c>
      <c r="F2936" s="460" t="s">
        <v>1624</v>
      </c>
      <c r="G2936" s="460" t="s">
        <v>1615</v>
      </c>
      <c r="H2936" s="460" t="s">
        <v>1623</v>
      </c>
    </row>
    <row r="2937" spans="3:8" x14ac:dyDescent="0.25">
      <c r="C2937" s="452" t="s">
        <v>1643</v>
      </c>
      <c r="D2937" s="449">
        <v>46139</v>
      </c>
      <c r="E2937" s="454" t="s">
        <v>170</v>
      </c>
      <c r="F2937" s="460" t="s">
        <v>1624</v>
      </c>
      <c r="G2937" s="460" t="s">
        <v>1615</v>
      </c>
      <c r="H2937" s="460" t="s">
        <v>1623</v>
      </c>
    </row>
    <row r="2938" spans="3:8" x14ac:dyDescent="0.25">
      <c r="C2938" s="452" t="s">
        <v>1643</v>
      </c>
      <c r="D2938" s="449">
        <v>46139</v>
      </c>
      <c r="E2938" s="454" t="s">
        <v>585</v>
      </c>
      <c r="F2938" s="505"/>
      <c r="G2938" s="505"/>
      <c r="H2938" s="505"/>
    </row>
    <row r="2939" spans="3:8" x14ac:dyDescent="0.25">
      <c r="C2939" s="452" t="s">
        <v>1643</v>
      </c>
      <c r="D2939" s="449">
        <v>46139</v>
      </c>
      <c r="E2939" s="455" t="s">
        <v>574</v>
      </c>
      <c r="F2939" s="505"/>
      <c r="G2939" s="505"/>
      <c r="H2939" s="505"/>
    </row>
    <row r="2940" spans="3:8" x14ac:dyDescent="0.25">
      <c r="C2940" s="452" t="s">
        <v>1643</v>
      </c>
      <c r="D2940" s="449">
        <v>46139</v>
      </c>
      <c r="E2940" s="455" t="s">
        <v>575</v>
      </c>
      <c r="F2940" s="506"/>
      <c r="G2940" s="506"/>
      <c r="H2940" s="506"/>
    </row>
    <row r="2941" spans="3:8" x14ac:dyDescent="0.25">
      <c r="C2941" s="452" t="s">
        <v>1643</v>
      </c>
      <c r="D2941" s="449">
        <v>46139</v>
      </c>
      <c r="E2941" s="503" t="s">
        <v>583</v>
      </c>
      <c r="F2941" s="506"/>
      <c r="G2941" s="506"/>
      <c r="H2941" s="506"/>
    </row>
    <row r="2942" spans="3:8" ht="15.75" thickBot="1" x14ac:dyDescent="0.3">
      <c r="C2942" s="452" t="s">
        <v>1643</v>
      </c>
      <c r="D2942" s="449">
        <v>46139</v>
      </c>
      <c r="E2942" s="459" t="s">
        <v>584</v>
      </c>
      <c r="F2942" s="493"/>
      <c r="G2942" s="493"/>
      <c r="H2942" s="493"/>
    </row>
    <row r="2943" spans="3:8" ht="15.75" thickBot="1" x14ac:dyDescent="0.3"/>
    <row r="2944" spans="3:8" ht="15.75" thickBot="1" x14ac:dyDescent="0.3">
      <c r="C2944" s="538"/>
      <c r="D2944" s="539"/>
      <c r="E2944" s="539"/>
      <c r="F2944" s="539"/>
      <c r="G2944" s="539"/>
      <c r="H2944" s="539"/>
    </row>
    <row r="2945" spans="3:8" x14ac:dyDescent="0.25">
      <c r="C2945" s="452" t="s">
        <v>1644</v>
      </c>
      <c r="D2945" s="449">
        <v>46140</v>
      </c>
      <c r="E2945" s="498" t="s">
        <v>573</v>
      </c>
      <c r="F2945" s="514"/>
      <c r="G2945" s="514"/>
      <c r="H2945" s="514"/>
    </row>
    <row r="2946" spans="3:8" x14ac:dyDescent="0.25">
      <c r="C2946" s="452" t="s">
        <v>1644</v>
      </c>
      <c r="D2946" s="449">
        <v>46140</v>
      </c>
      <c r="E2946" s="500" t="s">
        <v>162</v>
      </c>
      <c r="F2946" s="460" t="s">
        <v>1259</v>
      </c>
      <c r="G2946" s="460" t="s">
        <v>1615</v>
      </c>
      <c r="H2946" s="460" t="s">
        <v>1623</v>
      </c>
    </row>
    <row r="2947" spans="3:8" x14ac:dyDescent="0.25">
      <c r="C2947" s="452" t="s">
        <v>1644</v>
      </c>
      <c r="D2947" s="449">
        <v>46140</v>
      </c>
      <c r="E2947" s="454" t="s">
        <v>163</v>
      </c>
      <c r="F2947" s="460" t="s">
        <v>409</v>
      </c>
      <c r="G2947" s="460" t="s">
        <v>1615</v>
      </c>
      <c r="H2947" s="460" t="s">
        <v>1623</v>
      </c>
    </row>
    <row r="2948" spans="3:8" x14ac:dyDescent="0.25">
      <c r="C2948" s="452" t="s">
        <v>1644</v>
      </c>
      <c r="D2948" s="449">
        <v>46140</v>
      </c>
      <c r="E2948" s="454" t="s">
        <v>164</v>
      </c>
      <c r="F2948" s="460" t="s">
        <v>409</v>
      </c>
      <c r="G2948" s="460" t="s">
        <v>1616</v>
      </c>
      <c r="H2948" s="460" t="s">
        <v>1623</v>
      </c>
    </row>
    <row r="2949" spans="3:8" x14ac:dyDescent="0.25">
      <c r="C2949" s="452" t="s">
        <v>1644</v>
      </c>
      <c r="D2949" s="449">
        <v>46140</v>
      </c>
      <c r="E2949" s="454" t="s">
        <v>165</v>
      </c>
      <c r="F2949" s="460" t="s">
        <v>409</v>
      </c>
      <c r="G2949" s="460" t="s">
        <v>1616</v>
      </c>
      <c r="H2949" s="460" t="s">
        <v>1623</v>
      </c>
    </row>
    <row r="2950" spans="3:8" x14ac:dyDescent="0.25">
      <c r="C2950" s="452" t="s">
        <v>1644</v>
      </c>
      <c r="D2950" s="449">
        <v>46140</v>
      </c>
      <c r="E2950" s="454" t="s">
        <v>166</v>
      </c>
      <c r="F2950" s="460" t="s">
        <v>409</v>
      </c>
      <c r="G2950" s="460" t="s">
        <v>1616</v>
      </c>
      <c r="H2950" s="460" t="s">
        <v>1623</v>
      </c>
    </row>
    <row r="2951" spans="3:8" x14ac:dyDescent="0.25">
      <c r="C2951" s="452" t="s">
        <v>1644</v>
      </c>
      <c r="D2951" s="449">
        <v>46140</v>
      </c>
      <c r="E2951" s="454" t="s">
        <v>576</v>
      </c>
      <c r="F2951" s="517"/>
      <c r="G2951" s="512"/>
      <c r="H2951" s="512"/>
    </row>
    <row r="2952" spans="3:8" x14ac:dyDescent="0.25">
      <c r="C2952" s="452" t="s">
        <v>1644</v>
      </c>
      <c r="D2952" s="449">
        <v>46140</v>
      </c>
      <c r="E2952" s="454" t="s">
        <v>167</v>
      </c>
      <c r="F2952" s="460" t="s">
        <v>409</v>
      </c>
      <c r="G2952" s="460" t="s">
        <v>1616</v>
      </c>
      <c r="H2952" s="460" t="s">
        <v>1623</v>
      </c>
    </row>
    <row r="2953" spans="3:8" x14ac:dyDescent="0.25">
      <c r="C2953" s="452" t="s">
        <v>1644</v>
      </c>
      <c r="D2953" s="449">
        <v>46140</v>
      </c>
      <c r="E2953" s="454" t="s">
        <v>168</v>
      </c>
      <c r="F2953" s="460" t="s">
        <v>409</v>
      </c>
      <c r="G2953" s="460" t="s">
        <v>1616</v>
      </c>
      <c r="H2953" s="460" t="s">
        <v>1623</v>
      </c>
    </row>
    <row r="2954" spans="3:8" x14ac:dyDescent="0.25">
      <c r="C2954" s="452" t="s">
        <v>1644</v>
      </c>
      <c r="D2954" s="449">
        <v>46140</v>
      </c>
      <c r="E2954" s="454" t="s">
        <v>169</v>
      </c>
      <c r="F2954" s="460" t="s">
        <v>409</v>
      </c>
      <c r="G2954" s="460" t="s">
        <v>1616</v>
      </c>
      <c r="H2954" s="460" t="s">
        <v>1623</v>
      </c>
    </row>
    <row r="2955" spans="3:8" x14ac:dyDescent="0.25">
      <c r="C2955" s="452" t="s">
        <v>1644</v>
      </c>
      <c r="D2955" s="449">
        <v>46140</v>
      </c>
      <c r="E2955" s="454" t="s">
        <v>170</v>
      </c>
      <c r="F2955" s="460" t="s">
        <v>409</v>
      </c>
      <c r="G2955" s="460" t="s">
        <v>1617</v>
      </c>
      <c r="H2955" s="460" t="s">
        <v>1623</v>
      </c>
    </row>
    <row r="2956" spans="3:8" x14ac:dyDescent="0.25">
      <c r="C2956" s="452" t="s">
        <v>1644</v>
      </c>
      <c r="D2956" s="449">
        <v>46140</v>
      </c>
      <c r="E2956" s="454" t="s">
        <v>585</v>
      </c>
      <c r="F2956" s="505"/>
      <c r="G2956" s="505"/>
      <c r="H2956" s="516"/>
    </row>
    <row r="2957" spans="3:8" x14ac:dyDescent="0.25">
      <c r="C2957" s="452" t="s">
        <v>1644</v>
      </c>
      <c r="D2957" s="449">
        <v>46140</v>
      </c>
      <c r="E2957" s="455" t="s">
        <v>574</v>
      </c>
      <c r="F2957" s="505"/>
      <c r="G2957" s="505"/>
      <c r="H2957" s="516"/>
    </row>
    <row r="2958" spans="3:8" x14ac:dyDescent="0.25">
      <c r="C2958" s="452" t="s">
        <v>1644</v>
      </c>
      <c r="D2958" s="449">
        <v>46140</v>
      </c>
      <c r="E2958" s="455" t="s">
        <v>575</v>
      </c>
      <c r="F2958" s="506"/>
      <c r="G2958" s="506"/>
      <c r="H2958" s="516"/>
    </row>
    <row r="2959" spans="3:8" x14ac:dyDescent="0.25">
      <c r="C2959" s="452" t="s">
        <v>1644</v>
      </c>
      <c r="D2959" s="449">
        <v>46140</v>
      </c>
      <c r="E2959" s="503" t="s">
        <v>583</v>
      </c>
      <c r="F2959" s="506"/>
      <c r="G2959" s="506"/>
      <c r="H2959" s="516"/>
    </row>
    <row r="2960" spans="3:8" ht="15.75" thickBot="1" x14ac:dyDescent="0.3">
      <c r="C2960" s="452" t="s">
        <v>1644</v>
      </c>
      <c r="D2960" s="449">
        <v>46140</v>
      </c>
      <c r="E2960" s="459" t="s">
        <v>584</v>
      </c>
      <c r="F2960" s="493"/>
      <c r="G2960" s="493"/>
      <c r="H2960" s="513"/>
    </row>
    <row r="2961" spans="3:8" ht="15.75" thickBot="1" x14ac:dyDescent="0.3">
      <c r="D2961" s="449"/>
    </row>
    <row r="2962" spans="3:8" ht="15.75" thickBot="1" x14ac:dyDescent="0.3">
      <c r="C2962" s="538"/>
      <c r="D2962" s="539"/>
      <c r="E2962" s="539"/>
      <c r="F2962" s="539"/>
      <c r="G2962" s="539"/>
      <c r="H2962" s="539"/>
    </row>
    <row r="2963" spans="3:8" x14ac:dyDescent="0.25">
      <c r="C2963" s="452" t="s">
        <v>1645</v>
      </c>
      <c r="D2963" s="449">
        <v>46141</v>
      </c>
      <c r="E2963" s="498" t="s">
        <v>573</v>
      </c>
      <c r="F2963" s="514"/>
      <c r="G2963" s="514"/>
      <c r="H2963" s="515"/>
    </row>
    <row r="2964" spans="3:8" x14ac:dyDescent="0.25">
      <c r="C2964" s="452" t="s">
        <v>1645</v>
      </c>
      <c r="D2964" s="449">
        <v>46141</v>
      </c>
      <c r="E2964" s="500" t="s">
        <v>162</v>
      </c>
      <c r="F2964" s="460" t="s">
        <v>409</v>
      </c>
      <c r="G2964" s="460" t="s">
        <v>1617</v>
      </c>
      <c r="H2964" s="460" t="s">
        <v>1623</v>
      </c>
    </row>
    <row r="2965" spans="3:8" x14ac:dyDescent="0.25">
      <c r="C2965" s="452" t="s">
        <v>1645</v>
      </c>
      <c r="D2965" s="449">
        <v>46141</v>
      </c>
      <c r="E2965" s="454" t="s">
        <v>163</v>
      </c>
      <c r="F2965" s="460" t="s">
        <v>409</v>
      </c>
      <c r="G2965" s="460" t="s">
        <v>1617</v>
      </c>
      <c r="H2965" s="460" t="s">
        <v>1623</v>
      </c>
    </row>
    <row r="2966" spans="3:8" x14ac:dyDescent="0.25">
      <c r="C2966" s="452" t="s">
        <v>1645</v>
      </c>
      <c r="D2966" s="449">
        <v>46141</v>
      </c>
      <c r="E2966" s="454" t="s">
        <v>164</v>
      </c>
      <c r="F2966" s="460" t="s">
        <v>409</v>
      </c>
      <c r="G2966" s="460" t="s">
        <v>1617</v>
      </c>
      <c r="H2966" s="460" t="s">
        <v>1623</v>
      </c>
    </row>
    <row r="2967" spans="3:8" x14ac:dyDescent="0.25">
      <c r="C2967" s="452" t="s">
        <v>1645</v>
      </c>
      <c r="D2967" s="449">
        <v>46141</v>
      </c>
      <c r="E2967" s="454" t="s">
        <v>165</v>
      </c>
      <c r="F2967" s="460" t="s">
        <v>409</v>
      </c>
      <c r="G2967" s="460" t="s">
        <v>1617</v>
      </c>
      <c r="H2967" s="460" t="s">
        <v>1623</v>
      </c>
    </row>
    <row r="2968" spans="3:8" x14ac:dyDescent="0.25">
      <c r="C2968" s="452" t="s">
        <v>1645</v>
      </c>
      <c r="D2968" s="449">
        <v>46141</v>
      </c>
      <c r="E2968" s="454" t="s">
        <v>166</v>
      </c>
      <c r="F2968" s="460" t="s">
        <v>409</v>
      </c>
      <c r="G2968" s="460" t="s">
        <v>1617</v>
      </c>
      <c r="H2968" s="460" t="s">
        <v>1623</v>
      </c>
    </row>
    <row r="2969" spans="3:8" x14ac:dyDescent="0.25">
      <c r="C2969" s="452" t="s">
        <v>1645</v>
      </c>
      <c r="D2969" s="449">
        <v>46141</v>
      </c>
      <c r="E2969" s="454" t="s">
        <v>576</v>
      </c>
      <c r="F2969" s="517"/>
      <c r="G2969" s="512"/>
      <c r="H2969" s="512"/>
    </row>
    <row r="2970" spans="3:8" x14ac:dyDescent="0.25">
      <c r="C2970" s="452" t="s">
        <v>1645</v>
      </c>
      <c r="D2970" s="449">
        <v>46141</v>
      </c>
      <c r="E2970" s="454" t="s">
        <v>167</v>
      </c>
      <c r="F2970" s="460" t="s">
        <v>1269</v>
      </c>
      <c r="G2970" s="460" t="s">
        <v>1618</v>
      </c>
      <c r="H2970" s="460" t="s">
        <v>1623</v>
      </c>
    </row>
    <row r="2971" spans="3:8" x14ac:dyDescent="0.25">
      <c r="C2971" s="452" t="s">
        <v>1645</v>
      </c>
      <c r="D2971" s="449">
        <v>46141</v>
      </c>
      <c r="E2971" s="454" t="s">
        <v>168</v>
      </c>
      <c r="F2971" s="460" t="s">
        <v>1269</v>
      </c>
      <c r="G2971" s="460" t="s">
        <v>1618</v>
      </c>
      <c r="H2971" s="460" t="s">
        <v>1623</v>
      </c>
    </row>
    <row r="2972" spans="3:8" x14ac:dyDescent="0.25">
      <c r="C2972" s="452" t="s">
        <v>1645</v>
      </c>
      <c r="D2972" s="449">
        <v>46141</v>
      </c>
      <c r="E2972" s="454" t="s">
        <v>169</v>
      </c>
      <c r="F2972" s="460" t="s">
        <v>1269</v>
      </c>
      <c r="G2972" s="460" t="s">
        <v>1618</v>
      </c>
      <c r="H2972" s="460" t="s">
        <v>1623</v>
      </c>
    </row>
    <row r="2973" spans="3:8" x14ac:dyDescent="0.25">
      <c r="C2973" s="452" t="s">
        <v>1645</v>
      </c>
      <c r="D2973" s="449">
        <v>46141</v>
      </c>
      <c r="E2973" s="454" t="s">
        <v>170</v>
      </c>
      <c r="F2973" s="460" t="s">
        <v>1269</v>
      </c>
      <c r="G2973" s="460" t="s">
        <v>1618</v>
      </c>
      <c r="H2973" s="460" t="s">
        <v>1623</v>
      </c>
    </row>
    <row r="2974" spans="3:8" x14ac:dyDescent="0.25">
      <c r="C2974" s="452" t="s">
        <v>1645</v>
      </c>
      <c r="D2974" s="449">
        <v>46141</v>
      </c>
      <c r="E2974" s="454" t="s">
        <v>585</v>
      </c>
      <c r="F2974" s="505"/>
      <c r="G2974" s="505"/>
      <c r="H2974" s="516"/>
    </row>
    <row r="2975" spans="3:8" x14ac:dyDescent="0.25">
      <c r="C2975" s="452" t="s">
        <v>1645</v>
      </c>
      <c r="D2975" s="449">
        <v>46141</v>
      </c>
      <c r="E2975" s="455" t="s">
        <v>574</v>
      </c>
      <c r="F2975" s="505"/>
      <c r="G2975" s="505"/>
      <c r="H2975" s="516"/>
    </row>
    <row r="2976" spans="3:8" x14ac:dyDescent="0.25">
      <c r="C2976" s="452" t="s">
        <v>1645</v>
      </c>
      <c r="D2976" s="449">
        <v>46141</v>
      </c>
      <c r="E2976" s="455" t="s">
        <v>575</v>
      </c>
      <c r="F2976" s="506"/>
      <c r="G2976" s="506"/>
      <c r="H2976" s="516"/>
    </row>
    <row r="2977" spans="3:8" x14ac:dyDescent="0.25">
      <c r="C2977" s="452" t="s">
        <v>1645</v>
      </c>
      <c r="D2977" s="449">
        <v>46141</v>
      </c>
      <c r="E2977" s="503" t="s">
        <v>583</v>
      </c>
      <c r="F2977" s="506"/>
      <c r="G2977" s="506"/>
      <c r="H2977" s="516"/>
    </row>
    <row r="2978" spans="3:8" ht="15.75" thickBot="1" x14ac:dyDescent="0.3">
      <c r="C2978" s="452" t="s">
        <v>1645</v>
      </c>
      <c r="D2978" s="449">
        <v>46141</v>
      </c>
      <c r="E2978" s="459" t="s">
        <v>584</v>
      </c>
      <c r="F2978" s="493"/>
      <c r="G2978" s="493"/>
      <c r="H2978" s="513"/>
    </row>
    <row r="2979" spans="3:8" ht="15.75" thickBot="1" x14ac:dyDescent="0.3"/>
    <row r="2980" spans="3:8" ht="15.75" thickBot="1" x14ac:dyDescent="0.3">
      <c r="C2980" s="538"/>
      <c r="D2980" s="539"/>
      <c r="E2980" s="539"/>
      <c r="F2980" s="539"/>
      <c r="G2980" s="539"/>
      <c r="H2980" s="539"/>
    </row>
    <row r="2981" spans="3:8" x14ac:dyDescent="0.25">
      <c r="C2981" s="452" t="s">
        <v>1646</v>
      </c>
      <c r="D2981" s="449">
        <v>46142</v>
      </c>
      <c r="E2981" s="498" t="s">
        <v>573</v>
      </c>
      <c r="F2981" s="514"/>
      <c r="G2981" s="514"/>
      <c r="H2981" s="515"/>
    </row>
    <row r="2982" spans="3:8" x14ac:dyDescent="0.25">
      <c r="C2982" s="452" t="s">
        <v>1646</v>
      </c>
      <c r="D2982" s="449">
        <v>46142</v>
      </c>
      <c r="E2982" s="500" t="s">
        <v>162</v>
      </c>
      <c r="F2982" s="460" t="s">
        <v>1269</v>
      </c>
      <c r="G2982" s="460" t="s">
        <v>1618</v>
      </c>
      <c r="H2982" s="460" t="s">
        <v>1623</v>
      </c>
    </row>
    <row r="2983" spans="3:8" x14ac:dyDescent="0.25">
      <c r="C2983" s="452" t="s">
        <v>1646</v>
      </c>
      <c r="D2983" s="449">
        <v>46142</v>
      </c>
      <c r="E2983" s="454" t="s">
        <v>163</v>
      </c>
      <c r="F2983" s="460" t="s">
        <v>1269</v>
      </c>
      <c r="G2983" s="460" t="s">
        <v>1618</v>
      </c>
      <c r="H2983" s="460" t="s">
        <v>1623</v>
      </c>
    </row>
    <row r="2984" spans="3:8" x14ac:dyDescent="0.25">
      <c r="C2984" s="452" t="s">
        <v>1646</v>
      </c>
      <c r="D2984" s="449">
        <v>46142</v>
      </c>
      <c r="E2984" s="454" t="s">
        <v>164</v>
      </c>
      <c r="F2984" s="460" t="s">
        <v>1269</v>
      </c>
      <c r="G2984" s="460" t="s">
        <v>1648</v>
      </c>
      <c r="H2984" s="460" t="s">
        <v>1623</v>
      </c>
    </row>
    <row r="2985" spans="3:8" x14ac:dyDescent="0.25">
      <c r="C2985" s="452" t="s">
        <v>1646</v>
      </c>
      <c r="D2985" s="449">
        <v>46142</v>
      </c>
      <c r="E2985" s="454" t="s">
        <v>165</v>
      </c>
      <c r="F2985" s="460" t="s">
        <v>1269</v>
      </c>
      <c r="G2985" s="460" t="s">
        <v>1648</v>
      </c>
      <c r="H2985" s="460" t="s">
        <v>1623</v>
      </c>
    </row>
    <row r="2986" spans="3:8" x14ac:dyDescent="0.25">
      <c r="C2986" s="452" t="s">
        <v>1646</v>
      </c>
      <c r="D2986" s="449">
        <v>46142</v>
      </c>
      <c r="E2986" s="454" t="s">
        <v>166</v>
      </c>
      <c r="F2986" s="460" t="s">
        <v>1269</v>
      </c>
      <c r="G2986" s="460" t="s">
        <v>1648</v>
      </c>
      <c r="H2986" s="460" t="s">
        <v>1623</v>
      </c>
    </row>
    <row r="2987" spans="3:8" x14ac:dyDescent="0.25">
      <c r="C2987" s="452" t="s">
        <v>1646</v>
      </c>
      <c r="D2987" s="449">
        <v>46142</v>
      </c>
      <c r="E2987" s="454" t="s">
        <v>576</v>
      </c>
      <c r="F2987" s="517"/>
      <c r="G2987" s="512"/>
      <c r="H2987" s="505"/>
    </row>
    <row r="2988" spans="3:8" x14ac:dyDescent="0.25">
      <c r="C2988" s="452" t="s">
        <v>1646</v>
      </c>
      <c r="D2988" s="449">
        <v>46142</v>
      </c>
      <c r="E2988" s="454" t="s">
        <v>167</v>
      </c>
      <c r="F2988" s="460" t="s">
        <v>1268</v>
      </c>
      <c r="G2988" s="460" t="s">
        <v>1648</v>
      </c>
      <c r="H2988" s="461" t="s">
        <v>1623</v>
      </c>
    </row>
    <row r="2989" spans="3:8" x14ac:dyDescent="0.25">
      <c r="C2989" s="452" t="s">
        <v>1646</v>
      </c>
      <c r="D2989" s="449">
        <v>46142</v>
      </c>
      <c r="E2989" s="454" t="s">
        <v>168</v>
      </c>
      <c r="F2989" s="460" t="s">
        <v>1268</v>
      </c>
      <c r="G2989" s="460" t="s">
        <v>1648</v>
      </c>
      <c r="H2989" s="461" t="s">
        <v>1623</v>
      </c>
    </row>
    <row r="2990" spans="3:8" x14ac:dyDescent="0.25">
      <c r="C2990" s="452" t="s">
        <v>1646</v>
      </c>
      <c r="D2990" s="449">
        <v>46142</v>
      </c>
      <c r="E2990" s="454" t="s">
        <v>169</v>
      </c>
      <c r="F2990" s="460" t="s">
        <v>1268</v>
      </c>
      <c r="G2990" s="460" t="s">
        <v>1648</v>
      </c>
      <c r="H2990" s="461" t="s">
        <v>1623</v>
      </c>
    </row>
    <row r="2991" spans="3:8" x14ac:dyDescent="0.25">
      <c r="C2991" s="452" t="s">
        <v>1646</v>
      </c>
      <c r="D2991" s="449">
        <v>46142</v>
      </c>
      <c r="E2991" s="454" t="s">
        <v>170</v>
      </c>
      <c r="F2991" s="460" t="s">
        <v>1268</v>
      </c>
      <c r="G2991" s="460" t="s">
        <v>1648</v>
      </c>
      <c r="H2991" s="504" t="s">
        <v>1623</v>
      </c>
    </row>
    <row r="2992" spans="3:8" x14ac:dyDescent="0.25">
      <c r="C2992" s="452" t="s">
        <v>1646</v>
      </c>
      <c r="D2992" s="449">
        <v>46142</v>
      </c>
      <c r="E2992" s="454" t="s">
        <v>585</v>
      </c>
      <c r="F2992" s="505"/>
      <c r="G2992" s="505"/>
      <c r="H2992" s="516"/>
    </row>
    <row r="2993" spans="3:8" x14ac:dyDescent="0.25">
      <c r="C2993" s="452" t="s">
        <v>1646</v>
      </c>
      <c r="D2993" s="449">
        <v>46142</v>
      </c>
      <c r="E2993" s="455" t="s">
        <v>574</v>
      </c>
      <c r="F2993" s="505"/>
      <c r="G2993" s="505"/>
      <c r="H2993" s="516"/>
    </row>
    <row r="2994" spans="3:8" x14ac:dyDescent="0.25">
      <c r="C2994" s="452" t="s">
        <v>1646</v>
      </c>
      <c r="D2994" s="449">
        <v>46142</v>
      </c>
      <c r="E2994" s="455" t="s">
        <v>575</v>
      </c>
      <c r="F2994" s="506"/>
      <c r="G2994" s="506"/>
      <c r="H2994" s="516"/>
    </row>
    <row r="2995" spans="3:8" x14ac:dyDescent="0.25">
      <c r="C2995" s="452" t="s">
        <v>1646</v>
      </c>
      <c r="D2995" s="449">
        <v>46142</v>
      </c>
      <c r="E2995" s="503" t="s">
        <v>583</v>
      </c>
      <c r="F2995" s="506"/>
      <c r="G2995" s="506"/>
      <c r="H2995" s="516"/>
    </row>
    <row r="2996" spans="3:8" ht="15.75" thickBot="1" x14ac:dyDescent="0.3">
      <c r="C2996" s="452" t="s">
        <v>1646</v>
      </c>
      <c r="D2996" s="449">
        <v>46142</v>
      </c>
      <c r="E2996" s="459" t="s">
        <v>584</v>
      </c>
      <c r="F2996" s="493"/>
      <c r="G2996" s="493"/>
      <c r="H2996" s="513"/>
    </row>
    <row r="2997" spans="3:8" ht="15.75" thickBot="1" x14ac:dyDescent="0.3"/>
    <row r="2998" spans="3:8" ht="15.75" thickBot="1" x14ac:dyDescent="0.3">
      <c r="C2998" s="546">
        <f>SUM(I2926:K2926,I2944:K2944,I2962:K2962,I2980:K2980,I2998:K2998)</f>
        <v>0</v>
      </c>
      <c r="D2998" s="547">
        <f>SUM(P2998,P2980,P2962,P2944,P2926)</f>
        <v>0</v>
      </c>
      <c r="E2998" s="539"/>
      <c r="F2998" s="539"/>
      <c r="G2998" s="539"/>
      <c r="H2998" s="539"/>
    </row>
    <row r="2999" spans="3:8" x14ac:dyDescent="0.25">
      <c r="C2999" s="529" t="s">
        <v>174</v>
      </c>
      <c r="D2999" s="447">
        <f>D2996+1</f>
        <v>46143</v>
      </c>
      <c r="E2999" s="498" t="s">
        <v>573</v>
      </c>
      <c r="F2999" s="514"/>
      <c r="G2999" s="514"/>
      <c r="H2999" s="515"/>
    </row>
    <row r="3000" spans="3:8" x14ac:dyDescent="0.25">
      <c r="C3000" s="452" t="s">
        <v>174</v>
      </c>
      <c r="D3000" s="453">
        <f t="shared" ref="D3000:D3014" si="225">D2999</f>
        <v>46143</v>
      </c>
      <c r="E3000" s="500" t="s">
        <v>162</v>
      </c>
      <c r="F3000" s="611"/>
      <c r="G3000" s="611"/>
      <c r="H3000" s="611"/>
    </row>
    <row r="3001" spans="3:8" x14ac:dyDescent="0.25">
      <c r="C3001" s="452" t="s">
        <v>174</v>
      </c>
      <c r="D3001" s="453">
        <f t="shared" si="225"/>
        <v>46143</v>
      </c>
      <c r="E3001" s="454" t="s">
        <v>163</v>
      </c>
      <c r="F3001" s="611"/>
      <c r="G3001" s="611"/>
      <c r="H3001" s="611"/>
    </row>
    <row r="3002" spans="3:8" x14ac:dyDescent="0.25">
      <c r="C3002" s="452" t="s">
        <v>174</v>
      </c>
      <c r="D3002" s="453">
        <f t="shared" si="225"/>
        <v>46143</v>
      </c>
      <c r="E3002" s="454" t="s">
        <v>164</v>
      </c>
      <c r="F3002" s="611"/>
      <c r="G3002" s="611"/>
      <c r="H3002" s="611"/>
    </row>
    <row r="3003" spans="3:8" x14ac:dyDescent="0.25">
      <c r="C3003" s="452" t="s">
        <v>174</v>
      </c>
      <c r="D3003" s="453">
        <f t="shared" si="225"/>
        <v>46143</v>
      </c>
      <c r="E3003" s="454" t="s">
        <v>165</v>
      </c>
      <c r="F3003" s="611"/>
      <c r="G3003" s="611"/>
      <c r="H3003" s="611"/>
    </row>
    <row r="3004" spans="3:8" x14ac:dyDescent="0.25">
      <c r="C3004" s="452" t="s">
        <v>174</v>
      </c>
      <c r="D3004" s="453">
        <f t="shared" si="225"/>
        <v>46143</v>
      </c>
      <c r="E3004" s="454" t="s">
        <v>166</v>
      </c>
      <c r="F3004" s="611"/>
      <c r="G3004" s="611"/>
      <c r="H3004" s="611"/>
    </row>
    <row r="3005" spans="3:8" x14ac:dyDescent="0.25">
      <c r="C3005" s="452" t="s">
        <v>174</v>
      </c>
      <c r="D3005" s="453">
        <f t="shared" si="225"/>
        <v>46143</v>
      </c>
      <c r="E3005" s="454" t="s">
        <v>576</v>
      </c>
      <c r="F3005" s="517"/>
      <c r="G3005" s="512"/>
      <c r="H3005" s="505"/>
    </row>
    <row r="3006" spans="3:8" x14ac:dyDescent="0.25">
      <c r="C3006" s="452" t="s">
        <v>174</v>
      </c>
      <c r="D3006" s="449">
        <f t="shared" si="225"/>
        <v>46143</v>
      </c>
      <c r="E3006" s="454" t="s">
        <v>167</v>
      </c>
      <c r="F3006" s="611"/>
      <c r="G3006" s="611"/>
      <c r="H3006" s="612"/>
    </row>
    <row r="3007" spans="3:8" x14ac:dyDescent="0.25">
      <c r="C3007" s="452" t="s">
        <v>174</v>
      </c>
      <c r="D3007" s="449">
        <f t="shared" si="225"/>
        <v>46143</v>
      </c>
      <c r="E3007" s="454" t="s">
        <v>168</v>
      </c>
      <c r="F3007" s="611"/>
      <c r="G3007" s="611"/>
      <c r="H3007" s="612"/>
    </row>
    <row r="3008" spans="3:8" x14ac:dyDescent="0.25">
      <c r="C3008" s="452" t="s">
        <v>174</v>
      </c>
      <c r="D3008" s="449">
        <f t="shared" si="225"/>
        <v>46143</v>
      </c>
      <c r="E3008" s="454" t="s">
        <v>169</v>
      </c>
      <c r="F3008" s="611"/>
      <c r="G3008" s="611"/>
      <c r="H3008" s="612"/>
    </row>
    <row r="3009" spans="3:8" x14ac:dyDescent="0.25">
      <c r="C3009" s="452" t="s">
        <v>174</v>
      </c>
      <c r="D3009" s="449">
        <f t="shared" si="225"/>
        <v>46143</v>
      </c>
      <c r="E3009" s="454" t="s">
        <v>170</v>
      </c>
      <c r="F3009" s="505"/>
      <c r="G3009" s="505"/>
      <c r="H3009" s="516"/>
    </row>
    <row r="3010" spans="3:8" x14ac:dyDescent="0.25">
      <c r="C3010" s="452" t="s">
        <v>174</v>
      </c>
      <c r="D3010" s="449">
        <f t="shared" si="225"/>
        <v>46143</v>
      </c>
      <c r="E3010" s="454" t="s">
        <v>585</v>
      </c>
      <c r="F3010" s="505"/>
      <c r="G3010" s="505"/>
      <c r="H3010" s="516"/>
    </row>
    <row r="3011" spans="3:8" x14ac:dyDescent="0.25">
      <c r="C3011" s="452" t="s">
        <v>174</v>
      </c>
      <c r="D3011" s="449">
        <f t="shared" si="225"/>
        <v>46143</v>
      </c>
      <c r="E3011" s="455" t="s">
        <v>574</v>
      </c>
      <c r="F3011" s="505"/>
      <c r="G3011" s="505"/>
      <c r="H3011" s="516"/>
    </row>
    <row r="3012" spans="3:8" x14ac:dyDescent="0.25">
      <c r="C3012" s="452" t="s">
        <v>174</v>
      </c>
      <c r="D3012" s="449">
        <f t="shared" si="225"/>
        <v>46143</v>
      </c>
      <c r="E3012" s="455" t="s">
        <v>575</v>
      </c>
      <c r="F3012" s="506"/>
      <c r="G3012" s="506"/>
      <c r="H3012" s="516"/>
    </row>
    <row r="3013" spans="3:8" x14ac:dyDescent="0.25">
      <c r="C3013" s="452" t="s">
        <v>174</v>
      </c>
      <c r="D3013" s="502">
        <f t="shared" si="225"/>
        <v>46143</v>
      </c>
      <c r="E3013" s="503" t="s">
        <v>583</v>
      </c>
      <c r="F3013" s="506"/>
      <c r="G3013" s="506"/>
      <c r="H3013" s="516"/>
    </row>
    <row r="3014" spans="3:8" ht="15.75" thickBot="1" x14ac:dyDescent="0.3">
      <c r="C3014" s="530" t="s">
        <v>174</v>
      </c>
      <c r="D3014" s="451">
        <f t="shared" si="225"/>
        <v>46143</v>
      </c>
      <c r="E3014" s="459" t="s">
        <v>584</v>
      </c>
      <c r="F3014" s="493"/>
      <c r="G3014" s="493"/>
      <c r="H3014" s="513"/>
    </row>
    <row r="3015" spans="3:8" ht="15.75" thickBot="1" x14ac:dyDescent="0.3"/>
    <row r="3016" spans="3:8" ht="15.75" thickBot="1" x14ac:dyDescent="0.3">
      <c r="C3016" s="538"/>
      <c r="D3016" s="539"/>
      <c r="E3016" s="539"/>
      <c r="F3016" s="539"/>
      <c r="G3016" s="539"/>
      <c r="H3016" s="539"/>
    </row>
    <row r="3017" spans="3:8" x14ac:dyDescent="0.25">
      <c r="C3017" s="529" t="s">
        <v>1033</v>
      </c>
      <c r="D3017" s="447">
        <f>D3014+1</f>
        <v>46144</v>
      </c>
      <c r="E3017" s="498" t="s">
        <v>573</v>
      </c>
      <c r="F3017" s="514"/>
      <c r="G3017" s="514"/>
      <c r="H3017" s="514"/>
    </row>
    <row r="3018" spans="3:8" x14ac:dyDescent="0.25">
      <c r="C3018" s="452" t="s">
        <v>1033</v>
      </c>
      <c r="D3018" s="453">
        <f t="shared" ref="D3018:D3032" si="226">D3017</f>
        <v>46144</v>
      </c>
      <c r="E3018" s="500" t="s">
        <v>162</v>
      </c>
      <c r="F3018" s="517"/>
      <c r="G3018" s="517"/>
      <c r="H3018" s="517"/>
    </row>
    <row r="3019" spans="3:8" x14ac:dyDescent="0.25">
      <c r="C3019" s="452" t="s">
        <v>1033</v>
      </c>
      <c r="D3019" s="453">
        <f t="shared" si="226"/>
        <v>46144</v>
      </c>
      <c r="E3019" s="454" t="s">
        <v>163</v>
      </c>
      <c r="F3019" s="517"/>
      <c r="G3019" s="512"/>
      <c r="H3019" s="505"/>
    </row>
    <row r="3020" spans="3:8" x14ac:dyDescent="0.25">
      <c r="C3020" s="452" t="s">
        <v>1033</v>
      </c>
      <c r="D3020" s="453">
        <f t="shared" si="226"/>
        <v>46144</v>
      </c>
      <c r="E3020" s="454" t="s">
        <v>164</v>
      </c>
      <c r="F3020" s="517"/>
      <c r="G3020" s="512"/>
      <c r="H3020" s="505"/>
    </row>
    <row r="3021" spans="3:8" x14ac:dyDescent="0.25">
      <c r="C3021" s="452" t="s">
        <v>1033</v>
      </c>
      <c r="D3021" s="453">
        <f t="shared" si="226"/>
        <v>46144</v>
      </c>
      <c r="E3021" s="454" t="s">
        <v>165</v>
      </c>
      <c r="F3021" s="517"/>
      <c r="G3021" s="512"/>
      <c r="H3021" s="505"/>
    </row>
    <row r="3022" spans="3:8" x14ac:dyDescent="0.25">
      <c r="C3022" s="452" t="s">
        <v>1033</v>
      </c>
      <c r="D3022" s="453">
        <f t="shared" si="226"/>
        <v>46144</v>
      </c>
      <c r="E3022" s="454" t="s">
        <v>166</v>
      </c>
      <c r="F3022" s="517"/>
      <c r="G3022" s="512"/>
      <c r="H3022" s="505"/>
    </row>
    <row r="3023" spans="3:8" x14ac:dyDescent="0.25">
      <c r="C3023" s="452" t="s">
        <v>1033</v>
      </c>
      <c r="D3023" s="453">
        <f t="shared" si="226"/>
        <v>46144</v>
      </c>
      <c r="E3023" s="454" t="s">
        <v>576</v>
      </c>
      <c r="F3023" s="517"/>
      <c r="G3023" s="512"/>
      <c r="H3023" s="505"/>
    </row>
    <row r="3024" spans="3:8" x14ac:dyDescent="0.25">
      <c r="C3024" s="452" t="s">
        <v>1033</v>
      </c>
      <c r="D3024" s="449">
        <f t="shared" si="226"/>
        <v>46144</v>
      </c>
      <c r="E3024" s="454" t="s">
        <v>167</v>
      </c>
      <c r="F3024" s="517"/>
      <c r="G3024" s="512"/>
      <c r="H3024" s="505"/>
    </row>
    <row r="3025" spans="3:8" x14ac:dyDescent="0.25">
      <c r="C3025" s="452" t="s">
        <v>1033</v>
      </c>
      <c r="D3025" s="449">
        <f t="shared" si="226"/>
        <v>46144</v>
      </c>
      <c r="E3025" s="454" t="s">
        <v>168</v>
      </c>
      <c r="F3025" s="517"/>
      <c r="G3025" s="512"/>
      <c r="H3025" s="505"/>
    </row>
    <row r="3026" spans="3:8" x14ac:dyDescent="0.25">
      <c r="C3026" s="452" t="s">
        <v>1033</v>
      </c>
      <c r="D3026" s="449">
        <f t="shared" si="226"/>
        <v>46144</v>
      </c>
      <c r="E3026" s="454" t="s">
        <v>169</v>
      </c>
      <c r="F3026" s="517"/>
      <c r="G3026" s="512"/>
      <c r="H3026" s="505"/>
    </row>
    <row r="3027" spans="3:8" x14ac:dyDescent="0.25">
      <c r="C3027" s="452" t="s">
        <v>1033</v>
      </c>
      <c r="D3027" s="449">
        <f t="shared" si="226"/>
        <v>46144</v>
      </c>
      <c r="E3027" s="454" t="s">
        <v>170</v>
      </c>
      <c r="F3027" s="517"/>
      <c r="G3027" s="512"/>
      <c r="H3027" s="505"/>
    </row>
    <row r="3028" spans="3:8" x14ac:dyDescent="0.25">
      <c r="C3028" s="452" t="s">
        <v>1033</v>
      </c>
      <c r="D3028" s="449">
        <f t="shared" si="226"/>
        <v>46144</v>
      </c>
      <c r="E3028" s="454" t="s">
        <v>585</v>
      </c>
      <c r="F3028" s="505"/>
      <c r="G3028" s="505"/>
      <c r="H3028" s="516"/>
    </row>
    <row r="3029" spans="3:8" x14ac:dyDescent="0.25">
      <c r="C3029" s="452" t="s">
        <v>1033</v>
      </c>
      <c r="D3029" s="449">
        <f t="shared" si="226"/>
        <v>46144</v>
      </c>
      <c r="E3029" s="455" t="s">
        <v>574</v>
      </c>
      <c r="F3029" s="505"/>
      <c r="G3029" s="505"/>
      <c r="H3029" s="516"/>
    </row>
    <row r="3030" spans="3:8" x14ac:dyDescent="0.25">
      <c r="C3030" s="452" t="s">
        <v>1033</v>
      </c>
      <c r="D3030" s="449">
        <f t="shared" si="226"/>
        <v>46144</v>
      </c>
      <c r="E3030" s="455" t="s">
        <v>575</v>
      </c>
      <c r="F3030" s="506"/>
      <c r="G3030" s="506"/>
      <c r="H3030" s="516"/>
    </row>
    <row r="3031" spans="3:8" x14ac:dyDescent="0.25">
      <c r="C3031" s="452" t="s">
        <v>1033</v>
      </c>
      <c r="D3031" s="449">
        <f t="shared" si="226"/>
        <v>46144</v>
      </c>
      <c r="E3031" s="503" t="s">
        <v>583</v>
      </c>
      <c r="F3031" s="506"/>
      <c r="G3031" s="506"/>
      <c r="H3031" s="516"/>
    </row>
    <row r="3032" spans="3:8" ht="15.75" thickBot="1" x14ac:dyDescent="0.3">
      <c r="C3032" s="530" t="s">
        <v>1033</v>
      </c>
      <c r="D3032" s="451">
        <f t="shared" si="226"/>
        <v>46144</v>
      </c>
      <c r="E3032" s="459" t="s">
        <v>584</v>
      </c>
      <c r="F3032" s="493"/>
      <c r="G3032" s="493"/>
      <c r="H3032" s="513"/>
    </row>
    <row r="3033" spans="3:8" ht="15.75" thickBot="1" x14ac:dyDescent="0.3"/>
    <row r="3034" spans="3:8" ht="15.75" thickBot="1" x14ac:dyDescent="0.3">
      <c r="C3034" s="538"/>
      <c r="D3034" s="539"/>
      <c r="E3034" s="539"/>
      <c r="F3034" s="539"/>
      <c r="G3034" s="539"/>
      <c r="H3034" s="539"/>
    </row>
    <row r="3035" spans="3:8" x14ac:dyDescent="0.25">
      <c r="C3035" s="529" t="s">
        <v>1034</v>
      </c>
      <c r="D3035" s="447">
        <f>D3032+1</f>
        <v>46145</v>
      </c>
      <c r="E3035" s="498" t="s">
        <v>573</v>
      </c>
      <c r="F3035" s="514"/>
      <c r="G3035" s="514"/>
      <c r="H3035" s="514"/>
    </row>
    <row r="3036" spans="3:8" x14ac:dyDescent="0.25">
      <c r="C3036" s="452" t="s">
        <v>1034</v>
      </c>
      <c r="D3036" s="453">
        <f t="shared" ref="D3036:D3050" si="227">D3035</f>
        <v>46145</v>
      </c>
      <c r="E3036" s="500" t="s">
        <v>162</v>
      </c>
      <c r="F3036" s="517"/>
      <c r="G3036" s="517"/>
      <c r="H3036" s="517"/>
    </row>
    <row r="3037" spans="3:8" x14ac:dyDescent="0.25">
      <c r="C3037" s="452" t="s">
        <v>1034</v>
      </c>
      <c r="D3037" s="453">
        <f t="shared" si="227"/>
        <v>46145</v>
      </c>
      <c r="E3037" s="454" t="s">
        <v>163</v>
      </c>
      <c r="F3037" s="517"/>
      <c r="G3037" s="512"/>
      <c r="H3037" s="505"/>
    </row>
    <row r="3038" spans="3:8" x14ac:dyDescent="0.25">
      <c r="C3038" s="452" t="s">
        <v>1034</v>
      </c>
      <c r="D3038" s="453">
        <f t="shared" si="227"/>
        <v>46145</v>
      </c>
      <c r="E3038" s="454" t="s">
        <v>164</v>
      </c>
      <c r="F3038" s="517"/>
      <c r="G3038" s="512"/>
      <c r="H3038" s="505"/>
    </row>
    <row r="3039" spans="3:8" x14ac:dyDescent="0.25">
      <c r="C3039" s="452" t="s">
        <v>1034</v>
      </c>
      <c r="D3039" s="453">
        <f t="shared" si="227"/>
        <v>46145</v>
      </c>
      <c r="E3039" s="454" t="s">
        <v>165</v>
      </c>
      <c r="F3039" s="517"/>
      <c r="G3039" s="512"/>
      <c r="H3039" s="505"/>
    </row>
    <row r="3040" spans="3:8" x14ac:dyDescent="0.25">
      <c r="C3040" s="452" t="s">
        <v>1034</v>
      </c>
      <c r="D3040" s="453">
        <f t="shared" si="227"/>
        <v>46145</v>
      </c>
      <c r="E3040" s="454" t="s">
        <v>166</v>
      </c>
      <c r="F3040" s="517"/>
      <c r="G3040" s="512"/>
      <c r="H3040" s="505"/>
    </row>
    <row r="3041" spans="3:13" x14ac:dyDescent="0.25">
      <c r="C3041" s="452" t="s">
        <v>1034</v>
      </c>
      <c r="D3041" s="453">
        <f t="shared" si="227"/>
        <v>46145</v>
      </c>
      <c r="E3041" s="454" t="s">
        <v>576</v>
      </c>
      <c r="F3041" s="517"/>
      <c r="G3041" s="512"/>
      <c r="H3041" s="505"/>
    </row>
    <row r="3042" spans="3:13" x14ac:dyDescent="0.25">
      <c r="C3042" s="452" t="s">
        <v>1034</v>
      </c>
      <c r="D3042" s="449">
        <f t="shared" si="227"/>
        <v>46145</v>
      </c>
      <c r="E3042" s="454" t="s">
        <v>167</v>
      </c>
      <c r="F3042" s="517"/>
      <c r="G3042" s="512"/>
      <c r="H3042" s="505"/>
    </row>
    <row r="3043" spans="3:13" x14ac:dyDescent="0.25">
      <c r="C3043" s="452" t="s">
        <v>1034</v>
      </c>
      <c r="D3043" s="449">
        <f t="shared" si="227"/>
        <v>46145</v>
      </c>
      <c r="E3043" s="454" t="s">
        <v>168</v>
      </c>
      <c r="F3043" s="517"/>
      <c r="G3043" s="512"/>
      <c r="H3043" s="505"/>
    </row>
    <row r="3044" spans="3:13" x14ac:dyDescent="0.25">
      <c r="C3044" s="452" t="s">
        <v>1034</v>
      </c>
      <c r="D3044" s="449">
        <f t="shared" si="227"/>
        <v>46145</v>
      </c>
      <c r="E3044" s="454" t="s">
        <v>169</v>
      </c>
      <c r="F3044" s="517"/>
      <c r="G3044" s="512"/>
      <c r="H3044" s="505"/>
    </row>
    <row r="3045" spans="3:13" x14ac:dyDescent="0.25">
      <c r="C3045" s="452" t="s">
        <v>1034</v>
      </c>
      <c r="D3045" s="449">
        <f t="shared" si="227"/>
        <v>46145</v>
      </c>
      <c r="E3045" s="454" t="s">
        <v>170</v>
      </c>
      <c r="F3045" s="517"/>
      <c r="G3045" s="512"/>
      <c r="H3045" s="505"/>
    </row>
    <row r="3046" spans="3:13" x14ac:dyDescent="0.25">
      <c r="C3046" s="452" t="s">
        <v>1034</v>
      </c>
      <c r="D3046" s="449">
        <f t="shared" si="227"/>
        <v>46145</v>
      </c>
      <c r="E3046" s="454" t="s">
        <v>585</v>
      </c>
      <c r="F3046" s="505"/>
      <c r="G3046" s="505"/>
      <c r="H3046" s="516"/>
    </row>
    <row r="3047" spans="3:13" x14ac:dyDescent="0.25">
      <c r="C3047" s="452" t="s">
        <v>1034</v>
      </c>
      <c r="D3047" s="449">
        <f t="shared" si="227"/>
        <v>46145</v>
      </c>
      <c r="E3047" s="455" t="s">
        <v>574</v>
      </c>
      <c r="F3047" s="505"/>
      <c r="G3047" s="505"/>
      <c r="H3047" s="516"/>
    </row>
    <row r="3048" spans="3:13" x14ac:dyDescent="0.25">
      <c r="C3048" s="452" t="s">
        <v>1034</v>
      </c>
      <c r="D3048" s="449">
        <f t="shared" si="227"/>
        <v>46145</v>
      </c>
      <c r="E3048" s="455" t="s">
        <v>575</v>
      </c>
      <c r="F3048" s="506"/>
      <c r="G3048" s="506"/>
      <c r="H3048" s="516"/>
    </row>
    <row r="3049" spans="3:13" x14ac:dyDescent="0.25">
      <c r="C3049" s="452" t="s">
        <v>1034</v>
      </c>
      <c r="D3049" s="449">
        <f t="shared" si="227"/>
        <v>46145</v>
      </c>
      <c r="E3049" s="503" t="s">
        <v>583</v>
      </c>
      <c r="F3049" s="506"/>
      <c r="G3049" s="506"/>
      <c r="H3049" s="516"/>
    </row>
    <row r="3050" spans="3:13" ht="15.75" thickBot="1" x14ac:dyDescent="0.3">
      <c r="C3050" s="530" t="s">
        <v>1034</v>
      </c>
      <c r="D3050" s="451">
        <f t="shared" si="227"/>
        <v>46145</v>
      </c>
      <c r="E3050" s="459" t="s">
        <v>584</v>
      </c>
      <c r="F3050" s="493"/>
      <c r="G3050" s="493"/>
      <c r="H3050" s="513"/>
    </row>
    <row r="3051" spans="3:13" ht="15.75" thickBot="1" x14ac:dyDescent="0.3"/>
    <row r="3052" spans="3:13" ht="15.75" thickBot="1" x14ac:dyDescent="0.3">
      <c r="C3052" s="538"/>
      <c r="D3052" s="539"/>
      <c r="E3052" s="539"/>
      <c r="F3052" s="539"/>
      <c r="G3052" s="539"/>
      <c r="H3052" s="539"/>
    </row>
    <row r="3053" spans="3:13" x14ac:dyDescent="0.25">
      <c r="C3053" s="496" t="s">
        <v>161</v>
      </c>
      <c r="D3053" s="507">
        <v>46146</v>
      </c>
      <c r="E3053" s="498" t="s">
        <v>573</v>
      </c>
      <c r="F3053" s="514"/>
      <c r="G3053" s="514"/>
      <c r="H3053" s="514"/>
    </row>
    <row r="3054" spans="3:13" x14ac:dyDescent="0.25">
      <c r="C3054" s="525" t="s">
        <v>161</v>
      </c>
      <c r="D3054" s="453">
        <f t="shared" ref="D3054:D3068" si="228">D3053</f>
        <v>46146</v>
      </c>
      <c r="E3054" s="500" t="s">
        <v>162</v>
      </c>
      <c r="F3054" s="460" t="s">
        <v>1268</v>
      </c>
      <c r="G3054" s="460" t="s">
        <v>1620</v>
      </c>
      <c r="H3054" s="460" t="s">
        <v>1625</v>
      </c>
      <c r="J3054" s="631" t="s">
        <v>437</v>
      </c>
      <c r="K3054" s="627" t="str">
        <f>"Qtd. Total "&amp;TEXT(D3053,"dd/mm/aaaa")&amp;" - "&amp;TEXT(D3104,"dd/mm/aaaa")</f>
        <v>Qtd. Total 04/05/2026 - 06/05/2026</v>
      </c>
      <c r="L3054" s="627" t="str">
        <f>"Produzido "&amp;TEXT(D3053,"dd/mm/aaaa")&amp;" - "&amp;TEXT(D3104,"dd/mm/aaaa")</f>
        <v>Produzido 04/05/2026 - 06/05/2026</v>
      </c>
      <c r="M3054" s="627" t="s">
        <v>1536</v>
      </c>
    </row>
    <row r="3055" spans="3:13" x14ac:dyDescent="0.25">
      <c r="C3055" s="526" t="s">
        <v>161</v>
      </c>
      <c r="D3055" s="453">
        <f t="shared" si="228"/>
        <v>46146</v>
      </c>
      <c r="E3055" s="454" t="s">
        <v>163</v>
      </c>
      <c r="F3055" s="460" t="s">
        <v>1268</v>
      </c>
      <c r="G3055" s="460" t="s">
        <v>1620</v>
      </c>
      <c r="H3055" s="460" t="s">
        <v>1625</v>
      </c>
      <c r="J3055" s="628" t="str" cm="1">
        <f t="array" ref="J3055">IFERROR(INDEX(_xlfn.UNIQUE(_xlfn.VSTACK(IFERROR(_xlfn._xlws.FILTER(F$3053:F$3104,F$3053:F$3104&lt;&gt;""),""),IFERROR(_xlfn._xlws.FILTER(G$3053:G$3104,G$3053:G$3104&lt;&gt;""),""),IFERROR(_xlfn._xlws.FILTER(H$3053:H$3104,H$3053:H$3104&lt;&gt;""),""))),ROW()-3054),"")</f>
        <v>BODY SPLASH CEU CELESTE 200ml</v>
      </c>
      <c r="K3055" s="629"/>
      <c r="L3055" s="629">
        <v>0</v>
      </c>
      <c r="M3055" s="630">
        <f>IFERROR(L3055*INDEX([2]Pedidos!$Q:$Q,MATCH(J3055,[2]Pedidos!$E:$E,0)),0)</f>
        <v>0</v>
      </c>
    </row>
    <row r="3056" spans="3:13" x14ac:dyDescent="0.25">
      <c r="C3056" s="526" t="s">
        <v>161</v>
      </c>
      <c r="D3056" s="453">
        <f t="shared" si="228"/>
        <v>46146</v>
      </c>
      <c r="E3056" s="454" t="s">
        <v>164</v>
      </c>
      <c r="F3056" s="460" t="s">
        <v>1268</v>
      </c>
      <c r="G3056" s="460" t="s">
        <v>1620</v>
      </c>
      <c r="H3056" s="460" t="s">
        <v>1625</v>
      </c>
      <c r="J3056" s="628" t="str" cm="1">
        <f t="array" ref="J3056">IFERROR(INDEX(_xlfn.UNIQUE(_xlfn.VSTACK(IFERROR(_xlfn._xlws.FILTER(F$3053:F$3104,F$3053:F$3104&lt;&gt;""),""),IFERROR(_xlfn._xlws.FILTER(G$3053:G$3104,G$3053:G$3104&lt;&gt;""),""),IFERROR(_xlfn._xlws.FILTER(H$3053:H$3104,H$3053:H$3104&lt;&gt;""),""))),ROW()-3054),"")</f>
        <v>BODY SPLASH FLOR D AURA 200ml</v>
      </c>
      <c r="K3056" s="629"/>
      <c r="L3056" s="629">
        <v>7521</v>
      </c>
      <c r="M3056" s="630">
        <f>IFERROR(L3056*INDEX([2]Pedidos!$Q:$Q,MATCH(J3056,[2]Pedidos!$E:$E,0)),0)</f>
        <v>0</v>
      </c>
    </row>
    <row r="3057" spans="3:13" x14ac:dyDescent="0.25">
      <c r="C3057" s="526" t="s">
        <v>161</v>
      </c>
      <c r="D3057" s="453">
        <f t="shared" si="228"/>
        <v>46146</v>
      </c>
      <c r="E3057" s="454" t="s">
        <v>165</v>
      </c>
      <c r="F3057" s="460" t="s">
        <v>1268</v>
      </c>
      <c r="G3057" s="460" t="s">
        <v>1620</v>
      </c>
      <c r="H3057" s="460" t="s">
        <v>1625</v>
      </c>
      <c r="J3057" s="628" t="str" cm="1">
        <f t="array" ref="J3057">IFERROR(INDEX(_xlfn.UNIQUE(_xlfn.VSTACK(IFERROR(_xlfn._xlws.FILTER(F$3053:F$3104,F$3053:F$3104&lt;&gt;""),""),IFERROR(_xlfn._xlws.FILTER(G$3053:G$3104,G$3053:G$3104&lt;&gt;""),""),IFERROR(_xlfn._xlws.FILTER(H$3053:H$3104,H$3053:H$3104&lt;&gt;""),""))),ROW()-3054),"")</f>
        <v>HIDRATANTE BISNAGA CELESTIA 200g - 2</v>
      </c>
      <c r="K3057" s="629"/>
      <c r="L3057" s="629"/>
      <c r="M3057" s="630">
        <f>IFERROR(#REF!*INDEX([2]Pedidos!$Q:$Q,MATCH(J3057,[2]Pedidos!$E:$E,0)),0)</f>
        <v>0</v>
      </c>
    </row>
    <row r="3058" spans="3:13" x14ac:dyDescent="0.25">
      <c r="C3058" s="526" t="s">
        <v>161</v>
      </c>
      <c r="D3058" s="453">
        <f t="shared" si="228"/>
        <v>46146</v>
      </c>
      <c r="E3058" s="454" t="s">
        <v>166</v>
      </c>
      <c r="F3058" s="460" t="s">
        <v>1268</v>
      </c>
      <c r="G3058" s="460" t="s">
        <v>1620</v>
      </c>
      <c r="H3058" s="460" t="s">
        <v>1626</v>
      </c>
      <c r="J3058" s="628" t="str" cm="1">
        <f t="array" ref="J3058">IFERROR(INDEX(_xlfn.UNIQUE(_xlfn.VSTACK(IFERROR(_xlfn._xlws.FILTER(F$3053:F$3104,F$3053:F$3104&lt;&gt;""),""),IFERROR(_xlfn._xlws.FILTER(G$3053:G$3104,G$3053:G$3104&lt;&gt;""),""),IFERROR(_xlfn._xlws.FILTER(H$3053:H$3104,H$3053:H$3104&lt;&gt;""),""))),ROW()-3054),"")</f>
        <v>HIDRATANTE BISNAGA ROSA SUBLIME 200g - 2</v>
      </c>
      <c r="K3058" s="629"/>
      <c r="L3058" s="3">
        <v>0</v>
      </c>
      <c r="M3058" s="630">
        <f>IFERROR(L3057*INDEX([2]Pedidos!$Q:$Q,MATCH(J3058,[2]Pedidos!$E:$E,0)),0)</f>
        <v>0</v>
      </c>
    </row>
    <row r="3059" spans="3:13" x14ac:dyDescent="0.25">
      <c r="C3059" s="526" t="s">
        <v>161</v>
      </c>
      <c r="D3059" s="453">
        <f t="shared" si="228"/>
        <v>46146</v>
      </c>
      <c r="E3059" s="454" t="s">
        <v>576</v>
      </c>
      <c r="F3059" s="517"/>
      <c r="G3059" s="512"/>
      <c r="H3059" s="512"/>
      <c r="J3059" s="628" t="str" cm="1">
        <f t="array" ref="J3059">IFERROR(INDEX(_xlfn.UNIQUE(_xlfn.VSTACK(IFERROR(_xlfn._xlws.FILTER(F$3053:F$3104,F$3053:F$3104&lt;&gt;""),""),IFERROR(_xlfn._xlws.FILTER(G$3053:G$3104,G$3053:G$3104&lt;&gt;""),""),IFERROR(_xlfn._xlws.FILTER(H$3053:H$3104,H$3053:H$3104&lt;&gt;""),""))),ROW()-3054),"")</f>
        <v>ESFOLIANTE FACIAL PITAYA</v>
      </c>
      <c r="K3059" s="629"/>
      <c r="L3059" s="629">
        <v>0</v>
      </c>
      <c r="M3059" s="630">
        <f>IFERROR(L3059*INDEX([2]Pedidos!$Q:$Q,MATCH(J3059,[2]Pedidos!$E:$E,0)),0)</f>
        <v>0</v>
      </c>
    </row>
    <row r="3060" spans="3:13" x14ac:dyDescent="0.25">
      <c r="C3060" s="527" t="s">
        <v>161</v>
      </c>
      <c r="D3060" s="449">
        <f t="shared" si="228"/>
        <v>46146</v>
      </c>
      <c r="E3060" s="454" t="s">
        <v>167</v>
      </c>
      <c r="F3060" s="460" t="s">
        <v>1257</v>
      </c>
      <c r="G3060" s="460" t="s">
        <v>1620</v>
      </c>
      <c r="H3060" s="460" t="s">
        <v>1626</v>
      </c>
      <c r="J3060" s="628" t="str" cm="1">
        <f t="array" ref="J3060">IFERROR(INDEX(_xlfn.UNIQUE(_xlfn.VSTACK(IFERROR(_xlfn._xlws.FILTER(F$3053:F$3104,F$3053:F$3104&lt;&gt;""),""),IFERROR(_xlfn._xlws.FILTER(G$3053:G$3104,G$3053:G$3104&lt;&gt;""),""),IFERROR(_xlfn._xlws.FILTER(H$3053:H$3104,H$3053:H$3104&lt;&gt;""),""))),ROW()-3054),"")</f>
        <v>ESFOLIANTE FACIAL VITAMINA C</v>
      </c>
      <c r="K3060" s="629"/>
      <c r="L3060" s="629">
        <v>0</v>
      </c>
      <c r="M3060" s="630">
        <f>IFERROR(L3060*INDEX([2]Pedidos!$Q:$Q,MATCH(J3060,[2]Pedidos!$E:$E,0)),0)</f>
        <v>0</v>
      </c>
    </row>
    <row r="3061" spans="3:13" x14ac:dyDescent="0.25">
      <c r="C3061" s="527" t="s">
        <v>161</v>
      </c>
      <c r="D3061" s="449">
        <f t="shared" si="228"/>
        <v>46146</v>
      </c>
      <c r="E3061" s="454" t="s">
        <v>168</v>
      </c>
      <c r="F3061" s="460" t="s">
        <v>1257</v>
      </c>
      <c r="G3061" s="460" t="s">
        <v>1619</v>
      </c>
      <c r="H3061" s="460" t="s">
        <v>1626</v>
      </c>
      <c r="J3061" s="628" t="str" cm="1">
        <f t="array" ref="J3061">IFERROR(INDEX(_xlfn.UNIQUE(_xlfn.VSTACK(IFERROR(_xlfn._xlws.FILTER(F$3053:F$3104,F$3053:F$3104&lt;&gt;""),""),IFERROR(_xlfn._xlws.FILTER(G$3053:G$3104,G$3053:G$3104&lt;&gt;""),""),IFERROR(_xlfn._xlws.FILTER(H$3053:H$3104,H$3053:H$3104&lt;&gt;""),""))),ROW()-3054),"")</f>
        <v>SABONETE DEMAQUILANTE PITAYA</v>
      </c>
      <c r="K3061" s="629"/>
      <c r="L3061" s="629">
        <v>0</v>
      </c>
      <c r="M3061" s="630">
        <f>IFERROR(L3061*INDEX([2]Pedidos!$Q:$Q,MATCH(J3061,[2]Pedidos!$E:$E,0)),0)</f>
        <v>0</v>
      </c>
    </row>
    <row r="3062" spans="3:13" x14ac:dyDescent="0.25">
      <c r="C3062" s="527" t="s">
        <v>161</v>
      </c>
      <c r="D3062" s="449">
        <f t="shared" si="228"/>
        <v>46146</v>
      </c>
      <c r="E3062" s="454" t="s">
        <v>169</v>
      </c>
      <c r="F3062" s="460" t="s">
        <v>1257</v>
      </c>
      <c r="G3062" s="460" t="s">
        <v>1619</v>
      </c>
      <c r="H3062" s="460" t="s">
        <v>1626</v>
      </c>
      <c r="J3062" s="628" t="str" cm="1">
        <f t="array" ref="J3062">IFERROR(INDEX(_xlfn.UNIQUE(_xlfn.VSTACK(IFERROR(_xlfn._xlws.FILTER(F$3053:F$3104,F$3053:F$3104&lt;&gt;""),""),IFERROR(_xlfn._xlws.FILTER(G$3053:G$3104,G$3053:G$3104&lt;&gt;""),""),IFERROR(_xlfn._xlws.FILTER(H$3053:H$3104,H$3053:H$3104&lt;&gt;""),""))),ROW()-3054),"")</f>
        <v>SABONETE DEMAQUILANTE VITAMINA C</v>
      </c>
      <c r="K3062" s="629"/>
      <c r="L3062" s="629">
        <v>0</v>
      </c>
      <c r="M3062" s="630">
        <f>IFERROR(L3062*INDEX([2]Pedidos!$Q:$Q,MATCH(J3062,[2]Pedidos!$E:$E,0)),0)</f>
        <v>0</v>
      </c>
    </row>
    <row r="3063" spans="3:13" x14ac:dyDescent="0.25">
      <c r="C3063" s="527" t="s">
        <v>161</v>
      </c>
      <c r="D3063" s="453">
        <f t="shared" si="228"/>
        <v>46146</v>
      </c>
      <c r="E3063" s="454" t="s">
        <v>170</v>
      </c>
      <c r="F3063" s="460" t="s">
        <v>1257</v>
      </c>
      <c r="G3063" s="460" t="s">
        <v>1619</v>
      </c>
      <c r="H3063" s="460" t="s">
        <v>1626</v>
      </c>
      <c r="J3063" s="637" t="s">
        <v>1521</v>
      </c>
      <c r="K3063" s="638">
        <f>SUM(K3055:K3062)</f>
        <v>0</v>
      </c>
      <c r="L3063" s="638">
        <f>SUM(L3055:L3062)</f>
        <v>7521</v>
      </c>
      <c r="M3063" s="639">
        <f>SUM(M3055:M3062)</f>
        <v>0</v>
      </c>
    </row>
    <row r="3064" spans="3:13" x14ac:dyDescent="0.25">
      <c r="C3064" s="527" t="s">
        <v>161</v>
      </c>
      <c r="D3064" s="453">
        <f t="shared" si="228"/>
        <v>46146</v>
      </c>
      <c r="E3064" s="454" t="s">
        <v>585</v>
      </c>
      <c r="F3064" s="505"/>
      <c r="G3064" s="505"/>
      <c r="H3064" s="634"/>
      <c r="J3064" s="445"/>
      <c r="K3064" s="420"/>
      <c r="L3064" s="640"/>
      <c r="M3064" s="641"/>
    </row>
    <row r="3065" spans="3:13" x14ac:dyDescent="0.25">
      <c r="C3065" s="527" t="s">
        <v>161</v>
      </c>
      <c r="D3065" s="453">
        <f t="shared" si="228"/>
        <v>46146</v>
      </c>
      <c r="E3065" s="455" t="s">
        <v>574</v>
      </c>
      <c r="F3065" s="505"/>
      <c r="G3065" s="505"/>
      <c r="H3065" s="634"/>
      <c r="J3065" s="445"/>
      <c r="K3065" s="420"/>
      <c r="L3065" s="640"/>
      <c r="M3065" s="641"/>
    </row>
    <row r="3066" spans="3:13" x14ac:dyDescent="0.25">
      <c r="C3066" s="527" t="s">
        <v>161</v>
      </c>
      <c r="D3066" s="453">
        <f t="shared" si="228"/>
        <v>46146</v>
      </c>
      <c r="E3066" s="455" t="s">
        <v>575</v>
      </c>
      <c r="F3066" s="506"/>
      <c r="G3066" s="506"/>
      <c r="H3066" s="635"/>
      <c r="J3066" s="445"/>
      <c r="K3066" s="420"/>
      <c r="L3066" s="640"/>
      <c r="M3066" s="641"/>
    </row>
    <row r="3067" spans="3:13" x14ac:dyDescent="0.25">
      <c r="C3067" s="527" t="s">
        <v>161</v>
      </c>
      <c r="D3067" s="453">
        <f t="shared" si="228"/>
        <v>46146</v>
      </c>
      <c r="E3067" s="503" t="s">
        <v>583</v>
      </c>
      <c r="F3067" s="506"/>
      <c r="G3067" s="506"/>
      <c r="H3067" s="635"/>
      <c r="J3067" s="445"/>
      <c r="K3067" s="420"/>
      <c r="L3067" s="640"/>
      <c r="M3067" s="641"/>
    </row>
    <row r="3068" spans="3:13" ht="15.75" thickBot="1" x14ac:dyDescent="0.3">
      <c r="C3068" s="528" t="s">
        <v>161</v>
      </c>
      <c r="D3068" s="451">
        <f t="shared" si="228"/>
        <v>46146</v>
      </c>
      <c r="E3068" s="459" t="s">
        <v>584</v>
      </c>
      <c r="F3068" s="493"/>
      <c r="G3068" s="493"/>
      <c r="H3068" s="636"/>
      <c r="J3068" s="445"/>
      <c r="K3068" s="420"/>
      <c r="L3068" s="640"/>
      <c r="M3068" s="641"/>
    </row>
    <row r="3069" spans="3:13" ht="15.75" thickBot="1" x14ac:dyDescent="0.3">
      <c r="J3069" s="642"/>
      <c r="K3069" s="643"/>
      <c r="L3069" s="643"/>
      <c r="M3069" s="644"/>
    </row>
    <row r="3070" spans="3:13" ht="15.75" thickBot="1" x14ac:dyDescent="0.3">
      <c r="C3070" s="538"/>
      <c r="D3070" s="539"/>
      <c r="E3070" s="539"/>
      <c r="F3070" s="539"/>
      <c r="G3070" s="539"/>
      <c r="H3070" s="539"/>
    </row>
    <row r="3071" spans="3:13" x14ac:dyDescent="0.25">
      <c r="C3071" s="446" t="s">
        <v>171</v>
      </c>
      <c r="D3071" s="497">
        <f>D3068+1</f>
        <v>46147</v>
      </c>
      <c r="E3071" s="498" t="s">
        <v>573</v>
      </c>
      <c r="F3071" s="514"/>
      <c r="G3071" s="514"/>
      <c r="H3071" s="514"/>
    </row>
    <row r="3072" spans="3:13" x14ac:dyDescent="0.25">
      <c r="C3072" s="452" t="s">
        <v>171</v>
      </c>
      <c r="D3072" s="499">
        <f t="shared" ref="D3072:D3086" si="229">D3071</f>
        <v>46147</v>
      </c>
      <c r="E3072" s="500" t="s">
        <v>162</v>
      </c>
      <c r="F3072" s="460" t="s">
        <v>1257</v>
      </c>
      <c r="G3072" s="460" t="s">
        <v>1619</v>
      </c>
      <c r="H3072" s="460" t="s">
        <v>1241</v>
      </c>
    </row>
    <row r="3073" spans="3:8" x14ac:dyDescent="0.25">
      <c r="C3073" s="452" t="s">
        <v>171</v>
      </c>
      <c r="D3073" s="449">
        <f t="shared" si="229"/>
        <v>46147</v>
      </c>
      <c r="E3073" s="454" t="s">
        <v>163</v>
      </c>
      <c r="F3073" s="460" t="s">
        <v>1257</v>
      </c>
      <c r="G3073" s="460" t="s">
        <v>1619</v>
      </c>
      <c r="H3073" s="460" t="s">
        <v>1241</v>
      </c>
    </row>
    <row r="3074" spans="3:8" x14ac:dyDescent="0.25">
      <c r="C3074" s="452" t="s">
        <v>171</v>
      </c>
      <c r="D3074" s="449">
        <f t="shared" si="229"/>
        <v>46147</v>
      </c>
      <c r="E3074" s="454" t="s">
        <v>164</v>
      </c>
      <c r="F3074" s="460" t="s">
        <v>1257</v>
      </c>
      <c r="G3074" s="460" t="s">
        <v>1619</v>
      </c>
      <c r="H3074" s="460" t="s">
        <v>1241</v>
      </c>
    </row>
    <row r="3075" spans="3:8" x14ac:dyDescent="0.25">
      <c r="C3075" s="452" t="s">
        <v>171</v>
      </c>
      <c r="D3075" s="449">
        <f t="shared" si="229"/>
        <v>46147</v>
      </c>
      <c r="E3075" s="454" t="s">
        <v>165</v>
      </c>
      <c r="F3075" s="460" t="s">
        <v>1257</v>
      </c>
      <c r="G3075" s="460"/>
      <c r="H3075" s="460" t="s">
        <v>1241</v>
      </c>
    </row>
    <row r="3076" spans="3:8" x14ac:dyDescent="0.25">
      <c r="C3076" s="452" t="s">
        <v>171</v>
      </c>
      <c r="D3076" s="449">
        <f t="shared" si="229"/>
        <v>46147</v>
      </c>
      <c r="E3076" s="454" t="s">
        <v>166</v>
      </c>
      <c r="F3076" s="460" t="s">
        <v>1257</v>
      </c>
      <c r="G3076" s="460"/>
      <c r="H3076" s="460" t="s">
        <v>1241</v>
      </c>
    </row>
    <row r="3077" spans="3:8" x14ac:dyDescent="0.25">
      <c r="C3077" s="452" t="s">
        <v>171</v>
      </c>
      <c r="D3077" s="449">
        <f t="shared" si="229"/>
        <v>46147</v>
      </c>
      <c r="E3077" s="454" t="s">
        <v>576</v>
      </c>
      <c r="F3077" s="517"/>
      <c r="G3077" s="512"/>
      <c r="H3077" s="512"/>
    </row>
    <row r="3078" spans="3:8" x14ac:dyDescent="0.25">
      <c r="C3078" s="452" t="s">
        <v>171</v>
      </c>
      <c r="D3078" s="449">
        <f t="shared" si="229"/>
        <v>46147</v>
      </c>
      <c r="E3078" s="454" t="s">
        <v>167</v>
      </c>
      <c r="F3078" s="460"/>
      <c r="G3078" s="460"/>
      <c r="H3078" s="460" t="s">
        <v>1241</v>
      </c>
    </row>
    <row r="3079" spans="3:8" x14ac:dyDescent="0.25">
      <c r="C3079" s="452" t="s">
        <v>171</v>
      </c>
      <c r="D3079" s="449">
        <f t="shared" si="229"/>
        <v>46147</v>
      </c>
      <c r="E3079" s="454" t="s">
        <v>168</v>
      </c>
      <c r="F3079" s="460"/>
      <c r="G3079" s="460"/>
      <c r="H3079" s="460" t="s">
        <v>1242</v>
      </c>
    </row>
    <row r="3080" spans="3:8" x14ac:dyDescent="0.25">
      <c r="C3080" s="452" t="s">
        <v>171</v>
      </c>
      <c r="D3080" s="449">
        <f t="shared" si="229"/>
        <v>46147</v>
      </c>
      <c r="E3080" s="454" t="s">
        <v>169</v>
      </c>
      <c r="F3080" s="460"/>
      <c r="G3080" s="460"/>
      <c r="H3080" s="460" t="s">
        <v>1242</v>
      </c>
    </row>
    <row r="3081" spans="3:8" x14ac:dyDescent="0.25">
      <c r="C3081" s="452" t="s">
        <v>171</v>
      </c>
      <c r="D3081" s="449">
        <f t="shared" si="229"/>
        <v>46147</v>
      </c>
      <c r="E3081" s="454" t="s">
        <v>170</v>
      </c>
      <c r="F3081" s="460"/>
      <c r="G3081" s="460"/>
      <c r="H3081" s="460" t="s">
        <v>1242</v>
      </c>
    </row>
    <row r="3082" spans="3:8" x14ac:dyDescent="0.25">
      <c r="C3082" s="452" t="s">
        <v>171</v>
      </c>
      <c r="D3082" s="449">
        <f t="shared" si="229"/>
        <v>46147</v>
      </c>
      <c r="E3082" s="454" t="s">
        <v>585</v>
      </c>
      <c r="F3082" s="505"/>
      <c r="G3082" s="505"/>
      <c r="H3082" s="516"/>
    </row>
    <row r="3083" spans="3:8" x14ac:dyDescent="0.25">
      <c r="C3083" s="448" t="s">
        <v>171</v>
      </c>
      <c r="D3083" s="449">
        <f t="shared" si="229"/>
        <v>46147</v>
      </c>
      <c r="E3083" s="455" t="s">
        <v>574</v>
      </c>
      <c r="F3083" s="505"/>
      <c r="G3083" s="505"/>
      <c r="H3083" s="516"/>
    </row>
    <row r="3084" spans="3:8" x14ac:dyDescent="0.25">
      <c r="C3084" s="448" t="s">
        <v>171</v>
      </c>
      <c r="D3084" s="449">
        <f t="shared" si="229"/>
        <v>46147</v>
      </c>
      <c r="E3084" s="455" t="s">
        <v>575</v>
      </c>
      <c r="F3084" s="506"/>
      <c r="G3084" s="506"/>
      <c r="H3084" s="516"/>
    </row>
    <row r="3085" spans="3:8" x14ac:dyDescent="0.25">
      <c r="C3085" s="448" t="s">
        <v>171</v>
      </c>
      <c r="D3085" s="449">
        <f t="shared" si="229"/>
        <v>46147</v>
      </c>
      <c r="E3085" s="503" t="s">
        <v>583</v>
      </c>
      <c r="F3085" s="506"/>
      <c r="G3085" s="506"/>
      <c r="H3085" s="516"/>
    </row>
    <row r="3086" spans="3:8" ht="15.75" thickBot="1" x14ac:dyDescent="0.3">
      <c r="C3086" s="450" t="s">
        <v>171</v>
      </c>
      <c r="D3086" s="451">
        <f t="shared" si="229"/>
        <v>46147</v>
      </c>
      <c r="E3086" s="459" t="s">
        <v>584</v>
      </c>
      <c r="F3086" s="493"/>
      <c r="G3086" s="493"/>
      <c r="H3086" s="513"/>
    </row>
    <row r="3087" spans="3:8" ht="15.75" thickBot="1" x14ac:dyDescent="0.3"/>
    <row r="3088" spans="3:8" ht="15.75" thickBot="1" x14ac:dyDescent="0.3">
      <c r="C3088" s="538"/>
      <c r="D3088" s="539"/>
      <c r="E3088" s="539"/>
      <c r="F3088" s="539"/>
      <c r="G3088" s="539"/>
      <c r="H3088" s="539"/>
    </row>
    <row r="3089" spans="3:8" x14ac:dyDescent="0.25">
      <c r="C3089" s="446" t="s">
        <v>172</v>
      </c>
      <c r="D3089" s="497">
        <f>D3086+1</f>
        <v>46148</v>
      </c>
      <c r="E3089" s="498" t="s">
        <v>573</v>
      </c>
      <c r="F3089" s="514"/>
      <c r="G3089" s="514"/>
      <c r="H3089" s="515"/>
    </row>
    <row r="3090" spans="3:8" x14ac:dyDescent="0.25">
      <c r="C3090" s="452" t="s">
        <v>172</v>
      </c>
      <c r="D3090" s="499">
        <f t="shared" ref="D3090:D3104" si="230">D3089</f>
        <v>46148</v>
      </c>
      <c r="E3090" s="500" t="s">
        <v>162</v>
      </c>
      <c r="F3090" s="460"/>
      <c r="G3090" s="460"/>
      <c r="H3090" s="460" t="s">
        <v>1242</v>
      </c>
    </row>
    <row r="3091" spans="3:8" x14ac:dyDescent="0.25">
      <c r="C3091" s="452" t="s">
        <v>172</v>
      </c>
      <c r="D3091" s="449">
        <f t="shared" si="230"/>
        <v>46148</v>
      </c>
      <c r="E3091" s="454" t="s">
        <v>163</v>
      </c>
      <c r="F3091" s="460"/>
      <c r="G3091" s="460"/>
      <c r="H3091" s="460" t="s">
        <v>1242</v>
      </c>
    </row>
    <row r="3092" spans="3:8" x14ac:dyDescent="0.25">
      <c r="C3092" s="452" t="s">
        <v>172</v>
      </c>
      <c r="D3092" s="449">
        <f t="shared" si="230"/>
        <v>46148</v>
      </c>
      <c r="E3092" s="454" t="s">
        <v>164</v>
      </c>
      <c r="F3092" s="460"/>
      <c r="G3092" s="460"/>
      <c r="H3092" s="460" t="s">
        <v>1242</v>
      </c>
    </row>
    <row r="3093" spans="3:8" x14ac:dyDescent="0.25">
      <c r="C3093" s="452" t="s">
        <v>172</v>
      </c>
      <c r="D3093" s="449">
        <f t="shared" si="230"/>
        <v>46148</v>
      </c>
      <c r="E3093" s="454" t="s">
        <v>165</v>
      </c>
      <c r="F3093" s="460"/>
      <c r="G3093" s="460"/>
      <c r="H3093" s="460"/>
    </row>
    <row r="3094" spans="3:8" x14ac:dyDescent="0.25">
      <c r="C3094" s="452" t="s">
        <v>172</v>
      </c>
      <c r="D3094" s="449">
        <f t="shared" si="230"/>
        <v>46148</v>
      </c>
      <c r="E3094" s="454" t="s">
        <v>166</v>
      </c>
      <c r="F3094" s="460"/>
      <c r="G3094" s="460"/>
      <c r="H3094" s="460"/>
    </row>
    <row r="3095" spans="3:8" x14ac:dyDescent="0.25">
      <c r="C3095" s="452" t="s">
        <v>172</v>
      </c>
      <c r="D3095" s="449">
        <f t="shared" si="230"/>
        <v>46148</v>
      </c>
      <c r="E3095" s="454" t="s">
        <v>576</v>
      </c>
      <c r="F3095" s="517"/>
      <c r="G3095" s="512"/>
      <c r="H3095" s="512"/>
    </row>
    <row r="3096" spans="3:8" x14ac:dyDescent="0.25">
      <c r="C3096" s="452" t="s">
        <v>172</v>
      </c>
      <c r="D3096" s="449">
        <f t="shared" si="230"/>
        <v>46148</v>
      </c>
      <c r="E3096" s="454" t="s">
        <v>167</v>
      </c>
      <c r="F3096" s="460"/>
      <c r="G3096" s="460"/>
      <c r="H3096" s="460"/>
    </row>
    <row r="3097" spans="3:8" x14ac:dyDescent="0.25">
      <c r="C3097" s="452" t="s">
        <v>172</v>
      </c>
      <c r="D3097" s="449">
        <f t="shared" si="230"/>
        <v>46148</v>
      </c>
      <c r="E3097" s="454" t="s">
        <v>168</v>
      </c>
      <c r="F3097" s="460"/>
      <c r="G3097" s="460"/>
      <c r="H3097" s="460"/>
    </row>
    <row r="3098" spans="3:8" x14ac:dyDescent="0.25">
      <c r="C3098" s="452" t="s">
        <v>172</v>
      </c>
      <c r="D3098" s="449">
        <f t="shared" si="230"/>
        <v>46148</v>
      </c>
      <c r="E3098" s="454" t="s">
        <v>169</v>
      </c>
      <c r="F3098" s="460"/>
      <c r="G3098" s="460"/>
      <c r="H3098" s="460"/>
    </row>
    <row r="3099" spans="3:8" x14ac:dyDescent="0.25">
      <c r="C3099" s="452" t="s">
        <v>172</v>
      </c>
      <c r="D3099" s="449">
        <f t="shared" si="230"/>
        <v>46148</v>
      </c>
      <c r="E3099" s="454" t="s">
        <v>170</v>
      </c>
      <c r="F3099" s="460"/>
      <c r="G3099" s="460"/>
      <c r="H3099" s="460"/>
    </row>
    <row r="3100" spans="3:8" x14ac:dyDescent="0.25">
      <c r="C3100" s="452" t="s">
        <v>172</v>
      </c>
      <c r="D3100" s="449">
        <f t="shared" si="230"/>
        <v>46148</v>
      </c>
      <c r="E3100" s="454" t="s">
        <v>585</v>
      </c>
      <c r="F3100" s="505"/>
      <c r="G3100" s="505"/>
      <c r="H3100" s="516"/>
    </row>
    <row r="3101" spans="3:8" x14ac:dyDescent="0.25">
      <c r="C3101" s="448" t="s">
        <v>172</v>
      </c>
      <c r="D3101" s="449">
        <f t="shared" si="230"/>
        <v>46148</v>
      </c>
      <c r="E3101" s="455" t="s">
        <v>574</v>
      </c>
      <c r="F3101" s="505"/>
      <c r="G3101" s="505"/>
      <c r="H3101" s="516"/>
    </row>
    <row r="3102" spans="3:8" x14ac:dyDescent="0.25">
      <c r="C3102" s="448" t="s">
        <v>172</v>
      </c>
      <c r="D3102" s="449">
        <f t="shared" si="230"/>
        <v>46148</v>
      </c>
      <c r="E3102" s="455" t="s">
        <v>575</v>
      </c>
      <c r="F3102" s="506"/>
      <c r="G3102" s="506"/>
      <c r="H3102" s="516"/>
    </row>
    <row r="3103" spans="3:8" x14ac:dyDescent="0.25">
      <c r="C3103" s="448" t="s">
        <v>172</v>
      </c>
      <c r="D3103" s="449">
        <f t="shared" si="230"/>
        <v>46148</v>
      </c>
      <c r="E3103" s="503" t="s">
        <v>583</v>
      </c>
      <c r="F3103" s="506"/>
      <c r="G3103" s="506"/>
      <c r="H3103" s="516"/>
    </row>
    <row r="3104" spans="3:8" ht="15.75" thickBot="1" x14ac:dyDescent="0.3">
      <c r="C3104" s="450" t="s">
        <v>172</v>
      </c>
      <c r="D3104" s="451">
        <f t="shared" si="230"/>
        <v>46148</v>
      </c>
      <c r="E3104" s="459" t="s">
        <v>584</v>
      </c>
      <c r="F3104" s="493"/>
      <c r="G3104" s="493"/>
      <c r="H3104" s="513"/>
    </row>
    <row r="3105" spans="3:15" ht="15.75" thickBot="1" x14ac:dyDescent="0.3"/>
    <row r="3106" spans="3:15" ht="15.75" thickBot="1" x14ac:dyDescent="0.3">
      <c r="C3106" s="496" t="s">
        <v>161</v>
      </c>
      <c r="D3106" s="507">
        <v>46153</v>
      </c>
      <c r="E3106" s="498" t="s">
        <v>573</v>
      </c>
      <c r="F3106" s="514"/>
      <c r="G3106" s="514"/>
      <c r="H3106" s="514"/>
      <c r="I3106" s="537" cm="1">
        <f t="array" aca="1" ref="I3106" ca="1">IFERROR(_xlfn.LET(_xlpm.produto,TRIM(F3106)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06" s="537" cm="1">
        <f t="array" aca="1" ref="J3106" ca="1">IFERROR(_xlfn.LET(_xlpm.produto,TRIM(G3106)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07" spans="3:15" ht="15.75" thickBot="1" x14ac:dyDescent="0.3">
      <c r="C3107" s="525" t="s">
        <v>161</v>
      </c>
      <c r="D3107" s="453">
        <f t="shared" ref="D3107:D3121" si="231">D3106</f>
        <v>46153</v>
      </c>
      <c r="E3107" s="500" t="s">
        <v>162</v>
      </c>
      <c r="F3107" s="460" t="s">
        <v>1748</v>
      </c>
      <c r="G3107" s="460" t="s">
        <v>1729</v>
      </c>
      <c r="H3107" s="460"/>
      <c r="I3107" s="540">
        <v>800</v>
      </c>
      <c r="J3107" s="540">
        <v>644</v>
      </c>
      <c r="L3107" s="465" t="s">
        <v>437</v>
      </c>
      <c r="M3107" s="465" t="s">
        <v>1790</v>
      </c>
      <c r="N3107" s="465" t="s">
        <v>1791</v>
      </c>
      <c r="O3107" s="465" t="s">
        <v>1536</v>
      </c>
    </row>
    <row r="3108" spans="3:15" x14ac:dyDescent="0.25">
      <c r="C3108" s="526" t="s">
        <v>161</v>
      </c>
      <c r="D3108" s="453">
        <f t="shared" si="231"/>
        <v>46153</v>
      </c>
      <c r="E3108" s="454" t="s">
        <v>163</v>
      </c>
      <c r="F3108" s="460" t="s">
        <v>1748</v>
      </c>
      <c r="G3108" s="460" t="s">
        <v>1729</v>
      </c>
      <c r="H3108" s="460"/>
      <c r="I3108" s="540">
        <v>800</v>
      </c>
      <c r="J3108" s="540">
        <v>644</v>
      </c>
      <c r="L3108" t="s">
        <v>1748</v>
      </c>
      <c r="M3108" s="232">
        <v>2400</v>
      </c>
      <c r="N3108" s="232">
        <v>1615</v>
      </c>
      <c r="O3108" s="559">
        <v>888.25000000000011</v>
      </c>
    </row>
    <row r="3109" spans="3:15" x14ac:dyDescent="0.25">
      <c r="C3109" s="526" t="s">
        <v>161</v>
      </c>
      <c r="D3109" s="453">
        <f t="shared" si="231"/>
        <v>46153</v>
      </c>
      <c r="E3109" s="454" t="s">
        <v>164</v>
      </c>
      <c r="F3109" s="460" t="s">
        <v>1748</v>
      </c>
      <c r="G3109" s="460" t="s">
        <v>1729</v>
      </c>
      <c r="H3109" s="460"/>
      <c r="I3109" s="540">
        <v>800</v>
      </c>
      <c r="J3109" s="540">
        <v>644</v>
      </c>
      <c r="L3109" t="s">
        <v>1731</v>
      </c>
      <c r="M3109" s="232">
        <v>6648</v>
      </c>
      <c r="N3109" s="232">
        <v>5037</v>
      </c>
      <c r="O3109" s="559">
        <v>4281.45</v>
      </c>
    </row>
    <row r="3110" spans="3:15" x14ac:dyDescent="0.25">
      <c r="C3110" s="526" t="s">
        <v>161</v>
      </c>
      <c r="D3110" s="453">
        <f t="shared" si="231"/>
        <v>46153</v>
      </c>
      <c r="E3110" s="454" t="s">
        <v>165</v>
      </c>
      <c r="F3110" s="460" t="s">
        <v>1731</v>
      </c>
      <c r="G3110" s="460" t="s">
        <v>1730</v>
      </c>
      <c r="H3110" s="460"/>
      <c r="I3110" s="540">
        <v>831</v>
      </c>
      <c r="J3110" s="540">
        <v>644</v>
      </c>
      <c r="L3110" t="s">
        <v>1744</v>
      </c>
      <c r="M3110" s="232">
        <v>5187</v>
      </c>
      <c r="N3110" s="232">
        <v>2859</v>
      </c>
      <c r="O3110" s="559">
        <v>4431.45</v>
      </c>
    </row>
    <row r="3111" spans="3:15" x14ac:dyDescent="0.25">
      <c r="C3111" s="526" t="s">
        <v>161</v>
      </c>
      <c r="D3111" s="453">
        <f t="shared" si="231"/>
        <v>46153</v>
      </c>
      <c r="E3111" s="454" t="s">
        <v>166</v>
      </c>
      <c r="F3111" s="460" t="s">
        <v>1731</v>
      </c>
      <c r="G3111" s="460" t="s">
        <v>1730</v>
      </c>
      <c r="H3111" s="460"/>
      <c r="I3111" s="540">
        <v>831</v>
      </c>
      <c r="J3111" s="540">
        <v>644</v>
      </c>
      <c r="L3111" t="s">
        <v>1743</v>
      </c>
      <c r="M3111" s="232">
        <v>3633</v>
      </c>
      <c r="N3111" s="232">
        <v>1416</v>
      </c>
      <c r="O3111" s="559">
        <v>2194.7999999999997</v>
      </c>
    </row>
    <row r="3112" spans="3:15" x14ac:dyDescent="0.25">
      <c r="C3112" s="526" t="s">
        <v>161</v>
      </c>
      <c r="D3112" s="453">
        <f t="shared" si="231"/>
        <v>46153</v>
      </c>
      <c r="E3112" s="454" t="s">
        <v>576</v>
      </c>
      <c r="F3112" s="517"/>
      <c r="G3112" s="512"/>
      <c r="H3112" s="512"/>
      <c r="I3112" s="554" cm="1">
        <f t="array" aca="1" ref="I3112" ca="1">IFERROR(_xlfn.LET(_xlpm.produto,TRIM(F3112)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12" s="554" cm="1">
        <f t="array" aca="1" ref="J3112" ca="1">IFERROR(_xlfn.LET(_xlpm.produto,TRIM(G3112)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12" t="s">
        <v>1745</v>
      </c>
      <c r="M3112" s="232">
        <v>5671.3333333333339</v>
      </c>
      <c r="N3112" s="232">
        <v>1177</v>
      </c>
      <c r="O3112" s="559">
        <v>1753.73</v>
      </c>
    </row>
    <row r="3113" spans="3:15" x14ac:dyDescent="0.25">
      <c r="C3113" s="527" t="s">
        <v>161</v>
      </c>
      <c r="D3113" s="449">
        <f t="shared" si="231"/>
        <v>46153</v>
      </c>
      <c r="E3113" s="454" t="s">
        <v>167</v>
      </c>
      <c r="F3113" s="460" t="s">
        <v>1731</v>
      </c>
      <c r="G3113" s="460" t="s">
        <v>1730</v>
      </c>
      <c r="H3113" s="460"/>
      <c r="I3113" s="540">
        <v>831</v>
      </c>
      <c r="J3113" s="540">
        <v>644</v>
      </c>
      <c r="L3113" t="s">
        <v>1746</v>
      </c>
      <c r="M3113" s="232">
        <v>7333.3333333333339</v>
      </c>
      <c r="N3113" s="232">
        <v>3251</v>
      </c>
      <c r="O3113" s="559">
        <v>4843.99</v>
      </c>
    </row>
    <row r="3114" spans="3:15" x14ac:dyDescent="0.25">
      <c r="C3114" s="527" t="s">
        <v>161</v>
      </c>
      <c r="D3114" s="449">
        <f t="shared" si="231"/>
        <v>46153</v>
      </c>
      <c r="E3114" s="454" t="s">
        <v>168</v>
      </c>
      <c r="F3114" s="460" t="s">
        <v>1731</v>
      </c>
      <c r="G3114" s="460" t="s">
        <v>1730</v>
      </c>
      <c r="H3114" s="460"/>
      <c r="I3114" s="540">
        <v>831</v>
      </c>
      <c r="J3114" s="540">
        <v>644</v>
      </c>
      <c r="L3114" t="s">
        <v>1756</v>
      </c>
      <c r="M3114" s="232">
        <v>1660</v>
      </c>
      <c r="N3114" s="232"/>
      <c r="O3114" s="559">
        <v>0</v>
      </c>
    </row>
    <row r="3115" spans="3:15" x14ac:dyDescent="0.25">
      <c r="C3115" s="527" t="s">
        <v>161</v>
      </c>
      <c r="D3115" s="449">
        <f t="shared" si="231"/>
        <v>46153</v>
      </c>
      <c r="E3115" s="454" t="s">
        <v>169</v>
      </c>
      <c r="F3115" s="460" t="s">
        <v>1731</v>
      </c>
      <c r="G3115" s="460" t="s">
        <v>1730</v>
      </c>
      <c r="H3115" s="460"/>
      <c r="I3115" s="540">
        <v>831</v>
      </c>
      <c r="J3115" s="540">
        <v>644</v>
      </c>
      <c r="L3115" t="s">
        <v>1729</v>
      </c>
      <c r="M3115" s="232">
        <v>1932</v>
      </c>
      <c r="N3115" s="232">
        <v>616</v>
      </c>
      <c r="O3115" s="559">
        <v>1232</v>
      </c>
    </row>
    <row r="3116" spans="3:15" x14ac:dyDescent="0.25">
      <c r="C3116" s="527" t="s">
        <v>161</v>
      </c>
      <c r="D3116" s="453">
        <f t="shared" si="231"/>
        <v>46153</v>
      </c>
      <c r="E3116" s="454" t="s">
        <v>170</v>
      </c>
      <c r="F3116" s="460" t="s">
        <v>1731</v>
      </c>
      <c r="G3116" s="460" t="s">
        <v>1730</v>
      </c>
      <c r="H3116" s="460"/>
      <c r="I3116" s="540">
        <v>831</v>
      </c>
      <c r="J3116" s="540">
        <v>644</v>
      </c>
      <c r="L3116" t="s">
        <v>1730</v>
      </c>
      <c r="M3116" s="232">
        <v>7084</v>
      </c>
      <c r="N3116" s="232">
        <v>3893</v>
      </c>
      <c r="O3116" s="559">
        <v>7786</v>
      </c>
    </row>
    <row r="3117" spans="3:15" x14ac:dyDescent="0.25">
      <c r="C3117" s="527" t="s">
        <v>161</v>
      </c>
      <c r="D3117" s="453">
        <f t="shared" si="231"/>
        <v>46153</v>
      </c>
      <c r="E3117" s="454" t="s">
        <v>585</v>
      </c>
      <c r="F3117" s="505"/>
      <c r="G3117" s="505"/>
      <c r="H3117" s="505"/>
      <c r="I3117" s="516" cm="1">
        <f t="array" aca="1" ref="I3117" ca="1">IFERROR(_xlfn.LET(_xlpm.produto,TRIM(F3117)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17" s="516" cm="1">
        <f t="array" aca="1" ref="J3117" ca="1">IFERROR(_xlfn.LET(_xlpm.produto,TRIM(G3117)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17" t="s">
        <v>1732</v>
      </c>
      <c r="M3117" s="232">
        <v>1288</v>
      </c>
      <c r="N3117" s="232">
        <v>668</v>
      </c>
      <c r="O3117" s="559">
        <v>988.64</v>
      </c>
    </row>
    <row r="3118" spans="3:15" x14ac:dyDescent="0.25">
      <c r="C3118" s="527" t="s">
        <v>161</v>
      </c>
      <c r="D3118" s="453">
        <f t="shared" si="231"/>
        <v>46153</v>
      </c>
      <c r="E3118" s="455" t="s">
        <v>574</v>
      </c>
      <c r="F3118" s="505"/>
      <c r="G3118" s="505"/>
      <c r="H3118" s="505"/>
      <c r="I3118" s="516" cm="1">
        <f t="array" aca="1" ref="I3118" ca="1">IFERROR(_xlfn.LET(_xlpm.produto,TRIM(F3118)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18" s="516" cm="1">
        <f t="array" aca="1" ref="J3118" ca="1">IFERROR(_xlfn.LET(_xlpm.produto,TRIM(G3118)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18" t="s">
        <v>1733</v>
      </c>
      <c r="M3118" s="232">
        <v>1288</v>
      </c>
      <c r="N3118" s="232">
        <v>852</v>
      </c>
      <c r="O3118" s="559">
        <v>1260.96</v>
      </c>
    </row>
    <row r="3119" spans="3:15" x14ac:dyDescent="0.25">
      <c r="C3119" s="527" t="s">
        <v>161</v>
      </c>
      <c r="D3119" s="453">
        <f t="shared" si="231"/>
        <v>46153</v>
      </c>
      <c r="E3119" s="455" t="s">
        <v>575</v>
      </c>
      <c r="F3119" s="506"/>
      <c r="G3119" s="506"/>
      <c r="H3119" s="506"/>
      <c r="I3119" s="516" cm="1">
        <f t="array" aca="1" ref="I3119" ca="1">IFERROR(_xlfn.LET(_xlpm.produto,TRIM(F3119)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19" s="516" cm="1">
        <f t="array" aca="1" ref="J3119" ca="1">IFERROR(_xlfn.LET(_xlpm.produto,TRIM(G3119)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19" t="s">
        <v>1734</v>
      </c>
      <c r="M3119" s="232">
        <v>1288</v>
      </c>
      <c r="N3119" s="232">
        <v>845</v>
      </c>
      <c r="O3119" s="559">
        <v>1250.5999999999999</v>
      </c>
    </row>
    <row r="3120" spans="3:15" x14ac:dyDescent="0.25">
      <c r="C3120" s="527" t="s">
        <v>161</v>
      </c>
      <c r="D3120" s="453">
        <f t="shared" si="231"/>
        <v>46153</v>
      </c>
      <c r="E3120" s="503" t="s">
        <v>583</v>
      </c>
      <c r="F3120" s="506"/>
      <c r="G3120" s="506"/>
      <c r="H3120" s="506"/>
      <c r="I3120" s="516" cm="1">
        <f t="array" aca="1" ref="I3120" ca="1">IFERROR(_xlfn.LET(_xlpm.produto,TRIM(F3120)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20" s="516" cm="1">
        <f t="array" aca="1" ref="J3120" ca="1">IFERROR(_xlfn.LET(_xlpm.produto,TRIM(G3120)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20" t="s">
        <v>1735</v>
      </c>
      <c r="M3120" s="232">
        <v>1288</v>
      </c>
      <c r="N3120" s="232">
        <v>785</v>
      </c>
      <c r="O3120" s="559">
        <v>1161.8</v>
      </c>
    </row>
    <row r="3121" spans="3:15" ht="15.75" thickBot="1" x14ac:dyDescent="0.3">
      <c r="C3121" s="528" t="s">
        <v>161</v>
      </c>
      <c r="D3121" s="451">
        <f t="shared" si="231"/>
        <v>46153</v>
      </c>
      <c r="E3121" s="459" t="s">
        <v>584</v>
      </c>
      <c r="F3121" s="493"/>
      <c r="G3121" s="493"/>
      <c r="H3121" s="493"/>
      <c r="I3121" s="513" cm="1">
        <f t="array" aca="1" ref="I3121" ca="1">IFERROR(_xlfn.LET(_xlpm.produto,TRIM(F3121)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21" s="513" cm="1">
        <f t="array" aca="1" ref="J3121" ca="1">IFERROR(_xlfn.LET(_xlpm.produto,TRIM(G3121)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21" t="s">
        <v>1736</v>
      </c>
      <c r="M3121" s="232">
        <v>1932</v>
      </c>
      <c r="N3121" s="232">
        <v>1048</v>
      </c>
      <c r="O3121" s="559">
        <v>1551.04</v>
      </c>
    </row>
    <row r="3122" spans="3:15" ht="15" customHeight="1" thickBot="1" x14ac:dyDescent="0.3">
      <c r="I3122" s="445"/>
      <c r="J3122" s="445"/>
      <c r="L3122" s="465" t="s">
        <v>1521</v>
      </c>
      <c r="M3122" s="465">
        <v>48632.666666666672</v>
      </c>
      <c r="N3122" s="465">
        <v>24062</v>
      </c>
      <c r="O3122" s="465">
        <v>33624.709999999992</v>
      </c>
    </row>
    <row r="3123" spans="3:15" ht="15.75" thickBot="1" x14ac:dyDescent="0.3">
      <c r="C3123" s="538"/>
      <c r="D3123" s="539"/>
      <c r="E3123" s="539"/>
      <c r="F3123" s="539"/>
      <c r="G3123" s="539"/>
      <c r="H3123" s="539"/>
      <c r="I3123" s="606">
        <f t="shared" ref="I3123:J3123" ca="1" si="232">_xlfn.AGGREGATE(9,6,I3124:I3139)</f>
        <v>6849</v>
      </c>
      <c r="J3123" s="607">
        <f t="shared" ca="1" si="232"/>
        <v>5796</v>
      </c>
    </row>
    <row r="3124" spans="3:15" x14ac:dyDescent="0.25">
      <c r="C3124" s="446" t="s">
        <v>171</v>
      </c>
      <c r="D3124" s="497">
        <f>D3121+1</f>
        <v>46154</v>
      </c>
      <c r="E3124" s="498" t="s">
        <v>573</v>
      </c>
      <c r="F3124" s="514"/>
      <c r="G3124" s="514"/>
      <c r="H3124" s="514"/>
      <c r="I3124" s="537" cm="1">
        <f t="array" aca="1" ref="I3124" ca="1">IFERROR(_xlfn.LET(_xlpm.produto,TRIM(F3124)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24" s="537" cm="1">
        <f t="array" aca="1" ref="J3124" ca="1">IFERROR(_xlfn.LET(_xlpm.produto,TRIM(G3124)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25" spans="3:15" x14ac:dyDescent="0.25">
      <c r="C3125" s="452" t="s">
        <v>171</v>
      </c>
      <c r="D3125" s="499">
        <f t="shared" ref="D3125:D3139" si="233">D3124</f>
        <v>46154</v>
      </c>
      <c r="E3125" s="500" t="s">
        <v>162</v>
      </c>
      <c r="F3125" s="460" t="s">
        <v>1731</v>
      </c>
      <c r="G3125" s="460" t="s">
        <v>1730</v>
      </c>
      <c r="H3125" s="460"/>
      <c r="I3125" s="540">
        <v>831</v>
      </c>
      <c r="J3125" s="540">
        <v>644</v>
      </c>
    </row>
    <row r="3126" spans="3:15" x14ac:dyDescent="0.25">
      <c r="C3126" s="452" t="s">
        <v>171</v>
      </c>
      <c r="D3126" s="449">
        <f t="shared" si="233"/>
        <v>46154</v>
      </c>
      <c r="E3126" s="454" t="s">
        <v>163</v>
      </c>
      <c r="F3126" s="460" t="s">
        <v>1731</v>
      </c>
      <c r="G3126" s="460" t="s">
        <v>1730</v>
      </c>
      <c r="H3126" s="460"/>
      <c r="I3126" s="540">
        <v>831</v>
      </c>
      <c r="J3126" s="540">
        <v>644</v>
      </c>
    </row>
    <row r="3127" spans="3:15" x14ac:dyDescent="0.25">
      <c r="C3127" s="452" t="s">
        <v>171</v>
      </c>
      <c r="D3127" s="449">
        <f t="shared" si="233"/>
        <v>46154</v>
      </c>
      <c r="E3127" s="454" t="s">
        <v>164</v>
      </c>
      <c r="F3127" s="460" t="s">
        <v>1744</v>
      </c>
      <c r="G3127" s="460" t="s">
        <v>1730</v>
      </c>
      <c r="H3127" s="460"/>
      <c r="I3127" s="540">
        <v>741</v>
      </c>
      <c r="J3127" s="540">
        <v>644</v>
      </c>
    </row>
    <row r="3128" spans="3:15" x14ac:dyDescent="0.25">
      <c r="C3128" s="452" t="s">
        <v>171</v>
      </c>
      <c r="D3128" s="449">
        <f t="shared" si="233"/>
        <v>46154</v>
      </c>
      <c r="E3128" s="454" t="s">
        <v>165</v>
      </c>
      <c r="F3128" s="460" t="s">
        <v>1744</v>
      </c>
      <c r="G3128" s="460" t="s">
        <v>1730</v>
      </c>
      <c r="H3128" s="460"/>
      <c r="I3128" s="540">
        <v>741</v>
      </c>
      <c r="J3128" s="540">
        <v>644</v>
      </c>
    </row>
    <row r="3129" spans="3:15" x14ac:dyDescent="0.25">
      <c r="C3129" s="452" t="s">
        <v>171</v>
      </c>
      <c r="D3129" s="449">
        <f t="shared" si="233"/>
        <v>46154</v>
      </c>
      <c r="E3129" s="454" t="s">
        <v>166</v>
      </c>
      <c r="F3129" s="460" t="s">
        <v>1744</v>
      </c>
      <c r="G3129" s="460" t="s">
        <v>1730</v>
      </c>
      <c r="H3129" s="460"/>
      <c r="I3129" s="540">
        <v>741</v>
      </c>
      <c r="J3129" s="540">
        <v>644</v>
      </c>
    </row>
    <row r="3130" spans="3:15" x14ac:dyDescent="0.25">
      <c r="C3130" s="452" t="s">
        <v>171</v>
      </c>
      <c r="D3130" s="449">
        <f t="shared" si="233"/>
        <v>46154</v>
      </c>
      <c r="E3130" s="454" t="s">
        <v>576</v>
      </c>
      <c r="F3130" s="517"/>
      <c r="G3130" s="512"/>
      <c r="H3130" s="512"/>
      <c r="I3130" s="554" cm="1">
        <f t="array" aca="1" ref="I3130" ca="1">IFERROR(_xlfn.LET(_xlpm.produto,TRIM(F3130)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0" s="554" cm="1">
        <f t="array" aca="1" ref="J3130" ca="1">IFERROR(_xlfn.LET(_xlpm.produto,TRIM(G3130)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31" spans="3:15" x14ac:dyDescent="0.25">
      <c r="C3131" s="452" t="s">
        <v>171</v>
      </c>
      <c r="D3131" s="449">
        <f t="shared" si="233"/>
        <v>46154</v>
      </c>
      <c r="E3131" s="454" t="s">
        <v>167</v>
      </c>
      <c r="F3131" s="460" t="s">
        <v>1744</v>
      </c>
      <c r="G3131" s="460"/>
      <c r="H3131" s="460"/>
      <c r="I3131" s="540">
        <v>741</v>
      </c>
      <c r="J3131" s="540">
        <v>644</v>
      </c>
    </row>
    <row r="3132" spans="3:15" x14ac:dyDescent="0.25">
      <c r="C3132" s="452" t="s">
        <v>171</v>
      </c>
      <c r="D3132" s="449">
        <f t="shared" si="233"/>
        <v>46154</v>
      </c>
      <c r="E3132" s="454" t="s">
        <v>168</v>
      </c>
      <c r="F3132" s="460" t="s">
        <v>1744</v>
      </c>
      <c r="G3132" s="460"/>
      <c r="H3132" s="460"/>
      <c r="I3132" s="540">
        <v>741</v>
      </c>
      <c r="J3132" s="540">
        <v>644</v>
      </c>
    </row>
    <row r="3133" spans="3:15" x14ac:dyDescent="0.25">
      <c r="C3133" s="452" t="s">
        <v>171</v>
      </c>
      <c r="D3133" s="449">
        <f t="shared" si="233"/>
        <v>46154</v>
      </c>
      <c r="E3133" s="454" t="s">
        <v>169</v>
      </c>
      <c r="F3133" s="460" t="s">
        <v>1744</v>
      </c>
      <c r="G3133" s="460"/>
      <c r="H3133" s="460"/>
      <c r="I3133" s="540">
        <v>741</v>
      </c>
      <c r="J3133" s="540">
        <v>644</v>
      </c>
    </row>
    <row r="3134" spans="3:15" x14ac:dyDescent="0.25">
      <c r="C3134" s="452" t="s">
        <v>171</v>
      </c>
      <c r="D3134" s="449">
        <f t="shared" si="233"/>
        <v>46154</v>
      </c>
      <c r="E3134" s="454" t="s">
        <v>170</v>
      </c>
      <c r="F3134" s="460" t="s">
        <v>1744</v>
      </c>
      <c r="G3134" s="460"/>
      <c r="H3134" s="460"/>
      <c r="I3134" s="540">
        <v>741</v>
      </c>
      <c r="J3134" s="540">
        <v>644</v>
      </c>
    </row>
    <row r="3135" spans="3:15" x14ac:dyDescent="0.25">
      <c r="C3135" s="452" t="s">
        <v>171</v>
      </c>
      <c r="D3135" s="449">
        <f t="shared" si="233"/>
        <v>46154</v>
      </c>
      <c r="E3135" s="454" t="s">
        <v>585</v>
      </c>
      <c r="F3135" s="505"/>
      <c r="G3135" s="505"/>
      <c r="H3135" s="516"/>
      <c r="I3135" s="516" cm="1">
        <f t="array" aca="1" ref="I3135" ca="1">IFERROR(_xlfn.LET(_xlpm.produto,TRIM(F3135)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5" s="516" cm="1">
        <f t="array" aca="1" ref="J3135" ca="1">IFERROR(_xlfn.LET(_xlpm.produto,TRIM(G3135)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36" spans="3:15" x14ac:dyDescent="0.25">
      <c r="C3136" s="448" t="s">
        <v>171</v>
      </c>
      <c r="D3136" s="449">
        <f t="shared" si="233"/>
        <v>46154</v>
      </c>
      <c r="E3136" s="455" t="s">
        <v>574</v>
      </c>
      <c r="F3136" s="505"/>
      <c r="G3136" s="505"/>
      <c r="H3136" s="516"/>
      <c r="I3136" s="516" cm="1">
        <f t="array" aca="1" ref="I3136" ca="1">IFERROR(_xlfn.LET(_xlpm.produto,TRIM(F3136)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6" s="516" cm="1">
        <f t="array" aca="1" ref="J3136" ca="1">IFERROR(_xlfn.LET(_xlpm.produto,TRIM(G3136)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37" spans="3:10" x14ac:dyDescent="0.25">
      <c r="C3137" s="448" t="s">
        <v>171</v>
      </c>
      <c r="D3137" s="449">
        <f t="shared" si="233"/>
        <v>46154</v>
      </c>
      <c r="E3137" s="455" t="s">
        <v>575</v>
      </c>
      <c r="F3137" s="506"/>
      <c r="G3137" s="506"/>
      <c r="H3137" s="516"/>
      <c r="I3137" s="516" cm="1">
        <f t="array" aca="1" ref="I3137" ca="1">IFERROR(_xlfn.LET(_xlpm.produto,TRIM(F3137)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7" s="516" cm="1">
        <f t="array" aca="1" ref="J3137" ca="1">IFERROR(_xlfn.LET(_xlpm.produto,TRIM(G3137)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38" spans="3:10" x14ac:dyDescent="0.25">
      <c r="C3138" s="448" t="s">
        <v>171</v>
      </c>
      <c r="D3138" s="449">
        <f t="shared" si="233"/>
        <v>46154</v>
      </c>
      <c r="E3138" s="503" t="s">
        <v>583</v>
      </c>
      <c r="F3138" s="506"/>
      <c r="G3138" s="506"/>
      <c r="H3138" s="516"/>
      <c r="I3138" s="516" cm="1">
        <f t="array" aca="1" ref="I3138" ca="1">IFERROR(_xlfn.LET(_xlpm.produto,TRIM(F3138)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8" s="516" cm="1">
        <f t="array" aca="1" ref="J3138" ca="1">IFERROR(_xlfn.LET(_xlpm.produto,TRIM(G3138)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39" spans="3:10" ht="15.75" thickBot="1" x14ac:dyDescent="0.3">
      <c r="C3139" s="450" t="s">
        <v>171</v>
      </c>
      <c r="D3139" s="451">
        <f t="shared" si="233"/>
        <v>46154</v>
      </c>
      <c r="E3139" s="459" t="s">
        <v>584</v>
      </c>
      <c r="F3139" s="493"/>
      <c r="G3139" s="493"/>
      <c r="H3139" s="513"/>
      <c r="I3139" s="513" cm="1">
        <f t="array" aca="1" ref="I3139" ca="1">IFERROR(_xlfn.LET(_xlpm.produto,TRIM(F3139)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39" s="513" cm="1">
        <f t="array" aca="1" ref="J3139" ca="1">IFERROR(_xlfn.LET(_xlpm.produto,TRIM(G3139)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40" spans="3:10" ht="15.75" thickBot="1" x14ac:dyDescent="0.3">
      <c r="I3140" s="445"/>
      <c r="J3140" s="445"/>
    </row>
    <row r="3141" spans="3:10" ht="15.75" thickBot="1" x14ac:dyDescent="0.3">
      <c r="C3141" s="538"/>
      <c r="D3141" s="539"/>
      <c r="E3141" s="539"/>
      <c r="F3141" s="539"/>
      <c r="G3141" s="539"/>
      <c r="H3141" s="539"/>
      <c r="I3141" s="606">
        <f t="shared" ref="I3141:J3141" ca="1" si="234">_xlfn.AGGREGATE(9,6,I3142:I3157)</f>
        <v>6525</v>
      </c>
      <c r="J3141" s="607">
        <f t="shared" ca="1" si="234"/>
        <v>5796</v>
      </c>
    </row>
    <row r="3142" spans="3:10" x14ac:dyDescent="0.25">
      <c r="C3142" s="446" t="s">
        <v>172</v>
      </c>
      <c r="D3142" s="497">
        <f>D3139+1</f>
        <v>46155</v>
      </c>
      <c r="E3142" s="498" t="s">
        <v>573</v>
      </c>
      <c r="F3142" s="514"/>
      <c r="G3142" s="514"/>
      <c r="H3142" s="515"/>
      <c r="I3142" s="537" cm="1">
        <f t="array" aca="1" ref="I3142" ca="1">IFERROR(_xlfn.LET(_xlpm.produto,TRIM(F3142)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42" s="537" cm="1">
        <f t="array" aca="1" ref="J3142" ca="1">IFERROR(_xlfn.LET(_xlpm.produto,TRIM(G3142)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43" spans="3:10" x14ac:dyDescent="0.25">
      <c r="C3143" s="452" t="s">
        <v>172</v>
      </c>
      <c r="D3143" s="499">
        <f t="shared" ref="D3143:D3157" si="235">D3142</f>
        <v>46155</v>
      </c>
      <c r="E3143" s="500" t="s">
        <v>162</v>
      </c>
      <c r="F3143" s="460" t="s">
        <v>1743</v>
      </c>
      <c r="G3143" s="460"/>
      <c r="H3143" s="460"/>
      <c r="I3143" s="540">
        <v>741</v>
      </c>
      <c r="J3143" s="540">
        <v>644</v>
      </c>
    </row>
    <row r="3144" spans="3:10" x14ac:dyDescent="0.25">
      <c r="C3144" s="452" t="s">
        <v>172</v>
      </c>
      <c r="D3144" s="449">
        <f t="shared" si="235"/>
        <v>46155</v>
      </c>
      <c r="E3144" s="454" t="s">
        <v>163</v>
      </c>
      <c r="F3144" s="460" t="s">
        <v>1743</v>
      </c>
      <c r="G3144" s="460"/>
      <c r="H3144" s="460"/>
      <c r="I3144" s="540">
        <v>723</v>
      </c>
      <c r="J3144" s="540">
        <v>644</v>
      </c>
    </row>
    <row r="3145" spans="3:10" x14ac:dyDescent="0.25">
      <c r="C3145" s="452" t="s">
        <v>172</v>
      </c>
      <c r="D3145" s="449">
        <f t="shared" si="235"/>
        <v>46155</v>
      </c>
      <c r="E3145" s="454" t="s">
        <v>164</v>
      </c>
      <c r="F3145" s="460" t="s">
        <v>1743</v>
      </c>
      <c r="G3145" s="460" t="s">
        <v>1732</v>
      </c>
      <c r="H3145" s="460"/>
      <c r="I3145" s="540">
        <v>723</v>
      </c>
      <c r="J3145" s="540">
        <v>644</v>
      </c>
    </row>
    <row r="3146" spans="3:10" x14ac:dyDescent="0.25">
      <c r="C3146" s="452" t="s">
        <v>172</v>
      </c>
      <c r="D3146" s="449">
        <f t="shared" si="235"/>
        <v>46155</v>
      </c>
      <c r="E3146" s="454" t="s">
        <v>165</v>
      </c>
      <c r="F3146" s="460" t="s">
        <v>1743</v>
      </c>
      <c r="G3146" s="460" t="s">
        <v>1732</v>
      </c>
      <c r="H3146" s="460"/>
      <c r="I3146" s="540">
        <v>723</v>
      </c>
      <c r="J3146" s="540">
        <v>644</v>
      </c>
    </row>
    <row r="3147" spans="3:10" x14ac:dyDescent="0.25">
      <c r="C3147" s="452" t="s">
        <v>172</v>
      </c>
      <c r="D3147" s="449">
        <f t="shared" si="235"/>
        <v>46155</v>
      </c>
      <c r="E3147" s="454" t="s">
        <v>166</v>
      </c>
      <c r="F3147" s="460" t="s">
        <v>1743</v>
      </c>
      <c r="G3147" s="460" t="s">
        <v>1733</v>
      </c>
      <c r="H3147" s="460"/>
      <c r="I3147" s="540">
        <v>723</v>
      </c>
      <c r="J3147" s="540">
        <v>644</v>
      </c>
    </row>
    <row r="3148" spans="3:10" x14ac:dyDescent="0.25">
      <c r="C3148" s="452" t="s">
        <v>172</v>
      </c>
      <c r="D3148" s="449">
        <f t="shared" si="235"/>
        <v>46155</v>
      </c>
      <c r="E3148" s="454" t="s">
        <v>576</v>
      </c>
      <c r="F3148" s="517"/>
      <c r="G3148" s="512"/>
      <c r="H3148" s="512"/>
      <c r="I3148" s="554">
        <v>0</v>
      </c>
      <c r="J3148" s="554" cm="1">
        <f t="array" aca="1" ref="J3148" ca="1">IFERROR(_xlfn.LET(_xlpm.produto,TRIM(G3148)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49" spans="3:10" x14ac:dyDescent="0.25">
      <c r="C3149" s="452" t="s">
        <v>172</v>
      </c>
      <c r="D3149" s="449">
        <f t="shared" si="235"/>
        <v>46155</v>
      </c>
      <c r="E3149" s="454" t="s">
        <v>167</v>
      </c>
      <c r="F3149" s="460" t="s">
        <v>1745</v>
      </c>
      <c r="G3149" s="460" t="s">
        <v>1733</v>
      </c>
      <c r="H3149" s="460"/>
      <c r="I3149" s="540">
        <v>723</v>
      </c>
      <c r="J3149" s="540">
        <v>644</v>
      </c>
    </row>
    <row r="3150" spans="3:10" x14ac:dyDescent="0.25">
      <c r="C3150" s="452" t="s">
        <v>172</v>
      </c>
      <c r="D3150" s="449">
        <f t="shared" si="235"/>
        <v>46155</v>
      </c>
      <c r="E3150" s="454" t="s">
        <v>168</v>
      </c>
      <c r="F3150" s="460" t="s">
        <v>1745</v>
      </c>
      <c r="G3150" s="460" t="s">
        <v>1734</v>
      </c>
      <c r="H3150" s="460"/>
      <c r="I3150" s="540">
        <v>723</v>
      </c>
      <c r="J3150" s="540">
        <v>644</v>
      </c>
    </row>
    <row r="3151" spans="3:10" x14ac:dyDescent="0.25">
      <c r="C3151" s="452" t="s">
        <v>172</v>
      </c>
      <c r="D3151" s="449">
        <f t="shared" si="235"/>
        <v>46155</v>
      </c>
      <c r="E3151" s="454" t="s">
        <v>169</v>
      </c>
      <c r="F3151" s="460" t="s">
        <v>1745</v>
      </c>
      <c r="G3151" s="460" t="s">
        <v>1734</v>
      </c>
      <c r="H3151" s="460"/>
      <c r="I3151" s="540">
        <v>723</v>
      </c>
      <c r="J3151" s="540">
        <v>644</v>
      </c>
    </row>
    <row r="3152" spans="3:10" x14ac:dyDescent="0.25">
      <c r="C3152" s="452" t="s">
        <v>172</v>
      </c>
      <c r="D3152" s="449">
        <f t="shared" si="235"/>
        <v>46155</v>
      </c>
      <c r="E3152" s="454" t="s">
        <v>170</v>
      </c>
      <c r="F3152" s="460" t="s">
        <v>1745</v>
      </c>
      <c r="G3152" s="460" t="s">
        <v>1735</v>
      </c>
      <c r="H3152" s="460"/>
      <c r="I3152" s="540">
        <v>723</v>
      </c>
      <c r="J3152" s="540">
        <v>644</v>
      </c>
    </row>
    <row r="3153" spans="3:10" x14ac:dyDescent="0.25">
      <c r="C3153" s="452" t="s">
        <v>172</v>
      </c>
      <c r="D3153" s="449">
        <f t="shared" si="235"/>
        <v>46155</v>
      </c>
      <c r="E3153" s="454" t="s">
        <v>585</v>
      </c>
      <c r="F3153" s="505"/>
      <c r="G3153" s="505"/>
      <c r="H3153" s="516"/>
      <c r="I3153" s="516" cm="1">
        <f t="array" aca="1" ref="I3153" ca="1">IFERROR(_xlfn.LET(_xlpm.produto,TRIM(F3153)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53" s="516" cm="1">
        <f t="array" aca="1" ref="J3153" ca="1">IFERROR(_xlfn.LET(_xlpm.produto,TRIM(G3153)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54" spans="3:10" x14ac:dyDescent="0.25">
      <c r="C3154" s="448" t="s">
        <v>172</v>
      </c>
      <c r="D3154" s="449">
        <f t="shared" si="235"/>
        <v>46155</v>
      </c>
      <c r="E3154" s="455" t="s">
        <v>574</v>
      </c>
      <c r="F3154" s="505"/>
      <c r="G3154" s="505"/>
      <c r="H3154" s="516"/>
      <c r="I3154" s="516" cm="1">
        <f t="array" aca="1" ref="I3154" ca="1">IFERROR(_xlfn.LET(_xlpm.produto,TRIM(F3154)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54" s="516" cm="1">
        <f t="array" aca="1" ref="J3154" ca="1">IFERROR(_xlfn.LET(_xlpm.produto,TRIM(G3154)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55" spans="3:10" x14ac:dyDescent="0.25">
      <c r="C3155" s="448" t="s">
        <v>172</v>
      </c>
      <c r="D3155" s="449">
        <f t="shared" si="235"/>
        <v>46155</v>
      </c>
      <c r="E3155" s="455" t="s">
        <v>575</v>
      </c>
      <c r="F3155" s="506"/>
      <c r="G3155" s="506"/>
      <c r="H3155" s="516"/>
      <c r="I3155" s="516" cm="1">
        <f t="array" aca="1" ref="I3155" ca="1">IFERROR(_xlfn.LET(_xlpm.produto,TRIM(F3155)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55" s="516" cm="1">
        <f t="array" aca="1" ref="J3155" ca="1">IFERROR(_xlfn.LET(_xlpm.produto,TRIM(G3155)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56" spans="3:10" x14ac:dyDescent="0.25">
      <c r="C3156" s="448" t="s">
        <v>172</v>
      </c>
      <c r="D3156" s="449">
        <f t="shared" si="235"/>
        <v>46155</v>
      </c>
      <c r="E3156" s="503" t="s">
        <v>583</v>
      </c>
      <c r="F3156" s="506"/>
      <c r="G3156" s="506"/>
      <c r="H3156" s="516"/>
      <c r="I3156" s="516" cm="1">
        <f t="array" aca="1" ref="I3156" ca="1">IFERROR(_xlfn.LET(_xlpm.produto,TRIM(F3156)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56" s="516" cm="1">
        <f t="array" aca="1" ref="J3156" ca="1">IFERROR(_xlfn.LET(_xlpm.produto,TRIM(G3156)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57" spans="3:10" ht="15.75" thickBot="1" x14ac:dyDescent="0.3">
      <c r="C3157" s="450" t="s">
        <v>172</v>
      </c>
      <c r="D3157" s="451">
        <f t="shared" si="235"/>
        <v>46155</v>
      </c>
      <c r="E3157" s="459" t="s">
        <v>584</v>
      </c>
      <c r="F3157" s="493"/>
      <c r="G3157" s="493"/>
      <c r="H3157" s="513"/>
      <c r="I3157" s="513" cm="1">
        <f t="array" aca="1" ref="I3157" ca="1">IFERROR(_xlfn.LET(_xlpm.produto,TRIM(F3157)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57" s="513" cm="1">
        <f t="array" aca="1" ref="J3157" ca="1">IFERROR(_xlfn.LET(_xlpm.produto,TRIM(G3157)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58" spans="3:10" ht="15.75" thickBot="1" x14ac:dyDescent="0.3">
      <c r="I3158" s="445"/>
      <c r="J3158" s="445"/>
    </row>
    <row r="3159" spans="3:10" ht="15.75" thickBot="1" x14ac:dyDescent="0.3">
      <c r="C3159" s="538"/>
      <c r="D3159" s="539"/>
      <c r="E3159" s="539"/>
      <c r="F3159" s="539"/>
      <c r="G3159" s="539"/>
      <c r="H3159" s="539"/>
      <c r="I3159" s="606">
        <f t="shared" ref="I3159:J3159" ca="1" si="236">_xlfn.AGGREGATE(9,6,I3160:I3175)</f>
        <v>6112.666666666667</v>
      </c>
      <c r="J3159" s="607">
        <f t="shared" ca="1" si="236"/>
        <v>5796</v>
      </c>
    </row>
    <row r="3160" spans="3:10" x14ac:dyDescent="0.25">
      <c r="C3160" s="529" t="s">
        <v>173</v>
      </c>
      <c r="D3160" s="447">
        <f>D3157+1</f>
        <v>46156</v>
      </c>
      <c r="E3160" s="498" t="s">
        <v>573</v>
      </c>
      <c r="F3160" s="514"/>
      <c r="G3160" s="514"/>
      <c r="H3160" s="515"/>
      <c r="I3160" s="537" cm="1">
        <f t="array" aca="1" ref="I3160" ca="1">IFERROR(_xlfn.LET(_xlpm.produto,TRIM(F3160)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60" s="537" cm="1">
        <f t="array" aca="1" ref="J3160" ca="1">IFERROR(_xlfn.LET(_xlpm.produto,TRIM(G3160)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61" spans="3:10" x14ac:dyDescent="0.25">
      <c r="C3161" s="452" t="s">
        <v>173</v>
      </c>
      <c r="D3161" s="453">
        <f t="shared" ref="D3161:D3175" si="237">D3160</f>
        <v>46156</v>
      </c>
      <c r="E3161" s="500" t="s">
        <v>162</v>
      </c>
      <c r="F3161" s="460" t="s">
        <v>1745</v>
      </c>
      <c r="G3161" s="460" t="s">
        <v>1735</v>
      </c>
      <c r="H3161" s="460"/>
      <c r="I3161" s="540">
        <v>723</v>
      </c>
      <c r="J3161" s="540">
        <v>644</v>
      </c>
    </row>
    <row r="3162" spans="3:10" x14ac:dyDescent="0.25">
      <c r="C3162" s="452" t="s">
        <v>173</v>
      </c>
      <c r="D3162" s="453">
        <f t="shared" si="237"/>
        <v>46156</v>
      </c>
      <c r="E3162" s="454" t="s">
        <v>163</v>
      </c>
      <c r="F3162" s="460" t="s">
        <v>1745</v>
      </c>
      <c r="G3162" s="460" t="s">
        <v>1736</v>
      </c>
      <c r="H3162" s="460"/>
      <c r="I3162" s="540">
        <v>723</v>
      </c>
      <c r="J3162" s="540">
        <v>644</v>
      </c>
    </row>
    <row r="3163" spans="3:10" x14ac:dyDescent="0.25">
      <c r="C3163" s="452" t="s">
        <v>173</v>
      </c>
      <c r="D3163" s="453">
        <f t="shared" si="237"/>
        <v>46156</v>
      </c>
      <c r="E3163" s="454" t="s">
        <v>164</v>
      </c>
      <c r="F3163" s="460" t="s">
        <v>1745</v>
      </c>
      <c r="G3163" s="460" t="s">
        <v>1736</v>
      </c>
      <c r="H3163" s="460"/>
      <c r="I3163" s="540">
        <f>10000/15</f>
        <v>666.66666666666663</v>
      </c>
      <c r="J3163" s="540">
        <v>644</v>
      </c>
    </row>
    <row r="3164" spans="3:10" x14ac:dyDescent="0.25">
      <c r="C3164" s="452" t="s">
        <v>173</v>
      </c>
      <c r="D3164" s="453">
        <f t="shared" si="237"/>
        <v>46156</v>
      </c>
      <c r="E3164" s="454" t="s">
        <v>165</v>
      </c>
      <c r="F3164" s="460" t="s">
        <v>1745</v>
      </c>
      <c r="G3164" s="460" t="s">
        <v>1736</v>
      </c>
      <c r="H3164" s="460"/>
      <c r="I3164" s="540">
        <f t="shared" ref="I3164:I3165" si="238">10000/15</f>
        <v>666.66666666666663</v>
      </c>
      <c r="J3164" s="540">
        <v>644</v>
      </c>
    </row>
    <row r="3165" spans="3:10" x14ac:dyDescent="0.25">
      <c r="C3165" s="452" t="s">
        <v>173</v>
      </c>
      <c r="D3165" s="453">
        <f t="shared" si="237"/>
        <v>46156</v>
      </c>
      <c r="E3165" s="454" t="s">
        <v>166</v>
      </c>
      <c r="F3165" s="460" t="s">
        <v>1746</v>
      </c>
      <c r="G3165" s="460" t="s">
        <v>1737</v>
      </c>
      <c r="H3165" s="460"/>
      <c r="I3165" s="540">
        <f t="shared" si="238"/>
        <v>666.66666666666663</v>
      </c>
      <c r="J3165" s="540">
        <v>644</v>
      </c>
    </row>
    <row r="3166" spans="3:10" x14ac:dyDescent="0.25">
      <c r="C3166" s="452" t="s">
        <v>173</v>
      </c>
      <c r="D3166" s="453">
        <f t="shared" si="237"/>
        <v>46156</v>
      </c>
      <c r="E3166" s="454" t="s">
        <v>576</v>
      </c>
      <c r="F3166" s="512"/>
      <c r="G3166" s="512"/>
      <c r="H3166" s="505"/>
      <c r="I3166" s="554" cm="1">
        <f t="array" aca="1" ref="I3166" ca="1">IFERROR(_xlfn.LET(_xlpm.produto,TRIM(F3166)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E$5:E$5,"="&amp;_xlpm.produto)+COUNTIF(F$5:F$5,"="&amp;_xlpm.produto)+COUNTIF(G$5:G$5,"="&amp;_xlpm.produto),_xlpm.saldo/_xlpm.horas),0)</f>
        <v>0</v>
      </c>
      <c r="J3166" s="554" cm="1">
        <f t="array" aca="1" ref="J3166" ca="1">IFERROR(_xlfn.LET(_xlpm.produto,TRIM(G3166)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67" spans="3:10" x14ac:dyDescent="0.25">
      <c r="C3167" s="452" t="s">
        <v>173</v>
      </c>
      <c r="D3167" s="449">
        <f t="shared" si="237"/>
        <v>46156</v>
      </c>
      <c r="E3167" s="454" t="s">
        <v>167</v>
      </c>
      <c r="F3167" s="460" t="s">
        <v>1746</v>
      </c>
      <c r="G3167" s="460" t="s">
        <v>1737</v>
      </c>
      <c r="H3167" s="461"/>
      <c r="I3167" s="540">
        <f t="shared" ref="I3167:I3170" si="239">10000/15</f>
        <v>666.66666666666663</v>
      </c>
      <c r="J3167" s="540">
        <v>644</v>
      </c>
    </row>
    <row r="3168" spans="3:10" x14ac:dyDescent="0.25">
      <c r="C3168" s="452" t="s">
        <v>173</v>
      </c>
      <c r="D3168" s="449">
        <f t="shared" si="237"/>
        <v>46156</v>
      </c>
      <c r="E3168" s="454" t="s">
        <v>168</v>
      </c>
      <c r="F3168" s="460" t="s">
        <v>1746</v>
      </c>
      <c r="G3168" s="460" t="s">
        <v>1737</v>
      </c>
      <c r="H3168" s="461"/>
      <c r="I3168" s="540">
        <f t="shared" si="239"/>
        <v>666.66666666666663</v>
      </c>
      <c r="J3168" s="540">
        <v>644</v>
      </c>
    </row>
    <row r="3169" spans="3:10" x14ac:dyDescent="0.25">
      <c r="C3169" s="452" t="s">
        <v>173</v>
      </c>
      <c r="D3169" s="449">
        <f t="shared" si="237"/>
        <v>46156</v>
      </c>
      <c r="E3169" s="454" t="s">
        <v>169</v>
      </c>
      <c r="F3169" s="460" t="s">
        <v>1746</v>
      </c>
      <c r="G3169" s="460" t="s">
        <v>1738</v>
      </c>
      <c r="H3169" s="461"/>
      <c r="I3169" s="540">
        <f t="shared" si="239"/>
        <v>666.66666666666663</v>
      </c>
      <c r="J3169" s="540">
        <v>644</v>
      </c>
    </row>
    <row r="3170" spans="3:10" x14ac:dyDescent="0.25">
      <c r="C3170" s="452" t="s">
        <v>173</v>
      </c>
      <c r="D3170" s="449">
        <f t="shared" si="237"/>
        <v>46156</v>
      </c>
      <c r="E3170" s="454" t="s">
        <v>170</v>
      </c>
      <c r="F3170" s="460" t="s">
        <v>1746</v>
      </c>
      <c r="G3170" s="460" t="s">
        <v>1738</v>
      </c>
      <c r="H3170" s="504"/>
      <c r="I3170" s="540">
        <f t="shared" si="239"/>
        <v>666.66666666666663</v>
      </c>
      <c r="J3170" s="540">
        <v>644</v>
      </c>
    </row>
    <row r="3171" spans="3:10" x14ac:dyDescent="0.25">
      <c r="C3171" s="452" t="s">
        <v>173</v>
      </c>
      <c r="D3171" s="449">
        <f t="shared" si="237"/>
        <v>46156</v>
      </c>
      <c r="E3171" s="454" t="s">
        <v>585</v>
      </c>
      <c r="F3171" s="505"/>
      <c r="G3171" s="505"/>
      <c r="H3171" s="516"/>
      <c r="I3171" s="516" cm="1">
        <f t="array" aca="1" ref="I3171" ca="1">IFERROR(_xlfn.LET(_xlpm.produto,TRIM(F3171)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1" s="516" cm="1">
        <f t="array" aca="1" ref="J3171" ca="1">IFERROR(_xlfn.LET(_xlpm.produto,TRIM(G3171)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2" spans="3:10" x14ac:dyDescent="0.25">
      <c r="C3172" s="452" t="s">
        <v>173</v>
      </c>
      <c r="D3172" s="449">
        <f t="shared" si="237"/>
        <v>46156</v>
      </c>
      <c r="E3172" s="455" t="s">
        <v>574</v>
      </c>
      <c r="F3172" s="505"/>
      <c r="G3172" s="505"/>
      <c r="H3172" s="516"/>
      <c r="I3172" s="516" cm="1">
        <f t="array" aca="1" ref="I3172" ca="1">IFERROR(_xlfn.LET(_xlpm.produto,TRIM(F3172)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2" s="516" cm="1">
        <f t="array" aca="1" ref="J3172" ca="1">IFERROR(_xlfn.LET(_xlpm.produto,TRIM(G3172)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3" spans="3:10" x14ac:dyDescent="0.25">
      <c r="C3173" s="452" t="s">
        <v>173</v>
      </c>
      <c r="D3173" s="449">
        <f t="shared" si="237"/>
        <v>46156</v>
      </c>
      <c r="E3173" s="455" t="s">
        <v>575</v>
      </c>
      <c r="F3173" s="506"/>
      <c r="G3173" s="506"/>
      <c r="H3173" s="516"/>
      <c r="I3173" s="516" cm="1">
        <f t="array" aca="1" ref="I3173" ca="1">IFERROR(_xlfn.LET(_xlpm.produto,TRIM(F3173)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3" s="516" cm="1">
        <f t="array" aca="1" ref="J3173" ca="1">IFERROR(_xlfn.LET(_xlpm.produto,TRIM(G3173)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4" spans="3:10" x14ac:dyDescent="0.25">
      <c r="C3174" s="452" t="s">
        <v>173</v>
      </c>
      <c r="D3174" s="449">
        <f t="shared" si="237"/>
        <v>46156</v>
      </c>
      <c r="E3174" s="503" t="s">
        <v>583</v>
      </c>
      <c r="F3174" s="506"/>
      <c r="G3174" s="506"/>
      <c r="H3174" s="516"/>
      <c r="I3174" s="516" cm="1">
        <f t="array" aca="1" ref="I3174" ca="1">IFERROR(_xlfn.LET(_xlpm.produto,TRIM(F3174)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4" s="516" cm="1">
        <f t="array" aca="1" ref="J3174" ca="1">IFERROR(_xlfn.LET(_xlpm.produto,TRIM(G3174)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5" spans="3:10" ht="15.75" thickBot="1" x14ac:dyDescent="0.3">
      <c r="C3175" s="530" t="s">
        <v>173</v>
      </c>
      <c r="D3175" s="451">
        <f t="shared" si="237"/>
        <v>46156</v>
      </c>
      <c r="E3175" s="459" t="s">
        <v>584</v>
      </c>
      <c r="F3175" s="493"/>
      <c r="G3175" s="493"/>
      <c r="H3175" s="513"/>
      <c r="I3175" s="513" cm="1">
        <f t="array" aca="1" ref="I3175" ca="1">IFERROR(_xlfn.LET(_xlpm.produto,TRIM(F3175)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5" s="513" cm="1">
        <f t="array" aca="1" ref="J3175" ca="1">IFERROR(_xlfn.LET(_xlpm.produto,TRIM(G3175)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6" spans="3:10" ht="15.75" thickBot="1" x14ac:dyDescent="0.3">
      <c r="I3176" s="608"/>
      <c r="J3176" s="608"/>
    </row>
    <row r="3177" spans="3:10" ht="15.75" thickBot="1" x14ac:dyDescent="0.3">
      <c r="C3177" s="546">
        <f ca="1">SUM(I3105:K3105,I3123:K3123,I3141:K3141,I3159:K3159,I3177:K3177)</f>
        <v>47686.666666666672</v>
      </c>
      <c r="D3177" s="547">
        <f>SUM(P3177,P3159,P3141,P3123,P3105)</f>
        <v>0</v>
      </c>
      <c r="E3177" s="539"/>
      <c r="F3177" s="539"/>
      <c r="G3177" s="539"/>
      <c r="H3177" s="539"/>
      <c r="I3177" s="606">
        <f t="shared" ref="I3177:J3177" ca="1" si="240">_xlfn.AGGREGATE(9,6,I3178:I3193)</f>
        <v>5660</v>
      </c>
      <c r="J3177" s="607">
        <f t="shared" ca="1" si="240"/>
        <v>5152</v>
      </c>
    </row>
    <row r="3178" spans="3:10" x14ac:dyDescent="0.25">
      <c r="C3178" s="529" t="s">
        <v>174</v>
      </c>
      <c r="D3178" s="447">
        <f>D3175+1</f>
        <v>46157</v>
      </c>
      <c r="E3178" s="498" t="s">
        <v>573</v>
      </c>
      <c r="F3178" s="514"/>
      <c r="G3178" s="514"/>
      <c r="H3178" s="515"/>
      <c r="I3178" s="537" cm="1">
        <f t="array" aca="1" ref="I3178" ca="1">IFERROR(_xlfn.LET(_xlpm.produto,TRIM(F3178)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78" s="537" cm="1">
        <f t="array" aca="1" ref="J3178" ca="1">IFERROR(_xlfn.LET(_xlpm.produto,TRIM(G3178)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79" spans="3:10" x14ac:dyDescent="0.25">
      <c r="C3179" s="452" t="s">
        <v>174</v>
      </c>
      <c r="D3179" s="453">
        <f t="shared" ref="D3179:D3193" si="241">D3178</f>
        <v>46157</v>
      </c>
      <c r="E3179" s="500" t="s">
        <v>162</v>
      </c>
      <c r="F3179" s="460" t="s">
        <v>1746</v>
      </c>
      <c r="G3179" s="460" t="s">
        <v>1739</v>
      </c>
      <c r="H3179" s="461"/>
      <c r="I3179" s="540">
        <f t="shared" ref="I3179" si="242">10000/15</f>
        <v>666.66666666666663</v>
      </c>
      <c r="J3179" s="540">
        <v>644</v>
      </c>
    </row>
    <row r="3180" spans="3:10" x14ac:dyDescent="0.25">
      <c r="C3180" s="452" t="s">
        <v>174</v>
      </c>
      <c r="D3180" s="453">
        <f t="shared" si="241"/>
        <v>46157</v>
      </c>
      <c r="E3180" s="454" t="s">
        <v>163</v>
      </c>
      <c r="F3180" s="460" t="s">
        <v>1746</v>
      </c>
      <c r="G3180" s="460" t="s">
        <v>1739</v>
      </c>
      <c r="H3180" s="460"/>
      <c r="I3180" s="540">
        <f>10000/15</f>
        <v>666.66666666666663</v>
      </c>
      <c r="J3180" s="540">
        <v>644</v>
      </c>
    </row>
    <row r="3181" spans="3:10" x14ac:dyDescent="0.25">
      <c r="C3181" s="452" t="s">
        <v>174</v>
      </c>
      <c r="D3181" s="453">
        <f t="shared" si="241"/>
        <v>46157</v>
      </c>
      <c r="E3181" s="454" t="s">
        <v>164</v>
      </c>
      <c r="F3181" s="460" t="s">
        <v>1746</v>
      </c>
      <c r="G3181" s="460" t="s">
        <v>1739</v>
      </c>
      <c r="H3181" s="460"/>
      <c r="I3181" s="540">
        <f>10000/15</f>
        <v>666.66666666666663</v>
      </c>
      <c r="J3181" s="540">
        <v>644</v>
      </c>
    </row>
    <row r="3182" spans="3:10" x14ac:dyDescent="0.25">
      <c r="C3182" s="452" t="s">
        <v>174</v>
      </c>
      <c r="D3182" s="453">
        <f t="shared" si="241"/>
        <v>46157</v>
      </c>
      <c r="E3182" s="454" t="s">
        <v>165</v>
      </c>
      <c r="F3182" s="460" t="s">
        <v>1746</v>
      </c>
      <c r="G3182" s="460" t="s">
        <v>1739</v>
      </c>
      <c r="H3182" s="460"/>
      <c r="I3182" s="540">
        <f>10000/15</f>
        <v>666.66666666666663</v>
      </c>
      <c r="J3182" s="540">
        <v>644</v>
      </c>
    </row>
    <row r="3183" spans="3:10" x14ac:dyDescent="0.25">
      <c r="C3183" s="452" t="s">
        <v>174</v>
      </c>
      <c r="D3183" s="453">
        <f t="shared" si="241"/>
        <v>46157</v>
      </c>
      <c r="E3183" s="454" t="s">
        <v>166</v>
      </c>
      <c r="F3183" s="460" t="s">
        <v>1746</v>
      </c>
      <c r="G3183" s="460" t="s">
        <v>1739</v>
      </c>
      <c r="H3183" s="460"/>
      <c r="I3183" s="540">
        <f>10000/15</f>
        <v>666.66666666666663</v>
      </c>
      <c r="J3183" s="540">
        <v>644</v>
      </c>
    </row>
    <row r="3184" spans="3:10" x14ac:dyDescent="0.25">
      <c r="C3184" s="452" t="s">
        <v>174</v>
      </c>
      <c r="D3184" s="453">
        <f t="shared" si="241"/>
        <v>46157</v>
      </c>
      <c r="E3184" s="454" t="s">
        <v>576</v>
      </c>
      <c r="F3184" s="517"/>
      <c r="G3184" s="512"/>
      <c r="H3184" s="505"/>
      <c r="I3184" s="554" cm="1">
        <f t="array" aca="1" ref="I3184" ca="1">IFERROR(_xlfn.LET(_xlpm.produto,TRIM(F3184)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84" s="554" cm="1">
        <f t="array" aca="1" ref="J3184" ca="1">IFERROR(_xlfn.LET(_xlpm.produto,TRIM(G3184)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85" spans="3:23" x14ac:dyDescent="0.25">
      <c r="C3185" s="452" t="s">
        <v>174</v>
      </c>
      <c r="D3185" s="449">
        <f t="shared" si="241"/>
        <v>46157</v>
      </c>
      <c r="E3185" s="454" t="s">
        <v>167</v>
      </c>
      <c r="F3185" s="460" t="s">
        <v>1746</v>
      </c>
      <c r="G3185" s="460" t="s">
        <v>1739</v>
      </c>
      <c r="H3185" s="461"/>
      <c r="I3185" s="540">
        <f>10000/15</f>
        <v>666.66666666666663</v>
      </c>
      <c r="J3185" s="540">
        <v>644</v>
      </c>
    </row>
    <row r="3186" spans="3:23" x14ac:dyDescent="0.25">
      <c r="C3186" s="452" t="s">
        <v>174</v>
      </c>
      <c r="D3186" s="449">
        <f t="shared" si="241"/>
        <v>46157</v>
      </c>
      <c r="E3186" s="454" t="s">
        <v>168</v>
      </c>
      <c r="F3186" s="460" t="s">
        <v>1756</v>
      </c>
      <c r="G3186" s="460" t="s">
        <v>1739</v>
      </c>
      <c r="H3186" s="461"/>
      <c r="I3186" s="540">
        <v>830</v>
      </c>
      <c r="J3186" s="540">
        <v>644</v>
      </c>
    </row>
    <row r="3187" spans="3:23" x14ac:dyDescent="0.25">
      <c r="C3187" s="452" t="s">
        <v>174</v>
      </c>
      <c r="D3187" s="449">
        <f t="shared" si="241"/>
        <v>46157</v>
      </c>
      <c r="E3187" s="454" t="s">
        <v>169</v>
      </c>
      <c r="F3187" s="460" t="s">
        <v>1756</v>
      </c>
      <c r="G3187" s="460" t="s">
        <v>1739</v>
      </c>
      <c r="H3187" s="461"/>
      <c r="I3187" s="540">
        <v>830</v>
      </c>
      <c r="J3187" s="540">
        <v>644</v>
      </c>
    </row>
    <row r="3188" spans="3:23" x14ac:dyDescent="0.25">
      <c r="C3188" s="452" t="s">
        <v>174</v>
      </c>
      <c r="D3188" s="449">
        <f t="shared" si="241"/>
        <v>46157</v>
      </c>
      <c r="E3188" s="454" t="s">
        <v>170</v>
      </c>
      <c r="F3188" s="505"/>
      <c r="G3188" s="505"/>
      <c r="H3188" s="516"/>
      <c r="I3188" s="516" cm="1">
        <f t="array" aca="1" ref="I3188" ca="1">IFERROR(_xlfn.LET(_xlpm.produto,TRIM(F3188)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88" s="516" cm="1">
        <f t="array" aca="1" ref="J3188" ca="1">IFERROR(_xlfn.LET(_xlpm.produto,TRIM(G3188)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89" spans="3:23" x14ac:dyDescent="0.25">
      <c r="C3189" s="452" t="s">
        <v>174</v>
      </c>
      <c r="D3189" s="449">
        <f t="shared" si="241"/>
        <v>46157</v>
      </c>
      <c r="E3189" s="454" t="s">
        <v>585</v>
      </c>
      <c r="F3189" s="505"/>
      <c r="G3189" s="505"/>
      <c r="H3189" s="516"/>
      <c r="I3189" s="516" cm="1">
        <f t="array" aca="1" ref="I3189" ca="1">IFERROR(_xlfn.LET(_xlpm.produto,TRIM(F3189)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89" s="516" cm="1">
        <f t="array" aca="1" ref="J3189" ca="1">IFERROR(_xlfn.LET(_xlpm.produto,TRIM(G3189)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90" spans="3:23" x14ac:dyDescent="0.25">
      <c r="C3190" s="452" t="s">
        <v>174</v>
      </c>
      <c r="D3190" s="449">
        <f t="shared" si="241"/>
        <v>46157</v>
      </c>
      <c r="E3190" s="455" t="s">
        <v>574</v>
      </c>
      <c r="F3190" s="505"/>
      <c r="G3190" s="505"/>
      <c r="H3190" s="516"/>
      <c r="I3190" s="516" cm="1">
        <f t="array" aca="1" ref="I3190" ca="1">IFERROR(_xlfn.LET(_xlpm.produto,TRIM(F3190)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90" s="516" cm="1">
        <f t="array" aca="1" ref="J3190" ca="1">IFERROR(_xlfn.LET(_xlpm.produto,TRIM(G3190)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91" spans="3:23" x14ac:dyDescent="0.25">
      <c r="C3191" s="452" t="s">
        <v>174</v>
      </c>
      <c r="D3191" s="449">
        <f t="shared" si="241"/>
        <v>46157</v>
      </c>
      <c r="E3191" s="455" t="s">
        <v>575</v>
      </c>
      <c r="F3191" s="506"/>
      <c r="G3191" s="506"/>
      <c r="H3191" s="516"/>
      <c r="I3191" s="516" cm="1">
        <f t="array" aca="1" ref="I3191" ca="1">IFERROR(_xlfn.LET(_xlpm.produto,TRIM(F3191)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91" s="516" cm="1">
        <f t="array" aca="1" ref="J3191" ca="1">IFERROR(_xlfn.LET(_xlpm.produto,TRIM(G3191)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92" spans="3:23" x14ac:dyDescent="0.25">
      <c r="C3192" s="452" t="s">
        <v>174</v>
      </c>
      <c r="D3192" s="502">
        <f t="shared" si="241"/>
        <v>46157</v>
      </c>
      <c r="E3192" s="503" t="s">
        <v>583</v>
      </c>
      <c r="F3192" s="506"/>
      <c r="G3192" s="506"/>
      <c r="H3192" s="516"/>
      <c r="I3192" s="516" cm="1">
        <f t="array" aca="1" ref="I3192" ca="1">IFERROR(_xlfn.LET(_xlpm.produto,TRIM(F3192)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92" s="516" cm="1">
        <f t="array" aca="1" ref="J3192" ca="1">IFERROR(_xlfn.LET(_xlpm.produto,TRIM(G3192)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93" spans="3:23" ht="15.75" thickBot="1" x14ac:dyDescent="0.3">
      <c r="C3193" s="530" t="s">
        <v>174</v>
      </c>
      <c r="D3193" s="451">
        <f t="shared" si="241"/>
        <v>46157</v>
      </c>
      <c r="E3193" s="459" t="s">
        <v>584</v>
      </c>
      <c r="F3193" s="493"/>
      <c r="G3193" s="493"/>
      <c r="H3193" s="513"/>
      <c r="I3193" s="513" cm="1">
        <f t="array" aca="1" ref="I3193" ca="1">IFERROR(_xlfn.LET(_xlpm.produto,TRIM(F3193)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93" s="513" cm="1">
        <f t="array" aca="1" ref="J3193" ca="1">IFERROR(_xlfn.LET(_xlpm.produto,TRIM(G3193)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row>
    <row r="3194" spans="3:23" ht="31.5" customHeight="1" thickBot="1" x14ac:dyDescent="0.3"/>
    <row r="3195" spans="3:23" ht="15.75" thickBot="1" x14ac:dyDescent="0.3">
      <c r="C3195" s="538"/>
      <c r="D3195" s="539"/>
      <c r="E3195" s="539"/>
      <c r="F3195" s="539"/>
      <c r="G3195" s="539"/>
      <c r="H3195" s="539"/>
      <c r="I3195" s="606">
        <f t="shared" ref="I3195:N3195" ca="1" si="243">_xlfn.AGGREGATE(9,6,I3196:I3211)</f>
        <v>7470</v>
      </c>
      <c r="J3195" s="607">
        <f t="shared" ca="1" si="243"/>
        <v>5796</v>
      </c>
      <c r="K3195" s="544">
        <f t="shared" ca="1" si="243"/>
        <v>0</v>
      </c>
      <c r="L3195" s="560">
        <f t="shared" si="243"/>
        <v>0</v>
      </c>
      <c r="M3195" s="561">
        <f t="shared" si="243"/>
        <v>8578.08</v>
      </c>
      <c r="N3195" s="562">
        <f t="shared" si="243"/>
        <v>0</v>
      </c>
      <c r="O3195" s="548">
        <f ca="1">SUM(I3195:K3195)</f>
        <v>13266</v>
      </c>
      <c r="P3195" s="549">
        <f>SUM(L3195:N3195)</f>
        <v>8578.08</v>
      </c>
      <c r="Q3195" s="3"/>
      <c r="R3195" s="3"/>
      <c r="T3195" s="570" t="s">
        <v>437</v>
      </c>
      <c r="U3195" s="571" t="str">
        <f>"Qtd. Total "&amp;TEXT(D3196,"dd/mm/aaaa")&amp;" - "&amp;TEXT(D3268,"dd/mm/aaaa")</f>
        <v>Qtd. Total 18/05/2026 - 22/05/2026</v>
      </c>
      <c r="V3195" s="571" t="str">
        <f>"Produzido "&amp;TEXT(D3196,"dd/mm/aaaa")&amp;" - "&amp;TEXT(D3268,"dd/mm/aaaa")</f>
        <v>Produzido 18/05/2026 - 22/05/2026</v>
      </c>
      <c r="W3195" s="572" t="s">
        <v>1536</v>
      </c>
    </row>
    <row r="3196" spans="3:23" x14ac:dyDescent="0.25">
      <c r="C3196" s="496" t="s">
        <v>161</v>
      </c>
      <c r="D3196" s="507">
        <v>46160</v>
      </c>
      <c r="E3196" s="498" t="s">
        <v>573</v>
      </c>
      <c r="F3196" s="514"/>
      <c r="G3196" s="514"/>
      <c r="H3196" s="514"/>
      <c r="I3196" s="537" cm="1">
        <f t="array" aca="1" ref="I3196" ca="1">IFERROR(_xlfn.LET(_xlpm.produto,TRIM(F3196)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196" s="537" cm="1">
        <f t="array" aca="1" ref="J3196" ca="1">IFERROR(_xlfn.LET(_xlpm.produto,TRIM(G3196)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196" s="537" cm="1">
        <f t="array" aca="1" ref="K3196" ca="1">IFERROR(_xlfn.LET(_xlpm.produto,TRIM(H3196)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196" s="563"/>
      <c r="M3196" s="563"/>
      <c r="N3196" s="563"/>
      <c r="T3196" s="591" t="str" cm="1">
        <f t="array" aca="1" ref="T319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OUD NIGHT 200ML -  &gt; 05</v>
      </c>
      <c r="U3196" s="576">
        <f t="shared" ref="U3196:U3209" ca="1" si="244">_xlfn.LET(_xlpm.base,IF(ROW()&lt;95,7,IF(ROW()&lt;221,97,INT((ROW()-221)/90)*90+223)),_xlpm.h,IF(ROW()&lt;221,IF(ROW()&lt;95,88,124),88),_xlpm.rF,OFFSET(F$1,_xlpm.base-1,0,_xlpm.h,1),_xlpm.rG,OFFSET(G$1,_xlpm.base-1,0,_xlpm.h,1),_xlpm.rH,OFFSET(H$1,_xlpm.base-1,0,_xlpm.h,1),_xlpm.rI,OFFSET(I$1,_xlpm.base-1,0,_xlpm.h,1),_xlpm.rJ,OFFSET(J$1,_xlpm.base-1,0,_xlpm.h,1),_xlpm.rK,OFFSET(K$1,_xlpm.base-1,0,_xlpm.h,1),_xlpm.p,T3196,IF(_xlpm.p&lt;&gt;"",SUMIF(_xlpm.rF,_xlpm.p,_xlpm.rI)+SUMIF(_xlpm.rG,_xlpm.p,_xlpm.rJ)+SUMIF(_xlpm.rH,_xlpm.p,_xlpm.rK),""))</f>
        <v>4980</v>
      </c>
      <c r="V3196" s="585"/>
      <c r="W3196" s="581">
        <f ca="1">IFERROR(V3196*INDEX([2]Pedidos!$Q:$Q,MATCH(T3196,[2]Pedidos!$E:$E,0)),0)</f>
        <v>0</v>
      </c>
    </row>
    <row r="3197" spans="3:23" x14ac:dyDescent="0.25">
      <c r="C3197" s="525" t="s">
        <v>161</v>
      </c>
      <c r="D3197" s="453">
        <f t="shared" ref="D3197:D3211" si="245">D3196</f>
        <v>46160</v>
      </c>
      <c r="E3197" s="500" t="s">
        <v>162</v>
      </c>
      <c r="F3197" s="460" t="s">
        <v>1756</v>
      </c>
      <c r="G3197" s="460" t="s">
        <v>1740</v>
      </c>
      <c r="H3197" s="460"/>
      <c r="I3197" s="540">
        <v>830</v>
      </c>
      <c r="J3197" s="540">
        <v>644</v>
      </c>
      <c r="K3197" s="545"/>
      <c r="L3197" s="555" t="e">
        <f>I3197*INDEX([2]Pedidos!$Q:$Q,MATCH(F3197,[2]Pedidos!$E:$E,0))</f>
        <v>#N/A</v>
      </c>
      <c r="M3197" s="564">
        <f>J3197*INDEX([2]Pedidos!$Q:$Q,MATCH(G3197,[2]Pedidos!$E:$E,0))</f>
        <v>953.12</v>
      </c>
      <c r="N3197" s="555" t="e">
        <f>K3197*INDEX([2]Pedidos!$Q:$Q,MATCH(H3197,[2]Pedidos!$E:$E,0))</f>
        <v>#N/A</v>
      </c>
      <c r="T3197" s="592" t="str" cm="1">
        <f t="array" aca="1" ref="T319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ROSE MIRAGE 200ML -  &gt; 05</v>
      </c>
      <c r="U3197" s="576">
        <f t="shared" ca="1" si="244"/>
        <v>9130</v>
      </c>
      <c r="V3197" s="586"/>
      <c r="W3197" s="582">
        <f ca="1">IFERROR(V3197*INDEX([2]Pedidos!$Q:$Q,MATCH(T3197,[2]Pedidos!$E:$E,0)),0)</f>
        <v>0</v>
      </c>
    </row>
    <row r="3198" spans="3:23" x14ac:dyDescent="0.25">
      <c r="C3198" s="526" t="s">
        <v>161</v>
      </c>
      <c r="D3198" s="453">
        <f t="shared" si="245"/>
        <v>46160</v>
      </c>
      <c r="E3198" s="454" t="s">
        <v>163</v>
      </c>
      <c r="F3198" s="460" t="s">
        <v>1756</v>
      </c>
      <c r="G3198" s="460" t="s">
        <v>1740</v>
      </c>
      <c r="H3198" s="460"/>
      <c r="I3198" s="540">
        <v>830</v>
      </c>
      <c r="J3198" s="540">
        <v>644</v>
      </c>
      <c r="K3198" s="545"/>
      <c r="L3198" s="564" t="e">
        <f>I3198*INDEX([2]Pedidos!$Q:$Q,MATCH(F3198,[2]Pedidos!$E:$E,0))</f>
        <v>#N/A</v>
      </c>
      <c r="M3198" s="564">
        <f>J3198*INDEX([2]Pedidos!$Q:$Q,MATCH(G3198,[2]Pedidos!$E:$E,0))</f>
        <v>953.12</v>
      </c>
      <c r="N3198" s="564" t="e">
        <f>K3198*INDEX([2]Pedidos!$Q:$Q,MATCH(H3198,[2]Pedidos!$E:$E,0))</f>
        <v>#N/A</v>
      </c>
      <c r="T3198" s="591" t="str" cm="1">
        <f t="array" aca="1" ref="T319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RARO ELIXIR - 2 &gt; AMEERATI 01</v>
      </c>
      <c r="U3198" s="576">
        <f t="shared" ca="1" si="244"/>
        <v>1932</v>
      </c>
      <c r="V3198" s="586"/>
      <c r="W3198" s="582">
        <f ca="1">IFERROR(V3198*INDEX([2]Pedidos!$Q:$Q,MATCH(T3198,[2]Pedidos!$E:$E,0)),0)</f>
        <v>0</v>
      </c>
    </row>
    <row r="3199" spans="3:23" x14ac:dyDescent="0.25">
      <c r="C3199" s="526" t="s">
        <v>161</v>
      </c>
      <c r="D3199" s="453">
        <f t="shared" si="245"/>
        <v>46160</v>
      </c>
      <c r="E3199" s="454" t="s">
        <v>164</v>
      </c>
      <c r="F3199" s="460" t="s">
        <v>1756</v>
      </c>
      <c r="G3199" s="460" t="s">
        <v>1740</v>
      </c>
      <c r="H3199" s="460"/>
      <c r="I3199" s="540">
        <v>830</v>
      </c>
      <c r="J3199" s="540">
        <v>644</v>
      </c>
      <c r="K3199" s="545"/>
      <c r="L3199" s="564" t="e">
        <f>I3199*INDEX([2]Pedidos!$Q:$Q,MATCH(F3199,[2]Pedidos!$E:$E,0))</f>
        <v>#N/A</v>
      </c>
      <c r="M3199" s="564">
        <f>J3199*INDEX([2]Pedidos!$Q:$Q,MATCH(G3199,[2]Pedidos!$E:$E,0))</f>
        <v>953.12</v>
      </c>
      <c r="N3199" s="564" t="e">
        <f>K3199*INDEX([2]Pedidos!$Q:$Q,MATCH(H3199,[2]Pedidos!$E:$E,0))</f>
        <v>#N/A</v>
      </c>
      <c r="T3199" s="592" t="str" cm="1">
        <f t="array" aca="1" ref="T319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TESOURO DO OASIS - 2 &gt; AMEERATI 01</v>
      </c>
      <c r="U3199" s="576">
        <f t="shared" ca="1" si="244"/>
        <v>1932</v>
      </c>
      <c r="V3199" s="586"/>
      <c r="W3199" s="582">
        <f ca="1">IFERROR(V3199*INDEX([2]Pedidos!$Q:$Q,MATCH(T3199,[2]Pedidos!$E:$E,0)),0)</f>
        <v>0</v>
      </c>
    </row>
    <row r="3200" spans="3:23" x14ac:dyDescent="0.25">
      <c r="C3200" s="526" t="s">
        <v>161</v>
      </c>
      <c r="D3200" s="453">
        <f t="shared" si="245"/>
        <v>46160</v>
      </c>
      <c r="E3200" s="454" t="s">
        <v>165</v>
      </c>
      <c r="F3200" s="460" t="s">
        <v>1756</v>
      </c>
      <c r="G3200" s="460" t="s">
        <v>1741</v>
      </c>
      <c r="H3200" s="460"/>
      <c r="I3200" s="540">
        <v>830</v>
      </c>
      <c r="J3200" s="540">
        <v>644</v>
      </c>
      <c r="K3200" s="545"/>
      <c r="L3200" s="564" t="e">
        <f>I3200*INDEX([2]Pedidos!$Q:$Q,MATCH(F3200,[2]Pedidos!$E:$E,0))</f>
        <v>#N/A</v>
      </c>
      <c r="M3200" s="564">
        <f>J3200*INDEX([2]Pedidos!$Q:$Q,MATCH(G3200,[2]Pedidos!$E:$E,0))</f>
        <v>953.12</v>
      </c>
      <c r="N3200" s="564" t="e">
        <f>K3200*INDEX([2]Pedidos!$Q:$Q,MATCH(H3200,[2]Pedidos!$E:$E,0))</f>
        <v>#N/A</v>
      </c>
      <c r="T3200" s="591" t="str" cm="1">
        <f t="array" aca="1" ref="T3200"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FLOR DO DESERTO - 2 &gt; AMEERATI 01</v>
      </c>
      <c r="U3200" s="576">
        <f t="shared" ca="1" si="244"/>
        <v>1932</v>
      </c>
      <c r="V3200" s="586"/>
      <c r="W3200" s="582">
        <f ca="1">IFERROR(V3200*INDEX([2]Pedidos!$Q:$Q,MATCH(T3200,[2]Pedidos!$E:$E,0)),0)</f>
        <v>0</v>
      </c>
    </row>
    <row r="3201" spans="3:23" x14ac:dyDescent="0.25">
      <c r="C3201" s="526" t="s">
        <v>161</v>
      </c>
      <c r="D3201" s="453">
        <f t="shared" si="245"/>
        <v>46160</v>
      </c>
      <c r="E3201" s="454" t="s">
        <v>166</v>
      </c>
      <c r="F3201" s="460" t="s">
        <v>1756</v>
      </c>
      <c r="G3201" s="460" t="s">
        <v>1741</v>
      </c>
      <c r="H3201" s="460"/>
      <c r="I3201" s="540">
        <v>830</v>
      </c>
      <c r="J3201" s="540">
        <v>644</v>
      </c>
      <c r="K3201" s="545"/>
      <c r="L3201" s="564" t="e">
        <f>I3201*INDEX([2]Pedidos!$Q:$Q,MATCH(F3201,[2]Pedidos!$E:$E,0))</f>
        <v>#N/A</v>
      </c>
      <c r="M3201" s="564">
        <f>J3201*INDEX([2]Pedidos!$Q:$Q,MATCH(G3201,[2]Pedidos!$E:$E,0))</f>
        <v>953.12</v>
      </c>
      <c r="N3201" s="564" t="e">
        <f>K3201*INDEX([2]Pedidos!$Q:$Q,MATCH(H3201,[2]Pedidos!$E:$E,0))</f>
        <v>#N/A</v>
      </c>
      <c r="T3201" s="592" t="str" cm="1">
        <f t="array" aca="1" ref="T3201"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JARDINS DO ORIENTE - 2 &gt; AMEERATI 01</v>
      </c>
      <c r="U3201" s="576">
        <f t="shared" ca="1" si="244"/>
        <v>1932</v>
      </c>
      <c r="V3201" s="586"/>
      <c r="W3201" s="582">
        <f ca="1">IFERROR(V3201*INDEX([2]Pedidos!$Q:$Q,MATCH(T3201,[2]Pedidos!$E:$E,0)),0)</f>
        <v>0</v>
      </c>
    </row>
    <row r="3202" spans="3:23" x14ac:dyDescent="0.25">
      <c r="C3202" s="526" t="s">
        <v>161</v>
      </c>
      <c r="D3202" s="453">
        <f t="shared" si="245"/>
        <v>46160</v>
      </c>
      <c r="E3202" s="454" t="s">
        <v>576</v>
      </c>
      <c r="F3202" s="517"/>
      <c r="G3202" s="512"/>
      <c r="H3202" s="512"/>
      <c r="I3202" s="554" cm="1">
        <f t="array" aca="1" ref="I3202" ca="1">IFERROR(_xlfn.LET(_xlpm.produto,TRIM(F3202)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02" s="554" cm="1">
        <f t="array" aca="1" ref="J3202" ca="1">IFERROR(_xlfn.LET(_xlpm.produto,TRIM(G3202)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02" s="554" cm="1">
        <f t="array" aca="1" ref="K3202" ca="1">IFERROR(_xlfn.LET(_xlpm.produto,TRIM(H3202)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02" s="556"/>
      <c r="M3202" s="556"/>
      <c r="N3202" s="556"/>
      <c r="T3202" s="591" t="str" cm="1">
        <f t="array" aca="1" ref="T3202"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CREAM VERDE SUPREMO - 2 &gt; AMEERATI 01</v>
      </c>
      <c r="U3202" s="576">
        <f t="shared" ca="1" si="244"/>
        <v>1288</v>
      </c>
      <c r="V3202" s="586"/>
      <c r="W3202" s="582">
        <f ca="1">IFERROR(V3202*INDEX([2]Pedidos!$Q:$Q,MATCH(T3202,[2]Pedidos!$E:$E,0)),0)</f>
        <v>0</v>
      </c>
    </row>
    <row r="3203" spans="3:23" x14ac:dyDescent="0.25">
      <c r="C3203" s="527" t="s">
        <v>161</v>
      </c>
      <c r="D3203" s="449">
        <f t="shared" si="245"/>
        <v>46160</v>
      </c>
      <c r="E3203" s="454" t="s">
        <v>167</v>
      </c>
      <c r="F3203" s="460" t="s">
        <v>1756</v>
      </c>
      <c r="G3203" s="460" t="s">
        <v>1741</v>
      </c>
      <c r="H3203" s="460"/>
      <c r="I3203" s="540">
        <v>830</v>
      </c>
      <c r="J3203" s="540">
        <v>644</v>
      </c>
      <c r="K3203" s="545"/>
      <c r="L3203" s="565" t="e">
        <f>I3203*INDEX([2]Pedidos!$Q:$Q,MATCH(F3203,[2]Pedidos!$E:$E,0))</f>
        <v>#N/A</v>
      </c>
      <c r="M3203" s="564">
        <f>J3203*INDEX([2]Pedidos!$Q:$Q,MATCH(G3203,[2]Pedidos!$E:$E,0))</f>
        <v>953.12</v>
      </c>
      <c r="N3203" s="565" t="e">
        <f>K3203*INDEX([2]Pedidos!$Q:$Q,MATCH(H3203,[2]Pedidos!$E:$E,0))</f>
        <v>#N/A</v>
      </c>
      <c r="T3203" s="592" t="str" cm="1">
        <f t="array" aca="1" ref="T3203"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LEAO DO DESERTO BOURBON 200ml &gt; 0008</v>
      </c>
      <c r="U3203" s="576">
        <f t="shared" ca="1" si="244"/>
        <v>20750</v>
      </c>
      <c r="V3203" s="586"/>
      <c r="W3203" s="582">
        <f ca="1">IFERROR(V3203*INDEX([2]Pedidos!$Q:$Q,MATCH(T3203,[2]Pedidos!$E:$E,0)),0)</f>
        <v>0</v>
      </c>
    </row>
    <row r="3204" spans="3:23" x14ac:dyDescent="0.25">
      <c r="C3204" s="527" t="s">
        <v>161</v>
      </c>
      <c r="D3204" s="449">
        <f t="shared" si="245"/>
        <v>46160</v>
      </c>
      <c r="E3204" s="454" t="s">
        <v>168</v>
      </c>
      <c r="F3204" s="460" t="s">
        <v>1756</v>
      </c>
      <c r="G3204" s="460" t="s">
        <v>1742</v>
      </c>
      <c r="H3204" s="460"/>
      <c r="I3204" s="540">
        <v>830</v>
      </c>
      <c r="J3204" s="540">
        <v>644</v>
      </c>
      <c r="K3204" s="545"/>
      <c r="L3204" s="565" t="e">
        <f>I3204*INDEX([2]Pedidos!$Q:$Q,MATCH(F3204,[2]Pedidos!$E:$E,0))</f>
        <v>#N/A</v>
      </c>
      <c r="M3204" s="564">
        <f>J3204*INDEX([2]Pedidos!$Q:$Q,MATCH(G3204,[2]Pedidos!$E:$E,0))</f>
        <v>953.12</v>
      </c>
      <c r="N3204" s="565" t="e">
        <f>K3204*INDEX([2]Pedidos!$Q:$Q,MATCH(H3204,[2]Pedidos!$E:$E,0))</f>
        <v>#N/A</v>
      </c>
      <c r="T3204" s="591" t="str" cm="1">
        <f t="array" aca="1" ref="T3204"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BODY SPLASH CEU INFINITO 200ml &gt; 0008</v>
      </c>
      <c r="U3204" s="576">
        <f t="shared" ca="1" si="244"/>
        <v>4150</v>
      </c>
      <c r="V3204" s="586"/>
      <c r="W3204" s="582">
        <f ca="1">IFERROR(V3204*INDEX([2]Pedidos!$Q:$Q,MATCH(T3204,[2]Pedidos!$E:$E,0)),0)</f>
        <v>0</v>
      </c>
    </row>
    <row r="3205" spans="3:23" x14ac:dyDescent="0.25">
      <c r="C3205" s="527" t="s">
        <v>161</v>
      </c>
      <c r="D3205" s="449">
        <f t="shared" si="245"/>
        <v>46160</v>
      </c>
      <c r="E3205" s="454" t="s">
        <v>169</v>
      </c>
      <c r="F3205" s="460" t="s">
        <v>1756</v>
      </c>
      <c r="G3205" s="460" t="s">
        <v>1742</v>
      </c>
      <c r="H3205" s="460"/>
      <c r="I3205" s="540">
        <v>830</v>
      </c>
      <c r="J3205" s="540">
        <v>644</v>
      </c>
      <c r="K3205" s="545"/>
      <c r="L3205" s="565" t="e">
        <f>I3205*INDEX([2]Pedidos!$Q:$Q,MATCH(F3205,[2]Pedidos!$E:$E,0))</f>
        <v>#N/A</v>
      </c>
      <c r="M3205" s="564">
        <f>J3205*INDEX([2]Pedidos!$Q:$Q,MATCH(G3205,[2]Pedidos!$E:$E,0))</f>
        <v>953.12</v>
      </c>
      <c r="N3205" s="565" t="e">
        <f>K3205*INDEX([2]Pedidos!$Q:$Q,MATCH(H3205,[2]Pedidos!$E:$E,0))</f>
        <v>#N/A</v>
      </c>
      <c r="T3205" s="592" t="str" cm="1">
        <f t="array" aca="1" ref="T3205"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205" s="576" t="str">
        <f t="shared" ca="1" si="244"/>
        <v/>
      </c>
      <c r="V3205" s="586"/>
      <c r="W3205" s="582">
        <f ca="1">IFERROR(V3205*INDEX([2]Pedidos!$Q:$Q,MATCH(T3205,[2]Pedidos!$E:$E,0)),0)</f>
        <v>0</v>
      </c>
    </row>
    <row r="3206" spans="3:23" x14ac:dyDescent="0.25">
      <c r="C3206" s="527" t="s">
        <v>161</v>
      </c>
      <c r="D3206" s="453">
        <f t="shared" si="245"/>
        <v>46160</v>
      </c>
      <c r="E3206" s="454" t="s">
        <v>170</v>
      </c>
      <c r="F3206" s="460" t="s">
        <v>1756</v>
      </c>
      <c r="G3206" s="460" t="s">
        <v>1742</v>
      </c>
      <c r="H3206" s="460"/>
      <c r="I3206" s="540">
        <v>830</v>
      </c>
      <c r="J3206" s="540">
        <v>644</v>
      </c>
      <c r="K3206" s="545"/>
      <c r="L3206" s="566" t="e">
        <f>I3206*INDEX([2]Pedidos!$Q:$Q,MATCH(F3206,[2]Pedidos!$E:$E,0))</f>
        <v>#N/A</v>
      </c>
      <c r="M3206" s="564">
        <f>J3206*INDEX([2]Pedidos!$Q:$Q,MATCH(G3206,[2]Pedidos!$E:$E,0))</f>
        <v>953.12</v>
      </c>
      <c r="N3206" s="566" t="e">
        <f>K3206*INDEX([2]Pedidos!$Q:$Q,MATCH(H3206,[2]Pedidos!$E:$E,0))</f>
        <v>#N/A</v>
      </c>
      <c r="T3206" s="591" t="str" cm="1">
        <f t="array" aca="1" ref="T3206"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206" s="576" t="str">
        <f t="shared" ca="1" si="244"/>
        <v/>
      </c>
      <c r="V3206" s="586"/>
      <c r="W3206" s="582">
        <f ca="1">IFERROR(V3206*INDEX([2]Pedidos!$Q:$Q,MATCH(T3206,[2]Pedidos!$E:$E,0)),0)</f>
        <v>0</v>
      </c>
    </row>
    <row r="3207" spans="3:23" x14ac:dyDescent="0.25">
      <c r="C3207" s="527" t="s">
        <v>161</v>
      </c>
      <c r="D3207" s="453">
        <f t="shared" si="245"/>
        <v>46160</v>
      </c>
      <c r="E3207" s="454" t="s">
        <v>585</v>
      </c>
      <c r="F3207" s="505"/>
      <c r="G3207" s="505"/>
      <c r="H3207" s="505"/>
      <c r="I3207" s="516" cm="1">
        <f t="array" aca="1" ref="I3207" ca="1">IFERROR(_xlfn.LET(_xlpm.produto,TRIM(F3207)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07" s="516" cm="1">
        <f t="array" aca="1" ref="J3207" ca="1">IFERROR(_xlfn.LET(_xlpm.produto,TRIM(G3207)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07" s="516" cm="1">
        <f t="array" aca="1" ref="K3207" ca="1">IFERROR(_xlfn.LET(_xlpm.produto,TRIM(H3207)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07" s="557"/>
      <c r="M3207" s="557"/>
      <c r="N3207" s="557"/>
      <c r="T3207" s="592" t="str" cm="1">
        <f t="array" aca="1" ref="T3207"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207" s="576" t="str">
        <f t="shared" ca="1" si="244"/>
        <v/>
      </c>
      <c r="V3207" s="586"/>
      <c r="W3207" s="582">
        <f ca="1">IFERROR(V3207*INDEX([2]Pedidos!$Q:$Q,MATCH(T3207,[2]Pedidos!$E:$E,0)),0)</f>
        <v>0</v>
      </c>
    </row>
    <row r="3208" spans="3:23" x14ac:dyDescent="0.25">
      <c r="C3208" s="527" t="s">
        <v>161</v>
      </c>
      <c r="D3208" s="453">
        <f t="shared" si="245"/>
        <v>46160</v>
      </c>
      <c r="E3208" s="455" t="s">
        <v>574</v>
      </c>
      <c r="F3208" s="505"/>
      <c r="G3208" s="505"/>
      <c r="H3208" s="505"/>
      <c r="I3208" s="516" cm="1">
        <f t="array" aca="1" ref="I3208" ca="1">IFERROR(_xlfn.LET(_xlpm.produto,TRIM(F3208)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08" s="516" cm="1">
        <f t="array" aca="1" ref="J3208" ca="1">IFERROR(_xlfn.LET(_xlpm.produto,TRIM(G3208)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08" s="516" cm="1">
        <f t="array" aca="1" ref="K3208" ca="1">IFERROR(_xlfn.LET(_xlpm.produto,TRIM(H3208)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08" s="557"/>
      <c r="M3208" s="557"/>
      <c r="N3208" s="557"/>
      <c r="T3208" s="591" t="str" cm="1">
        <f t="array" aca="1" ref="T3208"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208" s="576" t="str">
        <f t="shared" ca="1" si="244"/>
        <v/>
      </c>
      <c r="V3208" s="586"/>
      <c r="W3208" s="582">
        <f ca="1">IFERROR(V3208*INDEX([2]Pedidos!$Q:$Q,MATCH(T3208,[2]Pedidos!$E:$E,0)),0)</f>
        <v>0</v>
      </c>
    </row>
    <row r="3209" spans="3:23" x14ac:dyDescent="0.25">
      <c r="C3209" s="527" t="s">
        <v>161</v>
      </c>
      <c r="D3209" s="453">
        <f t="shared" si="245"/>
        <v>46160</v>
      </c>
      <c r="E3209" s="455" t="s">
        <v>575</v>
      </c>
      <c r="F3209" s="506"/>
      <c r="G3209" s="506"/>
      <c r="H3209" s="506"/>
      <c r="I3209" s="516" cm="1">
        <f t="array" aca="1" ref="I3209" ca="1">IFERROR(_xlfn.LET(_xlpm.produto,TRIM(F3209)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09" s="516" cm="1">
        <f t="array" aca="1" ref="J3209" ca="1">IFERROR(_xlfn.LET(_xlpm.produto,TRIM(G3209)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09" s="516" cm="1">
        <f t="array" aca="1" ref="K3209" ca="1">IFERROR(_xlfn.LET(_xlpm.produto,TRIM(H3209)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09" s="557"/>
      <c r="M3209" s="557"/>
      <c r="N3209" s="557"/>
      <c r="T3209" s="592" t="str" cm="1">
        <f t="array" aca="1" ref="T3209" ca="1">_xlfn.LET(_xlpm.base,IF(ROW()&lt;95,7,IF(ROW()&lt;221,97,INT((ROW()-221)/90)*90+223)),_xlpm.h,IF(ROW()&lt;221,IF(ROW()&lt;95,88,124),88),_xlpm.n,ROW()-_xlpm.base+1,_xlpm.rF,OFFSET(F$1,_xlpm.base-1,0,_xlpm.h,1),_xlpm.rG,OFFSET(G$1,_xlpm.base-1,0,_xlpm.h,1),_xlpm.rH,OFFSET(H$1,_xlpm.base-1,0,_xlpm.h,1),IFERROR(INDEX(_xlfn.UNIQUE(_xlfn.VSTACK(IFERROR(_xlfn._xlws.FILTER(_xlpm.rF,_xlpm.rF&lt;&gt;""),""),IFERROR(_xlfn._xlws.FILTER(_xlpm.rG,_xlpm.rG&lt;&gt;""),""),IFERROR(_xlfn._xlws.FILTER(_xlpm.rH,_xlpm.rH&lt;&gt;""),""))),_xlpm.n),""))</f>
        <v/>
      </c>
      <c r="U3209" s="576" t="str">
        <f t="shared" ca="1" si="244"/>
        <v/>
      </c>
      <c r="V3209" s="587"/>
      <c r="W3209" s="583">
        <f ca="1">IFERROR(V3209*INDEX([2]Pedidos!$Q:$Q,MATCH(T3209,[2]Pedidos!$E:$E,0)),0)</f>
        <v>0</v>
      </c>
    </row>
    <row r="3210" spans="3:23" x14ac:dyDescent="0.25">
      <c r="C3210" s="527" t="s">
        <v>161</v>
      </c>
      <c r="D3210" s="453">
        <f t="shared" si="245"/>
        <v>46160</v>
      </c>
      <c r="E3210" s="503" t="s">
        <v>583</v>
      </c>
      <c r="F3210" s="506"/>
      <c r="G3210" s="506"/>
      <c r="H3210" s="506"/>
      <c r="I3210" s="516" cm="1">
        <f t="array" aca="1" ref="I3210" ca="1">IFERROR(_xlfn.LET(_xlpm.produto,TRIM(F3210)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10" s="516" cm="1">
        <f t="array" aca="1" ref="J3210" ca="1">IFERROR(_xlfn.LET(_xlpm.produto,TRIM(G3210)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10" s="516" cm="1">
        <f t="array" aca="1" ref="K3210" ca="1">IFERROR(_xlfn.LET(_xlpm.produto,TRIM(H3210)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10" s="557"/>
      <c r="M3210" s="557"/>
      <c r="N3210" s="557"/>
      <c r="T3210" s="573" t="s">
        <v>1521</v>
      </c>
      <c r="U3210" s="574">
        <f ca="1">SUM(U3196:U3209)</f>
        <v>48026</v>
      </c>
      <c r="V3210" s="574">
        <f>SUM(V3196:V3209)</f>
        <v>0</v>
      </c>
      <c r="W3210" s="584">
        <f ca="1">SUM(W3196:W3209)</f>
        <v>0</v>
      </c>
    </row>
    <row r="3211" spans="3:23" ht="15.75" thickBot="1" x14ac:dyDescent="0.3">
      <c r="C3211" s="528" t="s">
        <v>161</v>
      </c>
      <c r="D3211" s="451">
        <f t="shared" si="245"/>
        <v>46160</v>
      </c>
      <c r="E3211" s="459" t="s">
        <v>584</v>
      </c>
      <c r="F3211" s="493"/>
      <c r="G3211" s="493"/>
      <c r="H3211" s="493"/>
      <c r="I3211" s="513" cm="1">
        <f t="array" aca="1" ref="I3211" ca="1">IFERROR(_xlfn.LET(_xlpm.produto,TRIM(F3211)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11" s="513" cm="1">
        <f t="array" aca="1" ref="J3211" ca="1">IFERROR(_xlfn.LET(_xlpm.produto,TRIM(G3211)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11" s="513" cm="1">
        <f t="array" aca="1" ref="K3211" ca="1">IFERROR(_xlfn.LET(_xlpm.produto,TRIM(H3211)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11" s="558"/>
      <c r="M3211" s="558"/>
      <c r="N3211" s="558"/>
    </row>
    <row r="3212" spans="3:23" ht="15.75" thickBot="1" x14ac:dyDescent="0.3">
      <c r="I3212" s="445"/>
      <c r="J3212" s="445"/>
      <c r="L3212" s="559"/>
      <c r="M3212" s="559"/>
      <c r="N3212" s="559"/>
      <c r="Q3212" s="3"/>
      <c r="R3212" s="3"/>
    </row>
    <row r="3213" spans="3:23" ht="15.75" thickBot="1" x14ac:dyDescent="0.3">
      <c r="C3213" s="538"/>
      <c r="D3213" s="539"/>
      <c r="E3213" s="539"/>
      <c r="F3213" s="539"/>
      <c r="G3213" s="539"/>
      <c r="H3213" s="539"/>
      <c r="I3213" s="606">
        <f t="shared" ref="I3213:N3213" ca="1" si="246">_xlfn.AGGREGATE(9,6,I3214:I3229)</f>
        <v>7470</v>
      </c>
      <c r="J3213" s="607">
        <f t="shared" ca="1" si="246"/>
        <v>6540</v>
      </c>
      <c r="K3213" s="544">
        <f t="shared" ca="1" si="246"/>
        <v>0</v>
      </c>
      <c r="L3213" s="560">
        <f t="shared" si="246"/>
        <v>4681.2</v>
      </c>
      <c r="M3213" s="561">
        <f t="shared" si="246"/>
        <v>7587.6</v>
      </c>
      <c r="N3213" s="562">
        <f t="shared" si="246"/>
        <v>0</v>
      </c>
      <c r="O3213" s="548">
        <f ca="1">SUM(I3213:K3213)</f>
        <v>14010</v>
      </c>
      <c r="P3213" s="549">
        <f>SUM(L3213:N3213)</f>
        <v>12268.8</v>
      </c>
      <c r="Q3213" s="3"/>
      <c r="R3213" s="3"/>
    </row>
    <row r="3214" spans="3:23" x14ac:dyDescent="0.25">
      <c r="C3214" s="446" t="s">
        <v>171</v>
      </c>
      <c r="D3214" s="497">
        <f>D3211+1</f>
        <v>46161</v>
      </c>
      <c r="E3214" s="498" t="s">
        <v>573</v>
      </c>
      <c r="F3214" s="514"/>
      <c r="G3214" s="514"/>
      <c r="H3214" s="514"/>
      <c r="I3214" s="537" cm="1">
        <f t="array" aca="1" ref="I3214" ca="1">IFERROR(_xlfn.LET(_xlpm.produto,TRIM(F3214)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14" s="537" cm="1">
        <f t="array" aca="1" ref="J3214" ca="1">IFERROR(_xlfn.LET(_xlpm.produto,TRIM(G3214)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14" s="537" cm="1">
        <f t="array" aca="1" ref="K3214" ca="1">IFERROR(_xlfn.LET(_xlpm.produto,TRIM(H3214)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14" s="563"/>
      <c r="M3214" s="563"/>
      <c r="N3214" s="563"/>
    </row>
    <row r="3215" spans="3:23" x14ac:dyDescent="0.25">
      <c r="C3215" s="452" t="s">
        <v>171</v>
      </c>
      <c r="D3215" s="499">
        <f t="shared" ref="D3215:D3229" si="247">D3214</f>
        <v>46161</v>
      </c>
      <c r="E3215" s="500" t="s">
        <v>162</v>
      </c>
      <c r="F3215" s="460" t="s">
        <v>1756</v>
      </c>
      <c r="G3215" s="460" t="s">
        <v>1761</v>
      </c>
      <c r="H3215" s="460"/>
      <c r="I3215" s="540">
        <v>830</v>
      </c>
      <c r="J3215" s="540">
        <v>644</v>
      </c>
      <c r="K3215" s="545"/>
      <c r="L3215" s="555" t="e">
        <f>I3215*INDEX([2]Pedidos!$Q:$Q,MATCH(F3215,[2]Pedidos!$E:$E,0))</f>
        <v>#N/A</v>
      </c>
      <c r="M3215" s="564">
        <f>J3215*INDEX([2]Pedidos!$Q:$Q,MATCH(G3215,[2]Pedidos!$E:$E,0))</f>
        <v>953.12</v>
      </c>
      <c r="N3215" s="555" t="e">
        <f>K3215*INDEX([2]Pedidos!$Q:$Q,MATCH(H3215,[2]Pedidos!$E:$E,0))</f>
        <v>#N/A</v>
      </c>
    </row>
    <row r="3216" spans="3:23" x14ac:dyDescent="0.25">
      <c r="C3216" s="452" t="s">
        <v>171</v>
      </c>
      <c r="D3216" s="449">
        <f t="shared" si="247"/>
        <v>46161</v>
      </c>
      <c r="E3216" s="454" t="s">
        <v>163</v>
      </c>
      <c r="F3216" s="460" t="s">
        <v>1756</v>
      </c>
      <c r="G3216" s="460" t="s">
        <v>1761</v>
      </c>
      <c r="H3216" s="460"/>
      <c r="I3216" s="540">
        <v>830</v>
      </c>
      <c r="J3216" s="540">
        <v>644</v>
      </c>
      <c r="K3216" s="545"/>
      <c r="L3216" s="564" t="e">
        <f>I3216*INDEX([2]Pedidos!$Q:$Q,MATCH(F3216,[2]Pedidos!$E:$E,0))</f>
        <v>#N/A</v>
      </c>
      <c r="M3216" s="564">
        <f>J3216*INDEX([2]Pedidos!$Q:$Q,MATCH(G3216,[2]Pedidos!$E:$E,0))</f>
        <v>953.12</v>
      </c>
      <c r="N3216" s="564" t="e">
        <f>K3216*INDEX([2]Pedidos!$Q:$Q,MATCH(H3216,[2]Pedidos!$E:$E,0))</f>
        <v>#N/A</v>
      </c>
    </row>
    <row r="3217" spans="3:18" x14ac:dyDescent="0.25">
      <c r="C3217" s="452" t="s">
        <v>171</v>
      </c>
      <c r="D3217" s="449">
        <f t="shared" si="247"/>
        <v>46161</v>
      </c>
      <c r="E3217" s="454" t="s">
        <v>164</v>
      </c>
      <c r="F3217" s="460" t="s">
        <v>1781</v>
      </c>
      <c r="G3217" s="460" t="s">
        <v>1761</v>
      </c>
      <c r="H3217" s="460"/>
      <c r="I3217" s="540">
        <v>830</v>
      </c>
      <c r="J3217" s="540">
        <v>644</v>
      </c>
      <c r="K3217" s="545"/>
      <c r="L3217" s="564">
        <f>I3217*INDEX([2]Pedidos!$Q:$Q,MATCH(F3217,[2]Pedidos!$E:$E,0))</f>
        <v>423.3</v>
      </c>
      <c r="M3217" s="564">
        <f>J3217*INDEX([2]Pedidos!$Q:$Q,MATCH(G3217,[2]Pedidos!$E:$E,0))</f>
        <v>953.12</v>
      </c>
      <c r="N3217" s="564" t="e">
        <f>K3217*INDEX([2]Pedidos!$Q:$Q,MATCH(H3217,[2]Pedidos!$E:$E,0))</f>
        <v>#N/A</v>
      </c>
    </row>
    <row r="3218" spans="3:18" x14ac:dyDescent="0.25">
      <c r="C3218" s="452" t="s">
        <v>171</v>
      </c>
      <c r="D3218" s="449">
        <f t="shared" si="247"/>
        <v>46161</v>
      </c>
      <c r="E3218" s="454" t="s">
        <v>165</v>
      </c>
      <c r="F3218" s="460" t="s">
        <v>1781</v>
      </c>
      <c r="G3218" s="460" t="s">
        <v>1762</v>
      </c>
      <c r="H3218" s="460"/>
      <c r="I3218" s="540">
        <v>830</v>
      </c>
      <c r="J3218" s="540">
        <v>644</v>
      </c>
      <c r="K3218" s="545"/>
      <c r="L3218" s="564">
        <f>I3218*INDEX([2]Pedidos!$Q:$Q,MATCH(F3218,[2]Pedidos!$E:$E,0))</f>
        <v>423.3</v>
      </c>
      <c r="M3218" s="564">
        <f>J3218*INDEX([2]Pedidos!$Q:$Q,MATCH(G3218,[2]Pedidos!$E:$E,0))</f>
        <v>953.12</v>
      </c>
      <c r="N3218" s="564" t="e">
        <f>K3218*INDEX([2]Pedidos!$Q:$Q,MATCH(H3218,[2]Pedidos!$E:$E,0))</f>
        <v>#N/A</v>
      </c>
    </row>
    <row r="3219" spans="3:18" x14ac:dyDescent="0.25">
      <c r="C3219" s="452" t="s">
        <v>171</v>
      </c>
      <c r="D3219" s="449">
        <f t="shared" si="247"/>
        <v>46161</v>
      </c>
      <c r="E3219" s="454" t="s">
        <v>166</v>
      </c>
      <c r="F3219" s="460" t="s">
        <v>1781</v>
      </c>
      <c r="G3219" s="460" t="s">
        <v>1762</v>
      </c>
      <c r="H3219" s="460"/>
      <c r="I3219" s="540">
        <v>830</v>
      </c>
      <c r="J3219" s="540">
        <v>644</v>
      </c>
      <c r="K3219" s="545"/>
      <c r="L3219" s="564">
        <f>I3219*INDEX([2]Pedidos!$Q:$Q,MATCH(F3219,[2]Pedidos!$E:$E,0))</f>
        <v>423.3</v>
      </c>
      <c r="M3219" s="564">
        <f>J3219*INDEX([2]Pedidos!$Q:$Q,MATCH(G3219,[2]Pedidos!$E:$E,0))</f>
        <v>953.12</v>
      </c>
      <c r="N3219" s="564" t="e">
        <f>K3219*INDEX([2]Pedidos!$Q:$Q,MATCH(H3219,[2]Pedidos!$E:$E,0))</f>
        <v>#N/A</v>
      </c>
    </row>
    <row r="3220" spans="3:18" x14ac:dyDescent="0.25">
      <c r="C3220" s="452" t="s">
        <v>171</v>
      </c>
      <c r="D3220" s="449">
        <f t="shared" si="247"/>
        <v>46161</v>
      </c>
      <c r="E3220" s="454" t="s">
        <v>576</v>
      </c>
      <c r="F3220" s="517"/>
      <c r="G3220" s="512"/>
      <c r="H3220" s="512"/>
      <c r="I3220" s="554" cm="1">
        <f t="array" aca="1" ref="I3220" ca="1">IFERROR(_xlfn.LET(_xlpm.produto,TRIM(F3220)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0" s="554" cm="1">
        <f t="array" aca="1" ref="J3220" ca="1">IFERROR(_xlfn.LET(_xlpm.produto,TRIM(G3220)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0" s="554" cm="1">
        <f t="array" aca="1" ref="K3220" ca="1">IFERROR(_xlfn.LET(_xlpm.produto,TRIM(H3220)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0" s="556"/>
      <c r="M3220" s="556"/>
      <c r="N3220" s="556"/>
    </row>
    <row r="3221" spans="3:18" x14ac:dyDescent="0.25">
      <c r="C3221" s="452" t="s">
        <v>171</v>
      </c>
      <c r="D3221" s="449">
        <f t="shared" si="247"/>
        <v>46161</v>
      </c>
      <c r="E3221" s="454" t="s">
        <v>167</v>
      </c>
      <c r="F3221" s="460" t="s">
        <v>1781</v>
      </c>
      <c r="G3221" s="460" t="s">
        <v>1768</v>
      </c>
      <c r="H3221" s="460"/>
      <c r="I3221" s="540">
        <v>830</v>
      </c>
      <c r="J3221" s="540">
        <v>830</v>
      </c>
      <c r="K3221" s="545"/>
      <c r="L3221" s="565">
        <f>I3221*INDEX([2]Pedidos!$Q:$Q,MATCH(F3221,[2]Pedidos!$E:$E,0))</f>
        <v>423.3</v>
      </c>
      <c r="M3221" s="564">
        <f>J3221*INDEX([2]Pedidos!$Q:$Q,MATCH(G3221,[2]Pedidos!$E:$E,0))</f>
        <v>705.5</v>
      </c>
      <c r="N3221" s="565" t="e">
        <f>K3221*INDEX([2]Pedidos!$Q:$Q,MATCH(H3221,[2]Pedidos!$E:$E,0))</f>
        <v>#N/A</v>
      </c>
    </row>
    <row r="3222" spans="3:18" x14ac:dyDescent="0.25">
      <c r="C3222" s="452" t="s">
        <v>171</v>
      </c>
      <c r="D3222" s="449">
        <f t="shared" si="247"/>
        <v>46161</v>
      </c>
      <c r="E3222" s="454" t="s">
        <v>168</v>
      </c>
      <c r="F3222" s="460" t="s">
        <v>1763</v>
      </c>
      <c r="G3222" s="460" t="s">
        <v>1768</v>
      </c>
      <c r="H3222" s="460"/>
      <c r="I3222" s="540">
        <v>830</v>
      </c>
      <c r="J3222" s="540">
        <v>830</v>
      </c>
      <c r="K3222" s="545"/>
      <c r="L3222" s="565">
        <f>I3222*INDEX([2]Pedidos!$Q:$Q,MATCH(F3222,[2]Pedidos!$E:$E,0))</f>
        <v>996</v>
      </c>
      <c r="M3222" s="564">
        <f>J3222*INDEX([2]Pedidos!$Q:$Q,MATCH(G3222,[2]Pedidos!$E:$E,0))</f>
        <v>705.5</v>
      </c>
      <c r="N3222" s="565" t="e">
        <f>K3222*INDEX([2]Pedidos!$Q:$Q,MATCH(H3222,[2]Pedidos!$E:$E,0))</f>
        <v>#N/A</v>
      </c>
    </row>
    <row r="3223" spans="3:18" x14ac:dyDescent="0.25">
      <c r="C3223" s="452" t="s">
        <v>171</v>
      </c>
      <c r="D3223" s="449">
        <f t="shared" si="247"/>
        <v>46161</v>
      </c>
      <c r="E3223" s="454" t="s">
        <v>169</v>
      </c>
      <c r="F3223" s="460" t="s">
        <v>1763</v>
      </c>
      <c r="G3223" s="460" t="s">
        <v>1768</v>
      </c>
      <c r="H3223" s="460"/>
      <c r="I3223" s="540">
        <v>830</v>
      </c>
      <c r="J3223" s="540">
        <v>830</v>
      </c>
      <c r="K3223" s="545"/>
      <c r="L3223" s="565">
        <f>I3223*INDEX([2]Pedidos!$Q:$Q,MATCH(F3223,[2]Pedidos!$E:$E,0))</f>
        <v>996</v>
      </c>
      <c r="M3223" s="564">
        <f>J3223*INDEX([2]Pedidos!$Q:$Q,MATCH(G3223,[2]Pedidos!$E:$E,0))</f>
        <v>705.5</v>
      </c>
      <c r="N3223" s="565" t="e">
        <f>K3223*INDEX([2]Pedidos!$Q:$Q,MATCH(H3223,[2]Pedidos!$E:$E,0))</f>
        <v>#N/A</v>
      </c>
    </row>
    <row r="3224" spans="3:18" x14ac:dyDescent="0.25">
      <c r="C3224" s="452" t="s">
        <v>171</v>
      </c>
      <c r="D3224" s="449">
        <f t="shared" si="247"/>
        <v>46161</v>
      </c>
      <c r="E3224" s="454" t="s">
        <v>170</v>
      </c>
      <c r="F3224" s="460" t="s">
        <v>1763</v>
      </c>
      <c r="G3224" s="460" t="s">
        <v>1768</v>
      </c>
      <c r="H3224" s="460"/>
      <c r="I3224" s="540">
        <v>830</v>
      </c>
      <c r="J3224" s="540">
        <v>830</v>
      </c>
      <c r="K3224" s="545"/>
      <c r="L3224" s="566">
        <f>I3224*INDEX([2]Pedidos!$Q:$Q,MATCH(F3224,[2]Pedidos!$E:$E,0))</f>
        <v>996</v>
      </c>
      <c r="M3224" s="564">
        <f>J3224*INDEX([2]Pedidos!$Q:$Q,MATCH(G3224,[2]Pedidos!$E:$E,0))</f>
        <v>705.5</v>
      </c>
      <c r="N3224" s="566" t="e">
        <f>K3224*INDEX([2]Pedidos!$Q:$Q,MATCH(H3224,[2]Pedidos!$E:$E,0))</f>
        <v>#N/A</v>
      </c>
    </row>
    <row r="3225" spans="3:18" x14ac:dyDescent="0.25">
      <c r="C3225" s="452" t="s">
        <v>171</v>
      </c>
      <c r="D3225" s="449">
        <f t="shared" si="247"/>
        <v>46161</v>
      </c>
      <c r="E3225" s="454" t="s">
        <v>585</v>
      </c>
      <c r="F3225" s="505"/>
      <c r="G3225" s="505"/>
      <c r="H3225" s="516"/>
      <c r="I3225" s="516" cm="1">
        <f t="array" aca="1" ref="I3225" ca="1">IFERROR(_xlfn.LET(_xlpm.produto,TRIM(F3225)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5" s="516" cm="1">
        <f t="array" aca="1" ref="J3225" ca="1">IFERROR(_xlfn.LET(_xlpm.produto,TRIM(G3225)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5" s="516" cm="1">
        <f t="array" aca="1" ref="K3225" ca="1">IFERROR(_xlfn.LET(_xlpm.produto,TRIM(H3225)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5" s="557"/>
      <c r="M3225" s="557"/>
      <c r="N3225" s="557"/>
    </row>
    <row r="3226" spans="3:18" x14ac:dyDescent="0.25">
      <c r="C3226" s="448" t="s">
        <v>171</v>
      </c>
      <c r="D3226" s="449">
        <f t="shared" si="247"/>
        <v>46161</v>
      </c>
      <c r="E3226" s="455" t="s">
        <v>574</v>
      </c>
      <c r="F3226" s="505"/>
      <c r="G3226" s="505"/>
      <c r="H3226" s="516"/>
      <c r="I3226" s="516" cm="1">
        <f t="array" aca="1" ref="I3226" ca="1">IFERROR(_xlfn.LET(_xlpm.produto,TRIM(F3226)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6" s="516" cm="1">
        <f t="array" aca="1" ref="J3226" ca="1">IFERROR(_xlfn.LET(_xlpm.produto,TRIM(G3226)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6" s="516" cm="1">
        <f t="array" aca="1" ref="K3226" ca="1">IFERROR(_xlfn.LET(_xlpm.produto,TRIM(H3226)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6" s="557"/>
      <c r="M3226" s="557"/>
      <c r="N3226" s="557"/>
    </row>
    <row r="3227" spans="3:18" x14ac:dyDescent="0.25">
      <c r="C3227" s="448" t="s">
        <v>171</v>
      </c>
      <c r="D3227" s="449">
        <f t="shared" si="247"/>
        <v>46161</v>
      </c>
      <c r="E3227" s="455" t="s">
        <v>575</v>
      </c>
      <c r="F3227" s="506"/>
      <c r="G3227" s="506"/>
      <c r="H3227" s="516"/>
      <c r="I3227" s="516" cm="1">
        <f t="array" aca="1" ref="I3227" ca="1">IFERROR(_xlfn.LET(_xlpm.produto,TRIM(F3227)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7" s="516" cm="1">
        <f t="array" aca="1" ref="J3227" ca="1">IFERROR(_xlfn.LET(_xlpm.produto,TRIM(G3227)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7" s="516" cm="1">
        <f t="array" aca="1" ref="K3227" ca="1">IFERROR(_xlfn.LET(_xlpm.produto,TRIM(H3227)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7" s="557"/>
      <c r="M3227" s="557"/>
      <c r="N3227" s="557"/>
    </row>
    <row r="3228" spans="3:18" x14ac:dyDescent="0.25">
      <c r="C3228" s="448" t="s">
        <v>171</v>
      </c>
      <c r="D3228" s="449">
        <f t="shared" si="247"/>
        <v>46161</v>
      </c>
      <c r="E3228" s="503" t="s">
        <v>583</v>
      </c>
      <c r="F3228" s="506"/>
      <c r="G3228" s="506"/>
      <c r="H3228" s="516"/>
      <c r="I3228" s="516" cm="1">
        <f t="array" aca="1" ref="I3228" ca="1">IFERROR(_xlfn.LET(_xlpm.produto,TRIM(F3228)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8" s="516" cm="1">
        <f t="array" aca="1" ref="J3228" ca="1">IFERROR(_xlfn.LET(_xlpm.produto,TRIM(G3228)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8" s="516" cm="1">
        <f t="array" aca="1" ref="K3228" ca="1">IFERROR(_xlfn.LET(_xlpm.produto,TRIM(H3228)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8" s="557"/>
      <c r="M3228" s="557"/>
      <c r="N3228" s="557"/>
    </row>
    <row r="3229" spans="3:18" ht="15.75" thickBot="1" x14ac:dyDescent="0.3">
      <c r="C3229" s="450" t="s">
        <v>171</v>
      </c>
      <c r="D3229" s="451">
        <f t="shared" si="247"/>
        <v>46161</v>
      </c>
      <c r="E3229" s="459" t="s">
        <v>584</v>
      </c>
      <c r="F3229" s="493"/>
      <c r="G3229" s="493"/>
      <c r="H3229" s="513"/>
      <c r="I3229" s="513" cm="1">
        <f t="array" aca="1" ref="I3229" ca="1">IFERROR(_xlfn.LET(_xlpm.produto,TRIM(F3229)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29" s="513" cm="1">
        <f t="array" aca="1" ref="J3229" ca="1">IFERROR(_xlfn.LET(_xlpm.produto,TRIM(G3229)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29" s="513" cm="1">
        <f t="array" aca="1" ref="K3229" ca="1">IFERROR(_xlfn.LET(_xlpm.produto,TRIM(H3229)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29" s="558"/>
      <c r="M3229" s="558"/>
      <c r="N3229" s="558"/>
    </row>
    <row r="3230" spans="3:18" ht="15.75" thickBot="1" x14ac:dyDescent="0.3">
      <c r="I3230" s="445"/>
      <c r="J3230" s="445"/>
      <c r="L3230" s="559"/>
      <c r="M3230" s="559"/>
      <c r="N3230" s="559"/>
      <c r="Q3230" s="3"/>
      <c r="R3230" s="3"/>
    </row>
    <row r="3231" spans="3:18" ht="15.75" thickBot="1" x14ac:dyDescent="0.3">
      <c r="C3231" s="538"/>
      <c r="D3231" s="539"/>
      <c r="E3231" s="539"/>
      <c r="F3231" s="539"/>
      <c r="G3231" s="539"/>
      <c r="H3231" s="539"/>
      <c r="I3231" s="606">
        <f t="shared" ref="I3231:N3231" ca="1" si="248">_xlfn.AGGREGATE(9,6,I3232:I3247)</f>
        <v>7470</v>
      </c>
      <c r="J3231" s="607">
        <f t="shared" ca="1" si="248"/>
        <v>7470</v>
      </c>
      <c r="K3231" s="544">
        <f t="shared" ca="1" si="248"/>
        <v>0</v>
      </c>
      <c r="L3231" s="560">
        <f t="shared" si="248"/>
        <v>8964</v>
      </c>
      <c r="M3231" s="561">
        <f t="shared" si="248"/>
        <v>6349.5</v>
      </c>
      <c r="N3231" s="562">
        <f t="shared" si="248"/>
        <v>0</v>
      </c>
      <c r="O3231" s="548">
        <f ca="1">SUM(I3231:K3231)</f>
        <v>14940</v>
      </c>
      <c r="P3231" s="549">
        <f>SUM(L3231:N3231)</f>
        <v>15313.5</v>
      </c>
      <c r="Q3231" s="3"/>
      <c r="R3231" s="3"/>
    </row>
    <row r="3232" spans="3:18" x14ac:dyDescent="0.25">
      <c r="C3232" s="446" t="s">
        <v>172</v>
      </c>
      <c r="D3232" s="497">
        <f>D3229+1</f>
        <v>46162</v>
      </c>
      <c r="E3232" s="498" t="s">
        <v>573</v>
      </c>
      <c r="F3232" s="514"/>
      <c r="G3232" s="514"/>
      <c r="H3232" s="515"/>
      <c r="I3232" s="537" cm="1">
        <f t="array" aca="1" ref="I3232" ca="1">IFERROR(_xlfn.LET(_xlpm.produto,TRIM(F3232)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32" s="537" cm="1">
        <f t="array" aca="1" ref="J3232" ca="1">IFERROR(_xlfn.LET(_xlpm.produto,TRIM(G3232)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32" s="537" cm="1">
        <f t="array" aca="1" ref="K3232" ca="1">IFERROR(_xlfn.LET(_xlpm.produto,TRIM(H3232)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32" s="563"/>
      <c r="M3232" s="563"/>
      <c r="N3232" s="563"/>
    </row>
    <row r="3233" spans="3:18" x14ac:dyDescent="0.25">
      <c r="C3233" s="452" t="s">
        <v>172</v>
      </c>
      <c r="D3233" s="499">
        <f t="shared" ref="D3233:D3247" si="249">D3232</f>
        <v>46162</v>
      </c>
      <c r="E3233" s="500" t="s">
        <v>162</v>
      </c>
      <c r="F3233" s="460" t="s">
        <v>1763</v>
      </c>
      <c r="G3233" s="460" t="s">
        <v>1768</v>
      </c>
      <c r="H3233" s="460"/>
      <c r="I3233" s="540">
        <v>830</v>
      </c>
      <c r="J3233" s="540">
        <v>830</v>
      </c>
      <c r="K3233" s="540"/>
      <c r="L3233" s="555">
        <f>I3233*INDEX([2]Pedidos!$Q:$Q,MATCH(F3233,[2]Pedidos!$E:$E,0))</f>
        <v>996</v>
      </c>
      <c r="M3233" s="564">
        <f>J3233*INDEX([2]Pedidos!$Q:$Q,MATCH(G3233,[2]Pedidos!$E:$E,0))</f>
        <v>705.5</v>
      </c>
      <c r="N3233" s="555" t="e">
        <f>K3233*INDEX([2]Pedidos!$Q:$Q,MATCH(H3233,[2]Pedidos!$E:$E,0))</f>
        <v>#N/A</v>
      </c>
    </row>
    <row r="3234" spans="3:18" x14ac:dyDescent="0.25">
      <c r="C3234" s="452" t="s">
        <v>172</v>
      </c>
      <c r="D3234" s="449">
        <f t="shared" si="249"/>
        <v>46162</v>
      </c>
      <c r="E3234" s="454" t="s">
        <v>163</v>
      </c>
      <c r="F3234" s="460" t="s">
        <v>1763</v>
      </c>
      <c r="G3234" s="460" t="s">
        <v>1768</v>
      </c>
      <c r="H3234" s="460"/>
      <c r="I3234" s="540">
        <v>830</v>
      </c>
      <c r="J3234" s="540">
        <v>830</v>
      </c>
      <c r="K3234" s="540"/>
      <c r="L3234" s="564">
        <f>I3234*INDEX([2]Pedidos!$Q:$Q,MATCH(F3234,[2]Pedidos!$E:$E,0))</f>
        <v>996</v>
      </c>
      <c r="M3234" s="564">
        <f>J3234*INDEX([2]Pedidos!$Q:$Q,MATCH(G3234,[2]Pedidos!$E:$E,0))</f>
        <v>705.5</v>
      </c>
      <c r="N3234" s="564" t="e">
        <f>K3234*INDEX([2]Pedidos!$Q:$Q,MATCH(H3234,[2]Pedidos!$E:$E,0))</f>
        <v>#N/A</v>
      </c>
    </row>
    <row r="3235" spans="3:18" x14ac:dyDescent="0.25">
      <c r="C3235" s="452" t="s">
        <v>172</v>
      </c>
      <c r="D3235" s="449">
        <f t="shared" si="249"/>
        <v>46162</v>
      </c>
      <c r="E3235" s="454" t="s">
        <v>164</v>
      </c>
      <c r="F3235" s="460" t="s">
        <v>1763</v>
      </c>
      <c r="G3235" s="460" t="s">
        <v>1768</v>
      </c>
      <c r="H3235" s="460"/>
      <c r="I3235" s="540">
        <v>830</v>
      </c>
      <c r="J3235" s="540">
        <v>830</v>
      </c>
      <c r="K3235" s="540"/>
      <c r="L3235" s="564">
        <f>I3235*INDEX([2]Pedidos!$Q:$Q,MATCH(F3235,[2]Pedidos!$E:$E,0))</f>
        <v>996</v>
      </c>
      <c r="M3235" s="564">
        <f>J3235*INDEX([2]Pedidos!$Q:$Q,MATCH(G3235,[2]Pedidos!$E:$E,0))</f>
        <v>705.5</v>
      </c>
      <c r="N3235" s="564" t="e">
        <f>K3235*INDEX([2]Pedidos!$Q:$Q,MATCH(H3235,[2]Pedidos!$E:$E,0))</f>
        <v>#N/A</v>
      </c>
    </row>
    <row r="3236" spans="3:18" x14ac:dyDescent="0.25">
      <c r="C3236" s="452" t="s">
        <v>172</v>
      </c>
      <c r="D3236" s="449">
        <f t="shared" si="249"/>
        <v>46162</v>
      </c>
      <c r="E3236" s="454" t="s">
        <v>165</v>
      </c>
      <c r="F3236" s="460" t="s">
        <v>1763</v>
      </c>
      <c r="G3236" s="460" t="s">
        <v>1768</v>
      </c>
      <c r="H3236" s="460"/>
      <c r="I3236" s="540">
        <v>830</v>
      </c>
      <c r="J3236" s="540">
        <v>830</v>
      </c>
      <c r="K3236" s="540"/>
      <c r="L3236" s="564">
        <f>I3236*INDEX([2]Pedidos!$Q:$Q,MATCH(F3236,[2]Pedidos!$E:$E,0))</f>
        <v>996</v>
      </c>
      <c r="M3236" s="564">
        <f>J3236*INDEX([2]Pedidos!$Q:$Q,MATCH(G3236,[2]Pedidos!$E:$E,0))</f>
        <v>705.5</v>
      </c>
      <c r="N3236" s="564" t="e">
        <f>K3236*INDEX([2]Pedidos!$Q:$Q,MATCH(H3236,[2]Pedidos!$E:$E,0))</f>
        <v>#N/A</v>
      </c>
    </row>
    <row r="3237" spans="3:18" x14ac:dyDescent="0.25">
      <c r="C3237" s="452" t="s">
        <v>172</v>
      </c>
      <c r="D3237" s="449">
        <f t="shared" si="249"/>
        <v>46162</v>
      </c>
      <c r="E3237" s="454" t="s">
        <v>166</v>
      </c>
      <c r="F3237" s="460" t="s">
        <v>1763</v>
      </c>
      <c r="G3237" s="460" t="s">
        <v>1768</v>
      </c>
      <c r="H3237" s="460"/>
      <c r="I3237" s="540">
        <v>830</v>
      </c>
      <c r="J3237" s="540">
        <v>830</v>
      </c>
      <c r="K3237" s="540"/>
      <c r="L3237" s="564">
        <f>I3237*INDEX([2]Pedidos!$Q:$Q,MATCH(F3237,[2]Pedidos!$E:$E,0))</f>
        <v>996</v>
      </c>
      <c r="M3237" s="564">
        <f>J3237*INDEX([2]Pedidos!$Q:$Q,MATCH(G3237,[2]Pedidos!$E:$E,0))</f>
        <v>705.5</v>
      </c>
      <c r="N3237" s="564" t="e">
        <f>K3237*INDEX([2]Pedidos!$Q:$Q,MATCH(H3237,[2]Pedidos!$E:$E,0))</f>
        <v>#N/A</v>
      </c>
    </row>
    <row r="3238" spans="3:18" x14ac:dyDescent="0.25">
      <c r="C3238" s="452" t="s">
        <v>172</v>
      </c>
      <c r="D3238" s="449">
        <f t="shared" si="249"/>
        <v>46162</v>
      </c>
      <c r="E3238" s="454" t="s">
        <v>576</v>
      </c>
      <c r="F3238" s="517"/>
      <c r="G3238" s="512"/>
      <c r="H3238" s="512"/>
      <c r="I3238" s="554" cm="1">
        <f t="array" aca="1" ref="I3238" ca="1">IFERROR(_xlfn.LET(_xlpm.produto,TRIM(F3238)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38" s="554" cm="1">
        <f t="array" aca="1" ref="J3238" ca="1">IFERROR(_xlfn.LET(_xlpm.produto,TRIM(G3238)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38" s="554" cm="1">
        <f t="array" aca="1" ref="K3238" ca="1">IFERROR(_xlfn.LET(_xlpm.produto,TRIM(H3238)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38" s="556"/>
      <c r="M3238" s="556"/>
      <c r="N3238" s="556"/>
    </row>
    <row r="3239" spans="3:18" x14ac:dyDescent="0.25">
      <c r="C3239" s="452" t="s">
        <v>172</v>
      </c>
      <c r="D3239" s="449">
        <f t="shared" si="249"/>
        <v>46162</v>
      </c>
      <c r="E3239" s="454" t="s">
        <v>167</v>
      </c>
      <c r="F3239" s="460" t="s">
        <v>1763</v>
      </c>
      <c r="G3239" s="460" t="s">
        <v>1768</v>
      </c>
      <c r="H3239" s="460"/>
      <c r="I3239" s="540">
        <v>830</v>
      </c>
      <c r="J3239" s="540">
        <v>830</v>
      </c>
      <c r="K3239" s="540"/>
      <c r="L3239" s="565">
        <f>I3239*INDEX([2]Pedidos!$Q:$Q,MATCH(F3239,[2]Pedidos!$E:$E,0))</f>
        <v>996</v>
      </c>
      <c r="M3239" s="564">
        <f>J3239*INDEX([2]Pedidos!$Q:$Q,MATCH(G3239,[2]Pedidos!$E:$E,0))</f>
        <v>705.5</v>
      </c>
      <c r="N3239" s="565" t="e">
        <f>K3239*INDEX([2]Pedidos!$Q:$Q,MATCH(H3239,[2]Pedidos!$E:$E,0))</f>
        <v>#N/A</v>
      </c>
    </row>
    <row r="3240" spans="3:18" x14ac:dyDescent="0.25">
      <c r="C3240" s="452" t="s">
        <v>172</v>
      </c>
      <c r="D3240" s="449">
        <f t="shared" si="249"/>
        <v>46162</v>
      </c>
      <c r="E3240" s="454" t="s">
        <v>168</v>
      </c>
      <c r="F3240" s="460" t="s">
        <v>1763</v>
      </c>
      <c r="G3240" s="460" t="s">
        <v>1768</v>
      </c>
      <c r="H3240" s="460"/>
      <c r="I3240" s="540">
        <v>830</v>
      </c>
      <c r="J3240" s="540">
        <v>830</v>
      </c>
      <c r="K3240" s="540"/>
      <c r="L3240" s="565">
        <f>I3240*INDEX([2]Pedidos!$Q:$Q,MATCH(F3240,[2]Pedidos!$E:$E,0))</f>
        <v>996</v>
      </c>
      <c r="M3240" s="564">
        <f>J3240*INDEX([2]Pedidos!$Q:$Q,MATCH(G3240,[2]Pedidos!$E:$E,0))</f>
        <v>705.5</v>
      </c>
      <c r="N3240" s="565" t="e">
        <f>K3240*INDEX([2]Pedidos!$Q:$Q,MATCH(H3240,[2]Pedidos!$E:$E,0))</f>
        <v>#N/A</v>
      </c>
    </row>
    <row r="3241" spans="3:18" x14ac:dyDescent="0.25">
      <c r="C3241" s="452" t="s">
        <v>172</v>
      </c>
      <c r="D3241" s="449">
        <f t="shared" si="249"/>
        <v>46162</v>
      </c>
      <c r="E3241" s="454" t="s">
        <v>169</v>
      </c>
      <c r="F3241" s="460" t="s">
        <v>1763</v>
      </c>
      <c r="G3241" s="460" t="s">
        <v>1768</v>
      </c>
      <c r="H3241" s="460"/>
      <c r="I3241" s="540">
        <v>830</v>
      </c>
      <c r="J3241" s="540">
        <v>830</v>
      </c>
      <c r="K3241" s="540"/>
      <c r="L3241" s="565">
        <f>I3241*INDEX([2]Pedidos!$Q:$Q,MATCH(F3241,[2]Pedidos!$E:$E,0))</f>
        <v>996</v>
      </c>
      <c r="M3241" s="564">
        <f>J3241*INDEX([2]Pedidos!$Q:$Q,MATCH(G3241,[2]Pedidos!$E:$E,0))</f>
        <v>705.5</v>
      </c>
      <c r="N3241" s="565" t="e">
        <f>K3241*INDEX([2]Pedidos!$Q:$Q,MATCH(H3241,[2]Pedidos!$E:$E,0))</f>
        <v>#N/A</v>
      </c>
    </row>
    <row r="3242" spans="3:18" x14ac:dyDescent="0.25">
      <c r="C3242" s="452" t="s">
        <v>172</v>
      </c>
      <c r="D3242" s="449">
        <f t="shared" si="249"/>
        <v>46162</v>
      </c>
      <c r="E3242" s="454" t="s">
        <v>170</v>
      </c>
      <c r="F3242" s="460" t="s">
        <v>1763</v>
      </c>
      <c r="G3242" s="460" t="s">
        <v>1768</v>
      </c>
      <c r="H3242" s="460"/>
      <c r="I3242" s="540">
        <v>830</v>
      </c>
      <c r="J3242" s="540">
        <v>830</v>
      </c>
      <c r="K3242" s="540"/>
      <c r="L3242" s="566">
        <f>I3242*INDEX([2]Pedidos!$Q:$Q,MATCH(F3242,[2]Pedidos!$E:$E,0))</f>
        <v>996</v>
      </c>
      <c r="M3242" s="564">
        <f>J3242*INDEX([2]Pedidos!$Q:$Q,MATCH(G3242,[2]Pedidos!$E:$E,0))</f>
        <v>705.5</v>
      </c>
      <c r="N3242" s="566" t="e">
        <f>K3242*INDEX([2]Pedidos!$Q:$Q,MATCH(H3242,[2]Pedidos!$E:$E,0))</f>
        <v>#N/A</v>
      </c>
    </row>
    <row r="3243" spans="3:18" x14ac:dyDescent="0.25">
      <c r="C3243" s="452" t="s">
        <v>172</v>
      </c>
      <c r="D3243" s="449">
        <f t="shared" si="249"/>
        <v>46162</v>
      </c>
      <c r="E3243" s="454" t="s">
        <v>585</v>
      </c>
      <c r="F3243" s="505"/>
      <c r="G3243" s="505"/>
      <c r="H3243" s="516"/>
      <c r="I3243" s="516" cm="1">
        <f t="array" aca="1" ref="I3243" ca="1">IFERROR(_xlfn.LET(_xlpm.produto,TRIM(F3243)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43" s="516" cm="1">
        <f t="array" aca="1" ref="J3243" ca="1">IFERROR(_xlfn.LET(_xlpm.produto,TRIM(G3243)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43" s="516" cm="1">
        <f t="array" aca="1" ref="K3243" ca="1">IFERROR(_xlfn.LET(_xlpm.produto,TRIM(H3243)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43" s="557"/>
      <c r="M3243" s="557"/>
      <c r="N3243" s="557"/>
    </row>
    <row r="3244" spans="3:18" x14ac:dyDescent="0.25">
      <c r="C3244" s="448" t="s">
        <v>172</v>
      </c>
      <c r="D3244" s="449">
        <f t="shared" si="249"/>
        <v>46162</v>
      </c>
      <c r="E3244" s="455" t="s">
        <v>574</v>
      </c>
      <c r="F3244" s="505"/>
      <c r="G3244" s="505"/>
      <c r="H3244" s="516"/>
      <c r="I3244" s="516" cm="1">
        <f t="array" aca="1" ref="I3244" ca="1">IFERROR(_xlfn.LET(_xlpm.produto,TRIM(F3244)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44" s="516" cm="1">
        <f t="array" aca="1" ref="J3244" ca="1">IFERROR(_xlfn.LET(_xlpm.produto,TRIM(G3244)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44" s="516" cm="1">
        <f t="array" aca="1" ref="K3244" ca="1">IFERROR(_xlfn.LET(_xlpm.produto,TRIM(H3244)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44" s="557"/>
      <c r="M3244" s="557"/>
      <c r="N3244" s="557"/>
    </row>
    <row r="3245" spans="3:18" x14ac:dyDescent="0.25">
      <c r="C3245" s="448" t="s">
        <v>172</v>
      </c>
      <c r="D3245" s="449">
        <f t="shared" si="249"/>
        <v>46162</v>
      </c>
      <c r="E3245" s="455" t="s">
        <v>575</v>
      </c>
      <c r="F3245" s="506"/>
      <c r="G3245" s="506"/>
      <c r="H3245" s="516"/>
      <c r="I3245" s="516" cm="1">
        <f t="array" aca="1" ref="I3245" ca="1">IFERROR(_xlfn.LET(_xlpm.produto,TRIM(F3245)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45" s="516" cm="1">
        <f t="array" aca="1" ref="J3245" ca="1">IFERROR(_xlfn.LET(_xlpm.produto,TRIM(G3245)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45" s="516" cm="1">
        <f t="array" aca="1" ref="K3245" ca="1">IFERROR(_xlfn.LET(_xlpm.produto,TRIM(H3245)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45" s="557"/>
      <c r="M3245" s="557"/>
      <c r="N3245" s="557"/>
    </row>
    <row r="3246" spans="3:18" x14ac:dyDescent="0.25">
      <c r="C3246" s="448" t="s">
        <v>172</v>
      </c>
      <c r="D3246" s="449">
        <f t="shared" si="249"/>
        <v>46162</v>
      </c>
      <c r="E3246" s="503" t="s">
        <v>583</v>
      </c>
      <c r="F3246" s="506"/>
      <c r="G3246" s="506"/>
      <c r="H3246" s="516"/>
      <c r="I3246" s="516" cm="1">
        <f t="array" aca="1" ref="I3246" ca="1">IFERROR(_xlfn.LET(_xlpm.produto,TRIM(F3246)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46" s="516" cm="1">
        <f t="array" aca="1" ref="J3246" ca="1">IFERROR(_xlfn.LET(_xlpm.produto,TRIM(G3246)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46" s="516" cm="1">
        <f t="array" aca="1" ref="K3246" ca="1">IFERROR(_xlfn.LET(_xlpm.produto,TRIM(H3246)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46" s="557"/>
      <c r="M3246" s="557"/>
      <c r="N3246" s="557"/>
    </row>
    <row r="3247" spans="3:18" ht="15.75" thickBot="1" x14ac:dyDescent="0.3">
      <c r="C3247" s="450" t="s">
        <v>172</v>
      </c>
      <c r="D3247" s="451">
        <f t="shared" si="249"/>
        <v>46162</v>
      </c>
      <c r="E3247" s="459" t="s">
        <v>584</v>
      </c>
      <c r="F3247" s="493"/>
      <c r="G3247" s="493"/>
      <c r="H3247" s="513"/>
      <c r="I3247" s="513" cm="1">
        <f t="array" aca="1" ref="I3247" ca="1">IFERROR(_xlfn.LET(_xlpm.produto,TRIM(F3247)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47" s="513" cm="1">
        <f t="array" aca="1" ref="J3247" ca="1">IFERROR(_xlfn.LET(_xlpm.produto,TRIM(G3247)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47" s="513" cm="1">
        <f t="array" aca="1" ref="K3247" ca="1">IFERROR(_xlfn.LET(_xlpm.produto,TRIM(H3247)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47" s="558"/>
      <c r="M3247" s="558"/>
      <c r="N3247" s="558"/>
    </row>
    <row r="3248" spans="3:18" ht="15.75" thickBot="1" x14ac:dyDescent="0.3">
      <c r="I3248" s="445"/>
      <c r="J3248" s="445"/>
      <c r="L3248" s="559"/>
      <c r="M3248" s="559"/>
      <c r="N3248" s="559"/>
      <c r="Q3248" s="3"/>
      <c r="R3248" s="3"/>
    </row>
    <row r="3249" spans="3:18" ht="15.75" thickBot="1" x14ac:dyDescent="0.3">
      <c r="C3249" s="538"/>
      <c r="D3249" s="539"/>
      <c r="E3249" s="539"/>
      <c r="F3249" s="539"/>
      <c r="G3249" s="539"/>
      <c r="H3249" s="539"/>
      <c r="I3249" s="606">
        <f t="shared" ref="I3249:N3249" ca="1" si="250">_xlfn.AGGREGATE(9,6,I3250:I3265)</f>
        <v>7470</v>
      </c>
      <c r="J3249" s="607">
        <f t="shared" ca="1" si="250"/>
        <v>7470</v>
      </c>
      <c r="K3249" s="544">
        <f t="shared" ca="1" si="250"/>
        <v>0</v>
      </c>
      <c r="L3249" s="560">
        <f t="shared" si="250"/>
        <v>8964</v>
      </c>
      <c r="M3249" s="561">
        <f t="shared" si="250"/>
        <v>6349.5</v>
      </c>
      <c r="N3249" s="562">
        <f t="shared" si="250"/>
        <v>0</v>
      </c>
      <c r="O3249" s="548">
        <f ca="1">SUM(I3249:K3249)</f>
        <v>14940</v>
      </c>
      <c r="P3249" s="549">
        <f>SUM(L3249:N3249)</f>
        <v>15313.5</v>
      </c>
      <c r="Q3249" s="3"/>
      <c r="R3249" s="3"/>
    </row>
    <row r="3250" spans="3:18" x14ac:dyDescent="0.25">
      <c r="C3250" s="529" t="s">
        <v>173</v>
      </c>
      <c r="D3250" s="447">
        <f>D3247+1</f>
        <v>46163</v>
      </c>
      <c r="E3250" s="498" t="s">
        <v>573</v>
      </c>
      <c r="F3250" s="514"/>
      <c r="G3250" s="514"/>
      <c r="H3250" s="515"/>
      <c r="I3250" s="537" cm="1">
        <f t="array" aca="1" ref="I3250" ca="1">IFERROR(_xlfn.LET(_xlpm.produto,TRIM(F3250)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50" s="537" cm="1">
        <f t="array" aca="1" ref="J3250" ca="1">IFERROR(_xlfn.LET(_xlpm.produto,TRIM(G3250)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50" s="537" cm="1">
        <f t="array" aca="1" ref="K3250" ca="1">IFERROR(_xlfn.LET(_xlpm.produto,TRIM(H3250)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50" s="563"/>
      <c r="M3250" s="563"/>
      <c r="N3250" s="563"/>
    </row>
    <row r="3251" spans="3:18" x14ac:dyDescent="0.25">
      <c r="C3251" s="452" t="s">
        <v>173</v>
      </c>
      <c r="D3251" s="453">
        <f t="shared" ref="D3251:D3265" si="251">D3250</f>
        <v>46163</v>
      </c>
      <c r="E3251" s="500" t="s">
        <v>162</v>
      </c>
      <c r="F3251" s="460" t="s">
        <v>1764</v>
      </c>
      <c r="G3251" s="460" t="s">
        <v>1768</v>
      </c>
      <c r="H3251" s="501"/>
      <c r="I3251" s="540">
        <v>830</v>
      </c>
      <c r="J3251" s="540">
        <v>830</v>
      </c>
      <c r="K3251" s="540"/>
      <c r="L3251" s="555">
        <f>I3251*INDEX([2]Pedidos!$Q:$Q,MATCH(F3251,[2]Pedidos!$E:$E,0))</f>
        <v>996</v>
      </c>
      <c r="M3251" s="564">
        <f>J3251*INDEX([2]Pedidos!$Q:$Q,MATCH(G3251,[2]Pedidos!$E:$E,0))</f>
        <v>705.5</v>
      </c>
      <c r="N3251" s="555" t="e">
        <f>K3251*INDEX([2]Pedidos!$Q:$Q,MATCH(H3251,[2]Pedidos!$E:$E,0))</f>
        <v>#N/A</v>
      </c>
    </row>
    <row r="3252" spans="3:18" x14ac:dyDescent="0.25">
      <c r="C3252" s="452" t="s">
        <v>173</v>
      </c>
      <c r="D3252" s="453">
        <f t="shared" si="251"/>
        <v>46163</v>
      </c>
      <c r="E3252" s="454" t="s">
        <v>163</v>
      </c>
      <c r="F3252" s="460" t="s">
        <v>1764</v>
      </c>
      <c r="G3252" s="460" t="s">
        <v>1768</v>
      </c>
      <c r="H3252" s="460"/>
      <c r="I3252" s="540">
        <v>830</v>
      </c>
      <c r="J3252" s="540">
        <v>830</v>
      </c>
      <c r="K3252" s="540"/>
      <c r="L3252" s="564">
        <f>I3252*INDEX([2]Pedidos!$Q:$Q,MATCH(F3252,[2]Pedidos!$E:$E,0))</f>
        <v>996</v>
      </c>
      <c r="M3252" s="564">
        <f>J3252*INDEX([2]Pedidos!$Q:$Q,MATCH(G3252,[2]Pedidos!$E:$E,0))</f>
        <v>705.5</v>
      </c>
      <c r="N3252" s="564" t="e">
        <f>K3252*INDEX([2]Pedidos!$Q:$Q,MATCH(H3252,[2]Pedidos!$E:$E,0))</f>
        <v>#N/A</v>
      </c>
    </row>
    <row r="3253" spans="3:18" x14ac:dyDescent="0.25">
      <c r="C3253" s="452" t="s">
        <v>173</v>
      </c>
      <c r="D3253" s="453">
        <f t="shared" si="251"/>
        <v>46163</v>
      </c>
      <c r="E3253" s="454" t="s">
        <v>164</v>
      </c>
      <c r="F3253" s="460" t="s">
        <v>1764</v>
      </c>
      <c r="G3253" s="460" t="s">
        <v>1768</v>
      </c>
      <c r="H3253" s="460"/>
      <c r="I3253" s="540">
        <v>830</v>
      </c>
      <c r="J3253" s="540">
        <v>830</v>
      </c>
      <c r="K3253" s="540"/>
      <c r="L3253" s="564">
        <f>I3253*INDEX([2]Pedidos!$Q:$Q,MATCH(F3253,[2]Pedidos!$E:$E,0))</f>
        <v>996</v>
      </c>
      <c r="M3253" s="564">
        <f>J3253*INDEX([2]Pedidos!$Q:$Q,MATCH(G3253,[2]Pedidos!$E:$E,0))</f>
        <v>705.5</v>
      </c>
      <c r="N3253" s="564" t="e">
        <f>K3253*INDEX([2]Pedidos!$Q:$Q,MATCH(H3253,[2]Pedidos!$E:$E,0))</f>
        <v>#N/A</v>
      </c>
    </row>
    <row r="3254" spans="3:18" x14ac:dyDescent="0.25">
      <c r="C3254" s="452" t="s">
        <v>173</v>
      </c>
      <c r="D3254" s="453">
        <f t="shared" si="251"/>
        <v>46163</v>
      </c>
      <c r="E3254" s="454" t="s">
        <v>165</v>
      </c>
      <c r="F3254" s="460" t="s">
        <v>1764</v>
      </c>
      <c r="G3254" s="460" t="s">
        <v>1768</v>
      </c>
      <c r="H3254" s="460"/>
      <c r="I3254" s="540">
        <v>830</v>
      </c>
      <c r="J3254" s="540">
        <v>830</v>
      </c>
      <c r="K3254" s="540"/>
      <c r="L3254" s="564">
        <f>I3254*INDEX([2]Pedidos!$Q:$Q,MATCH(F3254,[2]Pedidos!$E:$E,0))</f>
        <v>996</v>
      </c>
      <c r="M3254" s="564">
        <f>J3254*INDEX([2]Pedidos!$Q:$Q,MATCH(G3254,[2]Pedidos!$E:$E,0))</f>
        <v>705.5</v>
      </c>
      <c r="N3254" s="564" t="e">
        <f>K3254*INDEX([2]Pedidos!$Q:$Q,MATCH(H3254,[2]Pedidos!$E:$E,0))</f>
        <v>#N/A</v>
      </c>
    </row>
    <row r="3255" spans="3:18" x14ac:dyDescent="0.25">
      <c r="C3255" s="452" t="s">
        <v>173</v>
      </c>
      <c r="D3255" s="453">
        <f t="shared" si="251"/>
        <v>46163</v>
      </c>
      <c r="E3255" s="454" t="s">
        <v>166</v>
      </c>
      <c r="F3255" s="460" t="s">
        <v>1764</v>
      </c>
      <c r="G3255" s="460" t="s">
        <v>1768</v>
      </c>
      <c r="H3255" s="460"/>
      <c r="I3255" s="540">
        <v>830</v>
      </c>
      <c r="J3255" s="540">
        <v>830</v>
      </c>
      <c r="K3255" s="540"/>
      <c r="L3255" s="564">
        <f>I3255*INDEX([2]Pedidos!$Q:$Q,MATCH(F3255,[2]Pedidos!$E:$E,0))</f>
        <v>996</v>
      </c>
      <c r="M3255" s="564">
        <f>J3255*INDEX([2]Pedidos!$Q:$Q,MATCH(G3255,[2]Pedidos!$E:$E,0))</f>
        <v>705.5</v>
      </c>
      <c r="N3255" s="564" t="e">
        <f>K3255*INDEX([2]Pedidos!$Q:$Q,MATCH(H3255,[2]Pedidos!$E:$E,0))</f>
        <v>#N/A</v>
      </c>
    </row>
    <row r="3256" spans="3:18" x14ac:dyDescent="0.25">
      <c r="C3256" s="452" t="s">
        <v>173</v>
      </c>
      <c r="D3256" s="453">
        <f t="shared" si="251"/>
        <v>46163</v>
      </c>
      <c r="E3256" s="454" t="s">
        <v>576</v>
      </c>
      <c r="F3256" s="517"/>
      <c r="G3256" s="512"/>
      <c r="H3256" s="505"/>
      <c r="I3256" s="554" cm="1">
        <f t="array" aca="1" ref="I3256" ca="1">IFERROR(_xlfn.LET(_xlpm.produto,TRIM(F3256)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56" s="554" cm="1">
        <f t="array" aca="1" ref="J3256" ca="1">IFERROR(_xlfn.LET(_xlpm.produto,TRIM(G3256)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56" s="554" cm="1">
        <f t="array" aca="1" ref="K3256" ca="1">IFERROR(_xlfn.LET(_xlpm.produto,TRIM(H3256)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56" s="556"/>
      <c r="M3256" s="556"/>
      <c r="N3256" s="556"/>
    </row>
    <row r="3257" spans="3:18" x14ac:dyDescent="0.25">
      <c r="C3257" s="452" t="s">
        <v>173</v>
      </c>
      <c r="D3257" s="449">
        <f t="shared" si="251"/>
        <v>46163</v>
      </c>
      <c r="E3257" s="454" t="s">
        <v>167</v>
      </c>
      <c r="F3257" s="460" t="s">
        <v>1764</v>
      </c>
      <c r="G3257" s="460" t="s">
        <v>1768</v>
      </c>
      <c r="H3257" s="461"/>
      <c r="I3257" s="540">
        <v>830</v>
      </c>
      <c r="J3257" s="540">
        <v>830</v>
      </c>
      <c r="K3257" s="540"/>
      <c r="L3257" s="565">
        <f>I3257*INDEX([2]Pedidos!$Q:$Q,MATCH(F3257,[2]Pedidos!$E:$E,0))</f>
        <v>996</v>
      </c>
      <c r="M3257" s="564">
        <f>J3257*INDEX([2]Pedidos!$Q:$Q,MATCH(G3257,[2]Pedidos!$E:$E,0))</f>
        <v>705.5</v>
      </c>
      <c r="N3257" s="565" t="e">
        <f>K3257*INDEX([2]Pedidos!$Q:$Q,MATCH(H3257,[2]Pedidos!$E:$E,0))</f>
        <v>#N/A</v>
      </c>
    </row>
    <row r="3258" spans="3:18" x14ac:dyDescent="0.25">
      <c r="C3258" s="452" t="s">
        <v>173</v>
      </c>
      <c r="D3258" s="449">
        <f t="shared" si="251"/>
        <v>46163</v>
      </c>
      <c r="E3258" s="454" t="s">
        <v>168</v>
      </c>
      <c r="F3258" s="460" t="s">
        <v>1765</v>
      </c>
      <c r="G3258" s="460" t="s">
        <v>1768</v>
      </c>
      <c r="H3258" s="461"/>
      <c r="I3258" s="540">
        <v>830</v>
      </c>
      <c r="J3258" s="540">
        <v>830</v>
      </c>
      <c r="K3258" s="540"/>
      <c r="L3258" s="565">
        <f>I3258*INDEX([2]Pedidos!$Q:$Q,MATCH(F3258,[2]Pedidos!$E:$E,0))</f>
        <v>996</v>
      </c>
      <c r="M3258" s="564">
        <f>J3258*INDEX([2]Pedidos!$Q:$Q,MATCH(G3258,[2]Pedidos!$E:$E,0))</f>
        <v>705.5</v>
      </c>
      <c r="N3258" s="565" t="e">
        <f>K3258*INDEX([2]Pedidos!$Q:$Q,MATCH(H3258,[2]Pedidos!$E:$E,0))</f>
        <v>#N/A</v>
      </c>
    </row>
    <row r="3259" spans="3:18" x14ac:dyDescent="0.25">
      <c r="C3259" s="452" t="s">
        <v>173</v>
      </c>
      <c r="D3259" s="449">
        <f t="shared" si="251"/>
        <v>46163</v>
      </c>
      <c r="E3259" s="454" t="s">
        <v>169</v>
      </c>
      <c r="F3259" s="460" t="s">
        <v>1765</v>
      </c>
      <c r="G3259" s="460" t="s">
        <v>1768</v>
      </c>
      <c r="H3259" s="461"/>
      <c r="I3259" s="540">
        <v>830</v>
      </c>
      <c r="J3259" s="540">
        <v>830</v>
      </c>
      <c r="K3259" s="540"/>
      <c r="L3259" s="565">
        <f>I3259*INDEX([2]Pedidos!$Q:$Q,MATCH(F3259,[2]Pedidos!$E:$E,0))</f>
        <v>996</v>
      </c>
      <c r="M3259" s="564">
        <f>J3259*INDEX([2]Pedidos!$Q:$Q,MATCH(G3259,[2]Pedidos!$E:$E,0))</f>
        <v>705.5</v>
      </c>
      <c r="N3259" s="565" t="e">
        <f>K3259*INDEX([2]Pedidos!$Q:$Q,MATCH(H3259,[2]Pedidos!$E:$E,0))</f>
        <v>#N/A</v>
      </c>
    </row>
    <row r="3260" spans="3:18" x14ac:dyDescent="0.25">
      <c r="C3260" s="452" t="s">
        <v>173</v>
      </c>
      <c r="D3260" s="449">
        <f t="shared" si="251"/>
        <v>46163</v>
      </c>
      <c r="E3260" s="454" t="s">
        <v>170</v>
      </c>
      <c r="F3260" s="460" t="s">
        <v>1765</v>
      </c>
      <c r="G3260" s="460" t="s">
        <v>1768</v>
      </c>
      <c r="H3260" s="504"/>
      <c r="I3260" s="540">
        <v>830</v>
      </c>
      <c r="J3260" s="540">
        <v>830</v>
      </c>
      <c r="K3260" s="540"/>
      <c r="L3260" s="566">
        <f>I3260*INDEX([2]Pedidos!$Q:$Q,MATCH(F3260,[2]Pedidos!$E:$E,0))</f>
        <v>996</v>
      </c>
      <c r="M3260" s="564">
        <f>J3260*INDEX([2]Pedidos!$Q:$Q,MATCH(G3260,[2]Pedidos!$E:$E,0))</f>
        <v>705.5</v>
      </c>
      <c r="N3260" s="566" t="e">
        <f>K3260*INDEX([2]Pedidos!$Q:$Q,MATCH(H3260,[2]Pedidos!$E:$E,0))</f>
        <v>#N/A</v>
      </c>
    </row>
    <row r="3261" spans="3:18" x14ac:dyDescent="0.25">
      <c r="C3261" s="452" t="s">
        <v>173</v>
      </c>
      <c r="D3261" s="449">
        <f t="shared" si="251"/>
        <v>46163</v>
      </c>
      <c r="E3261" s="454" t="s">
        <v>585</v>
      </c>
      <c r="F3261" s="505"/>
      <c r="G3261" s="505"/>
      <c r="H3261" s="516"/>
      <c r="I3261" s="516" cm="1">
        <f t="array" aca="1" ref="I3261" ca="1">IFERROR(_xlfn.LET(_xlpm.produto,TRIM(F3261)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1" s="516" cm="1">
        <f t="array" aca="1" ref="J3261" ca="1">IFERROR(_xlfn.LET(_xlpm.produto,TRIM(G3261)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1" s="516" cm="1">
        <f t="array" aca="1" ref="K3261" ca="1">IFERROR(_xlfn.LET(_xlpm.produto,TRIM(H3261)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1" s="557"/>
      <c r="M3261" s="557"/>
      <c r="N3261" s="557"/>
    </row>
    <row r="3262" spans="3:18" x14ac:dyDescent="0.25">
      <c r="C3262" s="452" t="s">
        <v>173</v>
      </c>
      <c r="D3262" s="449">
        <f t="shared" si="251"/>
        <v>46163</v>
      </c>
      <c r="E3262" s="455" t="s">
        <v>574</v>
      </c>
      <c r="F3262" s="505"/>
      <c r="G3262" s="505"/>
      <c r="H3262" s="516"/>
      <c r="I3262" s="516" cm="1">
        <f t="array" aca="1" ref="I3262" ca="1">IFERROR(_xlfn.LET(_xlpm.produto,TRIM(F3262)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2" s="516" cm="1">
        <f t="array" aca="1" ref="J3262" ca="1">IFERROR(_xlfn.LET(_xlpm.produto,TRIM(G3262)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2" s="516" cm="1">
        <f t="array" aca="1" ref="K3262" ca="1">IFERROR(_xlfn.LET(_xlpm.produto,TRIM(H3262)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2" s="557"/>
      <c r="M3262" s="557"/>
      <c r="N3262" s="557"/>
    </row>
    <row r="3263" spans="3:18" x14ac:dyDescent="0.25">
      <c r="C3263" s="452" t="s">
        <v>173</v>
      </c>
      <c r="D3263" s="449">
        <f t="shared" si="251"/>
        <v>46163</v>
      </c>
      <c r="E3263" s="455" t="s">
        <v>575</v>
      </c>
      <c r="F3263" s="506"/>
      <c r="G3263" s="506"/>
      <c r="H3263" s="516"/>
      <c r="I3263" s="516" cm="1">
        <f t="array" aca="1" ref="I3263" ca="1">IFERROR(_xlfn.LET(_xlpm.produto,TRIM(F3263)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3" s="516" cm="1">
        <f t="array" aca="1" ref="J3263" ca="1">IFERROR(_xlfn.LET(_xlpm.produto,TRIM(G3263)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3" s="516" cm="1">
        <f t="array" aca="1" ref="K3263" ca="1">IFERROR(_xlfn.LET(_xlpm.produto,TRIM(H3263)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3" s="557"/>
      <c r="M3263" s="557"/>
      <c r="N3263" s="557"/>
    </row>
    <row r="3264" spans="3:18" x14ac:dyDescent="0.25">
      <c r="C3264" s="452" t="s">
        <v>173</v>
      </c>
      <c r="D3264" s="449">
        <f t="shared" si="251"/>
        <v>46163</v>
      </c>
      <c r="E3264" s="503" t="s">
        <v>583</v>
      </c>
      <c r="F3264" s="506"/>
      <c r="G3264" s="506"/>
      <c r="H3264" s="516"/>
      <c r="I3264" s="516" cm="1">
        <f t="array" aca="1" ref="I3264" ca="1">IFERROR(_xlfn.LET(_xlpm.produto,TRIM(F3264)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4" s="516" cm="1">
        <f t="array" aca="1" ref="J3264" ca="1">IFERROR(_xlfn.LET(_xlpm.produto,TRIM(G3264)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4" s="516" cm="1">
        <f t="array" aca="1" ref="K3264" ca="1">IFERROR(_xlfn.LET(_xlpm.produto,TRIM(H3264)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4" s="557"/>
      <c r="M3264" s="557"/>
      <c r="N3264" s="557"/>
    </row>
    <row r="3265" spans="3:18" ht="15.75" thickBot="1" x14ac:dyDescent="0.3">
      <c r="C3265" s="530" t="s">
        <v>173</v>
      </c>
      <c r="D3265" s="451">
        <f t="shared" si="251"/>
        <v>46163</v>
      </c>
      <c r="E3265" s="459" t="s">
        <v>584</v>
      </c>
      <c r="F3265" s="493"/>
      <c r="G3265" s="493"/>
      <c r="H3265" s="513"/>
      <c r="I3265" s="513" cm="1">
        <f t="array" aca="1" ref="I3265" ca="1">IFERROR(_xlfn.LET(_xlpm.produto,TRIM(F3265)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5" s="513" cm="1">
        <f t="array" aca="1" ref="J3265" ca="1">IFERROR(_xlfn.LET(_xlpm.produto,TRIM(G3265)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5" s="513" cm="1">
        <f t="array" aca="1" ref="K3265" ca="1">IFERROR(_xlfn.LET(_xlpm.produto,TRIM(H3265)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5" s="558"/>
      <c r="M3265" s="558"/>
      <c r="N3265" s="558"/>
    </row>
    <row r="3266" spans="3:18" ht="15.75" thickBot="1" x14ac:dyDescent="0.3">
      <c r="I3266" s="608"/>
      <c r="J3266" s="608"/>
      <c r="K3266" s="420"/>
      <c r="L3266" s="559"/>
      <c r="M3266" s="559"/>
      <c r="N3266" s="559"/>
      <c r="Q3266" s="3"/>
      <c r="R3266" s="3"/>
    </row>
    <row r="3267" spans="3:18" ht="15.75" thickBot="1" x14ac:dyDescent="0.3">
      <c r="C3267" s="546">
        <f ca="1">SUM(I3195:K3195,I3213:K3213,I3231:K3231,I3249:K3249,I3267:K3267)</f>
        <v>70436</v>
      </c>
      <c r="D3267" s="547">
        <f>SUM(P3267,P3249,P3231,P3213,P3195)</f>
        <v>62263.880000000005</v>
      </c>
      <c r="E3267" s="539"/>
      <c r="F3267" s="539"/>
      <c r="G3267" s="539"/>
      <c r="H3267" s="539"/>
      <c r="I3267" s="606">
        <f t="shared" ref="I3267:N3267" ca="1" si="252">_xlfn.AGGREGATE(9,6,I3268:I3283)</f>
        <v>6640</v>
      </c>
      <c r="J3267" s="607">
        <f t="shared" ca="1" si="252"/>
        <v>6640</v>
      </c>
      <c r="K3267" s="544">
        <f t="shared" ca="1" si="252"/>
        <v>0</v>
      </c>
      <c r="L3267" s="560">
        <f t="shared" si="252"/>
        <v>7968</v>
      </c>
      <c r="M3267" s="561">
        <f t="shared" si="252"/>
        <v>2822</v>
      </c>
      <c r="N3267" s="562">
        <f t="shared" si="252"/>
        <v>0</v>
      </c>
      <c r="O3267" s="548">
        <f ca="1">SUM(I3267:K3267)</f>
        <v>13280</v>
      </c>
      <c r="P3267" s="549">
        <f>SUM(L3267:N3267)</f>
        <v>10790</v>
      </c>
      <c r="Q3267" s="3"/>
      <c r="R3267" s="3"/>
    </row>
    <row r="3268" spans="3:18" x14ac:dyDescent="0.25">
      <c r="C3268" s="529" t="s">
        <v>174</v>
      </c>
      <c r="D3268" s="447">
        <f>D3265+1</f>
        <v>46164</v>
      </c>
      <c r="E3268" s="498" t="s">
        <v>573</v>
      </c>
      <c r="F3268" s="514"/>
      <c r="G3268" s="514"/>
      <c r="H3268" s="515"/>
      <c r="I3268" s="537" cm="1">
        <f t="array" aca="1" ref="I3268" ca="1">IFERROR(_xlfn.LET(_xlpm.produto,TRIM(F3268)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68" s="537" cm="1">
        <f t="array" aca="1" ref="J3268" ca="1">IFERROR(_xlfn.LET(_xlpm.produto,TRIM(G3268)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68" s="537" cm="1">
        <f t="array" aca="1" ref="K3268" ca="1">IFERROR(_xlfn.LET(_xlpm.produto,TRIM(H3268)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68" s="563"/>
      <c r="M3268" s="563"/>
      <c r="N3268" s="563"/>
    </row>
    <row r="3269" spans="3:18" x14ac:dyDescent="0.25">
      <c r="C3269" s="452" t="s">
        <v>174</v>
      </c>
      <c r="D3269" s="453">
        <f t="shared" ref="D3269:D3283" si="253">D3268</f>
        <v>46164</v>
      </c>
      <c r="E3269" s="500" t="s">
        <v>162</v>
      </c>
      <c r="F3269" s="613" t="s">
        <v>1765</v>
      </c>
      <c r="G3269" s="460" t="s">
        <v>1768</v>
      </c>
      <c r="H3269" s="460"/>
      <c r="I3269" s="540">
        <v>830</v>
      </c>
      <c r="J3269" s="540">
        <v>830</v>
      </c>
      <c r="K3269" s="540"/>
      <c r="L3269" s="564">
        <f>I3269*INDEX([2]Pedidos!$Q:$Q,MATCH(F3269,[2]Pedidos!$E:$E,0))</f>
        <v>996</v>
      </c>
      <c r="M3269" s="555">
        <f>J3269*INDEX([2]Pedidos!$Q:$Q,MATCH(G3269,[2]Pedidos!$E:$E,0))</f>
        <v>705.5</v>
      </c>
      <c r="N3269" s="555" t="e">
        <f>K3269*INDEX([2]Pedidos!$Q:$Q,MATCH(H3269,[2]Pedidos!$E:$E,0))</f>
        <v>#N/A</v>
      </c>
    </row>
    <row r="3270" spans="3:18" x14ac:dyDescent="0.25">
      <c r="C3270" s="452" t="s">
        <v>174</v>
      </c>
      <c r="D3270" s="453">
        <f t="shared" si="253"/>
        <v>46164</v>
      </c>
      <c r="E3270" s="454" t="s">
        <v>163</v>
      </c>
      <c r="F3270" s="613" t="s">
        <v>1765</v>
      </c>
      <c r="G3270" s="460" t="s">
        <v>1768</v>
      </c>
      <c r="H3270" s="460"/>
      <c r="I3270" s="540">
        <v>830</v>
      </c>
      <c r="J3270" s="540">
        <v>830</v>
      </c>
      <c r="K3270" s="540"/>
      <c r="L3270" s="564">
        <f>I3270*INDEX([2]Pedidos!$Q:$Q,MATCH(F3270,[2]Pedidos!$E:$E,0))</f>
        <v>996</v>
      </c>
      <c r="M3270" s="564" t="e">
        <f>J3270*INDEX([2]Pedidos!$Q:$Q,MATCH(H3270,[2]Pedidos!$E:$E,0))</f>
        <v>#N/A</v>
      </c>
      <c r="N3270" s="555" t="e">
        <f>K3270*INDEX([2]Pedidos!$Q:$Q,MATCH(H3270,[2]Pedidos!$E:$E,0))</f>
        <v>#N/A</v>
      </c>
    </row>
    <row r="3271" spans="3:18" x14ac:dyDescent="0.25">
      <c r="C3271" s="452" t="s">
        <v>174</v>
      </c>
      <c r="D3271" s="453">
        <f t="shared" si="253"/>
        <v>46164</v>
      </c>
      <c r="E3271" s="454" t="s">
        <v>164</v>
      </c>
      <c r="F3271" s="460" t="s">
        <v>1765</v>
      </c>
      <c r="G3271" s="460" t="s">
        <v>1768</v>
      </c>
      <c r="H3271" s="460"/>
      <c r="I3271" s="540">
        <v>830</v>
      </c>
      <c r="J3271" s="540">
        <v>830</v>
      </c>
      <c r="K3271" s="540"/>
      <c r="L3271" s="564">
        <f>I3271*INDEX([2]Pedidos!$Q:$Q,MATCH(F3271,[2]Pedidos!$E:$E,0))</f>
        <v>996</v>
      </c>
      <c r="M3271" s="564" t="e">
        <f>J3271*INDEX([2]Pedidos!$Q:$Q,MATCH(H3271,[2]Pedidos!$E:$E,0))</f>
        <v>#N/A</v>
      </c>
      <c r="N3271" s="555" t="e">
        <f>K3271*INDEX([2]Pedidos!$Q:$Q,MATCH(H3271,[2]Pedidos!$E:$E,0))</f>
        <v>#N/A</v>
      </c>
    </row>
    <row r="3272" spans="3:18" x14ac:dyDescent="0.25">
      <c r="C3272" s="452" t="s">
        <v>174</v>
      </c>
      <c r="D3272" s="453">
        <f t="shared" si="253"/>
        <v>46164</v>
      </c>
      <c r="E3272" s="454" t="s">
        <v>165</v>
      </c>
      <c r="F3272" s="460" t="s">
        <v>1765</v>
      </c>
      <c r="G3272" s="460" t="s">
        <v>1767</v>
      </c>
      <c r="H3272" s="460"/>
      <c r="I3272" s="540">
        <v>830</v>
      </c>
      <c r="J3272" s="540">
        <v>830</v>
      </c>
      <c r="K3272" s="540"/>
      <c r="L3272" s="564">
        <f>I3272*INDEX([2]Pedidos!$Q:$Q,MATCH(F3272,[2]Pedidos!$E:$E,0))</f>
        <v>996</v>
      </c>
      <c r="M3272" s="564" t="e">
        <f>J3272*INDEX([2]Pedidos!$Q:$Q,MATCH(H3272,[2]Pedidos!$E:$E,0))</f>
        <v>#N/A</v>
      </c>
      <c r="N3272" s="555" t="e">
        <f>K3272*INDEX([2]Pedidos!$Q:$Q,MATCH(H3272,[2]Pedidos!$E:$E,0))</f>
        <v>#N/A</v>
      </c>
    </row>
    <row r="3273" spans="3:18" x14ac:dyDescent="0.25">
      <c r="C3273" s="452" t="s">
        <v>174</v>
      </c>
      <c r="D3273" s="453">
        <f t="shared" si="253"/>
        <v>46164</v>
      </c>
      <c r="E3273" s="454" t="s">
        <v>166</v>
      </c>
      <c r="F3273" s="460" t="s">
        <v>1765</v>
      </c>
      <c r="G3273" s="460" t="s">
        <v>1767</v>
      </c>
      <c r="H3273" s="460"/>
      <c r="I3273" s="540">
        <v>830</v>
      </c>
      <c r="J3273" s="540">
        <v>830</v>
      </c>
      <c r="K3273" s="540"/>
      <c r="L3273" s="564">
        <f>I3273*INDEX([2]Pedidos!$Q:$Q,MATCH(F3273,[2]Pedidos!$E:$E,0))</f>
        <v>996</v>
      </c>
      <c r="M3273" s="564" t="e">
        <f>J3273*INDEX([2]Pedidos!$Q:$Q,MATCH(H3273,[2]Pedidos!$E:$E,0))</f>
        <v>#N/A</v>
      </c>
      <c r="N3273" s="555" t="e">
        <f>K3273*INDEX([2]Pedidos!$Q:$Q,MATCH(H3273,[2]Pedidos!$E:$E,0))</f>
        <v>#N/A</v>
      </c>
    </row>
    <row r="3274" spans="3:18" x14ac:dyDescent="0.25">
      <c r="C3274" s="452" t="s">
        <v>174</v>
      </c>
      <c r="D3274" s="453">
        <f t="shared" si="253"/>
        <v>46164</v>
      </c>
      <c r="E3274" s="454" t="s">
        <v>576</v>
      </c>
      <c r="F3274" s="517"/>
      <c r="G3274" s="512"/>
      <c r="H3274" s="505"/>
      <c r="I3274" s="554" cm="1">
        <f t="array" aca="1" ref="I3274" ca="1">IFERROR(_xlfn.LET(_xlpm.produto,TRIM(F3274)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74" s="554" cm="1">
        <f t="array" aca="1" ref="J3274" ca="1">IFERROR(_xlfn.LET(_xlpm.produto,TRIM(G3274)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74" s="554" cm="1">
        <f t="array" aca="1" ref="K3274" ca="1">IFERROR(_xlfn.LET(_xlpm.produto,TRIM(H3274)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74" s="556"/>
      <c r="M3274" s="556"/>
      <c r="N3274" s="556"/>
    </row>
    <row r="3275" spans="3:18" x14ac:dyDescent="0.25">
      <c r="C3275" s="452" t="s">
        <v>174</v>
      </c>
      <c r="D3275" s="449">
        <f t="shared" si="253"/>
        <v>46164</v>
      </c>
      <c r="E3275" s="454" t="s">
        <v>167</v>
      </c>
      <c r="F3275" s="460" t="s">
        <v>1765</v>
      </c>
      <c r="G3275" s="460" t="s">
        <v>1767</v>
      </c>
      <c r="H3275" s="461"/>
      <c r="I3275" s="540">
        <v>830</v>
      </c>
      <c r="J3275" s="540">
        <v>830</v>
      </c>
      <c r="K3275" s="540"/>
      <c r="L3275" s="565">
        <f>I3275*INDEX([2]Pedidos!$Q:$Q,MATCH(F3275,[2]Pedidos!$E:$E,0))</f>
        <v>996</v>
      </c>
      <c r="M3275" s="565">
        <f>J3275*INDEX([2]Pedidos!$Q:$Q,MATCH(G3275,[2]Pedidos!$E:$E,0))</f>
        <v>705.5</v>
      </c>
      <c r="N3275" s="565" t="e">
        <f>K3275*INDEX([2]Pedidos!$Q:$Q,MATCH(H3275,[2]Pedidos!$E:$E,0))</f>
        <v>#N/A</v>
      </c>
    </row>
    <row r="3276" spans="3:18" x14ac:dyDescent="0.25">
      <c r="C3276" s="452" t="s">
        <v>174</v>
      </c>
      <c r="D3276" s="449">
        <f t="shared" si="253"/>
        <v>46164</v>
      </c>
      <c r="E3276" s="454" t="s">
        <v>168</v>
      </c>
      <c r="F3276" s="460" t="s">
        <v>1765</v>
      </c>
      <c r="G3276" s="460" t="s">
        <v>1767</v>
      </c>
      <c r="H3276" s="461"/>
      <c r="I3276" s="540">
        <v>830</v>
      </c>
      <c r="J3276" s="540">
        <v>830</v>
      </c>
      <c r="K3276" s="540"/>
      <c r="L3276" s="565">
        <f>I3276*INDEX([2]Pedidos!$Q:$Q,MATCH(F3276,[2]Pedidos!$E:$E,0))</f>
        <v>996</v>
      </c>
      <c r="M3276" s="565">
        <f>J3276*INDEX([2]Pedidos!$Q:$Q,MATCH(G3276,[2]Pedidos!$E:$E,0))</f>
        <v>705.5</v>
      </c>
      <c r="N3276" s="565" t="e">
        <f>K3276*INDEX([2]Pedidos!$Q:$Q,MATCH(H3276,[2]Pedidos!$E:$E,0))</f>
        <v>#N/A</v>
      </c>
    </row>
    <row r="3277" spans="3:18" x14ac:dyDescent="0.25">
      <c r="C3277" s="452" t="s">
        <v>174</v>
      </c>
      <c r="D3277" s="449">
        <f t="shared" si="253"/>
        <v>46164</v>
      </c>
      <c r="E3277" s="454" t="s">
        <v>169</v>
      </c>
      <c r="F3277" s="460" t="s">
        <v>1765</v>
      </c>
      <c r="G3277" s="460" t="s">
        <v>1767</v>
      </c>
      <c r="H3277" s="461"/>
      <c r="I3277" s="540">
        <v>830</v>
      </c>
      <c r="J3277" s="540">
        <v>830</v>
      </c>
      <c r="K3277" s="540"/>
      <c r="L3277" s="565">
        <f>I3277*INDEX([2]Pedidos!$Q:$Q,MATCH(F3277,[2]Pedidos!$E:$E,0))</f>
        <v>996</v>
      </c>
      <c r="M3277" s="565">
        <f>J3277*INDEX([2]Pedidos!$Q:$Q,MATCH(G3277,[2]Pedidos!$E:$E,0))</f>
        <v>705.5</v>
      </c>
      <c r="N3277" s="565" t="e">
        <f>K3277*INDEX([2]Pedidos!$Q:$Q,MATCH(H3277,[2]Pedidos!$E:$E,0))</f>
        <v>#N/A</v>
      </c>
    </row>
    <row r="3278" spans="3:18" x14ac:dyDescent="0.25">
      <c r="C3278" s="452" t="s">
        <v>174</v>
      </c>
      <c r="D3278" s="449">
        <f t="shared" si="253"/>
        <v>46164</v>
      </c>
      <c r="E3278" s="454" t="s">
        <v>170</v>
      </c>
      <c r="F3278" s="505"/>
      <c r="G3278" s="505"/>
      <c r="H3278" s="516"/>
      <c r="I3278" s="516" cm="1">
        <f t="array" aca="1" ref="I3278" ca="1">IFERROR(_xlfn.LET(_xlpm.produto,TRIM(F3278)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78" s="516" cm="1">
        <f t="array" aca="1" ref="J3278" ca="1">IFERROR(_xlfn.LET(_xlpm.produto,TRIM(G3278)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78" s="516" cm="1">
        <f t="array" aca="1" ref="K3278" ca="1">IFERROR(_xlfn.LET(_xlpm.produto,TRIM(H3278)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78" s="557"/>
      <c r="M3278" s="557"/>
      <c r="N3278" s="557"/>
    </row>
    <row r="3279" spans="3:18" x14ac:dyDescent="0.25">
      <c r="C3279" s="452" t="s">
        <v>174</v>
      </c>
      <c r="D3279" s="449">
        <f t="shared" si="253"/>
        <v>46164</v>
      </c>
      <c r="E3279" s="454" t="s">
        <v>585</v>
      </c>
      <c r="F3279" s="505"/>
      <c r="G3279" s="505"/>
      <c r="H3279" s="516"/>
      <c r="I3279" s="516" cm="1">
        <f t="array" aca="1" ref="I3279" ca="1">IFERROR(_xlfn.LET(_xlpm.produto,TRIM(F3279)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79" s="516" cm="1">
        <f t="array" aca="1" ref="J3279" ca="1">IFERROR(_xlfn.LET(_xlpm.produto,TRIM(G3279)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79" s="516" cm="1">
        <f t="array" aca="1" ref="K3279" ca="1">IFERROR(_xlfn.LET(_xlpm.produto,TRIM(H3279)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79" s="557"/>
      <c r="M3279" s="557"/>
      <c r="N3279" s="557"/>
    </row>
    <row r="3280" spans="3:18" x14ac:dyDescent="0.25">
      <c r="C3280" s="452" t="s">
        <v>174</v>
      </c>
      <c r="D3280" s="449">
        <f t="shared" si="253"/>
        <v>46164</v>
      </c>
      <c r="E3280" s="455" t="s">
        <v>574</v>
      </c>
      <c r="F3280" s="505"/>
      <c r="G3280" s="505"/>
      <c r="H3280" s="516"/>
      <c r="I3280" s="516" cm="1">
        <f t="array" aca="1" ref="I3280" ca="1">IFERROR(_xlfn.LET(_xlpm.produto,TRIM(F3280)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80" s="516" cm="1">
        <f t="array" aca="1" ref="J3280" ca="1">IFERROR(_xlfn.LET(_xlpm.produto,TRIM(G3280)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80" s="516" cm="1">
        <f t="array" aca="1" ref="K3280" ca="1">IFERROR(_xlfn.LET(_xlpm.produto,TRIM(H3280)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80" s="557"/>
      <c r="M3280" s="557"/>
      <c r="N3280" s="557"/>
    </row>
    <row r="3281" spans="3:16" x14ac:dyDescent="0.25">
      <c r="C3281" s="452" t="s">
        <v>174</v>
      </c>
      <c r="D3281" s="449">
        <f t="shared" si="253"/>
        <v>46164</v>
      </c>
      <c r="E3281" s="455" t="s">
        <v>575</v>
      </c>
      <c r="F3281" s="506"/>
      <c r="G3281" s="506"/>
      <c r="H3281" s="516"/>
      <c r="I3281" s="516" cm="1">
        <f t="array" aca="1" ref="I3281" ca="1">IFERROR(_xlfn.LET(_xlpm.produto,TRIM(F3281)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81" s="516" cm="1">
        <f t="array" aca="1" ref="J3281" ca="1">IFERROR(_xlfn.LET(_xlpm.produto,TRIM(G3281)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81" s="516" cm="1">
        <f t="array" aca="1" ref="K3281" ca="1">IFERROR(_xlfn.LET(_xlpm.produto,TRIM(H3281)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81" s="557"/>
      <c r="M3281" s="557"/>
      <c r="N3281" s="557"/>
    </row>
    <row r="3282" spans="3:16" x14ac:dyDescent="0.25">
      <c r="C3282" s="452" t="s">
        <v>174</v>
      </c>
      <c r="D3282" s="502">
        <f t="shared" si="253"/>
        <v>46164</v>
      </c>
      <c r="E3282" s="503" t="s">
        <v>583</v>
      </c>
      <c r="F3282" s="506"/>
      <c r="G3282" s="506"/>
      <c r="H3282" s="516"/>
      <c r="I3282" s="516" cm="1">
        <f t="array" aca="1" ref="I3282" ca="1">IFERROR(_xlfn.LET(_xlpm.produto,TRIM(F3282)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82" s="516" cm="1">
        <f t="array" aca="1" ref="J3282" ca="1">IFERROR(_xlfn.LET(_xlpm.produto,TRIM(G3282)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82" s="516" cm="1">
        <f t="array" aca="1" ref="K3282" ca="1">IFERROR(_xlfn.LET(_xlpm.produto,TRIM(H3282)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82" s="557"/>
      <c r="M3282" s="557"/>
      <c r="N3282" s="557"/>
    </row>
    <row r="3283" spans="3:16" ht="15.75" thickBot="1" x14ac:dyDescent="0.3">
      <c r="C3283" s="530" t="s">
        <v>174</v>
      </c>
      <c r="D3283" s="451">
        <f t="shared" si="253"/>
        <v>46164</v>
      </c>
      <c r="E3283" s="459" t="s">
        <v>584</v>
      </c>
      <c r="F3283" s="493"/>
      <c r="G3283" s="493"/>
      <c r="H3283" s="513"/>
      <c r="I3283" s="513" cm="1">
        <f t="array" aca="1" ref="I3283" ca="1">IFERROR(_xlfn.LET(_xlpm.produto,TRIM(F3283)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J3283" s="513" cm="1">
        <f t="array" aca="1" ref="J3283" ca="1">IFERROR(_xlfn.LET(_xlpm.produto,TRIM(G3283)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K3283" s="513" cm="1">
        <f t="array" aca="1" ref="K3283" ca="1">IFERROR(_xlfn.LET(_xlpm.produto,TRIM(H3283),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F$5:F$5,"="&amp;_xlpm.produto)+COUNTIF(G$5:G$5,"="&amp;_xlpm.produto)+COUNTIF(H$5:H$5,"="&amp;_xlpm.produto),_xlpm.saldo/_xlpm.horas),0)</f>
        <v>0</v>
      </c>
      <c r="L3283" s="558"/>
      <c r="M3283" s="558"/>
      <c r="N3283" s="558"/>
    </row>
    <row r="3284" spans="3:16" ht="15.75" thickBot="1" x14ac:dyDescent="0.3"/>
    <row r="3285" spans="3:16" ht="15.75" thickBot="1" x14ac:dyDescent="0.3">
      <c r="C3285" s="538"/>
      <c r="D3285" s="539"/>
      <c r="E3285" s="539"/>
      <c r="F3285" s="539"/>
      <c r="G3285" s="539"/>
      <c r="H3285" s="539"/>
      <c r="I3285" s="606">
        <f t="shared" ref="I3285:N3285" ca="1" si="254">_xlfn.AGGREGATE(9,6,I3286:I3301)</f>
        <v>5400</v>
      </c>
      <c r="J3285" s="607">
        <f t="shared" ca="1" si="254"/>
        <v>5400</v>
      </c>
      <c r="K3285" s="544">
        <f t="shared" ca="1" si="254"/>
        <v>0</v>
      </c>
      <c r="L3285" s="560">
        <f t="shared" si="254"/>
        <v>6480</v>
      </c>
      <c r="M3285" s="561">
        <f t="shared" si="254"/>
        <v>4590</v>
      </c>
      <c r="N3285" s="562">
        <f t="shared" si="254"/>
        <v>0</v>
      </c>
      <c r="O3285" s="548">
        <f ca="1">SUM(I3285:K3285)</f>
        <v>10800</v>
      </c>
      <c r="P3285" s="549">
        <f>SUM(L3285:N3285)</f>
        <v>11070</v>
      </c>
    </row>
    <row r="3286" spans="3:16" x14ac:dyDescent="0.25">
      <c r="C3286" s="496" t="s">
        <v>161</v>
      </c>
      <c r="D3286" s="507">
        <v>46167</v>
      </c>
      <c r="E3286" s="498" t="s">
        <v>573</v>
      </c>
      <c r="F3286" s="514"/>
      <c r="G3286" s="514"/>
      <c r="H3286" s="514"/>
      <c r="I3286" s="537" cm="1">
        <f t="array" aca="1" ref="I3286" ca="1">IFERROR(_xlfn.LET(_xlpm.produto,TRIM(F3286)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286" s="537" cm="1">
        <f t="array" aca="1" ref="J3286" ca="1">IFERROR(_xlfn.LET(_xlpm.produto,TRIM(G3286)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286" s="537" cm="1">
        <f t="array" aca="1" ref="K3286" ca="1">IFERROR(_xlfn.LET(_xlpm.produto,TRIM(H3286)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286" s="563"/>
      <c r="M3286" s="563"/>
      <c r="N3286" s="563"/>
    </row>
    <row r="3287" spans="3:16" x14ac:dyDescent="0.25">
      <c r="C3287" s="525" t="s">
        <v>161</v>
      </c>
      <c r="D3287" s="453">
        <f t="shared" ref="D3287:D3301" si="255">D3286</f>
        <v>46167</v>
      </c>
      <c r="E3287" s="500" t="s">
        <v>162</v>
      </c>
      <c r="F3287" s="460" t="s">
        <v>1765</v>
      </c>
      <c r="G3287" s="460" t="s">
        <v>1768</v>
      </c>
      <c r="H3287" s="460"/>
      <c r="I3287" s="540">
        <v>600</v>
      </c>
      <c r="J3287" s="540">
        <v>600</v>
      </c>
      <c r="K3287" s="545"/>
      <c r="L3287" s="555">
        <f>I3287*INDEX([2]Pedidos!$Q:$Q,MATCH(F3287,[2]Pedidos!$E:$E,0))</f>
        <v>720</v>
      </c>
      <c r="M3287" s="564">
        <f>J3287*INDEX([2]Pedidos!$Q:$Q,MATCH(G3287,[2]Pedidos!$E:$E,0))</f>
        <v>510</v>
      </c>
      <c r="N3287" s="555" t="e">
        <f>K3287*INDEX([2]Pedidos!$Q:$Q,MATCH(H3287,[2]Pedidos!$E:$E,0))</f>
        <v>#N/A</v>
      </c>
    </row>
    <row r="3288" spans="3:16" x14ac:dyDescent="0.25">
      <c r="C3288" s="526" t="s">
        <v>161</v>
      </c>
      <c r="D3288" s="453">
        <f t="shared" si="255"/>
        <v>46167</v>
      </c>
      <c r="E3288" s="454" t="s">
        <v>163</v>
      </c>
      <c r="F3288" s="460" t="s">
        <v>1765</v>
      </c>
      <c r="G3288" s="460" t="s">
        <v>1768</v>
      </c>
      <c r="H3288" s="460"/>
      <c r="I3288" s="540">
        <v>600</v>
      </c>
      <c r="J3288" s="540">
        <v>600</v>
      </c>
      <c r="K3288" s="545"/>
      <c r="L3288" s="564">
        <f>I3288*INDEX([2]Pedidos!$Q:$Q,MATCH(F3288,[2]Pedidos!$E:$E,0))</f>
        <v>720</v>
      </c>
      <c r="M3288" s="564">
        <f>J3288*INDEX([2]Pedidos!$Q:$Q,MATCH(G3288,[2]Pedidos!$E:$E,0))</f>
        <v>510</v>
      </c>
      <c r="N3288" s="564" t="e">
        <f>K3288*INDEX([2]Pedidos!$Q:$Q,MATCH(H3288,[2]Pedidos!$E:$E,0))</f>
        <v>#N/A</v>
      </c>
    </row>
    <row r="3289" spans="3:16" x14ac:dyDescent="0.25">
      <c r="C3289" s="526" t="s">
        <v>161</v>
      </c>
      <c r="D3289" s="453">
        <f t="shared" si="255"/>
        <v>46167</v>
      </c>
      <c r="E3289" s="454" t="s">
        <v>164</v>
      </c>
      <c r="F3289" s="460" t="s">
        <v>1765</v>
      </c>
      <c r="G3289" s="460" t="s">
        <v>1768</v>
      </c>
      <c r="H3289" s="460"/>
      <c r="I3289" s="540">
        <v>600</v>
      </c>
      <c r="J3289" s="540">
        <v>600</v>
      </c>
      <c r="K3289" s="545"/>
      <c r="L3289" s="564">
        <f>I3289*INDEX([2]Pedidos!$Q:$Q,MATCH(F3289,[2]Pedidos!$E:$E,0))</f>
        <v>720</v>
      </c>
      <c r="M3289" s="564">
        <f>J3289*INDEX([2]Pedidos!$Q:$Q,MATCH(G3289,[2]Pedidos!$E:$E,0))</f>
        <v>510</v>
      </c>
      <c r="N3289" s="564" t="e">
        <f>K3289*INDEX([2]Pedidos!$Q:$Q,MATCH(H3289,[2]Pedidos!$E:$E,0))</f>
        <v>#N/A</v>
      </c>
    </row>
    <row r="3290" spans="3:16" x14ac:dyDescent="0.25">
      <c r="C3290" s="526" t="s">
        <v>161</v>
      </c>
      <c r="D3290" s="453">
        <f t="shared" si="255"/>
        <v>46167</v>
      </c>
      <c r="E3290" s="454" t="s">
        <v>165</v>
      </c>
      <c r="F3290" s="460" t="s">
        <v>1765</v>
      </c>
      <c r="G3290" s="460" t="s">
        <v>1768</v>
      </c>
      <c r="H3290" s="460"/>
      <c r="I3290" s="540">
        <v>600</v>
      </c>
      <c r="J3290" s="540">
        <v>600</v>
      </c>
      <c r="K3290" s="545"/>
      <c r="L3290" s="564">
        <f>I3290*INDEX([2]Pedidos!$Q:$Q,MATCH(F3290,[2]Pedidos!$E:$E,0))</f>
        <v>720</v>
      </c>
      <c r="M3290" s="564">
        <f>J3290*INDEX([2]Pedidos!$Q:$Q,MATCH(G3290,[2]Pedidos!$E:$E,0))</f>
        <v>510</v>
      </c>
      <c r="N3290" s="564" t="e">
        <f>K3290*INDEX([2]Pedidos!$Q:$Q,MATCH(H3290,[2]Pedidos!$E:$E,0))</f>
        <v>#N/A</v>
      </c>
    </row>
    <row r="3291" spans="3:16" x14ac:dyDescent="0.25">
      <c r="C3291" s="526" t="s">
        <v>161</v>
      </c>
      <c r="D3291" s="453">
        <f t="shared" si="255"/>
        <v>46167</v>
      </c>
      <c r="E3291" s="454" t="s">
        <v>166</v>
      </c>
      <c r="F3291" s="460" t="s">
        <v>1765</v>
      </c>
      <c r="G3291" s="460" t="s">
        <v>1768</v>
      </c>
      <c r="H3291" s="460"/>
      <c r="I3291" s="540">
        <v>600</v>
      </c>
      <c r="J3291" s="540">
        <v>600</v>
      </c>
      <c r="K3291" s="545"/>
      <c r="L3291" s="564">
        <f>I3291*INDEX([2]Pedidos!$Q:$Q,MATCH(F3291,[2]Pedidos!$E:$E,0))</f>
        <v>720</v>
      </c>
      <c r="M3291" s="564">
        <f>J3291*INDEX([2]Pedidos!$Q:$Q,MATCH(G3291,[2]Pedidos!$E:$E,0))</f>
        <v>510</v>
      </c>
      <c r="N3291" s="564" t="e">
        <f>K3291*INDEX([2]Pedidos!$Q:$Q,MATCH(H3291,[2]Pedidos!$E:$E,0))</f>
        <v>#N/A</v>
      </c>
    </row>
    <row r="3292" spans="3:16" x14ac:dyDescent="0.25">
      <c r="C3292" s="526" t="s">
        <v>161</v>
      </c>
      <c r="D3292" s="453">
        <f t="shared" si="255"/>
        <v>46167</v>
      </c>
      <c r="E3292" s="454" t="s">
        <v>576</v>
      </c>
      <c r="F3292" s="512"/>
      <c r="G3292" s="512"/>
      <c r="H3292" s="512"/>
      <c r="I3292" s="554" cm="1">
        <f t="array" aca="1" ref="I3292" ca="1">IFERROR(_xlfn.LET(_xlpm.produto,TRIM(F3292)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292" s="554" cm="1">
        <f t="array" aca="1" ref="J3292" ca="1">IFERROR(_xlfn.LET(_xlpm.produto,TRIM(G3292)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292" s="554" cm="1">
        <f t="array" aca="1" ref="K3292" ca="1">IFERROR(_xlfn.LET(_xlpm.produto,TRIM(H3292),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292" s="556"/>
      <c r="M3292" s="556"/>
      <c r="N3292" s="556"/>
    </row>
    <row r="3293" spans="3:16" x14ac:dyDescent="0.25">
      <c r="C3293" s="527" t="s">
        <v>161</v>
      </c>
      <c r="D3293" s="449">
        <f t="shared" si="255"/>
        <v>46167</v>
      </c>
      <c r="E3293" s="454" t="s">
        <v>167</v>
      </c>
      <c r="F3293" s="460" t="s">
        <v>1765</v>
      </c>
      <c r="G3293" s="460" t="s">
        <v>1768</v>
      </c>
      <c r="H3293" s="460"/>
      <c r="I3293" s="540">
        <v>600</v>
      </c>
      <c r="J3293" s="540">
        <v>600</v>
      </c>
      <c r="K3293" s="545"/>
      <c r="L3293" s="565">
        <f>I3293*INDEX([2]Pedidos!$Q:$Q,MATCH(F3293,[2]Pedidos!$E:$E,0))</f>
        <v>720</v>
      </c>
      <c r="M3293" s="564">
        <f>J3293*INDEX([2]Pedidos!$Q:$Q,MATCH(G3293,[2]Pedidos!$E:$E,0))</f>
        <v>510</v>
      </c>
      <c r="N3293" s="565" t="e">
        <f>K3293*INDEX([2]Pedidos!$Q:$Q,MATCH(H3293,[2]Pedidos!$E:$E,0))</f>
        <v>#N/A</v>
      </c>
    </row>
    <row r="3294" spans="3:16" x14ac:dyDescent="0.25">
      <c r="C3294" s="527" t="s">
        <v>161</v>
      </c>
      <c r="D3294" s="449">
        <f t="shared" si="255"/>
        <v>46167</v>
      </c>
      <c r="E3294" s="454" t="s">
        <v>168</v>
      </c>
      <c r="F3294" s="460" t="s">
        <v>1765</v>
      </c>
      <c r="G3294" s="460" t="s">
        <v>1768</v>
      </c>
      <c r="H3294" s="460"/>
      <c r="I3294" s="540">
        <v>600</v>
      </c>
      <c r="J3294" s="540">
        <v>600</v>
      </c>
      <c r="K3294" s="545"/>
      <c r="L3294" s="565">
        <f>I3294*INDEX([2]Pedidos!$Q:$Q,MATCH(F3294,[2]Pedidos!$E:$E,0))</f>
        <v>720</v>
      </c>
      <c r="M3294" s="564">
        <f>J3294*INDEX([2]Pedidos!$Q:$Q,MATCH(G3294,[2]Pedidos!$E:$E,0))</f>
        <v>510</v>
      </c>
      <c r="N3294" s="565" t="e">
        <f>K3294*INDEX([2]Pedidos!$Q:$Q,MATCH(H3294,[2]Pedidos!$E:$E,0))</f>
        <v>#N/A</v>
      </c>
    </row>
    <row r="3295" spans="3:16" x14ac:dyDescent="0.25">
      <c r="C3295" s="527" t="s">
        <v>161</v>
      </c>
      <c r="D3295" s="449">
        <f t="shared" si="255"/>
        <v>46167</v>
      </c>
      <c r="E3295" s="454" t="s">
        <v>169</v>
      </c>
      <c r="F3295" s="460" t="s">
        <v>1765</v>
      </c>
      <c r="G3295" s="460" t="s">
        <v>1768</v>
      </c>
      <c r="H3295" s="460"/>
      <c r="I3295" s="540">
        <v>600</v>
      </c>
      <c r="J3295" s="540">
        <v>600</v>
      </c>
      <c r="K3295" s="545"/>
      <c r="L3295" s="565">
        <f>I3295*INDEX([2]Pedidos!$Q:$Q,MATCH(F3295,[2]Pedidos!$E:$E,0))</f>
        <v>720</v>
      </c>
      <c r="M3295" s="564">
        <f>J3295*INDEX([2]Pedidos!$Q:$Q,MATCH(G3295,[2]Pedidos!$E:$E,0))</f>
        <v>510</v>
      </c>
      <c r="N3295" s="565" t="e">
        <f>K3295*INDEX([2]Pedidos!$Q:$Q,MATCH(H3295,[2]Pedidos!$E:$E,0))</f>
        <v>#N/A</v>
      </c>
    </row>
    <row r="3296" spans="3:16" x14ac:dyDescent="0.25">
      <c r="C3296" s="527" t="s">
        <v>161</v>
      </c>
      <c r="D3296" s="453">
        <f t="shared" si="255"/>
        <v>46167</v>
      </c>
      <c r="E3296" s="454" t="s">
        <v>170</v>
      </c>
      <c r="F3296" s="460" t="s">
        <v>1765</v>
      </c>
      <c r="G3296" s="460" t="s">
        <v>1768</v>
      </c>
      <c r="H3296" s="460"/>
      <c r="I3296" s="540">
        <v>600</v>
      </c>
      <c r="J3296" s="540">
        <v>600</v>
      </c>
      <c r="K3296" s="545"/>
      <c r="L3296" s="566">
        <f>I3296*INDEX([2]Pedidos!$Q:$Q,MATCH(F3296,[2]Pedidos!$E:$E,0))</f>
        <v>720</v>
      </c>
      <c r="M3296" s="564">
        <f>J3296*INDEX([2]Pedidos!$Q:$Q,MATCH(G3296,[2]Pedidos!$E:$E,0))</f>
        <v>510</v>
      </c>
      <c r="N3296" s="566" t="e">
        <f>K3296*INDEX([2]Pedidos!$Q:$Q,MATCH(H3296,[2]Pedidos!$E:$E,0))</f>
        <v>#N/A</v>
      </c>
    </row>
    <row r="3297" spans="3:16" x14ac:dyDescent="0.25">
      <c r="C3297" s="527" t="s">
        <v>161</v>
      </c>
      <c r="D3297" s="453">
        <f t="shared" si="255"/>
        <v>46167</v>
      </c>
      <c r="E3297" s="454" t="s">
        <v>585</v>
      </c>
      <c r="F3297" s="505"/>
      <c r="G3297" s="505"/>
      <c r="H3297" s="505"/>
      <c r="I3297" s="516" cm="1">
        <f t="array" aca="1" ref="I3297" ca="1">IFERROR(_xlfn.LET(_xlpm.produto,TRIM(F3297)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297" s="516" cm="1">
        <f t="array" aca="1" ref="J3297" ca="1">IFERROR(_xlfn.LET(_xlpm.produto,TRIM(G3297)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297" s="516" cm="1">
        <f t="array" aca="1" ref="K3297" ca="1">IFERROR(_xlfn.LET(_xlpm.produto,TRIM(H3297)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297" s="557"/>
      <c r="M3297" s="557"/>
      <c r="N3297" s="557"/>
    </row>
    <row r="3298" spans="3:16" x14ac:dyDescent="0.25">
      <c r="C3298" s="527" t="s">
        <v>161</v>
      </c>
      <c r="D3298" s="453">
        <f t="shared" si="255"/>
        <v>46167</v>
      </c>
      <c r="E3298" s="455" t="s">
        <v>574</v>
      </c>
      <c r="F3298" s="505"/>
      <c r="G3298" s="505"/>
      <c r="H3298" s="505"/>
      <c r="I3298" s="516" cm="1">
        <f t="array" aca="1" ref="I3298" ca="1">IFERROR(_xlfn.LET(_xlpm.produto,TRIM(F3298)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298" s="516" cm="1">
        <f t="array" aca="1" ref="J3298" ca="1">IFERROR(_xlfn.LET(_xlpm.produto,TRIM(G3298)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298" s="516" cm="1">
        <f t="array" aca="1" ref="K3298" ca="1">IFERROR(_xlfn.LET(_xlpm.produto,TRIM(H3298)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298" s="557"/>
      <c r="M3298" s="557"/>
      <c r="N3298" s="557"/>
    </row>
    <row r="3299" spans="3:16" x14ac:dyDescent="0.25">
      <c r="C3299" s="527" t="s">
        <v>161</v>
      </c>
      <c r="D3299" s="453">
        <f t="shared" si="255"/>
        <v>46167</v>
      </c>
      <c r="E3299" s="455" t="s">
        <v>575</v>
      </c>
      <c r="F3299" s="506"/>
      <c r="G3299" s="506"/>
      <c r="H3299" s="506"/>
      <c r="I3299" s="516" cm="1">
        <f t="array" aca="1" ref="I3299" ca="1">IFERROR(_xlfn.LET(_xlpm.produto,TRIM(F3299)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299" s="516" cm="1">
        <f t="array" aca="1" ref="J3299" ca="1">IFERROR(_xlfn.LET(_xlpm.produto,TRIM(G3299)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299" s="516" cm="1">
        <f t="array" aca="1" ref="K3299" ca="1">IFERROR(_xlfn.LET(_xlpm.produto,TRIM(H3299)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299" s="557"/>
      <c r="M3299" s="557"/>
      <c r="N3299" s="557"/>
    </row>
    <row r="3300" spans="3:16" x14ac:dyDescent="0.25">
      <c r="C3300" s="527" t="s">
        <v>161</v>
      </c>
      <c r="D3300" s="453">
        <f t="shared" si="255"/>
        <v>46167</v>
      </c>
      <c r="E3300" s="503" t="s">
        <v>583</v>
      </c>
      <c r="F3300" s="506"/>
      <c r="G3300" s="506"/>
      <c r="H3300" s="506"/>
      <c r="I3300" s="516" cm="1">
        <f t="array" aca="1" ref="I3300" ca="1">IFERROR(_xlfn.LET(_xlpm.produto,TRIM(F3300)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00" s="516" cm="1">
        <f t="array" aca="1" ref="J3300" ca="1">IFERROR(_xlfn.LET(_xlpm.produto,TRIM(G3300)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00" s="516" cm="1">
        <f t="array" aca="1" ref="K3300" ca="1">IFERROR(_xlfn.LET(_xlpm.produto,TRIM(H3300)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00" s="557"/>
      <c r="M3300" s="557"/>
      <c r="N3300" s="557"/>
    </row>
    <row r="3301" spans="3:16" ht="15.75" thickBot="1" x14ac:dyDescent="0.3">
      <c r="C3301" s="528" t="s">
        <v>161</v>
      </c>
      <c r="D3301" s="451">
        <f t="shared" si="255"/>
        <v>46167</v>
      </c>
      <c r="E3301" s="459" t="s">
        <v>584</v>
      </c>
      <c r="F3301" s="493"/>
      <c r="G3301" s="493"/>
      <c r="H3301" s="493"/>
      <c r="I3301" s="513" cm="1">
        <f t="array" aca="1" ref="I3301" ca="1">IFERROR(_xlfn.LET(_xlpm.produto,TRIM(F3301)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01" s="513" cm="1">
        <f t="array" aca="1" ref="J3301" ca="1">IFERROR(_xlfn.LET(_xlpm.produto,TRIM(G3301)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01" s="513" cm="1">
        <f t="array" aca="1" ref="K3301" ca="1">IFERROR(_xlfn.LET(_xlpm.produto,TRIM(H3301),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01" s="558"/>
      <c r="M3301" s="558"/>
      <c r="N3301" s="558"/>
    </row>
    <row r="3302" spans="3:16" ht="15.75" thickBot="1" x14ac:dyDescent="0.3">
      <c r="I3302" s="445"/>
      <c r="J3302" s="445"/>
      <c r="L3302" s="559"/>
      <c r="M3302" s="559"/>
      <c r="N3302" s="559"/>
    </row>
    <row r="3303" spans="3:16" ht="15.75" thickBot="1" x14ac:dyDescent="0.3">
      <c r="C3303" s="538"/>
      <c r="D3303" s="539"/>
      <c r="E3303" s="539"/>
      <c r="F3303" s="539"/>
      <c r="G3303" s="539"/>
      <c r="H3303" s="539"/>
      <c r="I3303" s="606">
        <f t="shared" ref="I3303:N3303" ca="1" si="256">_xlfn.AGGREGATE(9,6,I3304:I3319)</f>
        <v>5400</v>
      </c>
      <c r="J3303" s="607">
        <f t="shared" ca="1" si="256"/>
        <v>5400</v>
      </c>
      <c r="K3303" s="544">
        <f t="shared" ca="1" si="256"/>
        <v>0</v>
      </c>
      <c r="L3303" s="560">
        <f t="shared" si="256"/>
        <v>6480</v>
      </c>
      <c r="M3303" s="561">
        <f t="shared" si="256"/>
        <v>4590</v>
      </c>
      <c r="N3303" s="562">
        <f t="shared" si="256"/>
        <v>0</v>
      </c>
      <c r="O3303" s="548">
        <f ca="1">SUM(I3303:K3303)</f>
        <v>10800</v>
      </c>
      <c r="P3303" s="549">
        <f>SUM(L3303:N3303)</f>
        <v>11070</v>
      </c>
    </row>
    <row r="3304" spans="3:16" x14ac:dyDescent="0.25">
      <c r="C3304" s="446" t="s">
        <v>171</v>
      </c>
      <c r="D3304" s="497">
        <f>D3301+1</f>
        <v>46168</v>
      </c>
      <c r="E3304" s="498" t="s">
        <v>573</v>
      </c>
      <c r="F3304" s="514"/>
      <c r="G3304" s="514"/>
      <c r="H3304" s="514"/>
      <c r="I3304" s="537" cm="1">
        <f t="array" aca="1" ref="I3304" ca="1">IFERROR(_xlfn.LET(_xlpm.produto,TRIM(F3304)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04" s="537" cm="1">
        <f t="array" aca="1" ref="J3304" ca="1">IFERROR(_xlfn.LET(_xlpm.produto,TRIM(G3304)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04" s="537" cm="1">
        <f t="array" aca="1" ref="K3304" ca="1">IFERROR(_xlfn.LET(_xlpm.produto,TRIM(H3304),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04" s="563"/>
      <c r="M3304" s="563"/>
      <c r="N3304" s="563"/>
    </row>
    <row r="3305" spans="3:16" x14ac:dyDescent="0.25">
      <c r="C3305" s="452" t="s">
        <v>171</v>
      </c>
      <c r="D3305" s="499">
        <f t="shared" ref="D3305:D3319" si="257">D3304</f>
        <v>46168</v>
      </c>
      <c r="E3305" s="500" t="s">
        <v>162</v>
      </c>
      <c r="F3305" s="460" t="s">
        <v>1765</v>
      </c>
      <c r="G3305" s="460" t="s">
        <v>1767</v>
      </c>
      <c r="H3305" s="460"/>
      <c r="I3305" s="540">
        <v>600</v>
      </c>
      <c r="J3305" s="540">
        <v>600</v>
      </c>
      <c r="K3305" s="545"/>
      <c r="L3305" s="555">
        <f>I3305*INDEX([2]Pedidos!$Q:$Q,MATCH(F3305,[2]Pedidos!$E:$E,0))</f>
        <v>720</v>
      </c>
      <c r="M3305" s="564">
        <f>J3305*INDEX([2]Pedidos!$Q:$Q,MATCH(G3305,[2]Pedidos!$E:$E,0))</f>
        <v>510</v>
      </c>
      <c r="N3305" s="555" t="e">
        <f>K3305*INDEX([2]Pedidos!$Q:$Q,MATCH(H3305,[2]Pedidos!$E:$E,0))</f>
        <v>#N/A</v>
      </c>
    </row>
    <row r="3306" spans="3:16" x14ac:dyDescent="0.25">
      <c r="C3306" s="452" t="s">
        <v>171</v>
      </c>
      <c r="D3306" s="449">
        <f t="shared" si="257"/>
        <v>46168</v>
      </c>
      <c r="E3306" s="454" t="s">
        <v>163</v>
      </c>
      <c r="F3306" s="460" t="s">
        <v>1765</v>
      </c>
      <c r="G3306" s="460" t="s">
        <v>1767</v>
      </c>
      <c r="H3306" s="460"/>
      <c r="I3306" s="540">
        <v>600</v>
      </c>
      <c r="J3306" s="540">
        <v>600</v>
      </c>
      <c r="K3306" s="545"/>
      <c r="L3306" s="564">
        <f>I3306*INDEX([2]Pedidos!$Q:$Q,MATCH(F3306,[2]Pedidos!$E:$E,0))</f>
        <v>720</v>
      </c>
      <c r="M3306" s="564">
        <f>J3306*INDEX([2]Pedidos!$Q:$Q,MATCH(G3306,[2]Pedidos!$E:$E,0))</f>
        <v>510</v>
      </c>
      <c r="N3306" s="564" t="e">
        <f>K3306*INDEX([2]Pedidos!$Q:$Q,MATCH(H3306,[2]Pedidos!$E:$E,0))</f>
        <v>#N/A</v>
      </c>
    </row>
    <row r="3307" spans="3:16" x14ac:dyDescent="0.25">
      <c r="C3307" s="452" t="s">
        <v>171</v>
      </c>
      <c r="D3307" s="449">
        <f t="shared" si="257"/>
        <v>46168</v>
      </c>
      <c r="E3307" s="454" t="s">
        <v>164</v>
      </c>
      <c r="F3307" s="460" t="s">
        <v>1765</v>
      </c>
      <c r="G3307" s="460" t="s">
        <v>1767</v>
      </c>
      <c r="H3307" s="460"/>
      <c r="I3307" s="540">
        <v>600</v>
      </c>
      <c r="J3307" s="540">
        <v>600</v>
      </c>
      <c r="K3307" s="545"/>
      <c r="L3307" s="564">
        <f>I3307*INDEX([2]Pedidos!$Q:$Q,MATCH(F3307,[2]Pedidos!$E:$E,0))</f>
        <v>720</v>
      </c>
      <c r="M3307" s="564">
        <f>J3307*INDEX([2]Pedidos!$Q:$Q,MATCH(G3307,[2]Pedidos!$E:$E,0))</f>
        <v>510</v>
      </c>
      <c r="N3307" s="564" t="e">
        <f>K3307*INDEX([2]Pedidos!$Q:$Q,MATCH(H3307,[2]Pedidos!$E:$E,0))</f>
        <v>#N/A</v>
      </c>
    </row>
    <row r="3308" spans="3:16" x14ac:dyDescent="0.25">
      <c r="C3308" s="452" t="s">
        <v>171</v>
      </c>
      <c r="D3308" s="449">
        <f t="shared" si="257"/>
        <v>46168</v>
      </c>
      <c r="E3308" s="454" t="s">
        <v>165</v>
      </c>
      <c r="F3308" s="460" t="s">
        <v>1765</v>
      </c>
      <c r="G3308" s="460" t="s">
        <v>1767</v>
      </c>
      <c r="H3308" s="460"/>
      <c r="I3308" s="540">
        <v>600</v>
      </c>
      <c r="J3308" s="540">
        <v>600</v>
      </c>
      <c r="K3308" s="545"/>
      <c r="L3308" s="564">
        <f>I3308*INDEX([2]Pedidos!$Q:$Q,MATCH(F3308,[2]Pedidos!$E:$E,0))</f>
        <v>720</v>
      </c>
      <c r="M3308" s="564">
        <f>J3308*INDEX([2]Pedidos!$Q:$Q,MATCH(G3308,[2]Pedidos!$E:$E,0))</f>
        <v>510</v>
      </c>
      <c r="N3308" s="564" t="e">
        <f>K3308*INDEX([2]Pedidos!$Q:$Q,MATCH(H3308,[2]Pedidos!$E:$E,0))</f>
        <v>#N/A</v>
      </c>
    </row>
    <row r="3309" spans="3:16" x14ac:dyDescent="0.25">
      <c r="C3309" s="452" t="s">
        <v>171</v>
      </c>
      <c r="D3309" s="449">
        <f t="shared" si="257"/>
        <v>46168</v>
      </c>
      <c r="E3309" s="454" t="s">
        <v>166</v>
      </c>
      <c r="F3309" s="460" t="s">
        <v>1766</v>
      </c>
      <c r="G3309" s="460" t="s">
        <v>1767</v>
      </c>
      <c r="H3309" s="460"/>
      <c r="I3309" s="540">
        <v>600</v>
      </c>
      <c r="J3309" s="540">
        <v>600</v>
      </c>
      <c r="K3309" s="545"/>
      <c r="L3309" s="564">
        <f>I3309*INDEX([2]Pedidos!$Q:$Q,MATCH(F3309,[2]Pedidos!$E:$E,0))</f>
        <v>720</v>
      </c>
      <c r="M3309" s="564">
        <f>J3309*INDEX([2]Pedidos!$Q:$Q,MATCH(G3309,[2]Pedidos!$E:$E,0))</f>
        <v>510</v>
      </c>
      <c r="N3309" s="564" t="e">
        <f>K3309*INDEX([2]Pedidos!$Q:$Q,MATCH(H3309,[2]Pedidos!$E:$E,0))</f>
        <v>#N/A</v>
      </c>
    </row>
    <row r="3310" spans="3:16" x14ac:dyDescent="0.25">
      <c r="C3310" s="452" t="s">
        <v>171</v>
      </c>
      <c r="D3310" s="449">
        <f t="shared" si="257"/>
        <v>46168</v>
      </c>
      <c r="E3310" s="454" t="s">
        <v>576</v>
      </c>
      <c r="F3310" s="517"/>
      <c r="G3310" s="512"/>
      <c r="H3310" s="512"/>
      <c r="I3310" s="554" cm="1">
        <f t="array" aca="1" ref="I3310" ca="1">IFERROR(_xlfn.LET(_xlpm.produto,TRIM(F3310)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0" s="554" cm="1">
        <f t="array" aca="1" ref="J3310" ca="1">IFERROR(_xlfn.LET(_xlpm.produto,TRIM(G3310)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0" s="554" cm="1">
        <f t="array" aca="1" ref="K3310" ca="1">IFERROR(_xlfn.LET(_xlpm.produto,TRIM(H3310),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0" s="556"/>
      <c r="M3310" s="556"/>
      <c r="N3310" s="556"/>
    </row>
    <row r="3311" spans="3:16" x14ac:dyDescent="0.25">
      <c r="C3311" s="452" t="s">
        <v>171</v>
      </c>
      <c r="D3311" s="449">
        <f t="shared" si="257"/>
        <v>46168</v>
      </c>
      <c r="E3311" s="454" t="s">
        <v>167</v>
      </c>
      <c r="F3311" s="460" t="s">
        <v>1766</v>
      </c>
      <c r="G3311" s="460" t="s">
        <v>1767</v>
      </c>
      <c r="H3311" s="460"/>
      <c r="I3311" s="540">
        <v>600</v>
      </c>
      <c r="J3311" s="540">
        <v>600</v>
      </c>
      <c r="K3311" s="545"/>
      <c r="L3311" s="565">
        <f>I3311*INDEX([2]Pedidos!$Q:$Q,MATCH(F3311,[2]Pedidos!$E:$E,0))</f>
        <v>720</v>
      </c>
      <c r="M3311" s="564">
        <f>J3311*INDEX([2]Pedidos!$Q:$Q,MATCH(G3311,[2]Pedidos!$E:$E,0))</f>
        <v>510</v>
      </c>
      <c r="N3311" s="565" t="e">
        <f>K3311*INDEX([2]Pedidos!$Q:$Q,MATCH(H3311,[2]Pedidos!$E:$E,0))</f>
        <v>#N/A</v>
      </c>
    </row>
    <row r="3312" spans="3:16" x14ac:dyDescent="0.25">
      <c r="C3312" s="452" t="s">
        <v>171</v>
      </c>
      <c r="D3312" s="449">
        <f t="shared" si="257"/>
        <v>46168</v>
      </c>
      <c r="E3312" s="454" t="s">
        <v>168</v>
      </c>
      <c r="F3312" s="460" t="s">
        <v>1766</v>
      </c>
      <c r="G3312" s="460" t="s">
        <v>1767</v>
      </c>
      <c r="H3312" s="460"/>
      <c r="I3312" s="540">
        <v>600</v>
      </c>
      <c r="J3312" s="540">
        <v>600</v>
      </c>
      <c r="K3312" s="545"/>
      <c r="L3312" s="565">
        <f>I3312*INDEX([2]Pedidos!$Q:$Q,MATCH(F3312,[2]Pedidos!$E:$E,0))</f>
        <v>720</v>
      </c>
      <c r="M3312" s="564">
        <f>J3312*INDEX([2]Pedidos!$Q:$Q,MATCH(G3312,[2]Pedidos!$E:$E,0))</f>
        <v>510</v>
      </c>
      <c r="N3312" s="565" t="e">
        <f>K3312*INDEX([2]Pedidos!$Q:$Q,MATCH(H3312,[2]Pedidos!$E:$E,0))</f>
        <v>#N/A</v>
      </c>
    </row>
    <row r="3313" spans="3:16" x14ac:dyDescent="0.25">
      <c r="C3313" s="452" t="s">
        <v>171</v>
      </c>
      <c r="D3313" s="449">
        <f t="shared" si="257"/>
        <v>46168</v>
      </c>
      <c r="E3313" s="454" t="s">
        <v>169</v>
      </c>
      <c r="F3313" s="460" t="s">
        <v>1766</v>
      </c>
      <c r="G3313" s="460" t="s">
        <v>1767</v>
      </c>
      <c r="H3313" s="460"/>
      <c r="I3313" s="540">
        <v>600</v>
      </c>
      <c r="J3313" s="540">
        <v>600</v>
      </c>
      <c r="K3313" s="545"/>
      <c r="L3313" s="565">
        <f>I3313*INDEX([2]Pedidos!$Q:$Q,MATCH(F3313,[2]Pedidos!$E:$E,0))</f>
        <v>720</v>
      </c>
      <c r="M3313" s="564">
        <f>J3313*INDEX([2]Pedidos!$Q:$Q,MATCH(G3313,[2]Pedidos!$E:$E,0))</f>
        <v>510</v>
      </c>
      <c r="N3313" s="565" t="e">
        <f>K3313*INDEX([2]Pedidos!$Q:$Q,MATCH(H3313,[2]Pedidos!$E:$E,0))</f>
        <v>#N/A</v>
      </c>
    </row>
    <row r="3314" spans="3:16" x14ac:dyDescent="0.25">
      <c r="C3314" s="452" t="s">
        <v>171</v>
      </c>
      <c r="D3314" s="449">
        <f t="shared" si="257"/>
        <v>46168</v>
      </c>
      <c r="E3314" s="454" t="s">
        <v>170</v>
      </c>
      <c r="F3314" s="460" t="s">
        <v>1766</v>
      </c>
      <c r="G3314" s="460" t="s">
        <v>1767</v>
      </c>
      <c r="H3314" s="460"/>
      <c r="I3314" s="540">
        <v>600</v>
      </c>
      <c r="J3314" s="540">
        <v>600</v>
      </c>
      <c r="K3314" s="545"/>
      <c r="L3314" s="566">
        <f>I3314*INDEX([2]Pedidos!$Q:$Q,MATCH(F3314,[2]Pedidos!$E:$E,0))</f>
        <v>720</v>
      </c>
      <c r="M3314" s="564">
        <f>J3314*INDEX([2]Pedidos!$Q:$Q,MATCH(G3314,[2]Pedidos!$E:$E,0))</f>
        <v>510</v>
      </c>
      <c r="N3314" s="566" t="e">
        <f>K3314*INDEX([2]Pedidos!$Q:$Q,MATCH(H3314,[2]Pedidos!$E:$E,0))</f>
        <v>#N/A</v>
      </c>
    </row>
    <row r="3315" spans="3:16" x14ac:dyDescent="0.25">
      <c r="C3315" s="452" t="s">
        <v>171</v>
      </c>
      <c r="D3315" s="449">
        <f t="shared" si="257"/>
        <v>46168</v>
      </c>
      <c r="E3315" s="454" t="s">
        <v>585</v>
      </c>
      <c r="F3315" s="505"/>
      <c r="G3315" s="505"/>
      <c r="H3315" s="516"/>
      <c r="I3315" s="516" cm="1">
        <f t="array" aca="1" ref="I3315" ca="1">IFERROR(_xlfn.LET(_xlpm.produto,TRIM(F3315)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5" s="516" cm="1">
        <f t="array" aca="1" ref="J3315" ca="1">IFERROR(_xlfn.LET(_xlpm.produto,TRIM(G3315)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5" s="516" cm="1">
        <f t="array" aca="1" ref="K3315" ca="1">IFERROR(_xlfn.LET(_xlpm.produto,TRIM(H3315),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5" s="557"/>
      <c r="M3315" s="557"/>
      <c r="N3315" s="557"/>
    </row>
    <row r="3316" spans="3:16" x14ac:dyDescent="0.25">
      <c r="C3316" s="448" t="s">
        <v>171</v>
      </c>
      <c r="D3316" s="449">
        <f t="shared" si="257"/>
        <v>46168</v>
      </c>
      <c r="E3316" s="455" t="s">
        <v>574</v>
      </c>
      <c r="F3316" s="505"/>
      <c r="G3316" s="505"/>
      <c r="H3316" s="516"/>
      <c r="I3316" s="516" cm="1">
        <f t="array" aca="1" ref="I3316" ca="1">IFERROR(_xlfn.LET(_xlpm.produto,TRIM(F3316)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6" s="516" cm="1">
        <f t="array" aca="1" ref="J3316" ca="1">IFERROR(_xlfn.LET(_xlpm.produto,TRIM(G3316)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6" s="516" cm="1">
        <f t="array" aca="1" ref="K3316" ca="1">IFERROR(_xlfn.LET(_xlpm.produto,TRIM(H3316),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6" s="557"/>
      <c r="M3316" s="557"/>
      <c r="N3316" s="557"/>
    </row>
    <row r="3317" spans="3:16" x14ac:dyDescent="0.25">
      <c r="C3317" s="448" t="s">
        <v>171</v>
      </c>
      <c r="D3317" s="449">
        <f t="shared" si="257"/>
        <v>46168</v>
      </c>
      <c r="E3317" s="455" t="s">
        <v>575</v>
      </c>
      <c r="F3317" s="506"/>
      <c r="G3317" s="506"/>
      <c r="H3317" s="516"/>
      <c r="I3317" s="516" cm="1">
        <f t="array" aca="1" ref="I3317" ca="1">IFERROR(_xlfn.LET(_xlpm.produto,TRIM(F3317)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7" s="516" cm="1">
        <f t="array" aca="1" ref="J3317" ca="1">IFERROR(_xlfn.LET(_xlpm.produto,TRIM(G3317)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7" s="516" cm="1">
        <f t="array" aca="1" ref="K3317" ca="1">IFERROR(_xlfn.LET(_xlpm.produto,TRIM(H3317),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7" s="557"/>
      <c r="M3317" s="557"/>
      <c r="N3317" s="557"/>
    </row>
    <row r="3318" spans="3:16" x14ac:dyDescent="0.25">
      <c r="C3318" s="448" t="s">
        <v>171</v>
      </c>
      <c r="D3318" s="449">
        <f t="shared" si="257"/>
        <v>46168</v>
      </c>
      <c r="E3318" s="503" t="s">
        <v>583</v>
      </c>
      <c r="F3318" s="506"/>
      <c r="G3318" s="506"/>
      <c r="H3318" s="516"/>
      <c r="I3318" s="516" cm="1">
        <f t="array" aca="1" ref="I3318" ca="1">IFERROR(_xlfn.LET(_xlpm.produto,TRIM(F3318)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8" s="516" cm="1">
        <f t="array" aca="1" ref="J3318" ca="1">IFERROR(_xlfn.LET(_xlpm.produto,TRIM(G3318)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8" s="516" cm="1">
        <f t="array" aca="1" ref="K3318" ca="1">IFERROR(_xlfn.LET(_xlpm.produto,TRIM(H3318)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8" s="557"/>
      <c r="M3318" s="557"/>
      <c r="N3318" s="557"/>
    </row>
    <row r="3319" spans="3:16" ht="15.75" thickBot="1" x14ac:dyDescent="0.3">
      <c r="C3319" s="450" t="s">
        <v>171</v>
      </c>
      <c r="D3319" s="451">
        <f t="shared" si="257"/>
        <v>46168</v>
      </c>
      <c r="E3319" s="459" t="s">
        <v>584</v>
      </c>
      <c r="F3319" s="493"/>
      <c r="G3319" s="493"/>
      <c r="H3319" s="513"/>
      <c r="I3319" s="513" cm="1">
        <f t="array" aca="1" ref="I3319" ca="1">IFERROR(_xlfn.LET(_xlpm.produto,TRIM(F3319)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19" s="513" cm="1">
        <f t="array" aca="1" ref="J3319" ca="1">IFERROR(_xlfn.LET(_xlpm.produto,TRIM(G3319)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19" s="513" cm="1">
        <f t="array" aca="1" ref="K3319" ca="1">IFERROR(_xlfn.LET(_xlpm.produto,TRIM(H3319),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L3319" s="558"/>
      <c r="M3319" s="558"/>
      <c r="N3319" s="558"/>
    </row>
    <row r="3320" spans="3:16" ht="15.75" thickBot="1" x14ac:dyDescent="0.3">
      <c r="I3320" s="445"/>
      <c r="J3320" s="445"/>
      <c r="L3320" s="559"/>
      <c r="M3320" s="559"/>
      <c r="N3320" s="559"/>
    </row>
    <row r="3321" spans="3:16" ht="15.75" thickBot="1" x14ac:dyDescent="0.3">
      <c r="C3321" s="538"/>
      <c r="D3321" s="539"/>
      <c r="E3321" s="539"/>
      <c r="F3321" s="539"/>
      <c r="G3321" s="539"/>
      <c r="H3321" s="539"/>
      <c r="I3321" s="606">
        <f t="shared" ref="I3321:N3321" ca="1" si="258">_xlfn.AGGREGATE(9,6,I3322:I3337)</f>
        <v>5400</v>
      </c>
      <c r="J3321" s="607">
        <f t="shared" ca="1" si="258"/>
        <v>5400</v>
      </c>
      <c r="K3321" s="544">
        <f t="shared" si="258"/>
        <v>0</v>
      </c>
      <c r="L3321" s="560">
        <f t="shared" si="258"/>
        <v>6480</v>
      </c>
      <c r="M3321" s="561">
        <f t="shared" si="258"/>
        <v>4590</v>
      </c>
      <c r="N3321" s="562">
        <f t="shared" si="258"/>
        <v>0</v>
      </c>
      <c r="O3321" s="548">
        <f ca="1">SUM(I3321:K3321)</f>
        <v>10800</v>
      </c>
      <c r="P3321" s="549">
        <f>SUM(L3321:N3321)</f>
        <v>11070</v>
      </c>
    </row>
    <row r="3322" spans="3:16" x14ac:dyDescent="0.25">
      <c r="C3322" s="446" t="s">
        <v>172</v>
      </c>
      <c r="D3322" s="497">
        <f>D3319+1</f>
        <v>46169</v>
      </c>
      <c r="E3322" s="498" t="s">
        <v>573</v>
      </c>
      <c r="F3322" s="514"/>
      <c r="G3322" s="514"/>
      <c r="H3322" s="514"/>
      <c r="I3322" s="537"/>
      <c r="J3322" s="537"/>
      <c r="K3322" s="537"/>
      <c r="L3322" s="563"/>
      <c r="M3322" s="563"/>
      <c r="N3322" s="563"/>
    </row>
    <row r="3323" spans="3:16" x14ac:dyDescent="0.25">
      <c r="C3323" s="452" t="s">
        <v>172</v>
      </c>
      <c r="D3323" s="499">
        <f t="shared" ref="D3323:D3337" si="259">D3322</f>
        <v>46169</v>
      </c>
      <c r="E3323" s="500" t="s">
        <v>162</v>
      </c>
      <c r="F3323" s="460" t="s">
        <v>1766</v>
      </c>
      <c r="G3323" s="460" t="s">
        <v>1767</v>
      </c>
      <c r="H3323" s="460"/>
      <c r="I3323" s="540">
        <v>600</v>
      </c>
      <c r="J3323" s="540">
        <v>600</v>
      </c>
      <c r="K3323" s="545"/>
      <c r="L3323" s="555">
        <f>I3323*INDEX([2]Pedidos!$Q:$Q,MATCH(F3323,[2]Pedidos!$E:$E,0))</f>
        <v>720</v>
      </c>
      <c r="M3323" s="564">
        <f>J3323*INDEX([2]Pedidos!$Q:$Q,MATCH(G3323,[2]Pedidos!$E:$E,0))</f>
        <v>510</v>
      </c>
      <c r="N3323" s="555" t="e">
        <f>K3323*INDEX([2]Pedidos!$Q:$Q,MATCH(H3323,[2]Pedidos!$E:$E,0))</f>
        <v>#N/A</v>
      </c>
    </row>
    <row r="3324" spans="3:16" x14ac:dyDescent="0.25">
      <c r="C3324" s="452" t="s">
        <v>172</v>
      </c>
      <c r="D3324" s="449">
        <f t="shared" si="259"/>
        <v>46169</v>
      </c>
      <c r="E3324" s="454" t="s">
        <v>163</v>
      </c>
      <c r="F3324" s="460" t="s">
        <v>1766</v>
      </c>
      <c r="G3324" s="460" t="s">
        <v>1767</v>
      </c>
      <c r="H3324" s="460"/>
      <c r="I3324" s="540">
        <v>600</v>
      </c>
      <c r="J3324" s="540">
        <v>600</v>
      </c>
      <c r="K3324" s="545"/>
      <c r="L3324" s="564">
        <f>I3324*INDEX([2]Pedidos!$Q:$Q,MATCH(F3324,[2]Pedidos!$E:$E,0))</f>
        <v>720</v>
      </c>
      <c r="M3324" s="564">
        <f>J3324*INDEX([2]Pedidos!$Q:$Q,MATCH(G3324,[2]Pedidos!$E:$E,0))</f>
        <v>510</v>
      </c>
      <c r="N3324" s="564" t="e">
        <f>K3324*INDEX([2]Pedidos!$Q:$Q,MATCH(H3324,[2]Pedidos!$E:$E,0))</f>
        <v>#N/A</v>
      </c>
    </row>
    <row r="3325" spans="3:16" x14ac:dyDescent="0.25">
      <c r="C3325" s="452" t="s">
        <v>172</v>
      </c>
      <c r="D3325" s="449">
        <f t="shared" si="259"/>
        <v>46169</v>
      </c>
      <c r="E3325" s="454" t="s">
        <v>164</v>
      </c>
      <c r="F3325" s="460" t="s">
        <v>1766</v>
      </c>
      <c r="G3325" s="460" t="s">
        <v>1767</v>
      </c>
      <c r="H3325" s="460"/>
      <c r="I3325" s="540">
        <v>600</v>
      </c>
      <c r="J3325" s="540">
        <v>600</v>
      </c>
      <c r="K3325" s="545"/>
      <c r="L3325" s="564">
        <f>I3325*INDEX([2]Pedidos!$Q:$Q,MATCH(F3325,[2]Pedidos!$E:$E,0))</f>
        <v>720</v>
      </c>
      <c r="M3325" s="564">
        <f>J3325*INDEX([2]Pedidos!$Q:$Q,MATCH(G3325,[2]Pedidos!$E:$E,0))</f>
        <v>510</v>
      </c>
      <c r="N3325" s="564" t="e">
        <f>K3325*INDEX([2]Pedidos!$Q:$Q,MATCH(H3325,[2]Pedidos!$E:$E,0))</f>
        <v>#N/A</v>
      </c>
    </row>
    <row r="3326" spans="3:16" x14ac:dyDescent="0.25">
      <c r="C3326" s="452" t="s">
        <v>172</v>
      </c>
      <c r="D3326" s="449">
        <f t="shared" si="259"/>
        <v>46169</v>
      </c>
      <c r="E3326" s="454" t="s">
        <v>165</v>
      </c>
      <c r="F3326" s="460" t="s">
        <v>1766</v>
      </c>
      <c r="G3326" s="460" t="s">
        <v>1767</v>
      </c>
      <c r="H3326" s="460"/>
      <c r="I3326" s="540">
        <v>600</v>
      </c>
      <c r="J3326" s="540">
        <v>600</v>
      </c>
      <c r="K3326" s="545"/>
      <c r="L3326" s="564">
        <f>I3326*INDEX([2]Pedidos!$Q:$Q,MATCH(F3326,[2]Pedidos!$E:$E,0))</f>
        <v>720</v>
      </c>
      <c r="M3326" s="564">
        <f>J3326*INDEX([2]Pedidos!$Q:$Q,MATCH(G3326,[2]Pedidos!$E:$E,0))</f>
        <v>510</v>
      </c>
      <c r="N3326" s="564" t="e">
        <f>K3326*INDEX([2]Pedidos!$Q:$Q,MATCH(H3326,[2]Pedidos!$E:$E,0))</f>
        <v>#N/A</v>
      </c>
    </row>
    <row r="3327" spans="3:16" x14ac:dyDescent="0.25">
      <c r="C3327" s="452" t="s">
        <v>172</v>
      </c>
      <c r="D3327" s="449">
        <f t="shared" si="259"/>
        <v>46169</v>
      </c>
      <c r="E3327" s="454" t="s">
        <v>166</v>
      </c>
      <c r="F3327" s="460" t="s">
        <v>1766</v>
      </c>
      <c r="G3327" s="460" t="s">
        <v>1767</v>
      </c>
      <c r="H3327" s="460"/>
      <c r="I3327" s="540">
        <v>600</v>
      </c>
      <c r="J3327" s="540">
        <v>600</v>
      </c>
      <c r="K3327" s="545"/>
      <c r="L3327" s="564">
        <f>I3327*INDEX([2]Pedidos!$Q:$Q,MATCH(F3327,[2]Pedidos!$E:$E,0))</f>
        <v>720</v>
      </c>
      <c r="M3327" s="564">
        <f>J3327*INDEX([2]Pedidos!$Q:$Q,MATCH(G3327,[2]Pedidos!$E:$E,0))</f>
        <v>510</v>
      </c>
      <c r="N3327" s="564" t="e">
        <f>K3327*INDEX([2]Pedidos!$Q:$Q,MATCH(H3327,[2]Pedidos!$E:$E,0))</f>
        <v>#N/A</v>
      </c>
    </row>
    <row r="3328" spans="3:16" x14ac:dyDescent="0.25">
      <c r="C3328" s="452" t="s">
        <v>172</v>
      </c>
      <c r="D3328" s="449">
        <f t="shared" si="259"/>
        <v>46169</v>
      </c>
      <c r="E3328" s="454" t="s">
        <v>576</v>
      </c>
      <c r="F3328" s="517"/>
      <c r="G3328" s="512"/>
      <c r="H3328" s="512"/>
      <c r="I3328" s="554" cm="1">
        <f t="array" aca="1" ref="I3328" ca="1">IFERROR(_xlfn.LET(_xlpm.produto,TRIM(F3328)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J3328" s="554" cm="1">
        <f t="array" aca="1" ref="J3328" ca="1">IFERROR(_xlfn.LET(_xlpm.produto,TRIM(G3328),_xlpm.pedido,INDEX([2]Pedidos!$H:$H,MATCH(_xlpm.produto,[2]Pedidos!$E:$E,0)),_xlpm.produzidoV,INDEX([2]Pedidos!$V:$V,MATCH(_xlpm.produto,[2]Pedidos!$E:$E,0)),_xlpm.produzidoW,INDEX([2]Pedidos!$W:$W,MATCH(_xlpm.produto,[2]Pedidos!$E:$E,0)),_xlpm.dataPedido,INDEX([2]Pedidos!$G:$G,MATCH(_xlpm.produto,[2]Pedidos!$E:$E,0)),_xlpm.dataSegunda,INDIRECT("D"&amp;(INT((ROW()-7)/90)*90+7)),_xlpm.semanaAtiva,_xlpm.dataSegunda&gt;TODAY(),_xlpm.prodAntes,SUMIFS('Controle de Produção'!$K:$K,'Controle de Produção'!$M:$M,_xlpm.produto,'Controle de Produção'!$B:$B,"&gt;="&amp;_xlpm.dataPedido,'Controle de Produção'!$B:$B,"&lt;"&amp;_xlpm.dataSegunda,'Controle de Produção'!$J:$J,"Envase"),_xlpm.saldo,IF(_xlpm.semanaAtiva,_xlpm.pedido-MAX(_xlpm.produzidoV,_xlpm.produzidoW),_xlpm.pedido-_xlpm.prodAntes),_xlpm.horas,COUNTIF(#REF!,"="&amp;_xlpm.produto)+COUNTIF(#REF!,"="&amp;_xlpm.produto)+COUNTIF(#REF!,"="&amp;_xlpm.produto),_xlpm.saldo/_xlpm.horas),0)</f>
        <v>0</v>
      </c>
      <c r="K3328" s="554"/>
      <c r="L3328" s="556"/>
      <c r="M3328" s="556"/>
      <c r="N3328" s="556"/>
    </row>
    <row r="3329" spans="3:16" x14ac:dyDescent="0.25">
      <c r="C3329" s="452" t="s">
        <v>172</v>
      </c>
      <c r="D3329" s="449">
        <f t="shared" si="259"/>
        <v>46169</v>
      </c>
      <c r="E3329" s="454" t="s">
        <v>167</v>
      </c>
      <c r="F3329" s="460" t="s">
        <v>1766</v>
      </c>
      <c r="G3329" s="460" t="s">
        <v>1767</v>
      </c>
      <c r="H3329" s="460"/>
      <c r="I3329" s="540">
        <v>600</v>
      </c>
      <c r="J3329" s="540">
        <v>600</v>
      </c>
      <c r="K3329" s="545"/>
      <c r="L3329" s="565">
        <f>I3329*INDEX([2]Pedidos!$Q:$Q,MATCH(F3329,[2]Pedidos!$E:$E,0))</f>
        <v>720</v>
      </c>
      <c r="M3329" s="564">
        <f>J3329*INDEX([2]Pedidos!$Q:$Q,MATCH(G3329,[2]Pedidos!$E:$E,0))</f>
        <v>510</v>
      </c>
      <c r="N3329" s="565" t="e">
        <f>K3329*INDEX([2]Pedidos!$Q:$Q,MATCH(H3329,[2]Pedidos!$E:$E,0))</f>
        <v>#N/A</v>
      </c>
    </row>
    <row r="3330" spans="3:16" x14ac:dyDescent="0.25">
      <c r="C3330" s="452" t="s">
        <v>172</v>
      </c>
      <c r="D3330" s="449">
        <f t="shared" si="259"/>
        <v>46169</v>
      </c>
      <c r="E3330" s="454" t="s">
        <v>168</v>
      </c>
      <c r="F3330" s="460" t="s">
        <v>1766</v>
      </c>
      <c r="G3330" s="460" t="s">
        <v>1767</v>
      </c>
      <c r="H3330" s="460"/>
      <c r="I3330" s="540">
        <v>600</v>
      </c>
      <c r="J3330" s="540">
        <v>600</v>
      </c>
      <c r="K3330" s="545"/>
      <c r="L3330" s="565">
        <f>I3330*INDEX([2]Pedidos!$Q:$Q,MATCH(F3330,[2]Pedidos!$E:$E,0))</f>
        <v>720</v>
      </c>
      <c r="M3330" s="564">
        <f>J3330*INDEX([2]Pedidos!$Q:$Q,MATCH(G3330,[2]Pedidos!$E:$E,0))</f>
        <v>510</v>
      </c>
      <c r="N3330" s="565" t="e">
        <f>K3330*INDEX([2]Pedidos!$Q:$Q,MATCH(H3330,[2]Pedidos!$E:$E,0))</f>
        <v>#N/A</v>
      </c>
    </row>
    <row r="3331" spans="3:16" x14ac:dyDescent="0.25">
      <c r="C3331" s="452" t="s">
        <v>172</v>
      </c>
      <c r="D3331" s="449">
        <f t="shared" si="259"/>
        <v>46169</v>
      </c>
      <c r="E3331" s="454" t="s">
        <v>169</v>
      </c>
      <c r="F3331" s="460" t="s">
        <v>1766</v>
      </c>
      <c r="G3331" s="460" t="s">
        <v>1767</v>
      </c>
      <c r="H3331" s="460"/>
      <c r="I3331" s="540">
        <v>600</v>
      </c>
      <c r="J3331" s="540">
        <v>600</v>
      </c>
      <c r="K3331" s="545"/>
      <c r="L3331" s="565">
        <f>I3331*INDEX([2]Pedidos!$Q:$Q,MATCH(F3331,[2]Pedidos!$E:$E,0))</f>
        <v>720</v>
      </c>
      <c r="M3331" s="564">
        <f>J3331*INDEX([2]Pedidos!$Q:$Q,MATCH(G3331,[2]Pedidos!$E:$E,0))</f>
        <v>510</v>
      </c>
      <c r="N3331" s="565" t="e">
        <f>K3331*INDEX([2]Pedidos!$Q:$Q,MATCH(H3331,[2]Pedidos!$E:$E,0))</f>
        <v>#N/A</v>
      </c>
    </row>
    <row r="3332" spans="3:16" x14ac:dyDescent="0.25">
      <c r="C3332" s="452" t="s">
        <v>172</v>
      </c>
      <c r="D3332" s="449">
        <f t="shared" si="259"/>
        <v>46169</v>
      </c>
      <c r="E3332" s="454" t="s">
        <v>170</v>
      </c>
      <c r="F3332" s="460" t="s">
        <v>1766</v>
      </c>
      <c r="G3332" s="460" t="s">
        <v>1767</v>
      </c>
      <c r="H3332" s="460"/>
      <c r="I3332" s="540">
        <v>600</v>
      </c>
      <c r="J3332" s="540">
        <v>600</v>
      </c>
      <c r="K3332" s="545"/>
      <c r="L3332" s="566">
        <f>I3332*INDEX([2]Pedidos!$Q:$Q,MATCH(F3332,[2]Pedidos!$E:$E,0))</f>
        <v>720</v>
      </c>
      <c r="M3332" s="564">
        <f>J3332*INDEX([2]Pedidos!$Q:$Q,MATCH(G3332,[2]Pedidos!$E:$E,0))</f>
        <v>510</v>
      </c>
      <c r="N3332" s="566" t="e">
        <f>K3332*INDEX([2]Pedidos!$Q:$Q,MATCH(H3332,[2]Pedidos!$E:$E,0))</f>
        <v>#N/A</v>
      </c>
    </row>
    <row r="3333" spans="3:16" x14ac:dyDescent="0.25">
      <c r="C3333" s="452" t="s">
        <v>172</v>
      </c>
      <c r="D3333" s="449">
        <f t="shared" si="259"/>
        <v>46169</v>
      </c>
      <c r="E3333" s="454" t="s">
        <v>585</v>
      </c>
      <c r="F3333" s="505"/>
      <c r="G3333" s="505"/>
      <c r="H3333" s="516"/>
      <c r="I3333" s="516"/>
      <c r="J3333" s="516"/>
      <c r="K3333" s="516"/>
      <c r="L3333" s="557"/>
      <c r="M3333" s="557"/>
      <c r="N3333" s="557"/>
    </row>
    <row r="3334" spans="3:16" x14ac:dyDescent="0.25">
      <c r="C3334" s="448" t="s">
        <v>172</v>
      </c>
      <c r="D3334" s="449">
        <f t="shared" si="259"/>
        <v>46169</v>
      </c>
      <c r="E3334" s="455" t="s">
        <v>574</v>
      </c>
      <c r="F3334" s="505"/>
      <c r="G3334" s="505"/>
      <c r="H3334" s="516"/>
      <c r="I3334" s="516"/>
      <c r="J3334" s="516"/>
      <c r="K3334" s="516"/>
      <c r="L3334" s="557"/>
      <c r="M3334" s="557"/>
      <c r="N3334" s="557"/>
    </row>
    <row r="3335" spans="3:16" x14ac:dyDescent="0.25">
      <c r="C3335" s="448" t="s">
        <v>172</v>
      </c>
      <c r="D3335" s="449">
        <f t="shared" si="259"/>
        <v>46169</v>
      </c>
      <c r="E3335" s="455" t="s">
        <v>575</v>
      </c>
      <c r="F3335" s="506"/>
      <c r="G3335" s="506"/>
      <c r="H3335" s="516"/>
      <c r="I3335" s="516"/>
      <c r="J3335" s="516"/>
      <c r="K3335" s="516"/>
      <c r="L3335" s="557"/>
      <c r="M3335" s="557"/>
      <c r="N3335" s="557"/>
    </row>
    <row r="3336" spans="3:16" x14ac:dyDescent="0.25">
      <c r="C3336" s="448" t="s">
        <v>172</v>
      </c>
      <c r="D3336" s="449">
        <f t="shared" si="259"/>
        <v>46169</v>
      </c>
      <c r="E3336" s="503" t="s">
        <v>583</v>
      </c>
      <c r="F3336" s="506"/>
      <c r="G3336" s="506"/>
      <c r="H3336" s="516"/>
      <c r="I3336" s="516"/>
      <c r="J3336" s="516"/>
      <c r="K3336" s="516"/>
      <c r="L3336" s="557"/>
      <c r="M3336" s="557"/>
      <c r="N3336" s="557"/>
    </row>
    <row r="3337" spans="3:16" ht="15.75" thickBot="1" x14ac:dyDescent="0.3">
      <c r="C3337" s="450" t="s">
        <v>172</v>
      </c>
      <c r="D3337" s="451">
        <f t="shared" si="259"/>
        <v>46169</v>
      </c>
      <c r="E3337" s="459" t="s">
        <v>584</v>
      </c>
      <c r="F3337" s="493"/>
      <c r="G3337" s="493"/>
      <c r="H3337" s="513"/>
      <c r="I3337" s="513"/>
      <c r="J3337" s="513"/>
      <c r="K3337" s="513"/>
      <c r="L3337" s="558"/>
      <c r="M3337" s="558"/>
      <c r="N3337" s="558"/>
    </row>
    <row r="3338" spans="3:16" ht="15.75" thickBot="1" x14ac:dyDescent="0.3">
      <c r="I3338" s="445"/>
      <c r="J3338" s="445"/>
      <c r="L3338" s="559"/>
      <c r="M3338" s="559"/>
      <c r="N3338" s="559"/>
    </row>
    <row r="3339" spans="3:16" ht="15.75" thickBot="1" x14ac:dyDescent="0.3">
      <c r="C3339" s="538"/>
      <c r="D3339" s="539"/>
      <c r="E3339" s="539"/>
      <c r="F3339" s="539"/>
      <c r="G3339" s="539"/>
      <c r="H3339" s="539"/>
      <c r="I3339" s="606">
        <f t="shared" ref="I3339:N3339" si="260">_xlfn.AGGREGATE(9,6,I3340:I3355)</f>
        <v>10164</v>
      </c>
      <c r="J3339" s="607">
        <f t="shared" si="260"/>
        <v>5200.0000000000009</v>
      </c>
      <c r="K3339" s="544">
        <f t="shared" si="260"/>
        <v>10000.000000000002</v>
      </c>
      <c r="L3339" s="560">
        <f t="shared" si="260"/>
        <v>10381.800000000003</v>
      </c>
      <c r="M3339" s="561">
        <f t="shared" si="260"/>
        <v>4420</v>
      </c>
      <c r="N3339" s="562">
        <f t="shared" si="260"/>
        <v>5500.0000000000018</v>
      </c>
      <c r="O3339" s="548">
        <f>SUM(I3339:K3339)</f>
        <v>25364</v>
      </c>
      <c r="P3339" s="549">
        <f>SUM(L3339:N3339)</f>
        <v>20301.800000000003</v>
      </c>
    </row>
    <row r="3340" spans="3:16" x14ac:dyDescent="0.25">
      <c r="C3340" s="446" t="s">
        <v>173</v>
      </c>
      <c r="D3340" s="497">
        <f>D3337+1</f>
        <v>46170</v>
      </c>
      <c r="E3340" s="498" t="s">
        <v>573</v>
      </c>
      <c r="F3340" s="681" t="s">
        <v>1854</v>
      </c>
      <c r="G3340" s="681" t="s">
        <v>1767</v>
      </c>
      <c r="H3340" s="681" t="s">
        <v>1801</v>
      </c>
      <c r="I3340" s="683">
        <f>ROUND((60000-9200)/70,0)</f>
        <v>726</v>
      </c>
      <c r="J3340" s="683">
        <f>(16000-5400-5400)/14</f>
        <v>371.42857142857144</v>
      </c>
      <c r="K3340" s="683">
        <f>20000/28</f>
        <v>714.28571428571433</v>
      </c>
      <c r="L3340" s="688">
        <f>I3340*INDEX([2]Pedidos!$Q:$Q,MATCH(F3340,[2]Pedidos!$E:$E,0))</f>
        <v>798.6</v>
      </c>
      <c r="M3340" s="688">
        <f>J3340*INDEX([2]Pedidos!$Q:$Q,MATCH(G3340,[2]Pedidos!$E:$E,0))</f>
        <v>315.71428571428572</v>
      </c>
      <c r="N3340" s="688">
        <f>K3340*INDEX([2]Pedidos!$Q:$Q,MATCH(H3340,[2]Pedidos!$E:$E,0))</f>
        <v>392.85714285714289</v>
      </c>
    </row>
    <row r="3341" spans="3:16" x14ac:dyDescent="0.25">
      <c r="C3341" s="452" t="s">
        <v>173</v>
      </c>
      <c r="D3341" s="499">
        <f t="shared" ref="D3341:D3355" si="261">D3340</f>
        <v>46170</v>
      </c>
      <c r="E3341" s="500" t="s">
        <v>162</v>
      </c>
      <c r="F3341" s="460" t="s">
        <v>1854</v>
      </c>
      <c r="G3341" s="460" t="s">
        <v>1767</v>
      </c>
      <c r="H3341" s="460" t="s">
        <v>1801</v>
      </c>
      <c r="I3341" s="540">
        <f>ROUND((60000-9200)/70,0)</f>
        <v>726</v>
      </c>
      <c r="J3341" s="540">
        <f>(16000-5400-5400)/14</f>
        <v>371.42857142857144</v>
      </c>
      <c r="K3341" s="540">
        <f>20000/28</f>
        <v>714.28571428571433</v>
      </c>
      <c r="L3341" s="555">
        <f>I3341*INDEX([2]Pedidos!$Q:$Q,MATCH(F3341,[2]Pedidos!$E:$E,0))</f>
        <v>798.6</v>
      </c>
      <c r="M3341" s="564">
        <f>J3341*INDEX([2]Pedidos!$Q:$Q,MATCH(G3341,[2]Pedidos!$E:$E,0))</f>
        <v>315.71428571428572</v>
      </c>
      <c r="N3341" s="555">
        <f>K3341*INDEX([2]Pedidos!$Q:$Q,MATCH(H3341,[2]Pedidos!$E:$E,0))</f>
        <v>392.85714285714289</v>
      </c>
    </row>
    <row r="3342" spans="3:16" x14ac:dyDescent="0.25">
      <c r="C3342" s="452" t="s">
        <v>173</v>
      </c>
      <c r="D3342" s="449">
        <f t="shared" si="261"/>
        <v>46170</v>
      </c>
      <c r="E3342" s="454" t="s">
        <v>163</v>
      </c>
      <c r="F3342" s="460" t="s">
        <v>1854</v>
      </c>
      <c r="G3342" s="460" t="s">
        <v>1767</v>
      </c>
      <c r="H3342" s="460" t="s">
        <v>1801</v>
      </c>
      <c r="I3342" s="540">
        <f>ROUND((60000-9200)/70,0)</f>
        <v>726</v>
      </c>
      <c r="J3342" s="540">
        <f>(16000-5400-5400)/14</f>
        <v>371.42857142857144</v>
      </c>
      <c r="K3342" s="540">
        <f>20000/28</f>
        <v>714.28571428571433</v>
      </c>
      <c r="L3342" s="555">
        <f>I3342*INDEX([2]Pedidos!$Q:$Q,MATCH(F3342,[2]Pedidos!$E:$E,0))</f>
        <v>798.6</v>
      </c>
      <c r="M3342" s="564">
        <f>J3342*INDEX([2]Pedidos!$Q:$Q,MATCH(G3342,[2]Pedidos!$E:$E,0))</f>
        <v>315.71428571428572</v>
      </c>
      <c r="N3342" s="555">
        <f>K3342*INDEX([2]Pedidos!$Q:$Q,MATCH(H3342,[2]Pedidos!$E:$E,0))</f>
        <v>392.85714285714289</v>
      </c>
    </row>
    <row r="3343" spans="3:16" x14ac:dyDescent="0.25">
      <c r="C3343" s="452" t="s">
        <v>173</v>
      </c>
      <c r="D3343" s="449">
        <f t="shared" si="261"/>
        <v>46170</v>
      </c>
      <c r="E3343" s="454" t="s">
        <v>164</v>
      </c>
      <c r="F3343" s="460" t="s">
        <v>1854</v>
      </c>
      <c r="G3343" s="460" t="s">
        <v>1767</v>
      </c>
      <c r="H3343" s="460" t="s">
        <v>1801</v>
      </c>
      <c r="I3343" s="540">
        <f>ROUND((60000-9200)/70,0)</f>
        <v>726</v>
      </c>
      <c r="J3343" s="540">
        <f>(16000-5400-5400)/14</f>
        <v>371.42857142857144</v>
      </c>
      <c r="K3343" s="540">
        <f>20000/28</f>
        <v>714.28571428571433</v>
      </c>
      <c r="L3343" s="555">
        <f>I3343*INDEX([2]Pedidos!$Q:$Q,MATCH(F3343,[2]Pedidos!$E:$E,0))</f>
        <v>798.6</v>
      </c>
      <c r="M3343" s="564">
        <f>J3343*INDEX([2]Pedidos!$Q:$Q,MATCH(G3343,[2]Pedidos!$E:$E,0))</f>
        <v>315.71428571428572</v>
      </c>
      <c r="N3343" s="555">
        <f>K3343*INDEX([2]Pedidos!$Q:$Q,MATCH(H3343,[2]Pedidos!$E:$E,0))</f>
        <v>392.85714285714289</v>
      </c>
    </row>
    <row r="3344" spans="3:16" x14ac:dyDescent="0.25">
      <c r="C3344" s="452" t="s">
        <v>173</v>
      </c>
      <c r="D3344" s="449">
        <f t="shared" si="261"/>
        <v>46170</v>
      </c>
      <c r="E3344" s="454" t="s">
        <v>165</v>
      </c>
      <c r="F3344" s="460" t="s">
        <v>1854</v>
      </c>
      <c r="G3344" s="460" t="s">
        <v>1767</v>
      </c>
      <c r="H3344" s="460" t="s">
        <v>1801</v>
      </c>
      <c r="I3344" s="540">
        <f>ROUND((60000-9200)/70,0)</f>
        <v>726</v>
      </c>
      <c r="J3344" s="540">
        <f>(16000-5400-5400)/14</f>
        <v>371.42857142857144</v>
      </c>
      <c r="K3344" s="540">
        <f>20000/28</f>
        <v>714.28571428571433</v>
      </c>
      <c r="L3344" s="555">
        <f>I3344*INDEX([2]Pedidos!$Q:$Q,MATCH(F3344,[2]Pedidos!$E:$E,0))</f>
        <v>798.6</v>
      </c>
      <c r="M3344" s="564">
        <f>J3344*INDEX([2]Pedidos!$Q:$Q,MATCH(G3344,[2]Pedidos!$E:$E,0))</f>
        <v>315.71428571428572</v>
      </c>
      <c r="N3344" s="555">
        <f>K3344*INDEX([2]Pedidos!$Q:$Q,MATCH(H3344,[2]Pedidos!$E:$E,0))</f>
        <v>392.85714285714289</v>
      </c>
    </row>
    <row r="3345" spans="3:16" x14ac:dyDescent="0.25">
      <c r="C3345" s="452" t="s">
        <v>173</v>
      </c>
      <c r="D3345" s="449">
        <f t="shared" si="261"/>
        <v>46170</v>
      </c>
      <c r="E3345" s="454" t="s">
        <v>166</v>
      </c>
      <c r="F3345" s="512"/>
      <c r="G3345" s="512"/>
      <c r="H3345" s="512"/>
      <c r="I3345" s="682"/>
      <c r="J3345" s="682"/>
      <c r="K3345" s="682"/>
      <c r="L3345" s="687"/>
      <c r="M3345" s="687"/>
      <c r="N3345" s="687"/>
    </row>
    <row r="3346" spans="3:16" x14ac:dyDescent="0.25">
      <c r="C3346" s="452" t="s">
        <v>173</v>
      </c>
      <c r="D3346" s="449">
        <f t="shared" si="261"/>
        <v>46170</v>
      </c>
      <c r="E3346" s="454" t="s">
        <v>576</v>
      </c>
      <c r="F3346" s="461" t="s">
        <v>1854</v>
      </c>
      <c r="G3346" s="460" t="s">
        <v>1767</v>
      </c>
      <c r="H3346" s="460" t="s">
        <v>1801</v>
      </c>
      <c r="I3346" s="679">
        <f t="shared" ref="I3346:I3351" si="262">ROUND((60000-9200)/70,0)</f>
        <v>726</v>
      </c>
      <c r="J3346" s="679">
        <f t="shared" ref="J3346:J3351" si="263">(16000-5400-5400)/14</f>
        <v>371.42857142857144</v>
      </c>
      <c r="K3346" s="679">
        <f t="shared" ref="K3346:K3351" si="264">20000/28</f>
        <v>714.28571428571433</v>
      </c>
      <c r="L3346" s="555">
        <f>I3346*INDEX([2]Pedidos!$Q:$Q,MATCH(F3346,[2]Pedidos!$E:$E,0))</f>
        <v>798.6</v>
      </c>
      <c r="M3346" s="564">
        <f>J3346*INDEX([2]Pedidos!$Q:$Q,MATCH(G3346,[2]Pedidos!$E:$E,0))</f>
        <v>315.71428571428572</v>
      </c>
      <c r="N3346" s="555">
        <f>K3346*INDEX([2]Pedidos!$Q:$Q,MATCH(H3346,[2]Pedidos!$E:$E,0))</f>
        <v>392.85714285714289</v>
      </c>
    </row>
    <row r="3347" spans="3:16" x14ac:dyDescent="0.25">
      <c r="C3347" s="452" t="s">
        <v>173</v>
      </c>
      <c r="D3347" s="449">
        <f t="shared" si="261"/>
        <v>46170</v>
      </c>
      <c r="E3347" s="454" t="s">
        <v>167</v>
      </c>
      <c r="F3347" s="460" t="s">
        <v>1854</v>
      </c>
      <c r="G3347" s="460" t="s">
        <v>1767</v>
      </c>
      <c r="H3347" s="460" t="s">
        <v>1801</v>
      </c>
      <c r="I3347" s="540">
        <f t="shared" si="262"/>
        <v>726</v>
      </c>
      <c r="J3347" s="540">
        <f t="shared" si="263"/>
        <v>371.42857142857144</v>
      </c>
      <c r="K3347" s="540">
        <f t="shared" si="264"/>
        <v>714.28571428571433</v>
      </c>
      <c r="L3347" s="555">
        <f>I3347*INDEX([2]Pedidos!$Q:$Q,MATCH(F3347,[2]Pedidos!$E:$E,0))</f>
        <v>798.6</v>
      </c>
      <c r="M3347" s="564">
        <f>J3347*INDEX([2]Pedidos!$Q:$Q,MATCH(G3347,[2]Pedidos!$E:$E,0))</f>
        <v>315.71428571428572</v>
      </c>
      <c r="N3347" s="555">
        <f>K3347*INDEX([2]Pedidos!$Q:$Q,MATCH(H3347,[2]Pedidos!$E:$E,0))</f>
        <v>392.85714285714289</v>
      </c>
    </row>
    <row r="3348" spans="3:16" x14ac:dyDescent="0.25">
      <c r="C3348" s="452" t="s">
        <v>173</v>
      </c>
      <c r="D3348" s="449">
        <f t="shared" si="261"/>
        <v>46170</v>
      </c>
      <c r="E3348" s="454" t="s">
        <v>168</v>
      </c>
      <c r="F3348" s="460" t="s">
        <v>1854</v>
      </c>
      <c r="G3348" s="460" t="s">
        <v>1767</v>
      </c>
      <c r="H3348" s="460" t="s">
        <v>1801</v>
      </c>
      <c r="I3348" s="540">
        <f t="shared" si="262"/>
        <v>726</v>
      </c>
      <c r="J3348" s="540">
        <f t="shared" si="263"/>
        <v>371.42857142857144</v>
      </c>
      <c r="K3348" s="540">
        <f t="shared" si="264"/>
        <v>714.28571428571433</v>
      </c>
      <c r="L3348" s="555">
        <f>I3348*INDEX([2]Pedidos!$Q:$Q,MATCH(F3348,[2]Pedidos!$E:$E,0))</f>
        <v>798.6</v>
      </c>
      <c r="M3348" s="564">
        <f>J3348*INDEX([2]Pedidos!$Q:$Q,MATCH(G3348,[2]Pedidos!$E:$E,0))</f>
        <v>315.71428571428572</v>
      </c>
      <c r="N3348" s="555">
        <f>K3348*INDEX([2]Pedidos!$Q:$Q,MATCH(H3348,[2]Pedidos!$E:$E,0))</f>
        <v>392.85714285714289</v>
      </c>
    </row>
    <row r="3349" spans="3:16" x14ac:dyDescent="0.25">
      <c r="C3349" s="452" t="s">
        <v>173</v>
      </c>
      <c r="D3349" s="449">
        <f t="shared" si="261"/>
        <v>46170</v>
      </c>
      <c r="E3349" s="454" t="s">
        <v>169</v>
      </c>
      <c r="F3349" s="460" t="s">
        <v>1854</v>
      </c>
      <c r="G3349" s="460" t="s">
        <v>1767</v>
      </c>
      <c r="H3349" s="460" t="s">
        <v>1801</v>
      </c>
      <c r="I3349" s="540">
        <f t="shared" si="262"/>
        <v>726</v>
      </c>
      <c r="J3349" s="540">
        <f t="shared" si="263"/>
        <v>371.42857142857144</v>
      </c>
      <c r="K3349" s="540">
        <f t="shared" si="264"/>
        <v>714.28571428571433</v>
      </c>
      <c r="L3349" s="555">
        <f>I3349*INDEX([2]Pedidos!$Q:$Q,MATCH(F3349,[2]Pedidos!$E:$E,0))</f>
        <v>798.6</v>
      </c>
      <c r="M3349" s="564">
        <f>J3349*INDEX([2]Pedidos!$Q:$Q,MATCH(G3349,[2]Pedidos!$E:$E,0))</f>
        <v>315.71428571428572</v>
      </c>
      <c r="N3349" s="555">
        <f>K3349*INDEX([2]Pedidos!$Q:$Q,MATCH(H3349,[2]Pedidos!$E:$E,0))</f>
        <v>392.85714285714289</v>
      </c>
    </row>
    <row r="3350" spans="3:16" x14ac:dyDescent="0.25">
      <c r="C3350" s="452" t="s">
        <v>173</v>
      </c>
      <c r="D3350" s="449">
        <f t="shared" si="261"/>
        <v>46170</v>
      </c>
      <c r="E3350" s="454" t="s">
        <v>170</v>
      </c>
      <c r="F3350" s="460" t="s">
        <v>1854</v>
      </c>
      <c r="G3350" s="460" t="s">
        <v>1767</v>
      </c>
      <c r="H3350" s="460" t="s">
        <v>1801</v>
      </c>
      <c r="I3350" s="540">
        <f t="shared" si="262"/>
        <v>726</v>
      </c>
      <c r="J3350" s="540">
        <f t="shared" si="263"/>
        <v>371.42857142857144</v>
      </c>
      <c r="K3350" s="540">
        <f t="shared" si="264"/>
        <v>714.28571428571433</v>
      </c>
      <c r="L3350" s="555">
        <f>I3350*INDEX([2]Pedidos!$Q:$Q,MATCH(F3350,[2]Pedidos!$E:$E,0))</f>
        <v>798.6</v>
      </c>
      <c r="M3350" s="564">
        <f>J3350*INDEX([2]Pedidos!$Q:$Q,MATCH(G3350,[2]Pedidos!$E:$E,0))</f>
        <v>315.71428571428572</v>
      </c>
      <c r="N3350" s="555">
        <f>K3350*INDEX([2]Pedidos!$Q:$Q,MATCH(H3350,[2]Pedidos!$E:$E,0))</f>
        <v>392.85714285714289</v>
      </c>
    </row>
    <row r="3351" spans="3:16" x14ac:dyDescent="0.25">
      <c r="C3351" s="452" t="s">
        <v>173</v>
      </c>
      <c r="D3351" s="449">
        <f t="shared" si="261"/>
        <v>46170</v>
      </c>
      <c r="E3351" s="454" t="s">
        <v>585</v>
      </c>
      <c r="F3351" s="460" t="s">
        <v>1854</v>
      </c>
      <c r="G3351" s="460" t="s">
        <v>1767</v>
      </c>
      <c r="H3351" s="460" t="s">
        <v>1801</v>
      </c>
      <c r="I3351" s="684">
        <f t="shared" si="262"/>
        <v>726</v>
      </c>
      <c r="J3351" s="684">
        <f t="shared" si="263"/>
        <v>371.42857142857144</v>
      </c>
      <c r="K3351" s="684">
        <f t="shared" si="264"/>
        <v>714.28571428571433</v>
      </c>
      <c r="L3351" s="555">
        <f>I3351*INDEX([2]Pedidos!$Q:$Q,MATCH(F3351,[2]Pedidos!$E:$E,0))</f>
        <v>798.6</v>
      </c>
      <c r="M3351" s="564">
        <f>J3351*INDEX([2]Pedidos!$Q:$Q,MATCH(G3351,[2]Pedidos!$E:$E,0))</f>
        <v>315.71428571428572</v>
      </c>
      <c r="N3351" s="555">
        <f>K3351*INDEX([2]Pedidos!$Q:$Q,MATCH(H3351,[2]Pedidos!$E:$E,0))</f>
        <v>392.85714285714289</v>
      </c>
    </row>
    <row r="3352" spans="3:16" x14ac:dyDescent="0.25">
      <c r="C3352" s="448" t="s">
        <v>173</v>
      </c>
      <c r="D3352" s="449">
        <f t="shared" si="261"/>
        <v>46170</v>
      </c>
      <c r="E3352" s="455" t="s">
        <v>574</v>
      </c>
      <c r="F3352" s="512"/>
      <c r="G3352" s="512"/>
      <c r="H3352" s="512"/>
      <c r="I3352" s="685"/>
      <c r="J3352" s="685"/>
      <c r="K3352" s="685"/>
      <c r="L3352" s="557"/>
      <c r="M3352" s="557"/>
      <c r="N3352" s="557"/>
    </row>
    <row r="3353" spans="3:16" x14ac:dyDescent="0.25">
      <c r="C3353" s="448" t="s">
        <v>173</v>
      </c>
      <c r="D3353" s="449">
        <f t="shared" si="261"/>
        <v>46170</v>
      </c>
      <c r="E3353" s="455" t="s">
        <v>575</v>
      </c>
      <c r="F3353" s="504" t="s">
        <v>1854</v>
      </c>
      <c r="G3353" s="504" t="s">
        <v>1767</v>
      </c>
      <c r="H3353" s="504" t="s">
        <v>1801</v>
      </c>
      <c r="I3353" s="684">
        <f>ROUND((60000-9200)/70,0)</f>
        <v>726</v>
      </c>
      <c r="J3353" s="684">
        <f>(16000-5400-5400)/14</f>
        <v>371.42857142857144</v>
      </c>
      <c r="K3353" s="684">
        <f>20000/28</f>
        <v>714.28571428571433</v>
      </c>
      <c r="L3353" s="555">
        <f>I3353*INDEX([2]Pedidos!$Q:$Q,MATCH(F3353,[2]Pedidos!$E:$E,0))</f>
        <v>798.6</v>
      </c>
      <c r="M3353" s="564">
        <f>J3353*INDEX([2]Pedidos!$Q:$Q,MATCH(G3353,[2]Pedidos!$E:$E,0))</f>
        <v>315.71428571428572</v>
      </c>
      <c r="N3353" s="555">
        <f>K3353*INDEX([2]Pedidos!$Q:$Q,MATCH(H3353,[2]Pedidos!$E:$E,0))</f>
        <v>392.85714285714289</v>
      </c>
    </row>
    <row r="3354" spans="3:16" x14ac:dyDescent="0.25">
      <c r="C3354" s="448" t="s">
        <v>173</v>
      </c>
      <c r="D3354" s="449">
        <f t="shared" si="261"/>
        <v>46170</v>
      </c>
      <c r="E3354" s="503" t="s">
        <v>583</v>
      </c>
      <c r="F3354" s="504" t="s">
        <v>1391</v>
      </c>
      <c r="G3354" s="504" t="s">
        <v>1767</v>
      </c>
      <c r="H3354" s="504" t="s">
        <v>1801</v>
      </c>
      <c r="I3354" s="684">
        <f>ROUND((60000-9200)/70,0)</f>
        <v>726</v>
      </c>
      <c r="J3354" s="684">
        <f>(16000-5400-5400)/14</f>
        <v>371.42857142857144</v>
      </c>
      <c r="K3354" s="684">
        <f>20000/28</f>
        <v>714.28571428571433</v>
      </c>
      <c r="L3354" s="555" t="e">
        <f>I3354*INDEX([2]Pedidos!$Q:$Q,MATCH(F3354,[2]Pedidos!$E:$E,0))</f>
        <v>#N/A</v>
      </c>
      <c r="M3354" s="564">
        <f>J3354*INDEX([2]Pedidos!$Q:$Q,MATCH(G3354,[2]Pedidos!$E:$E,0))</f>
        <v>315.71428571428572</v>
      </c>
      <c r="N3354" s="555">
        <f>K3354*INDEX([2]Pedidos!$Q:$Q,MATCH(H3354,[2]Pedidos!$E:$E,0))</f>
        <v>392.85714285714289</v>
      </c>
    </row>
    <row r="3355" spans="3:16" ht="15.75" thickBot="1" x14ac:dyDescent="0.3">
      <c r="C3355" s="450" t="s">
        <v>173</v>
      </c>
      <c r="D3355" s="451">
        <f t="shared" si="261"/>
        <v>46170</v>
      </c>
      <c r="E3355" s="459" t="s">
        <v>584</v>
      </c>
      <c r="F3355" s="680" t="s">
        <v>1854</v>
      </c>
      <c r="G3355" s="680" t="s">
        <v>1767</v>
      </c>
      <c r="H3355" s="680" t="s">
        <v>1801</v>
      </c>
      <c r="I3355" s="686">
        <f>ROUND((60000-9200)/70,0)</f>
        <v>726</v>
      </c>
      <c r="J3355" s="686">
        <f>(16000-5400-5400)/14</f>
        <v>371.42857142857144</v>
      </c>
      <c r="K3355" s="686">
        <f>20000/28</f>
        <v>714.28571428571433</v>
      </c>
      <c r="L3355" s="689">
        <f>I3355*INDEX([2]Pedidos!$Q:$Q,MATCH(F3355,[2]Pedidos!$E:$E,0))</f>
        <v>798.6</v>
      </c>
      <c r="M3355" s="690">
        <f>J3355*INDEX([2]Pedidos!$Q:$Q,MATCH(G3355,[2]Pedidos!$E:$E,0))</f>
        <v>315.71428571428572</v>
      </c>
      <c r="N3355" s="689">
        <f>K3355*INDEX([2]Pedidos!$Q:$Q,MATCH(H3355,[2]Pedidos!$E:$E,0))</f>
        <v>392.85714285714289</v>
      </c>
    </row>
    <row r="3356" spans="3:16" ht="15.75" thickBot="1" x14ac:dyDescent="0.3">
      <c r="I3356" s="608"/>
      <c r="J3356" s="608"/>
      <c r="K3356" s="420"/>
      <c r="L3356" s="559"/>
      <c r="M3356" s="559"/>
      <c r="N3356" s="559"/>
    </row>
    <row r="3357" spans="3:16" ht="15.75" thickBot="1" x14ac:dyDescent="0.3">
      <c r="C3357" s="546">
        <f ca="1">SUM(I3285:K3285,I3303:K3303,I3321:K3321,I3339:K3339,I3357:K3357)</f>
        <v>88594.666666666657</v>
      </c>
      <c r="D3357" s="547">
        <f>SUM(P3357,P3339,P3321,P3303,P3285)</f>
        <v>79258.866666666669</v>
      </c>
      <c r="E3357" s="539"/>
      <c r="F3357" s="539"/>
      <c r="G3357" s="539"/>
      <c r="H3357" s="539"/>
      <c r="I3357" s="606">
        <f t="shared" ref="I3357:N3357" si="265">_xlfn.AGGREGATE(9,6,I3358:I3373)</f>
        <v>10164</v>
      </c>
      <c r="J3357" s="607">
        <f t="shared" si="265"/>
        <v>10666.666666666664</v>
      </c>
      <c r="K3357" s="544">
        <f t="shared" si="265"/>
        <v>10000.000000000002</v>
      </c>
      <c r="L3357" s="560">
        <f t="shared" si="265"/>
        <v>11180.400000000003</v>
      </c>
      <c r="M3357" s="561">
        <f t="shared" si="265"/>
        <v>9066.6666666666661</v>
      </c>
      <c r="N3357" s="562">
        <f t="shared" si="265"/>
        <v>5500.0000000000018</v>
      </c>
      <c r="O3357" s="548">
        <f>SUM(I3357:K3357)</f>
        <v>30830.666666666664</v>
      </c>
      <c r="P3357" s="549">
        <f>SUM(L3357:N3357)</f>
        <v>25747.066666666673</v>
      </c>
    </row>
    <row r="3358" spans="3:16" x14ac:dyDescent="0.25">
      <c r="C3358" s="452" t="s">
        <v>174</v>
      </c>
      <c r="D3358" s="497">
        <f>D3355+1</f>
        <v>46171</v>
      </c>
      <c r="E3358" s="498" t="s">
        <v>573</v>
      </c>
      <c r="F3358" s="681" t="s">
        <v>1854</v>
      </c>
      <c r="G3358" s="681" t="s">
        <v>1824</v>
      </c>
      <c r="H3358" s="460" t="s">
        <v>1801</v>
      </c>
      <c r="I3358" s="683">
        <f>ROUND((60000-9200)/70,0)</f>
        <v>726</v>
      </c>
      <c r="J3358" s="683">
        <f>16000/21</f>
        <v>761.90476190476193</v>
      </c>
      <c r="K3358" s="683">
        <f>20000/28</f>
        <v>714.28571428571433</v>
      </c>
      <c r="L3358" s="688">
        <f>I3358*INDEX([2]Pedidos!$Q:$Q,MATCH(F3358,[2]Pedidos!$E:$E,0))</f>
        <v>798.6</v>
      </c>
      <c r="M3358" s="688">
        <f>J3358*INDEX([2]Pedidos!$Q:$Q,MATCH(G3358,[2]Pedidos!$E:$E,0))</f>
        <v>647.61904761904759</v>
      </c>
      <c r="N3358" s="688">
        <f>K3358*INDEX([2]Pedidos!$Q:$Q,MATCH(H3358,[2]Pedidos!$E:$E,0))</f>
        <v>392.85714285714289</v>
      </c>
    </row>
    <row r="3359" spans="3:16" x14ac:dyDescent="0.25">
      <c r="C3359" s="452" t="s">
        <v>174</v>
      </c>
      <c r="D3359" s="499">
        <f t="shared" ref="D3359:D3373" si="266">D3358</f>
        <v>46171</v>
      </c>
      <c r="E3359" s="500" t="s">
        <v>162</v>
      </c>
      <c r="F3359" s="460" t="s">
        <v>1854</v>
      </c>
      <c r="G3359" s="460" t="s">
        <v>1824</v>
      </c>
      <c r="H3359" s="460" t="s">
        <v>1801</v>
      </c>
      <c r="I3359" s="540">
        <f>ROUND((60000-9200)/70,0)</f>
        <v>726</v>
      </c>
      <c r="J3359" s="540">
        <f>16000/21</f>
        <v>761.90476190476193</v>
      </c>
      <c r="K3359" s="540">
        <f>20000/28</f>
        <v>714.28571428571433</v>
      </c>
      <c r="L3359" s="555">
        <f>I3359*INDEX([2]Pedidos!$Q:$Q,MATCH(F3359,[2]Pedidos!$E:$E,0))</f>
        <v>798.6</v>
      </c>
      <c r="M3359" s="564">
        <f>J3359*INDEX([2]Pedidos!$Q:$Q,MATCH(G3359,[2]Pedidos!$E:$E,0))</f>
        <v>647.61904761904759</v>
      </c>
      <c r="N3359" s="555">
        <f>K3359*INDEX([2]Pedidos!$Q:$Q,MATCH(H3359,[2]Pedidos!$E:$E,0))</f>
        <v>392.85714285714289</v>
      </c>
    </row>
    <row r="3360" spans="3:16" x14ac:dyDescent="0.25">
      <c r="C3360" s="452" t="s">
        <v>174</v>
      </c>
      <c r="D3360" s="449">
        <f t="shared" si="266"/>
        <v>46171</v>
      </c>
      <c r="E3360" s="454" t="s">
        <v>163</v>
      </c>
      <c r="F3360" s="460" t="s">
        <v>1854</v>
      </c>
      <c r="G3360" s="460" t="s">
        <v>1824</v>
      </c>
      <c r="H3360" s="460" t="s">
        <v>1801</v>
      </c>
      <c r="I3360" s="540">
        <f>ROUND((60000-9200)/70,0)</f>
        <v>726</v>
      </c>
      <c r="J3360" s="540">
        <f>16000/21</f>
        <v>761.90476190476193</v>
      </c>
      <c r="K3360" s="540">
        <f>20000/28</f>
        <v>714.28571428571433</v>
      </c>
      <c r="L3360" s="555">
        <f>I3360*INDEX([2]Pedidos!$Q:$Q,MATCH(F3360,[2]Pedidos!$E:$E,0))</f>
        <v>798.6</v>
      </c>
      <c r="M3360" s="564">
        <f>J3360*INDEX([2]Pedidos!$Q:$Q,MATCH(G3360,[2]Pedidos!$E:$E,0))</f>
        <v>647.61904761904759</v>
      </c>
      <c r="N3360" s="555">
        <f>K3360*INDEX([2]Pedidos!$Q:$Q,MATCH(H3360,[2]Pedidos!$E:$E,0))</f>
        <v>392.85714285714289</v>
      </c>
    </row>
    <row r="3361" spans="3:14" x14ac:dyDescent="0.25">
      <c r="C3361" s="452" t="s">
        <v>174</v>
      </c>
      <c r="D3361" s="449">
        <f t="shared" si="266"/>
        <v>46171</v>
      </c>
      <c r="E3361" s="454" t="s">
        <v>164</v>
      </c>
      <c r="F3361" s="460" t="s">
        <v>1854</v>
      </c>
      <c r="G3361" s="460" t="s">
        <v>1824</v>
      </c>
      <c r="H3361" s="460" t="s">
        <v>1801</v>
      </c>
      <c r="I3361" s="540">
        <f>ROUND((60000-9200)/70,0)</f>
        <v>726</v>
      </c>
      <c r="J3361" s="540">
        <f>16000/21</f>
        <v>761.90476190476193</v>
      </c>
      <c r="K3361" s="540">
        <f>20000/28</f>
        <v>714.28571428571433</v>
      </c>
      <c r="L3361" s="555">
        <f>I3361*INDEX([2]Pedidos!$Q:$Q,MATCH(F3361,[2]Pedidos!$E:$E,0))</f>
        <v>798.6</v>
      </c>
      <c r="M3361" s="564">
        <f>J3361*INDEX([2]Pedidos!$Q:$Q,MATCH(G3361,[2]Pedidos!$E:$E,0))</f>
        <v>647.61904761904759</v>
      </c>
      <c r="N3361" s="555">
        <f>K3361*INDEX([2]Pedidos!$Q:$Q,MATCH(H3361,[2]Pedidos!$E:$E,0))</f>
        <v>392.85714285714289</v>
      </c>
    </row>
    <row r="3362" spans="3:14" x14ac:dyDescent="0.25">
      <c r="C3362" s="452" t="s">
        <v>174</v>
      </c>
      <c r="D3362" s="449">
        <f t="shared" si="266"/>
        <v>46171</v>
      </c>
      <c r="E3362" s="454" t="s">
        <v>165</v>
      </c>
      <c r="F3362" s="460" t="s">
        <v>1854</v>
      </c>
      <c r="G3362" s="460" t="s">
        <v>1824</v>
      </c>
      <c r="H3362" s="460" t="s">
        <v>1801</v>
      </c>
      <c r="I3362" s="540">
        <f>ROUND((60000-9200)/70,0)</f>
        <v>726</v>
      </c>
      <c r="J3362" s="540">
        <f>16000/21</f>
        <v>761.90476190476193</v>
      </c>
      <c r="K3362" s="540">
        <f>20000/28</f>
        <v>714.28571428571433</v>
      </c>
      <c r="L3362" s="555">
        <f>I3362*INDEX([2]Pedidos!$Q:$Q,MATCH(F3362,[2]Pedidos!$E:$E,0))</f>
        <v>798.6</v>
      </c>
      <c r="M3362" s="564">
        <f>J3362*INDEX([2]Pedidos!$Q:$Q,MATCH(G3362,[2]Pedidos!$E:$E,0))</f>
        <v>647.61904761904759</v>
      </c>
      <c r="N3362" s="555">
        <f>K3362*INDEX([2]Pedidos!$Q:$Q,MATCH(H3362,[2]Pedidos!$E:$E,0))</f>
        <v>392.85714285714289</v>
      </c>
    </row>
    <row r="3363" spans="3:14" x14ac:dyDescent="0.25">
      <c r="C3363" s="452" t="s">
        <v>174</v>
      </c>
      <c r="D3363" s="449">
        <f t="shared" si="266"/>
        <v>46171</v>
      </c>
      <c r="E3363" s="454" t="s">
        <v>166</v>
      </c>
      <c r="F3363" s="512"/>
      <c r="G3363" s="512"/>
      <c r="H3363" s="512"/>
      <c r="I3363" s="682"/>
      <c r="J3363" s="682"/>
      <c r="K3363" s="682"/>
      <c r="L3363" s="687"/>
      <c r="M3363" s="687"/>
      <c r="N3363" s="687"/>
    </row>
    <row r="3364" spans="3:14" x14ac:dyDescent="0.25">
      <c r="C3364" s="452" t="s">
        <v>174</v>
      </c>
      <c r="D3364" s="449">
        <f t="shared" si="266"/>
        <v>46171</v>
      </c>
      <c r="E3364" s="454" t="s">
        <v>576</v>
      </c>
      <c r="F3364" s="461" t="s">
        <v>1854</v>
      </c>
      <c r="G3364" s="460" t="s">
        <v>1824</v>
      </c>
      <c r="H3364" s="460" t="s">
        <v>1801</v>
      </c>
      <c r="I3364" s="540">
        <f t="shared" ref="I3364:I3369" si="267">ROUND((60000-9200)/70,0)</f>
        <v>726</v>
      </c>
      <c r="J3364" s="679">
        <f t="shared" ref="J3364:J3369" si="268">16000/21</f>
        <v>761.90476190476193</v>
      </c>
      <c r="K3364" s="679">
        <f t="shared" ref="K3364:K3369" si="269">20000/28</f>
        <v>714.28571428571433</v>
      </c>
      <c r="L3364" s="555">
        <f>I3364*INDEX([2]Pedidos!$Q:$Q,MATCH(F3364,[2]Pedidos!$E:$E,0))</f>
        <v>798.6</v>
      </c>
      <c r="M3364" s="564">
        <f>J3364*INDEX([2]Pedidos!$Q:$Q,MATCH(G3364,[2]Pedidos!$E:$E,0))</f>
        <v>647.61904761904759</v>
      </c>
      <c r="N3364" s="555">
        <f>K3364*INDEX([2]Pedidos!$Q:$Q,MATCH(H3364,[2]Pedidos!$E:$E,0))</f>
        <v>392.85714285714289</v>
      </c>
    </row>
    <row r="3365" spans="3:14" x14ac:dyDescent="0.25">
      <c r="C3365" s="452" t="s">
        <v>174</v>
      </c>
      <c r="D3365" s="449">
        <f t="shared" si="266"/>
        <v>46171</v>
      </c>
      <c r="E3365" s="454" t="s">
        <v>167</v>
      </c>
      <c r="F3365" s="460" t="s">
        <v>1854</v>
      </c>
      <c r="G3365" s="460" t="s">
        <v>1824</v>
      </c>
      <c r="H3365" s="460" t="s">
        <v>1801</v>
      </c>
      <c r="I3365" s="540">
        <f t="shared" si="267"/>
        <v>726</v>
      </c>
      <c r="J3365" s="540">
        <f t="shared" si="268"/>
        <v>761.90476190476193</v>
      </c>
      <c r="K3365" s="540">
        <f t="shared" si="269"/>
        <v>714.28571428571433</v>
      </c>
      <c r="L3365" s="555">
        <f>I3365*INDEX([2]Pedidos!$Q:$Q,MATCH(F3365,[2]Pedidos!$E:$E,0))</f>
        <v>798.6</v>
      </c>
      <c r="M3365" s="564">
        <f>J3365*INDEX([2]Pedidos!$Q:$Q,MATCH(G3365,[2]Pedidos!$E:$E,0))</f>
        <v>647.61904761904759</v>
      </c>
      <c r="N3365" s="555">
        <f>K3365*INDEX([2]Pedidos!$Q:$Q,MATCH(H3365,[2]Pedidos!$E:$E,0))</f>
        <v>392.85714285714289</v>
      </c>
    </row>
    <row r="3366" spans="3:14" x14ac:dyDescent="0.25">
      <c r="C3366" s="452" t="s">
        <v>174</v>
      </c>
      <c r="D3366" s="449">
        <f t="shared" si="266"/>
        <v>46171</v>
      </c>
      <c r="E3366" s="454" t="s">
        <v>168</v>
      </c>
      <c r="F3366" s="460" t="s">
        <v>1854</v>
      </c>
      <c r="G3366" s="460" t="s">
        <v>1824</v>
      </c>
      <c r="H3366" s="460" t="s">
        <v>1801</v>
      </c>
      <c r="I3366" s="540">
        <f t="shared" si="267"/>
        <v>726</v>
      </c>
      <c r="J3366" s="540">
        <f t="shared" si="268"/>
        <v>761.90476190476193</v>
      </c>
      <c r="K3366" s="540">
        <f t="shared" si="269"/>
        <v>714.28571428571433</v>
      </c>
      <c r="L3366" s="555">
        <f>I3366*INDEX([2]Pedidos!$Q:$Q,MATCH(F3366,[2]Pedidos!$E:$E,0))</f>
        <v>798.6</v>
      </c>
      <c r="M3366" s="564">
        <f>J3366*INDEX([2]Pedidos!$Q:$Q,MATCH(G3366,[2]Pedidos!$E:$E,0))</f>
        <v>647.61904761904759</v>
      </c>
      <c r="N3366" s="555">
        <f>K3366*INDEX([2]Pedidos!$Q:$Q,MATCH(H3366,[2]Pedidos!$E:$E,0))</f>
        <v>392.85714285714289</v>
      </c>
    </row>
    <row r="3367" spans="3:14" x14ac:dyDescent="0.25">
      <c r="C3367" s="452" t="s">
        <v>174</v>
      </c>
      <c r="D3367" s="449">
        <f t="shared" si="266"/>
        <v>46171</v>
      </c>
      <c r="E3367" s="454" t="s">
        <v>169</v>
      </c>
      <c r="F3367" s="460" t="s">
        <v>1854</v>
      </c>
      <c r="G3367" s="460" t="s">
        <v>1824</v>
      </c>
      <c r="H3367" s="460" t="s">
        <v>1801</v>
      </c>
      <c r="I3367" s="540">
        <f t="shared" si="267"/>
        <v>726</v>
      </c>
      <c r="J3367" s="540">
        <f t="shared" si="268"/>
        <v>761.90476190476193</v>
      </c>
      <c r="K3367" s="540">
        <f t="shared" si="269"/>
        <v>714.28571428571433</v>
      </c>
      <c r="L3367" s="555">
        <f>I3367*INDEX([2]Pedidos!$Q:$Q,MATCH(F3367,[2]Pedidos!$E:$E,0))</f>
        <v>798.6</v>
      </c>
      <c r="M3367" s="564">
        <f>J3367*INDEX([2]Pedidos!$Q:$Q,MATCH(G3367,[2]Pedidos!$E:$E,0))</f>
        <v>647.61904761904759</v>
      </c>
      <c r="N3367" s="555">
        <f>K3367*INDEX([2]Pedidos!$Q:$Q,MATCH(H3367,[2]Pedidos!$E:$E,0))</f>
        <v>392.85714285714289</v>
      </c>
    </row>
    <row r="3368" spans="3:14" x14ac:dyDescent="0.25">
      <c r="C3368" s="452" t="s">
        <v>174</v>
      </c>
      <c r="D3368" s="449">
        <f t="shared" si="266"/>
        <v>46171</v>
      </c>
      <c r="E3368" s="454" t="s">
        <v>170</v>
      </c>
      <c r="F3368" s="460" t="s">
        <v>1854</v>
      </c>
      <c r="G3368" s="460" t="s">
        <v>1824</v>
      </c>
      <c r="H3368" s="460" t="s">
        <v>1801</v>
      </c>
      <c r="I3368" s="540">
        <f t="shared" si="267"/>
        <v>726</v>
      </c>
      <c r="J3368" s="540">
        <f t="shared" si="268"/>
        <v>761.90476190476193</v>
      </c>
      <c r="K3368" s="540">
        <f t="shared" si="269"/>
        <v>714.28571428571433</v>
      </c>
      <c r="L3368" s="555">
        <f>I3368*INDEX([2]Pedidos!$Q:$Q,MATCH(F3368,[2]Pedidos!$E:$E,0))</f>
        <v>798.6</v>
      </c>
      <c r="M3368" s="564">
        <f>J3368*INDEX([2]Pedidos!$Q:$Q,MATCH(G3368,[2]Pedidos!$E:$E,0))</f>
        <v>647.61904761904759</v>
      </c>
      <c r="N3368" s="555">
        <f>K3368*INDEX([2]Pedidos!$Q:$Q,MATCH(H3368,[2]Pedidos!$E:$E,0))</f>
        <v>392.85714285714289</v>
      </c>
    </row>
    <row r="3369" spans="3:14" x14ac:dyDescent="0.25">
      <c r="C3369" s="452" t="s">
        <v>174</v>
      </c>
      <c r="D3369" s="449">
        <f t="shared" si="266"/>
        <v>46171</v>
      </c>
      <c r="E3369" s="454" t="s">
        <v>585</v>
      </c>
      <c r="F3369" s="460" t="s">
        <v>1854</v>
      </c>
      <c r="G3369" s="460" t="s">
        <v>1824</v>
      </c>
      <c r="H3369" s="460" t="s">
        <v>1801</v>
      </c>
      <c r="I3369" s="540">
        <f t="shared" si="267"/>
        <v>726</v>
      </c>
      <c r="J3369" s="684">
        <f t="shared" si="268"/>
        <v>761.90476190476193</v>
      </c>
      <c r="K3369" s="684">
        <f t="shared" si="269"/>
        <v>714.28571428571433</v>
      </c>
      <c r="L3369" s="555">
        <f>I3369*INDEX([2]Pedidos!$Q:$Q,MATCH(F3369,[2]Pedidos!$E:$E,0))</f>
        <v>798.6</v>
      </c>
      <c r="M3369" s="564">
        <f>J3369*INDEX([2]Pedidos!$Q:$Q,MATCH(G3369,[2]Pedidos!$E:$E,0))</f>
        <v>647.61904761904759</v>
      </c>
      <c r="N3369" s="555">
        <f>K3369*INDEX([2]Pedidos!$Q:$Q,MATCH(H3369,[2]Pedidos!$E:$E,0))</f>
        <v>392.85714285714289</v>
      </c>
    </row>
    <row r="3370" spans="3:14" x14ac:dyDescent="0.25">
      <c r="C3370" s="448" t="s">
        <v>174</v>
      </c>
      <c r="D3370" s="449">
        <f t="shared" si="266"/>
        <v>46171</v>
      </c>
      <c r="E3370" s="455" t="s">
        <v>574</v>
      </c>
      <c r="F3370" s="512"/>
      <c r="G3370" s="512"/>
      <c r="H3370" s="512"/>
      <c r="I3370" s="685"/>
      <c r="J3370" s="685"/>
      <c r="K3370" s="685"/>
      <c r="L3370" s="557"/>
      <c r="M3370" s="557"/>
      <c r="N3370" s="557"/>
    </row>
    <row r="3371" spans="3:14" x14ac:dyDescent="0.25">
      <c r="C3371" s="448" t="s">
        <v>174</v>
      </c>
      <c r="D3371" s="449">
        <f t="shared" si="266"/>
        <v>46171</v>
      </c>
      <c r="E3371" s="455" t="s">
        <v>575</v>
      </c>
      <c r="F3371" s="504" t="s">
        <v>1854</v>
      </c>
      <c r="G3371" s="504" t="s">
        <v>1824</v>
      </c>
      <c r="H3371" s="504" t="s">
        <v>1801</v>
      </c>
      <c r="I3371" s="684">
        <f>ROUND((60000-9200)/70,0)</f>
        <v>726</v>
      </c>
      <c r="J3371" s="684">
        <f>16000/21</f>
        <v>761.90476190476193</v>
      </c>
      <c r="K3371" s="684">
        <f>20000/28</f>
        <v>714.28571428571433</v>
      </c>
      <c r="L3371" s="555">
        <f>I3371*INDEX([2]Pedidos!$Q:$Q,MATCH(F3371,[2]Pedidos!$E:$E,0))</f>
        <v>798.6</v>
      </c>
      <c r="M3371" s="564">
        <f>J3371*INDEX([2]Pedidos!$Q:$Q,MATCH(G3371,[2]Pedidos!$E:$E,0))</f>
        <v>647.61904761904759</v>
      </c>
      <c r="N3371" s="555">
        <f>K3371*INDEX([2]Pedidos!$Q:$Q,MATCH(H3371,[2]Pedidos!$E:$E,0))</f>
        <v>392.85714285714289</v>
      </c>
    </row>
    <row r="3372" spans="3:14" x14ac:dyDescent="0.25">
      <c r="C3372" s="448" t="s">
        <v>174</v>
      </c>
      <c r="D3372" s="449">
        <f t="shared" si="266"/>
        <v>46171</v>
      </c>
      <c r="E3372" s="503" t="s">
        <v>583</v>
      </c>
      <c r="F3372" s="504" t="s">
        <v>1854</v>
      </c>
      <c r="G3372" s="504" t="s">
        <v>1824</v>
      </c>
      <c r="H3372" s="504" t="s">
        <v>1801</v>
      </c>
      <c r="I3372" s="684">
        <f>ROUND((60000-9200)/70,0)</f>
        <v>726</v>
      </c>
      <c r="J3372" s="684">
        <f>16000/21</f>
        <v>761.90476190476193</v>
      </c>
      <c r="K3372" s="684">
        <f>20000/28</f>
        <v>714.28571428571433</v>
      </c>
      <c r="L3372" s="555">
        <f>I3372*INDEX([2]Pedidos!$Q:$Q,MATCH(F3372,[2]Pedidos!$E:$E,0))</f>
        <v>798.6</v>
      </c>
      <c r="M3372" s="564">
        <f>J3372*INDEX([2]Pedidos!$Q:$Q,MATCH(G3372,[2]Pedidos!$E:$E,0))</f>
        <v>647.61904761904759</v>
      </c>
      <c r="N3372" s="555">
        <f>K3372*INDEX([2]Pedidos!$Q:$Q,MATCH(H3372,[2]Pedidos!$E:$E,0))</f>
        <v>392.85714285714289</v>
      </c>
    </row>
    <row r="3373" spans="3:14" ht="15.75" thickBot="1" x14ac:dyDescent="0.3">
      <c r="C3373" s="450" t="s">
        <v>174</v>
      </c>
      <c r="D3373" s="451">
        <f t="shared" si="266"/>
        <v>46171</v>
      </c>
      <c r="E3373" s="459" t="s">
        <v>584</v>
      </c>
      <c r="F3373" s="680" t="s">
        <v>1854</v>
      </c>
      <c r="G3373" s="680" t="s">
        <v>1824</v>
      </c>
      <c r="H3373" s="680" t="s">
        <v>1801</v>
      </c>
      <c r="I3373" s="686">
        <f>ROUND((60000-9200)/70,0)</f>
        <v>726</v>
      </c>
      <c r="J3373" s="686">
        <f>16000/21</f>
        <v>761.90476190476193</v>
      </c>
      <c r="K3373" s="686">
        <f>20000/28</f>
        <v>714.28571428571433</v>
      </c>
      <c r="L3373" s="689">
        <f>I3373*INDEX([2]Pedidos!$Q:$Q,MATCH(F3373,[2]Pedidos!$E:$E,0))</f>
        <v>798.6</v>
      </c>
      <c r="M3373" s="690">
        <f>J3373*INDEX([2]Pedidos!$Q:$Q,MATCH(G3373,[2]Pedidos!$E:$E,0))</f>
        <v>647.61904761904759</v>
      </c>
      <c r="N3373" s="689">
        <f>K3373*INDEX([2]Pedidos!$Q:$Q,MATCH(H3373,[2]Pedidos!$E:$E,0))</f>
        <v>392.85714285714289</v>
      </c>
    </row>
  </sheetData>
  <autoFilter ref="B4:G4" xr:uid="{95F0C2B7-E7DF-43F0-8D5B-6316FA3030E0}"/>
  <mergeCells count="23">
    <mergeCell ref="A2694:A2782"/>
    <mergeCell ref="A1899:A1987"/>
    <mergeCell ref="A1219:A1307"/>
    <mergeCell ref="A1338:A1426"/>
    <mergeCell ref="A1457:A1545"/>
    <mergeCell ref="A1627:A1715"/>
    <mergeCell ref="A1729:A1817"/>
    <mergeCell ref="A2604:A2692"/>
    <mergeCell ref="A2070:A2158"/>
    <mergeCell ref="A2514:A2602"/>
    <mergeCell ref="A2244:A2332"/>
    <mergeCell ref="A2424:A2512"/>
    <mergeCell ref="A6:A94"/>
    <mergeCell ref="A96:A184"/>
    <mergeCell ref="A186:A274"/>
    <mergeCell ref="A276:A364"/>
    <mergeCell ref="A391:A479"/>
    <mergeCell ref="A725:A813"/>
    <mergeCell ref="A833:A921"/>
    <mergeCell ref="A941:A1029"/>
    <mergeCell ref="A1049:A1137"/>
    <mergeCell ref="A493:A581"/>
    <mergeCell ref="A617:A705"/>
  </mergeCells>
  <conditionalFormatting sqref="F26:H33 F16:H23 F6:H13 F65:H72 F75:H82 F85:H92 H193:H198 G104:H109 G110:G111 F272:G276 F296:G296 F292:G293 F287:G290 F308:G308 F310:G310 F282:G282 F321:G322 G324 F306:F307 F323:F324 F320 F36:H43 F46:H52 F55:H62 F104:F111 F95:H101 F134:H141 F144:G150 F124:H131 F114:H121 F153:H160 F173:H180 F183:H190 G163:H170 F193:G199 F222:F229 F232:F239 F242:F248 F162:F170 F212:H219 H232:H239 H242:H248 H222:H229 F251:H258 F261:H268 F202:H209 F285 F338:G338 F334:G335 F336 F348:G350 F365:G367 F298 F501:G503 F505:G505 F515:G517 F519:G519 F543:G545 F547:G547 F557:G558 F561:G561 G281 G284 G304 G331:G332 G306 G344:G345 G336:G337 G329 F399:G401 F328:F329 F332:G332 F341 G398 F394:F395 F529:G531 F533:G533 G393:G394 F355 F346:G346 G358:G363 F380 F397:G397 F499:G499 F513:G513 F527:G527 F541:G541 F317:F318 G351 F345 G387 G382:G385 F358 F363:F364 G410 G415:G418 F411:G411 F414:G414 G427 F433:G435 G432 F428:G428 F431:G431 F450:G450 G444 G451:G452 G449 F445:G445 F448:G448 F467:G467 G461 G468:G469 G466 F462:G462 F465:G465 F447 F451:F453 F464 F468:F470 F482:G486 F478:G479 F481 F555:G555 F570:G572 F581:G583 F603:G605 F614:G615 F592:G594 F568:G568 F579:G579 F590:G590 F601:G601 F612:G612">
    <cfRule type="expression" dxfId="372" priority="532" stopIfTrue="1">
      <formula>#REF!=0</formula>
    </cfRule>
    <cfRule type="expression" dxfId="371" priority="533" stopIfTrue="1">
      <formula>AND(F6&lt;&gt;"",F6&lt;&gt;F5)</formula>
    </cfRule>
  </conditionalFormatting>
  <conditionalFormatting sqref="F25:H25 F15:H15 F94 F84:H84 H111 F286 F294:G294 G312 F291:G291 G378 F45:H45 F54:H54 F64:H64 F103:H103 F74:H74 F133:H133 G143 F113 G123:H123 F152:G152 F172:G172 G162 F182:G182 F201:H201 F221 F231 G211:H211 H231 H241 H221 F250:H250 F260:H260 F241 F391:G391 G368 G376 F377 F408:G408 F425:G425 F442:G442 F459:G459 F476:G476">
    <cfRule type="expression" dxfId="370" priority="534" stopIfTrue="1">
      <formula>#REF!=0</formula>
    </cfRule>
    <cfRule type="expression" dxfId="369" priority="535" stopIfTrue="1">
      <formula>AND(F15&lt;&gt;"",F15&lt;&gt;F13)</formula>
    </cfRule>
  </conditionalFormatting>
  <conditionalFormatting sqref="F35:H35 H152">
    <cfRule type="expression" dxfId="368" priority="536" stopIfTrue="1">
      <formula>#REF!=0</formula>
    </cfRule>
    <cfRule type="expression" dxfId="367" priority="537" stopIfTrue="1">
      <formula>AND(F35&lt;&gt;"",F35&lt;&gt;E33)</formula>
    </cfRule>
  </conditionalFormatting>
  <conditionalFormatting sqref="G64:H64 H152">
    <cfRule type="expression" dxfId="366" priority="538" stopIfTrue="1">
      <formula>#REF!=0</formula>
    </cfRule>
    <cfRule type="expression" dxfId="365" priority="539" stopIfTrue="1">
      <formula>AND(G64&lt;&gt;"",G64&lt;&gt;#REF!)</formula>
    </cfRule>
  </conditionalFormatting>
  <conditionalFormatting sqref="G103:H103">
    <cfRule type="expression" dxfId="364" priority="512" stopIfTrue="1">
      <formula>#REF!=0</formula>
    </cfRule>
    <cfRule type="expression" dxfId="363" priority="513" stopIfTrue="1">
      <formula>AND(G103&lt;&gt;"",G103&lt;&gt;#REF!)</formula>
    </cfRule>
  </conditionalFormatting>
  <conditionalFormatting sqref="F5:H5">
    <cfRule type="expression" dxfId="362" priority="504" stopIfTrue="1">
      <formula>#REF!=0</formula>
    </cfRule>
    <cfRule type="expression" dxfId="361" priority="505" stopIfTrue="1">
      <formula>AND(F5&lt;&gt;"",F5&lt;&gt;#REF!)</formula>
    </cfRule>
  </conditionalFormatting>
  <conditionalFormatting sqref="H199">
    <cfRule type="expression" dxfId="360" priority="542" stopIfTrue="1">
      <formula>#REF!=0</formula>
    </cfRule>
    <cfRule type="expression" dxfId="359" priority="543" stopIfTrue="1">
      <formula>AND(H199&lt;&gt;"",H199&lt;&gt;#REF!)</formula>
    </cfRule>
  </conditionalFormatting>
  <conditionalFormatting sqref="G152">
    <cfRule type="expression" dxfId="358" priority="484" stopIfTrue="1">
      <formula>#REF!=0</formula>
    </cfRule>
    <cfRule type="expression" dxfId="357" priority="485" stopIfTrue="1">
      <formula>AND(G152&lt;&gt;"",G152&lt;&gt;#REF!)</formula>
    </cfRule>
  </conditionalFormatting>
  <conditionalFormatting sqref="F372:G372 F270:G271 F277:G277 F295:G295 G507 G521 F368">
    <cfRule type="expression" dxfId="356" priority="444" stopIfTrue="1">
      <formula>#REF!=0</formula>
    </cfRule>
    <cfRule type="expression" dxfId="355" priority="445" stopIfTrue="1">
      <formula>AND(F270&lt;&gt;"",F270&lt;&gt;F267)</formula>
    </cfRule>
  </conditionalFormatting>
  <conditionalFormatting sqref="H113">
    <cfRule type="expression" dxfId="354" priority="544" stopIfTrue="1">
      <formula>#REF!=0</formula>
    </cfRule>
    <cfRule type="expression" dxfId="353" priority="545" stopIfTrue="1">
      <formula>AND(H113&lt;&gt;"",H113&lt;&gt;#REF!)</formula>
    </cfRule>
  </conditionalFormatting>
  <conditionalFormatting sqref="H211">
    <cfRule type="expression" dxfId="352" priority="432" stopIfTrue="1">
      <formula>#REF!=0</formula>
    </cfRule>
    <cfRule type="expression" dxfId="351" priority="433" stopIfTrue="1">
      <formula>AND(H211&lt;&gt;"",H211&lt;&gt;#REF!)</formula>
    </cfRule>
  </conditionalFormatting>
  <conditionalFormatting sqref="H231">
    <cfRule type="expression" dxfId="350" priority="426" stopIfTrue="1">
      <formula>#REF!=0</formula>
    </cfRule>
    <cfRule type="expression" dxfId="349" priority="427" stopIfTrue="1">
      <formula>AND(H231&lt;&gt;"",H231&lt;&gt;#REF!)</formula>
    </cfRule>
  </conditionalFormatting>
  <conditionalFormatting sqref="H241">
    <cfRule type="expression" dxfId="348" priority="420" stopIfTrue="1">
      <formula>#REF!=0</formula>
    </cfRule>
    <cfRule type="expression" dxfId="347" priority="421" stopIfTrue="1">
      <formula>AND(H241&lt;&gt;"",H241&lt;&gt;#REF!)</formula>
    </cfRule>
  </conditionalFormatting>
  <conditionalFormatting sqref="H221">
    <cfRule type="expression" dxfId="346" priority="412" stopIfTrue="1">
      <formula>#REF!=0</formula>
    </cfRule>
    <cfRule type="expression" dxfId="345" priority="413" stopIfTrue="1">
      <formula>AND(H221&lt;&gt;"",H221&lt;&gt;#REF!)</formula>
    </cfRule>
  </conditionalFormatting>
  <conditionalFormatting sqref="H250">
    <cfRule type="expression" dxfId="344" priority="406" stopIfTrue="1">
      <formula>#REF!=0</formula>
    </cfRule>
    <cfRule type="expression" dxfId="343" priority="407" stopIfTrue="1">
      <formula>AND(H250&lt;&gt;"",H250&lt;&gt;#REF!)</formula>
    </cfRule>
  </conditionalFormatting>
  <conditionalFormatting sqref="H260">
    <cfRule type="expression" dxfId="342" priority="400" stopIfTrue="1">
      <formula>#REF!=0</formula>
    </cfRule>
    <cfRule type="expression" dxfId="341" priority="401" stopIfTrue="1">
      <formula>AND(H260&lt;&gt;"",H260&lt;&gt;#REF!)</formula>
    </cfRule>
  </conditionalFormatting>
  <conditionalFormatting sqref="G312">
    <cfRule type="expression" dxfId="340" priority="394" stopIfTrue="1">
      <formula>#REF!=0</formula>
    </cfRule>
    <cfRule type="expression" dxfId="339" priority="395" stopIfTrue="1">
      <formula>AND(G312&lt;&gt;"",G312&lt;&gt;#REF!)</formula>
    </cfRule>
  </conditionalFormatting>
  <conditionalFormatting sqref="G278">
    <cfRule type="expression" dxfId="338" priority="384" stopIfTrue="1">
      <formula>#REF!=0</formula>
    </cfRule>
    <cfRule type="expression" dxfId="337" priority="385" stopIfTrue="1">
      <formula>AND(G278&lt;&gt;"",G278&lt;&gt;G274)</formula>
    </cfRule>
  </conditionalFormatting>
  <conditionalFormatting sqref="G279:G280">
    <cfRule type="expression" dxfId="336" priority="382" stopIfTrue="1">
      <formula>#REF!=0</formula>
    </cfRule>
    <cfRule type="expression" dxfId="335" priority="383" stopIfTrue="1">
      <formula>AND(G279&lt;&gt;"",G279&lt;&gt;G274)</formula>
    </cfRule>
  </conditionalFormatting>
  <conditionalFormatting sqref="G299 G563">
    <cfRule type="expression" dxfId="334" priority="548" stopIfTrue="1">
      <formula>#REF!=0</formula>
    </cfRule>
    <cfRule type="expression" dxfId="333" priority="549" stopIfTrue="1">
      <formula>AND(G299&lt;&gt;"",G299&lt;&gt;G293)</formula>
    </cfRule>
  </conditionalFormatting>
  <conditionalFormatting sqref="F309:G309 F281 G323 G301">
    <cfRule type="expression" dxfId="332" priority="550" stopIfTrue="1">
      <formula>#REF!=0</formula>
    </cfRule>
    <cfRule type="expression" dxfId="331" priority="551" stopIfTrue="1">
      <formula>AND(F281&lt;&gt;"",F281&lt;&gt;#REF!)</formula>
    </cfRule>
  </conditionalFormatting>
  <conditionalFormatting sqref="F326:G326">
    <cfRule type="expression" dxfId="330" priority="376" stopIfTrue="1">
      <formula>#REF!=0</formula>
    </cfRule>
    <cfRule type="expression" dxfId="329" priority="377" stopIfTrue="1">
      <formula>AND(F326&lt;&gt;"",F326&lt;&gt;#REF!)</formula>
    </cfRule>
  </conditionalFormatting>
  <conditionalFormatting sqref="F337">
    <cfRule type="expression" dxfId="328" priority="378" stopIfTrue="1">
      <formula>#REF!=0</formula>
    </cfRule>
    <cfRule type="expression" dxfId="327" priority="379" stopIfTrue="1">
      <formula>AND(F337&lt;&gt;"",F337&lt;&gt;#REF!)</formula>
    </cfRule>
  </conditionalFormatting>
  <conditionalFormatting sqref="F352:G352 F353:F354">
    <cfRule type="expression" dxfId="326" priority="372" stopIfTrue="1">
      <formula>#REF!=0</formula>
    </cfRule>
    <cfRule type="expression" dxfId="325" priority="373" stopIfTrue="1">
      <formula>AND(F352&lt;&gt;"",F352&lt;&gt;#REF!)</formula>
    </cfRule>
  </conditionalFormatting>
  <conditionalFormatting sqref="G357">
    <cfRule type="expression" dxfId="324" priority="366" stopIfTrue="1">
      <formula>#REF!=0</formula>
    </cfRule>
    <cfRule type="expression" dxfId="323" priority="367" stopIfTrue="1">
      <formula>AND(G357&lt;&gt;"",G357&lt;&gt;#REF!)</formula>
    </cfRule>
  </conditionalFormatting>
  <conditionalFormatting sqref="G357">
    <cfRule type="expression" dxfId="322" priority="362" stopIfTrue="1">
      <formula>#REF!=0</formula>
    </cfRule>
    <cfRule type="expression" dxfId="321" priority="363" stopIfTrue="1">
      <formula>AND(G357&lt;&gt;"",G357&lt;&gt;#REF!)</formula>
    </cfRule>
  </conditionalFormatting>
  <conditionalFormatting sqref="F370:G371">
    <cfRule type="expression" dxfId="320" priority="368" stopIfTrue="1">
      <formula>#REF!=0</formula>
    </cfRule>
    <cfRule type="expression" dxfId="319" priority="369" stopIfTrue="1">
      <formula>AND(F370&lt;&gt;"",F370&lt;&gt;#REF!)</formula>
    </cfRule>
  </conditionalFormatting>
  <conditionalFormatting sqref="G374">
    <cfRule type="expression" dxfId="318" priority="358" stopIfTrue="1">
      <formula>#REF!=0</formula>
    </cfRule>
    <cfRule type="expression" dxfId="317" priority="359" stopIfTrue="1">
      <formula>AND(G374&lt;&gt;"",G374&lt;&gt;#REF!)</formula>
    </cfRule>
  </conditionalFormatting>
  <conditionalFormatting sqref="G374">
    <cfRule type="expression" dxfId="316" priority="356" stopIfTrue="1">
      <formula>#REF!=0</formula>
    </cfRule>
    <cfRule type="expression" dxfId="315" priority="357" stopIfTrue="1">
      <formula>AND(G374&lt;&gt;"",G374&lt;&gt;#REF!)</formula>
    </cfRule>
  </conditionalFormatting>
  <conditionalFormatting sqref="G386 G388">
    <cfRule type="expression" dxfId="314" priority="360" stopIfTrue="1">
      <formula>#REF!=0</formula>
    </cfRule>
    <cfRule type="expression" dxfId="313" priority="361" stopIfTrue="1">
      <formula>AND(G386&lt;&gt;"",G386&lt;&gt;#REF!)</formula>
    </cfRule>
  </conditionalFormatting>
  <conditionalFormatting sqref="G391">
    <cfRule type="expression" dxfId="312" priority="348" stopIfTrue="1">
      <formula>#REF!=0</formula>
    </cfRule>
    <cfRule type="expression" dxfId="311" priority="349" stopIfTrue="1">
      <formula>AND(G391&lt;&gt;"",G391&lt;&gt;#REF!)</formula>
    </cfRule>
  </conditionalFormatting>
  <conditionalFormatting sqref="F402:G402 F405 G403:G405">
    <cfRule type="expression" dxfId="310" priority="354" stopIfTrue="1">
      <formula>#REF!=0</formula>
    </cfRule>
    <cfRule type="expression" dxfId="309" priority="355" stopIfTrue="1">
      <formula>AND(F402&lt;&gt;"",F402&lt;&gt;#REF!)</formula>
    </cfRule>
  </conditionalFormatting>
  <conditionalFormatting sqref="F493:G493">
    <cfRule type="expression" dxfId="308" priority="340" stopIfTrue="1">
      <formula>#REF!=0</formula>
    </cfRule>
    <cfRule type="expression" dxfId="307" priority="341" stopIfTrue="1">
      <formula>AND(F493&lt;&gt;"",F493&lt;&gt;F474)</formula>
    </cfRule>
  </conditionalFormatting>
  <conditionalFormatting sqref="G493">
    <cfRule type="expression" dxfId="306" priority="336" stopIfTrue="1">
      <formula>#REF!=0</formula>
    </cfRule>
    <cfRule type="expression" dxfId="305" priority="337" stopIfTrue="1">
      <formula>AND(G493&lt;&gt;"",G493&lt;&gt;#REF!)</formula>
    </cfRule>
  </conditionalFormatting>
  <conditionalFormatting sqref="F500 F514:G514 F542:G542 F556:G556 G313 F312 F528:G528 G494">
    <cfRule type="expression" dxfId="304" priority="342" stopIfTrue="1">
      <formula>#REF!=0</formula>
    </cfRule>
    <cfRule type="expression" dxfId="303" priority="343" stopIfTrue="1">
      <formula>AND(F312&lt;&gt;"",F312&lt;&gt;F305)</formula>
    </cfRule>
  </conditionalFormatting>
  <conditionalFormatting sqref="F504:G504">
    <cfRule type="expression" dxfId="302" priority="344" stopIfTrue="1">
      <formula>#REF!=0</formula>
    </cfRule>
    <cfRule type="expression" dxfId="301" priority="345" stopIfTrue="1">
      <formula>AND(F504&lt;&gt;"",F504&lt;&gt;#REF!)</formula>
    </cfRule>
  </conditionalFormatting>
  <conditionalFormatting sqref="F507">
    <cfRule type="expression" dxfId="300" priority="330" stopIfTrue="1">
      <formula>#REF!=0</formula>
    </cfRule>
    <cfRule type="expression" dxfId="299" priority="331" stopIfTrue="1">
      <formula>AND(F507&lt;&gt;"",F507&lt;&gt;#REF!)</formula>
    </cfRule>
  </conditionalFormatting>
  <conditionalFormatting sqref="F518:G518">
    <cfRule type="expression" dxfId="298" priority="334" stopIfTrue="1">
      <formula>#REF!=0</formula>
    </cfRule>
    <cfRule type="expression" dxfId="297" priority="335" stopIfTrue="1">
      <formula>AND(F518&lt;&gt;"",F518&lt;&gt;#REF!)</formula>
    </cfRule>
  </conditionalFormatting>
  <conditionalFormatting sqref="F535:G535">
    <cfRule type="expression" dxfId="296" priority="322" stopIfTrue="1">
      <formula>#REF!=0</formula>
    </cfRule>
    <cfRule type="expression" dxfId="295" priority="323" stopIfTrue="1">
      <formula>AND(F535&lt;&gt;"",F535&lt;&gt;#REF!)</formula>
    </cfRule>
  </conditionalFormatting>
  <conditionalFormatting sqref="G535">
    <cfRule type="expression" dxfId="294" priority="318" stopIfTrue="1">
      <formula>#REF!=0</formula>
    </cfRule>
    <cfRule type="expression" dxfId="293" priority="319" stopIfTrue="1">
      <formula>AND(G535&lt;&gt;"",G535&lt;&gt;#REF!)</formula>
    </cfRule>
  </conditionalFormatting>
  <conditionalFormatting sqref="F546:G546">
    <cfRule type="expression" dxfId="292" priority="326" stopIfTrue="1">
      <formula>#REF!=0</formula>
    </cfRule>
    <cfRule type="expression" dxfId="291" priority="327" stopIfTrue="1">
      <formula>AND(F546&lt;&gt;"",F546&lt;&gt;#REF!)</formula>
    </cfRule>
  </conditionalFormatting>
  <conditionalFormatting sqref="F549:G549">
    <cfRule type="expression" dxfId="290" priority="312" stopIfTrue="1">
      <formula>#REF!=0</formula>
    </cfRule>
    <cfRule type="expression" dxfId="289" priority="313" stopIfTrue="1">
      <formula>AND(F549&lt;&gt;"",F549&lt;&gt;#REF!)</formula>
    </cfRule>
  </conditionalFormatting>
  <conditionalFormatting sqref="G549">
    <cfRule type="expression" dxfId="288" priority="308" stopIfTrue="1">
      <formula>#REF!=0</formula>
    </cfRule>
    <cfRule type="expression" dxfId="287" priority="309" stopIfTrue="1">
      <formula>AND(G549&lt;&gt;"",G549&lt;&gt;#REF!)</formula>
    </cfRule>
  </conditionalFormatting>
  <conditionalFormatting sqref="F560:G560">
    <cfRule type="expression" dxfId="286" priority="316" stopIfTrue="1">
      <formula>#REF!=0</formula>
    </cfRule>
    <cfRule type="expression" dxfId="285" priority="317" stopIfTrue="1">
      <formula>AND(F560&lt;&gt;"",F560&lt;&gt;#REF!)</formula>
    </cfRule>
  </conditionalFormatting>
  <conditionalFormatting sqref="F351">
    <cfRule type="expression" dxfId="284" priority="288" stopIfTrue="1">
      <formula>#REF!=0</formula>
    </cfRule>
    <cfRule type="expression" dxfId="283" priority="289" stopIfTrue="1">
      <formula>AND(F351&lt;&gt;"",F351&lt;&gt;#REF!)</formula>
    </cfRule>
  </conditionalFormatting>
  <conditionalFormatting sqref="F369:G369">
    <cfRule type="expression" dxfId="282" priority="286" stopIfTrue="1">
      <formula>#REF!=0</formula>
    </cfRule>
    <cfRule type="expression" dxfId="281" priority="287" stopIfTrue="1">
      <formula>AND(F369&lt;&gt;"",F369&lt;&gt;#REF!)</formula>
    </cfRule>
  </conditionalFormatting>
  <conditionalFormatting sqref="F403:F404">
    <cfRule type="expression" dxfId="280" priority="270" stopIfTrue="1">
      <formula>#REF!=0</formula>
    </cfRule>
    <cfRule type="expression" dxfId="279" priority="271" stopIfTrue="1">
      <formula>AND(F403&lt;&gt;"",F403&lt;&gt;#REF!)</formula>
    </cfRule>
  </conditionalFormatting>
  <conditionalFormatting sqref="G507">
    <cfRule type="expression" dxfId="278" priority="256" stopIfTrue="1">
      <formula>#REF!=0</formula>
    </cfRule>
    <cfRule type="expression" dxfId="277" priority="257" stopIfTrue="1">
      <formula>AND(G507&lt;&gt;"",G507&lt;&gt;#REF!)</formula>
    </cfRule>
  </conditionalFormatting>
  <conditionalFormatting sqref="G532">
    <cfRule type="expression" dxfId="276" priority="254" stopIfTrue="1">
      <formula>#REF!=0</formula>
    </cfRule>
    <cfRule type="expression" dxfId="275" priority="255" stopIfTrue="1">
      <formula>AND(G532&lt;&gt;"",G532&lt;&gt;#REF!)</formula>
    </cfRule>
  </conditionalFormatting>
  <conditionalFormatting sqref="G521">
    <cfRule type="expression" dxfId="274" priority="246" stopIfTrue="1">
      <formula>#REF!=0</formula>
    </cfRule>
    <cfRule type="expression" dxfId="273" priority="247" stopIfTrue="1">
      <formula>AND(G521&lt;&gt;"",G521&lt;&gt;#REF!)</formula>
    </cfRule>
  </conditionalFormatting>
  <conditionalFormatting sqref="F521">
    <cfRule type="expression" dxfId="272" priority="240" stopIfTrue="1">
      <formula>#REF!=0</formula>
    </cfRule>
    <cfRule type="expression" dxfId="271" priority="241" stopIfTrue="1">
      <formula>AND(F521&lt;&gt;"",F521&lt;&gt;#REF!)</formula>
    </cfRule>
  </conditionalFormatting>
  <conditionalFormatting sqref="F532">
    <cfRule type="expression" dxfId="270" priority="244" stopIfTrue="1">
      <formula>#REF!=0</formula>
    </cfRule>
    <cfRule type="expression" dxfId="269" priority="245" stopIfTrue="1">
      <formula>AND(F532&lt;&gt;"",F532&lt;&gt;#REF!)</formula>
    </cfRule>
  </conditionalFormatting>
  <conditionalFormatting sqref="G353:G354">
    <cfRule type="expression" dxfId="268" priority="236" stopIfTrue="1">
      <formula>#REF!=0</formula>
    </cfRule>
    <cfRule type="expression" dxfId="267" priority="237" stopIfTrue="1">
      <formula>AND(G353&lt;&gt;"",G353&lt;&gt;#REF!)</formula>
    </cfRule>
  </conditionalFormatting>
  <conditionalFormatting sqref="F340">
    <cfRule type="expression" dxfId="266" priority="208" stopIfTrue="1">
      <formula>#REF!=0</formula>
    </cfRule>
    <cfRule type="expression" dxfId="265" priority="209" stopIfTrue="1">
      <formula>AND(F340&lt;&gt;"",F340&lt;&gt;#REF!)</formula>
    </cfRule>
  </conditionalFormatting>
  <conditionalFormatting sqref="F375:G375">
    <cfRule type="expression" dxfId="264" priority="204" stopIfTrue="1">
      <formula>#REF!=0</formula>
    </cfRule>
    <cfRule type="expression" dxfId="263" priority="205" stopIfTrue="1">
      <formula>AND(F375&lt;&gt;"",F375&lt;&gt;#REF!)</formula>
    </cfRule>
  </conditionalFormatting>
  <conditionalFormatting sqref="G408">
    <cfRule type="expression" dxfId="262" priority="178" stopIfTrue="1">
      <formula>#REF!=0</formula>
    </cfRule>
    <cfRule type="expression" dxfId="261" priority="179" stopIfTrue="1">
      <formula>AND(G408&lt;&gt;"",G408&lt;&gt;#REF!)</formula>
    </cfRule>
  </conditionalFormatting>
  <conditionalFormatting sqref="F419:G419 F422 G420:G422">
    <cfRule type="expression" dxfId="260" priority="184" stopIfTrue="1">
      <formula>#REF!=0</formula>
    </cfRule>
    <cfRule type="expression" dxfId="259" priority="185" stopIfTrue="1">
      <formula>AND(F419&lt;&gt;"",F419&lt;&gt;#REF!)</formula>
    </cfRule>
  </conditionalFormatting>
  <conditionalFormatting sqref="F420:F421">
    <cfRule type="expression" dxfId="258" priority="172" stopIfTrue="1">
      <formula>#REF!=0</formula>
    </cfRule>
    <cfRule type="expression" dxfId="257" priority="173" stopIfTrue="1">
      <formula>AND(F420&lt;&gt;"",F420&lt;&gt;#REF!)</formula>
    </cfRule>
  </conditionalFormatting>
  <conditionalFormatting sqref="G425">
    <cfRule type="expression" dxfId="256" priority="156" stopIfTrue="1">
      <formula>#REF!=0</formula>
    </cfRule>
    <cfRule type="expression" dxfId="255" priority="157" stopIfTrue="1">
      <formula>AND(G425&lt;&gt;"",G425&lt;&gt;#REF!)</formula>
    </cfRule>
  </conditionalFormatting>
  <conditionalFormatting sqref="F436:G436 F439 G437:G439">
    <cfRule type="expression" dxfId="254" priority="162" stopIfTrue="1">
      <formula>#REF!=0</formula>
    </cfRule>
    <cfRule type="expression" dxfId="253" priority="163" stopIfTrue="1">
      <formula>AND(F436&lt;&gt;"",F436&lt;&gt;#REF!)</formula>
    </cfRule>
  </conditionalFormatting>
  <conditionalFormatting sqref="F437:F438">
    <cfRule type="expression" dxfId="252" priority="150" stopIfTrue="1">
      <formula>#REF!=0</formula>
    </cfRule>
    <cfRule type="expression" dxfId="251" priority="151" stopIfTrue="1">
      <formula>AND(F437&lt;&gt;"",F437&lt;&gt;#REF!)</formula>
    </cfRule>
  </conditionalFormatting>
  <conditionalFormatting sqref="G442">
    <cfRule type="expression" dxfId="250" priority="134" stopIfTrue="1">
      <formula>#REF!=0</formula>
    </cfRule>
    <cfRule type="expression" dxfId="249" priority="135" stopIfTrue="1">
      <formula>AND(G442&lt;&gt;"",G442&lt;&gt;#REF!)</formula>
    </cfRule>
  </conditionalFormatting>
  <conditionalFormatting sqref="F456 G453:G456">
    <cfRule type="expression" dxfId="248" priority="140" stopIfTrue="1">
      <formula>#REF!=0</formula>
    </cfRule>
    <cfRule type="expression" dxfId="247" priority="141" stopIfTrue="1">
      <formula>AND(F453&lt;&gt;"",F453&lt;&gt;#REF!)</formula>
    </cfRule>
  </conditionalFormatting>
  <conditionalFormatting sqref="F454:F455">
    <cfRule type="expression" dxfId="246" priority="128" stopIfTrue="1">
      <formula>#REF!=0</formula>
    </cfRule>
    <cfRule type="expression" dxfId="245" priority="129" stopIfTrue="1">
      <formula>AND(F454&lt;&gt;"",F454&lt;&gt;#REF!)</formula>
    </cfRule>
  </conditionalFormatting>
  <conditionalFormatting sqref="G459">
    <cfRule type="expression" dxfId="244" priority="112" stopIfTrue="1">
      <formula>#REF!=0</formula>
    </cfRule>
    <cfRule type="expression" dxfId="243" priority="113" stopIfTrue="1">
      <formula>AND(G459&lt;&gt;"",G459&lt;&gt;#REF!)</formula>
    </cfRule>
  </conditionalFormatting>
  <conditionalFormatting sqref="F473 G470:G473">
    <cfRule type="expression" dxfId="242" priority="118" stopIfTrue="1">
      <formula>#REF!=0</formula>
    </cfRule>
    <cfRule type="expression" dxfId="241" priority="119" stopIfTrue="1">
      <formula>AND(F470&lt;&gt;"",F470&lt;&gt;#REF!)</formula>
    </cfRule>
  </conditionalFormatting>
  <conditionalFormatting sqref="F471:F472">
    <cfRule type="expression" dxfId="240" priority="106" stopIfTrue="1">
      <formula>#REF!=0</formula>
    </cfRule>
    <cfRule type="expression" dxfId="239" priority="107" stopIfTrue="1">
      <formula>AND(F471&lt;&gt;"",F471&lt;&gt;#REF!)</formula>
    </cfRule>
  </conditionalFormatting>
  <conditionalFormatting sqref="G476">
    <cfRule type="expression" dxfId="238" priority="82" stopIfTrue="1">
      <formula>#REF!=0</formula>
    </cfRule>
    <cfRule type="expression" dxfId="237" priority="83" stopIfTrue="1">
      <formula>AND(G476&lt;&gt;"",G476&lt;&gt;#REF!)</formula>
    </cfRule>
  </conditionalFormatting>
  <conditionalFormatting sqref="F490 G487:G490 F491:G491">
    <cfRule type="expression" dxfId="236" priority="88" stopIfTrue="1">
      <formula>#REF!=0</formula>
    </cfRule>
    <cfRule type="expression" dxfId="235" priority="89" stopIfTrue="1">
      <formula>AND(F487&lt;&gt;"",F487&lt;&gt;#REF!)</formula>
    </cfRule>
  </conditionalFormatting>
  <conditionalFormatting sqref="F487:F489">
    <cfRule type="expression" dxfId="234" priority="76" stopIfTrue="1">
      <formula>#REF!=0</formula>
    </cfRule>
    <cfRule type="expression" dxfId="233" priority="77" stopIfTrue="1">
      <formula>AND(F487&lt;&gt;"",F487&lt;&gt;#REF!)</formula>
    </cfRule>
  </conditionalFormatting>
  <conditionalFormatting sqref="F559:G559">
    <cfRule type="expression" dxfId="232" priority="62" stopIfTrue="1">
      <formula>#REF!=0</formula>
    </cfRule>
    <cfRule type="expression" dxfId="231" priority="63" stopIfTrue="1">
      <formula>AND(F559&lt;&gt;"",F559&lt;&gt;#REF!)</formula>
    </cfRule>
  </conditionalFormatting>
  <conditionalFormatting sqref="F569">
    <cfRule type="expression" dxfId="230" priority="58" stopIfTrue="1">
      <formula>#REF!=0</formula>
    </cfRule>
    <cfRule type="expression" dxfId="229" priority="59" stopIfTrue="1">
      <formula>AND(F569&lt;&gt;"",F569&lt;&gt;#REF!)</formula>
    </cfRule>
  </conditionalFormatting>
  <conditionalFormatting sqref="F580:G580">
    <cfRule type="expression" dxfId="228" priority="54" stopIfTrue="1">
      <formula>#REF!=0</formula>
    </cfRule>
    <cfRule type="expression" dxfId="227" priority="55" stopIfTrue="1">
      <formula>AND(F580&lt;&gt;"",F580&lt;&gt;#REF!)</formula>
    </cfRule>
  </conditionalFormatting>
  <conditionalFormatting sqref="F602:G602">
    <cfRule type="expression" dxfId="226" priority="50" stopIfTrue="1">
      <formula>#REF!=0</formula>
    </cfRule>
    <cfRule type="expression" dxfId="225" priority="51" stopIfTrue="1">
      <formula>AND(F602&lt;&gt;"",F602&lt;&gt;#REF!)</formula>
    </cfRule>
  </conditionalFormatting>
  <conditionalFormatting sqref="F613:G613">
    <cfRule type="expression" dxfId="224" priority="46" stopIfTrue="1">
      <formula>#REF!=0</formula>
    </cfRule>
    <cfRule type="expression" dxfId="223" priority="47" stopIfTrue="1">
      <formula>AND(F613&lt;&gt;"",F613&lt;&gt;#REF!)</formula>
    </cfRule>
  </conditionalFormatting>
  <conditionalFormatting sqref="G591">
    <cfRule type="expression" dxfId="222" priority="42" stopIfTrue="1">
      <formula>#REF!=0</formula>
    </cfRule>
    <cfRule type="expression" dxfId="221" priority="43" stopIfTrue="1">
      <formula>AND(G591&lt;&gt;"",G591&lt;&gt;#REF!)</formula>
    </cfRule>
  </conditionalFormatting>
  <conditionalFormatting sqref="F591">
    <cfRule type="expression" dxfId="220" priority="38" stopIfTrue="1">
      <formula>#REF!=0</formula>
    </cfRule>
    <cfRule type="expression" dxfId="219" priority="39" stopIfTrue="1">
      <formula>AND(F591&lt;&gt;"",F591&lt;&gt;#REF!)</formula>
    </cfRule>
  </conditionalFormatting>
  <printOptions horizontalCentered="1"/>
  <pageMargins left="0.11811023622047245" right="0.11811023622047245" top="0.15748031496062992" bottom="0.15748031496062992" header="0.31496062992125984" footer="0.31496062992125984"/>
  <pageSetup paperSize="9" scale="53" orientation="portrait" r:id="rId1"/>
  <rowBreaks count="1" manualBreakCount="1">
    <brk id="102" max="7" man="1"/>
  </rowBreaks>
  <extLst>
    <ext xmlns:x14="http://schemas.microsoft.com/office/spreadsheetml/2009/9/main" uri="{78C0D931-6437-407d-A8EE-F0AAD7539E65}">
      <x14:conditionalFormattings>
        <x14:conditionalFormatting xmlns:xm="http://schemas.microsoft.com/office/excel/2006/main">
          <x14:cfRule type="expression" priority="13" id="{CFFA9FBB-42BB-4590-84C8-018AE4BA16A5}">
            <xm:f>AND(I2603&gt;0,OR(I2603&gt;IFERROR(INDEX('https://kuryos.sharepoint.com/sites/ServidorKuryos/Shared Documents/08. Logistica e Armazenamento/00. Logistica/[Controle de Produtos.xlsx]Produtos'!#REF!,MATCH(IF(ISNUMBER(FIND(" - ",F2603)),LEFT(F2603,FIND(" - ",F2603)-1),F2603),'https://kuryos.sharepoint.com/sites/ServidorKuryos/Shared Documents/08. Logistica e Armazenamento/00. Logistica/[Controle de Produtos.xlsx]Produtos'!#REF!,0)),0)*1.1,AND(I2603&lt;IFERROR(INDEX('https://kuryos.sharepoint.com/sites/ServidorKuryos/Shared Documents/08. Logistica e Armazenamento/00. Logistica/[Controle de Produtos.xlsx]Produtos'!#REF!,MATCH(IF(ISNUMBER(FIND(" - ",F2603)),LEFT(F2603,FIND(" - ",F2603)-1),F2603),'https://kuryos.sharepoint.com/sites/ServidorKuryos/Shared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",F2603)),LEFT(F2603,FIND(" - ",F2603)-1),F2603),'https://kuryos.sharepoint.com/sites/ServidorKuryos/Shared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I2603:I2641 I2647:I2692</xm:sqref>
        </x14:conditionalFormatting>
        <x14:conditionalFormatting xmlns:xm="http://schemas.microsoft.com/office/excel/2006/main">
          <x14:cfRule type="expression" priority="14" id="{89C2E76A-8995-4B23-B7F7-D14AF9BA344D}">
            <xm:f>AND(J2603&gt;0,OR(J2603&gt;IFERROR(INDEX('https://kuryos.sharepoint.com/sites/ServidorKuryos/Shared Documents/08. Logistica e Armazenamento/00. Logistica/[Controle de Produtos.xlsx]Produtos'!#REF!,MATCH(IF(ISNUMBER(FIND(" - ",G2603)),LEFT(G2603,FIND(" - ",G2603)-1),G2603),'https://kuryos.sharepoint.com/sites/ServidorKuryos/Shared Documents/08. Logistica e Armazenamento/00. Logistica/[Controle de Produtos.xlsx]Produtos'!#REF!,0)),0)*1.1,AND(J2603&lt;IFERROR(INDEX('https://kuryos.sharepoint.com/sites/ServidorKuryos/Shared Documents/08. Logistica e Armazenamento/00. Logistica/[Controle de Produtos.xlsx]Produtos'!#REF!,MATCH(IF(ISNUMBER(FIND(" - ",G2603)),LEFT(G2603,FIND(" - ",G2603)-1),G2603),'https://kuryos.sharepoint.com/sites/ServidorKuryos/Shared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",G2603)),LEFT(G2603,FIND(" - ",G2603)-1),G2603),'https://kuryos.sharepoint.com/sites/ServidorKuryos/Shared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J2603:J2692</xm:sqref>
        </x14:conditionalFormatting>
        <x14:conditionalFormatting xmlns:xm="http://schemas.microsoft.com/office/excel/2006/main">
          <x14:cfRule type="expression" priority="15" id="{D892212E-A8FA-4537-BC80-134BFD8701F1}">
            <xm:f>AND(K2603&gt;0,OR(K2603&gt;IFERROR(INDEX('https://kuryos.sharepoint.com/sites/ServidorKuryos/Shared Documents/08. Logistica e Armazenamento/00. Logistica/[Controle de Produtos.xlsx]Produtos'!#REF!,MATCH(IF(ISNUMBER(FIND(" - ",H2603)),LEFT(H2603,FIND(" - ",H2603)-1),H2603),'https://kuryos.sharepoint.com/sites/ServidorKuryos/Shared Documents/08. Logistica e Armazenamento/00. Logistica/[Controle de Produtos.xlsx]Produtos'!#REF!,0)),0)*1.1,AND(K2603&lt;IFERROR(INDEX('https://kuryos.sharepoint.com/sites/ServidorKuryos/Shared Documents/08. Logistica e Armazenamento/00. Logistica/[Controle de Produtos.xlsx]Produtos'!#REF!,MATCH(IF(ISNUMBER(FIND(" - ",H2603)),LEFT(H2603,FIND(" - ",H2603)-1),H2603),'https://kuryos.sharepoint.com/sites/ServidorKuryos/Shared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",H2603)),LEFT(H2603,FIND(" - ",H2603)-1),H2603),'https://kuryos.sharepoint.com/sites/ServidorKuryos/Shared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K2603 K2605:K2692</xm:sqref>
        </x14:conditionalFormatting>
        <x14:conditionalFormatting xmlns:xm="http://schemas.microsoft.com/office/excel/2006/main">
          <x14:cfRule type="expression" priority="12" id="{465EEC6D-A211-4BFE-AAB1-17D9CFBAA6CD}">
            <xm:f>AND(K2604&gt;0,OR(K2604&gt;IFERROR(INDEX('https://kuryos.sharepoint.com/sites/ServidorKuryos/Shared Documents/08. Logistica e Armazenamento/00. Logistica/[Controle de Produtos.xlsx]Produtos'!#REF!,MATCH(IF(ISNUMBER(FIND(" - ",H2604)),LEFT(H2604,FIND(" - ",H2604)-1),H2604),'https://kuryos.sharepoint.com/sites/ServidorKuryos/Shared Documents/08. Logistica e Armazenamento/00. Logistica/[Controle de Produtos.xlsx]Produtos'!#REF!,0)),0)*1.1,AND(K2604&lt;IFERROR(INDEX('https://kuryos.sharepoint.com/sites/ServidorKuryos/Shared Documents/08. Logistica e Armazenamento/00. Logistica/[Controle de Produtos.xlsx]Produtos'!#REF!,MATCH(IF(ISNUMBER(FIND(" - ",H2604)),LEFT(H2604,FIND(" - ",H2604)-1),H2604),'https://kuryos.sharepoint.com/sites/ServidorKuryos/Shared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",H2604)),LEFT(H2604,FIND(" - ",H2604)-1),H2604),'https://kuryos.sharepoint.com/sites/ServidorKuryos/Shared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K2604</xm:sqref>
        </x14:conditionalFormatting>
        <x14:conditionalFormatting xmlns:xm="http://schemas.microsoft.com/office/excel/2006/main">
          <x14:cfRule type="expression" priority="11" id="{D5594197-6A6A-4CAF-80F6-8B3EEA1686EB}">
            <xm:f>AND(I2693&gt;0,OR(I2693&gt;IFERROR(INDEX('https://kuryos.sharepoint.com/sites/ServidorKuryos/Shared Documents/08. Logistica e Armazenamento/00. Logistica/[Controle de Produtos.xlsx]Produtos'!#REF!,MATCH(IF(ISNUMBER(FIND(" - ",F2693)),LEFT(F2693,FIND(" - ",F2693)-1),F2693),'https://kuryos.sharepoint.com/sites/ServidorKuryos/Shared Documents/08. Logistica e Armazenamento/00. Logistica/[Controle de Produtos.xlsx]Produtos'!#REF!,0)),0)*1.1,AND(I2693&lt;IFERROR(INDEX('https://kuryos.sharepoint.com/sites/ServidorKuryos/Shared Documents/08. Logistica e Armazenamento/00. Logistica/[Controle de Produtos.xlsx]Produtos'!#REF!,MATCH(IF(ISNUMBER(FIND(" - ",F2693)),LEFT(F2693,FIND(" - ",F2693)-1),F2693),'https://kuryos.sharepoint.com/sites/ServidorKuryos/Shared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",F2693)),LEFT(F2693,FIND(" - ",F2693)-1),F2693),'https://kuryos.sharepoint.com/sites/ServidorKuryos/Shared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I2693:K2782</xm:sqref>
        </x14:conditionalFormatting>
        <x14:conditionalFormatting xmlns:xm="http://schemas.microsoft.com/office/excel/2006/main">
          <x14:cfRule type="expression" priority="10" id="{2BC34ADB-E4B5-47E3-8267-56A6F501D42B}">
            <xm:f>AND(I3106&gt;0,OR(I3106&gt;IFERROR(INDEX('https://kuryos.sharepoint.com/sites/ServidorKuryos/Shared Documents/08. Logistica e Armazenamento/00. Logistica/[Controle de Produtos.xlsx]Produtos'!#REF!,MATCH(IF(ISNUMBER(FIND(" - ",F3106)),LEFT(F3106,FIND(" - ",F3106)-1),F3106),'https://kuryos.sharepoint.com/sites/ServidorKuryos/Shared Documents/08. Logistica e Armazenamento/00. Logistica/[Controle de Produtos.xlsx]Produtos'!#REF!,0)),0)*1.1,AND(I3106&lt;IFERROR(INDEX('https://kuryos.sharepoint.com/sites/ServidorKuryos/Shared Documents/08. Logistica e Armazenamento/00. Logistica/[Controle de Produtos.xlsx]Produtos'!#REF!,MATCH(IF(ISNUMBER(FIND(" - ",F3106)),LEFT(F3106,FIND(" - ",F3106)-1),F3106),'https://kuryos.sharepoint.com/sites/ServidorKuryos/Shared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",F3106)),LEFT(F3106,FIND(" - ",F3106)-1),F3106),'https://kuryos.sharepoint.com/sites/ServidorKuryos/Shared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I3106:J3193</xm:sqref>
        </x14:conditionalFormatting>
        <x14:conditionalFormatting xmlns:xm="http://schemas.microsoft.com/office/excel/2006/main">
          <x14:cfRule type="expression" priority="9" id="{BAFDA8FD-2B84-49D1-B586-E827D0ECB52B}">
            <xm:f>AND(I3195&gt;0,OR(I3195&gt;IFERROR(INDEX('https://kuryos.sharepoint.com/sites/ServidorKuryos/Shared Documents/08. Logistica e Armazenamento/00. Logistica/[Controle de Produtos.xlsx]Produtos'!#REF!,MATCH(IF(ISNUMBER(FIND(" - ",F3195)),LEFT(F3195,FIND(" - ",F3195)-1),F3195),'https://kuryos.sharepoint.com/sites/ServidorKuryos/Shared Documents/08. Logistica e Armazenamento/00. Logistica/[Controle de Produtos.xlsx]Produtos'!#REF!,0)),0)*1.1,AND(I3195&lt;IFERROR(INDEX('https://kuryos.sharepoint.com/sites/ServidorKuryos/Shared Documents/08. Logistica e Armazenamento/00. Logistica/[Controle de Produtos.xlsx]Produtos'!#REF!,MATCH(IF(ISNUMBER(FIND(" - ",F3195)),LEFT(F3195,FIND(" - ",F3195)-1),F3195),'https://kuryos.sharepoint.com/sites/ServidorKuryos/Shared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",F3195)),LEFT(F3195,FIND(" - ",F3195)-1),F3195),'https://kuryos.sharepoint.com/sites/ServidorKuryos/Shared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I3195:K3283</xm:sqref>
        </x14:conditionalFormatting>
        <x14:conditionalFormatting xmlns:xm="http://schemas.microsoft.com/office/excel/2006/main">
          <x14:cfRule type="expression" priority="8" id="{E8A88722-AB8F-408C-97E8-D03D3BEDA8AF}">
            <xm:f>AND(I3285&gt;0,OR(I3285&gt;IFERROR(INDEX('https://kuryos.sharepoint.com/sites/ServidorKuryos/Shared Documents/08. Logistica e Armazenamento/00. Logistica/[Controle de Produtos.xlsx]Produtos'!#REF!,MATCH(IF(ISNUMBER(FIND(" - ",F3285)),LEFT(F3285,FIND(" - ",F3285)-1),F3285),'https://kuryos.sharepoint.com/sites/ServidorKuryos/Shared Documents/08. Logistica e Armazenamento/00. Logistica/[Controle de Produtos.xlsx]Produtos'!#REF!,0)),0)*1.1,AND(I3285&lt;IFERROR(INDEX('https://kuryos.sharepoint.com/sites/ServidorKuryos/Shared Documents/08. Logistica e Armazenamento/00. Logistica/[Controle de Produtos.xlsx]Produtos'!#REF!,MATCH(IF(ISNUMBER(FIND(" - ",F3285)),LEFT(F3285,FIND(" - ",F3285)-1),F3285),'https://kuryos.sharepoint.com/sites/ServidorKuryos/Shared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",F3285)),LEFT(F3285,FIND(" - ",F3285)-1),F3285),'https://kuryos.sharepoint.com/sites/ServidorKuryos/Shared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I3320:K3321 I3338:K3373 I3285:K3286</xm:sqref>
        </x14:conditionalFormatting>
        <x14:conditionalFormatting xmlns:xm="http://schemas.microsoft.com/office/excel/2006/main">
          <x14:cfRule type="expression" priority="7" id="{EF31F1D7-24E8-415B-81D6-1563BB3065D9}">
            <xm:f>AND(I3287&gt;0,OR(I3287&gt;IFERROR(INDEX('https://kuryos.sharepoint.com/sites/ServidorKuryos/Shared Documents/08. Logistica e Armazenamento/00. Logistica/[Controle de Produtos.xlsx]Produtos'!#REF!,MATCH(IF(ISNUMBER(FIND(" - ",F3287)),LEFT(F3287,FIND(" - ",F3287)-1),F3287),'https://kuryos.sharepoint.com/sites/ServidorKuryos/Shared Documents/08. Logistica e Armazenamento/00. Logistica/[Controle de Produtos.xlsx]Produtos'!#REF!,0)),0)*1.1,AND(I3287&lt;IFERROR(INDEX('https://kuryos.sharepoint.com/sites/ServidorKuryos/Shared Documents/08. Logistica e Armazenamento/00. Logistica/[Controle de Produtos.xlsx]Produtos'!#REF!,MATCH(IF(ISNUMBER(FIND(" - ",F3287)),LEFT(F3287,FIND(" - ",F3287)-1),F3287),'https://kuryos.sharepoint.com/sites/ServidorKuryos/Shared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",F3287)),LEFT(F3287,FIND(" - ",F3287)-1),F3287),'https://kuryos.sharepoint.com/sites/ServidorKuryos/Shared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I3287:K3319</xm:sqref>
        </x14:conditionalFormatting>
        <x14:conditionalFormatting xmlns:xm="http://schemas.microsoft.com/office/excel/2006/main">
          <x14:cfRule type="expression" priority="6" id="{1C62A587-7ED2-47D3-A322-7F0B3139CA84}">
            <xm:f>AND(L3345&gt;0,OR(L3345&gt;IFERROR(INDEX('https://kuryos.sharepoint.com/sites/ServidorKuryos/Shared Documents/08. Logistica e Armazenamento/00. Logistica/[Controle de Produtos.xlsx]Produtos'!#REF!,MATCH(IF(ISNUMBER(FIND(" - ",I3345)),LEFT(I3345,FIND(" - ",I3345)-1),I3345),'https://kuryos.sharepoint.com/sites/ServidorKuryos/Shared Documents/08. Logistica e Armazenamento/00. Logistica/[Controle de Produtos.xlsx]Produtos'!#REF!,0)),0)*1.1,AND(L3345&lt;IFERROR(INDEX('https://kuryos.sharepoint.com/sites/ServidorKuryos/Shared Documents/08. Logistica e Armazenamento/00. Logistica/[Controle de Produtos.xlsx]Produtos'!#REF!,MATCH(IF(ISNUMBER(FIND(" - ",I3345)),LEFT(I3345,FIND(" - ",I3345)-1),I3345),'https://kuryos.sharepoint.com/sites/ServidorKuryos/Shared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",I3345)),LEFT(I3345,FIND(" - ",I3345)-1),I3345),'https://kuryos.sharepoint.com/sites/ServidorKuryos/Shared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L3345:N3345</xm:sqref>
        </x14:conditionalFormatting>
        <x14:conditionalFormatting xmlns:xm="http://schemas.microsoft.com/office/excel/2006/main">
          <x14:cfRule type="expression" priority="5" id="{015BF374-0CF0-4F4C-855D-9600F72272CB}">
            <xm:f>AND(L3352&gt;0,OR(L3352&gt;IFERROR(INDEX('https://kuryos.sharepoint.com/sites/ServidorKuryos/Shared Documents/08. Logistica e Armazenamento/00. Logistica/[Controle de Produtos.xlsx]Produtos'!#REF!,MATCH(IF(ISNUMBER(FIND(" - ",I3352)),LEFT(I3352,FIND(" - ",I3352)-1),I3352),'https://kuryos.sharepoint.com/sites/ServidorKuryos/Shared Documents/08. Logistica e Armazenamento/00. Logistica/[Controle de Produtos.xlsx]Produtos'!#REF!,0)),0)*1.1,AND(L3352&lt;IFERROR(INDEX('https://kuryos.sharepoint.com/sites/ServidorKuryos/Shared Documents/08. Logistica e Armazenamento/00. Logistica/[Controle de Produtos.xlsx]Produtos'!#REF!,MATCH(IF(ISNUMBER(FIND(" - ",I3352)),LEFT(I3352,FIND(" - ",I3352)-1),I3352),'https://kuryos.sharepoint.com/sites/ServidorKuryos/Shared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",I3352)),LEFT(I3352,FIND(" - ",I3352)-1),I3352),'https://kuryos.sharepoint.com/sites/ServidorKuryos/Shared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L3352:N3352</xm:sqref>
        </x14:conditionalFormatting>
        <x14:conditionalFormatting xmlns:xm="http://schemas.microsoft.com/office/excel/2006/main">
          <x14:cfRule type="expression" priority="4" id="{E255A798-0681-48A6-9E4A-84AFCB6FF915}">
            <xm:f>AND(L3363&gt;0,OR(L3363&gt;IFERROR(INDEX('https://kuryos.sharepoint.com/sites/ServidorKuryos/Shared Documents/08. Logistica e Armazenamento/00. Logistica/[Controle de Produtos.xlsx]Produtos'!#REF!,MATCH(IF(ISNUMBER(FIND(" - ",I3363)),LEFT(I3363,FIND(" - ",I3363)-1),I3363),'https://kuryos.sharepoint.com/sites/ServidorKuryos/Shared Documents/08. Logistica e Armazenamento/00. Logistica/[Controle de Produtos.xlsx]Produtos'!#REF!,0)),0)*1.1,AND(L3363&lt;IFERROR(INDEX('https://kuryos.sharepoint.com/sites/ServidorKuryos/Shared Documents/08. Logistica e Armazenamento/00. Logistica/[Controle de Produtos.xlsx]Produtos'!#REF!,MATCH(IF(ISNUMBER(FIND(" - ",I3363)),LEFT(I3363,FIND(" - ",I3363)-1),I3363),'https://kuryos.sharepoint.com/sites/ServidorKuryos/Shared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",I3363)),LEFT(I3363,FIND(" - ",I3363)-1),I3363),'https://kuryos.sharepoint.com/sites/ServidorKuryos/Shared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L3363:N3363</xm:sqref>
        </x14:conditionalFormatting>
        <x14:conditionalFormatting xmlns:xm="http://schemas.microsoft.com/office/excel/2006/main">
          <x14:cfRule type="expression" priority="3" id="{A8E4EA68-DD8C-4571-912F-BDA0B97F60AB}">
            <xm:f>AND(L3370&gt;0,OR(L3370&gt;IFERROR(INDEX('https://kuryos.sharepoint.com/sites/ServidorKuryos/Shared Documents/08. Logistica e Armazenamento/00. Logistica/[Controle de Produtos.xlsx]Produtos'!#REF!,MATCH(IF(ISNUMBER(FIND(" - ",I3370)),LEFT(I3370,FIND(" - ",I3370)-1),I3370),'https://kuryos.sharepoint.com/sites/ServidorKuryos/Shared Documents/08. Logistica e Armazenamento/00. Logistica/[Controle de Produtos.xlsx]Produtos'!#REF!,0)),0)*1.1,AND(L3370&lt;IFERROR(INDEX('https://kuryos.sharepoint.com/sites/ServidorKuryos/Shared Documents/08. Logistica e Armazenamento/00. Logistica/[Controle de Produtos.xlsx]Produtos'!#REF!,MATCH(IF(ISNUMBER(FIND(" - ",I3370)),LEFT(I3370,FIND(" - ",I3370)-1),I3370),'https://kuryos.sharepoint.com/sites/ServidorKuryos/Shared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",I3370)),LEFT(I3370,FIND(" - ",I3370)-1),I3370),'https://kuryos.sharepoint.com/sites/ServidorKuryos/Shared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L3370:N3370</xm:sqref>
        </x14:conditionalFormatting>
        <x14:conditionalFormatting xmlns:xm="http://schemas.microsoft.com/office/excel/2006/main">
          <x14:cfRule type="expression" priority="2" id="{38D93537-AB98-41E2-B146-B18FA8F8BC18}">
            <xm:f>AND(I3322&gt;0,OR(I3322&gt;IFERROR(INDEX('https://kuryos.sharepoint.com/sites/ServidorKuryos/Shared Documents/08. Logistica e Armazenamento/00. Logistica/[Controle de Produtos.xlsx]Produtos'!#REF!,MATCH(IF(ISNUMBER(FIND(" - ",F3322)),LEFT(F3322,FIND(" - ",F3322)-1),F3322),'https://kuryos.sharepoint.com/sites/ServidorKuryos/Shared Documents/08. Logistica e Armazenamento/00. Logistica/[Controle de Produtos.xlsx]Produtos'!#REF!,0)),0)*1.1,AND(I3322&lt;IFERROR(INDEX('https://kuryos.sharepoint.com/sites/ServidorKuryos/Shared Documents/08. Logistica e Armazenamento/00. Logistica/[Controle de Produtos.xlsx]Produtos'!#REF!,MATCH(IF(ISNUMBER(FIND(" - ",F3322)),LEFT(F3322,FIND(" - ",F3322)-1),F3322),'https://kuryos.sharepoint.com/sites/ServidorKuryos/Shared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",F3322)),LEFT(F3322,FIND(" - ",F3322)-1),F3322),'https://kuryos.sharepoint.com/sites/ServidorKuryos/Shared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I3322:K3322 I3333:K3337 K3323:K3332</xm:sqref>
        </x14:conditionalFormatting>
        <x14:conditionalFormatting xmlns:xm="http://schemas.microsoft.com/office/excel/2006/main">
          <x14:cfRule type="expression" priority="1" id="{3CFBAEDA-5D53-4535-9A17-BFB2CA17A78D}">
            <xm:f>AND(I3323&gt;0,OR(I3323&gt;IFERROR(INDEX('https://kuryos.sharepoint.com/sites/ServidorKuryos/Shared Documents/08. Logistica e Armazenamento/00. Logistica/[Controle de Produtos.xlsx]Produtos'!#REF!,MATCH(IF(ISNUMBER(FIND(" - ",F3323)),LEFT(F3323,FIND(" - ",F3323)-1),F3323),'https://kuryos.sharepoint.com/sites/ServidorKuryos/Shared Documents/08. Logistica e Armazenamento/00. Logistica/[Controle de Produtos.xlsx]Produtos'!#REF!,0)),0)*1.1,AND(I3323&lt;IFERROR(INDEX('https://kuryos.sharepoint.com/sites/ServidorKuryos/Shared Documents/08. Logistica e Armazenamento/00. Logistica/[Controle de Produtos.xlsx]Produtos'!#REF!,MATCH(IF(ISNUMBER(FIND(" - ",F3323)),LEFT(F3323,FIND(" - ",F3323)-1),F3323),'https://kuryos.sharepoint.com/sites/ServidorKuryos/Shared Documents/08. Logistica e Armazenamento/00. Logistica/[Controle de Produtos.xlsx]Produtos'!#REF!,0)),0)*0.9,IFERROR(INDEX('https://kuryos.sharepoint.com/sites/ServidorKuryos/Shared Documents/08. Logistica e Armazenamento/00. Logistica/[Controle de Produtos.xlsx]Produtos'!#REF!,MATCH(IF(ISNUMBER(FIND(" - ",F3323)),LEFT(F3323,FIND(" - ",F3323)-1),F3323),'https://kuryos.sharepoint.com/sites/ServidorKuryos/Shared Documents/08. Logistica e Armazenamento/00. Logistica/[Controle de Produtos.xlsx]Produtos'!#REF!,0)),0)&gt;0)))</xm:f>
            <x14:dxf>
              <font>
                <color rgb="FFFF0000"/>
              </font>
              <fill>
                <patternFill patternType="solid">
                  <fgColor indexed="64"/>
                  <bgColor rgb="FFFFE0E0"/>
                </patternFill>
              </fill>
            </x14:dxf>
          </x14:cfRule>
          <xm:sqref>I3323:J3332</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643AA-7C23-4268-8537-0808E1E2507D}">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4E52-1EDD-4E8F-83D7-C81C444BABF7}">
  <dimension ref="I3:J16"/>
  <sheetViews>
    <sheetView topLeftCell="A2" workbookViewId="0">
      <selection activeCell="N11" sqref="N11"/>
    </sheetView>
  </sheetViews>
  <sheetFormatPr defaultRowHeight="15" x14ac:dyDescent="0.25"/>
  <cols>
    <col min="9" max="9" width="39.5703125" bestFit="1" customWidth="1"/>
    <col min="10" max="10" width="13.42578125" bestFit="1" customWidth="1"/>
  </cols>
  <sheetData>
    <row r="3" spans="9:10" ht="15.75" thickBot="1" x14ac:dyDescent="0.3"/>
    <row r="4" spans="9:10" ht="15.75" thickBot="1" x14ac:dyDescent="0.3">
      <c r="I4" s="754" t="s">
        <v>1841</v>
      </c>
      <c r="J4" s="754"/>
    </row>
    <row r="5" spans="9:10" ht="15.75" thickBot="1" x14ac:dyDescent="0.3">
      <c r="I5" s="676" t="s">
        <v>1844</v>
      </c>
      <c r="J5" s="676" t="s">
        <v>1843</v>
      </c>
    </row>
    <row r="6" spans="9:10" ht="15.75" thickBot="1" x14ac:dyDescent="0.3">
      <c r="I6" s="677" t="s">
        <v>1842</v>
      </c>
      <c r="J6" s="678">
        <v>20000</v>
      </c>
    </row>
    <row r="7" spans="9:10" ht="15.75" thickBot="1" x14ac:dyDescent="0.3">
      <c r="I7" s="677" t="s">
        <v>1845</v>
      </c>
      <c r="J7" s="678">
        <v>1440</v>
      </c>
    </row>
    <row r="8" spans="9:10" ht="15.75" thickBot="1" x14ac:dyDescent="0.3">
      <c r="I8" s="677" t="s">
        <v>1846</v>
      </c>
      <c r="J8" s="678">
        <v>10000</v>
      </c>
    </row>
    <row r="9" spans="9:10" ht="15.75" thickBot="1" x14ac:dyDescent="0.3">
      <c r="I9" s="677" t="s">
        <v>1847</v>
      </c>
      <c r="J9" s="678">
        <v>1440</v>
      </c>
    </row>
    <row r="10" spans="9:10" ht="15.75" thickBot="1" x14ac:dyDescent="0.3">
      <c r="I10" s="677" t="s">
        <v>1848</v>
      </c>
      <c r="J10" s="678">
        <v>1440</v>
      </c>
    </row>
    <row r="11" spans="9:10" ht="15.75" thickBot="1" x14ac:dyDescent="0.3">
      <c r="I11" s="677" t="s">
        <v>1849</v>
      </c>
      <c r="J11" s="678">
        <v>1440</v>
      </c>
    </row>
    <row r="12" spans="9:10" ht="15.75" thickBot="1" x14ac:dyDescent="0.3">
      <c r="I12" s="677" t="s">
        <v>1850</v>
      </c>
      <c r="J12" s="678">
        <v>864</v>
      </c>
    </row>
    <row r="13" spans="9:10" ht="15.75" thickBot="1" x14ac:dyDescent="0.3">
      <c r="I13" s="677" t="s">
        <v>5</v>
      </c>
      <c r="J13" s="678">
        <v>3000</v>
      </c>
    </row>
    <row r="14" spans="9:10" ht="15.75" thickBot="1" x14ac:dyDescent="0.3">
      <c r="I14" s="677" t="s">
        <v>1851</v>
      </c>
      <c r="J14" s="678">
        <v>10000</v>
      </c>
    </row>
    <row r="15" spans="9:10" ht="15.75" thickBot="1" x14ac:dyDescent="0.3">
      <c r="I15" s="677" t="s">
        <v>1853</v>
      </c>
      <c r="J15" s="678">
        <v>10000</v>
      </c>
    </row>
    <row r="16" spans="9:10" ht="15.75" thickBot="1" x14ac:dyDescent="0.3">
      <c r="I16" s="677" t="s">
        <v>1852</v>
      </c>
      <c r="J16" s="678">
        <v>4150</v>
      </c>
    </row>
  </sheetData>
  <mergeCells count="1">
    <mergeCell ref="I4:J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8D748-A1FE-4C40-9BC0-1087E2263C09}">
  <sheetPr codeName="Sheet3"/>
  <dimension ref="A1:M15"/>
  <sheetViews>
    <sheetView workbookViewId="0">
      <selection activeCell="H9" sqref="H9"/>
    </sheetView>
  </sheetViews>
  <sheetFormatPr defaultRowHeight="15" x14ac:dyDescent="0.25"/>
  <cols>
    <col min="1" max="2" width="10.42578125" bestFit="1" customWidth="1"/>
    <col min="4" max="4" width="11" bestFit="1" customWidth="1"/>
    <col min="5" max="5" width="5.5703125" bestFit="1" customWidth="1"/>
    <col min="8" max="8" width="35.42578125" bestFit="1" customWidth="1"/>
    <col min="9" max="9" width="4" bestFit="1" customWidth="1"/>
    <col min="10" max="10" width="3.42578125" bestFit="1" customWidth="1"/>
    <col min="11" max="11" width="11" bestFit="1" customWidth="1"/>
    <col min="12" max="12" width="7.42578125" bestFit="1" customWidth="1"/>
    <col min="13" max="13" width="14.42578125" bestFit="1" customWidth="1"/>
  </cols>
  <sheetData>
    <row r="1" spans="1:13" x14ac:dyDescent="0.25">
      <c r="A1" s="4">
        <v>45805</v>
      </c>
      <c r="B1" s="4">
        <v>45805</v>
      </c>
      <c r="C1" s="4"/>
      <c r="D1" s="4" t="s">
        <v>14</v>
      </c>
      <c r="E1" s="5"/>
      <c r="F1" s="5"/>
      <c r="G1" s="1"/>
      <c r="H1" s="1" t="s">
        <v>7</v>
      </c>
      <c r="I1" s="2">
        <v>300</v>
      </c>
      <c r="J1" s="2" t="s">
        <v>2</v>
      </c>
      <c r="K1" s="2" t="s">
        <v>3</v>
      </c>
      <c r="L1" s="2" t="s">
        <v>9</v>
      </c>
      <c r="M1" s="2" t="s">
        <v>10</v>
      </c>
    </row>
    <row r="2" spans="1:13" x14ac:dyDescent="0.25">
      <c r="A2" s="4">
        <v>45805</v>
      </c>
      <c r="B2" s="4">
        <v>45805</v>
      </c>
      <c r="C2" s="4"/>
      <c r="D2" s="4" t="s">
        <v>14</v>
      </c>
      <c r="E2" s="5"/>
      <c r="F2" s="5"/>
      <c r="G2" s="1"/>
      <c r="H2" s="1" t="s">
        <v>7</v>
      </c>
      <c r="I2" s="2">
        <v>300</v>
      </c>
      <c r="J2" s="2" t="s">
        <v>2</v>
      </c>
      <c r="K2" s="2" t="s">
        <v>3</v>
      </c>
      <c r="L2" s="2" t="s">
        <v>9</v>
      </c>
      <c r="M2" s="2" t="s">
        <v>10</v>
      </c>
    </row>
    <row r="3" spans="1:13" x14ac:dyDescent="0.25">
      <c r="A3" s="4">
        <v>45805</v>
      </c>
      <c r="B3" s="4">
        <v>45805</v>
      </c>
      <c r="C3" s="4"/>
      <c r="D3" s="4" t="s">
        <v>14</v>
      </c>
      <c r="E3" s="5"/>
      <c r="F3" s="5"/>
      <c r="G3" s="1"/>
      <c r="H3" s="1" t="s">
        <v>7</v>
      </c>
      <c r="I3" s="2">
        <v>300</v>
      </c>
      <c r="J3" s="2" t="s">
        <v>2</v>
      </c>
      <c r="K3" s="2" t="s">
        <v>3</v>
      </c>
      <c r="L3" s="2" t="s">
        <v>9</v>
      </c>
      <c r="M3" s="2" t="s">
        <v>10</v>
      </c>
    </row>
    <row r="4" spans="1:13" hidden="1" x14ac:dyDescent="0.25">
      <c r="A4" s="4">
        <v>45807</v>
      </c>
      <c r="B4" s="4">
        <v>45807</v>
      </c>
      <c r="C4" s="4"/>
      <c r="D4" s="2" t="s">
        <v>15</v>
      </c>
      <c r="E4" s="5">
        <v>1728</v>
      </c>
      <c r="F4" s="5"/>
      <c r="G4" s="1"/>
      <c r="H4" s="1" t="s">
        <v>12</v>
      </c>
      <c r="I4" s="2">
        <v>300</v>
      </c>
      <c r="J4" s="2" t="s">
        <v>2</v>
      </c>
      <c r="K4" s="2" t="s">
        <v>3</v>
      </c>
      <c r="L4" s="2" t="s">
        <v>9</v>
      </c>
      <c r="M4" s="2" t="s">
        <v>11</v>
      </c>
    </row>
    <row r="5" spans="1:13" s="10" customFormat="1" hidden="1" x14ac:dyDescent="0.25">
      <c r="A5" s="6">
        <v>45807</v>
      </c>
      <c r="B5" s="6">
        <v>45807</v>
      </c>
      <c r="C5" s="6"/>
      <c r="D5" s="7" t="s">
        <v>15</v>
      </c>
      <c r="E5" s="8">
        <v>1332</v>
      </c>
      <c r="F5" s="8"/>
      <c r="G5" s="9"/>
      <c r="H5" s="9" t="s">
        <v>12</v>
      </c>
      <c r="I5" s="7">
        <v>300</v>
      </c>
      <c r="J5" s="7" t="s">
        <v>2</v>
      </c>
      <c r="K5" s="7" t="s">
        <v>3</v>
      </c>
      <c r="L5" s="7" t="s">
        <v>9</v>
      </c>
      <c r="M5" s="7" t="s">
        <v>11</v>
      </c>
    </row>
    <row r="6" spans="1:13" s="10" customFormat="1" hidden="1" x14ac:dyDescent="0.25">
      <c r="A6" s="6">
        <v>45806</v>
      </c>
      <c r="B6" s="6">
        <v>45807</v>
      </c>
      <c r="C6" s="6"/>
      <c r="D6" s="7" t="s">
        <v>15</v>
      </c>
      <c r="E6" s="8">
        <v>1332</v>
      </c>
      <c r="F6" s="8"/>
      <c r="G6" s="9"/>
      <c r="H6" s="9" t="s">
        <v>12</v>
      </c>
      <c r="I6" s="7">
        <v>300</v>
      </c>
      <c r="J6" s="7" t="s">
        <v>2</v>
      </c>
      <c r="K6" s="7" t="s">
        <v>3</v>
      </c>
      <c r="L6" s="7" t="s">
        <v>9</v>
      </c>
      <c r="M6" s="7" t="s">
        <v>11</v>
      </c>
    </row>
    <row r="7" spans="1:13" x14ac:dyDescent="0.25">
      <c r="A7" s="4">
        <v>45805</v>
      </c>
      <c r="B7" s="4">
        <v>45805</v>
      </c>
      <c r="C7" s="4"/>
      <c r="D7" s="2" t="s">
        <v>14</v>
      </c>
      <c r="E7" s="5"/>
      <c r="F7" s="5"/>
      <c r="G7" s="1"/>
      <c r="H7" s="1" t="s">
        <v>12</v>
      </c>
      <c r="I7" s="2">
        <v>300</v>
      </c>
      <c r="J7" s="2" t="s">
        <v>2</v>
      </c>
      <c r="K7" s="2" t="s">
        <v>3</v>
      </c>
      <c r="L7" s="2" t="s">
        <v>9</v>
      </c>
      <c r="M7" s="2" t="s">
        <v>11</v>
      </c>
    </row>
    <row r="8" spans="1:13" x14ac:dyDescent="0.25">
      <c r="A8" s="4">
        <v>45806</v>
      </c>
      <c r="B8" s="4">
        <v>45806</v>
      </c>
      <c r="C8" s="4"/>
      <c r="D8" s="2" t="s">
        <v>14</v>
      </c>
      <c r="E8" s="5"/>
      <c r="F8" s="5"/>
      <c r="G8" s="1"/>
      <c r="H8" s="1" t="s">
        <v>12</v>
      </c>
      <c r="I8" s="2">
        <v>300</v>
      </c>
      <c r="J8" s="2" t="s">
        <v>2</v>
      </c>
      <c r="K8" s="2" t="s">
        <v>3</v>
      </c>
      <c r="L8" s="2" t="s">
        <v>9</v>
      </c>
      <c r="M8" s="2" t="s">
        <v>11</v>
      </c>
    </row>
    <row r="9" spans="1:13" x14ac:dyDescent="0.25">
      <c r="A9" s="4">
        <v>45807</v>
      </c>
      <c r="B9" s="4">
        <v>45807</v>
      </c>
      <c r="C9" s="4"/>
      <c r="D9" s="2" t="s">
        <v>14</v>
      </c>
      <c r="E9" s="5"/>
      <c r="F9" s="5"/>
      <c r="G9" s="1"/>
      <c r="H9" s="1" t="s">
        <v>12</v>
      </c>
      <c r="I9" s="2">
        <v>300</v>
      </c>
      <c r="J9" s="2" t="s">
        <v>2</v>
      </c>
      <c r="K9" s="2" t="s">
        <v>3</v>
      </c>
      <c r="L9" s="2" t="s">
        <v>9</v>
      </c>
      <c r="M9" s="2" t="s">
        <v>11</v>
      </c>
    </row>
    <row r="10" spans="1:13" hidden="1" x14ac:dyDescent="0.25">
      <c r="A10" s="4">
        <v>45811</v>
      </c>
      <c r="B10" s="4">
        <v>45811</v>
      </c>
      <c r="C10" s="4"/>
      <c r="D10" s="2" t="s">
        <v>15</v>
      </c>
      <c r="E10" s="5">
        <v>1872</v>
      </c>
      <c r="F10" s="5"/>
      <c r="G10" s="1"/>
      <c r="H10" s="1" t="s">
        <v>6</v>
      </c>
      <c r="I10" s="2">
        <v>300</v>
      </c>
      <c r="J10" s="2" t="s">
        <v>2</v>
      </c>
      <c r="K10" s="2" t="s">
        <v>3</v>
      </c>
      <c r="L10" s="2" t="s">
        <v>9</v>
      </c>
      <c r="M10" s="2" t="s">
        <v>10</v>
      </c>
    </row>
    <row r="11" spans="1:13" x14ac:dyDescent="0.25">
      <c r="A11" s="4">
        <v>45806</v>
      </c>
      <c r="B11" s="4">
        <v>45806</v>
      </c>
      <c r="C11" s="4"/>
      <c r="D11" s="2" t="s">
        <v>14</v>
      </c>
      <c r="E11" s="5"/>
      <c r="F11" s="5"/>
      <c r="G11" s="1"/>
      <c r="H11" s="1" t="s">
        <v>6</v>
      </c>
      <c r="I11" s="2">
        <v>300</v>
      </c>
      <c r="J11" s="2" t="s">
        <v>2</v>
      </c>
      <c r="K11" s="2" t="s">
        <v>3</v>
      </c>
      <c r="L11" s="2" t="s">
        <v>9</v>
      </c>
      <c r="M11" s="2" t="s">
        <v>10</v>
      </c>
    </row>
    <row r="12" spans="1:13" hidden="1" x14ac:dyDescent="0.25">
      <c r="A12" s="4">
        <v>45810</v>
      </c>
      <c r="B12" s="4">
        <v>45811</v>
      </c>
      <c r="C12" s="4"/>
      <c r="D12" s="2" t="s">
        <v>15</v>
      </c>
      <c r="E12" s="5">
        <v>1080</v>
      </c>
      <c r="F12" s="5"/>
      <c r="G12" s="1"/>
      <c r="H12" s="1" t="s">
        <v>6</v>
      </c>
      <c r="I12" s="2">
        <v>300</v>
      </c>
      <c r="J12" s="2" t="s">
        <v>2</v>
      </c>
      <c r="K12" s="2" t="s">
        <v>3</v>
      </c>
      <c r="L12" s="2" t="s">
        <v>9</v>
      </c>
      <c r="M12" s="2" t="s">
        <v>10</v>
      </c>
    </row>
    <row r="13" spans="1:13" x14ac:dyDescent="0.25">
      <c r="A13" s="4">
        <v>45806</v>
      </c>
      <c r="B13" s="4">
        <v>45806</v>
      </c>
      <c r="C13" s="4"/>
      <c r="D13" s="2" t="s">
        <v>14</v>
      </c>
      <c r="E13" s="5"/>
      <c r="F13" s="5"/>
      <c r="G13" s="1"/>
      <c r="H13" s="1" t="s">
        <v>6</v>
      </c>
      <c r="I13" s="2">
        <v>300</v>
      </c>
      <c r="J13" s="2" t="s">
        <v>2</v>
      </c>
      <c r="K13" s="2" t="s">
        <v>3</v>
      </c>
      <c r="L13" s="2" t="s">
        <v>9</v>
      </c>
      <c r="M13" s="2" t="s">
        <v>10</v>
      </c>
    </row>
    <row r="14" spans="1:13" hidden="1" x14ac:dyDescent="0.25">
      <c r="A14" s="4">
        <v>45811</v>
      </c>
      <c r="B14" s="4">
        <v>45811</v>
      </c>
      <c r="C14" s="4"/>
      <c r="D14" s="2" t="s">
        <v>15</v>
      </c>
      <c r="E14" s="5">
        <v>1764</v>
      </c>
      <c r="F14" s="5"/>
      <c r="G14" s="1"/>
      <c r="H14" s="1" t="s">
        <v>6</v>
      </c>
      <c r="I14" s="2">
        <v>300</v>
      </c>
      <c r="J14" s="2" t="s">
        <v>2</v>
      </c>
      <c r="K14" s="2" t="s">
        <v>3</v>
      </c>
      <c r="L14" s="2" t="s">
        <v>9</v>
      </c>
      <c r="M14" s="2" t="s">
        <v>10</v>
      </c>
    </row>
    <row r="15" spans="1:13" x14ac:dyDescent="0.25">
      <c r="A15" s="4">
        <v>45806</v>
      </c>
      <c r="B15" s="4">
        <v>45806</v>
      </c>
      <c r="C15" s="4"/>
      <c r="D15" s="2" t="s">
        <v>14</v>
      </c>
      <c r="E15" s="5"/>
      <c r="F15" s="5"/>
      <c r="G15" s="1"/>
      <c r="H15" s="1" t="s">
        <v>6</v>
      </c>
      <c r="I15" s="2">
        <v>300</v>
      </c>
      <c r="J15" s="2" t="s">
        <v>2</v>
      </c>
      <c r="K15" s="2" t="s">
        <v>3</v>
      </c>
      <c r="L15" s="2" t="s">
        <v>9</v>
      </c>
      <c r="M15" s="2" t="s">
        <v>10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042D-2BCD-4809-973B-7DB9297C30BE}">
  <dimension ref="A1:AB44"/>
  <sheetViews>
    <sheetView workbookViewId="0"/>
  </sheetViews>
  <sheetFormatPr defaultRowHeight="15" x14ac:dyDescent="0.25"/>
  <cols>
    <col min="1" max="15" width="17.140625" customWidth="1"/>
    <col min="16" max="16" width="24.7109375" customWidth="1"/>
    <col min="17" max="23" width="17.140625" customWidth="1"/>
    <col min="24" max="24" width="41.85546875" customWidth="1"/>
    <col min="25" max="28" width="17.140625" customWidth="1"/>
  </cols>
  <sheetData>
    <row r="1" spans="1:28" ht="18.75" x14ac:dyDescent="0.3">
      <c r="A1" s="731" t="s">
        <v>2027</v>
      </c>
    </row>
    <row r="3" spans="1:28" x14ac:dyDescent="0.25">
      <c r="A3" s="732" t="s">
        <v>2028</v>
      </c>
      <c r="F3" s="732" t="s">
        <v>2030</v>
      </c>
      <c r="K3" s="732" t="s">
        <v>2031</v>
      </c>
      <c r="P3" s="732" t="s">
        <v>2032</v>
      </c>
      <c r="X3" s="732" t="s">
        <v>2038</v>
      </c>
    </row>
    <row r="4" spans="1:28" x14ac:dyDescent="0.25">
      <c r="A4" s="732" t="s">
        <v>2025</v>
      </c>
      <c r="B4" s="732" t="s">
        <v>2021</v>
      </c>
      <c r="C4" s="732"/>
      <c r="D4" s="732"/>
      <c r="F4" s="732" t="s">
        <v>2026</v>
      </c>
      <c r="G4" s="732" t="s">
        <v>2021</v>
      </c>
      <c r="H4" s="732"/>
      <c r="I4" s="732"/>
      <c r="K4" s="732" t="s">
        <v>156</v>
      </c>
      <c r="L4" s="732" t="s">
        <v>2021</v>
      </c>
      <c r="M4" s="732"/>
      <c r="N4" s="732"/>
      <c r="P4" s="732" t="s">
        <v>4</v>
      </c>
      <c r="Q4" s="732" t="s">
        <v>2033</v>
      </c>
      <c r="R4" s="732" t="s">
        <v>2034</v>
      </c>
      <c r="S4" s="732" t="s">
        <v>2035</v>
      </c>
      <c r="T4" s="732" t="s">
        <v>2036</v>
      </c>
      <c r="U4" s="732" t="s">
        <v>2037</v>
      </c>
      <c r="X4" s="732" t="s">
        <v>2039</v>
      </c>
      <c r="Y4" s="732" t="s">
        <v>2040</v>
      </c>
      <c r="Z4" s="732" t="s">
        <v>2041</v>
      </c>
      <c r="AA4" s="732" t="s">
        <v>2042</v>
      </c>
      <c r="AB4" s="732" t="s">
        <v>2043</v>
      </c>
    </row>
    <row r="5" spans="1:28" x14ac:dyDescent="0.25">
      <c r="A5" s="732" t="s">
        <v>1203</v>
      </c>
      <c r="B5" s="732">
        <v>2025</v>
      </c>
      <c r="C5" s="732">
        <v>2026</v>
      </c>
      <c r="D5" s="732" t="s">
        <v>1204</v>
      </c>
      <c r="F5" s="732" t="s">
        <v>1203</v>
      </c>
      <c r="G5" s="732">
        <v>2025</v>
      </c>
      <c r="H5" s="732">
        <v>2026</v>
      </c>
      <c r="I5" s="732" t="s">
        <v>1204</v>
      </c>
      <c r="K5" s="732" t="s">
        <v>1203</v>
      </c>
      <c r="L5" s="732">
        <v>2025</v>
      </c>
      <c r="M5" s="732">
        <v>2026</v>
      </c>
      <c r="N5" s="732" t="s">
        <v>1204</v>
      </c>
      <c r="P5" t="str" cm="1">
        <f t="array" ref="P5:P26">_xlfn.LET(_xlpm.u,_xlfn.UNIQUE(_xlfn._xlws.FILTER(Table1[Cliente],(Table1[Cliente]&lt;&gt;"")*(Table1[Ano]&lt;&gt;""))),_xlfn.SORTBY(_xlpm.u,SUMIFS(Table1[Unidades],Table1[Cliente],_xlpm.u,Table1[Ano],2026),-1))</f>
        <v>MISS RÔSE</v>
      </c>
      <c r="Q5" s="232" cm="1">
        <f t="array" ref="Q5:Q26">SUMIFS(Table1[Unidades],Table1[Cliente],_xlfn.ANCHORARRAY(P5),Table1[Ano],2025,Table1[Mês],"&lt;=6")</f>
        <v>214334</v>
      </c>
      <c r="R5" s="232" cm="1">
        <f t="array" ref="R5:R26">SUMIFS(Table1[Unidades],Table1[Cliente],_xlfn.ANCHORARRAY(P5),Table1[Ano],2026,Table1[Mês],"&lt;=6")</f>
        <v>557721</v>
      </c>
      <c r="S5" s="733" cm="1">
        <f t="array" ref="S5:S26">IF(_xlfn.ANCHORARRAY(Q5)&gt;0,_xlfn.ANCHORARRAY(R5)/_xlfn.ANCHORARRAY(Q5)-1,IF((_xlfn.ANCHORARRAY(R5)&gt;0)*(_xlfn.ANCHORARRAY(T5)=0),"novo","—"))</f>
        <v>1.6021116575065086</v>
      </c>
      <c r="T5" s="232" cm="1">
        <f t="array" ref="T5:T26">SUMIFS(Table1[Unidades],Table1[Cliente],_xlfn.ANCHORARRAY(P5),Table1[Ano],2025)</f>
        <v>531994</v>
      </c>
      <c r="U5" s="232" cm="1">
        <f t="array" ref="U5:U26">SUMIFS(Table1[Unidades],Table1[Cliente],_xlfn.ANCHORARRAY(P5),Table1[Ano],2026)</f>
        <v>584086</v>
      </c>
      <c r="X5" t="str" cm="1">
        <f t="array" ref="X5:X34">_xlfn.LET(_xlpm.m,_xlfn.VSTACK(Table1[Motivo Parada 1],Table1[Motivo Parada 2],Table1[Motivo Parada 3],Table1[Motivo Parada Env. 1],Table1[Motivo Parada Env. 2],Table1[Motivo Parada Env. 3]),_xlfn._xlws.SORT(_xlfn.UNIQUE(_xlfn._xlws.FILTER(_xlpm.m,_xlpm.m&lt;&gt;""))))</f>
        <v>ACUMULO DE FRASCO</v>
      </c>
      <c r="Y5" s="231" cm="1">
        <f t="array" ref="Y5:Y34">IF(_xlfn.ANCHORARRAY(X5)="","",COUNTIF(Table1[Motivo Parada 1],_xlfn.ANCHORARRAY(X5))+COUNTIF(Table1[Motivo Parada 2],_xlfn.ANCHORARRAY(X5))+COUNTIF(Table1[Motivo Parada 3],_xlfn.ANCHORARRAY(X5))+COUNTIF(Table1[Motivo Parada Env. 1],_xlfn.ANCHORARRAY(X5))+COUNTIF(Table1[Motivo Parada Env. 2],_xlfn.ANCHORARRAY(X5))+COUNTIF(Table1[Motivo Parada Env. 3],_xlfn.ANCHORARRAY(X5)))</f>
        <v>1</v>
      </c>
      <c r="Z5" s="734" cm="1">
        <f t="array" ref="Z5">IF($X5="","",24*(SUMPRODUCT((Table1[Motivo Parada 1]=$X5)*ISNUMBER(Table1[Parada 1 Rot. Inicio])*ISNUMBER(Table1[Parada 1 Rot. Fim])*IFERROR(MOD(Table1[Parada 1 Rot. Fim]-Table1[Parada 1 Rot. Inicio],1),0))+SUMPRODUCT((Table1[Motivo Parada 2]=$X5)*ISNUMBER(Table1[Parada 2 Rot. Inicio])*ISNUMBER(Table1[Parada 2 Rot. Fim])*IFERROR(MOD(Table1[Parada 2 Rot. Fim]-Table1[Parada 2 Rot. Inicio],1),0))+SUMPRODUCT((Table1[Motivo Parada 3]=$X5)*ISNUMBER(Table1[Parada 3 Rot. Inicio])*ISNUMBER(Table1[Parada 3 Rot. Fim])*IFERROR(MOD(Table1[Parada 3 Rot. Fim]-Table1[Parada 3 Rot. Inicio],1),0))))</f>
        <v>0</v>
      </c>
      <c r="AA5" s="734" cm="1">
        <f t="array" ref="AA5">IF($X5="","",24*(SUMPRODUCT((Table1[Motivo Parada Env. 1]=$X5)*ISNUMBER(Table1[Parada 1 Env. Inicio])*ISNUMBER(Table1[Parada 1 Env. Fim])*IFERROR(MOD(Table1[Parada 1 Env. Fim]-Table1[Parada 1 Env. Inicio],1),0))+SUMPRODUCT((Table1[Motivo Parada Env. 2]=$X5)*ISNUMBER(Table1[Parada 2 Env. Inicio])*ISNUMBER(Table1[Parada 2 Env. Fim])*IFERROR(MOD(Table1[Parada 2 Env. Fim]-Table1[Parada 2 Env. Inicio],1),0))+SUMPRODUCT((Table1[Motivo Parada Env. 3]=$X5)*ISNUMBER(Table1[Parada 3 Env. Inicio])*ISNUMBER(Table1[Parada 3 Env. Fim])*IFERROR(MOD(Table1[Parada 3 Env. Fim]-Table1[Parada 3 Env. Inicio],1),0))))</f>
        <v>0.25000000011641532</v>
      </c>
      <c r="AB5" s="734">
        <f>IF($X5="","",Z5+AA5)</f>
        <v>0.25000000011641532</v>
      </c>
    </row>
    <row r="6" spans="1:28" x14ac:dyDescent="0.25">
      <c r="A6" s="519" t="s">
        <v>377</v>
      </c>
      <c r="B6" s="232">
        <v>636168</v>
      </c>
      <c r="C6" s="232">
        <v>630924</v>
      </c>
      <c r="D6" s="232">
        <v>1267092</v>
      </c>
      <c r="F6" s="519">
        <v>1</v>
      </c>
      <c r="G6" s="232">
        <v>824.2807715498185</v>
      </c>
      <c r="H6" s="232">
        <v>779.78648768632149</v>
      </c>
      <c r="I6" s="232">
        <v>790.34445334884629</v>
      </c>
      <c r="K6" s="519">
        <v>1</v>
      </c>
      <c r="L6" s="735">
        <v>34.066666667000391</v>
      </c>
      <c r="M6" s="735">
        <v>240.28333333577029</v>
      </c>
      <c r="N6" s="735">
        <v>274.35000000277068</v>
      </c>
      <c r="P6" t="str">
        <v>BRIA BEAUTY</v>
      </c>
      <c r="Q6" s="232">
        <v>0</v>
      </c>
      <c r="R6" s="232">
        <v>187262</v>
      </c>
      <c r="S6" s="733" t="str">
        <v>—</v>
      </c>
      <c r="T6" s="232">
        <v>90934</v>
      </c>
      <c r="U6" s="232">
        <v>187262</v>
      </c>
      <c r="X6" t="str">
        <v>AGUARDANDO DESCER PRODUTO</v>
      </c>
      <c r="Y6" s="231">
        <v>1</v>
      </c>
      <c r="Z6" s="734" cm="1">
        <f t="array" ref="Z6">IF($X6="","",24*(SUMPRODUCT((Table1[Motivo Parada 1]=$X6)*ISNUMBER(Table1[Parada 1 Rot. Inicio])*ISNUMBER(Table1[Parada 1 Rot. Fim])*IFERROR(MOD(Table1[Parada 1 Rot. Fim]-Table1[Parada 1 Rot. Inicio],1),0))+SUMPRODUCT((Table1[Motivo Parada 2]=$X6)*ISNUMBER(Table1[Parada 2 Rot. Inicio])*ISNUMBER(Table1[Parada 2 Rot. Fim])*IFERROR(MOD(Table1[Parada 2 Rot. Fim]-Table1[Parada 2 Rot. Inicio],1),0))+SUMPRODUCT((Table1[Motivo Parada 3]=$X6)*ISNUMBER(Table1[Parada 3 Rot. Inicio])*ISNUMBER(Table1[Parada 3 Rot. Fim])*IFERROR(MOD(Table1[Parada 3 Rot. Fim]-Table1[Parada 3 Rot. Inicio],1),0))))</f>
        <v>0</v>
      </c>
      <c r="AA6" s="734" cm="1">
        <f t="array" ref="AA6">IF($X6="","",24*(SUMPRODUCT((Table1[Motivo Parada Env. 1]=$X6)*ISNUMBER(Table1[Parada 1 Env. Inicio])*ISNUMBER(Table1[Parada 1 Env. Fim])*IFERROR(MOD(Table1[Parada 1 Env. Fim]-Table1[Parada 1 Env. Inicio],1),0))+SUMPRODUCT((Table1[Motivo Parada Env. 2]=$X6)*ISNUMBER(Table1[Parada 2 Env. Inicio])*ISNUMBER(Table1[Parada 2 Env. Fim])*IFERROR(MOD(Table1[Parada 2 Env. Fim]-Table1[Parada 2 Env. Inicio],1),0))+SUMPRODUCT((Table1[Motivo Parada Env. 3]=$X6)*ISNUMBER(Table1[Parada 3 Env. Inicio])*ISNUMBER(Table1[Parada 3 Env. Fim])*IFERROR(MOD(Table1[Parada 3 Env. Fim]-Table1[Parada 3 Env. Inicio],1),0))))</f>
        <v>0</v>
      </c>
      <c r="AB6" s="734">
        <f t="shared" ref="AB6:AB44" si="0">IF($X6="","",Z6+AA6)</f>
        <v>0</v>
      </c>
    </row>
    <row r="7" spans="1:28" x14ac:dyDescent="0.25">
      <c r="A7" s="519" t="s">
        <v>378</v>
      </c>
      <c r="B7" s="232">
        <v>642337</v>
      </c>
      <c r="C7" s="232">
        <v>503068</v>
      </c>
      <c r="D7" s="232">
        <v>1145405</v>
      </c>
      <c r="F7" s="519">
        <v>2</v>
      </c>
      <c r="G7" s="232"/>
      <c r="H7" s="232">
        <v>697.3542679385713</v>
      </c>
      <c r="I7" s="232">
        <v>697.3542679385713</v>
      </c>
      <c r="K7" s="519">
        <v>2</v>
      </c>
      <c r="L7" s="735"/>
      <c r="M7" s="735">
        <v>241.66500000242377</v>
      </c>
      <c r="N7" s="735">
        <v>241.66500000242377</v>
      </c>
      <c r="P7" t="str">
        <v>WIKE MAKE</v>
      </c>
      <c r="Q7" s="232">
        <v>0</v>
      </c>
      <c r="R7" s="232">
        <v>118847</v>
      </c>
      <c r="S7" s="733" t="str">
        <v>novo</v>
      </c>
      <c r="T7" s="232">
        <v>0</v>
      </c>
      <c r="U7" s="232">
        <v>118847</v>
      </c>
      <c r="X7" t="str">
        <v>AGUARDANDO FRASCO</v>
      </c>
      <c r="Y7" s="231">
        <v>8</v>
      </c>
      <c r="Z7" s="734" cm="1">
        <f t="array" ref="Z7">IF($X7="","",24*(SUMPRODUCT((Table1[Motivo Parada 1]=$X7)*ISNUMBER(Table1[Parada 1 Rot. Inicio])*ISNUMBER(Table1[Parada 1 Rot. Fim])*IFERROR(MOD(Table1[Parada 1 Rot. Fim]-Table1[Parada 1 Rot. Inicio],1),0))+SUMPRODUCT((Table1[Motivo Parada 2]=$X7)*ISNUMBER(Table1[Parada 2 Rot. Inicio])*ISNUMBER(Table1[Parada 2 Rot. Fim])*IFERROR(MOD(Table1[Parada 2 Rot. Fim]-Table1[Parada 2 Rot. Inicio],1),0))+SUMPRODUCT((Table1[Motivo Parada 3]=$X7)*ISNUMBER(Table1[Parada 3 Rot. Inicio])*ISNUMBER(Table1[Parada 3 Rot. Fim])*IFERROR(MOD(Table1[Parada 3 Rot. Fim]-Table1[Parada 3 Rot. Inicio],1),0))))</f>
        <v>0</v>
      </c>
      <c r="AA7" s="734" cm="1">
        <f t="array" ref="AA7">IF($X7="","",24*(SUMPRODUCT((Table1[Motivo Parada Env. 1]=$X7)*ISNUMBER(Table1[Parada 1 Env. Inicio])*ISNUMBER(Table1[Parada 1 Env. Fim])*IFERROR(MOD(Table1[Parada 1 Env. Fim]-Table1[Parada 1 Env. Inicio],1),0))+SUMPRODUCT((Table1[Motivo Parada Env. 2]=$X7)*ISNUMBER(Table1[Parada 2 Env. Inicio])*ISNUMBER(Table1[Parada 2 Env. Fim])*IFERROR(MOD(Table1[Parada 2 Env. Fim]-Table1[Parada 2 Env. Inicio],1),0))+SUMPRODUCT((Table1[Motivo Parada Env. 3]=$X7)*ISNUMBER(Table1[Parada 3 Env. Inicio])*ISNUMBER(Table1[Parada 3 Env. Fim])*IFERROR(MOD(Table1[Parada 3 Env. Fim]-Table1[Parada 3 Env. Inicio],1),0))))</f>
        <v>8.7999999998719431</v>
      </c>
      <c r="AB7" s="734">
        <f t="shared" si="0"/>
        <v>8.7999999998719431</v>
      </c>
    </row>
    <row r="8" spans="1:28" x14ac:dyDescent="0.25">
      <c r="A8" s="519" t="s">
        <v>1039</v>
      </c>
      <c r="B8" s="232">
        <v>4025</v>
      </c>
      <c r="C8" s="232">
        <v>33507</v>
      </c>
      <c r="D8" s="232">
        <v>37532</v>
      </c>
      <c r="F8" s="519">
        <v>3</v>
      </c>
      <c r="G8" s="232">
        <v>987.20716965250222</v>
      </c>
      <c r="H8" s="232">
        <v>663.30984179281211</v>
      </c>
      <c r="I8" s="232">
        <v>760.79350357582564</v>
      </c>
      <c r="K8" s="519">
        <v>3</v>
      </c>
      <c r="L8" s="735">
        <v>78.183333334280178</v>
      </c>
      <c r="M8" s="735">
        <v>322.03333333681803</v>
      </c>
      <c r="N8" s="735">
        <v>400.21666667109821</v>
      </c>
      <c r="P8" t="str">
        <v>GLOW MAKE UP</v>
      </c>
      <c r="Q8" s="232">
        <v>0</v>
      </c>
      <c r="R8" s="232">
        <v>73293</v>
      </c>
      <c r="S8" s="733" t="str">
        <v>—</v>
      </c>
      <c r="T8" s="232">
        <v>136459</v>
      </c>
      <c r="U8" s="232">
        <v>73293</v>
      </c>
      <c r="X8" t="str">
        <v>AGUARDANDO LIBERAÇÃO DE PRODUTO</v>
      </c>
      <c r="Y8" s="231">
        <v>3</v>
      </c>
      <c r="Z8" s="734" cm="1">
        <f t="array" ref="Z8">IF($X8="","",24*(SUMPRODUCT((Table1[Motivo Parada 1]=$X8)*ISNUMBER(Table1[Parada 1 Rot. Inicio])*ISNUMBER(Table1[Parada 1 Rot. Fim])*IFERROR(MOD(Table1[Parada 1 Rot. Fim]-Table1[Parada 1 Rot. Inicio],1),0))+SUMPRODUCT((Table1[Motivo Parada 2]=$X8)*ISNUMBER(Table1[Parada 2 Rot. Inicio])*ISNUMBER(Table1[Parada 2 Rot. Fim])*IFERROR(MOD(Table1[Parada 2 Rot. Fim]-Table1[Parada 2 Rot. Inicio],1),0))+SUMPRODUCT((Table1[Motivo Parada 3]=$X8)*ISNUMBER(Table1[Parada 3 Rot. Inicio])*ISNUMBER(Table1[Parada 3 Rot. Fim])*IFERROR(MOD(Table1[Parada 3 Rot. Fim]-Table1[Parada 3 Rot. Inicio],1),0))))</f>
        <v>0</v>
      </c>
      <c r="AA8" s="734" cm="1">
        <f t="array" ref="AA8">IF($X8="","",24*(SUMPRODUCT((Table1[Motivo Parada Env. 1]=$X8)*ISNUMBER(Table1[Parada 1 Env. Inicio])*ISNUMBER(Table1[Parada 1 Env. Fim])*IFERROR(MOD(Table1[Parada 1 Env. Fim]-Table1[Parada 1 Env. Inicio],1),0))+SUMPRODUCT((Table1[Motivo Parada Env. 2]=$X8)*ISNUMBER(Table1[Parada 2 Env. Inicio])*ISNUMBER(Table1[Parada 2 Env. Fim])*IFERROR(MOD(Table1[Parada 2 Env. Fim]-Table1[Parada 2 Env. Inicio],1),0))+SUMPRODUCT((Table1[Motivo Parada Env. 3]=$X8)*ISNUMBER(Table1[Parada 3 Env. Inicio])*ISNUMBER(Table1[Parada 3 Env. Fim])*IFERROR(MOD(Table1[Parada 3 Env. Fim]-Table1[Parada 3 Env. Inicio],1),0))))</f>
        <v>2.4833333333954215</v>
      </c>
      <c r="AB8" s="734">
        <f t="shared" si="0"/>
        <v>2.4833333333954215</v>
      </c>
    </row>
    <row r="9" spans="1:28" x14ac:dyDescent="0.25">
      <c r="A9" s="736" t="s">
        <v>1204</v>
      </c>
      <c r="B9" s="737">
        <v>1282530</v>
      </c>
      <c r="C9" s="737">
        <v>1167499</v>
      </c>
      <c r="D9" s="737">
        <v>2450029</v>
      </c>
      <c r="F9" s="519">
        <v>4</v>
      </c>
      <c r="G9" s="232">
        <v>936.65780686558492</v>
      </c>
      <c r="H9" s="232">
        <v>661.87150856113249</v>
      </c>
      <c r="I9" s="232">
        <v>721.2847622485815</v>
      </c>
      <c r="K9" s="519">
        <v>4</v>
      </c>
      <c r="L9" s="735">
        <v>155.96666666836245</v>
      </c>
      <c r="M9" s="735">
        <v>415.65000000380678</v>
      </c>
      <c r="N9" s="735">
        <v>571.61666667216923</v>
      </c>
      <c r="P9" t="str">
        <v>HABIBI PERFUMES</v>
      </c>
      <c r="Q9" s="232">
        <v>0</v>
      </c>
      <c r="R9" s="232">
        <v>64495</v>
      </c>
      <c r="S9" s="733" t="str">
        <v>novo</v>
      </c>
      <c r="T9" s="232">
        <v>0</v>
      </c>
      <c r="U9" s="232">
        <v>67198</v>
      </c>
      <c r="X9" t="str">
        <v>AGUARDANDO LIBERAÇÃO DO PRODUTO</v>
      </c>
      <c r="Y9" s="231">
        <v>1</v>
      </c>
      <c r="Z9" s="734" cm="1">
        <f t="array" ref="Z9">IF($X9="","",24*(SUMPRODUCT((Table1[Motivo Parada 1]=$X9)*ISNUMBER(Table1[Parada 1 Rot. Inicio])*ISNUMBER(Table1[Parada 1 Rot. Fim])*IFERROR(MOD(Table1[Parada 1 Rot. Fim]-Table1[Parada 1 Rot. Inicio],1),0))+SUMPRODUCT((Table1[Motivo Parada 2]=$X9)*ISNUMBER(Table1[Parada 2 Rot. Inicio])*ISNUMBER(Table1[Parada 2 Rot. Fim])*IFERROR(MOD(Table1[Parada 2 Rot. Fim]-Table1[Parada 2 Rot. Inicio],1),0))+SUMPRODUCT((Table1[Motivo Parada 3]=$X9)*ISNUMBER(Table1[Parada 3 Rot. Inicio])*ISNUMBER(Table1[Parada 3 Rot. Fim])*IFERROR(MOD(Table1[Parada 3 Rot. Fim]-Table1[Parada 3 Rot. Inicio],1),0))))</f>
        <v>0</v>
      </c>
      <c r="AA9" s="734" cm="1">
        <f t="array" ref="AA9">IF($X9="","",24*(SUMPRODUCT((Table1[Motivo Parada Env. 1]=$X9)*ISNUMBER(Table1[Parada 1 Env. Inicio])*ISNUMBER(Table1[Parada 1 Env. Fim])*IFERROR(MOD(Table1[Parada 1 Env. Fim]-Table1[Parada 1 Env. Inicio],1),0))+SUMPRODUCT((Table1[Motivo Parada Env. 2]=$X9)*ISNUMBER(Table1[Parada 2 Env. Inicio])*ISNUMBER(Table1[Parada 2 Env. Fim])*IFERROR(MOD(Table1[Parada 2 Env. Fim]-Table1[Parada 2 Env. Inicio],1),0))+SUMPRODUCT((Table1[Motivo Parada Env. 3]=$X9)*ISNUMBER(Table1[Parada 3 Env. Inicio])*ISNUMBER(Table1[Parada 3 Env. Fim])*IFERROR(MOD(Table1[Parada 3 Env. Fim]-Table1[Parada 3 Env. Inicio],1),0))))</f>
        <v>0.76666666672099382</v>
      </c>
      <c r="AB9" s="734">
        <f t="shared" si="0"/>
        <v>0.76666666672099382</v>
      </c>
    </row>
    <row r="10" spans="1:28" x14ac:dyDescent="0.25">
      <c r="F10" s="519">
        <v>5</v>
      </c>
      <c r="G10" s="232">
        <v>711.15265116652597</v>
      </c>
      <c r="H10" s="232">
        <v>716.10290454812764</v>
      </c>
      <c r="I10" s="232">
        <v>714.57282623017807</v>
      </c>
      <c r="K10" s="519">
        <v>5</v>
      </c>
      <c r="L10" s="735">
        <v>172.15000000171131</v>
      </c>
      <c r="M10" s="735">
        <v>313.23333333537448</v>
      </c>
      <c r="N10" s="735">
        <v>485.38333333708579</v>
      </c>
      <c r="P10" t="str">
        <v>FEBELLA BEAUTY</v>
      </c>
      <c r="Q10" s="232">
        <v>0</v>
      </c>
      <c r="R10" s="232">
        <v>46879</v>
      </c>
      <c r="S10" s="733" t="str">
        <v>novo</v>
      </c>
      <c r="T10" s="232">
        <v>0</v>
      </c>
      <c r="U10" s="232">
        <v>54979</v>
      </c>
      <c r="X10" t="str">
        <v>ARRUMAR ROTULO</v>
      </c>
      <c r="Y10" s="231">
        <v>1</v>
      </c>
      <c r="Z10" s="734" cm="1">
        <f t="array" ref="Z10">IF($X10="","",24*(SUMPRODUCT((Table1[Motivo Parada 1]=$X10)*ISNUMBER(Table1[Parada 1 Rot. Inicio])*ISNUMBER(Table1[Parada 1 Rot. Fim])*IFERROR(MOD(Table1[Parada 1 Rot. Fim]-Table1[Parada 1 Rot. Inicio],1),0))+SUMPRODUCT((Table1[Motivo Parada 2]=$X10)*ISNUMBER(Table1[Parada 2 Rot. Inicio])*ISNUMBER(Table1[Parada 2 Rot. Fim])*IFERROR(MOD(Table1[Parada 2 Rot. Fim]-Table1[Parada 2 Rot. Inicio],1),0))+SUMPRODUCT((Table1[Motivo Parada 3]=$X10)*ISNUMBER(Table1[Parada 3 Rot. Inicio])*ISNUMBER(Table1[Parada 3 Rot. Fim])*IFERROR(MOD(Table1[Parada 3 Rot. Fim]-Table1[Parada 3 Rot. Inicio],1),0))))</f>
        <v>0</v>
      </c>
      <c r="AA10" s="734" cm="1">
        <f t="array" ref="AA10">IF($X10="","",24*(SUMPRODUCT((Table1[Motivo Parada Env. 1]=$X10)*ISNUMBER(Table1[Parada 1 Env. Inicio])*ISNUMBER(Table1[Parada 1 Env. Fim])*IFERROR(MOD(Table1[Parada 1 Env. Fim]-Table1[Parada 1 Env. Inicio],1),0))+SUMPRODUCT((Table1[Motivo Parada Env. 2]=$X10)*ISNUMBER(Table1[Parada 2 Env. Inicio])*ISNUMBER(Table1[Parada 2 Env. Fim])*IFERROR(MOD(Table1[Parada 2 Env. Fim]-Table1[Parada 2 Env. Inicio],1),0))+SUMPRODUCT((Table1[Motivo Parada Env. 3]=$X10)*ISNUMBER(Table1[Parada 3 Env. Inicio])*ISNUMBER(Table1[Parada 3 Env. Fim])*IFERROR(MOD(Table1[Parada 3 Env. Fim]-Table1[Parada 3 Env. Inicio],1),0))))</f>
        <v>0.33333333319751546</v>
      </c>
      <c r="AB10" s="734">
        <f t="shared" si="0"/>
        <v>0.33333333319751546</v>
      </c>
    </row>
    <row r="11" spans="1:28" x14ac:dyDescent="0.25">
      <c r="F11" s="519">
        <v>6</v>
      </c>
      <c r="G11" s="232">
        <v>732.56682024821976</v>
      </c>
      <c r="H11" s="232">
        <v>881.3906134021513</v>
      </c>
      <c r="I11" s="232">
        <v>805.16379251843045</v>
      </c>
      <c r="K11" s="519">
        <v>6</v>
      </c>
      <c r="L11" s="735">
        <v>199.11666666908422</v>
      </c>
      <c r="M11" s="735">
        <v>328.58333333651535</v>
      </c>
      <c r="N11" s="735">
        <v>527.70000000559958</v>
      </c>
      <c r="P11" t="str">
        <v>AMEERATI</v>
      </c>
      <c r="Q11" s="232">
        <v>0</v>
      </c>
      <c r="R11" s="232">
        <v>47824</v>
      </c>
      <c r="S11" s="733" t="str">
        <v>—</v>
      </c>
      <c r="T11" s="232">
        <v>33357</v>
      </c>
      <c r="U11" s="232">
        <v>47824</v>
      </c>
      <c r="X11" t="str">
        <v>ESPERANDO FRASCO</v>
      </c>
      <c r="Y11" s="231">
        <v>1</v>
      </c>
      <c r="Z11" s="734" cm="1">
        <f t="array" ref="Z11">IF($X11="","",24*(SUMPRODUCT((Table1[Motivo Parada 1]=$X11)*ISNUMBER(Table1[Parada 1 Rot. Inicio])*ISNUMBER(Table1[Parada 1 Rot. Fim])*IFERROR(MOD(Table1[Parada 1 Rot. Fim]-Table1[Parada 1 Rot. Inicio],1),0))+SUMPRODUCT((Table1[Motivo Parada 2]=$X11)*ISNUMBER(Table1[Parada 2 Rot. Inicio])*ISNUMBER(Table1[Parada 2 Rot. Fim])*IFERROR(MOD(Table1[Parada 2 Rot. Fim]-Table1[Parada 2 Rot. Inicio],1),0))+SUMPRODUCT((Table1[Motivo Parada 3]=$X11)*ISNUMBER(Table1[Parada 3 Rot. Inicio])*ISNUMBER(Table1[Parada 3 Rot. Fim])*IFERROR(MOD(Table1[Parada 3 Rot. Fim]-Table1[Parada 3 Rot. Inicio],1),0))))</f>
        <v>0</v>
      </c>
      <c r="AA11" s="734" cm="1">
        <f t="array" ref="AA11">IF($X11="","",24*(SUMPRODUCT((Table1[Motivo Parada Env. 1]=$X11)*ISNUMBER(Table1[Parada 1 Env. Inicio])*ISNUMBER(Table1[Parada 1 Env. Fim])*IFERROR(MOD(Table1[Parada 1 Env. Fim]-Table1[Parada 1 Env. Inicio],1),0))+SUMPRODUCT((Table1[Motivo Parada Env. 2]=$X11)*ISNUMBER(Table1[Parada 2 Env. Inicio])*ISNUMBER(Table1[Parada 2 Env. Fim])*IFERROR(MOD(Table1[Parada 2 Env. Fim]-Table1[Parada 2 Env. Inicio],1),0))+SUMPRODUCT((Table1[Motivo Parada Env. 3]=$X11)*ISNUMBER(Table1[Parada 3 Env. Inicio])*ISNUMBER(Table1[Parada 3 Env. Fim])*IFERROR(MOD(Table1[Parada 3 Env. Fim]-Table1[Parada 3 Env. Inicio],1),0))))</f>
        <v>0.44999999989522621</v>
      </c>
      <c r="AB11" s="734">
        <f t="shared" si="0"/>
        <v>0.44999999989522621</v>
      </c>
    </row>
    <row r="12" spans="1:28" x14ac:dyDescent="0.25">
      <c r="F12" s="519">
        <v>7</v>
      </c>
      <c r="G12" s="232">
        <v>783.786998210815</v>
      </c>
      <c r="H12" s="232"/>
      <c r="I12" s="232">
        <v>783.786998210815</v>
      </c>
      <c r="K12" s="519">
        <v>7</v>
      </c>
      <c r="L12" s="735">
        <v>266.76666666922392</v>
      </c>
      <c r="M12" s="735"/>
      <c r="N12" s="735">
        <v>266.76666666922392</v>
      </c>
      <c r="P12" t="str">
        <v>SAFIRA</v>
      </c>
      <c r="Q12" s="232">
        <v>59524</v>
      </c>
      <c r="R12" s="232">
        <v>33394</v>
      </c>
      <c r="S12" s="733">
        <v>-0.43898259525569516</v>
      </c>
      <c r="T12" s="232">
        <v>59524</v>
      </c>
      <c r="U12" s="232">
        <v>33394</v>
      </c>
      <c r="X12" t="str">
        <v>ESPERANDO INSUMO</v>
      </c>
      <c r="Y12" s="231">
        <v>1</v>
      </c>
      <c r="Z12" s="734" cm="1">
        <f t="array" ref="Z12">IF($X12="","",24*(SUMPRODUCT((Table1[Motivo Parada 1]=$X12)*ISNUMBER(Table1[Parada 1 Rot. Inicio])*ISNUMBER(Table1[Parada 1 Rot. Fim])*IFERROR(MOD(Table1[Parada 1 Rot. Fim]-Table1[Parada 1 Rot. Inicio],1),0))+SUMPRODUCT((Table1[Motivo Parada 2]=$X12)*ISNUMBER(Table1[Parada 2 Rot. Inicio])*ISNUMBER(Table1[Parada 2 Rot. Fim])*IFERROR(MOD(Table1[Parada 2 Rot. Fim]-Table1[Parada 2 Rot. Inicio],1),0))+SUMPRODUCT((Table1[Motivo Parada 3]=$X12)*ISNUMBER(Table1[Parada 3 Rot. Inicio])*ISNUMBER(Table1[Parada 3 Rot. Fim])*IFERROR(MOD(Table1[Parada 3 Rot. Fim]-Table1[Parada 3 Rot. Inicio],1),0))))</f>
        <v>0</v>
      </c>
      <c r="AA12" s="734" cm="1">
        <f t="array" ref="AA12">IF($X12="","",24*(SUMPRODUCT((Table1[Motivo Parada Env. 1]=$X12)*ISNUMBER(Table1[Parada 1 Env. Inicio])*ISNUMBER(Table1[Parada 1 Env. Fim])*IFERROR(MOD(Table1[Parada 1 Env. Fim]-Table1[Parada 1 Env. Inicio],1),0))+SUMPRODUCT((Table1[Motivo Parada Env. 2]=$X12)*ISNUMBER(Table1[Parada 2 Env. Inicio])*ISNUMBER(Table1[Parada 2 Env. Fim])*IFERROR(MOD(Table1[Parada 2 Env. Fim]-Table1[Parada 2 Env. Inicio],1),0))+SUMPRODUCT((Table1[Motivo Parada Env. 3]=$X12)*ISNUMBER(Table1[Parada 3 Env. Inicio])*ISNUMBER(Table1[Parada 3 Env. Fim])*IFERROR(MOD(Table1[Parada 3 Env. Fim]-Table1[Parada 3 Env. Inicio],1),0))))</f>
        <v>1.0833333333721384</v>
      </c>
      <c r="AB12" s="734">
        <f t="shared" si="0"/>
        <v>1.0833333333721384</v>
      </c>
    </row>
    <row r="13" spans="1:28" x14ac:dyDescent="0.25">
      <c r="A13" s="732" t="s">
        <v>2029</v>
      </c>
      <c r="F13" s="519">
        <v>8</v>
      </c>
      <c r="G13" s="232">
        <v>766.4512026020077</v>
      </c>
      <c r="H13" s="232"/>
      <c r="I13" s="232">
        <v>766.4512026020077</v>
      </c>
      <c r="K13" s="519">
        <v>8</v>
      </c>
      <c r="L13" s="735">
        <v>402.63333333813353</v>
      </c>
      <c r="M13" s="735"/>
      <c r="N13" s="735">
        <v>402.63333333813353</v>
      </c>
      <c r="P13" t="str">
        <v>DAPOP</v>
      </c>
      <c r="Q13" s="232">
        <v>55950</v>
      </c>
      <c r="R13" s="232">
        <v>27259</v>
      </c>
      <c r="S13" s="733">
        <v>-0.51279714030384271</v>
      </c>
      <c r="T13" s="232">
        <v>436444</v>
      </c>
      <c r="U13" s="232">
        <v>27259</v>
      </c>
      <c r="X13" t="str">
        <v>ESPERANDO LIBERAÇÃO DE PRODUTO</v>
      </c>
      <c r="Y13" s="231">
        <v>1</v>
      </c>
      <c r="Z13" s="734" cm="1">
        <f t="array" ref="Z13">IF($X13="","",24*(SUMPRODUCT((Table1[Motivo Parada 1]=$X13)*ISNUMBER(Table1[Parada 1 Rot. Inicio])*ISNUMBER(Table1[Parada 1 Rot. Fim])*IFERROR(MOD(Table1[Parada 1 Rot. Fim]-Table1[Parada 1 Rot. Inicio],1),0))+SUMPRODUCT((Table1[Motivo Parada 2]=$X13)*ISNUMBER(Table1[Parada 2 Rot. Inicio])*ISNUMBER(Table1[Parada 2 Rot. Fim])*IFERROR(MOD(Table1[Parada 2 Rot. Fim]-Table1[Parada 2 Rot. Inicio],1),0))+SUMPRODUCT((Table1[Motivo Parada 3]=$X13)*ISNUMBER(Table1[Parada 3 Rot. Inicio])*ISNUMBER(Table1[Parada 3 Rot. Fim])*IFERROR(MOD(Table1[Parada 3 Rot. Fim]-Table1[Parada 3 Rot. Inicio],1),0))))</f>
        <v>0</v>
      </c>
      <c r="AA13" s="734" cm="1">
        <f t="array" ref="AA13">IF($X13="","",24*(SUMPRODUCT((Table1[Motivo Parada Env. 1]=$X13)*ISNUMBER(Table1[Parada 1 Env. Inicio])*ISNUMBER(Table1[Parada 1 Env. Fim])*IFERROR(MOD(Table1[Parada 1 Env. Fim]-Table1[Parada 1 Env. Inicio],1),0))+SUMPRODUCT((Table1[Motivo Parada Env. 2]=$X13)*ISNUMBER(Table1[Parada 2 Env. Inicio])*ISNUMBER(Table1[Parada 2 Env. Fim])*IFERROR(MOD(Table1[Parada 2 Env. Fim]-Table1[Parada 2 Env. Inicio],1),0))+SUMPRODUCT((Table1[Motivo Parada Env. 3]=$X13)*ISNUMBER(Table1[Parada 3 Env. Inicio])*ISNUMBER(Table1[Parada 3 Env. Fim])*IFERROR(MOD(Table1[Parada 3 Env. Fim]-Table1[Parada 3 Env. Inicio],1),0))))</f>
        <v>0.11666666669771075</v>
      </c>
      <c r="AB13" s="734">
        <f t="shared" si="0"/>
        <v>0.11666666669771075</v>
      </c>
    </row>
    <row r="14" spans="1:28" x14ac:dyDescent="0.25">
      <c r="A14" s="732" t="s">
        <v>2026</v>
      </c>
      <c r="B14" s="732" t="s">
        <v>2021</v>
      </c>
      <c r="C14" s="732"/>
      <c r="D14" s="732"/>
      <c r="F14" s="519">
        <v>9</v>
      </c>
      <c r="G14" s="232">
        <v>718.12555723786454</v>
      </c>
      <c r="H14" s="232"/>
      <c r="I14" s="232">
        <v>718.12555723786454</v>
      </c>
      <c r="K14" s="519">
        <v>9</v>
      </c>
      <c r="L14" s="735">
        <v>297.30000000167638</v>
      </c>
      <c r="M14" s="735"/>
      <c r="N14" s="735">
        <v>297.30000000167638</v>
      </c>
      <c r="P14" t="str">
        <v>GOTA ZEN</v>
      </c>
      <c r="Q14" s="232">
        <v>0</v>
      </c>
      <c r="R14" s="232">
        <v>16835</v>
      </c>
      <c r="S14" s="733" t="str">
        <v>—</v>
      </c>
      <c r="T14" s="232">
        <v>12179</v>
      </c>
      <c r="U14" s="232">
        <v>16835</v>
      </c>
      <c r="X14" t="str">
        <v>FALTA DE EMBALAGEM</v>
      </c>
      <c r="Y14" s="231">
        <v>1</v>
      </c>
      <c r="Z14" s="734" cm="1">
        <f t="array" ref="Z14">IF($X14="","",24*(SUMPRODUCT((Table1[Motivo Parada 1]=$X14)*ISNUMBER(Table1[Parada 1 Rot. Inicio])*ISNUMBER(Table1[Parada 1 Rot. Fim])*IFERROR(MOD(Table1[Parada 1 Rot. Fim]-Table1[Parada 1 Rot. Inicio],1),0))+SUMPRODUCT((Table1[Motivo Parada 2]=$X14)*ISNUMBER(Table1[Parada 2 Rot. Inicio])*ISNUMBER(Table1[Parada 2 Rot. Fim])*IFERROR(MOD(Table1[Parada 2 Rot. Fim]-Table1[Parada 2 Rot. Inicio],1),0))+SUMPRODUCT((Table1[Motivo Parada 3]=$X14)*ISNUMBER(Table1[Parada 3 Rot. Inicio])*ISNUMBER(Table1[Parada 3 Rot. Fim])*IFERROR(MOD(Table1[Parada 3 Rot. Fim]-Table1[Parada 3 Rot. Inicio],1),0))))</f>
        <v>0</v>
      </c>
      <c r="AA14" s="734" cm="1">
        <f t="array" ref="AA14">IF($X14="","",24*(SUMPRODUCT((Table1[Motivo Parada Env. 1]=$X14)*ISNUMBER(Table1[Parada 1 Env. Inicio])*ISNUMBER(Table1[Parada 1 Env. Fim])*IFERROR(MOD(Table1[Parada 1 Env. Fim]-Table1[Parada 1 Env. Inicio],1),0))+SUMPRODUCT((Table1[Motivo Parada Env. 2]=$X14)*ISNUMBER(Table1[Parada 2 Env. Inicio])*ISNUMBER(Table1[Parada 2 Env. Fim])*IFERROR(MOD(Table1[Parada 2 Env. Fim]-Table1[Parada 2 Env. Inicio],1),0))+SUMPRODUCT((Table1[Motivo Parada Env. 3]=$X14)*ISNUMBER(Table1[Parada 3 Env. Inicio])*ISNUMBER(Table1[Parada 3 Env. Fim])*IFERROR(MOD(Table1[Parada 3 Env. Fim]-Table1[Parada 3 Env. Inicio],1),0))))</f>
        <v>8.3333333255723119E-2</v>
      </c>
      <c r="AB14" s="734">
        <f t="shared" si="0"/>
        <v>8.3333333255723119E-2</v>
      </c>
    </row>
    <row r="15" spans="1:28" x14ac:dyDescent="0.25">
      <c r="A15" s="732" t="s">
        <v>1203</v>
      </c>
      <c r="B15" s="732">
        <v>2025</v>
      </c>
      <c r="C15" s="732">
        <v>2026</v>
      </c>
      <c r="D15" s="732" t="s">
        <v>1204</v>
      </c>
      <c r="F15" s="519">
        <v>10</v>
      </c>
      <c r="G15" s="232">
        <v>746.20942043841706</v>
      </c>
      <c r="H15" s="232"/>
      <c r="I15" s="232">
        <v>746.20942043841706</v>
      </c>
      <c r="K15" s="519">
        <v>10</v>
      </c>
      <c r="L15" s="735">
        <v>354.21666667074896</v>
      </c>
      <c r="M15" s="735"/>
      <c r="N15" s="735">
        <v>354.21666667074896</v>
      </c>
      <c r="P15" t="str">
        <v>CAMIE BEAUTY</v>
      </c>
      <c r="Q15" s="232">
        <v>0</v>
      </c>
      <c r="R15" s="232">
        <v>8745</v>
      </c>
      <c r="S15" s="733" t="str">
        <v>novo</v>
      </c>
      <c r="T15" s="232">
        <v>0</v>
      </c>
      <c r="U15" s="232">
        <v>8745</v>
      </c>
      <c r="X15" t="str">
        <v>FALTA DE PRODUTO</v>
      </c>
      <c r="Y15" s="231">
        <v>3</v>
      </c>
      <c r="Z15" s="734" cm="1">
        <f t="array" ref="Z15">IF($X15="","",24*(SUMPRODUCT((Table1[Motivo Parada 1]=$X15)*ISNUMBER(Table1[Parada 1 Rot. Inicio])*ISNUMBER(Table1[Parada 1 Rot. Fim])*IFERROR(MOD(Table1[Parada 1 Rot. Fim]-Table1[Parada 1 Rot. Inicio],1),0))+SUMPRODUCT((Table1[Motivo Parada 2]=$X15)*ISNUMBER(Table1[Parada 2 Rot. Inicio])*ISNUMBER(Table1[Parada 2 Rot. Fim])*IFERROR(MOD(Table1[Parada 2 Rot. Fim]-Table1[Parada 2 Rot. Inicio],1),0))+SUMPRODUCT((Table1[Motivo Parada 3]=$X15)*ISNUMBER(Table1[Parada 3 Rot. Inicio])*ISNUMBER(Table1[Parada 3 Rot. Fim])*IFERROR(MOD(Table1[Parada 3 Rot. Fim]-Table1[Parada 3 Rot. Inicio],1),0))))</f>
        <v>0</v>
      </c>
      <c r="AA15" s="734" cm="1">
        <f t="array" ref="AA15">IF($X15="","",24*(SUMPRODUCT((Table1[Motivo Parada Env. 1]=$X15)*ISNUMBER(Table1[Parada 1 Env. Inicio])*ISNUMBER(Table1[Parada 1 Env. Fim])*IFERROR(MOD(Table1[Parada 1 Env. Fim]-Table1[Parada 1 Env. Inicio],1),0))+SUMPRODUCT((Table1[Motivo Parada Env. 2]=$X15)*ISNUMBER(Table1[Parada 2 Env. Inicio])*ISNUMBER(Table1[Parada 2 Env. Fim])*IFERROR(MOD(Table1[Parada 2 Env. Fim]-Table1[Parada 2 Env. Inicio],1),0))+SUMPRODUCT((Table1[Motivo Parada Env. 3]=$X15)*ISNUMBER(Table1[Parada 3 Env. Inicio])*ISNUMBER(Table1[Parada 3 Env. Fim])*IFERROR(MOD(Table1[Parada 3 Env. Fim]-Table1[Parada 3 Env. Inicio],1),0))))</f>
        <v>2.0833333334885538</v>
      </c>
      <c r="AB15" s="734">
        <f t="shared" si="0"/>
        <v>2.0833333334885538</v>
      </c>
    </row>
    <row r="16" spans="1:28" x14ac:dyDescent="0.25">
      <c r="A16" s="519" t="s">
        <v>377</v>
      </c>
      <c r="B16" s="232">
        <v>795.78435032011475</v>
      </c>
      <c r="C16" s="232">
        <v>777.40009184576957</v>
      </c>
      <c r="D16" s="232">
        <v>787.64833805912758</v>
      </c>
      <c r="F16" s="519">
        <v>11</v>
      </c>
      <c r="G16" s="232">
        <v>713.3656763211053</v>
      </c>
      <c r="H16" s="232"/>
      <c r="I16" s="232">
        <v>713.3656763211053</v>
      </c>
      <c r="K16" s="519">
        <v>11</v>
      </c>
      <c r="L16" s="735">
        <v>235.73333333607297</v>
      </c>
      <c r="M16" s="735"/>
      <c r="N16" s="735">
        <v>235.73333333607297</v>
      </c>
      <c r="P16" t="str">
        <v>FILATO BENE</v>
      </c>
      <c r="Q16" s="232">
        <v>0</v>
      </c>
      <c r="R16" s="232">
        <v>3710</v>
      </c>
      <c r="S16" s="733" t="str">
        <v>novo</v>
      </c>
      <c r="T16" s="232">
        <v>0</v>
      </c>
      <c r="U16" s="232">
        <v>3710</v>
      </c>
      <c r="X16" t="str">
        <v>FALTOU FRASCO</v>
      </c>
      <c r="Y16" s="231">
        <v>8</v>
      </c>
      <c r="Z16" s="734" cm="1">
        <f t="array" ref="Z16">IF($X16="","",24*(SUMPRODUCT((Table1[Motivo Parada 1]=$X16)*ISNUMBER(Table1[Parada 1 Rot. Inicio])*ISNUMBER(Table1[Parada 1 Rot. Fim])*IFERROR(MOD(Table1[Parada 1 Rot. Fim]-Table1[Parada 1 Rot. Inicio],1),0))+SUMPRODUCT((Table1[Motivo Parada 2]=$X16)*ISNUMBER(Table1[Parada 2 Rot. Inicio])*ISNUMBER(Table1[Parada 2 Rot. Fim])*IFERROR(MOD(Table1[Parada 2 Rot. Fim]-Table1[Parada 2 Rot. Inicio],1),0))+SUMPRODUCT((Table1[Motivo Parada 3]=$X16)*ISNUMBER(Table1[Parada 3 Rot. Inicio])*ISNUMBER(Table1[Parada 3 Rot. Fim])*IFERROR(MOD(Table1[Parada 3 Rot. Fim]-Table1[Parada 3 Rot. Inicio],1),0))))</f>
        <v>0</v>
      </c>
      <c r="AA16" s="734" cm="1">
        <f t="array" ref="AA16">IF($X16="","",24*(SUMPRODUCT((Table1[Motivo Parada Env. 1]=$X16)*ISNUMBER(Table1[Parada 1 Env. Inicio])*ISNUMBER(Table1[Parada 1 Env. Fim])*IFERROR(MOD(Table1[Parada 1 Env. Fim]-Table1[Parada 1 Env. Inicio],1),0))+SUMPRODUCT((Table1[Motivo Parada Env. 2]=$X16)*ISNUMBER(Table1[Parada 2 Env. Inicio])*ISNUMBER(Table1[Parada 2 Env. Fim])*IFERROR(MOD(Table1[Parada 2 Env. Fim]-Table1[Parada 2 Env. Inicio],1),0))+SUMPRODUCT((Table1[Motivo Parada Env. 3]=$X16)*ISNUMBER(Table1[Parada 3 Env. Inicio])*ISNUMBER(Table1[Parada 3 Env. Fim])*IFERROR(MOD(Table1[Parada 3 Env. Fim]-Table1[Parada 3 Env. Inicio],1),0))))</f>
        <v>2.533333333209157</v>
      </c>
      <c r="AB16" s="734">
        <f t="shared" si="0"/>
        <v>2.533333333209157</v>
      </c>
    </row>
    <row r="17" spans="1:28" x14ac:dyDescent="0.25">
      <c r="A17" s="519" t="s">
        <v>378</v>
      </c>
      <c r="B17" s="232">
        <v>721.83930670959592</v>
      </c>
      <c r="C17" s="232">
        <v>702.41378022113918</v>
      </c>
      <c r="D17" s="232">
        <v>714.01864020125595</v>
      </c>
      <c r="F17" s="519">
        <v>12</v>
      </c>
      <c r="G17" s="232">
        <v>783.2055627571682</v>
      </c>
      <c r="H17" s="232"/>
      <c r="I17" s="232">
        <v>783.2055627571682</v>
      </c>
      <c r="K17" s="519">
        <v>12</v>
      </c>
      <c r="L17" s="735">
        <v>318.05000000132713</v>
      </c>
      <c r="M17" s="735"/>
      <c r="N17" s="735">
        <v>318.05000000132713</v>
      </c>
      <c r="P17" t="str">
        <v>KURYOS</v>
      </c>
      <c r="Q17" s="232">
        <v>6219</v>
      </c>
      <c r="R17" s="232">
        <v>2865</v>
      </c>
      <c r="S17" s="733">
        <v>-0.53931500241196328</v>
      </c>
      <c r="T17" s="232">
        <v>16572</v>
      </c>
      <c r="U17" s="232">
        <v>2865</v>
      </c>
      <c r="X17" t="str">
        <v>FALTOU FRASCO ROTULADO</v>
      </c>
      <c r="Y17" s="231">
        <v>1</v>
      </c>
      <c r="Z17" s="734" cm="1">
        <f t="array" ref="Z17">IF($X17="","",24*(SUMPRODUCT((Table1[Motivo Parada 1]=$X17)*ISNUMBER(Table1[Parada 1 Rot. Inicio])*ISNUMBER(Table1[Parada 1 Rot. Fim])*IFERROR(MOD(Table1[Parada 1 Rot. Fim]-Table1[Parada 1 Rot. Inicio],1),0))+SUMPRODUCT((Table1[Motivo Parada 2]=$X17)*ISNUMBER(Table1[Parada 2 Rot. Inicio])*ISNUMBER(Table1[Parada 2 Rot. Fim])*IFERROR(MOD(Table1[Parada 2 Rot. Fim]-Table1[Parada 2 Rot. Inicio],1),0))+SUMPRODUCT((Table1[Motivo Parada 3]=$X17)*ISNUMBER(Table1[Parada 3 Rot. Inicio])*ISNUMBER(Table1[Parada 3 Rot. Fim])*IFERROR(MOD(Table1[Parada 3 Rot. Fim]-Table1[Parada 3 Rot. Inicio],1),0))))</f>
        <v>0</v>
      </c>
      <c r="AA17" s="734" cm="1">
        <f t="array" ref="AA17">IF($X17="","",24*(SUMPRODUCT((Table1[Motivo Parada Env. 1]=$X17)*ISNUMBER(Table1[Parada 1 Env. Inicio])*ISNUMBER(Table1[Parada 1 Env. Fim])*IFERROR(MOD(Table1[Parada 1 Env. Fim]-Table1[Parada 1 Env. Inicio],1),0))+SUMPRODUCT((Table1[Motivo Parada Env. 2]=$X17)*ISNUMBER(Table1[Parada 2 Env. Inicio])*ISNUMBER(Table1[Parada 2 Env. Fim])*IFERROR(MOD(Table1[Parada 2 Env. Fim]-Table1[Parada 2 Env. Inicio],1),0))+SUMPRODUCT((Table1[Motivo Parada Env. 3]=$X17)*ISNUMBER(Table1[Parada 3 Env. Inicio])*ISNUMBER(Table1[Parada 3 Env. Fim])*IFERROR(MOD(Table1[Parada 3 Env. Fim]-Table1[Parada 3 Env. Inicio],1),0))))</f>
        <v>1.4666666665580124</v>
      </c>
      <c r="AB17" s="734">
        <f t="shared" si="0"/>
        <v>1.4666666665580124</v>
      </c>
    </row>
    <row r="18" spans="1:28" x14ac:dyDescent="0.25">
      <c r="A18" s="519" t="s">
        <v>1039</v>
      </c>
      <c r="B18" s="232">
        <v>259.06360153252393</v>
      </c>
      <c r="C18" s="232">
        <v>430.62443565196531</v>
      </c>
      <c r="D18" s="232">
        <v>410.03713555763221</v>
      </c>
      <c r="F18" s="736" t="s">
        <v>1204</v>
      </c>
      <c r="G18" s="737">
        <v>770.05574225514385</v>
      </c>
      <c r="H18" s="737">
        <v>722.68362091585209</v>
      </c>
      <c r="I18" s="737">
        <v>751.88561352226509</v>
      </c>
      <c r="K18" s="736" t="s">
        <v>1204</v>
      </c>
      <c r="L18" s="738">
        <v>2514.1833333576214</v>
      </c>
      <c r="M18" s="738">
        <v>1861.4483333507087</v>
      </c>
      <c r="N18" s="738">
        <v>4375.6316667083302</v>
      </c>
      <c r="P18" t="str">
        <v>-</v>
      </c>
      <c r="Q18" s="232">
        <v>31620</v>
      </c>
      <c r="R18" s="232">
        <v>690</v>
      </c>
      <c r="S18" s="733">
        <v>-0.9781783681214421</v>
      </c>
      <c r="T18" s="232">
        <v>31620</v>
      </c>
      <c r="U18" s="232">
        <v>690</v>
      </c>
      <c r="X18" t="str">
        <v>FALTOU PRODUTO</v>
      </c>
      <c r="Y18" s="231">
        <v>1</v>
      </c>
      <c r="Z18" s="734" cm="1">
        <f t="array" ref="Z18">IF($X18="","",24*(SUMPRODUCT((Table1[Motivo Parada 1]=$X18)*ISNUMBER(Table1[Parada 1 Rot. Inicio])*ISNUMBER(Table1[Parada 1 Rot. Fim])*IFERROR(MOD(Table1[Parada 1 Rot. Fim]-Table1[Parada 1 Rot. Inicio],1),0))+SUMPRODUCT((Table1[Motivo Parada 2]=$X18)*ISNUMBER(Table1[Parada 2 Rot. Inicio])*ISNUMBER(Table1[Parada 2 Rot. Fim])*IFERROR(MOD(Table1[Parada 2 Rot. Fim]-Table1[Parada 2 Rot. Inicio],1),0))+SUMPRODUCT((Table1[Motivo Parada 3]=$X18)*ISNUMBER(Table1[Parada 3 Rot. Inicio])*ISNUMBER(Table1[Parada 3 Rot. Fim])*IFERROR(MOD(Table1[Parada 3 Rot. Fim]-Table1[Parada 3 Rot. Inicio],1),0))))</f>
        <v>0</v>
      </c>
      <c r="AA18" s="734" cm="1">
        <f t="array" ref="AA18">IF($X18="","",24*(SUMPRODUCT((Table1[Motivo Parada Env. 1]=$X18)*ISNUMBER(Table1[Parada 1 Env. Inicio])*ISNUMBER(Table1[Parada 1 Env. Fim])*IFERROR(MOD(Table1[Parada 1 Env. Fim]-Table1[Parada 1 Env. Inicio],1),0))+SUMPRODUCT((Table1[Motivo Parada Env. 2]=$X18)*ISNUMBER(Table1[Parada 2 Env. Inicio])*ISNUMBER(Table1[Parada 2 Env. Fim])*IFERROR(MOD(Table1[Parada 2 Env. Fim]-Table1[Parada 2 Env. Inicio],1),0))+SUMPRODUCT((Table1[Motivo Parada Env. 3]=$X18)*ISNUMBER(Table1[Parada 3 Env. Inicio])*ISNUMBER(Table1[Parada 3 Env. Fim])*IFERROR(MOD(Table1[Parada 3 Env. Fim]-Table1[Parada 3 Env. Inicio],1),0))))</f>
        <v>1.0000000000000004</v>
      </c>
      <c r="AB18" s="734">
        <f t="shared" si="0"/>
        <v>1.0000000000000004</v>
      </c>
    </row>
    <row r="19" spans="1:28" x14ac:dyDescent="0.25">
      <c r="A19" s="736" t="s">
        <v>1204</v>
      </c>
      <c r="B19" s="737">
        <v>755.08380635917945</v>
      </c>
      <c r="C19" s="737">
        <v>725.53346108027608</v>
      </c>
      <c r="D19" s="737">
        <v>742.23851520345966</v>
      </c>
      <c r="P19" t="str">
        <v>BE MAGIC</v>
      </c>
      <c r="Q19" s="232">
        <v>12093</v>
      </c>
      <c r="R19" s="232">
        <v>0</v>
      </c>
      <c r="S19" s="733">
        <v>-1</v>
      </c>
      <c r="T19" s="232">
        <v>12093</v>
      </c>
      <c r="U19" s="232">
        <v>0</v>
      </c>
      <c r="X19" t="str">
        <v>LIBERAÇÃO DE PRODUTO</v>
      </c>
      <c r="Y19" s="231">
        <v>2</v>
      </c>
      <c r="Z19" s="734" cm="1">
        <f t="array" ref="Z19">IF($X19="","",24*(SUMPRODUCT((Table1[Motivo Parada 1]=$X19)*ISNUMBER(Table1[Parada 1 Rot. Inicio])*ISNUMBER(Table1[Parada 1 Rot. Fim])*IFERROR(MOD(Table1[Parada 1 Rot. Fim]-Table1[Parada 1 Rot. Inicio],1),0))+SUMPRODUCT((Table1[Motivo Parada 2]=$X19)*ISNUMBER(Table1[Parada 2 Rot. Inicio])*ISNUMBER(Table1[Parada 2 Rot. Fim])*IFERROR(MOD(Table1[Parada 2 Rot. Fim]-Table1[Parada 2 Rot. Inicio],1),0))+SUMPRODUCT((Table1[Motivo Parada 3]=$X19)*ISNUMBER(Table1[Parada 3 Rot. Inicio])*ISNUMBER(Table1[Parada 3 Rot. Fim])*IFERROR(MOD(Table1[Parada 3 Rot. Fim]-Table1[Parada 3 Rot. Inicio],1),0))))</f>
        <v>0</v>
      </c>
      <c r="AA19" s="734" cm="1">
        <f t="array" ref="AA19">IF($X19="","",24*(SUMPRODUCT((Table1[Motivo Parada Env. 1]=$X19)*ISNUMBER(Table1[Parada 1 Env. Inicio])*ISNUMBER(Table1[Parada 1 Env. Fim])*IFERROR(MOD(Table1[Parada 1 Env. Fim]-Table1[Parada 1 Env. Inicio],1),0))+SUMPRODUCT((Table1[Motivo Parada Env. 2]=$X19)*ISNUMBER(Table1[Parada 2 Env. Inicio])*ISNUMBER(Table1[Parada 2 Env. Fim])*IFERROR(MOD(Table1[Parada 2 Env. Fim]-Table1[Parada 2 Env. Inicio],1),0))+SUMPRODUCT((Table1[Motivo Parada Env. 3]=$X19)*ISNUMBER(Table1[Parada 3 Env. Inicio])*ISNUMBER(Table1[Parada 3 Env. Fim])*IFERROR(MOD(Table1[Parada 3 Env. Fim]-Table1[Parada 3 Env. Inicio],1),0))))</f>
        <v>0.63333333347691223</v>
      </c>
      <c r="AB19" s="734">
        <f t="shared" si="0"/>
        <v>0.63333333347691223</v>
      </c>
    </row>
    <row r="20" spans="1:28" x14ac:dyDescent="0.25">
      <c r="P20" t="str">
        <v>LUA &amp; NEVE</v>
      </c>
      <c r="Q20" s="232">
        <v>54382</v>
      </c>
      <c r="R20" s="232">
        <v>0</v>
      </c>
      <c r="S20" s="733">
        <v>-1</v>
      </c>
      <c r="T20" s="232">
        <v>54382</v>
      </c>
      <c r="U20" s="232">
        <v>0</v>
      </c>
      <c r="X20" t="str">
        <v>MANUTENÇÃO DA JET</v>
      </c>
      <c r="Y20" s="231">
        <v>1</v>
      </c>
      <c r="Z20" s="734" cm="1">
        <f t="array" ref="Z20">IF($X20="","",24*(SUMPRODUCT((Table1[Motivo Parada 1]=$X20)*ISNUMBER(Table1[Parada 1 Rot. Inicio])*ISNUMBER(Table1[Parada 1 Rot. Fim])*IFERROR(MOD(Table1[Parada 1 Rot. Fim]-Table1[Parada 1 Rot. Inicio],1),0))+SUMPRODUCT((Table1[Motivo Parada 2]=$X20)*ISNUMBER(Table1[Parada 2 Rot. Inicio])*ISNUMBER(Table1[Parada 2 Rot. Fim])*IFERROR(MOD(Table1[Parada 2 Rot. Fim]-Table1[Parada 2 Rot. Inicio],1),0))+SUMPRODUCT((Table1[Motivo Parada 3]=$X20)*ISNUMBER(Table1[Parada 3 Rot. Inicio])*ISNUMBER(Table1[Parada 3 Rot. Fim])*IFERROR(MOD(Table1[Parada 3 Rot. Fim]-Table1[Parada 3 Rot. Inicio],1),0))))</f>
        <v>0</v>
      </c>
      <c r="AA20" s="734" cm="1">
        <f t="array" ref="AA20">IF($X20="","",24*(SUMPRODUCT((Table1[Motivo Parada Env. 1]=$X20)*ISNUMBER(Table1[Parada 1 Env. Inicio])*ISNUMBER(Table1[Parada 1 Env. Fim])*IFERROR(MOD(Table1[Parada 1 Env. Fim]-Table1[Parada 1 Env. Inicio],1),0))+SUMPRODUCT((Table1[Motivo Parada Env. 2]=$X20)*ISNUMBER(Table1[Parada 2 Env. Inicio])*ISNUMBER(Table1[Parada 2 Env. Fim])*IFERROR(MOD(Table1[Parada 2 Env. Fim]-Table1[Parada 2 Env. Inicio],1),0))+SUMPRODUCT((Table1[Motivo Parada Env. 3]=$X20)*ISNUMBER(Table1[Parada 3 Env. Inicio])*ISNUMBER(Table1[Parada 3 Env. Fim])*IFERROR(MOD(Table1[Parada 3 Env. Fim]-Table1[Parada 3 Env. Inicio],1),0))))</f>
        <v>8.3333333255723119E-2</v>
      </c>
      <c r="AB20" s="734">
        <f t="shared" si="0"/>
        <v>8.3333333255723119E-2</v>
      </c>
    </row>
    <row r="21" spans="1:28" x14ac:dyDescent="0.25">
      <c r="P21" t="str">
        <v>MOUTIER</v>
      </c>
      <c r="Q21" s="232">
        <v>11320</v>
      </c>
      <c r="R21" s="232">
        <v>0</v>
      </c>
      <c r="S21" s="733">
        <v>-1</v>
      </c>
      <c r="T21" s="232">
        <v>16160</v>
      </c>
      <c r="U21" s="232">
        <v>0</v>
      </c>
      <c r="X21" t="str">
        <v>MANUTENÇÃO DE MÁQUINA</v>
      </c>
      <c r="Y21" s="231">
        <v>10</v>
      </c>
      <c r="Z21" s="734" cm="1">
        <f t="array" ref="Z21">IF($X21="","",24*(SUMPRODUCT((Table1[Motivo Parada 1]=$X21)*ISNUMBER(Table1[Parada 1 Rot. Inicio])*ISNUMBER(Table1[Parada 1 Rot. Fim])*IFERROR(MOD(Table1[Parada 1 Rot. Fim]-Table1[Parada 1 Rot. Inicio],1),0))+SUMPRODUCT((Table1[Motivo Parada 2]=$X21)*ISNUMBER(Table1[Parada 2 Rot. Inicio])*ISNUMBER(Table1[Parada 2 Rot. Fim])*IFERROR(MOD(Table1[Parada 2 Rot. Fim]-Table1[Parada 2 Rot. Inicio],1),0))+SUMPRODUCT((Table1[Motivo Parada 3]=$X21)*ISNUMBER(Table1[Parada 3 Rot. Inicio])*ISNUMBER(Table1[Parada 3 Rot. Fim])*IFERROR(MOD(Table1[Parada 3 Rot. Fim]-Table1[Parada 3 Rot. Inicio],1),0))))</f>
        <v>0</v>
      </c>
      <c r="AA21" s="734" cm="1">
        <f t="array" ref="AA21">IF($X21="","",24*(SUMPRODUCT((Table1[Motivo Parada Env. 1]=$X21)*ISNUMBER(Table1[Parada 1 Env. Inicio])*ISNUMBER(Table1[Parada 1 Env. Fim])*IFERROR(MOD(Table1[Parada 1 Env. Fim]-Table1[Parada 1 Env. Inicio],1),0))+SUMPRODUCT((Table1[Motivo Parada Env. 2]=$X21)*ISNUMBER(Table1[Parada 2 Env. Inicio])*ISNUMBER(Table1[Parada 2 Env. Fim])*IFERROR(MOD(Table1[Parada 2 Env. Fim]-Table1[Parada 2 Env. Inicio],1),0))+SUMPRODUCT((Table1[Motivo Parada Env. 3]=$X21)*ISNUMBER(Table1[Parada 3 Env. Inicio])*ISNUMBER(Table1[Parada 3 Env. Fim])*IFERROR(MOD(Table1[Parada 3 Env. Fim]-Table1[Parada 3 Env. Inicio],1),0))))</f>
        <v>6.1333333334187046</v>
      </c>
      <c r="AB21" s="734">
        <f t="shared" si="0"/>
        <v>6.1333333334187046</v>
      </c>
    </row>
    <row r="22" spans="1:28" x14ac:dyDescent="0.25">
      <c r="P22" t="str">
        <v>BIOFLORA</v>
      </c>
      <c r="Q22" s="232">
        <v>0</v>
      </c>
      <c r="R22" s="232">
        <v>0</v>
      </c>
      <c r="S22" s="733" t="str">
        <v>—</v>
      </c>
      <c r="T22" s="232">
        <v>45864</v>
      </c>
      <c r="U22" s="232">
        <v>0</v>
      </c>
      <c r="X22" t="str">
        <v>MANUTENÇÃO DE MÁQUINAS</v>
      </c>
      <c r="Y22" s="231">
        <v>3</v>
      </c>
      <c r="Z22" s="734" cm="1">
        <f t="array" ref="Z22">IF($X22="","",24*(SUMPRODUCT((Table1[Motivo Parada 1]=$X22)*ISNUMBER(Table1[Parada 1 Rot. Inicio])*ISNUMBER(Table1[Parada 1 Rot. Fim])*IFERROR(MOD(Table1[Parada 1 Rot. Fim]-Table1[Parada 1 Rot. Inicio],1),0))+SUMPRODUCT((Table1[Motivo Parada 2]=$X22)*ISNUMBER(Table1[Parada 2 Rot. Inicio])*ISNUMBER(Table1[Parada 2 Rot. Fim])*IFERROR(MOD(Table1[Parada 2 Rot. Fim]-Table1[Parada 2 Rot. Inicio],1),0))+SUMPRODUCT((Table1[Motivo Parada 3]=$X22)*ISNUMBER(Table1[Parada 3 Rot. Inicio])*ISNUMBER(Table1[Parada 3 Rot. Fim])*IFERROR(MOD(Table1[Parada 3 Rot. Fim]-Table1[Parada 3 Rot. Inicio],1),0))))</f>
        <v>0</v>
      </c>
      <c r="AA22" s="734" cm="1">
        <f t="array" ref="AA22">IF($X22="","",24*(SUMPRODUCT((Table1[Motivo Parada Env. 1]=$X22)*ISNUMBER(Table1[Parada 1 Env. Inicio])*ISNUMBER(Table1[Parada 1 Env. Fim])*IFERROR(MOD(Table1[Parada 1 Env. Fim]-Table1[Parada 1 Env. Inicio],1),0))+SUMPRODUCT((Table1[Motivo Parada Env. 2]=$X22)*ISNUMBER(Table1[Parada 2 Env. Inicio])*ISNUMBER(Table1[Parada 2 Env. Fim])*IFERROR(MOD(Table1[Parada 2 Env. Fim]-Table1[Parada 2 Env. Inicio],1),0))+SUMPRODUCT((Table1[Motivo Parada Env. 3]=$X22)*ISNUMBER(Table1[Parada 3 Env. Inicio])*ISNUMBER(Table1[Parada 3 Env. Fim])*IFERROR(MOD(Table1[Parada 3 Env. Fim]-Table1[Parada 3 Env. Inicio],1),0))))</f>
        <v>2.4166666665114462</v>
      </c>
      <c r="AB22" s="734">
        <f t="shared" si="0"/>
        <v>2.4166666665114462</v>
      </c>
    </row>
    <row r="23" spans="1:28" x14ac:dyDescent="0.25">
      <c r="P23" t="str">
        <v>ISA BEAUTY</v>
      </c>
      <c r="Q23" s="232">
        <v>0</v>
      </c>
      <c r="R23" s="232">
        <v>0</v>
      </c>
      <c r="S23" s="733" t="str">
        <v>—</v>
      </c>
      <c r="T23" s="232">
        <v>146926</v>
      </c>
      <c r="U23" s="232">
        <v>0</v>
      </c>
      <c r="X23" t="str">
        <v>NÃO ESTAVA SENDO FILTRADO</v>
      </c>
      <c r="Y23" s="231">
        <v>1</v>
      </c>
      <c r="Z23" s="734" cm="1">
        <f t="array" ref="Z23">IF($X23="","",24*(SUMPRODUCT((Table1[Motivo Parada 1]=$X23)*ISNUMBER(Table1[Parada 1 Rot. Inicio])*ISNUMBER(Table1[Parada 1 Rot. Fim])*IFERROR(MOD(Table1[Parada 1 Rot. Fim]-Table1[Parada 1 Rot. Inicio],1),0))+SUMPRODUCT((Table1[Motivo Parada 2]=$X23)*ISNUMBER(Table1[Parada 2 Rot. Inicio])*ISNUMBER(Table1[Parada 2 Rot. Fim])*IFERROR(MOD(Table1[Parada 2 Rot. Fim]-Table1[Parada 2 Rot. Inicio],1),0))+SUMPRODUCT((Table1[Motivo Parada 3]=$X23)*ISNUMBER(Table1[Parada 3 Rot. Inicio])*ISNUMBER(Table1[Parada 3 Rot. Fim])*IFERROR(MOD(Table1[Parada 3 Rot. Fim]-Table1[Parada 3 Rot. Inicio],1),0))))</f>
        <v>0</v>
      </c>
      <c r="AA23" s="734" cm="1">
        <f t="array" ref="AA23">IF($X23="","",24*(SUMPRODUCT((Table1[Motivo Parada Env. 1]=$X23)*ISNUMBER(Table1[Parada 1 Env. Inicio])*ISNUMBER(Table1[Parada 1 Env. Fim])*IFERROR(MOD(Table1[Parada 1 Env. Fim]-Table1[Parada 1 Env. Inicio],1),0))+SUMPRODUCT((Table1[Motivo Parada Env. 2]=$X23)*ISNUMBER(Table1[Parada 2 Env. Inicio])*ISNUMBER(Table1[Parada 2 Env. Fim])*IFERROR(MOD(Table1[Parada 2 Env. Fim]-Table1[Parada 2 Env. Inicio],1),0))+SUMPRODUCT((Table1[Motivo Parada Env. 3]=$X23)*ISNUMBER(Table1[Parada 3 Env. Inicio])*ISNUMBER(Table1[Parada 3 Env. Fim])*IFERROR(MOD(Table1[Parada 3 Env. Fim]-Table1[Parada 3 Env. Inicio],1),0))))</f>
        <v>1.2833333333255723</v>
      </c>
      <c r="AB23" s="734">
        <f t="shared" si="0"/>
        <v>1.2833333333255723</v>
      </c>
    </row>
    <row r="24" spans="1:28" x14ac:dyDescent="0.25">
      <c r="P24" t="str">
        <v>CURADERM</v>
      </c>
      <c r="Q24" s="232">
        <v>0</v>
      </c>
      <c r="R24" s="232">
        <v>0</v>
      </c>
      <c r="S24" s="733" t="str">
        <v>—</v>
      </c>
      <c r="T24" s="232">
        <v>2219</v>
      </c>
      <c r="U24" s="232">
        <v>0</v>
      </c>
      <c r="X24" t="str">
        <v>PARADA DE SELEFONADEIRA</v>
      </c>
      <c r="Y24" s="231">
        <v>2</v>
      </c>
      <c r="Z24" s="734" cm="1">
        <f t="array" ref="Z24">IF($X24="","",24*(SUMPRODUCT((Table1[Motivo Parada 1]=$X24)*ISNUMBER(Table1[Parada 1 Rot. Inicio])*ISNUMBER(Table1[Parada 1 Rot. Fim])*IFERROR(MOD(Table1[Parada 1 Rot. Fim]-Table1[Parada 1 Rot. Inicio],1),0))+SUMPRODUCT((Table1[Motivo Parada 2]=$X24)*ISNUMBER(Table1[Parada 2 Rot. Inicio])*ISNUMBER(Table1[Parada 2 Rot. Fim])*IFERROR(MOD(Table1[Parada 2 Rot. Fim]-Table1[Parada 2 Rot. Inicio],1),0))+SUMPRODUCT((Table1[Motivo Parada 3]=$X24)*ISNUMBER(Table1[Parada 3 Rot. Inicio])*ISNUMBER(Table1[Parada 3 Rot. Fim])*IFERROR(MOD(Table1[Parada 3 Rot. Fim]-Table1[Parada 3 Rot. Inicio],1),0))))</f>
        <v>0</v>
      </c>
      <c r="AA24" s="734" cm="1">
        <f t="array" ref="AA24">IF($X24="","",24*(SUMPRODUCT((Table1[Motivo Parada Env. 1]=$X24)*ISNUMBER(Table1[Parada 1 Env. Inicio])*ISNUMBER(Table1[Parada 1 Env. Fim])*IFERROR(MOD(Table1[Parada 1 Env. Fim]-Table1[Parada 1 Env. Inicio],1),0))+SUMPRODUCT((Table1[Motivo Parada Env. 2]=$X24)*ISNUMBER(Table1[Parada 2 Env. Inicio])*ISNUMBER(Table1[Parada 2 Env. Fim])*IFERROR(MOD(Table1[Parada 2 Env. Fim]-Table1[Parada 2 Env. Inicio],1),0))+SUMPRODUCT((Table1[Motivo Parada Env. 3]=$X24)*ISNUMBER(Table1[Parada 3 Env. Inicio])*ISNUMBER(Table1[Parada 3 Env. Fim])*IFERROR(MOD(Table1[Parada 3 Env. Fim]-Table1[Parada 3 Env. Inicio],1),0))))</f>
        <v>1.0000000001164153</v>
      </c>
      <c r="AB24" s="734">
        <f t="shared" si="0"/>
        <v>1.0000000001164153</v>
      </c>
    </row>
    <row r="25" spans="1:28" x14ac:dyDescent="0.25">
      <c r="P25" t="str">
        <v>MAAKE</v>
      </c>
      <c r="Q25" s="232">
        <v>0</v>
      </c>
      <c r="R25" s="232">
        <v>0</v>
      </c>
      <c r="S25" s="733" t="str">
        <v>—</v>
      </c>
      <c r="T25" s="232">
        <v>7416</v>
      </c>
      <c r="U25" s="232">
        <v>0</v>
      </c>
      <c r="X25" t="str">
        <v>PARADA P/RETRABALHO</v>
      </c>
      <c r="Y25" s="231">
        <v>1</v>
      </c>
      <c r="Z25" s="734" cm="1">
        <f t="array" ref="Z25">IF($X25="","",24*(SUMPRODUCT((Table1[Motivo Parada 1]=$X25)*ISNUMBER(Table1[Parada 1 Rot. Inicio])*ISNUMBER(Table1[Parada 1 Rot. Fim])*IFERROR(MOD(Table1[Parada 1 Rot. Fim]-Table1[Parada 1 Rot. Inicio],1),0))+SUMPRODUCT((Table1[Motivo Parada 2]=$X25)*ISNUMBER(Table1[Parada 2 Rot. Inicio])*ISNUMBER(Table1[Parada 2 Rot. Fim])*IFERROR(MOD(Table1[Parada 2 Rot. Fim]-Table1[Parada 2 Rot. Inicio],1),0))+SUMPRODUCT((Table1[Motivo Parada 3]=$X25)*ISNUMBER(Table1[Parada 3 Rot. Inicio])*ISNUMBER(Table1[Parada 3 Rot. Fim])*IFERROR(MOD(Table1[Parada 3 Rot. Fim]-Table1[Parada 3 Rot. Inicio],1),0))))</f>
        <v>0</v>
      </c>
      <c r="AA25" s="734" cm="1">
        <f t="array" ref="AA25">IF($X25="","",24*(SUMPRODUCT((Table1[Motivo Parada Env. 1]=$X25)*ISNUMBER(Table1[Parada 1 Env. Inicio])*ISNUMBER(Table1[Parada 1 Env. Fim])*IFERROR(MOD(Table1[Parada 1 Env. Fim]-Table1[Parada 1 Env. Inicio],1),0))+SUMPRODUCT((Table1[Motivo Parada Env. 2]=$X25)*ISNUMBER(Table1[Parada 2 Env. Inicio])*ISNUMBER(Table1[Parada 2 Env. Fim])*IFERROR(MOD(Table1[Parada 2 Env. Fim]-Table1[Parada 2 Env. Inicio],1),0))+SUMPRODUCT((Table1[Motivo Parada Env. 3]=$X25)*ISNUMBER(Table1[Parada 3 Env. Inicio])*ISNUMBER(Table1[Parada 3 Env. Fim])*IFERROR(MOD(Table1[Parada 3 Env. Fim]-Table1[Parada 3 Env. Inicio],1),0))))</f>
        <v>2.0999999998603016</v>
      </c>
      <c r="AB25" s="734">
        <f t="shared" si="0"/>
        <v>2.0999999998603016</v>
      </c>
    </row>
    <row r="26" spans="1:28" x14ac:dyDescent="0.25">
      <c r="P26" t="str">
        <v>DYNASTY</v>
      </c>
      <c r="Q26" s="232">
        <v>0</v>
      </c>
      <c r="R26" s="232">
        <v>0</v>
      </c>
      <c r="S26" s="733" t="str">
        <v>—</v>
      </c>
      <c r="T26" s="232">
        <v>4929</v>
      </c>
      <c r="U26" s="232">
        <v>0</v>
      </c>
      <c r="X26" t="str">
        <v>PRODUTO TURVO</v>
      </c>
      <c r="Y26" s="231">
        <v>3</v>
      </c>
      <c r="Z26" s="734" cm="1">
        <f t="array" ref="Z26">IF($X26="","",24*(SUMPRODUCT((Table1[Motivo Parada 1]=$X26)*ISNUMBER(Table1[Parada 1 Rot. Inicio])*ISNUMBER(Table1[Parada 1 Rot. Fim])*IFERROR(MOD(Table1[Parada 1 Rot. Fim]-Table1[Parada 1 Rot. Inicio],1),0))+SUMPRODUCT((Table1[Motivo Parada 2]=$X26)*ISNUMBER(Table1[Parada 2 Rot. Inicio])*ISNUMBER(Table1[Parada 2 Rot. Fim])*IFERROR(MOD(Table1[Parada 2 Rot. Fim]-Table1[Parada 2 Rot. Inicio],1),0))+SUMPRODUCT((Table1[Motivo Parada 3]=$X26)*ISNUMBER(Table1[Parada 3 Rot. Inicio])*ISNUMBER(Table1[Parada 3 Rot. Fim])*IFERROR(MOD(Table1[Parada 3 Rot. Fim]-Table1[Parada 3 Rot. Inicio],1),0))))</f>
        <v>0</v>
      </c>
      <c r="AA26" s="734" cm="1">
        <f t="array" ref="AA26">IF($X26="","",24*(SUMPRODUCT((Table1[Motivo Parada Env. 1]=$X26)*ISNUMBER(Table1[Parada 1 Env. Inicio])*ISNUMBER(Table1[Parada 1 Env. Fim])*IFERROR(MOD(Table1[Parada 1 Env. Fim]-Table1[Parada 1 Env. Inicio],1),0))+SUMPRODUCT((Table1[Motivo Parada Env. 2]=$X26)*ISNUMBER(Table1[Parada 2 Env. Inicio])*ISNUMBER(Table1[Parada 2 Env. Fim])*IFERROR(MOD(Table1[Parada 2 Env. Fim]-Table1[Parada 2 Env. Inicio],1),0))+SUMPRODUCT((Table1[Motivo Parada Env. 3]=$X26)*ISNUMBER(Table1[Parada 3 Env. Inicio])*ISNUMBER(Table1[Parada 3 Env. Fim])*IFERROR(MOD(Table1[Parada 3 Env. Fim]-Table1[Parada 3 Env. Inicio],1),0))))</f>
        <v>2.9333333334652707</v>
      </c>
      <c r="AB26" s="734">
        <f t="shared" si="0"/>
        <v>2.9333333334652707</v>
      </c>
    </row>
    <row r="27" spans="1:28" x14ac:dyDescent="0.25">
      <c r="Q27" s="232"/>
      <c r="R27" s="232"/>
      <c r="S27" s="733"/>
      <c r="T27" s="232"/>
      <c r="U27" s="232"/>
      <c r="X27" t="str">
        <v>REGULAGEM DE MAQUINA</v>
      </c>
      <c r="Y27" s="231">
        <v>1</v>
      </c>
      <c r="Z27" s="734" cm="1">
        <f t="array" ref="Z27">IF($X27="","",24*(SUMPRODUCT((Table1[Motivo Parada 1]=$X27)*ISNUMBER(Table1[Parada 1 Rot. Inicio])*ISNUMBER(Table1[Parada 1 Rot. Fim])*IFERROR(MOD(Table1[Parada 1 Rot. Fim]-Table1[Parada 1 Rot. Inicio],1),0))+SUMPRODUCT((Table1[Motivo Parada 2]=$X27)*ISNUMBER(Table1[Parada 2 Rot. Inicio])*ISNUMBER(Table1[Parada 2 Rot. Fim])*IFERROR(MOD(Table1[Parada 2 Rot. Fim]-Table1[Parada 2 Rot. Inicio],1),0))+SUMPRODUCT((Table1[Motivo Parada 3]=$X27)*ISNUMBER(Table1[Parada 3 Rot. Inicio])*ISNUMBER(Table1[Parada 3 Rot. Fim])*IFERROR(MOD(Table1[Parada 3 Rot. Fim]-Table1[Parada 3 Rot. Inicio],1),0))))</f>
        <v>0</v>
      </c>
      <c r="AA27" s="734" cm="1">
        <f t="array" ref="AA27">IF($X27="","",24*(SUMPRODUCT((Table1[Motivo Parada Env. 1]=$X27)*ISNUMBER(Table1[Parada 1 Env. Inicio])*ISNUMBER(Table1[Parada 1 Env. Fim])*IFERROR(MOD(Table1[Parada 1 Env. Fim]-Table1[Parada 1 Env. Inicio],1),0))+SUMPRODUCT((Table1[Motivo Parada Env. 2]=$X27)*ISNUMBER(Table1[Parada 2 Env. Inicio])*ISNUMBER(Table1[Parada 2 Env. Fim])*IFERROR(MOD(Table1[Parada 2 Env. Fim]-Table1[Parada 2 Env. Inicio],1),0))+SUMPRODUCT((Table1[Motivo Parada Env. 3]=$X27)*ISNUMBER(Table1[Parada 3 Env. Inicio])*ISNUMBER(Table1[Parada 3 Env. Fim])*IFERROR(MOD(Table1[Parada 3 Env. Fim]-Table1[Parada 3 Env. Inicio],1),0))))</f>
        <v>0.24999999994179234</v>
      </c>
      <c r="AB27" s="734">
        <f t="shared" si="0"/>
        <v>0.24999999994179234</v>
      </c>
    </row>
    <row r="28" spans="1:28" x14ac:dyDescent="0.25">
      <c r="Q28" s="232"/>
      <c r="R28" s="232"/>
      <c r="S28" s="733"/>
      <c r="T28" s="232"/>
      <c r="U28" s="232"/>
      <c r="X28" t="str">
        <v>REGULAGEM DE MÁQUINA</v>
      </c>
      <c r="Y28" s="231">
        <v>2</v>
      </c>
      <c r="Z28" s="734" cm="1">
        <f t="array" ref="Z28">IF($X28="","",24*(SUMPRODUCT((Table1[Motivo Parada 1]=$X28)*ISNUMBER(Table1[Parada 1 Rot. Inicio])*ISNUMBER(Table1[Parada 1 Rot. Fim])*IFERROR(MOD(Table1[Parada 1 Rot. Fim]-Table1[Parada 1 Rot. Inicio],1),0))+SUMPRODUCT((Table1[Motivo Parada 2]=$X28)*ISNUMBER(Table1[Parada 2 Rot. Inicio])*ISNUMBER(Table1[Parada 2 Rot. Fim])*IFERROR(MOD(Table1[Parada 2 Rot. Fim]-Table1[Parada 2 Rot. Inicio],1),0))+SUMPRODUCT((Table1[Motivo Parada 3]=$X28)*ISNUMBER(Table1[Parada 3 Rot. Inicio])*ISNUMBER(Table1[Parada 3 Rot. Fim])*IFERROR(MOD(Table1[Parada 3 Rot. Fim]-Table1[Parada 3 Rot. Inicio],1),0))))</f>
        <v>0</v>
      </c>
      <c r="AA28" s="734" cm="1">
        <f t="array" ref="AA28">IF($X28="","",24*(SUMPRODUCT((Table1[Motivo Parada Env. 1]=$X28)*ISNUMBER(Table1[Parada 1 Env. Inicio])*ISNUMBER(Table1[Parada 1 Env. Fim])*IFERROR(MOD(Table1[Parada 1 Env. Fim]-Table1[Parada 1 Env. Inicio],1),0))+SUMPRODUCT((Table1[Motivo Parada Env. 2]=$X28)*ISNUMBER(Table1[Parada 2 Env. Inicio])*ISNUMBER(Table1[Parada 2 Env. Fim])*IFERROR(MOD(Table1[Parada 2 Env. Fim]-Table1[Parada 2 Env. Inicio],1),0))+SUMPRODUCT((Table1[Motivo Parada Env. 3]=$X28)*ISNUMBER(Table1[Parada 3 Env. Inicio])*ISNUMBER(Table1[Parada 3 Env. Fim])*IFERROR(MOD(Table1[Parada 3 Env. Fim]-Table1[Parada 3 Env. Inicio],1),0))))</f>
        <v>0.8333333334303461</v>
      </c>
      <c r="AB28" s="734">
        <f t="shared" si="0"/>
        <v>0.8333333334303461</v>
      </c>
    </row>
    <row r="29" spans="1:28" x14ac:dyDescent="0.25">
      <c r="Q29" s="232"/>
      <c r="R29" s="232"/>
      <c r="S29" s="733"/>
      <c r="T29" s="232"/>
      <c r="U29" s="232"/>
      <c r="X29" t="str">
        <v>REGULAGEM DE ROSQUEADEIRA</v>
      </c>
      <c r="Y29" s="231">
        <v>1</v>
      </c>
      <c r="Z29" s="734" cm="1">
        <f t="array" ref="Z29">IF($X29="","",24*(SUMPRODUCT((Table1[Motivo Parada 1]=$X29)*ISNUMBER(Table1[Parada 1 Rot. Inicio])*ISNUMBER(Table1[Parada 1 Rot. Fim])*IFERROR(MOD(Table1[Parada 1 Rot. Fim]-Table1[Parada 1 Rot. Inicio],1),0))+SUMPRODUCT((Table1[Motivo Parada 2]=$X29)*ISNUMBER(Table1[Parada 2 Rot. Inicio])*ISNUMBER(Table1[Parada 2 Rot. Fim])*IFERROR(MOD(Table1[Parada 2 Rot. Fim]-Table1[Parada 2 Rot. Inicio],1),0))+SUMPRODUCT((Table1[Motivo Parada 3]=$X29)*ISNUMBER(Table1[Parada 3 Rot. Inicio])*ISNUMBER(Table1[Parada 3 Rot. Fim])*IFERROR(MOD(Table1[Parada 3 Rot. Fim]-Table1[Parada 3 Rot. Inicio],1),0))))</f>
        <v>0</v>
      </c>
      <c r="AA29" s="734" cm="1">
        <f t="array" ref="AA29">IF($X29="","",24*(SUMPRODUCT((Table1[Motivo Parada Env. 1]=$X29)*ISNUMBER(Table1[Parada 1 Env. Inicio])*ISNUMBER(Table1[Parada 1 Env. Fim])*IFERROR(MOD(Table1[Parada 1 Env. Fim]-Table1[Parada 1 Env. Inicio],1),0))+SUMPRODUCT((Table1[Motivo Parada Env. 2]=$X29)*ISNUMBER(Table1[Parada 2 Env. Inicio])*ISNUMBER(Table1[Parada 2 Env. Fim])*IFERROR(MOD(Table1[Parada 2 Env. Fim]-Table1[Parada 2 Env. Inicio],1),0))+SUMPRODUCT((Table1[Motivo Parada Env. 3]=$X29)*ISNUMBER(Table1[Parada 3 Env. Inicio])*ISNUMBER(Table1[Parada 3 Env. Fim])*IFERROR(MOD(Table1[Parada 3 Env. Fim]-Table1[Parada 3 Env. Inicio],1),0))))</f>
        <v>0.13333333341870457</v>
      </c>
      <c r="AB29" s="734">
        <f t="shared" si="0"/>
        <v>0.13333333341870457</v>
      </c>
    </row>
    <row r="30" spans="1:28" x14ac:dyDescent="0.25">
      <c r="Q30" s="232"/>
      <c r="R30" s="232"/>
      <c r="S30" s="733"/>
      <c r="T30" s="232"/>
      <c r="U30" s="232"/>
      <c r="X30" t="str">
        <v>RETRABALHO</v>
      </c>
      <c r="Y30" s="231">
        <v>2</v>
      </c>
      <c r="Z30" s="734" cm="1">
        <f t="array" ref="Z30">IF($X30="","",24*(SUMPRODUCT((Table1[Motivo Parada 1]=$X30)*ISNUMBER(Table1[Parada 1 Rot. Inicio])*ISNUMBER(Table1[Parada 1 Rot. Fim])*IFERROR(MOD(Table1[Parada 1 Rot. Fim]-Table1[Parada 1 Rot. Inicio],1),0))+SUMPRODUCT((Table1[Motivo Parada 2]=$X30)*ISNUMBER(Table1[Parada 2 Rot. Inicio])*ISNUMBER(Table1[Parada 2 Rot. Fim])*IFERROR(MOD(Table1[Parada 2 Rot. Fim]-Table1[Parada 2 Rot. Inicio],1),0))+SUMPRODUCT((Table1[Motivo Parada 3]=$X30)*ISNUMBER(Table1[Parada 3 Rot. Inicio])*ISNUMBER(Table1[Parada 3 Rot. Fim])*IFERROR(MOD(Table1[Parada 3 Rot. Fim]-Table1[Parada 3 Rot. Inicio],1),0))))</f>
        <v>0</v>
      </c>
      <c r="AA30" s="734" cm="1">
        <f t="array" ref="AA30">IF($X30="","",24*(SUMPRODUCT((Table1[Motivo Parada Env. 1]=$X30)*ISNUMBER(Table1[Parada 1 Env. Inicio])*ISNUMBER(Table1[Parada 1 Env. Fim])*IFERROR(MOD(Table1[Parada 1 Env. Fim]-Table1[Parada 1 Env. Inicio],1),0))+SUMPRODUCT((Table1[Motivo Parada Env. 2]=$X30)*ISNUMBER(Table1[Parada 2 Env. Inicio])*ISNUMBER(Table1[Parada 2 Env. Fim])*IFERROR(MOD(Table1[Parada 2 Env. Fim]-Table1[Parada 2 Env. Inicio],1),0))+SUMPRODUCT((Table1[Motivo Parada Env. 3]=$X30)*ISNUMBER(Table1[Parada 3 Env. Inicio])*ISNUMBER(Table1[Parada 3 Env. Fim])*IFERROR(MOD(Table1[Parada 3 Env. Fim]-Table1[Parada 3 Env. Inicio],1),0))))</f>
        <v>1.78333333338378</v>
      </c>
      <c r="AB30" s="734">
        <f t="shared" si="0"/>
        <v>1.78333333338378</v>
      </c>
    </row>
    <row r="31" spans="1:28" x14ac:dyDescent="0.25">
      <c r="X31" t="str">
        <v>RETRABALHO DE PRODUTO</v>
      </c>
      <c r="Y31" s="231">
        <v>1</v>
      </c>
      <c r="Z31" s="734" cm="1">
        <f t="array" ref="Z31">IF($X31="","",24*(SUMPRODUCT((Table1[Motivo Parada 1]=$X31)*ISNUMBER(Table1[Parada 1 Rot. Inicio])*ISNUMBER(Table1[Parada 1 Rot. Fim])*IFERROR(MOD(Table1[Parada 1 Rot. Fim]-Table1[Parada 1 Rot. Inicio],1),0))+SUMPRODUCT((Table1[Motivo Parada 2]=$X31)*ISNUMBER(Table1[Parada 2 Rot. Inicio])*ISNUMBER(Table1[Parada 2 Rot. Fim])*IFERROR(MOD(Table1[Parada 2 Rot. Fim]-Table1[Parada 2 Rot. Inicio],1),0))+SUMPRODUCT((Table1[Motivo Parada 3]=$X31)*ISNUMBER(Table1[Parada 3 Rot. Inicio])*ISNUMBER(Table1[Parada 3 Rot. Fim])*IFERROR(MOD(Table1[Parada 3 Rot. Fim]-Table1[Parada 3 Rot. Inicio],1),0))))</f>
        <v>0</v>
      </c>
      <c r="AA31" s="734" cm="1">
        <f t="array" ref="AA31">IF($X31="","",24*(SUMPRODUCT((Table1[Motivo Parada Env. 1]=$X31)*ISNUMBER(Table1[Parada 1 Env. Inicio])*ISNUMBER(Table1[Parada 1 Env. Fim])*IFERROR(MOD(Table1[Parada 1 Env. Fim]-Table1[Parada 1 Env. Inicio],1),0))+SUMPRODUCT((Table1[Motivo Parada Env. 2]=$X31)*ISNUMBER(Table1[Parada 2 Env. Inicio])*ISNUMBER(Table1[Parada 2 Env. Fim])*IFERROR(MOD(Table1[Parada 2 Env. Fim]-Table1[Parada 2 Env. Inicio],1),0))+SUMPRODUCT((Table1[Motivo Parada Env. 3]=$X31)*ISNUMBER(Table1[Parada 3 Env. Inicio])*ISNUMBER(Table1[Parada 3 Env. Fim])*IFERROR(MOD(Table1[Parada 3 Env. Fim]-Table1[Parada 3 Env. Inicio],1),0))))</f>
        <v>0.84999999997671694</v>
      </c>
      <c r="AB31" s="734">
        <f t="shared" si="0"/>
        <v>0.84999999997671694</v>
      </c>
    </row>
    <row r="32" spans="1:28" x14ac:dyDescent="0.25">
      <c r="X32" t="str">
        <v>RETRABALHO DO ROTULO</v>
      </c>
      <c r="Y32" s="231">
        <v>2</v>
      </c>
      <c r="Z32" s="734" cm="1">
        <f t="array" ref="Z32">IF($X32="","",24*(SUMPRODUCT((Table1[Motivo Parada 1]=$X32)*ISNUMBER(Table1[Parada 1 Rot. Inicio])*ISNUMBER(Table1[Parada 1 Rot. Fim])*IFERROR(MOD(Table1[Parada 1 Rot. Fim]-Table1[Parada 1 Rot. Inicio],1),0))+SUMPRODUCT((Table1[Motivo Parada 2]=$X32)*ISNUMBER(Table1[Parada 2 Rot. Inicio])*ISNUMBER(Table1[Parada 2 Rot. Fim])*IFERROR(MOD(Table1[Parada 2 Rot. Fim]-Table1[Parada 2 Rot. Inicio],1),0))+SUMPRODUCT((Table1[Motivo Parada 3]=$X32)*ISNUMBER(Table1[Parada 3 Rot. Inicio])*ISNUMBER(Table1[Parada 3 Rot. Fim])*IFERROR(MOD(Table1[Parada 3 Rot. Fim]-Table1[Parada 3 Rot. Inicio],1),0))))</f>
        <v>0</v>
      </c>
      <c r="AA32" s="734" cm="1">
        <f t="array" ref="AA32">IF($X32="","",24*(SUMPRODUCT((Table1[Motivo Parada Env. 1]=$X32)*ISNUMBER(Table1[Parada 1 Env. Inicio])*ISNUMBER(Table1[Parada 1 Env. Fim])*IFERROR(MOD(Table1[Parada 1 Env. Fim]-Table1[Parada 1 Env. Inicio],1),0))+SUMPRODUCT((Table1[Motivo Parada Env. 2]=$X32)*ISNUMBER(Table1[Parada 2 Env. Inicio])*ISNUMBER(Table1[Parada 2 Env. Fim])*IFERROR(MOD(Table1[Parada 2 Env. Fim]-Table1[Parada 2 Env. Inicio],1),0))+SUMPRODUCT((Table1[Motivo Parada Env. 3]=$X32)*ISNUMBER(Table1[Parada 3 Env. Inicio])*ISNUMBER(Table1[Parada 3 Env. Fim])*IFERROR(MOD(Table1[Parada 3 Env. Fim]-Table1[Parada 3 Env. Inicio],1),0))))</f>
        <v>3.3999999999068677</v>
      </c>
      <c r="AB32" s="734">
        <f t="shared" si="0"/>
        <v>3.3999999999068677</v>
      </c>
    </row>
    <row r="33" spans="24:28" x14ac:dyDescent="0.25">
      <c r="X33" t="str">
        <v>ROTULAGEM MANUAL</v>
      </c>
      <c r="Y33" s="231">
        <v>1</v>
      </c>
      <c r="Z33" s="734" cm="1">
        <f t="array" ref="Z33">IF($X33="","",24*(SUMPRODUCT((Table1[Motivo Parada 1]=$X33)*ISNUMBER(Table1[Parada 1 Rot. Inicio])*ISNUMBER(Table1[Parada 1 Rot. Fim])*IFERROR(MOD(Table1[Parada 1 Rot. Fim]-Table1[Parada 1 Rot. Inicio],1),0))+SUMPRODUCT((Table1[Motivo Parada 2]=$X33)*ISNUMBER(Table1[Parada 2 Rot. Inicio])*ISNUMBER(Table1[Parada 2 Rot. Fim])*IFERROR(MOD(Table1[Parada 2 Rot. Fim]-Table1[Parada 2 Rot. Inicio],1),0))+SUMPRODUCT((Table1[Motivo Parada 3]=$X33)*ISNUMBER(Table1[Parada 3 Rot. Inicio])*ISNUMBER(Table1[Parada 3 Rot. Fim])*IFERROR(MOD(Table1[Parada 3 Rot. Fim]-Table1[Parada 3 Rot. Inicio],1),0))))</f>
        <v>0</v>
      </c>
      <c r="AA33" s="734" cm="1">
        <f t="array" ref="AA33">IF($X33="","",24*(SUMPRODUCT((Table1[Motivo Parada Env. 1]=$X33)*ISNUMBER(Table1[Parada 1 Env. Inicio])*ISNUMBER(Table1[Parada 1 Env. Fim])*IFERROR(MOD(Table1[Parada 1 Env. Fim]-Table1[Parada 1 Env. Inicio],1),0))+SUMPRODUCT((Table1[Motivo Parada Env. 2]=$X33)*ISNUMBER(Table1[Parada 2 Env. Inicio])*ISNUMBER(Table1[Parada 2 Env. Fim])*IFERROR(MOD(Table1[Parada 2 Env. Fim]-Table1[Parada 2 Env. Inicio],1),0))+SUMPRODUCT((Table1[Motivo Parada Env. 3]=$X33)*ISNUMBER(Table1[Parada 3 Env. Inicio])*ISNUMBER(Table1[Parada 3 Env. Fim])*IFERROR(MOD(Table1[Parada 3 Env. Fim]-Table1[Parada 3 Env. Inicio],1),0))))</f>
        <v>1.5</v>
      </c>
      <c r="AB33" s="734">
        <f t="shared" si="0"/>
        <v>1.5</v>
      </c>
    </row>
    <row r="34" spans="24:28" x14ac:dyDescent="0.25">
      <c r="X34" t="str">
        <v>SETUP</v>
      </c>
      <c r="Y34" s="231">
        <v>1</v>
      </c>
      <c r="Z34" s="734" cm="1">
        <f t="array" ref="Z34">IF($X34="","",24*(SUMPRODUCT((Table1[Motivo Parada 1]=$X34)*ISNUMBER(Table1[Parada 1 Rot. Inicio])*ISNUMBER(Table1[Parada 1 Rot. Fim])*IFERROR(MOD(Table1[Parada 1 Rot. Fim]-Table1[Parada 1 Rot. Inicio],1),0))+SUMPRODUCT((Table1[Motivo Parada 2]=$X34)*ISNUMBER(Table1[Parada 2 Rot. Inicio])*ISNUMBER(Table1[Parada 2 Rot. Fim])*IFERROR(MOD(Table1[Parada 2 Rot. Fim]-Table1[Parada 2 Rot. Inicio],1),0))+SUMPRODUCT((Table1[Motivo Parada 3]=$X34)*ISNUMBER(Table1[Parada 3 Rot. Inicio])*ISNUMBER(Table1[Parada 3 Rot. Fim])*IFERROR(MOD(Table1[Parada 3 Rot. Fim]-Table1[Parada 3 Rot. Inicio],1),0))))</f>
        <v>0.41666666662786156</v>
      </c>
      <c r="AA34" s="734" cm="1">
        <f t="array" ref="AA34">IF($X34="","",24*(SUMPRODUCT((Table1[Motivo Parada Env. 1]=$X34)*ISNUMBER(Table1[Parada 1 Env. Inicio])*ISNUMBER(Table1[Parada 1 Env. Fim])*IFERROR(MOD(Table1[Parada 1 Env. Fim]-Table1[Parada 1 Env. Inicio],1),0))+SUMPRODUCT((Table1[Motivo Parada Env. 2]=$X34)*ISNUMBER(Table1[Parada 2 Env. Inicio])*ISNUMBER(Table1[Parada 2 Env. Fim])*IFERROR(MOD(Table1[Parada 2 Env. Fim]-Table1[Parada 2 Env. Inicio],1),0))+SUMPRODUCT((Table1[Motivo Parada Env. 3]=$X34)*ISNUMBER(Table1[Parada 3 Env. Inicio])*ISNUMBER(Table1[Parada 3 Env. Fim])*IFERROR(MOD(Table1[Parada 3 Env. Fim]-Table1[Parada 3 Env. Inicio],1),0))))</f>
        <v>0</v>
      </c>
      <c r="AB34" s="734">
        <f t="shared" si="0"/>
        <v>0.41666666662786156</v>
      </c>
    </row>
    <row r="35" spans="24:28" x14ac:dyDescent="0.25">
      <c r="Y35" s="231"/>
      <c r="Z35" s="734" t="str" cm="1">
        <f t="array" ref="Z35">IF($X35="","",24*(SUMPRODUCT((Table1[Motivo Parada 1]=$X35)*ISNUMBER(Table1[Parada 1 Rot. Inicio])*ISNUMBER(Table1[Parada 1 Rot. Fim])*IFERROR(MOD(Table1[Parada 1 Rot. Fim]-Table1[Parada 1 Rot. Inicio],1),0))+SUMPRODUCT((Table1[Motivo Parada 2]=$X35)*ISNUMBER(Table1[Parada 2 Rot. Inicio])*ISNUMBER(Table1[Parada 2 Rot. Fim])*IFERROR(MOD(Table1[Parada 2 Rot. Fim]-Table1[Parada 2 Rot. Inicio],1),0))+SUMPRODUCT((Table1[Motivo Parada 3]=$X35)*ISNUMBER(Table1[Parada 3 Rot. Inicio])*ISNUMBER(Table1[Parada 3 Rot. Fim])*IFERROR(MOD(Table1[Parada 3 Rot. Fim]-Table1[Parada 3 Rot. Inicio],1),0))))</f>
        <v/>
      </c>
      <c r="AA35" s="734" t="str" cm="1">
        <f t="array" ref="AA35">IF($X35="","",24*(SUMPRODUCT((Table1[Motivo Parada Env. 1]=$X35)*ISNUMBER(Table1[Parada 1 Env. Inicio])*ISNUMBER(Table1[Parada 1 Env. Fim])*IFERROR(MOD(Table1[Parada 1 Env. Fim]-Table1[Parada 1 Env. Inicio],1),0))+SUMPRODUCT((Table1[Motivo Parada Env. 2]=$X35)*ISNUMBER(Table1[Parada 2 Env. Inicio])*ISNUMBER(Table1[Parada 2 Env. Fim])*IFERROR(MOD(Table1[Parada 2 Env. Fim]-Table1[Parada 2 Env. Inicio],1),0))+SUMPRODUCT((Table1[Motivo Parada Env. 3]=$X35)*ISNUMBER(Table1[Parada 3 Env. Inicio])*ISNUMBER(Table1[Parada 3 Env. Fim])*IFERROR(MOD(Table1[Parada 3 Env. Fim]-Table1[Parada 3 Env. Inicio],1),0))))</f>
        <v/>
      </c>
      <c r="AB35" s="734" t="str">
        <f t="shared" si="0"/>
        <v/>
      </c>
    </row>
    <row r="36" spans="24:28" x14ac:dyDescent="0.25">
      <c r="Y36" s="231"/>
      <c r="Z36" s="734" t="str" cm="1">
        <f t="array" ref="Z36">IF($X36="","",24*(SUMPRODUCT((Table1[Motivo Parada 1]=$X36)*ISNUMBER(Table1[Parada 1 Rot. Inicio])*ISNUMBER(Table1[Parada 1 Rot. Fim])*IFERROR(MOD(Table1[Parada 1 Rot. Fim]-Table1[Parada 1 Rot. Inicio],1),0))+SUMPRODUCT((Table1[Motivo Parada 2]=$X36)*ISNUMBER(Table1[Parada 2 Rot. Inicio])*ISNUMBER(Table1[Parada 2 Rot. Fim])*IFERROR(MOD(Table1[Parada 2 Rot. Fim]-Table1[Parada 2 Rot. Inicio],1),0))+SUMPRODUCT((Table1[Motivo Parada 3]=$X36)*ISNUMBER(Table1[Parada 3 Rot. Inicio])*ISNUMBER(Table1[Parada 3 Rot. Fim])*IFERROR(MOD(Table1[Parada 3 Rot. Fim]-Table1[Parada 3 Rot. Inicio],1),0))))</f>
        <v/>
      </c>
      <c r="AA36" s="734" t="str" cm="1">
        <f t="array" ref="AA36">IF($X36="","",24*(SUMPRODUCT((Table1[Motivo Parada Env. 1]=$X36)*ISNUMBER(Table1[Parada 1 Env. Inicio])*ISNUMBER(Table1[Parada 1 Env. Fim])*IFERROR(MOD(Table1[Parada 1 Env. Fim]-Table1[Parada 1 Env. Inicio],1),0))+SUMPRODUCT((Table1[Motivo Parada Env. 2]=$X36)*ISNUMBER(Table1[Parada 2 Env. Inicio])*ISNUMBER(Table1[Parada 2 Env. Fim])*IFERROR(MOD(Table1[Parada 2 Env. Fim]-Table1[Parada 2 Env. Inicio],1),0))+SUMPRODUCT((Table1[Motivo Parada Env. 3]=$X36)*ISNUMBER(Table1[Parada 3 Env. Inicio])*ISNUMBER(Table1[Parada 3 Env. Fim])*IFERROR(MOD(Table1[Parada 3 Env. Fim]-Table1[Parada 3 Env. Inicio],1),0))))</f>
        <v/>
      </c>
      <c r="AB36" s="734" t="str">
        <f t="shared" si="0"/>
        <v/>
      </c>
    </row>
    <row r="37" spans="24:28" x14ac:dyDescent="0.25">
      <c r="Y37" s="231"/>
      <c r="Z37" s="734" t="str" cm="1">
        <f t="array" ref="Z37">IF($X37="","",24*(SUMPRODUCT((Table1[Motivo Parada 1]=$X37)*ISNUMBER(Table1[Parada 1 Rot. Inicio])*ISNUMBER(Table1[Parada 1 Rot. Fim])*IFERROR(MOD(Table1[Parada 1 Rot. Fim]-Table1[Parada 1 Rot. Inicio],1),0))+SUMPRODUCT((Table1[Motivo Parada 2]=$X37)*ISNUMBER(Table1[Parada 2 Rot. Inicio])*ISNUMBER(Table1[Parada 2 Rot. Fim])*IFERROR(MOD(Table1[Parada 2 Rot. Fim]-Table1[Parada 2 Rot. Inicio],1),0))+SUMPRODUCT((Table1[Motivo Parada 3]=$X37)*ISNUMBER(Table1[Parada 3 Rot. Inicio])*ISNUMBER(Table1[Parada 3 Rot. Fim])*IFERROR(MOD(Table1[Parada 3 Rot. Fim]-Table1[Parada 3 Rot. Inicio],1),0))))</f>
        <v/>
      </c>
      <c r="AA37" s="734" t="str" cm="1">
        <f t="array" ref="AA37">IF($X37="","",24*(SUMPRODUCT((Table1[Motivo Parada Env. 1]=$X37)*ISNUMBER(Table1[Parada 1 Env. Inicio])*ISNUMBER(Table1[Parada 1 Env. Fim])*IFERROR(MOD(Table1[Parada 1 Env. Fim]-Table1[Parada 1 Env. Inicio],1),0))+SUMPRODUCT((Table1[Motivo Parada Env. 2]=$X37)*ISNUMBER(Table1[Parada 2 Env. Inicio])*ISNUMBER(Table1[Parada 2 Env. Fim])*IFERROR(MOD(Table1[Parada 2 Env. Fim]-Table1[Parada 2 Env. Inicio],1),0))+SUMPRODUCT((Table1[Motivo Parada Env. 3]=$X37)*ISNUMBER(Table1[Parada 3 Env. Inicio])*ISNUMBER(Table1[Parada 3 Env. Fim])*IFERROR(MOD(Table1[Parada 3 Env. Fim]-Table1[Parada 3 Env. Inicio],1),0))))</f>
        <v/>
      </c>
      <c r="AB37" s="734" t="str">
        <f t="shared" si="0"/>
        <v/>
      </c>
    </row>
    <row r="38" spans="24:28" x14ac:dyDescent="0.25">
      <c r="Y38" s="231"/>
      <c r="Z38" s="734" t="str" cm="1">
        <f t="array" ref="Z38">IF($X38="","",24*(SUMPRODUCT((Table1[Motivo Parada 1]=$X38)*ISNUMBER(Table1[Parada 1 Rot. Inicio])*ISNUMBER(Table1[Parada 1 Rot. Fim])*IFERROR(MOD(Table1[Parada 1 Rot. Fim]-Table1[Parada 1 Rot. Inicio],1),0))+SUMPRODUCT((Table1[Motivo Parada 2]=$X38)*ISNUMBER(Table1[Parada 2 Rot. Inicio])*ISNUMBER(Table1[Parada 2 Rot. Fim])*IFERROR(MOD(Table1[Parada 2 Rot. Fim]-Table1[Parada 2 Rot. Inicio],1),0))+SUMPRODUCT((Table1[Motivo Parada 3]=$X38)*ISNUMBER(Table1[Parada 3 Rot. Inicio])*ISNUMBER(Table1[Parada 3 Rot. Fim])*IFERROR(MOD(Table1[Parada 3 Rot. Fim]-Table1[Parada 3 Rot. Inicio],1),0))))</f>
        <v/>
      </c>
      <c r="AA38" s="734" t="str" cm="1">
        <f t="array" ref="AA38">IF($X38="","",24*(SUMPRODUCT((Table1[Motivo Parada Env. 1]=$X38)*ISNUMBER(Table1[Parada 1 Env. Inicio])*ISNUMBER(Table1[Parada 1 Env. Fim])*IFERROR(MOD(Table1[Parada 1 Env. Fim]-Table1[Parada 1 Env. Inicio],1),0))+SUMPRODUCT((Table1[Motivo Parada Env. 2]=$X38)*ISNUMBER(Table1[Parada 2 Env. Inicio])*ISNUMBER(Table1[Parada 2 Env. Fim])*IFERROR(MOD(Table1[Parada 2 Env. Fim]-Table1[Parada 2 Env. Inicio],1),0))+SUMPRODUCT((Table1[Motivo Parada Env. 3]=$X38)*ISNUMBER(Table1[Parada 3 Env. Inicio])*ISNUMBER(Table1[Parada 3 Env. Fim])*IFERROR(MOD(Table1[Parada 3 Env. Fim]-Table1[Parada 3 Env. Inicio],1),0))))</f>
        <v/>
      </c>
      <c r="AB38" s="734" t="str">
        <f t="shared" si="0"/>
        <v/>
      </c>
    </row>
    <row r="39" spans="24:28" x14ac:dyDescent="0.25">
      <c r="Y39" s="231"/>
      <c r="Z39" s="734" t="str" cm="1">
        <f t="array" ref="Z39">IF($X39="","",24*(SUMPRODUCT((Table1[Motivo Parada 1]=$X39)*ISNUMBER(Table1[Parada 1 Rot. Inicio])*ISNUMBER(Table1[Parada 1 Rot. Fim])*IFERROR(MOD(Table1[Parada 1 Rot. Fim]-Table1[Parada 1 Rot. Inicio],1),0))+SUMPRODUCT((Table1[Motivo Parada 2]=$X39)*ISNUMBER(Table1[Parada 2 Rot. Inicio])*ISNUMBER(Table1[Parada 2 Rot. Fim])*IFERROR(MOD(Table1[Parada 2 Rot. Fim]-Table1[Parada 2 Rot. Inicio],1),0))+SUMPRODUCT((Table1[Motivo Parada 3]=$X39)*ISNUMBER(Table1[Parada 3 Rot. Inicio])*ISNUMBER(Table1[Parada 3 Rot. Fim])*IFERROR(MOD(Table1[Parada 3 Rot. Fim]-Table1[Parada 3 Rot. Inicio],1),0))))</f>
        <v/>
      </c>
      <c r="AA39" s="734" t="str" cm="1">
        <f t="array" ref="AA39">IF($X39="","",24*(SUMPRODUCT((Table1[Motivo Parada Env. 1]=$X39)*ISNUMBER(Table1[Parada 1 Env. Inicio])*ISNUMBER(Table1[Parada 1 Env. Fim])*IFERROR(MOD(Table1[Parada 1 Env. Fim]-Table1[Parada 1 Env. Inicio],1),0))+SUMPRODUCT((Table1[Motivo Parada Env. 2]=$X39)*ISNUMBER(Table1[Parada 2 Env. Inicio])*ISNUMBER(Table1[Parada 2 Env. Fim])*IFERROR(MOD(Table1[Parada 2 Env. Fim]-Table1[Parada 2 Env. Inicio],1),0))+SUMPRODUCT((Table1[Motivo Parada Env. 3]=$X39)*ISNUMBER(Table1[Parada 3 Env. Inicio])*ISNUMBER(Table1[Parada 3 Env. Fim])*IFERROR(MOD(Table1[Parada 3 Env. Fim]-Table1[Parada 3 Env. Inicio],1),0))))</f>
        <v/>
      </c>
      <c r="AB39" s="734" t="str">
        <f t="shared" si="0"/>
        <v/>
      </c>
    </row>
    <row r="40" spans="24:28" x14ac:dyDescent="0.25">
      <c r="Y40" s="231"/>
      <c r="Z40" s="734" t="str" cm="1">
        <f t="array" ref="Z40">IF($X40="","",24*(SUMPRODUCT((Table1[Motivo Parada 1]=$X40)*ISNUMBER(Table1[Parada 1 Rot. Inicio])*ISNUMBER(Table1[Parada 1 Rot. Fim])*IFERROR(MOD(Table1[Parada 1 Rot. Fim]-Table1[Parada 1 Rot. Inicio],1),0))+SUMPRODUCT((Table1[Motivo Parada 2]=$X40)*ISNUMBER(Table1[Parada 2 Rot. Inicio])*ISNUMBER(Table1[Parada 2 Rot. Fim])*IFERROR(MOD(Table1[Parada 2 Rot. Fim]-Table1[Parada 2 Rot. Inicio],1),0))+SUMPRODUCT((Table1[Motivo Parada 3]=$X40)*ISNUMBER(Table1[Parada 3 Rot. Inicio])*ISNUMBER(Table1[Parada 3 Rot. Fim])*IFERROR(MOD(Table1[Parada 3 Rot. Fim]-Table1[Parada 3 Rot. Inicio],1),0))))</f>
        <v/>
      </c>
      <c r="AA40" s="734" t="str" cm="1">
        <f t="array" ref="AA40">IF($X40="","",24*(SUMPRODUCT((Table1[Motivo Parada Env. 1]=$X40)*ISNUMBER(Table1[Parada 1 Env. Inicio])*ISNUMBER(Table1[Parada 1 Env. Fim])*IFERROR(MOD(Table1[Parada 1 Env. Fim]-Table1[Parada 1 Env. Inicio],1),0))+SUMPRODUCT((Table1[Motivo Parada Env. 2]=$X40)*ISNUMBER(Table1[Parada 2 Env. Inicio])*ISNUMBER(Table1[Parada 2 Env. Fim])*IFERROR(MOD(Table1[Parada 2 Env. Fim]-Table1[Parada 2 Env. Inicio],1),0))+SUMPRODUCT((Table1[Motivo Parada Env. 3]=$X40)*ISNUMBER(Table1[Parada 3 Env. Inicio])*ISNUMBER(Table1[Parada 3 Env. Fim])*IFERROR(MOD(Table1[Parada 3 Env. Fim]-Table1[Parada 3 Env. Inicio],1),0))))</f>
        <v/>
      </c>
      <c r="AB40" s="734" t="str">
        <f t="shared" si="0"/>
        <v/>
      </c>
    </row>
    <row r="41" spans="24:28" x14ac:dyDescent="0.25">
      <c r="Y41" s="231"/>
      <c r="Z41" s="734" t="str" cm="1">
        <f t="array" ref="Z41">IF($X41="","",24*(SUMPRODUCT((Table1[Motivo Parada 1]=$X41)*ISNUMBER(Table1[Parada 1 Rot. Inicio])*ISNUMBER(Table1[Parada 1 Rot. Fim])*IFERROR(MOD(Table1[Parada 1 Rot. Fim]-Table1[Parada 1 Rot. Inicio],1),0))+SUMPRODUCT((Table1[Motivo Parada 2]=$X41)*ISNUMBER(Table1[Parada 2 Rot. Inicio])*ISNUMBER(Table1[Parada 2 Rot. Fim])*IFERROR(MOD(Table1[Parada 2 Rot. Fim]-Table1[Parada 2 Rot. Inicio],1),0))+SUMPRODUCT((Table1[Motivo Parada 3]=$X41)*ISNUMBER(Table1[Parada 3 Rot. Inicio])*ISNUMBER(Table1[Parada 3 Rot. Fim])*IFERROR(MOD(Table1[Parada 3 Rot. Fim]-Table1[Parada 3 Rot. Inicio],1),0))))</f>
        <v/>
      </c>
      <c r="AA41" s="734" t="str" cm="1">
        <f t="array" ref="AA41">IF($X41="","",24*(SUMPRODUCT((Table1[Motivo Parada Env. 1]=$X41)*ISNUMBER(Table1[Parada 1 Env. Inicio])*ISNUMBER(Table1[Parada 1 Env. Fim])*IFERROR(MOD(Table1[Parada 1 Env. Fim]-Table1[Parada 1 Env. Inicio],1),0))+SUMPRODUCT((Table1[Motivo Parada Env. 2]=$X41)*ISNUMBER(Table1[Parada 2 Env. Inicio])*ISNUMBER(Table1[Parada 2 Env. Fim])*IFERROR(MOD(Table1[Parada 2 Env. Fim]-Table1[Parada 2 Env. Inicio],1),0))+SUMPRODUCT((Table1[Motivo Parada Env. 3]=$X41)*ISNUMBER(Table1[Parada 3 Env. Inicio])*ISNUMBER(Table1[Parada 3 Env. Fim])*IFERROR(MOD(Table1[Parada 3 Env. Fim]-Table1[Parada 3 Env. Inicio],1),0))))</f>
        <v/>
      </c>
      <c r="AB41" s="734" t="str">
        <f t="shared" si="0"/>
        <v/>
      </c>
    </row>
    <row r="42" spans="24:28" x14ac:dyDescent="0.25">
      <c r="Y42" s="231"/>
      <c r="Z42" s="734" t="str" cm="1">
        <f t="array" ref="Z42">IF($X42="","",24*(SUMPRODUCT((Table1[Motivo Parada 1]=$X42)*ISNUMBER(Table1[Parada 1 Rot. Inicio])*ISNUMBER(Table1[Parada 1 Rot. Fim])*IFERROR(MOD(Table1[Parada 1 Rot. Fim]-Table1[Parada 1 Rot. Inicio],1),0))+SUMPRODUCT((Table1[Motivo Parada 2]=$X42)*ISNUMBER(Table1[Parada 2 Rot. Inicio])*ISNUMBER(Table1[Parada 2 Rot. Fim])*IFERROR(MOD(Table1[Parada 2 Rot. Fim]-Table1[Parada 2 Rot. Inicio],1),0))+SUMPRODUCT((Table1[Motivo Parada 3]=$X42)*ISNUMBER(Table1[Parada 3 Rot. Inicio])*ISNUMBER(Table1[Parada 3 Rot. Fim])*IFERROR(MOD(Table1[Parada 3 Rot. Fim]-Table1[Parada 3 Rot. Inicio],1),0))))</f>
        <v/>
      </c>
      <c r="AA42" s="734" t="str" cm="1">
        <f t="array" ref="AA42">IF($X42="","",24*(SUMPRODUCT((Table1[Motivo Parada Env. 1]=$X42)*ISNUMBER(Table1[Parada 1 Env. Inicio])*ISNUMBER(Table1[Parada 1 Env. Fim])*IFERROR(MOD(Table1[Parada 1 Env. Fim]-Table1[Parada 1 Env. Inicio],1),0))+SUMPRODUCT((Table1[Motivo Parada Env. 2]=$X42)*ISNUMBER(Table1[Parada 2 Env. Inicio])*ISNUMBER(Table1[Parada 2 Env. Fim])*IFERROR(MOD(Table1[Parada 2 Env. Fim]-Table1[Parada 2 Env. Inicio],1),0))+SUMPRODUCT((Table1[Motivo Parada Env. 3]=$X42)*ISNUMBER(Table1[Parada 3 Env. Inicio])*ISNUMBER(Table1[Parada 3 Env. Fim])*IFERROR(MOD(Table1[Parada 3 Env. Fim]-Table1[Parada 3 Env. Inicio],1),0))))</f>
        <v/>
      </c>
      <c r="AB42" s="734" t="str">
        <f t="shared" si="0"/>
        <v/>
      </c>
    </row>
    <row r="43" spans="24:28" x14ac:dyDescent="0.25">
      <c r="Y43" s="231"/>
      <c r="Z43" s="734" t="str" cm="1">
        <f t="array" ref="Z43">IF($X43="","",24*(SUMPRODUCT((Table1[Motivo Parada 1]=$X43)*ISNUMBER(Table1[Parada 1 Rot. Inicio])*ISNUMBER(Table1[Parada 1 Rot. Fim])*IFERROR(MOD(Table1[Parada 1 Rot. Fim]-Table1[Parada 1 Rot. Inicio],1),0))+SUMPRODUCT((Table1[Motivo Parada 2]=$X43)*ISNUMBER(Table1[Parada 2 Rot. Inicio])*ISNUMBER(Table1[Parada 2 Rot. Fim])*IFERROR(MOD(Table1[Parada 2 Rot. Fim]-Table1[Parada 2 Rot. Inicio],1),0))+SUMPRODUCT((Table1[Motivo Parada 3]=$X43)*ISNUMBER(Table1[Parada 3 Rot. Inicio])*ISNUMBER(Table1[Parada 3 Rot. Fim])*IFERROR(MOD(Table1[Parada 3 Rot. Fim]-Table1[Parada 3 Rot. Inicio],1),0))))</f>
        <v/>
      </c>
      <c r="AA43" s="734" t="str" cm="1">
        <f t="array" ref="AA43">IF($X43="","",24*(SUMPRODUCT((Table1[Motivo Parada Env. 1]=$X43)*ISNUMBER(Table1[Parada 1 Env. Inicio])*ISNUMBER(Table1[Parada 1 Env. Fim])*IFERROR(MOD(Table1[Parada 1 Env. Fim]-Table1[Parada 1 Env. Inicio],1),0))+SUMPRODUCT((Table1[Motivo Parada Env. 2]=$X43)*ISNUMBER(Table1[Parada 2 Env. Inicio])*ISNUMBER(Table1[Parada 2 Env. Fim])*IFERROR(MOD(Table1[Parada 2 Env. Fim]-Table1[Parada 2 Env. Inicio],1),0))+SUMPRODUCT((Table1[Motivo Parada Env. 3]=$X43)*ISNUMBER(Table1[Parada 3 Env. Inicio])*ISNUMBER(Table1[Parada 3 Env. Fim])*IFERROR(MOD(Table1[Parada 3 Env. Fim]-Table1[Parada 3 Env. Inicio],1),0))))</f>
        <v/>
      </c>
      <c r="AB43" s="734" t="str">
        <f t="shared" si="0"/>
        <v/>
      </c>
    </row>
    <row r="44" spans="24:28" x14ac:dyDescent="0.25">
      <c r="Y44" s="231"/>
      <c r="Z44" s="734" t="str" cm="1">
        <f t="array" ref="Z44">IF($X44="","",24*(SUMPRODUCT((Table1[Motivo Parada 1]=$X44)*ISNUMBER(Table1[Parada 1 Rot. Inicio])*ISNUMBER(Table1[Parada 1 Rot. Fim])*IFERROR(MOD(Table1[Parada 1 Rot. Fim]-Table1[Parada 1 Rot. Inicio],1),0))+SUMPRODUCT((Table1[Motivo Parada 2]=$X44)*ISNUMBER(Table1[Parada 2 Rot. Inicio])*ISNUMBER(Table1[Parada 2 Rot. Fim])*IFERROR(MOD(Table1[Parada 2 Rot. Fim]-Table1[Parada 2 Rot. Inicio],1),0))+SUMPRODUCT((Table1[Motivo Parada 3]=$X44)*ISNUMBER(Table1[Parada 3 Rot. Inicio])*ISNUMBER(Table1[Parada 3 Rot. Fim])*IFERROR(MOD(Table1[Parada 3 Rot. Fim]-Table1[Parada 3 Rot. Inicio],1),0))))</f>
        <v/>
      </c>
      <c r="AA44" s="734" t="str" cm="1">
        <f t="array" ref="AA44">IF($X44="","",24*(SUMPRODUCT((Table1[Motivo Parada Env. 1]=$X44)*ISNUMBER(Table1[Parada 1 Env. Inicio])*ISNUMBER(Table1[Parada 1 Env. Fim])*IFERROR(MOD(Table1[Parada 1 Env. Fim]-Table1[Parada 1 Env. Inicio],1),0))+SUMPRODUCT((Table1[Motivo Parada Env. 2]=$X44)*ISNUMBER(Table1[Parada 2 Env. Inicio])*ISNUMBER(Table1[Parada 2 Env. Fim])*IFERROR(MOD(Table1[Parada 2 Env. Fim]-Table1[Parada 2 Env. Inicio],1),0))+SUMPRODUCT((Table1[Motivo Parada Env. 3]=$X44)*ISNUMBER(Table1[Parada 3 Env. Inicio])*ISNUMBER(Table1[Parada 3 Env. Fim])*IFERROR(MOD(Table1[Parada 3 Env. Fim]-Table1[Parada 3 Env. Inicio],1),0))))</f>
        <v/>
      </c>
      <c r="AB44" s="734" t="str">
        <f t="shared" si="0"/>
        <v/>
      </c>
    </row>
  </sheetData>
  <pageMargins left="0.7" right="0.7" top="0.75" bottom="0.75" header="0.3" footer="0.3"/>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o" ma:contentTypeID="0x01010079447714D3A6D845B2C488CFF31F7610" ma:contentTypeVersion="12" ma:contentTypeDescription="Crie um novo documento." ma:contentTypeScope="" ma:versionID="6fa32a5c988deab99a0b1251f5483cb4">
  <xsd:schema xmlns:xsd="http://www.w3.org/2001/XMLSchema" xmlns:xs="http://www.w3.org/2001/XMLSchema" xmlns:p="http://schemas.microsoft.com/office/2006/metadata/properties" xmlns:ns2="c8808e04-a48d-44ec-aaa2-84ab3c4a9789" xmlns:ns3="c5b6ebd3-f450-4e70-b671-65da7a07c917" targetNamespace="http://schemas.microsoft.com/office/2006/metadata/properties" ma:root="true" ma:fieldsID="55497553e391f965470c51cd26d4f446" ns2:_="" ns3:_="">
    <xsd:import namespace="c8808e04-a48d-44ec-aaa2-84ab3c4a9789"/>
    <xsd:import namespace="c5b6ebd3-f450-4e70-b671-65da7a07c91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808e04-a48d-44ec-aaa2-84ab3c4a97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a37a8b96-04af-4aae-8640-b2dc0a4a615f"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5b6ebd3-f450-4e70-b671-65da7a07c917"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6013b66-1a75-4ca6-8753-51d1ed2a48c5}" ma:internalName="TaxCatchAll" ma:showField="CatchAllData" ma:web="c5b6ebd3-f450-4e70-b671-65da7a07c91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c8808e04-a48d-44ec-aaa2-84ab3c4a9789">
      <Terms xmlns="http://schemas.microsoft.com/office/infopath/2007/PartnerControls"/>
    </lcf76f155ced4ddcb4097134ff3c332f>
    <TaxCatchAll xmlns="c5b6ebd3-f450-4e70-b671-65da7a07c917" xsi:nil="true"/>
  </documentManagement>
</p:properties>
</file>

<file path=customXml/itemProps1.xml><?xml version="1.0" encoding="utf-8"?>
<ds:datastoreItem xmlns:ds="http://schemas.openxmlformats.org/officeDocument/2006/customXml" ds:itemID="{6D52FBC7-396E-43A8-91A7-C8EBE09838D1}">
  <ds:schemaRefs>
    <ds:schemaRef ds:uri="http://schemas.microsoft.com/sharepoint/v3/contenttype/forms"/>
  </ds:schemaRefs>
</ds:datastoreItem>
</file>

<file path=customXml/itemProps2.xml><?xml version="1.0" encoding="utf-8"?>
<ds:datastoreItem xmlns:ds="http://schemas.openxmlformats.org/officeDocument/2006/customXml" ds:itemID="{A719DEE7-D092-4597-AE48-0212745CF36E}">
  <ds:schemaRefs>
    <ds:schemaRef ds:uri="http://schemas.microsoft.com/DataMashup"/>
  </ds:schemaRefs>
</ds:datastoreItem>
</file>

<file path=customXml/itemProps3.xml><?xml version="1.0" encoding="utf-8"?>
<ds:datastoreItem xmlns:ds="http://schemas.openxmlformats.org/officeDocument/2006/customXml" ds:itemID="{154C0BF7-9BCD-49ED-8CF8-52E44F0EA96A}"/>
</file>

<file path=customXml/itemProps4.xml><?xml version="1.0" encoding="utf-8"?>
<ds:datastoreItem xmlns:ds="http://schemas.openxmlformats.org/officeDocument/2006/customXml" ds:itemID="{537CCB69-3956-40D1-8E44-7763C21CC320}">
  <ds:schemaRefs>
    <ds:schemaRef ds:uri="http://schemas.microsoft.com/office/2006/documentManagement/types"/>
    <ds:schemaRef ds:uri="http://purl.org/dc/dcmitype/"/>
    <ds:schemaRef ds:uri="c5b6ebd3-f450-4e70-b671-65da7a07c917"/>
    <ds:schemaRef ds:uri="http://purl.org/dc/terms/"/>
    <ds:schemaRef ds:uri="http://purl.org/dc/elements/1.1/"/>
    <ds:schemaRef ds:uri="http://schemas.openxmlformats.org/package/2006/metadata/core-properties"/>
    <ds:schemaRef ds:uri="http://schemas.microsoft.com/office/infopath/2007/PartnerControls"/>
    <ds:schemaRef ds:uri="c8808e04-a48d-44ec-aaa2-84ab3c4a9789"/>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Charts</vt:lpstr>
      </vt:variant>
      <vt:variant>
        <vt:i4>1</vt:i4>
      </vt:variant>
      <vt:variant>
        <vt:lpstr>Named Ranges</vt:lpstr>
      </vt:variant>
      <vt:variant>
        <vt:i4>6</vt:i4>
      </vt:variant>
    </vt:vector>
  </HeadingPairs>
  <TitlesOfParts>
    <vt:vector size="22" baseType="lpstr">
      <vt:lpstr>Controle de Produção</vt:lpstr>
      <vt:lpstr>Sheet1</vt:lpstr>
      <vt:lpstr>Graficos</vt:lpstr>
      <vt:lpstr>Máquinas</vt:lpstr>
      <vt:lpstr>Controle Semanal</vt:lpstr>
      <vt:lpstr>Official Forecasts</vt:lpstr>
      <vt:lpstr>Segundo Cenário</vt:lpstr>
      <vt:lpstr>Previsão (2)</vt:lpstr>
      <vt:lpstr>Previsão Envase</vt:lpstr>
      <vt:lpstr>possibilidade de programação</vt:lpstr>
      <vt:lpstr>Passado</vt:lpstr>
      <vt:lpstr>Sheet2</vt:lpstr>
      <vt:lpstr>Sheet4</vt:lpstr>
      <vt:lpstr>Sheet3</vt:lpstr>
      <vt:lpstr>Análises</vt:lpstr>
      <vt:lpstr>Chart2</vt:lpstr>
      <vt:lpstr>'Controle Semanal'!Print_Area</vt:lpstr>
      <vt:lpstr>'Official Forecasts'!Print_Area</vt:lpstr>
      <vt:lpstr>Passado!Print_Area</vt:lpstr>
      <vt:lpstr>'Previsão (2)'!Print_Area</vt:lpstr>
      <vt:lpstr>'Previsão Envase'!Print_Area</vt:lpstr>
      <vt:lpstr>'Segundo Cenário'!Print_Area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Menezes Silva</dc:creator>
  <cp:lastModifiedBy>Bruna Araujo</cp:lastModifiedBy>
  <cp:lastPrinted>2026-05-18T17:16:45Z</cp:lastPrinted>
  <dcterms:created xsi:type="dcterms:W3CDTF">2025-06-04T12:58:39Z</dcterms:created>
  <dcterms:modified xsi:type="dcterms:W3CDTF">2026-07-07T17:35:06Z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r8>368200</vt:r8>
  </property>
  <property fmtid="{D5CDD505-2E9C-101B-9397-08002B2CF9AE}" pid="3" name="ContentTypeId">
    <vt:lpwstr>0x01010079447714D3A6D845B2C488CFF31F7610</vt:lpwstr>
  </property>
  <property fmtid="{D5CDD505-2E9C-101B-9397-08002B2CF9AE}" pid="4" name="ComplianceAssetId">
    <vt:lpwstr/>
  </property>
  <property fmtid="{D5CDD505-2E9C-101B-9397-08002B2CF9AE}" pid="5" name="_ExtendedDescription">
    <vt:lpwstr/>
  </property>
  <property fmtid="{D5CDD505-2E9C-101B-9397-08002B2CF9AE}" pid="6" name="TriggerFlowInfo">
    <vt:lpwstr/>
  </property>
  <property fmtid="{D5CDD505-2E9C-101B-9397-08002B2CF9AE}" pid="7" name="MediaServiceImageTags">
    <vt:lpwstr/>
  </property>
</Properties>
</file>